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patterson\OneDrive - Aercoustics Engineering Limited\wind_ML_filter_resources\"/>
    </mc:Choice>
  </mc:AlternateContent>
  <xr:revisionPtr revIDLastSave="70" documentId="13_ncr:1_{A2F4A1AB-824E-42DE-B142-2113B982E3D8}" xr6:coauthVersionLast="43" xr6:coauthVersionMax="43" xr10:uidLastSave="{DBC84C90-F54A-4FC3-AF98-0233A96A95C6}"/>
  <bookViews>
    <workbookView xWindow="28680" yWindow="-120" windowWidth="29040" windowHeight="15840" activeTab="1" xr2:uid="{00000000-000D-0000-FFFF-FFFF00000000}"/>
  </bookViews>
  <sheets>
    <sheet name="Revision" sheetId="2" r:id="rId1"/>
    <sheet name="Main" sheetId="1" r:id="rId2"/>
    <sheet name="Agg. Angle" sheetId="4" r:id="rId3"/>
    <sheet name="Report Tables" sheetId="5" r:id="rId4"/>
  </sheets>
  <externalReferences>
    <externalReference r:id="rId5"/>
  </externalReferences>
  <definedNames>
    <definedName name="_xlnm._FilterDatabase" localSheetId="1" hidden="1">Main!$A$7:$DR$1309</definedName>
    <definedName name="DW" localSheetId="2">'Agg. Angle'!$K$5:$K$100003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R3" i="1" l="1"/>
  <c r="CZ8" i="1"/>
  <c r="DD1" i="1"/>
  <c r="DD2" i="1"/>
  <c r="CZ1" i="1"/>
  <c r="DA1" i="1"/>
  <c r="DB1" i="1"/>
  <c r="DA8" i="1"/>
  <c r="DB8" i="1"/>
  <c r="CM8" i="1"/>
  <c r="DF8" i="1"/>
  <c r="CP8" i="1"/>
  <c r="DG8" i="1"/>
  <c r="CL8" i="1"/>
  <c r="DH8" i="1"/>
  <c r="CI8" i="1"/>
  <c r="DN8" i="1"/>
  <c r="DO8" i="1"/>
  <c r="DI8" i="1"/>
  <c r="DJ8" i="1"/>
  <c r="DK8" i="1"/>
  <c r="DL8" i="1"/>
  <c r="CZ9" i="1"/>
  <c r="DA9" i="1"/>
  <c r="DB9" i="1"/>
  <c r="CM9" i="1"/>
  <c r="DF9" i="1"/>
  <c r="CP9" i="1"/>
  <c r="DG9" i="1"/>
  <c r="CL9" i="1"/>
  <c r="DH9" i="1"/>
  <c r="CI9" i="1"/>
  <c r="DN9" i="1"/>
  <c r="DO9" i="1"/>
  <c r="DI9" i="1"/>
  <c r="DJ9" i="1"/>
  <c r="DK9" i="1"/>
  <c r="DL9" i="1"/>
  <c r="CZ10" i="1"/>
  <c r="DA10" i="1"/>
  <c r="DB10" i="1"/>
  <c r="CM10" i="1"/>
  <c r="DF10" i="1"/>
  <c r="CP10" i="1"/>
  <c r="DG10" i="1"/>
  <c r="CL10" i="1"/>
  <c r="DH10" i="1"/>
  <c r="CI10" i="1"/>
  <c r="DN10" i="1"/>
  <c r="DO10" i="1"/>
  <c r="DI10" i="1"/>
  <c r="DJ10" i="1"/>
  <c r="DK10" i="1"/>
  <c r="DL10" i="1"/>
  <c r="CZ11" i="1"/>
  <c r="DA11" i="1"/>
  <c r="DB11" i="1"/>
  <c r="CM11" i="1"/>
  <c r="DF11" i="1"/>
  <c r="CP11" i="1"/>
  <c r="DG11" i="1"/>
  <c r="CL11" i="1"/>
  <c r="DH11" i="1"/>
  <c r="CI11" i="1"/>
  <c r="DN11" i="1"/>
  <c r="DO11" i="1"/>
  <c r="DI11" i="1"/>
  <c r="DJ11" i="1"/>
  <c r="DK11" i="1"/>
  <c r="DL11" i="1"/>
  <c r="CZ12" i="1"/>
  <c r="DA12" i="1"/>
  <c r="DB12" i="1"/>
  <c r="CM12" i="1"/>
  <c r="DF12" i="1"/>
  <c r="CP12" i="1"/>
  <c r="DG12" i="1"/>
  <c r="CL12" i="1"/>
  <c r="DH12" i="1"/>
  <c r="CI12" i="1"/>
  <c r="DN12" i="1"/>
  <c r="DO12" i="1"/>
  <c r="DI12" i="1"/>
  <c r="DJ12" i="1"/>
  <c r="DK12" i="1"/>
  <c r="DL12" i="1"/>
  <c r="CZ13" i="1"/>
  <c r="DA13" i="1"/>
  <c r="DB13" i="1"/>
  <c r="CM13" i="1"/>
  <c r="DF13" i="1"/>
  <c r="CP13" i="1"/>
  <c r="DG13" i="1"/>
  <c r="CL13" i="1"/>
  <c r="DH13" i="1"/>
  <c r="CI13" i="1"/>
  <c r="DN13" i="1"/>
  <c r="DO13" i="1"/>
  <c r="DI13" i="1"/>
  <c r="DJ13" i="1"/>
  <c r="DK13" i="1"/>
  <c r="DL13" i="1"/>
  <c r="CZ14" i="1"/>
  <c r="DA14" i="1"/>
  <c r="DB14" i="1"/>
  <c r="CM14" i="1"/>
  <c r="DF14" i="1"/>
  <c r="CP14" i="1"/>
  <c r="DG14" i="1"/>
  <c r="CL14" i="1"/>
  <c r="DH14" i="1"/>
  <c r="CI14" i="1"/>
  <c r="DN14" i="1"/>
  <c r="DO14" i="1"/>
  <c r="DI14" i="1"/>
  <c r="DJ14" i="1"/>
  <c r="DK14" i="1"/>
  <c r="DL14" i="1"/>
  <c r="CZ15" i="1"/>
  <c r="DA15" i="1"/>
  <c r="DB15" i="1"/>
  <c r="CM15" i="1"/>
  <c r="DF15" i="1"/>
  <c r="CP15" i="1"/>
  <c r="DG15" i="1"/>
  <c r="CL15" i="1"/>
  <c r="DH15" i="1"/>
  <c r="CI15" i="1"/>
  <c r="DN15" i="1"/>
  <c r="DO15" i="1"/>
  <c r="DI15" i="1"/>
  <c r="DJ15" i="1"/>
  <c r="DK15" i="1"/>
  <c r="DL15" i="1"/>
  <c r="CZ16" i="1"/>
  <c r="DA16" i="1"/>
  <c r="DB16" i="1"/>
  <c r="CM16" i="1"/>
  <c r="DF16" i="1"/>
  <c r="CP16" i="1"/>
  <c r="DG16" i="1"/>
  <c r="CL16" i="1"/>
  <c r="DH16" i="1"/>
  <c r="CI16" i="1"/>
  <c r="DN16" i="1"/>
  <c r="DO16" i="1"/>
  <c r="DI16" i="1"/>
  <c r="DJ16" i="1"/>
  <c r="DK16" i="1"/>
  <c r="DL16" i="1"/>
  <c r="CZ17" i="1"/>
  <c r="DA17" i="1"/>
  <c r="DB17" i="1"/>
  <c r="CM17" i="1"/>
  <c r="DF17" i="1"/>
  <c r="CP17" i="1"/>
  <c r="DG17" i="1"/>
  <c r="CL17" i="1"/>
  <c r="DH17" i="1"/>
  <c r="CI17" i="1"/>
  <c r="DN17" i="1"/>
  <c r="DO17" i="1"/>
  <c r="DI17" i="1"/>
  <c r="DJ17" i="1"/>
  <c r="DK17" i="1"/>
  <c r="DL17" i="1"/>
  <c r="CZ18" i="1"/>
  <c r="DA18" i="1"/>
  <c r="DB18" i="1"/>
  <c r="CM18" i="1"/>
  <c r="DF18" i="1"/>
  <c r="CP18" i="1"/>
  <c r="DG18" i="1"/>
  <c r="CL18" i="1"/>
  <c r="DH18" i="1"/>
  <c r="CI18" i="1"/>
  <c r="DN18" i="1"/>
  <c r="DO18" i="1"/>
  <c r="DI18" i="1"/>
  <c r="DJ18" i="1"/>
  <c r="DK18" i="1"/>
  <c r="DL18" i="1"/>
  <c r="CZ19" i="1"/>
  <c r="DA19" i="1"/>
  <c r="DB19" i="1"/>
  <c r="CM19" i="1"/>
  <c r="DF19" i="1"/>
  <c r="CP19" i="1"/>
  <c r="DG19" i="1"/>
  <c r="CL19" i="1"/>
  <c r="DH19" i="1"/>
  <c r="CI19" i="1"/>
  <c r="DN19" i="1"/>
  <c r="DO19" i="1"/>
  <c r="DI19" i="1"/>
  <c r="DJ19" i="1"/>
  <c r="DK19" i="1"/>
  <c r="DL19" i="1"/>
  <c r="CZ20" i="1"/>
  <c r="DA20" i="1"/>
  <c r="DB20" i="1"/>
  <c r="CM20" i="1"/>
  <c r="DF20" i="1"/>
  <c r="CP20" i="1"/>
  <c r="DG20" i="1"/>
  <c r="CL20" i="1"/>
  <c r="DH20" i="1"/>
  <c r="CI20" i="1"/>
  <c r="DN20" i="1"/>
  <c r="DO20" i="1"/>
  <c r="DI20" i="1"/>
  <c r="DJ20" i="1"/>
  <c r="DK20" i="1"/>
  <c r="DL20" i="1"/>
  <c r="CZ21" i="1"/>
  <c r="DA21" i="1"/>
  <c r="DB21" i="1"/>
  <c r="CM21" i="1"/>
  <c r="DF21" i="1"/>
  <c r="CP21" i="1"/>
  <c r="DG21" i="1"/>
  <c r="CL21" i="1"/>
  <c r="DH21" i="1"/>
  <c r="CI21" i="1"/>
  <c r="DN21" i="1"/>
  <c r="DO21" i="1"/>
  <c r="DI21" i="1"/>
  <c r="DJ21" i="1"/>
  <c r="DK21" i="1"/>
  <c r="DL21" i="1"/>
  <c r="CZ22" i="1"/>
  <c r="DA22" i="1"/>
  <c r="DB22" i="1"/>
  <c r="CM22" i="1"/>
  <c r="DF22" i="1"/>
  <c r="CP22" i="1"/>
  <c r="DG22" i="1"/>
  <c r="CL22" i="1"/>
  <c r="DH22" i="1"/>
  <c r="CI22" i="1"/>
  <c r="DN22" i="1"/>
  <c r="DO22" i="1"/>
  <c r="DI22" i="1"/>
  <c r="DJ22" i="1"/>
  <c r="DK22" i="1"/>
  <c r="DL22" i="1"/>
  <c r="CZ23" i="1"/>
  <c r="DA23" i="1"/>
  <c r="DB23" i="1"/>
  <c r="CM23" i="1"/>
  <c r="DF23" i="1"/>
  <c r="CP23" i="1"/>
  <c r="DG23" i="1"/>
  <c r="CL23" i="1"/>
  <c r="DH23" i="1"/>
  <c r="CI23" i="1"/>
  <c r="DN23" i="1"/>
  <c r="DO23" i="1"/>
  <c r="DI23" i="1"/>
  <c r="DJ23" i="1"/>
  <c r="DK23" i="1"/>
  <c r="DL23" i="1"/>
  <c r="CZ24" i="1"/>
  <c r="DA24" i="1"/>
  <c r="DB24" i="1"/>
  <c r="CM24" i="1"/>
  <c r="DF24" i="1"/>
  <c r="CP24" i="1"/>
  <c r="DG24" i="1"/>
  <c r="CL24" i="1"/>
  <c r="DH24" i="1"/>
  <c r="CI24" i="1"/>
  <c r="DN24" i="1"/>
  <c r="DO24" i="1"/>
  <c r="DI24" i="1"/>
  <c r="DJ24" i="1"/>
  <c r="DK24" i="1"/>
  <c r="DL24" i="1"/>
  <c r="CZ25" i="1"/>
  <c r="DA25" i="1"/>
  <c r="DB25" i="1"/>
  <c r="CM25" i="1"/>
  <c r="DF25" i="1"/>
  <c r="CP25" i="1"/>
  <c r="DG25" i="1"/>
  <c r="CL25" i="1"/>
  <c r="DH25" i="1"/>
  <c r="CI25" i="1"/>
  <c r="DN25" i="1"/>
  <c r="DO25" i="1"/>
  <c r="DI25" i="1"/>
  <c r="DJ25" i="1"/>
  <c r="DK25" i="1"/>
  <c r="DL25" i="1"/>
  <c r="CZ26" i="1"/>
  <c r="DA26" i="1"/>
  <c r="DB26" i="1"/>
  <c r="CM26" i="1"/>
  <c r="DF26" i="1"/>
  <c r="CP26" i="1"/>
  <c r="DG26" i="1"/>
  <c r="CL26" i="1"/>
  <c r="DH26" i="1"/>
  <c r="CI26" i="1"/>
  <c r="DN26" i="1"/>
  <c r="DO26" i="1"/>
  <c r="DI26" i="1"/>
  <c r="DJ26" i="1"/>
  <c r="DK26" i="1"/>
  <c r="DL26" i="1"/>
  <c r="CZ27" i="1"/>
  <c r="DA27" i="1"/>
  <c r="DB27" i="1"/>
  <c r="CM27" i="1"/>
  <c r="DF27" i="1"/>
  <c r="CP27" i="1"/>
  <c r="DG27" i="1"/>
  <c r="CL27" i="1"/>
  <c r="DH27" i="1"/>
  <c r="CI27" i="1"/>
  <c r="DN27" i="1"/>
  <c r="DO27" i="1"/>
  <c r="DI27" i="1"/>
  <c r="DJ27" i="1"/>
  <c r="DK27" i="1"/>
  <c r="DL27" i="1"/>
  <c r="CZ28" i="1"/>
  <c r="DA28" i="1"/>
  <c r="DB28" i="1"/>
  <c r="CM28" i="1"/>
  <c r="DF28" i="1"/>
  <c r="CP28" i="1"/>
  <c r="DG28" i="1"/>
  <c r="CL28" i="1"/>
  <c r="DH28" i="1"/>
  <c r="CI28" i="1"/>
  <c r="DN28" i="1"/>
  <c r="DO28" i="1"/>
  <c r="DI28" i="1"/>
  <c r="DJ28" i="1"/>
  <c r="DK28" i="1"/>
  <c r="DL28" i="1"/>
  <c r="CZ29" i="1"/>
  <c r="DA29" i="1"/>
  <c r="DB29" i="1"/>
  <c r="CM29" i="1"/>
  <c r="DF29" i="1"/>
  <c r="CP29" i="1"/>
  <c r="DG29" i="1"/>
  <c r="CL29" i="1"/>
  <c r="DH29" i="1"/>
  <c r="CI29" i="1"/>
  <c r="DN29" i="1"/>
  <c r="DO29" i="1"/>
  <c r="DI29" i="1"/>
  <c r="DJ29" i="1"/>
  <c r="DK29" i="1"/>
  <c r="DL29" i="1"/>
  <c r="CZ30" i="1"/>
  <c r="DA30" i="1"/>
  <c r="DB30" i="1"/>
  <c r="CM30" i="1"/>
  <c r="DF30" i="1"/>
  <c r="CP30" i="1"/>
  <c r="DG30" i="1"/>
  <c r="CL30" i="1"/>
  <c r="DH30" i="1"/>
  <c r="CI30" i="1"/>
  <c r="DN30" i="1"/>
  <c r="DO30" i="1"/>
  <c r="DI30" i="1"/>
  <c r="DJ30" i="1"/>
  <c r="DK30" i="1"/>
  <c r="DL30" i="1"/>
  <c r="CZ31" i="1"/>
  <c r="DA31" i="1"/>
  <c r="DB31" i="1"/>
  <c r="CM31" i="1"/>
  <c r="DF31" i="1"/>
  <c r="CP31" i="1"/>
  <c r="DG31" i="1"/>
  <c r="CL31" i="1"/>
  <c r="DH31" i="1"/>
  <c r="CI31" i="1"/>
  <c r="DN31" i="1"/>
  <c r="DO31" i="1"/>
  <c r="DI31" i="1"/>
  <c r="DJ31" i="1"/>
  <c r="DK31" i="1"/>
  <c r="DL31" i="1"/>
  <c r="CZ32" i="1"/>
  <c r="DA32" i="1"/>
  <c r="DB32" i="1"/>
  <c r="CM32" i="1"/>
  <c r="DF32" i="1"/>
  <c r="CP32" i="1"/>
  <c r="DG32" i="1"/>
  <c r="CL32" i="1"/>
  <c r="DH32" i="1"/>
  <c r="CI32" i="1"/>
  <c r="DN32" i="1"/>
  <c r="DO32" i="1"/>
  <c r="DI32" i="1"/>
  <c r="DJ32" i="1"/>
  <c r="DK32" i="1"/>
  <c r="DL32" i="1"/>
  <c r="CZ33" i="1"/>
  <c r="DA33" i="1"/>
  <c r="DB33" i="1"/>
  <c r="CM33" i="1"/>
  <c r="DF33" i="1"/>
  <c r="CP33" i="1"/>
  <c r="DG33" i="1"/>
  <c r="CL33" i="1"/>
  <c r="DH33" i="1"/>
  <c r="CI33" i="1"/>
  <c r="DN33" i="1"/>
  <c r="DO33" i="1"/>
  <c r="DI33" i="1"/>
  <c r="DJ33" i="1"/>
  <c r="DK33" i="1"/>
  <c r="DL33" i="1"/>
  <c r="CZ34" i="1"/>
  <c r="DA34" i="1"/>
  <c r="DB34" i="1"/>
  <c r="CM34" i="1"/>
  <c r="DF34" i="1"/>
  <c r="CP34" i="1"/>
  <c r="DG34" i="1"/>
  <c r="CL34" i="1"/>
  <c r="DH34" i="1"/>
  <c r="CI34" i="1"/>
  <c r="DN34" i="1"/>
  <c r="DO34" i="1"/>
  <c r="DI34" i="1"/>
  <c r="DJ34" i="1"/>
  <c r="DK34" i="1"/>
  <c r="DL34" i="1"/>
  <c r="CZ35" i="1"/>
  <c r="DA35" i="1"/>
  <c r="DB35" i="1"/>
  <c r="CM35" i="1"/>
  <c r="DF35" i="1"/>
  <c r="CP35" i="1"/>
  <c r="DG35" i="1"/>
  <c r="CL35" i="1"/>
  <c r="DH35" i="1"/>
  <c r="CI35" i="1"/>
  <c r="DN35" i="1"/>
  <c r="DO35" i="1"/>
  <c r="DI35" i="1"/>
  <c r="DJ35" i="1"/>
  <c r="DK35" i="1"/>
  <c r="DL35" i="1"/>
  <c r="CZ36" i="1"/>
  <c r="DA36" i="1"/>
  <c r="DB36" i="1"/>
  <c r="CM36" i="1"/>
  <c r="DF36" i="1"/>
  <c r="CP36" i="1"/>
  <c r="DG36" i="1"/>
  <c r="CL36" i="1"/>
  <c r="DH36" i="1"/>
  <c r="CI36" i="1"/>
  <c r="DN36" i="1"/>
  <c r="DO36" i="1"/>
  <c r="DI36" i="1"/>
  <c r="DJ36" i="1"/>
  <c r="DK36" i="1"/>
  <c r="DL36" i="1"/>
  <c r="CZ37" i="1"/>
  <c r="DA37" i="1"/>
  <c r="DB37" i="1"/>
  <c r="CM37" i="1"/>
  <c r="DF37" i="1"/>
  <c r="CP37" i="1"/>
  <c r="DG37" i="1"/>
  <c r="CL37" i="1"/>
  <c r="DH37" i="1"/>
  <c r="CI37" i="1"/>
  <c r="DN37" i="1"/>
  <c r="DO37" i="1"/>
  <c r="DI37" i="1"/>
  <c r="DJ37" i="1"/>
  <c r="DK37" i="1"/>
  <c r="DL37" i="1"/>
  <c r="CZ38" i="1"/>
  <c r="DA38" i="1"/>
  <c r="DB38" i="1"/>
  <c r="CM38" i="1"/>
  <c r="DF38" i="1"/>
  <c r="CP38" i="1"/>
  <c r="DG38" i="1"/>
  <c r="CL38" i="1"/>
  <c r="DH38" i="1"/>
  <c r="CI38" i="1"/>
  <c r="DN38" i="1"/>
  <c r="DO38" i="1"/>
  <c r="DI38" i="1"/>
  <c r="DJ38" i="1"/>
  <c r="DK38" i="1"/>
  <c r="DL38" i="1"/>
  <c r="CZ39" i="1"/>
  <c r="DA39" i="1"/>
  <c r="DB39" i="1"/>
  <c r="CM39" i="1"/>
  <c r="DF39" i="1"/>
  <c r="CP39" i="1"/>
  <c r="DG39" i="1"/>
  <c r="CL39" i="1"/>
  <c r="DH39" i="1"/>
  <c r="CI39" i="1"/>
  <c r="DN39" i="1"/>
  <c r="DO39" i="1"/>
  <c r="DI39" i="1"/>
  <c r="DJ39" i="1"/>
  <c r="DK39" i="1"/>
  <c r="DL39" i="1"/>
  <c r="CZ40" i="1"/>
  <c r="DA40" i="1"/>
  <c r="DB40" i="1"/>
  <c r="CM40" i="1"/>
  <c r="DF40" i="1"/>
  <c r="CP40" i="1"/>
  <c r="DG40" i="1"/>
  <c r="CL40" i="1"/>
  <c r="DH40" i="1"/>
  <c r="CI40" i="1"/>
  <c r="DN40" i="1"/>
  <c r="DO40" i="1"/>
  <c r="DI40" i="1"/>
  <c r="DJ40" i="1"/>
  <c r="DK40" i="1"/>
  <c r="DL40" i="1"/>
  <c r="CZ41" i="1"/>
  <c r="DA41" i="1"/>
  <c r="DB41" i="1"/>
  <c r="CM41" i="1"/>
  <c r="DF41" i="1"/>
  <c r="CP41" i="1"/>
  <c r="DG41" i="1"/>
  <c r="CL41" i="1"/>
  <c r="DH41" i="1"/>
  <c r="CI41" i="1"/>
  <c r="DN41" i="1"/>
  <c r="DO41" i="1"/>
  <c r="DI41" i="1"/>
  <c r="DJ41" i="1"/>
  <c r="DK41" i="1"/>
  <c r="DL41" i="1"/>
  <c r="CZ42" i="1"/>
  <c r="DA42" i="1"/>
  <c r="DB42" i="1"/>
  <c r="CM42" i="1"/>
  <c r="DF42" i="1"/>
  <c r="CP42" i="1"/>
  <c r="DG42" i="1"/>
  <c r="CL42" i="1"/>
  <c r="DH42" i="1"/>
  <c r="CI42" i="1"/>
  <c r="DN42" i="1"/>
  <c r="DO42" i="1"/>
  <c r="DI42" i="1"/>
  <c r="DJ42" i="1"/>
  <c r="DK42" i="1"/>
  <c r="DL42" i="1"/>
  <c r="CZ43" i="1"/>
  <c r="DA43" i="1"/>
  <c r="DB43" i="1"/>
  <c r="CM43" i="1"/>
  <c r="DF43" i="1"/>
  <c r="CP43" i="1"/>
  <c r="DG43" i="1"/>
  <c r="CL43" i="1"/>
  <c r="DH43" i="1"/>
  <c r="CI43" i="1"/>
  <c r="DN43" i="1"/>
  <c r="DO43" i="1"/>
  <c r="DI43" i="1"/>
  <c r="DJ43" i="1"/>
  <c r="DK43" i="1"/>
  <c r="DL43" i="1"/>
  <c r="CZ44" i="1"/>
  <c r="DA44" i="1"/>
  <c r="DB44" i="1"/>
  <c r="CM44" i="1"/>
  <c r="DF44" i="1"/>
  <c r="CP44" i="1"/>
  <c r="DG44" i="1"/>
  <c r="CL44" i="1"/>
  <c r="DH44" i="1"/>
  <c r="CI44" i="1"/>
  <c r="DN44" i="1"/>
  <c r="DO44" i="1"/>
  <c r="DI44" i="1"/>
  <c r="DJ44" i="1"/>
  <c r="DK44" i="1"/>
  <c r="DL44" i="1"/>
  <c r="CZ45" i="1"/>
  <c r="DA45" i="1"/>
  <c r="DB45" i="1"/>
  <c r="CM45" i="1"/>
  <c r="DF45" i="1"/>
  <c r="CP45" i="1"/>
  <c r="DG45" i="1"/>
  <c r="CL45" i="1"/>
  <c r="DH45" i="1"/>
  <c r="CI45" i="1"/>
  <c r="DN45" i="1"/>
  <c r="DO45" i="1"/>
  <c r="DI45" i="1"/>
  <c r="DJ45" i="1"/>
  <c r="DK45" i="1"/>
  <c r="DL45" i="1"/>
  <c r="CZ46" i="1"/>
  <c r="DA46" i="1"/>
  <c r="DB46" i="1"/>
  <c r="CM46" i="1"/>
  <c r="DF46" i="1"/>
  <c r="CP46" i="1"/>
  <c r="DG46" i="1"/>
  <c r="CL46" i="1"/>
  <c r="DH46" i="1"/>
  <c r="CI46" i="1"/>
  <c r="DN46" i="1"/>
  <c r="DO46" i="1"/>
  <c r="DI46" i="1"/>
  <c r="DJ46" i="1"/>
  <c r="DK46" i="1"/>
  <c r="DL46" i="1"/>
  <c r="CZ47" i="1"/>
  <c r="DA47" i="1"/>
  <c r="DB47" i="1"/>
  <c r="CM47" i="1"/>
  <c r="DF47" i="1"/>
  <c r="CP47" i="1"/>
  <c r="DG47" i="1"/>
  <c r="CL47" i="1"/>
  <c r="DH47" i="1"/>
  <c r="CI47" i="1"/>
  <c r="DN47" i="1"/>
  <c r="DO47" i="1"/>
  <c r="DI47" i="1"/>
  <c r="DJ47" i="1"/>
  <c r="DK47" i="1"/>
  <c r="DL47" i="1"/>
  <c r="CZ48" i="1"/>
  <c r="DA48" i="1"/>
  <c r="DB48" i="1"/>
  <c r="CM48" i="1"/>
  <c r="DF48" i="1"/>
  <c r="CP48" i="1"/>
  <c r="DG48" i="1"/>
  <c r="CL48" i="1"/>
  <c r="DH48" i="1"/>
  <c r="CI48" i="1"/>
  <c r="DN48" i="1"/>
  <c r="DO48" i="1"/>
  <c r="DI48" i="1"/>
  <c r="DJ48" i="1"/>
  <c r="DK48" i="1"/>
  <c r="DL48" i="1"/>
  <c r="CZ49" i="1"/>
  <c r="DA49" i="1"/>
  <c r="DB49" i="1"/>
  <c r="CM49" i="1"/>
  <c r="DF49" i="1"/>
  <c r="CP49" i="1"/>
  <c r="DG49" i="1"/>
  <c r="CL49" i="1"/>
  <c r="DH49" i="1"/>
  <c r="CI49" i="1"/>
  <c r="DN49" i="1"/>
  <c r="DO49" i="1"/>
  <c r="DI49" i="1"/>
  <c r="DJ49" i="1"/>
  <c r="DK49" i="1"/>
  <c r="DL49" i="1"/>
  <c r="CZ50" i="1"/>
  <c r="DA50" i="1"/>
  <c r="DB50" i="1"/>
  <c r="CM50" i="1"/>
  <c r="DF50" i="1"/>
  <c r="CP50" i="1"/>
  <c r="DG50" i="1"/>
  <c r="CL50" i="1"/>
  <c r="DH50" i="1"/>
  <c r="CI50" i="1"/>
  <c r="DN50" i="1"/>
  <c r="DO50" i="1"/>
  <c r="DI50" i="1"/>
  <c r="DJ50" i="1"/>
  <c r="DK50" i="1"/>
  <c r="DL50" i="1"/>
  <c r="CZ51" i="1"/>
  <c r="DA51" i="1"/>
  <c r="DB51" i="1"/>
  <c r="CM51" i="1"/>
  <c r="DF51" i="1"/>
  <c r="CP51" i="1"/>
  <c r="DG51" i="1"/>
  <c r="CL51" i="1"/>
  <c r="DH51" i="1"/>
  <c r="CI51" i="1"/>
  <c r="DN51" i="1"/>
  <c r="DO51" i="1"/>
  <c r="DI51" i="1"/>
  <c r="DJ51" i="1"/>
  <c r="DK51" i="1"/>
  <c r="DL51" i="1"/>
  <c r="CZ52" i="1"/>
  <c r="DA52" i="1"/>
  <c r="DB52" i="1"/>
  <c r="CM52" i="1"/>
  <c r="DF52" i="1"/>
  <c r="CP52" i="1"/>
  <c r="DG52" i="1"/>
  <c r="CL52" i="1"/>
  <c r="DH52" i="1"/>
  <c r="CI52" i="1"/>
  <c r="DN52" i="1"/>
  <c r="DO52" i="1"/>
  <c r="DI52" i="1"/>
  <c r="DJ52" i="1"/>
  <c r="DK52" i="1"/>
  <c r="DL52" i="1"/>
  <c r="CZ53" i="1"/>
  <c r="DA53" i="1"/>
  <c r="DB53" i="1"/>
  <c r="CM53" i="1"/>
  <c r="DF53" i="1"/>
  <c r="CP53" i="1"/>
  <c r="DG53" i="1"/>
  <c r="CL53" i="1"/>
  <c r="DH53" i="1"/>
  <c r="CI53" i="1"/>
  <c r="DN53" i="1"/>
  <c r="DO53" i="1"/>
  <c r="DI53" i="1"/>
  <c r="DJ53" i="1"/>
  <c r="DK53" i="1"/>
  <c r="DL53" i="1"/>
  <c r="CZ54" i="1"/>
  <c r="DA54" i="1"/>
  <c r="DB54" i="1"/>
  <c r="CM54" i="1"/>
  <c r="DF54" i="1"/>
  <c r="CP54" i="1"/>
  <c r="DG54" i="1"/>
  <c r="CL54" i="1"/>
  <c r="DH54" i="1"/>
  <c r="CI54" i="1"/>
  <c r="DN54" i="1"/>
  <c r="DO54" i="1"/>
  <c r="DI54" i="1"/>
  <c r="DJ54" i="1"/>
  <c r="DK54" i="1"/>
  <c r="DL54" i="1"/>
  <c r="CZ55" i="1"/>
  <c r="DA55" i="1"/>
  <c r="DB55" i="1"/>
  <c r="CM55" i="1"/>
  <c r="DF55" i="1"/>
  <c r="CP55" i="1"/>
  <c r="DG55" i="1"/>
  <c r="CL55" i="1"/>
  <c r="DH55" i="1"/>
  <c r="CI55" i="1"/>
  <c r="DN55" i="1"/>
  <c r="DO55" i="1"/>
  <c r="DI55" i="1"/>
  <c r="DJ55" i="1"/>
  <c r="DK55" i="1"/>
  <c r="DL55" i="1"/>
  <c r="CZ56" i="1"/>
  <c r="DA56" i="1"/>
  <c r="DB56" i="1"/>
  <c r="CM56" i="1"/>
  <c r="DF56" i="1"/>
  <c r="CP56" i="1"/>
  <c r="DG56" i="1"/>
  <c r="CL56" i="1"/>
  <c r="DH56" i="1"/>
  <c r="CI56" i="1"/>
  <c r="DN56" i="1"/>
  <c r="DO56" i="1"/>
  <c r="DI56" i="1"/>
  <c r="DJ56" i="1"/>
  <c r="DK56" i="1"/>
  <c r="DL56" i="1"/>
  <c r="CZ57" i="1"/>
  <c r="DA57" i="1"/>
  <c r="DB57" i="1"/>
  <c r="CM57" i="1"/>
  <c r="DF57" i="1"/>
  <c r="CP57" i="1"/>
  <c r="DG57" i="1"/>
  <c r="CL57" i="1"/>
  <c r="DH57" i="1"/>
  <c r="CI57" i="1"/>
  <c r="DN57" i="1"/>
  <c r="DO57" i="1"/>
  <c r="DI57" i="1"/>
  <c r="DJ57" i="1"/>
  <c r="DK57" i="1"/>
  <c r="DL57" i="1"/>
  <c r="CZ58" i="1"/>
  <c r="DA58" i="1"/>
  <c r="DB58" i="1"/>
  <c r="CM58" i="1"/>
  <c r="DF58" i="1"/>
  <c r="CP58" i="1"/>
  <c r="DG58" i="1"/>
  <c r="CL58" i="1"/>
  <c r="DH58" i="1"/>
  <c r="CI58" i="1"/>
  <c r="DN58" i="1"/>
  <c r="DO58" i="1"/>
  <c r="DI58" i="1"/>
  <c r="DJ58" i="1"/>
  <c r="DK58" i="1"/>
  <c r="DL58" i="1"/>
  <c r="CZ59" i="1"/>
  <c r="DA59" i="1"/>
  <c r="DB59" i="1"/>
  <c r="CM59" i="1"/>
  <c r="DF59" i="1"/>
  <c r="CP59" i="1"/>
  <c r="DG59" i="1"/>
  <c r="CL59" i="1"/>
  <c r="DH59" i="1"/>
  <c r="CI59" i="1"/>
  <c r="DN59" i="1"/>
  <c r="DO59" i="1"/>
  <c r="DI59" i="1"/>
  <c r="DJ59" i="1"/>
  <c r="DK59" i="1"/>
  <c r="DL59" i="1"/>
  <c r="CZ60" i="1"/>
  <c r="DA60" i="1"/>
  <c r="DB60" i="1"/>
  <c r="CM60" i="1"/>
  <c r="DF60" i="1"/>
  <c r="CP60" i="1"/>
  <c r="DG60" i="1"/>
  <c r="CL60" i="1"/>
  <c r="DH60" i="1"/>
  <c r="CI60" i="1"/>
  <c r="DN60" i="1"/>
  <c r="DO60" i="1"/>
  <c r="DI60" i="1"/>
  <c r="DJ60" i="1"/>
  <c r="DK60" i="1"/>
  <c r="DL60" i="1"/>
  <c r="CZ61" i="1"/>
  <c r="DA61" i="1"/>
  <c r="DB61" i="1"/>
  <c r="CM61" i="1"/>
  <c r="DF61" i="1"/>
  <c r="CP61" i="1"/>
  <c r="DG61" i="1"/>
  <c r="CL61" i="1"/>
  <c r="DH61" i="1"/>
  <c r="CI61" i="1"/>
  <c r="DN61" i="1"/>
  <c r="DO61" i="1"/>
  <c r="DI61" i="1"/>
  <c r="DJ61" i="1"/>
  <c r="DK61" i="1"/>
  <c r="DL61" i="1"/>
  <c r="CZ62" i="1"/>
  <c r="DA62" i="1"/>
  <c r="DB62" i="1"/>
  <c r="CM62" i="1"/>
  <c r="DF62" i="1"/>
  <c r="CP62" i="1"/>
  <c r="DG62" i="1"/>
  <c r="CL62" i="1"/>
  <c r="DH62" i="1"/>
  <c r="CI62" i="1"/>
  <c r="DN62" i="1"/>
  <c r="DO62" i="1"/>
  <c r="DI62" i="1"/>
  <c r="DJ62" i="1"/>
  <c r="DK62" i="1"/>
  <c r="DL62" i="1"/>
  <c r="CZ63" i="1"/>
  <c r="DA63" i="1"/>
  <c r="DB63" i="1"/>
  <c r="CM63" i="1"/>
  <c r="DF63" i="1"/>
  <c r="CP63" i="1"/>
  <c r="DG63" i="1"/>
  <c r="CL63" i="1"/>
  <c r="DH63" i="1"/>
  <c r="CI63" i="1"/>
  <c r="DN63" i="1"/>
  <c r="DO63" i="1"/>
  <c r="DI63" i="1"/>
  <c r="DJ63" i="1"/>
  <c r="DK63" i="1"/>
  <c r="DL63" i="1"/>
  <c r="CZ64" i="1"/>
  <c r="DA64" i="1"/>
  <c r="DB64" i="1"/>
  <c r="CM64" i="1"/>
  <c r="DF64" i="1"/>
  <c r="CP64" i="1"/>
  <c r="DG64" i="1"/>
  <c r="CL64" i="1"/>
  <c r="DH64" i="1"/>
  <c r="CI64" i="1"/>
  <c r="DN64" i="1"/>
  <c r="DO64" i="1"/>
  <c r="DI64" i="1"/>
  <c r="DJ64" i="1"/>
  <c r="DK64" i="1"/>
  <c r="DL64" i="1"/>
  <c r="CZ65" i="1"/>
  <c r="DA65" i="1"/>
  <c r="DB65" i="1"/>
  <c r="CM65" i="1"/>
  <c r="DF65" i="1"/>
  <c r="CP65" i="1"/>
  <c r="DG65" i="1"/>
  <c r="CL65" i="1"/>
  <c r="DH65" i="1"/>
  <c r="CI65" i="1"/>
  <c r="DN65" i="1"/>
  <c r="DO65" i="1"/>
  <c r="DI65" i="1"/>
  <c r="DJ65" i="1"/>
  <c r="DK65" i="1"/>
  <c r="DL65" i="1"/>
  <c r="CZ66" i="1"/>
  <c r="DA66" i="1"/>
  <c r="DB66" i="1"/>
  <c r="CM66" i="1"/>
  <c r="DF66" i="1"/>
  <c r="CP66" i="1"/>
  <c r="DG66" i="1"/>
  <c r="CL66" i="1"/>
  <c r="DH66" i="1"/>
  <c r="CI66" i="1"/>
  <c r="DN66" i="1"/>
  <c r="DO66" i="1"/>
  <c r="DI66" i="1"/>
  <c r="DJ66" i="1"/>
  <c r="DK66" i="1"/>
  <c r="DL66" i="1"/>
  <c r="CZ67" i="1"/>
  <c r="DA67" i="1"/>
  <c r="DB67" i="1"/>
  <c r="CM67" i="1"/>
  <c r="DF67" i="1"/>
  <c r="CP67" i="1"/>
  <c r="DG67" i="1"/>
  <c r="CL67" i="1"/>
  <c r="DH67" i="1"/>
  <c r="CI67" i="1"/>
  <c r="DN67" i="1"/>
  <c r="DO67" i="1"/>
  <c r="DI67" i="1"/>
  <c r="DJ67" i="1"/>
  <c r="DK67" i="1"/>
  <c r="DL67" i="1"/>
  <c r="CZ68" i="1"/>
  <c r="DA68" i="1"/>
  <c r="DB68" i="1"/>
  <c r="CM68" i="1"/>
  <c r="DF68" i="1"/>
  <c r="CP68" i="1"/>
  <c r="DG68" i="1"/>
  <c r="CL68" i="1"/>
  <c r="DH68" i="1"/>
  <c r="CI68" i="1"/>
  <c r="DN68" i="1"/>
  <c r="DO68" i="1"/>
  <c r="DI68" i="1"/>
  <c r="DJ68" i="1"/>
  <c r="DK68" i="1"/>
  <c r="DL68" i="1"/>
  <c r="CZ69" i="1"/>
  <c r="DA69" i="1"/>
  <c r="DB69" i="1"/>
  <c r="CM69" i="1"/>
  <c r="DF69" i="1"/>
  <c r="CP69" i="1"/>
  <c r="DG69" i="1"/>
  <c r="CL69" i="1"/>
  <c r="DH69" i="1"/>
  <c r="CI69" i="1"/>
  <c r="DN69" i="1"/>
  <c r="DO69" i="1"/>
  <c r="DI69" i="1"/>
  <c r="DJ69" i="1"/>
  <c r="DK69" i="1"/>
  <c r="DL69" i="1"/>
  <c r="CZ70" i="1"/>
  <c r="DA70" i="1"/>
  <c r="DB70" i="1"/>
  <c r="CM70" i="1"/>
  <c r="DF70" i="1"/>
  <c r="CP70" i="1"/>
  <c r="DG70" i="1"/>
  <c r="CL70" i="1"/>
  <c r="DH70" i="1"/>
  <c r="CI70" i="1"/>
  <c r="DN70" i="1"/>
  <c r="DO70" i="1"/>
  <c r="DI70" i="1"/>
  <c r="DJ70" i="1"/>
  <c r="DK70" i="1"/>
  <c r="DL70" i="1"/>
  <c r="CZ71" i="1"/>
  <c r="DA71" i="1"/>
  <c r="DB71" i="1"/>
  <c r="CM71" i="1"/>
  <c r="DF71" i="1"/>
  <c r="CP71" i="1"/>
  <c r="DG71" i="1"/>
  <c r="CL71" i="1"/>
  <c r="DH71" i="1"/>
  <c r="CI71" i="1"/>
  <c r="DN71" i="1"/>
  <c r="DO71" i="1"/>
  <c r="DI71" i="1"/>
  <c r="DJ71" i="1"/>
  <c r="DK71" i="1"/>
  <c r="DL71" i="1"/>
  <c r="CZ72" i="1"/>
  <c r="DA72" i="1"/>
  <c r="DB72" i="1"/>
  <c r="CM72" i="1"/>
  <c r="DF72" i="1"/>
  <c r="CP72" i="1"/>
  <c r="DG72" i="1"/>
  <c r="CL72" i="1"/>
  <c r="DH72" i="1"/>
  <c r="CI72" i="1"/>
  <c r="DN72" i="1"/>
  <c r="DO72" i="1"/>
  <c r="DI72" i="1"/>
  <c r="DJ72" i="1"/>
  <c r="DK72" i="1"/>
  <c r="DL72" i="1"/>
  <c r="CZ73" i="1"/>
  <c r="DA73" i="1"/>
  <c r="DB73" i="1"/>
  <c r="CM73" i="1"/>
  <c r="DF73" i="1"/>
  <c r="CP73" i="1"/>
  <c r="DG73" i="1"/>
  <c r="CL73" i="1"/>
  <c r="DH73" i="1"/>
  <c r="CI73" i="1"/>
  <c r="DN73" i="1"/>
  <c r="DO73" i="1"/>
  <c r="DI73" i="1"/>
  <c r="DJ73" i="1"/>
  <c r="DK73" i="1"/>
  <c r="DL73" i="1"/>
  <c r="CZ74" i="1"/>
  <c r="DA74" i="1"/>
  <c r="DB74" i="1"/>
  <c r="CM74" i="1"/>
  <c r="DF74" i="1"/>
  <c r="CP74" i="1"/>
  <c r="DG74" i="1"/>
  <c r="CL74" i="1"/>
  <c r="DH74" i="1"/>
  <c r="CI74" i="1"/>
  <c r="DN74" i="1"/>
  <c r="DO74" i="1"/>
  <c r="DI74" i="1"/>
  <c r="DJ74" i="1"/>
  <c r="DK74" i="1"/>
  <c r="DL74" i="1"/>
  <c r="CZ75" i="1"/>
  <c r="DA75" i="1"/>
  <c r="DB75" i="1"/>
  <c r="CM75" i="1"/>
  <c r="DF75" i="1"/>
  <c r="CP75" i="1"/>
  <c r="DG75" i="1"/>
  <c r="CL75" i="1"/>
  <c r="DH75" i="1"/>
  <c r="CI75" i="1"/>
  <c r="DN75" i="1"/>
  <c r="DO75" i="1"/>
  <c r="DI75" i="1"/>
  <c r="DJ75" i="1"/>
  <c r="DK75" i="1"/>
  <c r="DL75" i="1"/>
  <c r="CZ76" i="1"/>
  <c r="DA76" i="1"/>
  <c r="DB76" i="1"/>
  <c r="CM76" i="1"/>
  <c r="DF76" i="1"/>
  <c r="CP76" i="1"/>
  <c r="DG76" i="1"/>
  <c r="CL76" i="1"/>
  <c r="DH76" i="1"/>
  <c r="CI76" i="1"/>
  <c r="DN76" i="1"/>
  <c r="DO76" i="1"/>
  <c r="DI76" i="1"/>
  <c r="DJ76" i="1"/>
  <c r="DK76" i="1"/>
  <c r="DL76" i="1"/>
  <c r="CZ77" i="1"/>
  <c r="DA77" i="1"/>
  <c r="DB77" i="1"/>
  <c r="CM77" i="1"/>
  <c r="DF77" i="1"/>
  <c r="CP77" i="1"/>
  <c r="DG77" i="1"/>
  <c r="CL77" i="1"/>
  <c r="DH77" i="1"/>
  <c r="CI77" i="1"/>
  <c r="DN77" i="1"/>
  <c r="DO77" i="1"/>
  <c r="DI77" i="1"/>
  <c r="DJ77" i="1"/>
  <c r="DK77" i="1"/>
  <c r="DL77" i="1"/>
  <c r="CZ78" i="1"/>
  <c r="DA78" i="1"/>
  <c r="DB78" i="1"/>
  <c r="CM78" i="1"/>
  <c r="DF78" i="1"/>
  <c r="CP78" i="1"/>
  <c r="DG78" i="1"/>
  <c r="CL78" i="1"/>
  <c r="DH78" i="1"/>
  <c r="CI78" i="1"/>
  <c r="DN78" i="1"/>
  <c r="DO78" i="1"/>
  <c r="DI78" i="1"/>
  <c r="DJ78" i="1"/>
  <c r="DK78" i="1"/>
  <c r="DL78" i="1"/>
  <c r="CZ79" i="1"/>
  <c r="DA79" i="1"/>
  <c r="DB79" i="1"/>
  <c r="CM79" i="1"/>
  <c r="DF79" i="1"/>
  <c r="CP79" i="1"/>
  <c r="DG79" i="1"/>
  <c r="CL79" i="1"/>
  <c r="DH79" i="1"/>
  <c r="CI79" i="1"/>
  <c r="DN79" i="1"/>
  <c r="DO79" i="1"/>
  <c r="DI79" i="1"/>
  <c r="DJ79" i="1"/>
  <c r="DK79" i="1"/>
  <c r="DL79" i="1"/>
  <c r="CZ80" i="1"/>
  <c r="DA80" i="1"/>
  <c r="DB80" i="1"/>
  <c r="CM80" i="1"/>
  <c r="DF80" i="1"/>
  <c r="CP80" i="1"/>
  <c r="DG80" i="1"/>
  <c r="CL80" i="1"/>
  <c r="DH80" i="1"/>
  <c r="CI80" i="1"/>
  <c r="DN80" i="1"/>
  <c r="DO80" i="1"/>
  <c r="DI80" i="1"/>
  <c r="DJ80" i="1"/>
  <c r="DK80" i="1"/>
  <c r="DL80" i="1"/>
  <c r="CZ81" i="1"/>
  <c r="DA81" i="1"/>
  <c r="DB81" i="1"/>
  <c r="CM81" i="1"/>
  <c r="DF81" i="1"/>
  <c r="CP81" i="1"/>
  <c r="DG81" i="1"/>
  <c r="CL81" i="1"/>
  <c r="DH81" i="1"/>
  <c r="CI81" i="1"/>
  <c r="DN81" i="1"/>
  <c r="DO81" i="1"/>
  <c r="DI81" i="1"/>
  <c r="DJ81" i="1"/>
  <c r="DK81" i="1"/>
  <c r="DL81" i="1"/>
  <c r="CZ82" i="1"/>
  <c r="DA82" i="1"/>
  <c r="DB82" i="1"/>
  <c r="CM82" i="1"/>
  <c r="DF82" i="1"/>
  <c r="CP82" i="1"/>
  <c r="DG82" i="1"/>
  <c r="CL82" i="1"/>
  <c r="DH82" i="1"/>
  <c r="CI82" i="1"/>
  <c r="DN82" i="1"/>
  <c r="DO82" i="1"/>
  <c r="DI82" i="1"/>
  <c r="DJ82" i="1"/>
  <c r="DK82" i="1"/>
  <c r="DL82" i="1"/>
  <c r="CZ83" i="1"/>
  <c r="DA83" i="1"/>
  <c r="DB83" i="1"/>
  <c r="CM83" i="1"/>
  <c r="DF83" i="1"/>
  <c r="CP83" i="1"/>
  <c r="DG83" i="1"/>
  <c r="CL83" i="1"/>
  <c r="DH83" i="1"/>
  <c r="CI83" i="1"/>
  <c r="DN83" i="1"/>
  <c r="DO83" i="1"/>
  <c r="DI83" i="1"/>
  <c r="DJ83" i="1"/>
  <c r="DK83" i="1"/>
  <c r="DL83" i="1"/>
  <c r="CZ84" i="1"/>
  <c r="DA84" i="1"/>
  <c r="DB84" i="1"/>
  <c r="CM84" i="1"/>
  <c r="DF84" i="1"/>
  <c r="CP84" i="1"/>
  <c r="DG84" i="1"/>
  <c r="CL84" i="1"/>
  <c r="DH84" i="1"/>
  <c r="CI84" i="1"/>
  <c r="DN84" i="1"/>
  <c r="DO84" i="1"/>
  <c r="DI84" i="1"/>
  <c r="DJ84" i="1"/>
  <c r="DK84" i="1"/>
  <c r="DL84" i="1"/>
  <c r="CZ85" i="1"/>
  <c r="DA85" i="1"/>
  <c r="DB85" i="1"/>
  <c r="CM85" i="1"/>
  <c r="DF85" i="1"/>
  <c r="CP85" i="1"/>
  <c r="DG85" i="1"/>
  <c r="CL85" i="1"/>
  <c r="DH85" i="1"/>
  <c r="CI85" i="1"/>
  <c r="DN85" i="1"/>
  <c r="DO85" i="1"/>
  <c r="DI85" i="1"/>
  <c r="DJ85" i="1"/>
  <c r="DK85" i="1"/>
  <c r="DL85" i="1"/>
  <c r="CZ86" i="1"/>
  <c r="DA86" i="1"/>
  <c r="DB86" i="1"/>
  <c r="CM86" i="1"/>
  <c r="DF86" i="1"/>
  <c r="CP86" i="1"/>
  <c r="DG86" i="1"/>
  <c r="CL86" i="1"/>
  <c r="DH86" i="1"/>
  <c r="CI86" i="1"/>
  <c r="DN86" i="1"/>
  <c r="DO86" i="1"/>
  <c r="DI86" i="1"/>
  <c r="DJ86" i="1"/>
  <c r="DK86" i="1"/>
  <c r="DL86" i="1"/>
  <c r="CZ87" i="1"/>
  <c r="DA87" i="1"/>
  <c r="DB87" i="1"/>
  <c r="CM87" i="1"/>
  <c r="DF87" i="1"/>
  <c r="CP87" i="1"/>
  <c r="DG87" i="1"/>
  <c r="CL87" i="1"/>
  <c r="DH87" i="1"/>
  <c r="CI87" i="1"/>
  <c r="DN87" i="1"/>
  <c r="DO87" i="1"/>
  <c r="DI87" i="1"/>
  <c r="DJ87" i="1"/>
  <c r="DK87" i="1"/>
  <c r="DL87" i="1"/>
  <c r="CZ88" i="1"/>
  <c r="DA88" i="1"/>
  <c r="DB88" i="1"/>
  <c r="CM88" i="1"/>
  <c r="DF88" i="1"/>
  <c r="CP88" i="1"/>
  <c r="DG88" i="1"/>
  <c r="CL88" i="1"/>
  <c r="DH88" i="1"/>
  <c r="CI88" i="1"/>
  <c r="DN88" i="1"/>
  <c r="DO88" i="1"/>
  <c r="DI88" i="1"/>
  <c r="DJ88" i="1"/>
  <c r="DK88" i="1"/>
  <c r="DL88" i="1"/>
  <c r="CZ89" i="1"/>
  <c r="DA89" i="1"/>
  <c r="DB89" i="1"/>
  <c r="CM89" i="1"/>
  <c r="DF89" i="1"/>
  <c r="CP89" i="1"/>
  <c r="DG89" i="1"/>
  <c r="CL89" i="1"/>
  <c r="DH89" i="1"/>
  <c r="CI89" i="1"/>
  <c r="DN89" i="1"/>
  <c r="DO89" i="1"/>
  <c r="DI89" i="1"/>
  <c r="DJ89" i="1"/>
  <c r="DK89" i="1"/>
  <c r="DL89" i="1"/>
  <c r="CZ90" i="1"/>
  <c r="DA90" i="1"/>
  <c r="DB90" i="1"/>
  <c r="CM90" i="1"/>
  <c r="DF90" i="1"/>
  <c r="CP90" i="1"/>
  <c r="DG90" i="1"/>
  <c r="CL90" i="1"/>
  <c r="DH90" i="1"/>
  <c r="CI90" i="1"/>
  <c r="DN90" i="1"/>
  <c r="DO90" i="1"/>
  <c r="DI90" i="1"/>
  <c r="DJ90" i="1"/>
  <c r="DK90" i="1"/>
  <c r="DL90" i="1"/>
  <c r="CZ91" i="1"/>
  <c r="DA91" i="1"/>
  <c r="DB91" i="1"/>
  <c r="CM91" i="1"/>
  <c r="DF91" i="1"/>
  <c r="CP91" i="1"/>
  <c r="DG91" i="1"/>
  <c r="CL91" i="1"/>
  <c r="DH91" i="1"/>
  <c r="CI91" i="1"/>
  <c r="DN91" i="1"/>
  <c r="DO91" i="1"/>
  <c r="DI91" i="1"/>
  <c r="DJ91" i="1"/>
  <c r="DK91" i="1"/>
  <c r="DL91" i="1"/>
  <c r="CZ92" i="1"/>
  <c r="DA92" i="1"/>
  <c r="DB92" i="1"/>
  <c r="CM92" i="1"/>
  <c r="DF92" i="1"/>
  <c r="CP92" i="1"/>
  <c r="DG92" i="1"/>
  <c r="CL92" i="1"/>
  <c r="DH92" i="1"/>
  <c r="CI92" i="1"/>
  <c r="DN92" i="1"/>
  <c r="DO92" i="1"/>
  <c r="DI92" i="1"/>
  <c r="DJ92" i="1"/>
  <c r="DK92" i="1"/>
  <c r="DL92" i="1"/>
  <c r="CZ93" i="1"/>
  <c r="DA93" i="1"/>
  <c r="DB93" i="1"/>
  <c r="CM93" i="1"/>
  <c r="DF93" i="1"/>
  <c r="CP93" i="1"/>
  <c r="DG93" i="1"/>
  <c r="CL93" i="1"/>
  <c r="DH93" i="1"/>
  <c r="CI93" i="1"/>
  <c r="DN93" i="1"/>
  <c r="DO93" i="1"/>
  <c r="DI93" i="1"/>
  <c r="DJ93" i="1"/>
  <c r="DK93" i="1"/>
  <c r="DL93" i="1"/>
  <c r="CZ94" i="1"/>
  <c r="DA94" i="1"/>
  <c r="DB94" i="1"/>
  <c r="CM94" i="1"/>
  <c r="DF94" i="1"/>
  <c r="CP94" i="1"/>
  <c r="DG94" i="1"/>
  <c r="CL94" i="1"/>
  <c r="DH94" i="1"/>
  <c r="CI94" i="1"/>
  <c r="DN94" i="1"/>
  <c r="DO94" i="1"/>
  <c r="DI94" i="1"/>
  <c r="DJ94" i="1"/>
  <c r="DK94" i="1"/>
  <c r="DL94" i="1"/>
  <c r="CZ95" i="1"/>
  <c r="DA95" i="1"/>
  <c r="DB95" i="1"/>
  <c r="CM95" i="1"/>
  <c r="DF95" i="1"/>
  <c r="CP95" i="1"/>
  <c r="DG95" i="1"/>
  <c r="CL95" i="1"/>
  <c r="DH95" i="1"/>
  <c r="CI95" i="1"/>
  <c r="DN95" i="1"/>
  <c r="DO95" i="1"/>
  <c r="DI95" i="1"/>
  <c r="DJ95" i="1"/>
  <c r="DK95" i="1"/>
  <c r="DL95" i="1"/>
  <c r="CZ96" i="1"/>
  <c r="DA96" i="1"/>
  <c r="DB96" i="1"/>
  <c r="CM96" i="1"/>
  <c r="DF96" i="1"/>
  <c r="CP96" i="1"/>
  <c r="DG96" i="1"/>
  <c r="CL96" i="1"/>
  <c r="DH96" i="1"/>
  <c r="CI96" i="1"/>
  <c r="DN96" i="1"/>
  <c r="DO96" i="1"/>
  <c r="DI96" i="1"/>
  <c r="DJ96" i="1"/>
  <c r="DK96" i="1"/>
  <c r="DL96" i="1"/>
  <c r="CZ97" i="1"/>
  <c r="DA97" i="1"/>
  <c r="DB97" i="1"/>
  <c r="CM97" i="1"/>
  <c r="DF97" i="1"/>
  <c r="CP97" i="1"/>
  <c r="DG97" i="1"/>
  <c r="CL97" i="1"/>
  <c r="DH97" i="1"/>
  <c r="CI97" i="1"/>
  <c r="DN97" i="1"/>
  <c r="DO97" i="1"/>
  <c r="DI97" i="1"/>
  <c r="DJ97" i="1"/>
  <c r="DK97" i="1"/>
  <c r="DL97" i="1"/>
  <c r="CZ98" i="1"/>
  <c r="DA98" i="1"/>
  <c r="DB98" i="1"/>
  <c r="CM98" i="1"/>
  <c r="DF98" i="1"/>
  <c r="CP98" i="1"/>
  <c r="DG98" i="1"/>
  <c r="CL98" i="1"/>
  <c r="DH98" i="1"/>
  <c r="CI98" i="1"/>
  <c r="DN98" i="1"/>
  <c r="DO98" i="1"/>
  <c r="DI98" i="1"/>
  <c r="DJ98" i="1"/>
  <c r="DK98" i="1"/>
  <c r="DL98" i="1"/>
  <c r="CZ99" i="1"/>
  <c r="DA99" i="1"/>
  <c r="DB99" i="1"/>
  <c r="CM99" i="1"/>
  <c r="DF99" i="1"/>
  <c r="CP99" i="1"/>
  <c r="DG99" i="1"/>
  <c r="CL99" i="1"/>
  <c r="DH99" i="1"/>
  <c r="CI99" i="1"/>
  <c r="DN99" i="1"/>
  <c r="DO99" i="1"/>
  <c r="DI99" i="1"/>
  <c r="DJ99" i="1"/>
  <c r="DK99" i="1"/>
  <c r="DL99" i="1"/>
  <c r="CZ100" i="1"/>
  <c r="DA100" i="1"/>
  <c r="DB100" i="1"/>
  <c r="CM100" i="1"/>
  <c r="DF100" i="1"/>
  <c r="CP100" i="1"/>
  <c r="DG100" i="1"/>
  <c r="CL100" i="1"/>
  <c r="DH100" i="1"/>
  <c r="CI100" i="1"/>
  <c r="DN100" i="1"/>
  <c r="DO100" i="1"/>
  <c r="DI100" i="1"/>
  <c r="DJ100" i="1"/>
  <c r="DK100" i="1"/>
  <c r="DL100" i="1"/>
  <c r="CZ101" i="1"/>
  <c r="DA101" i="1"/>
  <c r="DB101" i="1"/>
  <c r="CM101" i="1"/>
  <c r="DF101" i="1"/>
  <c r="CP101" i="1"/>
  <c r="DG101" i="1"/>
  <c r="CL101" i="1"/>
  <c r="DH101" i="1"/>
  <c r="CI101" i="1"/>
  <c r="DN101" i="1"/>
  <c r="DO101" i="1"/>
  <c r="DI101" i="1"/>
  <c r="DJ101" i="1"/>
  <c r="DK101" i="1"/>
  <c r="DL101" i="1"/>
  <c r="CZ102" i="1"/>
  <c r="DA102" i="1"/>
  <c r="DB102" i="1"/>
  <c r="CM102" i="1"/>
  <c r="DF102" i="1"/>
  <c r="CP102" i="1"/>
  <c r="DG102" i="1"/>
  <c r="CL102" i="1"/>
  <c r="DH102" i="1"/>
  <c r="CI102" i="1"/>
  <c r="DN102" i="1"/>
  <c r="DO102" i="1"/>
  <c r="DI102" i="1"/>
  <c r="DJ102" i="1"/>
  <c r="DK102" i="1"/>
  <c r="DL102" i="1"/>
  <c r="CZ103" i="1"/>
  <c r="DA103" i="1"/>
  <c r="DB103" i="1"/>
  <c r="CM103" i="1"/>
  <c r="DF103" i="1"/>
  <c r="CP103" i="1"/>
  <c r="DG103" i="1"/>
  <c r="CL103" i="1"/>
  <c r="DH103" i="1"/>
  <c r="CI103" i="1"/>
  <c r="DN103" i="1"/>
  <c r="DO103" i="1"/>
  <c r="DI103" i="1"/>
  <c r="DJ103" i="1"/>
  <c r="DK103" i="1"/>
  <c r="DL103" i="1"/>
  <c r="CZ104" i="1"/>
  <c r="DA104" i="1"/>
  <c r="DB104" i="1"/>
  <c r="CM104" i="1"/>
  <c r="DF104" i="1"/>
  <c r="CP104" i="1"/>
  <c r="DG104" i="1"/>
  <c r="CL104" i="1"/>
  <c r="DH104" i="1"/>
  <c r="CI104" i="1"/>
  <c r="DN104" i="1"/>
  <c r="DO104" i="1"/>
  <c r="DI104" i="1"/>
  <c r="DJ104" i="1"/>
  <c r="DK104" i="1"/>
  <c r="DL104" i="1"/>
  <c r="CZ105" i="1"/>
  <c r="DA105" i="1"/>
  <c r="DB105" i="1"/>
  <c r="CM105" i="1"/>
  <c r="DF105" i="1"/>
  <c r="CP105" i="1"/>
  <c r="DG105" i="1"/>
  <c r="CL105" i="1"/>
  <c r="DH105" i="1"/>
  <c r="CI105" i="1"/>
  <c r="DN105" i="1"/>
  <c r="DO105" i="1"/>
  <c r="DI105" i="1"/>
  <c r="DJ105" i="1"/>
  <c r="DK105" i="1"/>
  <c r="DL105" i="1"/>
  <c r="CZ106" i="1"/>
  <c r="DA106" i="1"/>
  <c r="DB106" i="1"/>
  <c r="CM106" i="1"/>
  <c r="DF106" i="1"/>
  <c r="CP106" i="1"/>
  <c r="DG106" i="1"/>
  <c r="CL106" i="1"/>
  <c r="DH106" i="1"/>
  <c r="CI106" i="1"/>
  <c r="DN106" i="1"/>
  <c r="DO106" i="1"/>
  <c r="DI106" i="1"/>
  <c r="DJ106" i="1"/>
  <c r="DK106" i="1"/>
  <c r="DL106" i="1"/>
  <c r="CZ107" i="1"/>
  <c r="DA107" i="1"/>
  <c r="DB107" i="1"/>
  <c r="CM107" i="1"/>
  <c r="DF107" i="1"/>
  <c r="CP107" i="1"/>
  <c r="DG107" i="1"/>
  <c r="CL107" i="1"/>
  <c r="DH107" i="1"/>
  <c r="CI107" i="1"/>
  <c r="DN107" i="1"/>
  <c r="DO107" i="1"/>
  <c r="DI107" i="1"/>
  <c r="DJ107" i="1"/>
  <c r="DK107" i="1"/>
  <c r="DL107" i="1"/>
  <c r="CZ108" i="1"/>
  <c r="DA108" i="1"/>
  <c r="DB108" i="1"/>
  <c r="CM108" i="1"/>
  <c r="DF108" i="1"/>
  <c r="CP108" i="1"/>
  <c r="DG108" i="1"/>
  <c r="CL108" i="1"/>
  <c r="DH108" i="1"/>
  <c r="CI108" i="1"/>
  <c r="DN108" i="1"/>
  <c r="DO108" i="1"/>
  <c r="DI108" i="1"/>
  <c r="DJ108" i="1"/>
  <c r="DK108" i="1"/>
  <c r="DL108" i="1"/>
  <c r="CZ109" i="1"/>
  <c r="DA109" i="1"/>
  <c r="DB109" i="1"/>
  <c r="CM109" i="1"/>
  <c r="DF109" i="1"/>
  <c r="CP109" i="1"/>
  <c r="DG109" i="1"/>
  <c r="CL109" i="1"/>
  <c r="DH109" i="1"/>
  <c r="CI109" i="1"/>
  <c r="DN109" i="1"/>
  <c r="DO109" i="1"/>
  <c r="DI109" i="1"/>
  <c r="DJ109" i="1"/>
  <c r="DK109" i="1"/>
  <c r="DL109" i="1"/>
  <c r="CZ110" i="1"/>
  <c r="DA110" i="1"/>
  <c r="DB110" i="1"/>
  <c r="CM110" i="1"/>
  <c r="DF110" i="1"/>
  <c r="CP110" i="1"/>
  <c r="DG110" i="1"/>
  <c r="CL110" i="1"/>
  <c r="DH110" i="1"/>
  <c r="CI110" i="1"/>
  <c r="DN110" i="1"/>
  <c r="DO110" i="1"/>
  <c r="DI110" i="1"/>
  <c r="DJ110" i="1"/>
  <c r="DK110" i="1"/>
  <c r="DL110" i="1"/>
  <c r="CZ111" i="1"/>
  <c r="DA111" i="1"/>
  <c r="DB111" i="1"/>
  <c r="CM111" i="1"/>
  <c r="DF111" i="1"/>
  <c r="CP111" i="1"/>
  <c r="DG111" i="1"/>
  <c r="CL111" i="1"/>
  <c r="DH111" i="1"/>
  <c r="CI111" i="1"/>
  <c r="DN111" i="1"/>
  <c r="DO111" i="1"/>
  <c r="DI111" i="1"/>
  <c r="DJ111" i="1"/>
  <c r="DK111" i="1"/>
  <c r="DL111" i="1"/>
  <c r="CZ112" i="1"/>
  <c r="DA112" i="1"/>
  <c r="DB112" i="1"/>
  <c r="CM112" i="1"/>
  <c r="DF112" i="1"/>
  <c r="CP112" i="1"/>
  <c r="DG112" i="1"/>
  <c r="CL112" i="1"/>
  <c r="DH112" i="1"/>
  <c r="CI112" i="1"/>
  <c r="DN112" i="1"/>
  <c r="DO112" i="1"/>
  <c r="DI112" i="1"/>
  <c r="DJ112" i="1"/>
  <c r="DK112" i="1"/>
  <c r="DL112" i="1"/>
  <c r="CZ113" i="1"/>
  <c r="DA113" i="1"/>
  <c r="DB113" i="1"/>
  <c r="CM113" i="1"/>
  <c r="DF113" i="1"/>
  <c r="CP113" i="1"/>
  <c r="DG113" i="1"/>
  <c r="CL113" i="1"/>
  <c r="DH113" i="1"/>
  <c r="CI113" i="1"/>
  <c r="DN113" i="1"/>
  <c r="DO113" i="1"/>
  <c r="DI113" i="1"/>
  <c r="DJ113" i="1"/>
  <c r="DK113" i="1"/>
  <c r="DL113" i="1"/>
  <c r="CZ114" i="1"/>
  <c r="DA114" i="1"/>
  <c r="DB114" i="1"/>
  <c r="CM114" i="1"/>
  <c r="DF114" i="1"/>
  <c r="CP114" i="1"/>
  <c r="DG114" i="1"/>
  <c r="CL114" i="1"/>
  <c r="DH114" i="1"/>
  <c r="CI114" i="1"/>
  <c r="DN114" i="1"/>
  <c r="DO114" i="1"/>
  <c r="DI114" i="1"/>
  <c r="DJ114" i="1"/>
  <c r="DK114" i="1"/>
  <c r="DL114" i="1"/>
  <c r="CZ115" i="1"/>
  <c r="DA115" i="1"/>
  <c r="DB115" i="1"/>
  <c r="CM115" i="1"/>
  <c r="DF115" i="1"/>
  <c r="CP115" i="1"/>
  <c r="DG115" i="1"/>
  <c r="CL115" i="1"/>
  <c r="DH115" i="1"/>
  <c r="CI115" i="1"/>
  <c r="DN115" i="1"/>
  <c r="DO115" i="1"/>
  <c r="DI115" i="1"/>
  <c r="DJ115" i="1"/>
  <c r="DK115" i="1"/>
  <c r="DL115" i="1"/>
  <c r="CZ116" i="1"/>
  <c r="DA116" i="1"/>
  <c r="DB116" i="1"/>
  <c r="CM116" i="1"/>
  <c r="DF116" i="1"/>
  <c r="CP116" i="1"/>
  <c r="DG116" i="1"/>
  <c r="CL116" i="1"/>
  <c r="DH116" i="1"/>
  <c r="CI116" i="1"/>
  <c r="DN116" i="1"/>
  <c r="DO116" i="1"/>
  <c r="DI116" i="1"/>
  <c r="DJ116" i="1"/>
  <c r="DK116" i="1"/>
  <c r="DL116" i="1"/>
  <c r="CZ117" i="1"/>
  <c r="DA117" i="1"/>
  <c r="DB117" i="1"/>
  <c r="CM117" i="1"/>
  <c r="DF117" i="1"/>
  <c r="CP117" i="1"/>
  <c r="DG117" i="1"/>
  <c r="CL117" i="1"/>
  <c r="DH117" i="1"/>
  <c r="CI117" i="1"/>
  <c r="DN117" i="1"/>
  <c r="DO117" i="1"/>
  <c r="DI117" i="1"/>
  <c r="DJ117" i="1"/>
  <c r="DK117" i="1"/>
  <c r="DL117" i="1"/>
  <c r="CZ118" i="1"/>
  <c r="DA118" i="1"/>
  <c r="DB118" i="1"/>
  <c r="CM118" i="1"/>
  <c r="DF118" i="1"/>
  <c r="CP118" i="1"/>
  <c r="DG118" i="1"/>
  <c r="CL118" i="1"/>
  <c r="DH118" i="1"/>
  <c r="CI118" i="1"/>
  <c r="DN118" i="1"/>
  <c r="DO118" i="1"/>
  <c r="DI118" i="1"/>
  <c r="DJ118" i="1"/>
  <c r="DK118" i="1"/>
  <c r="DL118" i="1"/>
  <c r="CZ119" i="1"/>
  <c r="DA119" i="1"/>
  <c r="DB119" i="1"/>
  <c r="CM119" i="1"/>
  <c r="DF119" i="1"/>
  <c r="CP119" i="1"/>
  <c r="DG119" i="1"/>
  <c r="CL119" i="1"/>
  <c r="DH119" i="1"/>
  <c r="CI119" i="1"/>
  <c r="DN119" i="1"/>
  <c r="DO119" i="1"/>
  <c r="DI119" i="1"/>
  <c r="DJ119" i="1"/>
  <c r="DK119" i="1"/>
  <c r="DL119" i="1"/>
  <c r="CZ120" i="1"/>
  <c r="DA120" i="1"/>
  <c r="DB120" i="1"/>
  <c r="CM120" i="1"/>
  <c r="DF120" i="1"/>
  <c r="CP120" i="1"/>
  <c r="DG120" i="1"/>
  <c r="CL120" i="1"/>
  <c r="DH120" i="1"/>
  <c r="CI120" i="1"/>
  <c r="DN120" i="1"/>
  <c r="DO120" i="1"/>
  <c r="DI120" i="1"/>
  <c r="DJ120" i="1"/>
  <c r="DK120" i="1"/>
  <c r="DL120" i="1"/>
  <c r="CZ121" i="1"/>
  <c r="DA121" i="1"/>
  <c r="DB121" i="1"/>
  <c r="CM121" i="1"/>
  <c r="DF121" i="1"/>
  <c r="CP121" i="1"/>
  <c r="DG121" i="1"/>
  <c r="CL121" i="1"/>
  <c r="DH121" i="1"/>
  <c r="CI121" i="1"/>
  <c r="DN121" i="1"/>
  <c r="DO121" i="1"/>
  <c r="DI121" i="1"/>
  <c r="DJ121" i="1"/>
  <c r="DK121" i="1"/>
  <c r="DL121" i="1"/>
  <c r="CZ122" i="1"/>
  <c r="DA122" i="1"/>
  <c r="DB122" i="1"/>
  <c r="CM122" i="1"/>
  <c r="DF122" i="1"/>
  <c r="CP122" i="1"/>
  <c r="DG122" i="1"/>
  <c r="CL122" i="1"/>
  <c r="DH122" i="1"/>
  <c r="CI122" i="1"/>
  <c r="DN122" i="1"/>
  <c r="DO122" i="1"/>
  <c r="DI122" i="1"/>
  <c r="DJ122" i="1"/>
  <c r="DK122" i="1"/>
  <c r="DL122" i="1"/>
  <c r="CZ123" i="1"/>
  <c r="DA123" i="1"/>
  <c r="DB123" i="1"/>
  <c r="CM123" i="1"/>
  <c r="DF123" i="1"/>
  <c r="CP123" i="1"/>
  <c r="DG123" i="1"/>
  <c r="CL123" i="1"/>
  <c r="DH123" i="1"/>
  <c r="CI123" i="1"/>
  <c r="DN123" i="1"/>
  <c r="DO123" i="1"/>
  <c r="DI123" i="1"/>
  <c r="DJ123" i="1"/>
  <c r="DK123" i="1"/>
  <c r="DL123" i="1"/>
  <c r="CZ124" i="1"/>
  <c r="DA124" i="1"/>
  <c r="DB124" i="1"/>
  <c r="CM124" i="1"/>
  <c r="DF124" i="1"/>
  <c r="CP124" i="1"/>
  <c r="DG124" i="1"/>
  <c r="CL124" i="1"/>
  <c r="DH124" i="1"/>
  <c r="CI124" i="1"/>
  <c r="DN124" i="1"/>
  <c r="DO124" i="1"/>
  <c r="DI124" i="1"/>
  <c r="DJ124" i="1"/>
  <c r="DK124" i="1"/>
  <c r="DL124" i="1"/>
  <c r="CZ125" i="1"/>
  <c r="DA125" i="1"/>
  <c r="DB125" i="1"/>
  <c r="CM125" i="1"/>
  <c r="DF125" i="1"/>
  <c r="CP125" i="1"/>
  <c r="DG125" i="1"/>
  <c r="CL125" i="1"/>
  <c r="DH125" i="1"/>
  <c r="CI125" i="1"/>
  <c r="DN125" i="1"/>
  <c r="DO125" i="1"/>
  <c r="DI125" i="1"/>
  <c r="DJ125" i="1"/>
  <c r="DK125" i="1"/>
  <c r="DL125" i="1"/>
  <c r="CZ126" i="1"/>
  <c r="DA126" i="1"/>
  <c r="DB126" i="1"/>
  <c r="CM126" i="1"/>
  <c r="DF126" i="1"/>
  <c r="CP126" i="1"/>
  <c r="DG126" i="1"/>
  <c r="CL126" i="1"/>
  <c r="DH126" i="1"/>
  <c r="CI126" i="1"/>
  <c r="DN126" i="1"/>
  <c r="DO126" i="1"/>
  <c r="DI126" i="1"/>
  <c r="DJ126" i="1"/>
  <c r="DK126" i="1"/>
  <c r="DL126" i="1"/>
  <c r="CZ127" i="1"/>
  <c r="DA127" i="1"/>
  <c r="DB127" i="1"/>
  <c r="CM127" i="1"/>
  <c r="DF127" i="1"/>
  <c r="CP127" i="1"/>
  <c r="DG127" i="1"/>
  <c r="CL127" i="1"/>
  <c r="DH127" i="1"/>
  <c r="CI127" i="1"/>
  <c r="DN127" i="1"/>
  <c r="DO127" i="1"/>
  <c r="DI127" i="1"/>
  <c r="DJ127" i="1"/>
  <c r="DK127" i="1"/>
  <c r="DL127" i="1"/>
  <c r="CZ128" i="1"/>
  <c r="DA128" i="1"/>
  <c r="DB128" i="1"/>
  <c r="CM128" i="1"/>
  <c r="DF128" i="1"/>
  <c r="CP128" i="1"/>
  <c r="DG128" i="1"/>
  <c r="CL128" i="1"/>
  <c r="DH128" i="1"/>
  <c r="CI128" i="1"/>
  <c r="DN128" i="1"/>
  <c r="DO128" i="1"/>
  <c r="DI128" i="1"/>
  <c r="DJ128" i="1"/>
  <c r="DK128" i="1"/>
  <c r="DL128" i="1"/>
  <c r="CZ129" i="1"/>
  <c r="DA129" i="1"/>
  <c r="DB129" i="1"/>
  <c r="CM129" i="1"/>
  <c r="DF129" i="1"/>
  <c r="CP129" i="1"/>
  <c r="DG129" i="1"/>
  <c r="CL129" i="1"/>
  <c r="DH129" i="1"/>
  <c r="CI129" i="1"/>
  <c r="DN129" i="1"/>
  <c r="DO129" i="1"/>
  <c r="DI129" i="1"/>
  <c r="DJ129" i="1"/>
  <c r="DK129" i="1"/>
  <c r="DL129" i="1"/>
  <c r="CZ130" i="1"/>
  <c r="DA130" i="1"/>
  <c r="DB130" i="1"/>
  <c r="CM130" i="1"/>
  <c r="DF130" i="1"/>
  <c r="CP130" i="1"/>
  <c r="DG130" i="1"/>
  <c r="CL130" i="1"/>
  <c r="DH130" i="1"/>
  <c r="CI130" i="1"/>
  <c r="DN130" i="1"/>
  <c r="DO130" i="1"/>
  <c r="DI130" i="1"/>
  <c r="DJ130" i="1"/>
  <c r="DK130" i="1"/>
  <c r="DL130" i="1"/>
  <c r="CZ131" i="1"/>
  <c r="DA131" i="1"/>
  <c r="DB131" i="1"/>
  <c r="CM131" i="1"/>
  <c r="DF131" i="1"/>
  <c r="CP131" i="1"/>
  <c r="DG131" i="1"/>
  <c r="CL131" i="1"/>
  <c r="DH131" i="1"/>
  <c r="CI131" i="1"/>
  <c r="DN131" i="1"/>
  <c r="DO131" i="1"/>
  <c r="DI131" i="1"/>
  <c r="DJ131" i="1"/>
  <c r="DK131" i="1"/>
  <c r="DL131" i="1"/>
  <c r="CZ132" i="1"/>
  <c r="DA132" i="1"/>
  <c r="DB132" i="1"/>
  <c r="CM132" i="1"/>
  <c r="DF132" i="1"/>
  <c r="CP132" i="1"/>
  <c r="DG132" i="1"/>
  <c r="CL132" i="1"/>
  <c r="DH132" i="1"/>
  <c r="CI132" i="1"/>
  <c r="DN132" i="1"/>
  <c r="DO132" i="1"/>
  <c r="DI132" i="1"/>
  <c r="DJ132" i="1"/>
  <c r="DK132" i="1"/>
  <c r="DL132" i="1"/>
  <c r="CZ133" i="1"/>
  <c r="DA133" i="1"/>
  <c r="DB133" i="1"/>
  <c r="CM133" i="1"/>
  <c r="DF133" i="1"/>
  <c r="CP133" i="1"/>
  <c r="DG133" i="1"/>
  <c r="CL133" i="1"/>
  <c r="DH133" i="1"/>
  <c r="CI133" i="1"/>
  <c r="DN133" i="1"/>
  <c r="DO133" i="1"/>
  <c r="DI133" i="1"/>
  <c r="DJ133" i="1"/>
  <c r="DK133" i="1"/>
  <c r="DL133" i="1"/>
  <c r="CZ134" i="1"/>
  <c r="DA134" i="1"/>
  <c r="DB134" i="1"/>
  <c r="CM134" i="1"/>
  <c r="DF134" i="1"/>
  <c r="CP134" i="1"/>
  <c r="DG134" i="1"/>
  <c r="CL134" i="1"/>
  <c r="DH134" i="1"/>
  <c r="CI134" i="1"/>
  <c r="DN134" i="1"/>
  <c r="DO134" i="1"/>
  <c r="DI134" i="1"/>
  <c r="DJ134" i="1"/>
  <c r="DK134" i="1"/>
  <c r="DL134" i="1"/>
  <c r="CZ135" i="1"/>
  <c r="DA135" i="1"/>
  <c r="DB135" i="1"/>
  <c r="CM135" i="1"/>
  <c r="DF135" i="1"/>
  <c r="CP135" i="1"/>
  <c r="DG135" i="1"/>
  <c r="CL135" i="1"/>
  <c r="DH135" i="1"/>
  <c r="CI135" i="1"/>
  <c r="DN135" i="1"/>
  <c r="DO135" i="1"/>
  <c r="DI135" i="1"/>
  <c r="DJ135" i="1"/>
  <c r="DK135" i="1"/>
  <c r="DL135" i="1"/>
  <c r="CZ136" i="1"/>
  <c r="DA136" i="1"/>
  <c r="DB136" i="1"/>
  <c r="CM136" i="1"/>
  <c r="DF136" i="1"/>
  <c r="CP136" i="1"/>
  <c r="DG136" i="1"/>
  <c r="CL136" i="1"/>
  <c r="DH136" i="1"/>
  <c r="CI136" i="1"/>
  <c r="DN136" i="1"/>
  <c r="DO136" i="1"/>
  <c r="DI136" i="1"/>
  <c r="DJ136" i="1"/>
  <c r="DK136" i="1"/>
  <c r="DL136" i="1"/>
  <c r="CZ137" i="1"/>
  <c r="DA137" i="1"/>
  <c r="DB137" i="1"/>
  <c r="CM137" i="1"/>
  <c r="DF137" i="1"/>
  <c r="CP137" i="1"/>
  <c r="DG137" i="1"/>
  <c r="CL137" i="1"/>
  <c r="DH137" i="1"/>
  <c r="CI137" i="1"/>
  <c r="DN137" i="1"/>
  <c r="DO137" i="1"/>
  <c r="DI137" i="1"/>
  <c r="DJ137" i="1"/>
  <c r="DK137" i="1"/>
  <c r="DL137" i="1"/>
  <c r="CZ138" i="1"/>
  <c r="DA138" i="1"/>
  <c r="DB138" i="1"/>
  <c r="CM138" i="1"/>
  <c r="DF138" i="1"/>
  <c r="CP138" i="1"/>
  <c r="DG138" i="1"/>
  <c r="CL138" i="1"/>
  <c r="DH138" i="1"/>
  <c r="CI138" i="1"/>
  <c r="DN138" i="1"/>
  <c r="DO138" i="1"/>
  <c r="DI138" i="1"/>
  <c r="DJ138" i="1"/>
  <c r="DK138" i="1"/>
  <c r="DL138" i="1"/>
  <c r="CZ139" i="1"/>
  <c r="DA139" i="1"/>
  <c r="DB139" i="1"/>
  <c r="CM139" i="1"/>
  <c r="DF139" i="1"/>
  <c r="CP139" i="1"/>
  <c r="DG139" i="1"/>
  <c r="CL139" i="1"/>
  <c r="DH139" i="1"/>
  <c r="CI139" i="1"/>
  <c r="DN139" i="1"/>
  <c r="DO139" i="1"/>
  <c r="DI139" i="1"/>
  <c r="DJ139" i="1"/>
  <c r="DK139" i="1"/>
  <c r="DL139" i="1"/>
  <c r="CZ140" i="1"/>
  <c r="DA140" i="1"/>
  <c r="DB140" i="1"/>
  <c r="CM140" i="1"/>
  <c r="DF140" i="1"/>
  <c r="CP140" i="1"/>
  <c r="DG140" i="1"/>
  <c r="CL140" i="1"/>
  <c r="DH140" i="1"/>
  <c r="CI140" i="1"/>
  <c r="DN140" i="1"/>
  <c r="DO140" i="1"/>
  <c r="DI140" i="1"/>
  <c r="DJ140" i="1"/>
  <c r="DK140" i="1"/>
  <c r="DL140" i="1"/>
  <c r="CZ141" i="1"/>
  <c r="DA141" i="1"/>
  <c r="DB141" i="1"/>
  <c r="CM141" i="1"/>
  <c r="DF141" i="1"/>
  <c r="CP141" i="1"/>
  <c r="DG141" i="1"/>
  <c r="CL141" i="1"/>
  <c r="DH141" i="1"/>
  <c r="CI141" i="1"/>
  <c r="DN141" i="1"/>
  <c r="DO141" i="1"/>
  <c r="DI141" i="1"/>
  <c r="DJ141" i="1"/>
  <c r="DK141" i="1"/>
  <c r="DL141" i="1"/>
  <c r="CZ142" i="1"/>
  <c r="DA142" i="1"/>
  <c r="DB142" i="1"/>
  <c r="CM142" i="1"/>
  <c r="DF142" i="1"/>
  <c r="CP142" i="1"/>
  <c r="DG142" i="1"/>
  <c r="CL142" i="1"/>
  <c r="DH142" i="1"/>
  <c r="CI142" i="1"/>
  <c r="DN142" i="1"/>
  <c r="DO142" i="1"/>
  <c r="DI142" i="1"/>
  <c r="DJ142" i="1"/>
  <c r="DK142" i="1"/>
  <c r="DL142" i="1"/>
  <c r="CZ143" i="1"/>
  <c r="DA143" i="1"/>
  <c r="DB143" i="1"/>
  <c r="CM143" i="1"/>
  <c r="DF143" i="1"/>
  <c r="CP143" i="1"/>
  <c r="DG143" i="1"/>
  <c r="CL143" i="1"/>
  <c r="DH143" i="1"/>
  <c r="CI143" i="1"/>
  <c r="DN143" i="1"/>
  <c r="DO143" i="1"/>
  <c r="DI143" i="1"/>
  <c r="DJ143" i="1"/>
  <c r="DK143" i="1"/>
  <c r="DL143" i="1"/>
  <c r="CZ144" i="1"/>
  <c r="DA144" i="1"/>
  <c r="DB144" i="1"/>
  <c r="CM144" i="1"/>
  <c r="DF144" i="1"/>
  <c r="CP144" i="1"/>
  <c r="DG144" i="1"/>
  <c r="CL144" i="1"/>
  <c r="DH144" i="1"/>
  <c r="CI144" i="1"/>
  <c r="DN144" i="1"/>
  <c r="DO144" i="1"/>
  <c r="DI144" i="1"/>
  <c r="DJ144" i="1"/>
  <c r="DK144" i="1"/>
  <c r="DL144" i="1"/>
  <c r="CZ145" i="1"/>
  <c r="DA145" i="1"/>
  <c r="DB145" i="1"/>
  <c r="CM145" i="1"/>
  <c r="DF145" i="1"/>
  <c r="CP145" i="1"/>
  <c r="DG145" i="1"/>
  <c r="CL145" i="1"/>
  <c r="DH145" i="1"/>
  <c r="CI145" i="1"/>
  <c r="DN145" i="1"/>
  <c r="DO145" i="1"/>
  <c r="DI145" i="1"/>
  <c r="DJ145" i="1"/>
  <c r="DK145" i="1"/>
  <c r="DL145" i="1"/>
  <c r="CZ146" i="1"/>
  <c r="DA146" i="1"/>
  <c r="DB146" i="1"/>
  <c r="CM146" i="1"/>
  <c r="DF146" i="1"/>
  <c r="CP146" i="1"/>
  <c r="DG146" i="1"/>
  <c r="CL146" i="1"/>
  <c r="DH146" i="1"/>
  <c r="CI146" i="1"/>
  <c r="DN146" i="1"/>
  <c r="DO146" i="1"/>
  <c r="DI146" i="1"/>
  <c r="DJ146" i="1"/>
  <c r="DK146" i="1"/>
  <c r="DL146" i="1"/>
  <c r="CZ147" i="1"/>
  <c r="DA147" i="1"/>
  <c r="DB147" i="1"/>
  <c r="CM147" i="1"/>
  <c r="DF147" i="1"/>
  <c r="CP147" i="1"/>
  <c r="DG147" i="1"/>
  <c r="CL147" i="1"/>
  <c r="DH147" i="1"/>
  <c r="CI147" i="1"/>
  <c r="DN147" i="1"/>
  <c r="DO147" i="1"/>
  <c r="DI147" i="1"/>
  <c r="DJ147" i="1"/>
  <c r="DK147" i="1"/>
  <c r="DL147" i="1"/>
  <c r="CZ148" i="1"/>
  <c r="DA148" i="1"/>
  <c r="DB148" i="1"/>
  <c r="CM148" i="1"/>
  <c r="DF148" i="1"/>
  <c r="CP148" i="1"/>
  <c r="DG148" i="1"/>
  <c r="CL148" i="1"/>
  <c r="DH148" i="1"/>
  <c r="CI148" i="1"/>
  <c r="DN148" i="1"/>
  <c r="DO148" i="1"/>
  <c r="DI148" i="1"/>
  <c r="DJ148" i="1"/>
  <c r="DK148" i="1"/>
  <c r="DL148" i="1"/>
  <c r="CZ149" i="1"/>
  <c r="DA149" i="1"/>
  <c r="DB149" i="1"/>
  <c r="CM149" i="1"/>
  <c r="DF149" i="1"/>
  <c r="CP149" i="1"/>
  <c r="DG149" i="1"/>
  <c r="CL149" i="1"/>
  <c r="DH149" i="1"/>
  <c r="CI149" i="1"/>
  <c r="DN149" i="1"/>
  <c r="DO149" i="1"/>
  <c r="DI149" i="1"/>
  <c r="DJ149" i="1"/>
  <c r="DK149" i="1"/>
  <c r="DL149" i="1"/>
  <c r="CZ150" i="1"/>
  <c r="DA150" i="1"/>
  <c r="DB150" i="1"/>
  <c r="CM150" i="1"/>
  <c r="DF150" i="1"/>
  <c r="CP150" i="1"/>
  <c r="DG150" i="1"/>
  <c r="CL150" i="1"/>
  <c r="DH150" i="1"/>
  <c r="CI150" i="1"/>
  <c r="DN150" i="1"/>
  <c r="DO150" i="1"/>
  <c r="DI150" i="1"/>
  <c r="DJ150" i="1"/>
  <c r="DK150" i="1"/>
  <c r="DL150" i="1"/>
  <c r="CZ151" i="1"/>
  <c r="DA151" i="1"/>
  <c r="DB151" i="1"/>
  <c r="CM151" i="1"/>
  <c r="DF151" i="1"/>
  <c r="CP151" i="1"/>
  <c r="DG151" i="1"/>
  <c r="CL151" i="1"/>
  <c r="DH151" i="1"/>
  <c r="CI151" i="1"/>
  <c r="DN151" i="1"/>
  <c r="DO151" i="1"/>
  <c r="DI151" i="1"/>
  <c r="DJ151" i="1"/>
  <c r="DK151" i="1"/>
  <c r="DL151" i="1"/>
  <c r="CZ152" i="1"/>
  <c r="DA152" i="1"/>
  <c r="DB152" i="1"/>
  <c r="CM152" i="1"/>
  <c r="DF152" i="1"/>
  <c r="CP152" i="1"/>
  <c r="DG152" i="1"/>
  <c r="CL152" i="1"/>
  <c r="DH152" i="1"/>
  <c r="CI152" i="1"/>
  <c r="DN152" i="1"/>
  <c r="DO152" i="1"/>
  <c r="DI152" i="1"/>
  <c r="DJ152" i="1"/>
  <c r="DK152" i="1"/>
  <c r="DL152" i="1"/>
  <c r="CZ153" i="1"/>
  <c r="DA153" i="1"/>
  <c r="DB153" i="1"/>
  <c r="CM153" i="1"/>
  <c r="DF153" i="1"/>
  <c r="CP153" i="1"/>
  <c r="DG153" i="1"/>
  <c r="CL153" i="1"/>
  <c r="DH153" i="1"/>
  <c r="CI153" i="1"/>
  <c r="DN153" i="1"/>
  <c r="DO153" i="1"/>
  <c r="DI153" i="1"/>
  <c r="DJ153" i="1"/>
  <c r="DK153" i="1"/>
  <c r="DL153" i="1"/>
  <c r="CZ154" i="1"/>
  <c r="DA154" i="1"/>
  <c r="DB154" i="1"/>
  <c r="CM154" i="1"/>
  <c r="DF154" i="1"/>
  <c r="CP154" i="1"/>
  <c r="DG154" i="1"/>
  <c r="CL154" i="1"/>
  <c r="DH154" i="1"/>
  <c r="CI154" i="1"/>
  <c r="DN154" i="1"/>
  <c r="DO154" i="1"/>
  <c r="DI154" i="1"/>
  <c r="DJ154" i="1"/>
  <c r="DK154" i="1"/>
  <c r="DL154" i="1"/>
  <c r="CZ155" i="1"/>
  <c r="DA155" i="1"/>
  <c r="DB155" i="1"/>
  <c r="CM155" i="1"/>
  <c r="DF155" i="1"/>
  <c r="CP155" i="1"/>
  <c r="DG155" i="1"/>
  <c r="CL155" i="1"/>
  <c r="DH155" i="1"/>
  <c r="CI155" i="1"/>
  <c r="DN155" i="1"/>
  <c r="DO155" i="1"/>
  <c r="DI155" i="1"/>
  <c r="DJ155" i="1"/>
  <c r="DK155" i="1"/>
  <c r="DL155" i="1"/>
  <c r="CZ156" i="1"/>
  <c r="DA156" i="1"/>
  <c r="DB156" i="1"/>
  <c r="CM156" i="1"/>
  <c r="DF156" i="1"/>
  <c r="CP156" i="1"/>
  <c r="DG156" i="1"/>
  <c r="CL156" i="1"/>
  <c r="DH156" i="1"/>
  <c r="CI156" i="1"/>
  <c r="DN156" i="1"/>
  <c r="DO156" i="1"/>
  <c r="DI156" i="1"/>
  <c r="DJ156" i="1"/>
  <c r="DK156" i="1"/>
  <c r="DL156" i="1"/>
  <c r="CZ157" i="1"/>
  <c r="DA157" i="1"/>
  <c r="DB157" i="1"/>
  <c r="CM157" i="1"/>
  <c r="DF157" i="1"/>
  <c r="CP157" i="1"/>
  <c r="DG157" i="1"/>
  <c r="CL157" i="1"/>
  <c r="DH157" i="1"/>
  <c r="CI157" i="1"/>
  <c r="DN157" i="1"/>
  <c r="DO157" i="1"/>
  <c r="DI157" i="1"/>
  <c r="DJ157" i="1"/>
  <c r="DK157" i="1"/>
  <c r="DL157" i="1"/>
  <c r="CZ158" i="1"/>
  <c r="DA158" i="1"/>
  <c r="DB158" i="1"/>
  <c r="CM158" i="1"/>
  <c r="DF158" i="1"/>
  <c r="CP158" i="1"/>
  <c r="DG158" i="1"/>
  <c r="CL158" i="1"/>
  <c r="DH158" i="1"/>
  <c r="CI158" i="1"/>
  <c r="DN158" i="1"/>
  <c r="DO158" i="1"/>
  <c r="DI158" i="1"/>
  <c r="DJ158" i="1"/>
  <c r="DK158" i="1"/>
  <c r="DL158" i="1"/>
  <c r="CZ159" i="1"/>
  <c r="DA159" i="1"/>
  <c r="DB159" i="1"/>
  <c r="CM159" i="1"/>
  <c r="DF159" i="1"/>
  <c r="CP159" i="1"/>
  <c r="DG159" i="1"/>
  <c r="CL159" i="1"/>
  <c r="DH159" i="1"/>
  <c r="CI159" i="1"/>
  <c r="DN159" i="1"/>
  <c r="DO159" i="1"/>
  <c r="DI159" i="1"/>
  <c r="DJ159" i="1"/>
  <c r="DK159" i="1"/>
  <c r="DL159" i="1"/>
  <c r="CZ160" i="1"/>
  <c r="DA160" i="1"/>
  <c r="DB160" i="1"/>
  <c r="CM160" i="1"/>
  <c r="DF160" i="1"/>
  <c r="CP160" i="1"/>
  <c r="DG160" i="1"/>
  <c r="CL160" i="1"/>
  <c r="DH160" i="1"/>
  <c r="CI160" i="1"/>
  <c r="DN160" i="1"/>
  <c r="DO160" i="1"/>
  <c r="DI160" i="1"/>
  <c r="DJ160" i="1"/>
  <c r="DK160" i="1"/>
  <c r="DL160" i="1"/>
  <c r="CZ161" i="1"/>
  <c r="DA161" i="1"/>
  <c r="DB161" i="1"/>
  <c r="CM161" i="1"/>
  <c r="DF161" i="1"/>
  <c r="CP161" i="1"/>
  <c r="DG161" i="1"/>
  <c r="CL161" i="1"/>
  <c r="DH161" i="1"/>
  <c r="CI161" i="1"/>
  <c r="DN161" i="1"/>
  <c r="DO161" i="1"/>
  <c r="DI161" i="1"/>
  <c r="DJ161" i="1"/>
  <c r="DK161" i="1"/>
  <c r="DL161" i="1"/>
  <c r="CZ162" i="1"/>
  <c r="DA162" i="1"/>
  <c r="DB162" i="1"/>
  <c r="CM162" i="1"/>
  <c r="DF162" i="1"/>
  <c r="CP162" i="1"/>
  <c r="DG162" i="1"/>
  <c r="CL162" i="1"/>
  <c r="DH162" i="1"/>
  <c r="CI162" i="1"/>
  <c r="DN162" i="1"/>
  <c r="DO162" i="1"/>
  <c r="DI162" i="1"/>
  <c r="DJ162" i="1"/>
  <c r="DK162" i="1"/>
  <c r="DL162" i="1"/>
  <c r="CZ163" i="1"/>
  <c r="DA163" i="1"/>
  <c r="DB163" i="1"/>
  <c r="CM163" i="1"/>
  <c r="DF163" i="1"/>
  <c r="CP163" i="1"/>
  <c r="DG163" i="1"/>
  <c r="CL163" i="1"/>
  <c r="DH163" i="1"/>
  <c r="CI163" i="1"/>
  <c r="DN163" i="1"/>
  <c r="DO163" i="1"/>
  <c r="DI163" i="1"/>
  <c r="DJ163" i="1"/>
  <c r="DK163" i="1"/>
  <c r="DL163" i="1"/>
  <c r="CZ164" i="1"/>
  <c r="DA164" i="1"/>
  <c r="DB164" i="1"/>
  <c r="CM164" i="1"/>
  <c r="DF164" i="1"/>
  <c r="CP164" i="1"/>
  <c r="DG164" i="1"/>
  <c r="CL164" i="1"/>
  <c r="DH164" i="1"/>
  <c r="CI164" i="1"/>
  <c r="DN164" i="1"/>
  <c r="DO164" i="1"/>
  <c r="DI164" i="1"/>
  <c r="DJ164" i="1"/>
  <c r="DK164" i="1"/>
  <c r="DL164" i="1"/>
  <c r="CZ165" i="1"/>
  <c r="DA165" i="1"/>
  <c r="DB165" i="1"/>
  <c r="CM165" i="1"/>
  <c r="DF165" i="1"/>
  <c r="CP165" i="1"/>
  <c r="DG165" i="1"/>
  <c r="CL165" i="1"/>
  <c r="DH165" i="1"/>
  <c r="CI165" i="1"/>
  <c r="DN165" i="1"/>
  <c r="DO165" i="1"/>
  <c r="DI165" i="1"/>
  <c r="DJ165" i="1"/>
  <c r="DK165" i="1"/>
  <c r="DL165" i="1"/>
  <c r="CZ166" i="1"/>
  <c r="DA166" i="1"/>
  <c r="DB166" i="1"/>
  <c r="CM166" i="1"/>
  <c r="DF166" i="1"/>
  <c r="CP166" i="1"/>
  <c r="DG166" i="1"/>
  <c r="CL166" i="1"/>
  <c r="DH166" i="1"/>
  <c r="CI166" i="1"/>
  <c r="DN166" i="1"/>
  <c r="DO166" i="1"/>
  <c r="DI166" i="1"/>
  <c r="DJ166" i="1"/>
  <c r="DK166" i="1"/>
  <c r="DL166" i="1"/>
  <c r="CZ167" i="1"/>
  <c r="DA167" i="1"/>
  <c r="DB167" i="1"/>
  <c r="CM167" i="1"/>
  <c r="DF167" i="1"/>
  <c r="CP167" i="1"/>
  <c r="DG167" i="1"/>
  <c r="CL167" i="1"/>
  <c r="DH167" i="1"/>
  <c r="CI167" i="1"/>
  <c r="DN167" i="1"/>
  <c r="DO167" i="1"/>
  <c r="DI167" i="1"/>
  <c r="DJ167" i="1"/>
  <c r="DK167" i="1"/>
  <c r="DL167" i="1"/>
  <c r="CZ168" i="1"/>
  <c r="DA168" i="1"/>
  <c r="DB168" i="1"/>
  <c r="CM168" i="1"/>
  <c r="DF168" i="1"/>
  <c r="CP168" i="1"/>
  <c r="DG168" i="1"/>
  <c r="CL168" i="1"/>
  <c r="DH168" i="1"/>
  <c r="CI168" i="1"/>
  <c r="DN168" i="1"/>
  <c r="DO168" i="1"/>
  <c r="DI168" i="1"/>
  <c r="DJ168" i="1"/>
  <c r="DK168" i="1"/>
  <c r="DL168" i="1"/>
  <c r="CZ169" i="1"/>
  <c r="DA169" i="1"/>
  <c r="DB169" i="1"/>
  <c r="CM169" i="1"/>
  <c r="DF169" i="1"/>
  <c r="CP169" i="1"/>
  <c r="DG169" i="1"/>
  <c r="CL169" i="1"/>
  <c r="DH169" i="1"/>
  <c r="CI169" i="1"/>
  <c r="DN169" i="1"/>
  <c r="DO169" i="1"/>
  <c r="DI169" i="1"/>
  <c r="DJ169" i="1"/>
  <c r="DK169" i="1"/>
  <c r="DL169" i="1"/>
  <c r="CZ170" i="1"/>
  <c r="DA170" i="1"/>
  <c r="DB170" i="1"/>
  <c r="CM170" i="1"/>
  <c r="DF170" i="1"/>
  <c r="CP170" i="1"/>
  <c r="DG170" i="1"/>
  <c r="CL170" i="1"/>
  <c r="DH170" i="1"/>
  <c r="CI170" i="1"/>
  <c r="DN170" i="1"/>
  <c r="DO170" i="1"/>
  <c r="DI170" i="1"/>
  <c r="DJ170" i="1"/>
  <c r="DK170" i="1"/>
  <c r="DL170" i="1"/>
  <c r="CZ171" i="1"/>
  <c r="DA171" i="1"/>
  <c r="DB171" i="1"/>
  <c r="CM171" i="1"/>
  <c r="DF171" i="1"/>
  <c r="CP171" i="1"/>
  <c r="DG171" i="1"/>
  <c r="CL171" i="1"/>
  <c r="DH171" i="1"/>
  <c r="CI171" i="1"/>
  <c r="DN171" i="1"/>
  <c r="DO171" i="1"/>
  <c r="DI171" i="1"/>
  <c r="DJ171" i="1"/>
  <c r="DK171" i="1"/>
  <c r="DL171" i="1"/>
  <c r="CZ172" i="1"/>
  <c r="DA172" i="1"/>
  <c r="DB172" i="1"/>
  <c r="CM172" i="1"/>
  <c r="DF172" i="1"/>
  <c r="CP172" i="1"/>
  <c r="DG172" i="1"/>
  <c r="CL172" i="1"/>
  <c r="DH172" i="1"/>
  <c r="CI172" i="1"/>
  <c r="DN172" i="1"/>
  <c r="DO172" i="1"/>
  <c r="DI172" i="1"/>
  <c r="DJ172" i="1"/>
  <c r="DK172" i="1"/>
  <c r="DL172" i="1"/>
  <c r="CZ173" i="1"/>
  <c r="DA173" i="1"/>
  <c r="DB173" i="1"/>
  <c r="CM173" i="1"/>
  <c r="DF173" i="1"/>
  <c r="CP173" i="1"/>
  <c r="DG173" i="1"/>
  <c r="CL173" i="1"/>
  <c r="DH173" i="1"/>
  <c r="CI173" i="1"/>
  <c r="DN173" i="1"/>
  <c r="DO173" i="1"/>
  <c r="DI173" i="1"/>
  <c r="DJ173" i="1"/>
  <c r="DK173" i="1"/>
  <c r="DL173" i="1"/>
  <c r="CZ174" i="1"/>
  <c r="DA174" i="1"/>
  <c r="DB174" i="1"/>
  <c r="CM174" i="1"/>
  <c r="DF174" i="1"/>
  <c r="CP174" i="1"/>
  <c r="DG174" i="1"/>
  <c r="CL174" i="1"/>
  <c r="DH174" i="1"/>
  <c r="CI174" i="1"/>
  <c r="DN174" i="1"/>
  <c r="DO174" i="1"/>
  <c r="DI174" i="1"/>
  <c r="DJ174" i="1"/>
  <c r="DK174" i="1"/>
  <c r="DL174" i="1"/>
  <c r="CZ175" i="1"/>
  <c r="DA175" i="1"/>
  <c r="DB175" i="1"/>
  <c r="CM175" i="1"/>
  <c r="DF175" i="1"/>
  <c r="CP175" i="1"/>
  <c r="DG175" i="1"/>
  <c r="CL175" i="1"/>
  <c r="DH175" i="1"/>
  <c r="CI175" i="1"/>
  <c r="DN175" i="1"/>
  <c r="DO175" i="1"/>
  <c r="DI175" i="1"/>
  <c r="DJ175" i="1"/>
  <c r="DK175" i="1"/>
  <c r="DL175" i="1"/>
  <c r="CZ176" i="1"/>
  <c r="DA176" i="1"/>
  <c r="DB176" i="1"/>
  <c r="CM176" i="1"/>
  <c r="DF176" i="1"/>
  <c r="CP176" i="1"/>
  <c r="DG176" i="1"/>
  <c r="CL176" i="1"/>
  <c r="DH176" i="1"/>
  <c r="CI176" i="1"/>
  <c r="DN176" i="1"/>
  <c r="DO176" i="1"/>
  <c r="DI176" i="1"/>
  <c r="DJ176" i="1"/>
  <c r="DK176" i="1"/>
  <c r="DL176" i="1"/>
  <c r="CZ177" i="1"/>
  <c r="DA177" i="1"/>
  <c r="DB177" i="1"/>
  <c r="CM177" i="1"/>
  <c r="DF177" i="1"/>
  <c r="CP177" i="1"/>
  <c r="DG177" i="1"/>
  <c r="CL177" i="1"/>
  <c r="DH177" i="1"/>
  <c r="CI177" i="1"/>
  <c r="DN177" i="1"/>
  <c r="DO177" i="1"/>
  <c r="DI177" i="1"/>
  <c r="DJ177" i="1"/>
  <c r="DK177" i="1"/>
  <c r="DL177" i="1"/>
  <c r="CZ178" i="1"/>
  <c r="DA178" i="1"/>
  <c r="DB178" i="1"/>
  <c r="CM178" i="1"/>
  <c r="DF178" i="1"/>
  <c r="CP178" i="1"/>
  <c r="DG178" i="1"/>
  <c r="CL178" i="1"/>
  <c r="DH178" i="1"/>
  <c r="CI178" i="1"/>
  <c r="DN178" i="1"/>
  <c r="DO178" i="1"/>
  <c r="DI178" i="1"/>
  <c r="DJ178" i="1"/>
  <c r="DK178" i="1"/>
  <c r="DL178" i="1"/>
  <c r="CZ179" i="1"/>
  <c r="DA179" i="1"/>
  <c r="DB179" i="1"/>
  <c r="CM179" i="1"/>
  <c r="DF179" i="1"/>
  <c r="CP179" i="1"/>
  <c r="DG179" i="1"/>
  <c r="CL179" i="1"/>
  <c r="DH179" i="1"/>
  <c r="CI179" i="1"/>
  <c r="DN179" i="1"/>
  <c r="DO179" i="1"/>
  <c r="DI179" i="1"/>
  <c r="DJ179" i="1"/>
  <c r="DK179" i="1"/>
  <c r="DL179" i="1"/>
  <c r="CZ180" i="1"/>
  <c r="DA180" i="1"/>
  <c r="DB180" i="1"/>
  <c r="CM180" i="1"/>
  <c r="DF180" i="1"/>
  <c r="CP180" i="1"/>
  <c r="DG180" i="1"/>
  <c r="CL180" i="1"/>
  <c r="DH180" i="1"/>
  <c r="CI180" i="1"/>
  <c r="DN180" i="1"/>
  <c r="DO180" i="1"/>
  <c r="DI180" i="1"/>
  <c r="DJ180" i="1"/>
  <c r="DK180" i="1"/>
  <c r="DL180" i="1"/>
  <c r="CZ181" i="1"/>
  <c r="DA181" i="1"/>
  <c r="DB181" i="1"/>
  <c r="CM181" i="1"/>
  <c r="DF181" i="1"/>
  <c r="CP181" i="1"/>
  <c r="DG181" i="1"/>
  <c r="CL181" i="1"/>
  <c r="DH181" i="1"/>
  <c r="CI181" i="1"/>
  <c r="DN181" i="1"/>
  <c r="DO181" i="1"/>
  <c r="DI181" i="1"/>
  <c r="DJ181" i="1"/>
  <c r="DK181" i="1"/>
  <c r="DL181" i="1"/>
  <c r="CZ182" i="1"/>
  <c r="DA182" i="1"/>
  <c r="DB182" i="1"/>
  <c r="CM182" i="1"/>
  <c r="DF182" i="1"/>
  <c r="CP182" i="1"/>
  <c r="DG182" i="1"/>
  <c r="CL182" i="1"/>
  <c r="DH182" i="1"/>
  <c r="CI182" i="1"/>
  <c r="DN182" i="1"/>
  <c r="DO182" i="1"/>
  <c r="DI182" i="1"/>
  <c r="DJ182" i="1"/>
  <c r="DK182" i="1"/>
  <c r="DL182" i="1"/>
  <c r="CZ183" i="1"/>
  <c r="DA183" i="1"/>
  <c r="DB183" i="1"/>
  <c r="CM183" i="1"/>
  <c r="DF183" i="1"/>
  <c r="CP183" i="1"/>
  <c r="DG183" i="1"/>
  <c r="CL183" i="1"/>
  <c r="DH183" i="1"/>
  <c r="CI183" i="1"/>
  <c r="DN183" i="1"/>
  <c r="DO183" i="1"/>
  <c r="DI183" i="1"/>
  <c r="DJ183" i="1"/>
  <c r="DK183" i="1"/>
  <c r="DL183" i="1"/>
  <c r="CZ184" i="1"/>
  <c r="DA184" i="1"/>
  <c r="DB184" i="1"/>
  <c r="CM184" i="1"/>
  <c r="DF184" i="1"/>
  <c r="CP184" i="1"/>
  <c r="DG184" i="1"/>
  <c r="CL184" i="1"/>
  <c r="DH184" i="1"/>
  <c r="CI184" i="1"/>
  <c r="DN184" i="1"/>
  <c r="DO184" i="1"/>
  <c r="DI184" i="1"/>
  <c r="DJ184" i="1"/>
  <c r="DK184" i="1"/>
  <c r="DL184" i="1"/>
  <c r="CZ185" i="1"/>
  <c r="DA185" i="1"/>
  <c r="DB185" i="1"/>
  <c r="CM185" i="1"/>
  <c r="DF185" i="1"/>
  <c r="CP185" i="1"/>
  <c r="DG185" i="1"/>
  <c r="CL185" i="1"/>
  <c r="DH185" i="1"/>
  <c r="CI185" i="1"/>
  <c r="DN185" i="1"/>
  <c r="DO185" i="1"/>
  <c r="DI185" i="1"/>
  <c r="DJ185" i="1"/>
  <c r="DK185" i="1"/>
  <c r="DL185" i="1"/>
  <c r="CZ186" i="1"/>
  <c r="DA186" i="1"/>
  <c r="DB186" i="1"/>
  <c r="CM186" i="1"/>
  <c r="DF186" i="1"/>
  <c r="CP186" i="1"/>
  <c r="DG186" i="1"/>
  <c r="CL186" i="1"/>
  <c r="DH186" i="1"/>
  <c r="CI186" i="1"/>
  <c r="DN186" i="1"/>
  <c r="DO186" i="1"/>
  <c r="DI186" i="1"/>
  <c r="DJ186" i="1"/>
  <c r="DK186" i="1"/>
  <c r="DL186" i="1"/>
  <c r="CZ187" i="1"/>
  <c r="DA187" i="1"/>
  <c r="DB187" i="1"/>
  <c r="CM187" i="1"/>
  <c r="DF187" i="1"/>
  <c r="CP187" i="1"/>
  <c r="DG187" i="1"/>
  <c r="CL187" i="1"/>
  <c r="DH187" i="1"/>
  <c r="CI187" i="1"/>
  <c r="DN187" i="1"/>
  <c r="DO187" i="1"/>
  <c r="DI187" i="1"/>
  <c r="DJ187" i="1"/>
  <c r="DK187" i="1"/>
  <c r="DL187" i="1"/>
  <c r="CZ188" i="1"/>
  <c r="DA188" i="1"/>
  <c r="DB188" i="1"/>
  <c r="CM188" i="1"/>
  <c r="DF188" i="1"/>
  <c r="CP188" i="1"/>
  <c r="DG188" i="1"/>
  <c r="CL188" i="1"/>
  <c r="DH188" i="1"/>
  <c r="CI188" i="1"/>
  <c r="DN188" i="1"/>
  <c r="DO188" i="1"/>
  <c r="DI188" i="1"/>
  <c r="DJ188" i="1"/>
  <c r="DK188" i="1"/>
  <c r="DL188" i="1"/>
  <c r="CZ189" i="1"/>
  <c r="DA189" i="1"/>
  <c r="DB189" i="1"/>
  <c r="CM189" i="1"/>
  <c r="DF189" i="1"/>
  <c r="CP189" i="1"/>
  <c r="DG189" i="1"/>
  <c r="CL189" i="1"/>
  <c r="DH189" i="1"/>
  <c r="CI189" i="1"/>
  <c r="DN189" i="1"/>
  <c r="DO189" i="1"/>
  <c r="DI189" i="1"/>
  <c r="DJ189" i="1"/>
  <c r="DK189" i="1"/>
  <c r="DL189" i="1"/>
  <c r="CZ190" i="1"/>
  <c r="DA190" i="1"/>
  <c r="DB190" i="1"/>
  <c r="CM190" i="1"/>
  <c r="DF190" i="1"/>
  <c r="CP190" i="1"/>
  <c r="DG190" i="1"/>
  <c r="CL190" i="1"/>
  <c r="DH190" i="1"/>
  <c r="CI190" i="1"/>
  <c r="DN190" i="1"/>
  <c r="DO190" i="1"/>
  <c r="DI190" i="1"/>
  <c r="DJ190" i="1"/>
  <c r="DK190" i="1"/>
  <c r="DL190" i="1"/>
  <c r="CZ191" i="1"/>
  <c r="DA191" i="1"/>
  <c r="DB191" i="1"/>
  <c r="CM191" i="1"/>
  <c r="DF191" i="1"/>
  <c r="CP191" i="1"/>
  <c r="DG191" i="1"/>
  <c r="CL191" i="1"/>
  <c r="DH191" i="1"/>
  <c r="CI191" i="1"/>
  <c r="DN191" i="1"/>
  <c r="DO191" i="1"/>
  <c r="DI191" i="1"/>
  <c r="DJ191" i="1"/>
  <c r="DK191" i="1"/>
  <c r="DL191" i="1"/>
  <c r="CZ192" i="1"/>
  <c r="DA192" i="1"/>
  <c r="DB192" i="1"/>
  <c r="CM192" i="1"/>
  <c r="DF192" i="1"/>
  <c r="CP192" i="1"/>
  <c r="DG192" i="1"/>
  <c r="CL192" i="1"/>
  <c r="DH192" i="1"/>
  <c r="CI192" i="1"/>
  <c r="DN192" i="1"/>
  <c r="DO192" i="1"/>
  <c r="DI192" i="1"/>
  <c r="DJ192" i="1"/>
  <c r="DK192" i="1"/>
  <c r="DL192" i="1"/>
  <c r="CZ193" i="1"/>
  <c r="DA193" i="1"/>
  <c r="DB193" i="1"/>
  <c r="CM193" i="1"/>
  <c r="DF193" i="1"/>
  <c r="CP193" i="1"/>
  <c r="DG193" i="1"/>
  <c r="CL193" i="1"/>
  <c r="DH193" i="1"/>
  <c r="CI193" i="1"/>
  <c r="DN193" i="1"/>
  <c r="DO193" i="1"/>
  <c r="DI193" i="1"/>
  <c r="DJ193" i="1"/>
  <c r="DK193" i="1"/>
  <c r="DL193" i="1"/>
  <c r="CZ194" i="1"/>
  <c r="DA194" i="1"/>
  <c r="DB194" i="1"/>
  <c r="CM194" i="1"/>
  <c r="DF194" i="1"/>
  <c r="CP194" i="1"/>
  <c r="DG194" i="1"/>
  <c r="CL194" i="1"/>
  <c r="DH194" i="1"/>
  <c r="CI194" i="1"/>
  <c r="DN194" i="1"/>
  <c r="DO194" i="1"/>
  <c r="DI194" i="1"/>
  <c r="DJ194" i="1"/>
  <c r="DK194" i="1"/>
  <c r="DL194" i="1"/>
  <c r="CZ195" i="1"/>
  <c r="DA195" i="1"/>
  <c r="DB195" i="1"/>
  <c r="CM195" i="1"/>
  <c r="DF195" i="1"/>
  <c r="CP195" i="1"/>
  <c r="DG195" i="1"/>
  <c r="CL195" i="1"/>
  <c r="DH195" i="1"/>
  <c r="CI195" i="1"/>
  <c r="DN195" i="1"/>
  <c r="DO195" i="1"/>
  <c r="DI195" i="1"/>
  <c r="DJ195" i="1"/>
  <c r="DK195" i="1"/>
  <c r="DL195" i="1"/>
  <c r="CZ196" i="1"/>
  <c r="DA196" i="1"/>
  <c r="DB196" i="1"/>
  <c r="CM196" i="1"/>
  <c r="DF196" i="1"/>
  <c r="CP196" i="1"/>
  <c r="DG196" i="1"/>
  <c r="CL196" i="1"/>
  <c r="DH196" i="1"/>
  <c r="CI196" i="1"/>
  <c r="DN196" i="1"/>
  <c r="DO196" i="1"/>
  <c r="DI196" i="1"/>
  <c r="DJ196" i="1"/>
  <c r="DK196" i="1"/>
  <c r="DL196" i="1"/>
  <c r="CZ197" i="1"/>
  <c r="DA197" i="1"/>
  <c r="DB197" i="1"/>
  <c r="CM197" i="1"/>
  <c r="DF197" i="1"/>
  <c r="CP197" i="1"/>
  <c r="DG197" i="1"/>
  <c r="CL197" i="1"/>
  <c r="DH197" i="1"/>
  <c r="CI197" i="1"/>
  <c r="DN197" i="1"/>
  <c r="DO197" i="1"/>
  <c r="DI197" i="1"/>
  <c r="DJ197" i="1"/>
  <c r="DK197" i="1"/>
  <c r="DL197" i="1"/>
  <c r="CZ198" i="1"/>
  <c r="DA198" i="1"/>
  <c r="DB198" i="1"/>
  <c r="CM198" i="1"/>
  <c r="DF198" i="1"/>
  <c r="CP198" i="1"/>
  <c r="DG198" i="1"/>
  <c r="CL198" i="1"/>
  <c r="DH198" i="1"/>
  <c r="CI198" i="1"/>
  <c r="DN198" i="1"/>
  <c r="DO198" i="1"/>
  <c r="DI198" i="1"/>
  <c r="DJ198" i="1"/>
  <c r="DK198" i="1"/>
  <c r="DL198" i="1"/>
  <c r="CZ199" i="1"/>
  <c r="DA199" i="1"/>
  <c r="DB199" i="1"/>
  <c r="CM199" i="1"/>
  <c r="DF199" i="1"/>
  <c r="CP199" i="1"/>
  <c r="DG199" i="1"/>
  <c r="CL199" i="1"/>
  <c r="DH199" i="1"/>
  <c r="CI199" i="1"/>
  <c r="DN199" i="1"/>
  <c r="DO199" i="1"/>
  <c r="DI199" i="1"/>
  <c r="DJ199" i="1"/>
  <c r="DK199" i="1"/>
  <c r="DL199" i="1"/>
  <c r="CZ200" i="1"/>
  <c r="DA200" i="1"/>
  <c r="DB200" i="1"/>
  <c r="CM200" i="1"/>
  <c r="DF200" i="1"/>
  <c r="CP200" i="1"/>
  <c r="DG200" i="1"/>
  <c r="CL200" i="1"/>
  <c r="DH200" i="1"/>
  <c r="CI200" i="1"/>
  <c r="DN200" i="1"/>
  <c r="DO200" i="1"/>
  <c r="DI200" i="1"/>
  <c r="DJ200" i="1"/>
  <c r="DK200" i="1"/>
  <c r="DL200" i="1"/>
  <c r="CZ201" i="1"/>
  <c r="DA201" i="1"/>
  <c r="DB201" i="1"/>
  <c r="CM201" i="1"/>
  <c r="DF201" i="1"/>
  <c r="CP201" i="1"/>
  <c r="DG201" i="1"/>
  <c r="CL201" i="1"/>
  <c r="DH201" i="1"/>
  <c r="CI201" i="1"/>
  <c r="DN201" i="1"/>
  <c r="DO201" i="1"/>
  <c r="DI201" i="1"/>
  <c r="DJ201" i="1"/>
  <c r="DK201" i="1"/>
  <c r="DL201" i="1"/>
  <c r="CZ202" i="1"/>
  <c r="DA202" i="1"/>
  <c r="DB202" i="1"/>
  <c r="CM202" i="1"/>
  <c r="DF202" i="1"/>
  <c r="CP202" i="1"/>
  <c r="DG202" i="1"/>
  <c r="CL202" i="1"/>
  <c r="DH202" i="1"/>
  <c r="CI202" i="1"/>
  <c r="DN202" i="1"/>
  <c r="DO202" i="1"/>
  <c r="DI202" i="1"/>
  <c r="DJ202" i="1"/>
  <c r="DK202" i="1"/>
  <c r="DL202" i="1"/>
  <c r="CZ203" i="1"/>
  <c r="DA203" i="1"/>
  <c r="DB203" i="1"/>
  <c r="CM203" i="1"/>
  <c r="DF203" i="1"/>
  <c r="CP203" i="1"/>
  <c r="DG203" i="1"/>
  <c r="CL203" i="1"/>
  <c r="DH203" i="1"/>
  <c r="CI203" i="1"/>
  <c r="DN203" i="1"/>
  <c r="DO203" i="1"/>
  <c r="DI203" i="1"/>
  <c r="DJ203" i="1"/>
  <c r="DK203" i="1"/>
  <c r="DL203" i="1"/>
  <c r="CZ204" i="1"/>
  <c r="DA204" i="1"/>
  <c r="DB204" i="1"/>
  <c r="CM204" i="1"/>
  <c r="DF204" i="1"/>
  <c r="CP204" i="1"/>
  <c r="DG204" i="1"/>
  <c r="CL204" i="1"/>
  <c r="DH204" i="1"/>
  <c r="CI204" i="1"/>
  <c r="DN204" i="1"/>
  <c r="DO204" i="1"/>
  <c r="DI204" i="1"/>
  <c r="DJ204" i="1"/>
  <c r="DK204" i="1"/>
  <c r="DL204" i="1"/>
  <c r="CZ205" i="1"/>
  <c r="DA205" i="1"/>
  <c r="DB205" i="1"/>
  <c r="CM205" i="1"/>
  <c r="DF205" i="1"/>
  <c r="CP205" i="1"/>
  <c r="DG205" i="1"/>
  <c r="CL205" i="1"/>
  <c r="DH205" i="1"/>
  <c r="CI205" i="1"/>
  <c r="DN205" i="1"/>
  <c r="DO205" i="1"/>
  <c r="DI205" i="1"/>
  <c r="DJ205" i="1"/>
  <c r="DK205" i="1"/>
  <c r="DL205" i="1"/>
  <c r="CZ206" i="1"/>
  <c r="DA206" i="1"/>
  <c r="DB206" i="1"/>
  <c r="CM206" i="1"/>
  <c r="DF206" i="1"/>
  <c r="CP206" i="1"/>
  <c r="DG206" i="1"/>
  <c r="CL206" i="1"/>
  <c r="DH206" i="1"/>
  <c r="CI206" i="1"/>
  <c r="DN206" i="1"/>
  <c r="DO206" i="1"/>
  <c r="DI206" i="1"/>
  <c r="DJ206" i="1"/>
  <c r="DK206" i="1"/>
  <c r="DL206" i="1"/>
  <c r="CZ207" i="1"/>
  <c r="DA207" i="1"/>
  <c r="DB207" i="1"/>
  <c r="CM207" i="1"/>
  <c r="DF207" i="1"/>
  <c r="CP207" i="1"/>
  <c r="DG207" i="1"/>
  <c r="CL207" i="1"/>
  <c r="DH207" i="1"/>
  <c r="CI207" i="1"/>
  <c r="DN207" i="1"/>
  <c r="DO207" i="1"/>
  <c r="DI207" i="1"/>
  <c r="DJ207" i="1"/>
  <c r="DK207" i="1"/>
  <c r="DL207" i="1"/>
  <c r="CZ208" i="1"/>
  <c r="DA208" i="1"/>
  <c r="DB208" i="1"/>
  <c r="CM208" i="1"/>
  <c r="DF208" i="1"/>
  <c r="CP208" i="1"/>
  <c r="DG208" i="1"/>
  <c r="CL208" i="1"/>
  <c r="DH208" i="1"/>
  <c r="CI208" i="1"/>
  <c r="DN208" i="1"/>
  <c r="DO208" i="1"/>
  <c r="DI208" i="1"/>
  <c r="DJ208" i="1"/>
  <c r="DK208" i="1"/>
  <c r="DL208" i="1"/>
  <c r="CZ209" i="1"/>
  <c r="DA209" i="1"/>
  <c r="DB209" i="1"/>
  <c r="CM209" i="1"/>
  <c r="DF209" i="1"/>
  <c r="CP209" i="1"/>
  <c r="DG209" i="1"/>
  <c r="CL209" i="1"/>
  <c r="DH209" i="1"/>
  <c r="CI209" i="1"/>
  <c r="DN209" i="1"/>
  <c r="DO209" i="1"/>
  <c r="DI209" i="1"/>
  <c r="DJ209" i="1"/>
  <c r="DK209" i="1"/>
  <c r="DL209" i="1"/>
  <c r="CZ210" i="1"/>
  <c r="DA210" i="1"/>
  <c r="DB210" i="1"/>
  <c r="CM210" i="1"/>
  <c r="DF210" i="1"/>
  <c r="CP210" i="1"/>
  <c r="DG210" i="1"/>
  <c r="CL210" i="1"/>
  <c r="DH210" i="1"/>
  <c r="CI210" i="1"/>
  <c r="DN210" i="1"/>
  <c r="DO210" i="1"/>
  <c r="DI210" i="1"/>
  <c r="DJ210" i="1"/>
  <c r="DK210" i="1"/>
  <c r="DL210" i="1"/>
  <c r="CZ211" i="1"/>
  <c r="DA211" i="1"/>
  <c r="DB211" i="1"/>
  <c r="CM211" i="1"/>
  <c r="DF211" i="1"/>
  <c r="CP211" i="1"/>
  <c r="DG211" i="1"/>
  <c r="CL211" i="1"/>
  <c r="DH211" i="1"/>
  <c r="CI211" i="1"/>
  <c r="DN211" i="1"/>
  <c r="DO211" i="1"/>
  <c r="DI211" i="1"/>
  <c r="DJ211" i="1"/>
  <c r="DK211" i="1"/>
  <c r="DL211" i="1"/>
  <c r="CZ212" i="1"/>
  <c r="DA212" i="1"/>
  <c r="DB212" i="1"/>
  <c r="CM212" i="1"/>
  <c r="DF212" i="1"/>
  <c r="CP212" i="1"/>
  <c r="DG212" i="1"/>
  <c r="CL212" i="1"/>
  <c r="DH212" i="1"/>
  <c r="CI212" i="1"/>
  <c r="DN212" i="1"/>
  <c r="DO212" i="1"/>
  <c r="DI212" i="1"/>
  <c r="DJ212" i="1"/>
  <c r="DK212" i="1"/>
  <c r="DL212" i="1"/>
  <c r="CZ213" i="1"/>
  <c r="DA213" i="1"/>
  <c r="DB213" i="1"/>
  <c r="CM213" i="1"/>
  <c r="DF213" i="1"/>
  <c r="CP213" i="1"/>
  <c r="DG213" i="1"/>
  <c r="CL213" i="1"/>
  <c r="DH213" i="1"/>
  <c r="CI213" i="1"/>
  <c r="DN213" i="1"/>
  <c r="DO213" i="1"/>
  <c r="DI213" i="1"/>
  <c r="DJ213" i="1"/>
  <c r="DK213" i="1"/>
  <c r="DL213" i="1"/>
  <c r="CZ214" i="1"/>
  <c r="DA214" i="1"/>
  <c r="DB214" i="1"/>
  <c r="CM214" i="1"/>
  <c r="DF214" i="1"/>
  <c r="CP214" i="1"/>
  <c r="DG214" i="1"/>
  <c r="CL214" i="1"/>
  <c r="DH214" i="1"/>
  <c r="CI214" i="1"/>
  <c r="DN214" i="1"/>
  <c r="DO214" i="1"/>
  <c r="DI214" i="1"/>
  <c r="DJ214" i="1"/>
  <c r="DK214" i="1"/>
  <c r="DL214" i="1"/>
  <c r="CZ215" i="1"/>
  <c r="DA215" i="1"/>
  <c r="DB215" i="1"/>
  <c r="CM215" i="1"/>
  <c r="DF215" i="1"/>
  <c r="CP215" i="1"/>
  <c r="DG215" i="1"/>
  <c r="CL215" i="1"/>
  <c r="DH215" i="1"/>
  <c r="CI215" i="1"/>
  <c r="DN215" i="1"/>
  <c r="DO215" i="1"/>
  <c r="DI215" i="1"/>
  <c r="DJ215" i="1"/>
  <c r="DK215" i="1"/>
  <c r="DL215" i="1"/>
  <c r="CZ216" i="1"/>
  <c r="DA216" i="1"/>
  <c r="DB216" i="1"/>
  <c r="CM216" i="1"/>
  <c r="DF216" i="1"/>
  <c r="CP216" i="1"/>
  <c r="DG216" i="1"/>
  <c r="CL216" i="1"/>
  <c r="DH216" i="1"/>
  <c r="CI216" i="1"/>
  <c r="DN216" i="1"/>
  <c r="DO216" i="1"/>
  <c r="DI216" i="1"/>
  <c r="DJ216" i="1"/>
  <c r="DK216" i="1"/>
  <c r="DL216" i="1"/>
  <c r="CZ217" i="1"/>
  <c r="DA217" i="1"/>
  <c r="DB217" i="1"/>
  <c r="CM217" i="1"/>
  <c r="DF217" i="1"/>
  <c r="CP217" i="1"/>
  <c r="DG217" i="1"/>
  <c r="CL217" i="1"/>
  <c r="DH217" i="1"/>
  <c r="CI217" i="1"/>
  <c r="DN217" i="1"/>
  <c r="DO217" i="1"/>
  <c r="DI217" i="1"/>
  <c r="DJ217" i="1"/>
  <c r="DK217" i="1"/>
  <c r="DL217" i="1"/>
  <c r="CZ218" i="1"/>
  <c r="DA218" i="1"/>
  <c r="DB218" i="1"/>
  <c r="CM218" i="1"/>
  <c r="DF218" i="1"/>
  <c r="CP218" i="1"/>
  <c r="DG218" i="1"/>
  <c r="CL218" i="1"/>
  <c r="DH218" i="1"/>
  <c r="CI218" i="1"/>
  <c r="DN218" i="1"/>
  <c r="DO218" i="1"/>
  <c r="DI218" i="1"/>
  <c r="DJ218" i="1"/>
  <c r="DK218" i="1"/>
  <c r="DL218" i="1"/>
  <c r="CZ219" i="1"/>
  <c r="DA219" i="1"/>
  <c r="DB219" i="1"/>
  <c r="CM219" i="1"/>
  <c r="DF219" i="1"/>
  <c r="CP219" i="1"/>
  <c r="DG219" i="1"/>
  <c r="CL219" i="1"/>
  <c r="DH219" i="1"/>
  <c r="CI219" i="1"/>
  <c r="DN219" i="1"/>
  <c r="DO219" i="1"/>
  <c r="DI219" i="1"/>
  <c r="DJ219" i="1"/>
  <c r="DK219" i="1"/>
  <c r="DL219" i="1"/>
  <c r="CZ220" i="1"/>
  <c r="DA220" i="1"/>
  <c r="DB220" i="1"/>
  <c r="CM220" i="1"/>
  <c r="DF220" i="1"/>
  <c r="CP220" i="1"/>
  <c r="DG220" i="1"/>
  <c r="CL220" i="1"/>
  <c r="DH220" i="1"/>
  <c r="CI220" i="1"/>
  <c r="DN220" i="1"/>
  <c r="DO220" i="1"/>
  <c r="DI220" i="1"/>
  <c r="DJ220" i="1"/>
  <c r="DK220" i="1"/>
  <c r="DL220" i="1"/>
  <c r="CZ221" i="1"/>
  <c r="DA221" i="1"/>
  <c r="DB221" i="1"/>
  <c r="CM221" i="1"/>
  <c r="DF221" i="1"/>
  <c r="CP221" i="1"/>
  <c r="DG221" i="1"/>
  <c r="CL221" i="1"/>
  <c r="DH221" i="1"/>
  <c r="CI221" i="1"/>
  <c r="DN221" i="1"/>
  <c r="DO221" i="1"/>
  <c r="DI221" i="1"/>
  <c r="DJ221" i="1"/>
  <c r="DK221" i="1"/>
  <c r="DL221" i="1"/>
  <c r="CZ222" i="1"/>
  <c r="DA222" i="1"/>
  <c r="DB222" i="1"/>
  <c r="CM222" i="1"/>
  <c r="DF222" i="1"/>
  <c r="CP222" i="1"/>
  <c r="DG222" i="1"/>
  <c r="CL222" i="1"/>
  <c r="DH222" i="1"/>
  <c r="CI222" i="1"/>
  <c r="DN222" i="1"/>
  <c r="DO222" i="1"/>
  <c r="DI222" i="1"/>
  <c r="DJ222" i="1"/>
  <c r="DK222" i="1"/>
  <c r="DL222" i="1"/>
  <c r="CZ223" i="1"/>
  <c r="DA223" i="1"/>
  <c r="DB223" i="1"/>
  <c r="CM223" i="1"/>
  <c r="DF223" i="1"/>
  <c r="CP223" i="1"/>
  <c r="DG223" i="1"/>
  <c r="CL223" i="1"/>
  <c r="DH223" i="1"/>
  <c r="CI223" i="1"/>
  <c r="DN223" i="1"/>
  <c r="DO223" i="1"/>
  <c r="DI223" i="1"/>
  <c r="DJ223" i="1"/>
  <c r="DK223" i="1"/>
  <c r="DL223" i="1"/>
  <c r="CZ224" i="1"/>
  <c r="DA224" i="1"/>
  <c r="DB224" i="1"/>
  <c r="CM224" i="1"/>
  <c r="DF224" i="1"/>
  <c r="CP224" i="1"/>
  <c r="DG224" i="1"/>
  <c r="CL224" i="1"/>
  <c r="DH224" i="1"/>
  <c r="CI224" i="1"/>
  <c r="DN224" i="1"/>
  <c r="DO224" i="1"/>
  <c r="DI224" i="1"/>
  <c r="DJ224" i="1"/>
  <c r="DK224" i="1"/>
  <c r="DL224" i="1"/>
  <c r="CZ225" i="1"/>
  <c r="DA225" i="1"/>
  <c r="DB225" i="1"/>
  <c r="CM225" i="1"/>
  <c r="DF225" i="1"/>
  <c r="CP225" i="1"/>
  <c r="DG225" i="1"/>
  <c r="CL225" i="1"/>
  <c r="DH225" i="1"/>
  <c r="CI225" i="1"/>
  <c r="DN225" i="1"/>
  <c r="DO225" i="1"/>
  <c r="DI225" i="1"/>
  <c r="DJ225" i="1"/>
  <c r="DK225" i="1"/>
  <c r="DL225" i="1"/>
  <c r="CZ226" i="1"/>
  <c r="DA226" i="1"/>
  <c r="DB226" i="1"/>
  <c r="CM226" i="1"/>
  <c r="DF226" i="1"/>
  <c r="CP226" i="1"/>
  <c r="DG226" i="1"/>
  <c r="CL226" i="1"/>
  <c r="DH226" i="1"/>
  <c r="CI226" i="1"/>
  <c r="DN226" i="1"/>
  <c r="DO226" i="1"/>
  <c r="DI226" i="1"/>
  <c r="DJ226" i="1"/>
  <c r="DK226" i="1"/>
  <c r="DL226" i="1"/>
  <c r="CZ227" i="1"/>
  <c r="DA227" i="1"/>
  <c r="DB227" i="1"/>
  <c r="CM227" i="1"/>
  <c r="DF227" i="1"/>
  <c r="CP227" i="1"/>
  <c r="DG227" i="1"/>
  <c r="CL227" i="1"/>
  <c r="DH227" i="1"/>
  <c r="CI227" i="1"/>
  <c r="DN227" i="1"/>
  <c r="DO227" i="1"/>
  <c r="DI227" i="1"/>
  <c r="DJ227" i="1"/>
  <c r="DK227" i="1"/>
  <c r="DL227" i="1"/>
  <c r="CZ228" i="1"/>
  <c r="DA228" i="1"/>
  <c r="DB228" i="1"/>
  <c r="CM228" i="1"/>
  <c r="DF228" i="1"/>
  <c r="CP228" i="1"/>
  <c r="DG228" i="1"/>
  <c r="CL228" i="1"/>
  <c r="DH228" i="1"/>
  <c r="CI228" i="1"/>
  <c r="DN228" i="1"/>
  <c r="DO228" i="1"/>
  <c r="DI228" i="1"/>
  <c r="DJ228" i="1"/>
  <c r="DK228" i="1"/>
  <c r="DL228" i="1"/>
  <c r="CZ229" i="1"/>
  <c r="DA229" i="1"/>
  <c r="DB229" i="1"/>
  <c r="CM229" i="1"/>
  <c r="DF229" i="1"/>
  <c r="CP229" i="1"/>
  <c r="DG229" i="1"/>
  <c r="CL229" i="1"/>
  <c r="DH229" i="1"/>
  <c r="CI229" i="1"/>
  <c r="DN229" i="1"/>
  <c r="DO229" i="1"/>
  <c r="DI229" i="1"/>
  <c r="DJ229" i="1"/>
  <c r="DK229" i="1"/>
  <c r="DL229" i="1"/>
  <c r="CZ230" i="1"/>
  <c r="DA230" i="1"/>
  <c r="DB230" i="1"/>
  <c r="CM230" i="1"/>
  <c r="DF230" i="1"/>
  <c r="CP230" i="1"/>
  <c r="DG230" i="1"/>
  <c r="CL230" i="1"/>
  <c r="DH230" i="1"/>
  <c r="CI230" i="1"/>
  <c r="DN230" i="1"/>
  <c r="DO230" i="1"/>
  <c r="DI230" i="1"/>
  <c r="DJ230" i="1"/>
  <c r="DK230" i="1"/>
  <c r="DL230" i="1"/>
  <c r="CZ231" i="1"/>
  <c r="DA231" i="1"/>
  <c r="DB231" i="1"/>
  <c r="CM231" i="1"/>
  <c r="DF231" i="1"/>
  <c r="CP231" i="1"/>
  <c r="DG231" i="1"/>
  <c r="CL231" i="1"/>
  <c r="DH231" i="1"/>
  <c r="CI231" i="1"/>
  <c r="DN231" i="1"/>
  <c r="DO231" i="1"/>
  <c r="DI231" i="1"/>
  <c r="DJ231" i="1"/>
  <c r="DK231" i="1"/>
  <c r="DL231" i="1"/>
  <c r="CZ232" i="1"/>
  <c r="DA232" i="1"/>
  <c r="DB232" i="1"/>
  <c r="CM232" i="1"/>
  <c r="DF232" i="1"/>
  <c r="CP232" i="1"/>
  <c r="DG232" i="1"/>
  <c r="CL232" i="1"/>
  <c r="DH232" i="1"/>
  <c r="CI232" i="1"/>
  <c r="DN232" i="1"/>
  <c r="DO232" i="1"/>
  <c r="DI232" i="1"/>
  <c r="DJ232" i="1"/>
  <c r="DK232" i="1"/>
  <c r="DL232" i="1"/>
  <c r="CZ233" i="1"/>
  <c r="DA233" i="1"/>
  <c r="DB233" i="1"/>
  <c r="CM233" i="1"/>
  <c r="DF233" i="1"/>
  <c r="CP233" i="1"/>
  <c r="DG233" i="1"/>
  <c r="CL233" i="1"/>
  <c r="DH233" i="1"/>
  <c r="CI233" i="1"/>
  <c r="DN233" i="1"/>
  <c r="DO233" i="1"/>
  <c r="DI233" i="1"/>
  <c r="DJ233" i="1"/>
  <c r="DK233" i="1"/>
  <c r="DL233" i="1"/>
  <c r="CZ234" i="1"/>
  <c r="DA234" i="1"/>
  <c r="DB234" i="1"/>
  <c r="CM234" i="1"/>
  <c r="DF234" i="1"/>
  <c r="CP234" i="1"/>
  <c r="DG234" i="1"/>
  <c r="CL234" i="1"/>
  <c r="DH234" i="1"/>
  <c r="CI234" i="1"/>
  <c r="DN234" i="1"/>
  <c r="DO234" i="1"/>
  <c r="DI234" i="1"/>
  <c r="DJ234" i="1"/>
  <c r="DK234" i="1"/>
  <c r="DL234" i="1"/>
  <c r="CZ235" i="1"/>
  <c r="DA235" i="1"/>
  <c r="DB235" i="1"/>
  <c r="CM235" i="1"/>
  <c r="DF235" i="1"/>
  <c r="CP235" i="1"/>
  <c r="DG235" i="1"/>
  <c r="CL235" i="1"/>
  <c r="DH235" i="1"/>
  <c r="CI235" i="1"/>
  <c r="DN235" i="1"/>
  <c r="DO235" i="1"/>
  <c r="DI235" i="1"/>
  <c r="DJ235" i="1"/>
  <c r="DK235" i="1"/>
  <c r="DL235" i="1"/>
  <c r="CZ236" i="1"/>
  <c r="DA236" i="1"/>
  <c r="DB236" i="1"/>
  <c r="CM236" i="1"/>
  <c r="DF236" i="1"/>
  <c r="CP236" i="1"/>
  <c r="DG236" i="1"/>
  <c r="CL236" i="1"/>
  <c r="DH236" i="1"/>
  <c r="CI236" i="1"/>
  <c r="DN236" i="1"/>
  <c r="DO236" i="1"/>
  <c r="DI236" i="1"/>
  <c r="DJ236" i="1"/>
  <c r="DK236" i="1"/>
  <c r="DL236" i="1"/>
  <c r="CZ237" i="1"/>
  <c r="DA237" i="1"/>
  <c r="DB237" i="1"/>
  <c r="CM237" i="1"/>
  <c r="DF237" i="1"/>
  <c r="CP237" i="1"/>
  <c r="DG237" i="1"/>
  <c r="CL237" i="1"/>
  <c r="DH237" i="1"/>
  <c r="CI237" i="1"/>
  <c r="DN237" i="1"/>
  <c r="DO237" i="1"/>
  <c r="DI237" i="1"/>
  <c r="DJ237" i="1"/>
  <c r="DK237" i="1"/>
  <c r="DL237" i="1"/>
  <c r="CZ238" i="1"/>
  <c r="DA238" i="1"/>
  <c r="DB238" i="1"/>
  <c r="CM238" i="1"/>
  <c r="DF238" i="1"/>
  <c r="CP238" i="1"/>
  <c r="DG238" i="1"/>
  <c r="CL238" i="1"/>
  <c r="DH238" i="1"/>
  <c r="CI238" i="1"/>
  <c r="DN238" i="1"/>
  <c r="DO238" i="1"/>
  <c r="DI238" i="1"/>
  <c r="DJ238" i="1"/>
  <c r="DK238" i="1"/>
  <c r="DL238" i="1"/>
  <c r="CZ239" i="1"/>
  <c r="DA239" i="1"/>
  <c r="DB239" i="1"/>
  <c r="CM239" i="1"/>
  <c r="DF239" i="1"/>
  <c r="CP239" i="1"/>
  <c r="DG239" i="1"/>
  <c r="CL239" i="1"/>
  <c r="DH239" i="1"/>
  <c r="CI239" i="1"/>
  <c r="DN239" i="1"/>
  <c r="DO239" i="1"/>
  <c r="DI239" i="1"/>
  <c r="DJ239" i="1"/>
  <c r="DK239" i="1"/>
  <c r="DL239" i="1"/>
  <c r="CZ240" i="1"/>
  <c r="DA240" i="1"/>
  <c r="DB240" i="1"/>
  <c r="CM240" i="1"/>
  <c r="DF240" i="1"/>
  <c r="CP240" i="1"/>
  <c r="DG240" i="1"/>
  <c r="CL240" i="1"/>
  <c r="DH240" i="1"/>
  <c r="CI240" i="1"/>
  <c r="DN240" i="1"/>
  <c r="DO240" i="1"/>
  <c r="DI240" i="1"/>
  <c r="DJ240" i="1"/>
  <c r="DK240" i="1"/>
  <c r="DL240" i="1"/>
  <c r="CZ241" i="1"/>
  <c r="DA241" i="1"/>
  <c r="DB241" i="1"/>
  <c r="CM241" i="1"/>
  <c r="DF241" i="1"/>
  <c r="CP241" i="1"/>
  <c r="DG241" i="1"/>
  <c r="CL241" i="1"/>
  <c r="DH241" i="1"/>
  <c r="CI241" i="1"/>
  <c r="DN241" i="1"/>
  <c r="DO241" i="1"/>
  <c r="DI241" i="1"/>
  <c r="DJ241" i="1"/>
  <c r="DK241" i="1"/>
  <c r="DL241" i="1"/>
  <c r="CZ242" i="1"/>
  <c r="DA242" i="1"/>
  <c r="DB242" i="1"/>
  <c r="CM242" i="1"/>
  <c r="DF242" i="1"/>
  <c r="CP242" i="1"/>
  <c r="DG242" i="1"/>
  <c r="CL242" i="1"/>
  <c r="DH242" i="1"/>
  <c r="CI242" i="1"/>
  <c r="DN242" i="1"/>
  <c r="DO242" i="1"/>
  <c r="DI242" i="1"/>
  <c r="DJ242" i="1"/>
  <c r="DK242" i="1"/>
  <c r="DL242" i="1"/>
  <c r="CZ243" i="1"/>
  <c r="DA243" i="1"/>
  <c r="DB243" i="1"/>
  <c r="CM243" i="1"/>
  <c r="DF243" i="1"/>
  <c r="CP243" i="1"/>
  <c r="DG243" i="1"/>
  <c r="CL243" i="1"/>
  <c r="DH243" i="1"/>
  <c r="CI243" i="1"/>
  <c r="DN243" i="1"/>
  <c r="DO243" i="1"/>
  <c r="DI243" i="1"/>
  <c r="DJ243" i="1"/>
  <c r="DK243" i="1"/>
  <c r="DL243" i="1"/>
  <c r="CZ244" i="1"/>
  <c r="DA244" i="1"/>
  <c r="DB244" i="1"/>
  <c r="CM244" i="1"/>
  <c r="DF244" i="1"/>
  <c r="CP244" i="1"/>
  <c r="DG244" i="1"/>
  <c r="CL244" i="1"/>
  <c r="DH244" i="1"/>
  <c r="CI244" i="1"/>
  <c r="DN244" i="1"/>
  <c r="DO244" i="1"/>
  <c r="DI244" i="1"/>
  <c r="DJ244" i="1"/>
  <c r="DK244" i="1"/>
  <c r="DL244" i="1"/>
  <c r="CZ245" i="1"/>
  <c r="DA245" i="1"/>
  <c r="DB245" i="1"/>
  <c r="CM245" i="1"/>
  <c r="DF245" i="1"/>
  <c r="CP245" i="1"/>
  <c r="DG245" i="1"/>
  <c r="CL245" i="1"/>
  <c r="DH245" i="1"/>
  <c r="CI245" i="1"/>
  <c r="DN245" i="1"/>
  <c r="DO245" i="1"/>
  <c r="DI245" i="1"/>
  <c r="DJ245" i="1"/>
  <c r="DK245" i="1"/>
  <c r="DL245" i="1"/>
  <c r="CZ246" i="1"/>
  <c r="DA246" i="1"/>
  <c r="DB246" i="1"/>
  <c r="CM246" i="1"/>
  <c r="DF246" i="1"/>
  <c r="CP246" i="1"/>
  <c r="DG246" i="1"/>
  <c r="CL246" i="1"/>
  <c r="DH246" i="1"/>
  <c r="CI246" i="1"/>
  <c r="DN246" i="1"/>
  <c r="DO246" i="1"/>
  <c r="DI246" i="1"/>
  <c r="DJ246" i="1"/>
  <c r="DK246" i="1"/>
  <c r="DL246" i="1"/>
  <c r="CZ247" i="1"/>
  <c r="DA247" i="1"/>
  <c r="DB247" i="1"/>
  <c r="CM247" i="1"/>
  <c r="DF247" i="1"/>
  <c r="CP247" i="1"/>
  <c r="DG247" i="1"/>
  <c r="CL247" i="1"/>
  <c r="DH247" i="1"/>
  <c r="CI247" i="1"/>
  <c r="DN247" i="1"/>
  <c r="DO247" i="1"/>
  <c r="DI247" i="1"/>
  <c r="DJ247" i="1"/>
  <c r="DK247" i="1"/>
  <c r="DL247" i="1"/>
  <c r="CZ248" i="1"/>
  <c r="DA248" i="1"/>
  <c r="DB248" i="1"/>
  <c r="CM248" i="1"/>
  <c r="DF248" i="1"/>
  <c r="CP248" i="1"/>
  <c r="DG248" i="1"/>
  <c r="CL248" i="1"/>
  <c r="DH248" i="1"/>
  <c r="CI248" i="1"/>
  <c r="DN248" i="1"/>
  <c r="DO248" i="1"/>
  <c r="DI248" i="1"/>
  <c r="DJ248" i="1"/>
  <c r="DK248" i="1"/>
  <c r="DL248" i="1"/>
  <c r="CZ249" i="1"/>
  <c r="DA249" i="1"/>
  <c r="DB249" i="1"/>
  <c r="CM249" i="1"/>
  <c r="DF249" i="1"/>
  <c r="CP249" i="1"/>
  <c r="DG249" i="1"/>
  <c r="CL249" i="1"/>
  <c r="DH249" i="1"/>
  <c r="CI249" i="1"/>
  <c r="DN249" i="1"/>
  <c r="DO249" i="1"/>
  <c r="DI249" i="1"/>
  <c r="DJ249" i="1"/>
  <c r="DK249" i="1"/>
  <c r="DL249" i="1"/>
  <c r="CZ250" i="1"/>
  <c r="DA250" i="1"/>
  <c r="DB250" i="1"/>
  <c r="CM250" i="1"/>
  <c r="DF250" i="1"/>
  <c r="CP250" i="1"/>
  <c r="DG250" i="1"/>
  <c r="CL250" i="1"/>
  <c r="DH250" i="1"/>
  <c r="CI250" i="1"/>
  <c r="DN250" i="1"/>
  <c r="DO250" i="1"/>
  <c r="DI250" i="1"/>
  <c r="DJ250" i="1"/>
  <c r="DK250" i="1"/>
  <c r="DL250" i="1"/>
  <c r="CZ251" i="1"/>
  <c r="DA251" i="1"/>
  <c r="DB251" i="1"/>
  <c r="CM251" i="1"/>
  <c r="DF251" i="1"/>
  <c r="CP251" i="1"/>
  <c r="DG251" i="1"/>
  <c r="CL251" i="1"/>
  <c r="DH251" i="1"/>
  <c r="CI251" i="1"/>
  <c r="DN251" i="1"/>
  <c r="DO251" i="1"/>
  <c r="DI251" i="1"/>
  <c r="DJ251" i="1"/>
  <c r="DK251" i="1"/>
  <c r="DL251" i="1"/>
  <c r="CZ252" i="1"/>
  <c r="DA252" i="1"/>
  <c r="DB252" i="1"/>
  <c r="CM252" i="1"/>
  <c r="DF252" i="1"/>
  <c r="CP252" i="1"/>
  <c r="DG252" i="1"/>
  <c r="CL252" i="1"/>
  <c r="DH252" i="1"/>
  <c r="CI252" i="1"/>
  <c r="DN252" i="1"/>
  <c r="DO252" i="1"/>
  <c r="DI252" i="1"/>
  <c r="DJ252" i="1"/>
  <c r="DK252" i="1"/>
  <c r="DL252" i="1"/>
  <c r="CZ253" i="1"/>
  <c r="DA253" i="1"/>
  <c r="DB253" i="1"/>
  <c r="CM253" i="1"/>
  <c r="DF253" i="1"/>
  <c r="CP253" i="1"/>
  <c r="DG253" i="1"/>
  <c r="CL253" i="1"/>
  <c r="DH253" i="1"/>
  <c r="CI253" i="1"/>
  <c r="DN253" i="1"/>
  <c r="DO253" i="1"/>
  <c r="DI253" i="1"/>
  <c r="DJ253" i="1"/>
  <c r="DK253" i="1"/>
  <c r="DL253" i="1"/>
  <c r="CZ254" i="1"/>
  <c r="DA254" i="1"/>
  <c r="DB254" i="1"/>
  <c r="CM254" i="1"/>
  <c r="DF254" i="1"/>
  <c r="CP254" i="1"/>
  <c r="DG254" i="1"/>
  <c r="CL254" i="1"/>
  <c r="DH254" i="1"/>
  <c r="CI254" i="1"/>
  <c r="DN254" i="1"/>
  <c r="DO254" i="1"/>
  <c r="DI254" i="1"/>
  <c r="DJ254" i="1"/>
  <c r="DK254" i="1"/>
  <c r="DL254" i="1"/>
  <c r="CZ255" i="1"/>
  <c r="DA255" i="1"/>
  <c r="DB255" i="1"/>
  <c r="CM255" i="1"/>
  <c r="DF255" i="1"/>
  <c r="CP255" i="1"/>
  <c r="DG255" i="1"/>
  <c r="CL255" i="1"/>
  <c r="DH255" i="1"/>
  <c r="CI255" i="1"/>
  <c r="DN255" i="1"/>
  <c r="DO255" i="1"/>
  <c r="DI255" i="1"/>
  <c r="DJ255" i="1"/>
  <c r="DK255" i="1"/>
  <c r="DL255" i="1"/>
  <c r="CZ256" i="1"/>
  <c r="DA256" i="1"/>
  <c r="DB256" i="1"/>
  <c r="CM256" i="1"/>
  <c r="DF256" i="1"/>
  <c r="CP256" i="1"/>
  <c r="DG256" i="1"/>
  <c r="CL256" i="1"/>
  <c r="DH256" i="1"/>
  <c r="CI256" i="1"/>
  <c r="DN256" i="1"/>
  <c r="DO256" i="1"/>
  <c r="DI256" i="1"/>
  <c r="DJ256" i="1"/>
  <c r="DK256" i="1"/>
  <c r="DL256" i="1"/>
  <c r="CZ257" i="1"/>
  <c r="DA257" i="1"/>
  <c r="DB257" i="1"/>
  <c r="CM257" i="1"/>
  <c r="DF257" i="1"/>
  <c r="CP257" i="1"/>
  <c r="DG257" i="1"/>
  <c r="CL257" i="1"/>
  <c r="DH257" i="1"/>
  <c r="CI257" i="1"/>
  <c r="DN257" i="1"/>
  <c r="DO257" i="1"/>
  <c r="DI257" i="1"/>
  <c r="DJ257" i="1"/>
  <c r="DK257" i="1"/>
  <c r="DL257" i="1"/>
  <c r="CZ258" i="1"/>
  <c r="DA258" i="1"/>
  <c r="DB258" i="1"/>
  <c r="CM258" i="1"/>
  <c r="DF258" i="1"/>
  <c r="CP258" i="1"/>
  <c r="DG258" i="1"/>
  <c r="CL258" i="1"/>
  <c r="DH258" i="1"/>
  <c r="CI258" i="1"/>
  <c r="DN258" i="1"/>
  <c r="DO258" i="1"/>
  <c r="DI258" i="1"/>
  <c r="DJ258" i="1"/>
  <c r="DK258" i="1"/>
  <c r="DL258" i="1"/>
  <c r="CZ259" i="1"/>
  <c r="DA259" i="1"/>
  <c r="DB259" i="1"/>
  <c r="CM259" i="1"/>
  <c r="DF259" i="1"/>
  <c r="CP259" i="1"/>
  <c r="DG259" i="1"/>
  <c r="CL259" i="1"/>
  <c r="DH259" i="1"/>
  <c r="CI259" i="1"/>
  <c r="DN259" i="1"/>
  <c r="DO259" i="1"/>
  <c r="DI259" i="1"/>
  <c r="DJ259" i="1"/>
  <c r="DK259" i="1"/>
  <c r="DL259" i="1"/>
  <c r="CZ260" i="1"/>
  <c r="DA260" i="1"/>
  <c r="DB260" i="1"/>
  <c r="CM260" i="1"/>
  <c r="DF260" i="1"/>
  <c r="CP260" i="1"/>
  <c r="DG260" i="1"/>
  <c r="CL260" i="1"/>
  <c r="DH260" i="1"/>
  <c r="CI260" i="1"/>
  <c r="DN260" i="1"/>
  <c r="DO260" i="1"/>
  <c r="DI260" i="1"/>
  <c r="DJ260" i="1"/>
  <c r="DK260" i="1"/>
  <c r="DL260" i="1"/>
  <c r="CZ261" i="1"/>
  <c r="DA261" i="1"/>
  <c r="DB261" i="1"/>
  <c r="CM261" i="1"/>
  <c r="DF261" i="1"/>
  <c r="CP261" i="1"/>
  <c r="DG261" i="1"/>
  <c r="CL261" i="1"/>
  <c r="DH261" i="1"/>
  <c r="CI261" i="1"/>
  <c r="DN261" i="1"/>
  <c r="DO261" i="1"/>
  <c r="DI261" i="1"/>
  <c r="DJ261" i="1"/>
  <c r="DK261" i="1"/>
  <c r="DL261" i="1"/>
  <c r="CZ262" i="1"/>
  <c r="DA262" i="1"/>
  <c r="DB262" i="1"/>
  <c r="CM262" i="1"/>
  <c r="DF262" i="1"/>
  <c r="CP262" i="1"/>
  <c r="DG262" i="1"/>
  <c r="CL262" i="1"/>
  <c r="DH262" i="1"/>
  <c r="CI262" i="1"/>
  <c r="DN262" i="1"/>
  <c r="DO262" i="1"/>
  <c r="DI262" i="1"/>
  <c r="DJ262" i="1"/>
  <c r="DK262" i="1"/>
  <c r="DL262" i="1"/>
  <c r="CZ263" i="1"/>
  <c r="DA263" i="1"/>
  <c r="DB263" i="1"/>
  <c r="CM263" i="1"/>
  <c r="DF263" i="1"/>
  <c r="CP263" i="1"/>
  <c r="DG263" i="1"/>
  <c r="CL263" i="1"/>
  <c r="DH263" i="1"/>
  <c r="CI263" i="1"/>
  <c r="DN263" i="1"/>
  <c r="DO263" i="1"/>
  <c r="DI263" i="1"/>
  <c r="DJ263" i="1"/>
  <c r="DK263" i="1"/>
  <c r="DL263" i="1"/>
  <c r="CZ264" i="1"/>
  <c r="DA264" i="1"/>
  <c r="DB264" i="1"/>
  <c r="CM264" i="1"/>
  <c r="DF264" i="1"/>
  <c r="CP264" i="1"/>
  <c r="DG264" i="1"/>
  <c r="CL264" i="1"/>
  <c r="DH264" i="1"/>
  <c r="CI264" i="1"/>
  <c r="DN264" i="1"/>
  <c r="DO264" i="1"/>
  <c r="DI264" i="1"/>
  <c r="DJ264" i="1"/>
  <c r="DK264" i="1"/>
  <c r="DL264" i="1"/>
  <c r="CZ265" i="1"/>
  <c r="DA265" i="1"/>
  <c r="DB265" i="1"/>
  <c r="CM265" i="1"/>
  <c r="DF265" i="1"/>
  <c r="CP265" i="1"/>
  <c r="DG265" i="1"/>
  <c r="CL265" i="1"/>
  <c r="DH265" i="1"/>
  <c r="CI265" i="1"/>
  <c r="DN265" i="1"/>
  <c r="DO265" i="1"/>
  <c r="DI265" i="1"/>
  <c r="DJ265" i="1"/>
  <c r="DK265" i="1"/>
  <c r="DL265" i="1"/>
  <c r="CZ266" i="1"/>
  <c r="DA266" i="1"/>
  <c r="DB266" i="1"/>
  <c r="CM266" i="1"/>
  <c r="DF266" i="1"/>
  <c r="CP266" i="1"/>
  <c r="DG266" i="1"/>
  <c r="CL266" i="1"/>
  <c r="DH266" i="1"/>
  <c r="CI266" i="1"/>
  <c r="DN266" i="1"/>
  <c r="DO266" i="1"/>
  <c r="DI266" i="1"/>
  <c r="DJ266" i="1"/>
  <c r="DK266" i="1"/>
  <c r="DL266" i="1"/>
  <c r="CZ267" i="1"/>
  <c r="DA267" i="1"/>
  <c r="DB267" i="1"/>
  <c r="CM267" i="1"/>
  <c r="DF267" i="1"/>
  <c r="CP267" i="1"/>
  <c r="DG267" i="1"/>
  <c r="CL267" i="1"/>
  <c r="DH267" i="1"/>
  <c r="CI267" i="1"/>
  <c r="DN267" i="1"/>
  <c r="DO267" i="1"/>
  <c r="DI267" i="1"/>
  <c r="DJ267" i="1"/>
  <c r="DK267" i="1"/>
  <c r="DL267" i="1"/>
  <c r="CZ268" i="1"/>
  <c r="DA268" i="1"/>
  <c r="DB268" i="1"/>
  <c r="CM268" i="1"/>
  <c r="DF268" i="1"/>
  <c r="CP268" i="1"/>
  <c r="DG268" i="1"/>
  <c r="CL268" i="1"/>
  <c r="DH268" i="1"/>
  <c r="CI268" i="1"/>
  <c r="DN268" i="1"/>
  <c r="DO268" i="1"/>
  <c r="DI268" i="1"/>
  <c r="DJ268" i="1"/>
  <c r="DK268" i="1"/>
  <c r="DL268" i="1"/>
  <c r="CZ269" i="1"/>
  <c r="DA269" i="1"/>
  <c r="DB269" i="1"/>
  <c r="CM269" i="1"/>
  <c r="DF269" i="1"/>
  <c r="CP269" i="1"/>
  <c r="DG269" i="1"/>
  <c r="CL269" i="1"/>
  <c r="DH269" i="1"/>
  <c r="CI269" i="1"/>
  <c r="DN269" i="1"/>
  <c r="DO269" i="1"/>
  <c r="DI269" i="1"/>
  <c r="DJ269" i="1"/>
  <c r="DK269" i="1"/>
  <c r="DL269" i="1"/>
  <c r="CZ270" i="1"/>
  <c r="DA270" i="1"/>
  <c r="DB270" i="1"/>
  <c r="CM270" i="1"/>
  <c r="DF270" i="1"/>
  <c r="CP270" i="1"/>
  <c r="DG270" i="1"/>
  <c r="CL270" i="1"/>
  <c r="DH270" i="1"/>
  <c r="CI270" i="1"/>
  <c r="DN270" i="1"/>
  <c r="DO270" i="1"/>
  <c r="DI270" i="1"/>
  <c r="DJ270" i="1"/>
  <c r="DK270" i="1"/>
  <c r="DL270" i="1"/>
  <c r="CZ271" i="1"/>
  <c r="DA271" i="1"/>
  <c r="DB271" i="1"/>
  <c r="CM271" i="1"/>
  <c r="DF271" i="1"/>
  <c r="CP271" i="1"/>
  <c r="DG271" i="1"/>
  <c r="CL271" i="1"/>
  <c r="DH271" i="1"/>
  <c r="CI271" i="1"/>
  <c r="DN271" i="1"/>
  <c r="DO271" i="1"/>
  <c r="DI271" i="1"/>
  <c r="DJ271" i="1"/>
  <c r="DK271" i="1"/>
  <c r="DL271" i="1"/>
  <c r="CZ272" i="1"/>
  <c r="DA272" i="1"/>
  <c r="DB272" i="1"/>
  <c r="CM272" i="1"/>
  <c r="DF272" i="1"/>
  <c r="CP272" i="1"/>
  <c r="DG272" i="1"/>
  <c r="CL272" i="1"/>
  <c r="DH272" i="1"/>
  <c r="CI272" i="1"/>
  <c r="DN272" i="1"/>
  <c r="DO272" i="1"/>
  <c r="DI272" i="1"/>
  <c r="DJ272" i="1"/>
  <c r="DK272" i="1"/>
  <c r="DL272" i="1"/>
  <c r="CZ273" i="1"/>
  <c r="DA273" i="1"/>
  <c r="DB273" i="1"/>
  <c r="CM273" i="1"/>
  <c r="DF273" i="1"/>
  <c r="CP273" i="1"/>
  <c r="DG273" i="1"/>
  <c r="CL273" i="1"/>
  <c r="DH273" i="1"/>
  <c r="CI273" i="1"/>
  <c r="DN273" i="1"/>
  <c r="DO273" i="1"/>
  <c r="DI273" i="1"/>
  <c r="DJ273" i="1"/>
  <c r="DK273" i="1"/>
  <c r="DL273" i="1"/>
  <c r="CZ274" i="1"/>
  <c r="DA274" i="1"/>
  <c r="DB274" i="1"/>
  <c r="CM274" i="1"/>
  <c r="DF274" i="1"/>
  <c r="CP274" i="1"/>
  <c r="DG274" i="1"/>
  <c r="CL274" i="1"/>
  <c r="DH274" i="1"/>
  <c r="CI274" i="1"/>
  <c r="DN274" i="1"/>
  <c r="DO274" i="1"/>
  <c r="DI274" i="1"/>
  <c r="DJ274" i="1"/>
  <c r="DK274" i="1"/>
  <c r="DL274" i="1"/>
  <c r="CZ275" i="1"/>
  <c r="DA275" i="1"/>
  <c r="DB275" i="1"/>
  <c r="CM275" i="1"/>
  <c r="DF275" i="1"/>
  <c r="CP275" i="1"/>
  <c r="DG275" i="1"/>
  <c r="CL275" i="1"/>
  <c r="DH275" i="1"/>
  <c r="CI275" i="1"/>
  <c r="DN275" i="1"/>
  <c r="DO275" i="1"/>
  <c r="DI275" i="1"/>
  <c r="DJ275" i="1"/>
  <c r="DK275" i="1"/>
  <c r="DL275" i="1"/>
  <c r="CZ276" i="1"/>
  <c r="DA276" i="1"/>
  <c r="DB276" i="1"/>
  <c r="CM276" i="1"/>
  <c r="DF276" i="1"/>
  <c r="CP276" i="1"/>
  <c r="DG276" i="1"/>
  <c r="CL276" i="1"/>
  <c r="DH276" i="1"/>
  <c r="CI276" i="1"/>
  <c r="DN276" i="1"/>
  <c r="DO276" i="1"/>
  <c r="DI276" i="1"/>
  <c r="DJ276" i="1"/>
  <c r="DK276" i="1"/>
  <c r="DL276" i="1"/>
  <c r="CZ277" i="1"/>
  <c r="DA277" i="1"/>
  <c r="DB277" i="1"/>
  <c r="CM277" i="1"/>
  <c r="DF277" i="1"/>
  <c r="CP277" i="1"/>
  <c r="DG277" i="1"/>
  <c r="CL277" i="1"/>
  <c r="DH277" i="1"/>
  <c r="CI277" i="1"/>
  <c r="DN277" i="1"/>
  <c r="DO277" i="1"/>
  <c r="DI277" i="1"/>
  <c r="DJ277" i="1"/>
  <c r="DK277" i="1"/>
  <c r="DL277" i="1"/>
  <c r="CZ278" i="1"/>
  <c r="DA278" i="1"/>
  <c r="DB278" i="1"/>
  <c r="CM278" i="1"/>
  <c r="DF278" i="1"/>
  <c r="CP278" i="1"/>
  <c r="DG278" i="1"/>
  <c r="CL278" i="1"/>
  <c r="DH278" i="1"/>
  <c r="CI278" i="1"/>
  <c r="DN278" i="1"/>
  <c r="DO278" i="1"/>
  <c r="DI278" i="1"/>
  <c r="DJ278" i="1"/>
  <c r="DK278" i="1"/>
  <c r="DL278" i="1"/>
  <c r="CZ279" i="1"/>
  <c r="DA279" i="1"/>
  <c r="DB279" i="1"/>
  <c r="CM279" i="1"/>
  <c r="DF279" i="1"/>
  <c r="CP279" i="1"/>
  <c r="DG279" i="1"/>
  <c r="CL279" i="1"/>
  <c r="DH279" i="1"/>
  <c r="CI279" i="1"/>
  <c r="DN279" i="1"/>
  <c r="DO279" i="1"/>
  <c r="DI279" i="1"/>
  <c r="DJ279" i="1"/>
  <c r="DK279" i="1"/>
  <c r="DL279" i="1"/>
  <c r="CZ280" i="1"/>
  <c r="DA280" i="1"/>
  <c r="DB280" i="1"/>
  <c r="CM280" i="1"/>
  <c r="DF280" i="1"/>
  <c r="CP280" i="1"/>
  <c r="DG280" i="1"/>
  <c r="CL280" i="1"/>
  <c r="DH280" i="1"/>
  <c r="CI280" i="1"/>
  <c r="DN280" i="1"/>
  <c r="DO280" i="1"/>
  <c r="DI280" i="1"/>
  <c r="DJ280" i="1"/>
  <c r="DK280" i="1"/>
  <c r="DL280" i="1"/>
  <c r="CZ281" i="1"/>
  <c r="DA281" i="1"/>
  <c r="DB281" i="1"/>
  <c r="CM281" i="1"/>
  <c r="DF281" i="1"/>
  <c r="CP281" i="1"/>
  <c r="DG281" i="1"/>
  <c r="CL281" i="1"/>
  <c r="DH281" i="1"/>
  <c r="CI281" i="1"/>
  <c r="DN281" i="1"/>
  <c r="DO281" i="1"/>
  <c r="DI281" i="1"/>
  <c r="DJ281" i="1"/>
  <c r="DK281" i="1"/>
  <c r="DL281" i="1"/>
  <c r="CZ282" i="1"/>
  <c r="DA282" i="1"/>
  <c r="DB282" i="1"/>
  <c r="CM282" i="1"/>
  <c r="DF282" i="1"/>
  <c r="CP282" i="1"/>
  <c r="DG282" i="1"/>
  <c r="CL282" i="1"/>
  <c r="DH282" i="1"/>
  <c r="CI282" i="1"/>
  <c r="DN282" i="1"/>
  <c r="DO282" i="1"/>
  <c r="DI282" i="1"/>
  <c r="DJ282" i="1"/>
  <c r="DK282" i="1"/>
  <c r="DL282" i="1"/>
  <c r="CZ283" i="1"/>
  <c r="DA283" i="1"/>
  <c r="DB283" i="1"/>
  <c r="CM283" i="1"/>
  <c r="DF283" i="1"/>
  <c r="CP283" i="1"/>
  <c r="DG283" i="1"/>
  <c r="CL283" i="1"/>
  <c r="DH283" i="1"/>
  <c r="CI283" i="1"/>
  <c r="DN283" i="1"/>
  <c r="DO283" i="1"/>
  <c r="DI283" i="1"/>
  <c r="DJ283" i="1"/>
  <c r="DK283" i="1"/>
  <c r="DL283" i="1"/>
  <c r="CZ284" i="1"/>
  <c r="DA284" i="1"/>
  <c r="DB284" i="1"/>
  <c r="CM284" i="1"/>
  <c r="DF284" i="1"/>
  <c r="CP284" i="1"/>
  <c r="DG284" i="1"/>
  <c r="CL284" i="1"/>
  <c r="DH284" i="1"/>
  <c r="CI284" i="1"/>
  <c r="DN284" i="1"/>
  <c r="DO284" i="1"/>
  <c r="DI284" i="1"/>
  <c r="DJ284" i="1"/>
  <c r="DK284" i="1"/>
  <c r="DL284" i="1"/>
  <c r="CZ285" i="1"/>
  <c r="DA285" i="1"/>
  <c r="DB285" i="1"/>
  <c r="CM285" i="1"/>
  <c r="DF285" i="1"/>
  <c r="CP285" i="1"/>
  <c r="DG285" i="1"/>
  <c r="CL285" i="1"/>
  <c r="DH285" i="1"/>
  <c r="CI285" i="1"/>
  <c r="DN285" i="1"/>
  <c r="DO285" i="1"/>
  <c r="DI285" i="1"/>
  <c r="DJ285" i="1"/>
  <c r="DK285" i="1"/>
  <c r="DL285" i="1"/>
  <c r="CZ286" i="1"/>
  <c r="DA286" i="1"/>
  <c r="DB286" i="1"/>
  <c r="CM286" i="1"/>
  <c r="DF286" i="1"/>
  <c r="CP286" i="1"/>
  <c r="DG286" i="1"/>
  <c r="CL286" i="1"/>
  <c r="DH286" i="1"/>
  <c r="CI286" i="1"/>
  <c r="DN286" i="1"/>
  <c r="DO286" i="1"/>
  <c r="DI286" i="1"/>
  <c r="DJ286" i="1"/>
  <c r="DK286" i="1"/>
  <c r="DL286" i="1"/>
  <c r="CZ287" i="1"/>
  <c r="DA287" i="1"/>
  <c r="DB287" i="1"/>
  <c r="CM287" i="1"/>
  <c r="DF287" i="1"/>
  <c r="CP287" i="1"/>
  <c r="DG287" i="1"/>
  <c r="CL287" i="1"/>
  <c r="DH287" i="1"/>
  <c r="CI287" i="1"/>
  <c r="DN287" i="1"/>
  <c r="DO287" i="1"/>
  <c r="DI287" i="1"/>
  <c r="DJ287" i="1"/>
  <c r="DK287" i="1"/>
  <c r="DL287" i="1"/>
  <c r="CZ288" i="1"/>
  <c r="DA288" i="1"/>
  <c r="DB288" i="1"/>
  <c r="CM288" i="1"/>
  <c r="DF288" i="1"/>
  <c r="CP288" i="1"/>
  <c r="DG288" i="1"/>
  <c r="CL288" i="1"/>
  <c r="DH288" i="1"/>
  <c r="CI288" i="1"/>
  <c r="DN288" i="1"/>
  <c r="DO288" i="1"/>
  <c r="DI288" i="1"/>
  <c r="DJ288" i="1"/>
  <c r="DK288" i="1"/>
  <c r="DL288" i="1"/>
  <c r="CZ289" i="1"/>
  <c r="DA289" i="1"/>
  <c r="DB289" i="1"/>
  <c r="CM289" i="1"/>
  <c r="DF289" i="1"/>
  <c r="CP289" i="1"/>
  <c r="DG289" i="1"/>
  <c r="CL289" i="1"/>
  <c r="DH289" i="1"/>
  <c r="CI289" i="1"/>
  <c r="DN289" i="1"/>
  <c r="DO289" i="1"/>
  <c r="DI289" i="1"/>
  <c r="DJ289" i="1"/>
  <c r="DK289" i="1"/>
  <c r="DL289" i="1"/>
  <c r="CZ290" i="1"/>
  <c r="DA290" i="1"/>
  <c r="DB290" i="1"/>
  <c r="CM290" i="1"/>
  <c r="DF290" i="1"/>
  <c r="CP290" i="1"/>
  <c r="DG290" i="1"/>
  <c r="CL290" i="1"/>
  <c r="DH290" i="1"/>
  <c r="CI290" i="1"/>
  <c r="DN290" i="1"/>
  <c r="DO290" i="1"/>
  <c r="DI290" i="1"/>
  <c r="DJ290" i="1"/>
  <c r="DK290" i="1"/>
  <c r="DL290" i="1"/>
  <c r="CZ291" i="1"/>
  <c r="DA291" i="1"/>
  <c r="DB291" i="1"/>
  <c r="CM291" i="1"/>
  <c r="DF291" i="1"/>
  <c r="CP291" i="1"/>
  <c r="DG291" i="1"/>
  <c r="CL291" i="1"/>
  <c r="DH291" i="1"/>
  <c r="CI291" i="1"/>
  <c r="DN291" i="1"/>
  <c r="DO291" i="1"/>
  <c r="DI291" i="1"/>
  <c r="DJ291" i="1"/>
  <c r="DK291" i="1"/>
  <c r="DL291" i="1"/>
  <c r="CZ292" i="1"/>
  <c r="DA292" i="1"/>
  <c r="DB292" i="1"/>
  <c r="CM292" i="1"/>
  <c r="DF292" i="1"/>
  <c r="CP292" i="1"/>
  <c r="DG292" i="1"/>
  <c r="CL292" i="1"/>
  <c r="DH292" i="1"/>
  <c r="CI292" i="1"/>
  <c r="DN292" i="1"/>
  <c r="DO292" i="1"/>
  <c r="DI292" i="1"/>
  <c r="DJ292" i="1"/>
  <c r="DK292" i="1"/>
  <c r="DL292" i="1"/>
  <c r="CZ293" i="1"/>
  <c r="DA293" i="1"/>
  <c r="DB293" i="1"/>
  <c r="CM293" i="1"/>
  <c r="DF293" i="1"/>
  <c r="CP293" i="1"/>
  <c r="DG293" i="1"/>
  <c r="CL293" i="1"/>
  <c r="DH293" i="1"/>
  <c r="CI293" i="1"/>
  <c r="DN293" i="1"/>
  <c r="DO293" i="1"/>
  <c r="DI293" i="1"/>
  <c r="DJ293" i="1"/>
  <c r="DK293" i="1"/>
  <c r="DL293" i="1"/>
  <c r="CZ294" i="1"/>
  <c r="DA294" i="1"/>
  <c r="DB294" i="1"/>
  <c r="CM294" i="1"/>
  <c r="DF294" i="1"/>
  <c r="CP294" i="1"/>
  <c r="DG294" i="1"/>
  <c r="CL294" i="1"/>
  <c r="DH294" i="1"/>
  <c r="CI294" i="1"/>
  <c r="DN294" i="1"/>
  <c r="DO294" i="1"/>
  <c r="DI294" i="1"/>
  <c r="DJ294" i="1"/>
  <c r="DK294" i="1"/>
  <c r="DL294" i="1"/>
  <c r="CZ295" i="1"/>
  <c r="DA295" i="1"/>
  <c r="DB295" i="1"/>
  <c r="CM295" i="1"/>
  <c r="DF295" i="1"/>
  <c r="CP295" i="1"/>
  <c r="DG295" i="1"/>
  <c r="CL295" i="1"/>
  <c r="DH295" i="1"/>
  <c r="CI295" i="1"/>
  <c r="DN295" i="1"/>
  <c r="DO295" i="1"/>
  <c r="DI295" i="1"/>
  <c r="DJ295" i="1"/>
  <c r="DK295" i="1"/>
  <c r="DL295" i="1"/>
  <c r="CZ296" i="1"/>
  <c r="DA296" i="1"/>
  <c r="DB296" i="1"/>
  <c r="CM296" i="1"/>
  <c r="DF296" i="1"/>
  <c r="CP296" i="1"/>
  <c r="DG296" i="1"/>
  <c r="CL296" i="1"/>
  <c r="DH296" i="1"/>
  <c r="CI296" i="1"/>
  <c r="DN296" i="1"/>
  <c r="DO296" i="1"/>
  <c r="DI296" i="1"/>
  <c r="DJ296" i="1"/>
  <c r="DK296" i="1"/>
  <c r="DL296" i="1"/>
  <c r="CZ297" i="1"/>
  <c r="DA297" i="1"/>
  <c r="DB297" i="1"/>
  <c r="CM297" i="1"/>
  <c r="DF297" i="1"/>
  <c r="CP297" i="1"/>
  <c r="DG297" i="1"/>
  <c r="CL297" i="1"/>
  <c r="DH297" i="1"/>
  <c r="CI297" i="1"/>
  <c r="DN297" i="1"/>
  <c r="DO297" i="1"/>
  <c r="DI297" i="1"/>
  <c r="DJ297" i="1"/>
  <c r="DK297" i="1"/>
  <c r="DL297" i="1"/>
  <c r="CZ298" i="1"/>
  <c r="DA298" i="1"/>
  <c r="DB298" i="1"/>
  <c r="CM298" i="1"/>
  <c r="DF298" i="1"/>
  <c r="CP298" i="1"/>
  <c r="DG298" i="1"/>
  <c r="CL298" i="1"/>
  <c r="DH298" i="1"/>
  <c r="CI298" i="1"/>
  <c r="DN298" i="1"/>
  <c r="DO298" i="1"/>
  <c r="DI298" i="1"/>
  <c r="DJ298" i="1"/>
  <c r="DK298" i="1"/>
  <c r="DL298" i="1"/>
  <c r="CZ299" i="1"/>
  <c r="DA299" i="1"/>
  <c r="DB299" i="1"/>
  <c r="CM299" i="1"/>
  <c r="DF299" i="1"/>
  <c r="CP299" i="1"/>
  <c r="DG299" i="1"/>
  <c r="CL299" i="1"/>
  <c r="DH299" i="1"/>
  <c r="CI299" i="1"/>
  <c r="DN299" i="1"/>
  <c r="DO299" i="1"/>
  <c r="DI299" i="1"/>
  <c r="DJ299" i="1"/>
  <c r="DK299" i="1"/>
  <c r="DL299" i="1"/>
  <c r="CZ300" i="1"/>
  <c r="DA300" i="1"/>
  <c r="DB300" i="1"/>
  <c r="CM300" i="1"/>
  <c r="DF300" i="1"/>
  <c r="CP300" i="1"/>
  <c r="DG300" i="1"/>
  <c r="CL300" i="1"/>
  <c r="DH300" i="1"/>
  <c r="CI300" i="1"/>
  <c r="DN300" i="1"/>
  <c r="DO300" i="1"/>
  <c r="DI300" i="1"/>
  <c r="DJ300" i="1"/>
  <c r="DK300" i="1"/>
  <c r="DL300" i="1"/>
  <c r="CZ301" i="1"/>
  <c r="DA301" i="1"/>
  <c r="DB301" i="1"/>
  <c r="CM301" i="1"/>
  <c r="DF301" i="1"/>
  <c r="CP301" i="1"/>
  <c r="DG301" i="1"/>
  <c r="CL301" i="1"/>
  <c r="DH301" i="1"/>
  <c r="CI301" i="1"/>
  <c r="DN301" i="1"/>
  <c r="DO301" i="1"/>
  <c r="DI301" i="1"/>
  <c r="DJ301" i="1"/>
  <c r="DK301" i="1"/>
  <c r="DL301" i="1"/>
  <c r="CZ302" i="1"/>
  <c r="DA302" i="1"/>
  <c r="DB302" i="1"/>
  <c r="CM302" i="1"/>
  <c r="DF302" i="1"/>
  <c r="CP302" i="1"/>
  <c r="DG302" i="1"/>
  <c r="CL302" i="1"/>
  <c r="DH302" i="1"/>
  <c r="CI302" i="1"/>
  <c r="DN302" i="1"/>
  <c r="DO302" i="1"/>
  <c r="DI302" i="1"/>
  <c r="DJ302" i="1"/>
  <c r="DK302" i="1"/>
  <c r="DL302" i="1"/>
  <c r="CZ303" i="1"/>
  <c r="DA303" i="1"/>
  <c r="DB303" i="1"/>
  <c r="CM303" i="1"/>
  <c r="DF303" i="1"/>
  <c r="CP303" i="1"/>
  <c r="DG303" i="1"/>
  <c r="CL303" i="1"/>
  <c r="DH303" i="1"/>
  <c r="CI303" i="1"/>
  <c r="DN303" i="1"/>
  <c r="DO303" i="1"/>
  <c r="DI303" i="1"/>
  <c r="DJ303" i="1"/>
  <c r="DK303" i="1"/>
  <c r="DL303" i="1"/>
  <c r="CZ304" i="1"/>
  <c r="DA304" i="1"/>
  <c r="DB304" i="1"/>
  <c r="CM304" i="1"/>
  <c r="DF304" i="1"/>
  <c r="CP304" i="1"/>
  <c r="DG304" i="1"/>
  <c r="CL304" i="1"/>
  <c r="DH304" i="1"/>
  <c r="CI304" i="1"/>
  <c r="DN304" i="1"/>
  <c r="DO304" i="1"/>
  <c r="DI304" i="1"/>
  <c r="DJ304" i="1"/>
  <c r="DK304" i="1"/>
  <c r="DL304" i="1"/>
  <c r="CZ305" i="1"/>
  <c r="DA305" i="1"/>
  <c r="DB305" i="1"/>
  <c r="CM305" i="1"/>
  <c r="DF305" i="1"/>
  <c r="CP305" i="1"/>
  <c r="DG305" i="1"/>
  <c r="CL305" i="1"/>
  <c r="DH305" i="1"/>
  <c r="CI305" i="1"/>
  <c r="DN305" i="1"/>
  <c r="DO305" i="1"/>
  <c r="DI305" i="1"/>
  <c r="DJ305" i="1"/>
  <c r="DK305" i="1"/>
  <c r="DL305" i="1"/>
  <c r="CZ306" i="1"/>
  <c r="DA306" i="1"/>
  <c r="DB306" i="1"/>
  <c r="CM306" i="1"/>
  <c r="DF306" i="1"/>
  <c r="CP306" i="1"/>
  <c r="DG306" i="1"/>
  <c r="CL306" i="1"/>
  <c r="DH306" i="1"/>
  <c r="CI306" i="1"/>
  <c r="DN306" i="1"/>
  <c r="DO306" i="1"/>
  <c r="DI306" i="1"/>
  <c r="DJ306" i="1"/>
  <c r="DK306" i="1"/>
  <c r="DL306" i="1"/>
  <c r="CZ307" i="1"/>
  <c r="DA307" i="1"/>
  <c r="DB307" i="1"/>
  <c r="CM307" i="1"/>
  <c r="DF307" i="1"/>
  <c r="CP307" i="1"/>
  <c r="DG307" i="1"/>
  <c r="CL307" i="1"/>
  <c r="DH307" i="1"/>
  <c r="CI307" i="1"/>
  <c r="DN307" i="1"/>
  <c r="DO307" i="1"/>
  <c r="DI307" i="1"/>
  <c r="DJ307" i="1"/>
  <c r="DK307" i="1"/>
  <c r="DL307" i="1"/>
  <c r="CZ308" i="1"/>
  <c r="DA308" i="1"/>
  <c r="DB308" i="1"/>
  <c r="CM308" i="1"/>
  <c r="DF308" i="1"/>
  <c r="CP308" i="1"/>
  <c r="DG308" i="1"/>
  <c r="CL308" i="1"/>
  <c r="DH308" i="1"/>
  <c r="CI308" i="1"/>
  <c r="DN308" i="1"/>
  <c r="DO308" i="1"/>
  <c r="DI308" i="1"/>
  <c r="DJ308" i="1"/>
  <c r="DK308" i="1"/>
  <c r="DL308" i="1"/>
  <c r="CZ309" i="1"/>
  <c r="DA309" i="1"/>
  <c r="DB309" i="1"/>
  <c r="CM309" i="1"/>
  <c r="DF309" i="1"/>
  <c r="CP309" i="1"/>
  <c r="DG309" i="1"/>
  <c r="CL309" i="1"/>
  <c r="DH309" i="1"/>
  <c r="CI309" i="1"/>
  <c r="DN309" i="1"/>
  <c r="DO309" i="1"/>
  <c r="DI309" i="1"/>
  <c r="DJ309" i="1"/>
  <c r="DK309" i="1"/>
  <c r="DL309" i="1"/>
  <c r="CZ310" i="1"/>
  <c r="DA310" i="1"/>
  <c r="DB310" i="1"/>
  <c r="CM310" i="1"/>
  <c r="DF310" i="1"/>
  <c r="CP310" i="1"/>
  <c r="DG310" i="1"/>
  <c r="CL310" i="1"/>
  <c r="DH310" i="1"/>
  <c r="CI310" i="1"/>
  <c r="DN310" i="1"/>
  <c r="DO310" i="1"/>
  <c r="DI310" i="1"/>
  <c r="DJ310" i="1"/>
  <c r="DK310" i="1"/>
  <c r="DL310" i="1"/>
  <c r="CZ311" i="1"/>
  <c r="DA311" i="1"/>
  <c r="DB311" i="1"/>
  <c r="CM311" i="1"/>
  <c r="DF311" i="1"/>
  <c r="CP311" i="1"/>
  <c r="DG311" i="1"/>
  <c r="CL311" i="1"/>
  <c r="DH311" i="1"/>
  <c r="CI311" i="1"/>
  <c r="DN311" i="1"/>
  <c r="DO311" i="1"/>
  <c r="DI311" i="1"/>
  <c r="DJ311" i="1"/>
  <c r="DK311" i="1"/>
  <c r="DL311" i="1"/>
  <c r="CZ312" i="1"/>
  <c r="DA312" i="1"/>
  <c r="DB312" i="1"/>
  <c r="CM312" i="1"/>
  <c r="DF312" i="1"/>
  <c r="CP312" i="1"/>
  <c r="DG312" i="1"/>
  <c r="CL312" i="1"/>
  <c r="DH312" i="1"/>
  <c r="CI312" i="1"/>
  <c r="DN312" i="1"/>
  <c r="DO312" i="1"/>
  <c r="DI312" i="1"/>
  <c r="DJ312" i="1"/>
  <c r="DK312" i="1"/>
  <c r="DL312" i="1"/>
  <c r="CZ313" i="1"/>
  <c r="DA313" i="1"/>
  <c r="DB313" i="1"/>
  <c r="CM313" i="1"/>
  <c r="DF313" i="1"/>
  <c r="CP313" i="1"/>
  <c r="DG313" i="1"/>
  <c r="CL313" i="1"/>
  <c r="DH313" i="1"/>
  <c r="CI313" i="1"/>
  <c r="DN313" i="1"/>
  <c r="DO313" i="1"/>
  <c r="DI313" i="1"/>
  <c r="DJ313" i="1"/>
  <c r="DK313" i="1"/>
  <c r="DL313" i="1"/>
  <c r="CZ314" i="1"/>
  <c r="DA314" i="1"/>
  <c r="DB314" i="1"/>
  <c r="CM314" i="1"/>
  <c r="DF314" i="1"/>
  <c r="CP314" i="1"/>
  <c r="DG314" i="1"/>
  <c r="CL314" i="1"/>
  <c r="DH314" i="1"/>
  <c r="CI314" i="1"/>
  <c r="DN314" i="1"/>
  <c r="DO314" i="1"/>
  <c r="DI314" i="1"/>
  <c r="DJ314" i="1"/>
  <c r="DK314" i="1"/>
  <c r="DL314" i="1"/>
  <c r="CZ315" i="1"/>
  <c r="DA315" i="1"/>
  <c r="DB315" i="1"/>
  <c r="CM315" i="1"/>
  <c r="DF315" i="1"/>
  <c r="CP315" i="1"/>
  <c r="DG315" i="1"/>
  <c r="CL315" i="1"/>
  <c r="DH315" i="1"/>
  <c r="CI315" i="1"/>
  <c r="DN315" i="1"/>
  <c r="DO315" i="1"/>
  <c r="DI315" i="1"/>
  <c r="DJ315" i="1"/>
  <c r="DK315" i="1"/>
  <c r="DL315" i="1"/>
  <c r="CZ316" i="1"/>
  <c r="DA316" i="1"/>
  <c r="DB316" i="1"/>
  <c r="CM316" i="1"/>
  <c r="DF316" i="1"/>
  <c r="CP316" i="1"/>
  <c r="DG316" i="1"/>
  <c r="CL316" i="1"/>
  <c r="DH316" i="1"/>
  <c r="CI316" i="1"/>
  <c r="DN316" i="1"/>
  <c r="DO316" i="1"/>
  <c r="DI316" i="1"/>
  <c r="DJ316" i="1"/>
  <c r="DK316" i="1"/>
  <c r="DL316" i="1"/>
  <c r="CZ317" i="1"/>
  <c r="DA317" i="1"/>
  <c r="DB317" i="1"/>
  <c r="CM317" i="1"/>
  <c r="DF317" i="1"/>
  <c r="CP317" i="1"/>
  <c r="DG317" i="1"/>
  <c r="CL317" i="1"/>
  <c r="DH317" i="1"/>
  <c r="CI317" i="1"/>
  <c r="DN317" i="1"/>
  <c r="DO317" i="1"/>
  <c r="DI317" i="1"/>
  <c r="DJ317" i="1"/>
  <c r="DK317" i="1"/>
  <c r="DL317" i="1"/>
  <c r="CZ318" i="1"/>
  <c r="DA318" i="1"/>
  <c r="DB318" i="1"/>
  <c r="CM318" i="1"/>
  <c r="DF318" i="1"/>
  <c r="CP318" i="1"/>
  <c r="DG318" i="1"/>
  <c r="CL318" i="1"/>
  <c r="DH318" i="1"/>
  <c r="CI318" i="1"/>
  <c r="DN318" i="1"/>
  <c r="DO318" i="1"/>
  <c r="DI318" i="1"/>
  <c r="DJ318" i="1"/>
  <c r="DK318" i="1"/>
  <c r="DL318" i="1"/>
  <c r="CZ319" i="1"/>
  <c r="DA319" i="1"/>
  <c r="DB319" i="1"/>
  <c r="CM319" i="1"/>
  <c r="DF319" i="1"/>
  <c r="CP319" i="1"/>
  <c r="DG319" i="1"/>
  <c r="CL319" i="1"/>
  <c r="DH319" i="1"/>
  <c r="CI319" i="1"/>
  <c r="DN319" i="1"/>
  <c r="DO319" i="1"/>
  <c r="DI319" i="1"/>
  <c r="DJ319" i="1"/>
  <c r="DK319" i="1"/>
  <c r="DL319" i="1"/>
  <c r="CZ320" i="1"/>
  <c r="DA320" i="1"/>
  <c r="DB320" i="1"/>
  <c r="CM320" i="1"/>
  <c r="DF320" i="1"/>
  <c r="CP320" i="1"/>
  <c r="DG320" i="1"/>
  <c r="CL320" i="1"/>
  <c r="DH320" i="1"/>
  <c r="CI320" i="1"/>
  <c r="DN320" i="1"/>
  <c r="DO320" i="1"/>
  <c r="DI320" i="1"/>
  <c r="DJ320" i="1"/>
  <c r="DK320" i="1"/>
  <c r="DL320" i="1"/>
  <c r="CZ321" i="1"/>
  <c r="DA321" i="1"/>
  <c r="DB321" i="1"/>
  <c r="CM321" i="1"/>
  <c r="DF321" i="1"/>
  <c r="CP321" i="1"/>
  <c r="DG321" i="1"/>
  <c r="CL321" i="1"/>
  <c r="DH321" i="1"/>
  <c r="CI321" i="1"/>
  <c r="DN321" i="1"/>
  <c r="DO321" i="1"/>
  <c r="DI321" i="1"/>
  <c r="DJ321" i="1"/>
  <c r="DK321" i="1"/>
  <c r="DL321" i="1"/>
  <c r="CZ322" i="1"/>
  <c r="DA322" i="1"/>
  <c r="DB322" i="1"/>
  <c r="CM322" i="1"/>
  <c r="DF322" i="1"/>
  <c r="CP322" i="1"/>
  <c r="DG322" i="1"/>
  <c r="CL322" i="1"/>
  <c r="DH322" i="1"/>
  <c r="CI322" i="1"/>
  <c r="DN322" i="1"/>
  <c r="DO322" i="1"/>
  <c r="DI322" i="1"/>
  <c r="DJ322" i="1"/>
  <c r="DK322" i="1"/>
  <c r="DL322" i="1"/>
  <c r="CZ323" i="1"/>
  <c r="DA323" i="1"/>
  <c r="DB323" i="1"/>
  <c r="CM323" i="1"/>
  <c r="DF323" i="1"/>
  <c r="CP323" i="1"/>
  <c r="DG323" i="1"/>
  <c r="CL323" i="1"/>
  <c r="DH323" i="1"/>
  <c r="CI323" i="1"/>
  <c r="DN323" i="1"/>
  <c r="DO323" i="1"/>
  <c r="DI323" i="1"/>
  <c r="DJ323" i="1"/>
  <c r="DK323" i="1"/>
  <c r="DL323" i="1"/>
  <c r="CZ324" i="1"/>
  <c r="DA324" i="1"/>
  <c r="DB324" i="1"/>
  <c r="CM324" i="1"/>
  <c r="DF324" i="1"/>
  <c r="CP324" i="1"/>
  <c r="DG324" i="1"/>
  <c r="CL324" i="1"/>
  <c r="DH324" i="1"/>
  <c r="CI324" i="1"/>
  <c r="DN324" i="1"/>
  <c r="DO324" i="1"/>
  <c r="DI324" i="1"/>
  <c r="DJ324" i="1"/>
  <c r="DK324" i="1"/>
  <c r="DL324" i="1"/>
  <c r="CZ325" i="1"/>
  <c r="DA325" i="1"/>
  <c r="DB325" i="1"/>
  <c r="CM325" i="1"/>
  <c r="DF325" i="1"/>
  <c r="CP325" i="1"/>
  <c r="DG325" i="1"/>
  <c r="CL325" i="1"/>
  <c r="DH325" i="1"/>
  <c r="CI325" i="1"/>
  <c r="DN325" i="1"/>
  <c r="DO325" i="1"/>
  <c r="DI325" i="1"/>
  <c r="DJ325" i="1"/>
  <c r="DK325" i="1"/>
  <c r="DL325" i="1"/>
  <c r="CZ326" i="1"/>
  <c r="DA326" i="1"/>
  <c r="DB326" i="1"/>
  <c r="CM326" i="1"/>
  <c r="DF326" i="1"/>
  <c r="CP326" i="1"/>
  <c r="DG326" i="1"/>
  <c r="CL326" i="1"/>
  <c r="DH326" i="1"/>
  <c r="CI326" i="1"/>
  <c r="DN326" i="1"/>
  <c r="DO326" i="1"/>
  <c r="DI326" i="1"/>
  <c r="DJ326" i="1"/>
  <c r="DK326" i="1"/>
  <c r="DL326" i="1"/>
  <c r="CZ327" i="1"/>
  <c r="DA327" i="1"/>
  <c r="DB327" i="1"/>
  <c r="CM327" i="1"/>
  <c r="DF327" i="1"/>
  <c r="CP327" i="1"/>
  <c r="DG327" i="1"/>
  <c r="CL327" i="1"/>
  <c r="DH327" i="1"/>
  <c r="CI327" i="1"/>
  <c r="DN327" i="1"/>
  <c r="DO327" i="1"/>
  <c r="DI327" i="1"/>
  <c r="DJ327" i="1"/>
  <c r="DK327" i="1"/>
  <c r="DL327" i="1"/>
  <c r="CZ328" i="1"/>
  <c r="DA328" i="1"/>
  <c r="DB328" i="1"/>
  <c r="CM328" i="1"/>
  <c r="DF328" i="1"/>
  <c r="CP328" i="1"/>
  <c r="DG328" i="1"/>
  <c r="CL328" i="1"/>
  <c r="DH328" i="1"/>
  <c r="CI328" i="1"/>
  <c r="DN328" i="1"/>
  <c r="DO328" i="1"/>
  <c r="DI328" i="1"/>
  <c r="DJ328" i="1"/>
  <c r="DK328" i="1"/>
  <c r="DL328" i="1"/>
  <c r="CZ329" i="1"/>
  <c r="DA329" i="1"/>
  <c r="DB329" i="1"/>
  <c r="CM329" i="1"/>
  <c r="DF329" i="1"/>
  <c r="CP329" i="1"/>
  <c r="DG329" i="1"/>
  <c r="CL329" i="1"/>
  <c r="DH329" i="1"/>
  <c r="CI329" i="1"/>
  <c r="DN329" i="1"/>
  <c r="DO329" i="1"/>
  <c r="DI329" i="1"/>
  <c r="DJ329" i="1"/>
  <c r="DK329" i="1"/>
  <c r="DL329" i="1"/>
  <c r="CZ330" i="1"/>
  <c r="DA330" i="1"/>
  <c r="DB330" i="1"/>
  <c r="CM330" i="1"/>
  <c r="DF330" i="1"/>
  <c r="CP330" i="1"/>
  <c r="DG330" i="1"/>
  <c r="CL330" i="1"/>
  <c r="DH330" i="1"/>
  <c r="CI330" i="1"/>
  <c r="DN330" i="1"/>
  <c r="DO330" i="1"/>
  <c r="DI330" i="1"/>
  <c r="DJ330" i="1"/>
  <c r="DK330" i="1"/>
  <c r="DL330" i="1"/>
  <c r="CZ331" i="1"/>
  <c r="DA331" i="1"/>
  <c r="DB331" i="1"/>
  <c r="CM331" i="1"/>
  <c r="DF331" i="1"/>
  <c r="CP331" i="1"/>
  <c r="DG331" i="1"/>
  <c r="CL331" i="1"/>
  <c r="DH331" i="1"/>
  <c r="CI331" i="1"/>
  <c r="DN331" i="1"/>
  <c r="DO331" i="1"/>
  <c r="DI331" i="1"/>
  <c r="DJ331" i="1"/>
  <c r="DK331" i="1"/>
  <c r="DL331" i="1"/>
  <c r="CZ332" i="1"/>
  <c r="DA332" i="1"/>
  <c r="DB332" i="1"/>
  <c r="CM332" i="1"/>
  <c r="DF332" i="1"/>
  <c r="CP332" i="1"/>
  <c r="DG332" i="1"/>
  <c r="CL332" i="1"/>
  <c r="DH332" i="1"/>
  <c r="CI332" i="1"/>
  <c r="DN332" i="1"/>
  <c r="DO332" i="1"/>
  <c r="DI332" i="1"/>
  <c r="DJ332" i="1"/>
  <c r="DK332" i="1"/>
  <c r="DL332" i="1"/>
  <c r="CZ333" i="1"/>
  <c r="DA333" i="1"/>
  <c r="DB333" i="1"/>
  <c r="CM333" i="1"/>
  <c r="DF333" i="1"/>
  <c r="CP333" i="1"/>
  <c r="DG333" i="1"/>
  <c r="CL333" i="1"/>
  <c r="DH333" i="1"/>
  <c r="CI333" i="1"/>
  <c r="DN333" i="1"/>
  <c r="DO333" i="1"/>
  <c r="DI333" i="1"/>
  <c r="DJ333" i="1"/>
  <c r="DK333" i="1"/>
  <c r="DL333" i="1"/>
  <c r="CZ334" i="1"/>
  <c r="DA334" i="1"/>
  <c r="DB334" i="1"/>
  <c r="CM334" i="1"/>
  <c r="DF334" i="1"/>
  <c r="CP334" i="1"/>
  <c r="DG334" i="1"/>
  <c r="CL334" i="1"/>
  <c r="DH334" i="1"/>
  <c r="CI334" i="1"/>
  <c r="DN334" i="1"/>
  <c r="DO334" i="1"/>
  <c r="DI334" i="1"/>
  <c r="DJ334" i="1"/>
  <c r="DK334" i="1"/>
  <c r="DL334" i="1"/>
  <c r="CZ335" i="1"/>
  <c r="DA335" i="1"/>
  <c r="DB335" i="1"/>
  <c r="CM335" i="1"/>
  <c r="DF335" i="1"/>
  <c r="CP335" i="1"/>
  <c r="DG335" i="1"/>
  <c r="CL335" i="1"/>
  <c r="DH335" i="1"/>
  <c r="CI335" i="1"/>
  <c r="DN335" i="1"/>
  <c r="DO335" i="1"/>
  <c r="DI335" i="1"/>
  <c r="DJ335" i="1"/>
  <c r="DK335" i="1"/>
  <c r="DL335" i="1"/>
  <c r="CZ336" i="1"/>
  <c r="DA336" i="1"/>
  <c r="DB336" i="1"/>
  <c r="CM336" i="1"/>
  <c r="DF336" i="1"/>
  <c r="CP336" i="1"/>
  <c r="DG336" i="1"/>
  <c r="CL336" i="1"/>
  <c r="DH336" i="1"/>
  <c r="CI336" i="1"/>
  <c r="DN336" i="1"/>
  <c r="DO336" i="1"/>
  <c r="DI336" i="1"/>
  <c r="DJ336" i="1"/>
  <c r="DK336" i="1"/>
  <c r="DL336" i="1"/>
  <c r="CZ337" i="1"/>
  <c r="DA337" i="1"/>
  <c r="DB337" i="1"/>
  <c r="CM337" i="1"/>
  <c r="DF337" i="1"/>
  <c r="CP337" i="1"/>
  <c r="DG337" i="1"/>
  <c r="CL337" i="1"/>
  <c r="DH337" i="1"/>
  <c r="CI337" i="1"/>
  <c r="DN337" i="1"/>
  <c r="DO337" i="1"/>
  <c r="DI337" i="1"/>
  <c r="DJ337" i="1"/>
  <c r="DK337" i="1"/>
  <c r="DL337" i="1"/>
  <c r="CZ338" i="1"/>
  <c r="DA338" i="1"/>
  <c r="DB338" i="1"/>
  <c r="CM338" i="1"/>
  <c r="DF338" i="1"/>
  <c r="CP338" i="1"/>
  <c r="DG338" i="1"/>
  <c r="CL338" i="1"/>
  <c r="DH338" i="1"/>
  <c r="CI338" i="1"/>
  <c r="DN338" i="1"/>
  <c r="DO338" i="1"/>
  <c r="DI338" i="1"/>
  <c r="DJ338" i="1"/>
  <c r="DK338" i="1"/>
  <c r="DL338" i="1"/>
  <c r="CZ339" i="1"/>
  <c r="DA339" i="1"/>
  <c r="DB339" i="1"/>
  <c r="CM339" i="1"/>
  <c r="DF339" i="1"/>
  <c r="CP339" i="1"/>
  <c r="DG339" i="1"/>
  <c r="CL339" i="1"/>
  <c r="DH339" i="1"/>
  <c r="CI339" i="1"/>
  <c r="DN339" i="1"/>
  <c r="DO339" i="1"/>
  <c r="DI339" i="1"/>
  <c r="DJ339" i="1"/>
  <c r="DK339" i="1"/>
  <c r="DL339" i="1"/>
  <c r="CZ340" i="1"/>
  <c r="DA340" i="1"/>
  <c r="DB340" i="1"/>
  <c r="CM340" i="1"/>
  <c r="DF340" i="1"/>
  <c r="CP340" i="1"/>
  <c r="DG340" i="1"/>
  <c r="CL340" i="1"/>
  <c r="DH340" i="1"/>
  <c r="CI340" i="1"/>
  <c r="DN340" i="1"/>
  <c r="DO340" i="1"/>
  <c r="DI340" i="1"/>
  <c r="DJ340" i="1"/>
  <c r="DK340" i="1"/>
  <c r="DL340" i="1"/>
  <c r="CZ341" i="1"/>
  <c r="DA341" i="1"/>
  <c r="DB341" i="1"/>
  <c r="CM341" i="1"/>
  <c r="DF341" i="1"/>
  <c r="CP341" i="1"/>
  <c r="DG341" i="1"/>
  <c r="CL341" i="1"/>
  <c r="DH341" i="1"/>
  <c r="CI341" i="1"/>
  <c r="DN341" i="1"/>
  <c r="DO341" i="1"/>
  <c r="DI341" i="1"/>
  <c r="DJ341" i="1"/>
  <c r="DK341" i="1"/>
  <c r="DL341" i="1"/>
  <c r="CZ342" i="1"/>
  <c r="DA342" i="1"/>
  <c r="DB342" i="1"/>
  <c r="CM342" i="1"/>
  <c r="DF342" i="1"/>
  <c r="CP342" i="1"/>
  <c r="DG342" i="1"/>
  <c r="CL342" i="1"/>
  <c r="DH342" i="1"/>
  <c r="CI342" i="1"/>
  <c r="DN342" i="1"/>
  <c r="DO342" i="1"/>
  <c r="DI342" i="1"/>
  <c r="DJ342" i="1"/>
  <c r="DK342" i="1"/>
  <c r="DL342" i="1"/>
  <c r="CZ343" i="1"/>
  <c r="DA343" i="1"/>
  <c r="DB343" i="1"/>
  <c r="CM343" i="1"/>
  <c r="DF343" i="1"/>
  <c r="CP343" i="1"/>
  <c r="DG343" i="1"/>
  <c r="CL343" i="1"/>
  <c r="DH343" i="1"/>
  <c r="CI343" i="1"/>
  <c r="DN343" i="1"/>
  <c r="DO343" i="1"/>
  <c r="DI343" i="1"/>
  <c r="DJ343" i="1"/>
  <c r="DK343" i="1"/>
  <c r="DL343" i="1"/>
  <c r="CZ344" i="1"/>
  <c r="DA344" i="1"/>
  <c r="DB344" i="1"/>
  <c r="CM344" i="1"/>
  <c r="DF344" i="1"/>
  <c r="CP344" i="1"/>
  <c r="DG344" i="1"/>
  <c r="CL344" i="1"/>
  <c r="DH344" i="1"/>
  <c r="CI344" i="1"/>
  <c r="DN344" i="1"/>
  <c r="DO344" i="1"/>
  <c r="DI344" i="1"/>
  <c r="DJ344" i="1"/>
  <c r="DK344" i="1"/>
  <c r="DL344" i="1"/>
  <c r="CZ345" i="1"/>
  <c r="DA345" i="1"/>
  <c r="DB345" i="1"/>
  <c r="CM345" i="1"/>
  <c r="DF345" i="1"/>
  <c r="CP345" i="1"/>
  <c r="DG345" i="1"/>
  <c r="CL345" i="1"/>
  <c r="DH345" i="1"/>
  <c r="CI345" i="1"/>
  <c r="DN345" i="1"/>
  <c r="DO345" i="1"/>
  <c r="DI345" i="1"/>
  <c r="DJ345" i="1"/>
  <c r="DK345" i="1"/>
  <c r="DL345" i="1"/>
  <c r="CZ346" i="1"/>
  <c r="DA346" i="1"/>
  <c r="DB346" i="1"/>
  <c r="CM346" i="1"/>
  <c r="DF346" i="1"/>
  <c r="CP346" i="1"/>
  <c r="DG346" i="1"/>
  <c r="CL346" i="1"/>
  <c r="DH346" i="1"/>
  <c r="CI346" i="1"/>
  <c r="DN346" i="1"/>
  <c r="DO346" i="1"/>
  <c r="DI346" i="1"/>
  <c r="DJ346" i="1"/>
  <c r="DK346" i="1"/>
  <c r="DL346" i="1"/>
  <c r="CZ347" i="1"/>
  <c r="DA347" i="1"/>
  <c r="DB347" i="1"/>
  <c r="CM347" i="1"/>
  <c r="DF347" i="1"/>
  <c r="CP347" i="1"/>
  <c r="DG347" i="1"/>
  <c r="CL347" i="1"/>
  <c r="DH347" i="1"/>
  <c r="CI347" i="1"/>
  <c r="DN347" i="1"/>
  <c r="DO347" i="1"/>
  <c r="DI347" i="1"/>
  <c r="DJ347" i="1"/>
  <c r="DK347" i="1"/>
  <c r="DL347" i="1"/>
  <c r="CZ348" i="1"/>
  <c r="DA348" i="1"/>
  <c r="DB348" i="1"/>
  <c r="CM348" i="1"/>
  <c r="DF348" i="1"/>
  <c r="CP348" i="1"/>
  <c r="DG348" i="1"/>
  <c r="CL348" i="1"/>
  <c r="DH348" i="1"/>
  <c r="CI348" i="1"/>
  <c r="DN348" i="1"/>
  <c r="DO348" i="1"/>
  <c r="DI348" i="1"/>
  <c r="DJ348" i="1"/>
  <c r="DK348" i="1"/>
  <c r="DL348" i="1"/>
  <c r="CZ349" i="1"/>
  <c r="DA349" i="1"/>
  <c r="DB349" i="1"/>
  <c r="CM349" i="1"/>
  <c r="DF349" i="1"/>
  <c r="CP349" i="1"/>
  <c r="DG349" i="1"/>
  <c r="CL349" i="1"/>
  <c r="DH349" i="1"/>
  <c r="CI349" i="1"/>
  <c r="DN349" i="1"/>
  <c r="DO349" i="1"/>
  <c r="DI349" i="1"/>
  <c r="DJ349" i="1"/>
  <c r="DK349" i="1"/>
  <c r="DL349" i="1"/>
  <c r="CZ350" i="1"/>
  <c r="DA350" i="1"/>
  <c r="DB350" i="1"/>
  <c r="CM350" i="1"/>
  <c r="DF350" i="1"/>
  <c r="CP350" i="1"/>
  <c r="DG350" i="1"/>
  <c r="CL350" i="1"/>
  <c r="DH350" i="1"/>
  <c r="CI350" i="1"/>
  <c r="DN350" i="1"/>
  <c r="DO350" i="1"/>
  <c r="DI350" i="1"/>
  <c r="DJ350" i="1"/>
  <c r="DK350" i="1"/>
  <c r="DL350" i="1"/>
  <c r="CZ351" i="1"/>
  <c r="DA351" i="1"/>
  <c r="DB351" i="1"/>
  <c r="CM351" i="1"/>
  <c r="DF351" i="1"/>
  <c r="CP351" i="1"/>
  <c r="DG351" i="1"/>
  <c r="CL351" i="1"/>
  <c r="DH351" i="1"/>
  <c r="CI351" i="1"/>
  <c r="DN351" i="1"/>
  <c r="DO351" i="1"/>
  <c r="DI351" i="1"/>
  <c r="DJ351" i="1"/>
  <c r="DK351" i="1"/>
  <c r="DL351" i="1"/>
  <c r="CZ352" i="1"/>
  <c r="DA352" i="1"/>
  <c r="DB352" i="1"/>
  <c r="CM352" i="1"/>
  <c r="DF352" i="1"/>
  <c r="CP352" i="1"/>
  <c r="DG352" i="1"/>
  <c r="CL352" i="1"/>
  <c r="DH352" i="1"/>
  <c r="CI352" i="1"/>
  <c r="DN352" i="1"/>
  <c r="DO352" i="1"/>
  <c r="DI352" i="1"/>
  <c r="DJ352" i="1"/>
  <c r="DK352" i="1"/>
  <c r="DL352" i="1"/>
  <c r="CZ353" i="1"/>
  <c r="DA353" i="1"/>
  <c r="DB353" i="1"/>
  <c r="CM353" i="1"/>
  <c r="DF353" i="1"/>
  <c r="CP353" i="1"/>
  <c r="DG353" i="1"/>
  <c r="CL353" i="1"/>
  <c r="DH353" i="1"/>
  <c r="CI353" i="1"/>
  <c r="DN353" i="1"/>
  <c r="DO353" i="1"/>
  <c r="DI353" i="1"/>
  <c r="DJ353" i="1"/>
  <c r="DK353" i="1"/>
  <c r="DL353" i="1"/>
  <c r="CZ354" i="1"/>
  <c r="DA354" i="1"/>
  <c r="DB354" i="1"/>
  <c r="CM354" i="1"/>
  <c r="DF354" i="1"/>
  <c r="CP354" i="1"/>
  <c r="DG354" i="1"/>
  <c r="CL354" i="1"/>
  <c r="DH354" i="1"/>
  <c r="CI354" i="1"/>
  <c r="DN354" i="1"/>
  <c r="DO354" i="1"/>
  <c r="DI354" i="1"/>
  <c r="DJ354" i="1"/>
  <c r="DK354" i="1"/>
  <c r="DL354" i="1"/>
  <c r="CZ355" i="1"/>
  <c r="DA355" i="1"/>
  <c r="DB355" i="1"/>
  <c r="CM355" i="1"/>
  <c r="DF355" i="1"/>
  <c r="CP355" i="1"/>
  <c r="DG355" i="1"/>
  <c r="CL355" i="1"/>
  <c r="DH355" i="1"/>
  <c r="CI355" i="1"/>
  <c r="DN355" i="1"/>
  <c r="DO355" i="1"/>
  <c r="DI355" i="1"/>
  <c r="DJ355" i="1"/>
  <c r="DK355" i="1"/>
  <c r="DL355" i="1"/>
  <c r="CZ356" i="1"/>
  <c r="DA356" i="1"/>
  <c r="DB356" i="1"/>
  <c r="CM356" i="1"/>
  <c r="DF356" i="1"/>
  <c r="CP356" i="1"/>
  <c r="DG356" i="1"/>
  <c r="CL356" i="1"/>
  <c r="DH356" i="1"/>
  <c r="CI356" i="1"/>
  <c r="DN356" i="1"/>
  <c r="DO356" i="1"/>
  <c r="DI356" i="1"/>
  <c r="DJ356" i="1"/>
  <c r="DK356" i="1"/>
  <c r="DL356" i="1"/>
  <c r="CZ357" i="1"/>
  <c r="DA357" i="1"/>
  <c r="DB357" i="1"/>
  <c r="CM357" i="1"/>
  <c r="DF357" i="1"/>
  <c r="CP357" i="1"/>
  <c r="DG357" i="1"/>
  <c r="CL357" i="1"/>
  <c r="DH357" i="1"/>
  <c r="CI357" i="1"/>
  <c r="DN357" i="1"/>
  <c r="DO357" i="1"/>
  <c r="DI357" i="1"/>
  <c r="DJ357" i="1"/>
  <c r="DK357" i="1"/>
  <c r="DL357" i="1"/>
  <c r="CZ358" i="1"/>
  <c r="DA358" i="1"/>
  <c r="DB358" i="1"/>
  <c r="CM358" i="1"/>
  <c r="DF358" i="1"/>
  <c r="CP358" i="1"/>
  <c r="DG358" i="1"/>
  <c r="CL358" i="1"/>
  <c r="DH358" i="1"/>
  <c r="CI358" i="1"/>
  <c r="DN358" i="1"/>
  <c r="DO358" i="1"/>
  <c r="DI358" i="1"/>
  <c r="DJ358" i="1"/>
  <c r="DK358" i="1"/>
  <c r="DL358" i="1"/>
  <c r="CZ359" i="1"/>
  <c r="DA359" i="1"/>
  <c r="DB359" i="1"/>
  <c r="CM359" i="1"/>
  <c r="DF359" i="1"/>
  <c r="CP359" i="1"/>
  <c r="DG359" i="1"/>
  <c r="CL359" i="1"/>
  <c r="DH359" i="1"/>
  <c r="CI359" i="1"/>
  <c r="DN359" i="1"/>
  <c r="DO359" i="1"/>
  <c r="DI359" i="1"/>
  <c r="DJ359" i="1"/>
  <c r="DK359" i="1"/>
  <c r="DL359" i="1"/>
  <c r="CZ360" i="1"/>
  <c r="DA360" i="1"/>
  <c r="DB360" i="1"/>
  <c r="CM360" i="1"/>
  <c r="DF360" i="1"/>
  <c r="CP360" i="1"/>
  <c r="DG360" i="1"/>
  <c r="CL360" i="1"/>
  <c r="DH360" i="1"/>
  <c r="CI360" i="1"/>
  <c r="DN360" i="1"/>
  <c r="DO360" i="1"/>
  <c r="DI360" i="1"/>
  <c r="DJ360" i="1"/>
  <c r="DK360" i="1"/>
  <c r="DL360" i="1"/>
  <c r="CZ361" i="1"/>
  <c r="DA361" i="1"/>
  <c r="DB361" i="1"/>
  <c r="CM361" i="1"/>
  <c r="DF361" i="1"/>
  <c r="CP361" i="1"/>
  <c r="DG361" i="1"/>
  <c r="CL361" i="1"/>
  <c r="DH361" i="1"/>
  <c r="CI361" i="1"/>
  <c r="DN361" i="1"/>
  <c r="DO361" i="1"/>
  <c r="DI361" i="1"/>
  <c r="DJ361" i="1"/>
  <c r="DK361" i="1"/>
  <c r="DL361" i="1"/>
  <c r="CZ362" i="1"/>
  <c r="DA362" i="1"/>
  <c r="DB362" i="1"/>
  <c r="CM362" i="1"/>
  <c r="DF362" i="1"/>
  <c r="CP362" i="1"/>
  <c r="DG362" i="1"/>
  <c r="CL362" i="1"/>
  <c r="DH362" i="1"/>
  <c r="CI362" i="1"/>
  <c r="DN362" i="1"/>
  <c r="DO362" i="1"/>
  <c r="DI362" i="1"/>
  <c r="DJ362" i="1"/>
  <c r="DK362" i="1"/>
  <c r="DL362" i="1"/>
  <c r="CZ363" i="1"/>
  <c r="DA363" i="1"/>
  <c r="DB363" i="1"/>
  <c r="CM363" i="1"/>
  <c r="DF363" i="1"/>
  <c r="CP363" i="1"/>
  <c r="DG363" i="1"/>
  <c r="CL363" i="1"/>
  <c r="DH363" i="1"/>
  <c r="CI363" i="1"/>
  <c r="DN363" i="1"/>
  <c r="DO363" i="1"/>
  <c r="DI363" i="1"/>
  <c r="DJ363" i="1"/>
  <c r="DK363" i="1"/>
  <c r="DL363" i="1"/>
  <c r="CZ364" i="1"/>
  <c r="DA364" i="1"/>
  <c r="DB364" i="1"/>
  <c r="CM364" i="1"/>
  <c r="DF364" i="1"/>
  <c r="CP364" i="1"/>
  <c r="DG364" i="1"/>
  <c r="CL364" i="1"/>
  <c r="DH364" i="1"/>
  <c r="CI364" i="1"/>
  <c r="DN364" i="1"/>
  <c r="DO364" i="1"/>
  <c r="DI364" i="1"/>
  <c r="DJ364" i="1"/>
  <c r="DK364" i="1"/>
  <c r="DL364" i="1"/>
  <c r="CZ365" i="1"/>
  <c r="DA365" i="1"/>
  <c r="DB365" i="1"/>
  <c r="CM365" i="1"/>
  <c r="DF365" i="1"/>
  <c r="CP365" i="1"/>
  <c r="DG365" i="1"/>
  <c r="CL365" i="1"/>
  <c r="DH365" i="1"/>
  <c r="CI365" i="1"/>
  <c r="DN365" i="1"/>
  <c r="DO365" i="1"/>
  <c r="DI365" i="1"/>
  <c r="DJ365" i="1"/>
  <c r="DK365" i="1"/>
  <c r="DL365" i="1"/>
  <c r="CZ366" i="1"/>
  <c r="DA366" i="1"/>
  <c r="DB366" i="1"/>
  <c r="CM366" i="1"/>
  <c r="DF366" i="1"/>
  <c r="CP366" i="1"/>
  <c r="DG366" i="1"/>
  <c r="CL366" i="1"/>
  <c r="DH366" i="1"/>
  <c r="CI366" i="1"/>
  <c r="DN366" i="1"/>
  <c r="DO366" i="1"/>
  <c r="DI366" i="1"/>
  <c r="DJ366" i="1"/>
  <c r="DK366" i="1"/>
  <c r="DL366" i="1"/>
  <c r="CZ367" i="1"/>
  <c r="DA367" i="1"/>
  <c r="DB367" i="1"/>
  <c r="CM367" i="1"/>
  <c r="DF367" i="1"/>
  <c r="CP367" i="1"/>
  <c r="DG367" i="1"/>
  <c r="CL367" i="1"/>
  <c r="DH367" i="1"/>
  <c r="CI367" i="1"/>
  <c r="DN367" i="1"/>
  <c r="DO367" i="1"/>
  <c r="DI367" i="1"/>
  <c r="DJ367" i="1"/>
  <c r="DK367" i="1"/>
  <c r="DL367" i="1"/>
  <c r="CZ368" i="1"/>
  <c r="DA368" i="1"/>
  <c r="DB368" i="1"/>
  <c r="CM368" i="1"/>
  <c r="DF368" i="1"/>
  <c r="CP368" i="1"/>
  <c r="DG368" i="1"/>
  <c r="CL368" i="1"/>
  <c r="DH368" i="1"/>
  <c r="CI368" i="1"/>
  <c r="DN368" i="1"/>
  <c r="DO368" i="1"/>
  <c r="DI368" i="1"/>
  <c r="DJ368" i="1"/>
  <c r="DK368" i="1"/>
  <c r="DL368" i="1"/>
  <c r="CZ369" i="1"/>
  <c r="DA369" i="1"/>
  <c r="DB369" i="1"/>
  <c r="CM369" i="1"/>
  <c r="DF369" i="1"/>
  <c r="CP369" i="1"/>
  <c r="DG369" i="1"/>
  <c r="CL369" i="1"/>
  <c r="DH369" i="1"/>
  <c r="CI369" i="1"/>
  <c r="DN369" i="1"/>
  <c r="DO369" i="1"/>
  <c r="DI369" i="1"/>
  <c r="DJ369" i="1"/>
  <c r="DK369" i="1"/>
  <c r="DL369" i="1"/>
  <c r="CZ370" i="1"/>
  <c r="DA370" i="1"/>
  <c r="DB370" i="1"/>
  <c r="CM370" i="1"/>
  <c r="DF370" i="1"/>
  <c r="CP370" i="1"/>
  <c r="DG370" i="1"/>
  <c r="CL370" i="1"/>
  <c r="DH370" i="1"/>
  <c r="CI370" i="1"/>
  <c r="DN370" i="1"/>
  <c r="DO370" i="1"/>
  <c r="DI370" i="1"/>
  <c r="DJ370" i="1"/>
  <c r="DK370" i="1"/>
  <c r="DL370" i="1"/>
  <c r="CZ371" i="1"/>
  <c r="DA371" i="1"/>
  <c r="DB371" i="1"/>
  <c r="CM371" i="1"/>
  <c r="DF371" i="1"/>
  <c r="CP371" i="1"/>
  <c r="DG371" i="1"/>
  <c r="CL371" i="1"/>
  <c r="DH371" i="1"/>
  <c r="CI371" i="1"/>
  <c r="DN371" i="1"/>
  <c r="DO371" i="1"/>
  <c r="DI371" i="1"/>
  <c r="DJ371" i="1"/>
  <c r="DK371" i="1"/>
  <c r="DL371" i="1"/>
  <c r="CZ372" i="1"/>
  <c r="DA372" i="1"/>
  <c r="DB372" i="1"/>
  <c r="CM372" i="1"/>
  <c r="DF372" i="1"/>
  <c r="CP372" i="1"/>
  <c r="DG372" i="1"/>
  <c r="CL372" i="1"/>
  <c r="DH372" i="1"/>
  <c r="CI372" i="1"/>
  <c r="DN372" i="1"/>
  <c r="DO372" i="1"/>
  <c r="DI372" i="1"/>
  <c r="DJ372" i="1"/>
  <c r="DK372" i="1"/>
  <c r="DL372" i="1"/>
  <c r="CZ373" i="1"/>
  <c r="DA373" i="1"/>
  <c r="DB373" i="1"/>
  <c r="CM373" i="1"/>
  <c r="DF373" i="1"/>
  <c r="CP373" i="1"/>
  <c r="DG373" i="1"/>
  <c r="CL373" i="1"/>
  <c r="DH373" i="1"/>
  <c r="CI373" i="1"/>
  <c r="DN373" i="1"/>
  <c r="DO373" i="1"/>
  <c r="DI373" i="1"/>
  <c r="DJ373" i="1"/>
  <c r="DK373" i="1"/>
  <c r="DL373" i="1"/>
  <c r="CZ374" i="1"/>
  <c r="DA374" i="1"/>
  <c r="DB374" i="1"/>
  <c r="CM374" i="1"/>
  <c r="DF374" i="1"/>
  <c r="CP374" i="1"/>
  <c r="DG374" i="1"/>
  <c r="CL374" i="1"/>
  <c r="DH374" i="1"/>
  <c r="CI374" i="1"/>
  <c r="DN374" i="1"/>
  <c r="DO374" i="1"/>
  <c r="DI374" i="1"/>
  <c r="DJ374" i="1"/>
  <c r="DK374" i="1"/>
  <c r="DL374" i="1"/>
  <c r="CZ375" i="1"/>
  <c r="DA375" i="1"/>
  <c r="DB375" i="1"/>
  <c r="CM375" i="1"/>
  <c r="DF375" i="1"/>
  <c r="CP375" i="1"/>
  <c r="DG375" i="1"/>
  <c r="CL375" i="1"/>
  <c r="DH375" i="1"/>
  <c r="CI375" i="1"/>
  <c r="DN375" i="1"/>
  <c r="DO375" i="1"/>
  <c r="DI375" i="1"/>
  <c r="DJ375" i="1"/>
  <c r="DK375" i="1"/>
  <c r="DL375" i="1"/>
  <c r="CZ376" i="1"/>
  <c r="DA376" i="1"/>
  <c r="DB376" i="1"/>
  <c r="CM376" i="1"/>
  <c r="DF376" i="1"/>
  <c r="CP376" i="1"/>
  <c r="DG376" i="1"/>
  <c r="CL376" i="1"/>
  <c r="DH376" i="1"/>
  <c r="CI376" i="1"/>
  <c r="DN376" i="1"/>
  <c r="DO376" i="1"/>
  <c r="DI376" i="1"/>
  <c r="DJ376" i="1"/>
  <c r="DK376" i="1"/>
  <c r="DL376" i="1"/>
  <c r="CZ377" i="1"/>
  <c r="DA377" i="1"/>
  <c r="DB377" i="1"/>
  <c r="CM377" i="1"/>
  <c r="DF377" i="1"/>
  <c r="CP377" i="1"/>
  <c r="DG377" i="1"/>
  <c r="CL377" i="1"/>
  <c r="DH377" i="1"/>
  <c r="CI377" i="1"/>
  <c r="DN377" i="1"/>
  <c r="DO377" i="1"/>
  <c r="DI377" i="1"/>
  <c r="DJ377" i="1"/>
  <c r="DK377" i="1"/>
  <c r="DL377" i="1"/>
  <c r="CZ378" i="1"/>
  <c r="DA378" i="1"/>
  <c r="DB378" i="1"/>
  <c r="CM378" i="1"/>
  <c r="DF378" i="1"/>
  <c r="CP378" i="1"/>
  <c r="DG378" i="1"/>
  <c r="CL378" i="1"/>
  <c r="DH378" i="1"/>
  <c r="CI378" i="1"/>
  <c r="DN378" i="1"/>
  <c r="DO378" i="1"/>
  <c r="DI378" i="1"/>
  <c r="DJ378" i="1"/>
  <c r="DK378" i="1"/>
  <c r="DL378" i="1"/>
  <c r="CZ379" i="1"/>
  <c r="DA379" i="1"/>
  <c r="DB379" i="1"/>
  <c r="CM379" i="1"/>
  <c r="DF379" i="1"/>
  <c r="CP379" i="1"/>
  <c r="DG379" i="1"/>
  <c r="CL379" i="1"/>
  <c r="DH379" i="1"/>
  <c r="CI379" i="1"/>
  <c r="DN379" i="1"/>
  <c r="DO379" i="1"/>
  <c r="DI379" i="1"/>
  <c r="DJ379" i="1"/>
  <c r="DK379" i="1"/>
  <c r="DL379" i="1"/>
  <c r="CZ380" i="1"/>
  <c r="DA380" i="1"/>
  <c r="DB380" i="1"/>
  <c r="CM380" i="1"/>
  <c r="DF380" i="1"/>
  <c r="CP380" i="1"/>
  <c r="DG380" i="1"/>
  <c r="CL380" i="1"/>
  <c r="DH380" i="1"/>
  <c r="CI380" i="1"/>
  <c r="DN380" i="1"/>
  <c r="DO380" i="1"/>
  <c r="DI380" i="1"/>
  <c r="DJ380" i="1"/>
  <c r="DK380" i="1"/>
  <c r="DL380" i="1"/>
  <c r="CZ381" i="1"/>
  <c r="DA381" i="1"/>
  <c r="DB381" i="1"/>
  <c r="CM381" i="1"/>
  <c r="DF381" i="1"/>
  <c r="CP381" i="1"/>
  <c r="DG381" i="1"/>
  <c r="CL381" i="1"/>
  <c r="DH381" i="1"/>
  <c r="CI381" i="1"/>
  <c r="DN381" i="1"/>
  <c r="DO381" i="1"/>
  <c r="DI381" i="1"/>
  <c r="DJ381" i="1"/>
  <c r="DK381" i="1"/>
  <c r="DL381" i="1"/>
  <c r="CZ382" i="1"/>
  <c r="DA382" i="1"/>
  <c r="DB382" i="1"/>
  <c r="CM382" i="1"/>
  <c r="DF382" i="1"/>
  <c r="CP382" i="1"/>
  <c r="DG382" i="1"/>
  <c r="CL382" i="1"/>
  <c r="DH382" i="1"/>
  <c r="CI382" i="1"/>
  <c r="DN382" i="1"/>
  <c r="DO382" i="1"/>
  <c r="DI382" i="1"/>
  <c r="DJ382" i="1"/>
  <c r="DK382" i="1"/>
  <c r="DL382" i="1"/>
  <c r="CZ383" i="1"/>
  <c r="DA383" i="1"/>
  <c r="DB383" i="1"/>
  <c r="CM383" i="1"/>
  <c r="DF383" i="1"/>
  <c r="CP383" i="1"/>
  <c r="DG383" i="1"/>
  <c r="CL383" i="1"/>
  <c r="DH383" i="1"/>
  <c r="CI383" i="1"/>
  <c r="DN383" i="1"/>
  <c r="DO383" i="1"/>
  <c r="DI383" i="1"/>
  <c r="DJ383" i="1"/>
  <c r="DK383" i="1"/>
  <c r="DL383" i="1"/>
  <c r="CZ384" i="1"/>
  <c r="DA384" i="1"/>
  <c r="DB384" i="1"/>
  <c r="CM384" i="1"/>
  <c r="DF384" i="1"/>
  <c r="CP384" i="1"/>
  <c r="DG384" i="1"/>
  <c r="CL384" i="1"/>
  <c r="DH384" i="1"/>
  <c r="CI384" i="1"/>
  <c r="DN384" i="1"/>
  <c r="DO384" i="1"/>
  <c r="DI384" i="1"/>
  <c r="DJ384" i="1"/>
  <c r="DK384" i="1"/>
  <c r="DL384" i="1"/>
  <c r="CZ385" i="1"/>
  <c r="DA385" i="1"/>
  <c r="DB385" i="1"/>
  <c r="CM385" i="1"/>
  <c r="DF385" i="1"/>
  <c r="CP385" i="1"/>
  <c r="DG385" i="1"/>
  <c r="CL385" i="1"/>
  <c r="DH385" i="1"/>
  <c r="CI385" i="1"/>
  <c r="DN385" i="1"/>
  <c r="DO385" i="1"/>
  <c r="DI385" i="1"/>
  <c r="DJ385" i="1"/>
  <c r="DK385" i="1"/>
  <c r="DL385" i="1"/>
  <c r="CZ386" i="1"/>
  <c r="DA386" i="1"/>
  <c r="DB386" i="1"/>
  <c r="CM386" i="1"/>
  <c r="DF386" i="1"/>
  <c r="CP386" i="1"/>
  <c r="DG386" i="1"/>
  <c r="CL386" i="1"/>
  <c r="DH386" i="1"/>
  <c r="CI386" i="1"/>
  <c r="DN386" i="1"/>
  <c r="DO386" i="1"/>
  <c r="DI386" i="1"/>
  <c r="DJ386" i="1"/>
  <c r="DK386" i="1"/>
  <c r="DL386" i="1"/>
  <c r="CZ387" i="1"/>
  <c r="DA387" i="1"/>
  <c r="DB387" i="1"/>
  <c r="CM387" i="1"/>
  <c r="DF387" i="1"/>
  <c r="CP387" i="1"/>
  <c r="DG387" i="1"/>
  <c r="CL387" i="1"/>
  <c r="DH387" i="1"/>
  <c r="CI387" i="1"/>
  <c r="DN387" i="1"/>
  <c r="DO387" i="1"/>
  <c r="DI387" i="1"/>
  <c r="DJ387" i="1"/>
  <c r="DK387" i="1"/>
  <c r="DL387" i="1"/>
  <c r="CZ388" i="1"/>
  <c r="DA388" i="1"/>
  <c r="DB388" i="1"/>
  <c r="CM388" i="1"/>
  <c r="DF388" i="1"/>
  <c r="CP388" i="1"/>
  <c r="DG388" i="1"/>
  <c r="CL388" i="1"/>
  <c r="DH388" i="1"/>
  <c r="CI388" i="1"/>
  <c r="DN388" i="1"/>
  <c r="DO388" i="1"/>
  <c r="DI388" i="1"/>
  <c r="DJ388" i="1"/>
  <c r="DK388" i="1"/>
  <c r="DL388" i="1"/>
  <c r="CZ389" i="1"/>
  <c r="DA389" i="1"/>
  <c r="DB389" i="1"/>
  <c r="CM389" i="1"/>
  <c r="DF389" i="1"/>
  <c r="CP389" i="1"/>
  <c r="DG389" i="1"/>
  <c r="CL389" i="1"/>
  <c r="DH389" i="1"/>
  <c r="CI389" i="1"/>
  <c r="DN389" i="1"/>
  <c r="DO389" i="1"/>
  <c r="DI389" i="1"/>
  <c r="DJ389" i="1"/>
  <c r="DK389" i="1"/>
  <c r="DL389" i="1"/>
  <c r="CZ390" i="1"/>
  <c r="DA390" i="1"/>
  <c r="DB390" i="1"/>
  <c r="CM390" i="1"/>
  <c r="DF390" i="1"/>
  <c r="CP390" i="1"/>
  <c r="DG390" i="1"/>
  <c r="CL390" i="1"/>
  <c r="DH390" i="1"/>
  <c r="CI390" i="1"/>
  <c r="DN390" i="1"/>
  <c r="DO390" i="1"/>
  <c r="DI390" i="1"/>
  <c r="DJ390" i="1"/>
  <c r="DK390" i="1"/>
  <c r="DL390" i="1"/>
  <c r="CZ391" i="1"/>
  <c r="DA391" i="1"/>
  <c r="DB391" i="1"/>
  <c r="CM391" i="1"/>
  <c r="DF391" i="1"/>
  <c r="CP391" i="1"/>
  <c r="DG391" i="1"/>
  <c r="CL391" i="1"/>
  <c r="DH391" i="1"/>
  <c r="CI391" i="1"/>
  <c r="DN391" i="1"/>
  <c r="DO391" i="1"/>
  <c r="DI391" i="1"/>
  <c r="DJ391" i="1"/>
  <c r="DK391" i="1"/>
  <c r="DL391" i="1"/>
  <c r="CZ392" i="1"/>
  <c r="DA392" i="1"/>
  <c r="DB392" i="1"/>
  <c r="CM392" i="1"/>
  <c r="DF392" i="1"/>
  <c r="CP392" i="1"/>
  <c r="DG392" i="1"/>
  <c r="CL392" i="1"/>
  <c r="DH392" i="1"/>
  <c r="CI392" i="1"/>
  <c r="DN392" i="1"/>
  <c r="DO392" i="1"/>
  <c r="DI392" i="1"/>
  <c r="DJ392" i="1"/>
  <c r="DK392" i="1"/>
  <c r="DL392" i="1"/>
  <c r="CZ393" i="1"/>
  <c r="DA393" i="1"/>
  <c r="DB393" i="1"/>
  <c r="CM393" i="1"/>
  <c r="DF393" i="1"/>
  <c r="CP393" i="1"/>
  <c r="DG393" i="1"/>
  <c r="CL393" i="1"/>
  <c r="DH393" i="1"/>
  <c r="CI393" i="1"/>
  <c r="DN393" i="1"/>
  <c r="DO393" i="1"/>
  <c r="DI393" i="1"/>
  <c r="DJ393" i="1"/>
  <c r="DK393" i="1"/>
  <c r="DL393" i="1"/>
  <c r="CZ394" i="1"/>
  <c r="DA394" i="1"/>
  <c r="DB394" i="1"/>
  <c r="CM394" i="1"/>
  <c r="DF394" i="1"/>
  <c r="CP394" i="1"/>
  <c r="DG394" i="1"/>
  <c r="CL394" i="1"/>
  <c r="DH394" i="1"/>
  <c r="CI394" i="1"/>
  <c r="DN394" i="1"/>
  <c r="DO394" i="1"/>
  <c r="DI394" i="1"/>
  <c r="DJ394" i="1"/>
  <c r="DK394" i="1"/>
  <c r="DL394" i="1"/>
  <c r="CZ395" i="1"/>
  <c r="DA395" i="1"/>
  <c r="DB395" i="1"/>
  <c r="CM395" i="1"/>
  <c r="DF395" i="1"/>
  <c r="CP395" i="1"/>
  <c r="DG395" i="1"/>
  <c r="CL395" i="1"/>
  <c r="DH395" i="1"/>
  <c r="CI395" i="1"/>
  <c r="DN395" i="1"/>
  <c r="DO395" i="1"/>
  <c r="DI395" i="1"/>
  <c r="DJ395" i="1"/>
  <c r="DK395" i="1"/>
  <c r="DL395" i="1"/>
  <c r="CZ396" i="1"/>
  <c r="DA396" i="1"/>
  <c r="DB396" i="1"/>
  <c r="CM396" i="1"/>
  <c r="DF396" i="1"/>
  <c r="CP396" i="1"/>
  <c r="DG396" i="1"/>
  <c r="CL396" i="1"/>
  <c r="DH396" i="1"/>
  <c r="CI396" i="1"/>
  <c r="DN396" i="1"/>
  <c r="DO396" i="1"/>
  <c r="DI396" i="1"/>
  <c r="DJ396" i="1"/>
  <c r="DK396" i="1"/>
  <c r="DL396" i="1"/>
  <c r="CZ397" i="1"/>
  <c r="DA397" i="1"/>
  <c r="DB397" i="1"/>
  <c r="CM397" i="1"/>
  <c r="DF397" i="1"/>
  <c r="CP397" i="1"/>
  <c r="DG397" i="1"/>
  <c r="CL397" i="1"/>
  <c r="DH397" i="1"/>
  <c r="CI397" i="1"/>
  <c r="DN397" i="1"/>
  <c r="DO397" i="1"/>
  <c r="DI397" i="1"/>
  <c r="DJ397" i="1"/>
  <c r="DK397" i="1"/>
  <c r="DL397" i="1"/>
  <c r="CZ398" i="1"/>
  <c r="DA398" i="1"/>
  <c r="DB398" i="1"/>
  <c r="CM398" i="1"/>
  <c r="DF398" i="1"/>
  <c r="CP398" i="1"/>
  <c r="DG398" i="1"/>
  <c r="CL398" i="1"/>
  <c r="DH398" i="1"/>
  <c r="CI398" i="1"/>
  <c r="DN398" i="1"/>
  <c r="DO398" i="1"/>
  <c r="DI398" i="1"/>
  <c r="DJ398" i="1"/>
  <c r="DK398" i="1"/>
  <c r="DL398" i="1"/>
  <c r="CZ399" i="1"/>
  <c r="DA399" i="1"/>
  <c r="DB399" i="1"/>
  <c r="CM399" i="1"/>
  <c r="DF399" i="1"/>
  <c r="CP399" i="1"/>
  <c r="DG399" i="1"/>
  <c r="CL399" i="1"/>
  <c r="DH399" i="1"/>
  <c r="CI399" i="1"/>
  <c r="DN399" i="1"/>
  <c r="DO399" i="1"/>
  <c r="DI399" i="1"/>
  <c r="DJ399" i="1"/>
  <c r="DK399" i="1"/>
  <c r="DL399" i="1"/>
  <c r="CZ400" i="1"/>
  <c r="DA400" i="1"/>
  <c r="DB400" i="1"/>
  <c r="CM400" i="1"/>
  <c r="DF400" i="1"/>
  <c r="CP400" i="1"/>
  <c r="DG400" i="1"/>
  <c r="CL400" i="1"/>
  <c r="DH400" i="1"/>
  <c r="CI400" i="1"/>
  <c r="DN400" i="1"/>
  <c r="DO400" i="1"/>
  <c r="DI400" i="1"/>
  <c r="DJ400" i="1"/>
  <c r="DK400" i="1"/>
  <c r="DL400" i="1"/>
  <c r="CZ401" i="1"/>
  <c r="DA401" i="1"/>
  <c r="DB401" i="1"/>
  <c r="CM401" i="1"/>
  <c r="DF401" i="1"/>
  <c r="CP401" i="1"/>
  <c r="DG401" i="1"/>
  <c r="CL401" i="1"/>
  <c r="DH401" i="1"/>
  <c r="CI401" i="1"/>
  <c r="DN401" i="1"/>
  <c r="DO401" i="1"/>
  <c r="DI401" i="1"/>
  <c r="DJ401" i="1"/>
  <c r="DK401" i="1"/>
  <c r="DL401" i="1"/>
  <c r="CZ402" i="1"/>
  <c r="DA402" i="1"/>
  <c r="DB402" i="1"/>
  <c r="CM402" i="1"/>
  <c r="DF402" i="1"/>
  <c r="CP402" i="1"/>
  <c r="DG402" i="1"/>
  <c r="CL402" i="1"/>
  <c r="DH402" i="1"/>
  <c r="CI402" i="1"/>
  <c r="DN402" i="1"/>
  <c r="DO402" i="1"/>
  <c r="DI402" i="1"/>
  <c r="DJ402" i="1"/>
  <c r="DK402" i="1"/>
  <c r="DL402" i="1"/>
  <c r="CZ403" i="1"/>
  <c r="DA403" i="1"/>
  <c r="DB403" i="1"/>
  <c r="CM403" i="1"/>
  <c r="DF403" i="1"/>
  <c r="CP403" i="1"/>
  <c r="DG403" i="1"/>
  <c r="CL403" i="1"/>
  <c r="DH403" i="1"/>
  <c r="CI403" i="1"/>
  <c r="DN403" i="1"/>
  <c r="DO403" i="1"/>
  <c r="DI403" i="1"/>
  <c r="DJ403" i="1"/>
  <c r="DK403" i="1"/>
  <c r="DL403" i="1"/>
  <c r="CZ404" i="1"/>
  <c r="DA404" i="1"/>
  <c r="DB404" i="1"/>
  <c r="CM404" i="1"/>
  <c r="DF404" i="1"/>
  <c r="CP404" i="1"/>
  <c r="DG404" i="1"/>
  <c r="CL404" i="1"/>
  <c r="DH404" i="1"/>
  <c r="CI404" i="1"/>
  <c r="DN404" i="1"/>
  <c r="DO404" i="1"/>
  <c r="DI404" i="1"/>
  <c r="DJ404" i="1"/>
  <c r="DK404" i="1"/>
  <c r="DL404" i="1"/>
  <c r="CZ405" i="1"/>
  <c r="DA405" i="1"/>
  <c r="DB405" i="1"/>
  <c r="CM405" i="1"/>
  <c r="DF405" i="1"/>
  <c r="CP405" i="1"/>
  <c r="DG405" i="1"/>
  <c r="CL405" i="1"/>
  <c r="DH405" i="1"/>
  <c r="CI405" i="1"/>
  <c r="DN405" i="1"/>
  <c r="DO405" i="1"/>
  <c r="DI405" i="1"/>
  <c r="DJ405" i="1"/>
  <c r="DK405" i="1"/>
  <c r="DL405" i="1"/>
  <c r="CZ406" i="1"/>
  <c r="DA406" i="1"/>
  <c r="DB406" i="1"/>
  <c r="CM406" i="1"/>
  <c r="DF406" i="1"/>
  <c r="CP406" i="1"/>
  <c r="DG406" i="1"/>
  <c r="CL406" i="1"/>
  <c r="DH406" i="1"/>
  <c r="CI406" i="1"/>
  <c r="DN406" i="1"/>
  <c r="DO406" i="1"/>
  <c r="DI406" i="1"/>
  <c r="DJ406" i="1"/>
  <c r="DK406" i="1"/>
  <c r="DL406" i="1"/>
  <c r="CZ407" i="1"/>
  <c r="DA407" i="1"/>
  <c r="DB407" i="1"/>
  <c r="CM407" i="1"/>
  <c r="DF407" i="1"/>
  <c r="CP407" i="1"/>
  <c r="DG407" i="1"/>
  <c r="CL407" i="1"/>
  <c r="DH407" i="1"/>
  <c r="CI407" i="1"/>
  <c r="DN407" i="1"/>
  <c r="DO407" i="1"/>
  <c r="DI407" i="1"/>
  <c r="DJ407" i="1"/>
  <c r="DK407" i="1"/>
  <c r="DL407" i="1"/>
  <c r="CZ408" i="1"/>
  <c r="DA408" i="1"/>
  <c r="DB408" i="1"/>
  <c r="CM408" i="1"/>
  <c r="DF408" i="1"/>
  <c r="CP408" i="1"/>
  <c r="DG408" i="1"/>
  <c r="CL408" i="1"/>
  <c r="DH408" i="1"/>
  <c r="CI408" i="1"/>
  <c r="DN408" i="1"/>
  <c r="DO408" i="1"/>
  <c r="DI408" i="1"/>
  <c r="DJ408" i="1"/>
  <c r="DK408" i="1"/>
  <c r="DL408" i="1"/>
  <c r="CZ409" i="1"/>
  <c r="DA409" i="1"/>
  <c r="DB409" i="1"/>
  <c r="CM409" i="1"/>
  <c r="DF409" i="1"/>
  <c r="CP409" i="1"/>
  <c r="DG409" i="1"/>
  <c r="CL409" i="1"/>
  <c r="DH409" i="1"/>
  <c r="CI409" i="1"/>
  <c r="DN409" i="1"/>
  <c r="DO409" i="1"/>
  <c r="DI409" i="1"/>
  <c r="DJ409" i="1"/>
  <c r="DK409" i="1"/>
  <c r="DL409" i="1"/>
  <c r="CZ410" i="1"/>
  <c r="DA410" i="1"/>
  <c r="DB410" i="1"/>
  <c r="CM410" i="1"/>
  <c r="DF410" i="1"/>
  <c r="CP410" i="1"/>
  <c r="DG410" i="1"/>
  <c r="CL410" i="1"/>
  <c r="DH410" i="1"/>
  <c r="CI410" i="1"/>
  <c r="DN410" i="1"/>
  <c r="DO410" i="1"/>
  <c r="DI410" i="1"/>
  <c r="DJ410" i="1"/>
  <c r="DK410" i="1"/>
  <c r="DL410" i="1"/>
  <c r="CZ411" i="1"/>
  <c r="DA411" i="1"/>
  <c r="DB411" i="1"/>
  <c r="CM411" i="1"/>
  <c r="DF411" i="1"/>
  <c r="CP411" i="1"/>
  <c r="DG411" i="1"/>
  <c r="CL411" i="1"/>
  <c r="DH411" i="1"/>
  <c r="CI411" i="1"/>
  <c r="DN411" i="1"/>
  <c r="DO411" i="1"/>
  <c r="DI411" i="1"/>
  <c r="DJ411" i="1"/>
  <c r="DK411" i="1"/>
  <c r="DL411" i="1"/>
  <c r="CZ412" i="1"/>
  <c r="DA412" i="1"/>
  <c r="DB412" i="1"/>
  <c r="CM412" i="1"/>
  <c r="DF412" i="1"/>
  <c r="CP412" i="1"/>
  <c r="DG412" i="1"/>
  <c r="CL412" i="1"/>
  <c r="DH412" i="1"/>
  <c r="CI412" i="1"/>
  <c r="DN412" i="1"/>
  <c r="DO412" i="1"/>
  <c r="DI412" i="1"/>
  <c r="DJ412" i="1"/>
  <c r="DK412" i="1"/>
  <c r="DL412" i="1"/>
  <c r="CZ413" i="1"/>
  <c r="DA413" i="1"/>
  <c r="DB413" i="1"/>
  <c r="CM413" i="1"/>
  <c r="DF413" i="1"/>
  <c r="CP413" i="1"/>
  <c r="DG413" i="1"/>
  <c r="CL413" i="1"/>
  <c r="DH413" i="1"/>
  <c r="CI413" i="1"/>
  <c r="DN413" i="1"/>
  <c r="DO413" i="1"/>
  <c r="DI413" i="1"/>
  <c r="DJ413" i="1"/>
  <c r="DK413" i="1"/>
  <c r="DL413" i="1"/>
  <c r="CZ414" i="1"/>
  <c r="DA414" i="1"/>
  <c r="DB414" i="1"/>
  <c r="CM414" i="1"/>
  <c r="DF414" i="1"/>
  <c r="CP414" i="1"/>
  <c r="DG414" i="1"/>
  <c r="CL414" i="1"/>
  <c r="DH414" i="1"/>
  <c r="CI414" i="1"/>
  <c r="DN414" i="1"/>
  <c r="DO414" i="1"/>
  <c r="DI414" i="1"/>
  <c r="DJ414" i="1"/>
  <c r="DK414" i="1"/>
  <c r="DL414" i="1"/>
  <c r="CZ415" i="1"/>
  <c r="DA415" i="1"/>
  <c r="DB415" i="1"/>
  <c r="CM415" i="1"/>
  <c r="DF415" i="1"/>
  <c r="CP415" i="1"/>
  <c r="DG415" i="1"/>
  <c r="CL415" i="1"/>
  <c r="DH415" i="1"/>
  <c r="CI415" i="1"/>
  <c r="DN415" i="1"/>
  <c r="DO415" i="1"/>
  <c r="DI415" i="1"/>
  <c r="DJ415" i="1"/>
  <c r="DK415" i="1"/>
  <c r="DL415" i="1"/>
  <c r="CZ416" i="1"/>
  <c r="DA416" i="1"/>
  <c r="DB416" i="1"/>
  <c r="CM416" i="1"/>
  <c r="DF416" i="1"/>
  <c r="CP416" i="1"/>
  <c r="DG416" i="1"/>
  <c r="CL416" i="1"/>
  <c r="DH416" i="1"/>
  <c r="CI416" i="1"/>
  <c r="DN416" i="1"/>
  <c r="DO416" i="1"/>
  <c r="DI416" i="1"/>
  <c r="DJ416" i="1"/>
  <c r="DK416" i="1"/>
  <c r="DL416" i="1"/>
  <c r="CZ417" i="1"/>
  <c r="DA417" i="1"/>
  <c r="DB417" i="1"/>
  <c r="CM417" i="1"/>
  <c r="DF417" i="1"/>
  <c r="CP417" i="1"/>
  <c r="DG417" i="1"/>
  <c r="CL417" i="1"/>
  <c r="DH417" i="1"/>
  <c r="CI417" i="1"/>
  <c r="DN417" i="1"/>
  <c r="DO417" i="1"/>
  <c r="DI417" i="1"/>
  <c r="DJ417" i="1"/>
  <c r="DK417" i="1"/>
  <c r="DL417" i="1"/>
  <c r="CZ418" i="1"/>
  <c r="DA418" i="1"/>
  <c r="DB418" i="1"/>
  <c r="CM418" i="1"/>
  <c r="DF418" i="1"/>
  <c r="CP418" i="1"/>
  <c r="DG418" i="1"/>
  <c r="CL418" i="1"/>
  <c r="DH418" i="1"/>
  <c r="CI418" i="1"/>
  <c r="DN418" i="1"/>
  <c r="DO418" i="1"/>
  <c r="DI418" i="1"/>
  <c r="DJ418" i="1"/>
  <c r="DK418" i="1"/>
  <c r="DL418" i="1"/>
  <c r="CZ419" i="1"/>
  <c r="DA419" i="1"/>
  <c r="DB419" i="1"/>
  <c r="CM419" i="1"/>
  <c r="DF419" i="1"/>
  <c r="CP419" i="1"/>
  <c r="DG419" i="1"/>
  <c r="CL419" i="1"/>
  <c r="DH419" i="1"/>
  <c r="CI419" i="1"/>
  <c r="DN419" i="1"/>
  <c r="DO419" i="1"/>
  <c r="DI419" i="1"/>
  <c r="DJ419" i="1"/>
  <c r="DK419" i="1"/>
  <c r="DL419" i="1"/>
  <c r="CZ420" i="1"/>
  <c r="DA420" i="1"/>
  <c r="DB420" i="1"/>
  <c r="CM420" i="1"/>
  <c r="DF420" i="1"/>
  <c r="CP420" i="1"/>
  <c r="DG420" i="1"/>
  <c r="CL420" i="1"/>
  <c r="DH420" i="1"/>
  <c r="CI420" i="1"/>
  <c r="DN420" i="1"/>
  <c r="DO420" i="1"/>
  <c r="DI420" i="1"/>
  <c r="DJ420" i="1"/>
  <c r="DK420" i="1"/>
  <c r="DL420" i="1"/>
  <c r="CZ421" i="1"/>
  <c r="DA421" i="1"/>
  <c r="DB421" i="1"/>
  <c r="CM421" i="1"/>
  <c r="DF421" i="1"/>
  <c r="CP421" i="1"/>
  <c r="DG421" i="1"/>
  <c r="CL421" i="1"/>
  <c r="DH421" i="1"/>
  <c r="CI421" i="1"/>
  <c r="DN421" i="1"/>
  <c r="DO421" i="1"/>
  <c r="DI421" i="1"/>
  <c r="DJ421" i="1"/>
  <c r="DK421" i="1"/>
  <c r="DL421" i="1"/>
  <c r="CZ422" i="1"/>
  <c r="DA422" i="1"/>
  <c r="DB422" i="1"/>
  <c r="CM422" i="1"/>
  <c r="DF422" i="1"/>
  <c r="CP422" i="1"/>
  <c r="DG422" i="1"/>
  <c r="CL422" i="1"/>
  <c r="DH422" i="1"/>
  <c r="CI422" i="1"/>
  <c r="DN422" i="1"/>
  <c r="DO422" i="1"/>
  <c r="DI422" i="1"/>
  <c r="DJ422" i="1"/>
  <c r="DK422" i="1"/>
  <c r="DL422" i="1"/>
  <c r="CZ423" i="1"/>
  <c r="DA423" i="1"/>
  <c r="DB423" i="1"/>
  <c r="CM423" i="1"/>
  <c r="DF423" i="1"/>
  <c r="CP423" i="1"/>
  <c r="DG423" i="1"/>
  <c r="CL423" i="1"/>
  <c r="DH423" i="1"/>
  <c r="CI423" i="1"/>
  <c r="DN423" i="1"/>
  <c r="DO423" i="1"/>
  <c r="DI423" i="1"/>
  <c r="DJ423" i="1"/>
  <c r="DK423" i="1"/>
  <c r="DL423" i="1"/>
  <c r="CZ424" i="1"/>
  <c r="DA424" i="1"/>
  <c r="DB424" i="1"/>
  <c r="CM424" i="1"/>
  <c r="DF424" i="1"/>
  <c r="CP424" i="1"/>
  <c r="DG424" i="1"/>
  <c r="CL424" i="1"/>
  <c r="DH424" i="1"/>
  <c r="CI424" i="1"/>
  <c r="DN424" i="1"/>
  <c r="DO424" i="1"/>
  <c r="DI424" i="1"/>
  <c r="DJ424" i="1"/>
  <c r="DK424" i="1"/>
  <c r="DL424" i="1"/>
  <c r="CZ425" i="1"/>
  <c r="DA425" i="1"/>
  <c r="DB425" i="1"/>
  <c r="CM425" i="1"/>
  <c r="DF425" i="1"/>
  <c r="CP425" i="1"/>
  <c r="DG425" i="1"/>
  <c r="CL425" i="1"/>
  <c r="DH425" i="1"/>
  <c r="CI425" i="1"/>
  <c r="DN425" i="1"/>
  <c r="DO425" i="1"/>
  <c r="DI425" i="1"/>
  <c r="DJ425" i="1"/>
  <c r="DK425" i="1"/>
  <c r="DL425" i="1"/>
  <c r="CZ426" i="1"/>
  <c r="DA426" i="1"/>
  <c r="DB426" i="1"/>
  <c r="CM426" i="1"/>
  <c r="DF426" i="1"/>
  <c r="CP426" i="1"/>
  <c r="DG426" i="1"/>
  <c r="CL426" i="1"/>
  <c r="DH426" i="1"/>
  <c r="CI426" i="1"/>
  <c r="DN426" i="1"/>
  <c r="DO426" i="1"/>
  <c r="DI426" i="1"/>
  <c r="DJ426" i="1"/>
  <c r="DK426" i="1"/>
  <c r="DL426" i="1"/>
  <c r="CZ427" i="1"/>
  <c r="DA427" i="1"/>
  <c r="DB427" i="1"/>
  <c r="CM427" i="1"/>
  <c r="DF427" i="1"/>
  <c r="CP427" i="1"/>
  <c r="DG427" i="1"/>
  <c r="CL427" i="1"/>
  <c r="DH427" i="1"/>
  <c r="CI427" i="1"/>
  <c r="DN427" i="1"/>
  <c r="DO427" i="1"/>
  <c r="DI427" i="1"/>
  <c r="DJ427" i="1"/>
  <c r="DK427" i="1"/>
  <c r="DL427" i="1"/>
  <c r="CZ428" i="1"/>
  <c r="DA428" i="1"/>
  <c r="DB428" i="1"/>
  <c r="CM428" i="1"/>
  <c r="DF428" i="1"/>
  <c r="CP428" i="1"/>
  <c r="DG428" i="1"/>
  <c r="CL428" i="1"/>
  <c r="DH428" i="1"/>
  <c r="CI428" i="1"/>
  <c r="DN428" i="1"/>
  <c r="DO428" i="1"/>
  <c r="DI428" i="1"/>
  <c r="DJ428" i="1"/>
  <c r="DK428" i="1"/>
  <c r="DL428" i="1"/>
  <c r="CZ429" i="1"/>
  <c r="DA429" i="1"/>
  <c r="DB429" i="1"/>
  <c r="CM429" i="1"/>
  <c r="DF429" i="1"/>
  <c r="CP429" i="1"/>
  <c r="DG429" i="1"/>
  <c r="CL429" i="1"/>
  <c r="DH429" i="1"/>
  <c r="CI429" i="1"/>
  <c r="DN429" i="1"/>
  <c r="DO429" i="1"/>
  <c r="DI429" i="1"/>
  <c r="DJ429" i="1"/>
  <c r="DK429" i="1"/>
  <c r="DL429" i="1"/>
  <c r="CZ430" i="1"/>
  <c r="DA430" i="1"/>
  <c r="DB430" i="1"/>
  <c r="CM430" i="1"/>
  <c r="DF430" i="1"/>
  <c r="CP430" i="1"/>
  <c r="DG430" i="1"/>
  <c r="CL430" i="1"/>
  <c r="DH430" i="1"/>
  <c r="CI430" i="1"/>
  <c r="DN430" i="1"/>
  <c r="DO430" i="1"/>
  <c r="DI430" i="1"/>
  <c r="DJ430" i="1"/>
  <c r="DK430" i="1"/>
  <c r="DL430" i="1"/>
  <c r="CZ431" i="1"/>
  <c r="DA431" i="1"/>
  <c r="DB431" i="1"/>
  <c r="CM431" i="1"/>
  <c r="DF431" i="1"/>
  <c r="CP431" i="1"/>
  <c r="DG431" i="1"/>
  <c r="CL431" i="1"/>
  <c r="DH431" i="1"/>
  <c r="CI431" i="1"/>
  <c r="DN431" i="1"/>
  <c r="DO431" i="1"/>
  <c r="DI431" i="1"/>
  <c r="DJ431" i="1"/>
  <c r="DK431" i="1"/>
  <c r="DL431" i="1"/>
  <c r="CZ432" i="1"/>
  <c r="DA432" i="1"/>
  <c r="DB432" i="1"/>
  <c r="CM432" i="1"/>
  <c r="DF432" i="1"/>
  <c r="CP432" i="1"/>
  <c r="DG432" i="1"/>
  <c r="CL432" i="1"/>
  <c r="DH432" i="1"/>
  <c r="CI432" i="1"/>
  <c r="DN432" i="1"/>
  <c r="DO432" i="1"/>
  <c r="DI432" i="1"/>
  <c r="DJ432" i="1"/>
  <c r="DK432" i="1"/>
  <c r="DL432" i="1"/>
  <c r="CZ433" i="1"/>
  <c r="DA433" i="1"/>
  <c r="DB433" i="1"/>
  <c r="CM433" i="1"/>
  <c r="DF433" i="1"/>
  <c r="CP433" i="1"/>
  <c r="DG433" i="1"/>
  <c r="CL433" i="1"/>
  <c r="DH433" i="1"/>
  <c r="CI433" i="1"/>
  <c r="DN433" i="1"/>
  <c r="DO433" i="1"/>
  <c r="DI433" i="1"/>
  <c r="DJ433" i="1"/>
  <c r="DK433" i="1"/>
  <c r="DL433" i="1"/>
  <c r="CZ434" i="1"/>
  <c r="DA434" i="1"/>
  <c r="DB434" i="1"/>
  <c r="CM434" i="1"/>
  <c r="DF434" i="1"/>
  <c r="CP434" i="1"/>
  <c r="DG434" i="1"/>
  <c r="CL434" i="1"/>
  <c r="DH434" i="1"/>
  <c r="CI434" i="1"/>
  <c r="DN434" i="1"/>
  <c r="DO434" i="1"/>
  <c r="DI434" i="1"/>
  <c r="DJ434" i="1"/>
  <c r="DK434" i="1"/>
  <c r="DL434" i="1"/>
  <c r="CZ435" i="1"/>
  <c r="DA435" i="1"/>
  <c r="DB435" i="1"/>
  <c r="CM435" i="1"/>
  <c r="DF435" i="1"/>
  <c r="CP435" i="1"/>
  <c r="DG435" i="1"/>
  <c r="CL435" i="1"/>
  <c r="DH435" i="1"/>
  <c r="CI435" i="1"/>
  <c r="DN435" i="1"/>
  <c r="DO435" i="1"/>
  <c r="DI435" i="1"/>
  <c r="DJ435" i="1"/>
  <c r="DK435" i="1"/>
  <c r="DL435" i="1"/>
  <c r="CZ436" i="1"/>
  <c r="DA436" i="1"/>
  <c r="DB436" i="1"/>
  <c r="CM436" i="1"/>
  <c r="DF436" i="1"/>
  <c r="CP436" i="1"/>
  <c r="DG436" i="1"/>
  <c r="CL436" i="1"/>
  <c r="DH436" i="1"/>
  <c r="CI436" i="1"/>
  <c r="DN436" i="1"/>
  <c r="DO436" i="1"/>
  <c r="DI436" i="1"/>
  <c r="DJ436" i="1"/>
  <c r="DK436" i="1"/>
  <c r="DL436" i="1"/>
  <c r="CZ437" i="1"/>
  <c r="DA437" i="1"/>
  <c r="DB437" i="1"/>
  <c r="CM437" i="1"/>
  <c r="DF437" i="1"/>
  <c r="CP437" i="1"/>
  <c r="DG437" i="1"/>
  <c r="CL437" i="1"/>
  <c r="DH437" i="1"/>
  <c r="CI437" i="1"/>
  <c r="DN437" i="1"/>
  <c r="DO437" i="1"/>
  <c r="DI437" i="1"/>
  <c r="DJ437" i="1"/>
  <c r="DK437" i="1"/>
  <c r="DL437" i="1"/>
  <c r="CZ438" i="1"/>
  <c r="DA438" i="1"/>
  <c r="DB438" i="1"/>
  <c r="CM438" i="1"/>
  <c r="DF438" i="1"/>
  <c r="CP438" i="1"/>
  <c r="DG438" i="1"/>
  <c r="CL438" i="1"/>
  <c r="DH438" i="1"/>
  <c r="CI438" i="1"/>
  <c r="DN438" i="1"/>
  <c r="DO438" i="1"/>
  <c r="DI438" i="1"/>
  <c r="DJ438" i="1"/>
  <c r="DK438" i="1"/>
  <c r="DL438" i="1"/>
  <c r="CZ439" i="1"/>
  <c r="DA439" i="1"/>
  <c r="DB439" i="1"/>
  <c r="CM439" i="1"/>
  <c r="DF439" i="1"/>
  <c r="CP439" i="1"/>
  <c r="DG439" i="1"/>
  <c r="CL439" i="1"/>
  <c r="DH439" i="1"/>
  <c r="CI439" i="1"/>
  <c r="DN439" i="1"/>
  <c r="DO439" i="1"/>
  <c r="DI439" i="1"/>
  <c r="DJ439" i="1"/>
  <c r="DK439" i="1"/>
  <c r="DL439" i="1"/>
  <c r="CZ440" i="1"/>
  <c r="DA440" i="1"/>
  <c r="DB440" i="1"/>
  <c r="CM440" i="1"/>
  <c r="DF440" i="1"/>
  <c r="CP440" i="1"/>
  <c r="DG440" i="1"/>
  <c r="CL440" i="1"/>
  <c r="DH440" i="1"/>
  <c r="CI440" i="1"/>
  <c r="DN440" i="1"/>
  <c r="DO440" i="1"/>
  <c r="DI440" i="1"/>
  <c r="DJ440" i="1"/>
  <c r="DK440" i="1"/>
  <c r="DL440" i="1"/>
  <c r="CZ441" i="1"/>
  <c r="DA441" i="1"/>
  <c r="DB441" i="1"/>
  <c r="CM441" i="1"/>
  <c r="DF441" i="1"/>
  <c r="CP441" i="1"/>
  <c r="DG441" i="1"/>
  <c r="CL441" i="1"/>
  <c r="DH441" i="1"/>
  <c r="CI441" i="1"/>
  <c r="DN441" i="1"/>
  <c r="DO441" i="1"/>
  <c r="DI441" i="1"/>
  <c r="DJ441" i="1"/>
  <c r="DK441" i="1"/>
  <c r="DL441" i="1"/>
  <c r="CZ442" i="1"/>
  <c r="DA442" i="1"/>
  <c r="DB442" i="1"/>
  <c r="CM442" i="1"/>
  <c r="DF442" i="1"/>
  <c r="CP442" i="1"/>
  <c r="DG442" i="1"/>
  <c r="CL442" i="1"/>
  <c r="DH442" i="1"/>
  <c r="CI442" i="1"/>
  <c r="DN442" i="1"/>
  <c r="DO442" i="1"/>
  <c r="DI442" i="1"/>
  <c r="DJ442" i="1"/>
  <c r="DK442" i="1"/>
  <c r="DL442" i="1"/>
  <c r="CZ443" i="1"/>
  <c r="DA443" i="1"/>
  <c r="DB443" i="1"/>
  <c r="CM443" i="1"/>
  <c r="DF443" i="1"/>
  <c r="CP443" i="1"/>
  <c r="DG443" i="1"/>
  <c r="CL443" i="1"/>
  <c r="DH443" i="1"/>
  <c r="CI443" i="1"/>
  <c r="DN443" i="1"/>
  <c r="DO443" i="1"/>
  <c r="DI443" i="1"/>
  <c r="DJ443" i="1"/>
  <c r="DK443" i="1"/>
  <c r="DL443" i="1"/>
  <c r="CZ444" i="1"/>
  <c r="DA444" i="1"/>
  <c r="DB444" i="1"/>
  <c r="CM444" i="1"/>
  <c r="DF444" i="1"/>
  <c r="CP444" i="1"/>
  <c r="DG444" i="1"/>
  <c r="CL444" i="1"/>
  <c r="DH444" i="1"/>
  <c r="CI444" i="1"/>
  <c r="DN444" i="1"/>
  <c r="DO444" i="1"/>
  <c r="DI444" i="1"/>
  <c r="DJ444" i="1"/>
  <c r="DK444" i="1"/>
  <c r="DL444" i="1"/>
  <c r="CZ445" i="1"/>
  <c r="DA445" i="1"/>
  <c r="DB445" i="1"/>
  <c r="CM445" i="1"/>
  <c r="DF445" i="1"/>
  <c r="CP445" i="1"/>
  <c r="DG445" i="1"/>
  <c r="CL445" i="1"/>
  <c r="DH445" i="1"/>
  <c r="CI445" i="1"/>
  <c r="DN445" i="1"/>
  <c r="DO445" i="1"/>
  <c r="DI445" i="1"/>
  <c r="DJ445" i="1"/>
  <c r="DK445" i="1"/>
  <c r="DL445" i="1"/>
  <c r="CZ446" i="1"/>
  <c r="DA446" i="1"/>
  <c r="DB446" i="1"/>
  <c r="CM446" i="1"/>
  <c r="DF446" i="1"/>
  <c r="CP446" i="1"/>
  <c r="DG446" i="1"/>
  <c r="CL446" i="1"/>
  <c r="DH446" i="1"/>
  <c r="CI446" i="1"/>
  <c r="DN446" i="1"/>
  <c r="DO446" i="1"/>
  <c r="DI446" i="1"/>
  <c r="DJ446" i="1"/>
  <c r="DK446" i="1"/>
  <c r="DL446" i="1"/>
  <c r="CZ447" i="1"/>
  <c r="DA447" i="1"/>
  <c r="DB447" i="1"/>
  <c r="CM447" i="1"/>
  <c r="DF447" i="1"/>
  <c r="CP447" i="1"/>
  <c r="DG447" i="1"/>
  <c r="CL447" i="1"/>
  <c r="DH447" i="1"/>
  <c r="CI447" i="1"/>
  <c r="DN447" i="1"/>
  <c r="DO447" i="1"/>
  <c r="DI447" i="1"/>
  <c r="DJ447" i="1"/>
  <c r="DK447" i="1"/>
  <c r="DL447" i="1"/>
  <c r="CZ448" i="1"/>
  <c r="DA448" i="1"/>
  <c r="DB448" i="1"/>
  <c r="CM448" i="1"/>
  <c r="DF448" i="1"/>
  <c r="CP448" i="1"/>
  <c r="DG448" i="1"/>
  <c r="CL448" i="1"/>
  <c r="DH448" i="1"/>
  <c r="CI448" i="1"/>
  <c r="DN448" i="1"/>
  <c r="DO448" i="1"/>
  <c r="DI448" i="1"/>
  <c r="DJ448" i="1"/>
  <c r="DK448" i="1"/>
  <c r="DL448" i="1"/>
  <c r="CZ449" i="1"/>
  <c r="DA449" i="1"/>
  <c r="DB449" i="1"/>
  <c r="CM449" i="1"/>
  <c r="DF449" i="1"/>
  <c r="CP449" i="1"/>
  <c r="DG449" i="1"/>
  <c r="CL449" i="1"/>
  <c r="DH449" i="1"/>
  <c r="CI449" i="1"/>
  <c r="DN449" i="1"/>
  <c r="DO449" i="1"/>
  <c r="DI449" i="1"/>
  <c r="DJ449" i="1"/>
  <c r="DK449" i="1"/>
  <c r="DL449" i="1"/>
  <c r="CZ450" i="1"/>
  <c r="DA450" i="1"/>
  <c r="DB450" i="1"/>
  <c r="CM450" i="1"/>
  <c r="DF450" i="1"/>
  <c r="CP450" i="1"/>
  <c r="DG450" i="1"/>
  <c r="CL450" i="1"/>
  <c r="DH450" i="1"/>
  <c r="CI450" i="1"/>
  <c r="DN450" i="1"/>
  <c r="DO450" i="1"/>
  <c r="DI450" i="1"/>
  <c r="DJ450" i="1"/>
  <c r="DK450" i="1"/>
  <c r="DL450" i="1"/>
  <c r="CZ451" i="1"/>
  <c r="DA451" i="1"/>
  <c r="DB451" i="1"/>
  <c r="CM451" i="1"/>
  <c r="DF451" i="1"/>
  <c r="CP451" i="1"/>
  <c r="DG451" i="1"/>
  <c r="CL451" i="1"/>
  <c r="DH451" i="1"/>
  <c r="CI451" i="1"/>
  <c r="DN451" i="1"/>
  <c r="DO451" i="1"/>
  <c r="DI451" i="1"/>
  <c r="DJ451" i="1"/>
  <c r="DK451" i="1"/>
  <c r="DL451" i="1"/>
  <c r="CZ452" i="1"/>
  <c r="DA452" i="1"/>
  <c r="DB452" i="1"/>
  <c r="CM452" i="1"/>
  <c r="DF452" i="1"/>
  <c r="CP452" i="1"/>
  <c r="DG452" i="1"/>
  <c r="CL452" i="1"/>
  <c r="DH452" i="1"/>
  <c r="CI452" i="1"/>
  <c r="DN452" i="1"/>
  <c r="DO452" i="1"/>
  <c r="DI452" i="1"/>
  <c r="DJ452" i="1"/>
  <c r="DK452" i="1"/>
  <c r="DL452" i="1"/>
  <c r="CZ453" i="1"/>
  <c r="DA453" i="1"/>
  <c r="DB453" i="1"/>
  <c r="CM453" i="1"/>
  <c r="DF453" i="1"/>
  <c r="CP453" i="1"/>
  <c r="DG453" i="1"/>
  <c r="CL453" i="1"/>
  <c r="DH453" i="1"/>
  <c r="CI453" i="1"/>
  <c r="DN453" i="1"/>
  <c r="DO453" i="1"/>
  <c r="DI453" i="1"/>
  <c r="DJ453" i="1"/>
  <c r="DK453" i="1"/>
  <c r="DL453" i="1"/>
  <c r="CZ454" i="1"/>
  <c r="DA454" i="1"/>
  <c r="DB454" i="1"/>
  <c r="CM454" i="1"/>
  <c r="DF454" i="1"/>
  <c r="CP454" i="1"/>
  <c r="DG454" i="1"/>
  <c r="CL454" i="1"/>
  <c r="DH454" i="1"/>
  <c r="CI454" i="1"/>
  <c r="DN454" i="1"/>
  <c r="DO454" i="1"/>
  <c r="DI454" i="1"/>
  <c r="DJ454" i="1"/>
  <c r="DK454" i="1"/>
  <c r="DL454" i="1"/>
  <c r="CZ455" i="1"/>
  <c r="DA455" i="1"/>
  <c r="DB455" i="1"/>
  <c r="CM455" i="1"/>
  <c r="DF455" i="1"/>
  <c r="CP455" i="1"/>
  <c r="DG455" i="1"/>
  <c r="CL455" i="1"/>
  <c r="DH455" i="1"/>
  <c r="CI455" i="1"/>
  <c r="DN455" i="1"/>
  <c r="DO455" i="1"/>
  <c r="DI455" i="1"/>
  <c r="DJ455" i="1"/>
  <c r="DK455" i="1"/>
  <c r="DL455" i="1"/>
  <c r="CZ456" i="1"/>
  <c r="DA456" i="1"/>
  <c r="DB456" i="1"/>
  <c r="CM456" i="1"/>
  <c r="DF456" i="1"/>
  <c r="CP456" i="1"/>
  <c r="DG456" i="1"/>
  <c r="CL456" i="1"/>
  <c r="DH456" i="1"/>
  <c r="CI456" i="1"/>
  <c r="DN456" i="1"/>
  <c r="DO456" i="1"/>
  <c r="DI456" i="1"/>
  <c r="DJ456" i="1"/>
  <c r="DK456" i="1"/>
  <c r="DL456" i="1"/>
  <c r="CZ457" i="1"/>
  <c r="DA457" i="1"/>
  <c r="DB457" i="1"/>
  <c r="CM457" i="1"/>
  <c r="DF457" i="1"/>
  <c r="CP457" i="1"/>
  <c r="DG457" i="1"/>
  <c r="CL457" i="1"/>
  <c r="DH457" i="1"/>
  <c r="CI457" i="1"/>
  <c r="DN457" i="1"/>
  <c r="DO457" i="1"/>
  <c r="DI457" i="1"/>
  <c r="DJ457" i="1"/>
  <c r="DK457" i="1"/>
  <c r="DL457" i="1"/>
  <c r="CZ458" i="1"/>
  <c r="DA458" i="1"/>
  <c r="DB458" i="1"/>
  <c r="CM458" i="1"/>
  <c r="DF458" i="1"/>
  <c r="CP458" i="1"/>
  <c r="DG458" i="1"/>
  <c r="CL458" i="1"/>
  <c r="DH458" i="1"/>
  <c r="CI458" i="1"/>
  <c r="DN458" i="1"/>
  <c r="DO458" i="1"/>
  <c r="DI458" i="1"/>
  <c r="DJ458" i="1"/>
  <c r="DK458" i="1"/>
  <c r="DL458" i="1"/>
  <c r="CZ459" i="1"/>
  <c r="DA459" i="1"/>
  <c r="DB459" i="1"/>
  <c r="CM459" i="1"/>
  <c r="DF459" i="1"/>
  <c r="CP459" i="1"/>
  <c r="DG459" i="1"/>
  <c r="CL459" i="1"/>
  <c r="DH459" i="1"/>
  <c r="CI459" i="1"/>
  <c r="DN459" i="1"/>
  <c r="DO459" i="1"/>
  <c r="DI459" i="1"/>
  <c r="DJ459" i="1"/>
  <c r="DK459" i="1"/>
  <c r="DL459" i="1"/>
  <c r="CZ460" i="1"/>
  <c r="DA460" i="1"/>
  <c r="DB460" i="1"/>
  <c r="CM460" i="1"/>
  <c r="DF460" i="1"/>
  <c r="CP460" i="1"/>
  <c r="DG460" i="1"/>
  <c r="CL460" i="1"/>
  <c r="DH460" i="1"/>
  <c r="CI460" i="1"/>
  <c r="DN460" i="1"/>
  <c r="DO460" i="1"/>
  <c r="DI460" i="1"/>
  <c r="DJ460" i="1"/>
  <c r="DK460" i="1"/>
  <c r="DL460" i="1"/>
  <c r="CZ461" i="1"/>
  <c r="DA461" i="1"/>
  <c r="DB461" i="1"/>
  <c r="CM461" i="1"/>
  <c r="DF461" i="1"/>
  <c r="CP461" i="1"/>
  <c r="DG461" i="1"/>
  <c r="CL461" i="1"/>
  <c r="DH461" i="1"/>
  <c r="CI461" i="1"/>
  <c r="DN461" i="1"/>
  <c r="DO461" i="1"/>
  <c r="DI461" i="1"/>
  <c r="DJ461" i="1"/>
  <c r="DK461" i="1"/>
  <c r="DL461" i="1"/>
  <c r="CZ462" i="1"/>
  <c r="DA462" i="1"/>
  <c r="DB462" i="1"/>
  <c r="CM462" i="1"/>
  <c r="DF462" i="1"/>
  <c r="CP462" i="1"/>
  <c r="DG462" i="1"/>
  <c r="CL462" i="1"/>
  <c r="DH462" i="1"/>
  <c r="CI462" i="1"/>
  <c r="DN462" i="1"/>
  <c r="DO462" i="1"/>
  <c r="DI462" i="1"/>
  <c r="DJ462" i="1"/>
  <c r="DK462" i="1"/>
  <c r="DL462" i="1"/>
  <c r="CZ463" i="1"/>
  <c r="DA463" i="1"/>
  <c r="DB463" i="1"/>
  <c r="CM463" i="1"/>
  <c r="DF463" i="1"/>
  <c r="CP463" i="1"/>
  <c r="DG463" i="1"/>
  <c r="CL463" i="1"/>
  <c r="DH463" i="1"/>
  <c r="CI463" i="1"/>
  <c r="DN463" i="1"/>
  <c r="DO463" i="1"/>
  <c r="DI463" i="1"/>
  <c r="DJ463" i="1"/>
  <c r="DK463" i="1"/>
  <c r="DL463" i="1"/>
  <c r="CZ464" i="1"/>
  <c r="DA464" i="1"/>
  <c r="DB464" i="1"/>
  <c r="CM464" i="1"/>
  <c r="DF464" i="1"/>
  <c r="CP464" i="1"/>
  <c r="DG464" i="1"/>
  <c r="CL464" i="1"/>
  <c r="DH464" i="1"/>
  <c r="CI464" i="1"/>
  <c r="DN464" i="1"/>
  <c r="DO464" i="1"/>
  <c r="DI464" i="1"/>
  <c r="DJ464" i="1"/>
  <c r="DK464" i="1"/>
  <c r="DL464" i="1"/>
  <c r="CZ465" i="1"/>
  <c r="DA465" i="1"/>
  <c r="DB465" i="1"/>
  <c r="CM465" i="1"/>
  <c r="DF465" i="1"/>
  <c r="CP465" i="1"/>
  <c r="DG465" i="1"/>
  <c r="CL465" i="1"/>
  <c r="DH465" i="1"/>
  <c r="CI465" i="1"/>
  <c r="DN465" i="1"/>
  <c r="DO465" i="1"/>
  <c r="DI465" i="1"/>
  <c r="DJ465" i="1"/>
  <c r="DK465" i="1"/>
  <c r="DL465" i="1"/>
  <c r="CZ466" i="1"/>
  <c r="DA466" i="1"/>
  <c r="DB466" i="1"/>
  <c r="CM466" i="1"/>
  <c r="DF466" i="1"/>
  <c r="CP466" i="1"/>
  <c r="DG466" i="1"/>
  <c r="CL466" i="1"/>
  <c r="DH466" i="1"/>
  <c r="CI466" i="1"/>
  <c r="DN466" i="1"/>
  <c r="DO466" i="1"/>
  <c r="DI466" i="1"/>
  <c r="DJ466" i="1"/>
  <c r="DK466" i="1"/>
  <c r="DL466" i="1"/>
  <c r="CZ467" i="1"/>
  <c r="DA467" i="1"/>
  <c r="DB467" i="1"/>
  <c r="CM467" i="1"/>
  <c r="DF467" i="1"/>
  <c r="CP467" i="1"/>
  <c r="DG467" i="1"/>
  <c r="CL467" i="1"/>
  <c r="DH467" i="1"/>
  <c r="CI467" i="1"/>
  <c r="DN467" i="1"/>
  <c r="DO467" i="1"/>
  <c r="DI467" i="1"/>
  <c r="DJ467" i="1"/>
  <c r="DK467" i="1"/>
  <c r="DL467" i="1"/>
  <c r="CZ468" i="1"/>
  <c r="DA468" i="1"/>
  <c r="DB468" i="1"/>
  <c r="CM468" i="1"/>
  <c r="DF468" i="1"/>
  <c r="CP468" i="1"/>
  <c r="DG468" i="1"/>
  <c r="CL468" i="1"/>
  <c r="DH468" i="1"/>
  <c r="CI468" i="1"/>
  <c r="DN468" i="1"/>
  <c r="DO468" i="1"/>
  <c r="DI468" i="1"/>
  <c r="DJ468" i="1"/>
  <c r="DK468" i="1"/>
  <c r="DL468" i="1"/>
  <c r="CZ469" i="1"/>
  <c r="DA469" i="1"/>
  <c r="DB469" i="1"/>
  <c r="CM469" i="1"/>
  <c r="DF469" i="1"/>
  <c r="CP469" i="1"/>
  <c r="DG469" i="1"/>
  <c r="CL469" i="1"/>
  <c r="DH469" i="1"/>
  <c r="CI469" i="1"/>
  <c r="DN469" i="1"/>
  <c r="DO469" i="1"/>
  <c r="DI469" i="1"/>
  <c r="DJ469" i="1"/>
  <c r="DK469" i="1"/>
  <c r="DL469" i="1"/>
  <c r="CZ470" i="1"/>
  <c r="DA470" i="1"/>
  <c r="DB470" i="1"/>
  <c r="CM470" i="1"/>
  <c r="DF470" i="1"/>
  <c r="CP470" i="1"/>
  <c r="DG470" i="1"/>
  <c r="CL470" i="1"/>
  <c r="DH470" i="1"/>
  <c r="CI470" i="1"/>
  <c r="DN470" i="1"/>
  <c r="DO470" i="1"/>
  <c r="DI470" i="1"/>
  <c r="DJ470" i="1"/>
  <c r="DK470" i="1"/>
  <c r="DL470" i="1"/>
  <c r="CZ471" i="1"/>
  <c r="DA471" i="1"/>
  <c r="DB471" i="1"/>
  <c r="CM471" i="1"/>
  <c r="DF471" i="1"/>
  <c r="CP471" i="1"/>
  <c r="DG471" i="1"/>
  <c r="CL471" i="1"/>
  <c r="DH471" i="1"/>
  <c r="CI471" i="1"/>
  <c r="DN471" i="1"/>
  <c r="DO471" i="1"/>
  <c r="DI471" i="1"/>
  <c r="DJ471" i="1"/>
  <c r="DK471" i="1"/>
  <c r="DL471" i="1"/>
  <c r="CZ472" i="1"/>
  <c r="DA472" i="1"/>
  <c r="DB472" i="1"/>
  <c r="CM472" i="1"/>
  <c r="DF472" i="1"/>
  <c r="CP472" i="1"/>
  <c r="DG472" i="1"/>
  <c r="CL472" i="1"/>
  <c r="DH472" i="1"/>
  <c r="CI472" i="1"/>
  <c r="DN472" i="1"/>
  <c r="DO472" i="1"/>
  <c r="DI472" i="1"/>
  <c r="DJ472" i="1"/>
  <c r="DK472" i="1"/>
  <c r="DL472" i="1"/>
  <c r="CZ473" i="1"/>
  <c r="DA473" i="1"/>
  <c r="DB473" i="1"/>
  <c r="CM473" i="1"/>
  <c r="DF473" i="1"/>
  <c r="CP473" i="1"/>
  <c r="DG473" i="1"/>
  <c r="CL473" i="1"/>
  <c r="DH473" i="1"/>
  <c r="CI473" i="1"/>
  <c r="DN473" i="1"/>
  <c r="DO473" i="1"/>
  <c r="DI473" i="1"/>
  <c r="DJ473" i="1"/>
  <c r="DK473" i="1"/>
  <c r="DL473" i="1"/>
  <c r="CZ474" i="1"/>
  <c r="DA474" i="1"/>
  <c r="DB474" i="1"/>
  <c r="CM474" i="1"/>
  <c r="DF474" i="1"/>
  <c r="CP474" i="1"/>
  <c r="DG474" i="1"/>
  <c r="CL474" i="1"/>
  <c r="DH474" i="1"/>
  <c r="CI474" i="1"/>
  <c r="DN474" i="1"/>
  <c r="DO474" i="1"/>
  <c r="DI474" i="1"/>
  <c r="DJ474" i="1"/>
  <c r="DK474" i="1"/>
  <c r="DL474" i="1"/>
  <c r="CZ475" i="1"/>
  <c r="DA475" i="1"/>
  <c r="DB475" i="1"/>
  <c r="CM475" i="1"/>
  <c r="DF475" i="1"/>
  <c r="CP475" i="1"/>
  <c r="DG475" i="1"/>
  <c r="CL475" i="1"/>
  <c r="DH475" i="1"/>
  <c r="CI475" i="1"/>
  <c r="DN475" i="1"/>
  <c r="DO475" i="1"/>
  <c r="DI475" i="1"/>
  <c r="DJ475" i="1"/>
  <c r="DK475" i="1"/>
  <c r="DL475" i="1"/>
  <c r="CZ476" i="1"/>
  <c r="DA476" i="1"/>
  <c r="DB476" i="1"/>
  <c r="CM476" i="1"/>
  <c r="DF476" i="1"/>
  <c r="CP476" i="1"/>
  <c r="DG476" i="1"/>
  <c r="CL476" i="1"/>
  <c r="DH476" i="1"/>
  <c r="CI476" i="1"/>
  <c r="DN476" i="1"/>
  <c r="DO476" i="1"/>
  <c r="DI476" i="1"/>
  <c r="DJ476" i="1"/>
  <c r="DK476" i="1"/>
  <c r="DL476" i="1"/>
  <c r="CZ477" i="1"/>
  <c r="DA477" i="1"/>
  <c r="DB477" i="1"/>
  <c r="CM477" i="1"/>
  <c r="DF477" i="1"/>
  <c r="CP477" i="1"/>
  <c r="DG477" i="1"/>
  <c r="CL477" i="1"/>
  <c r="DH477" i="1"/>
  <c r="CI477" i="1"/>
  <c r="DN477" i="1"/>
  <c r="DO477" i="1"/>
  <c r="DI477" i="1"/>
  <c r="DJ477" i="1"/>
  <c r="DK477" i="1"/>
  <c r="DL477" i="1"/>
  <c r="CZ478" i="1"/>
  <c r="DA478" i="1"/>
  <c r="DB478" i="1"/>
  <c r="CM478" i="1"/>
  <c r="DF478" i="1"/>
  <c r="CP478" i="1"/>
  <c r="DG478" i="1"/>
  <c r="CL478" i="1"/>
  <c r="DH478" i="1"/>
  <c r="CI478" i="1"/>
  <c r="DN478" i="1"/>
  <c r="DO478" i="1"/>
  <c r="DI478" i="1"/>
  <c r="DJ478" i="1"/>
  <c r="DK478" i="1"/>
  <c r="DL478" i="1"/>
  <c r="CZ479" i="1"/>
  <c r="DA479" i="1"/>
  <c r="DB479" i="1"/>
  <c r="CM479" i="1"/>
  <c r="DF479" i="1"/>
  <c r="CP479" i="1"/>
  <c r="DG479" i="1"/>
  <c r="CL479" i="1"/>
  <c r="DH479" i="1"/>
  <c r="CI479" i="1"/>
  <c r="DN479" i="1"/>
  <c r="DO479" i="1"/>
  <c r="DI479" i="1"/>
  <c r="DJ479" i="1"/>
  <c r="DK479" i="1"/>
  <c r="DL479" i="1"/>
  <c r="CZ480" i="1"/>
  <c r="DA480" i="1"/>
  <c r="DB480" i="1"/>
  <c r="CM480" i="1"/>
  <c r="DF480" i="1"/>
  <c r="CP480" i="1"/>
  <c r="DG480" i="1"/>
  <c r="CL480" i="1"/>
  <c r="DH480" i="1"/>
  <c r="CI480" i="1"/>
  <c r="DN480" i="1"/>
  <c r="DO480" i="1"/>
  <c r="DI480" i="1"/>
  <c r="DJ480" i="1"/>
  <c r="DK480" i="1"/>
  <c r="DL480" i="1"/>
  <c r="CZ481" i="1"/>
  <c r="DA481" i="1"/>
  <c r="DB481" i="1"/>
  <c r="CM481" i="1"/>
  <c r="DF481" i="1"/>
  <c r="CP481" i="1"/>
  <c r="DG481" i="1"/>
  <c r="CL481" i="1"/>
  <c r="DH481" i="1"/>
  <c r="CI481" i="1"/>
  <c r="DN481" i="1"/>
  <c r="DO481" i="1"/>
  <c r="DI481" i="1"/>
  <c r="DJ481" i="1"/>
  <c r="DK481" i="1"/>
  <c r="DL481" i="1"/>
  <c r="CZ482" i="1"/>
  <c r="DA482" i="1"/>
  <c r="DB482" i="1"/>
  <c r="CM482" i="1"/>
  <c r="DF482" i="1"/>
  <c r="CP482" i="1"/>
  <c r="DG482" i="1"/>
  <c r="CL482" i="1"/>
  <c r="DH482" i="1"/>
  <c r="CI482" i="1"/>
  <c r="DN482" i="1"/>
  <c r="DO482" i="1"/>
  <c r="DI482" i="1"/>
  <c r="DJ482" i="1"/>
  <c r="DK482" i="1"/>
  <c r="DL482" i="1"/>
  <c r="CZ483" i="1"/>
  <c r="DA483" i="1"/>
  <c r="DB483" i="1"/>
  <c r="CM483" i="1"/>
  <c r="DF483" i="1"/>
  <c r="CP483" i="1"/>
  <c r="DG483" i="1"/>
  <c r="CL483" i="1"/>
  <c r="DH483" i="1"/>
  <c r="CI483" i="1"/>
  <c r="DN483" i="1"/>
  <c r="DO483" i="1"/>
  <c r="DI483" i="1"/>
  <c r="DJ483" i="1"/>
  <c r="DK483" i="1"/>
  <c r="DL483" i="1"/>
  <c r="CZ484" i="1"/>
  <c r="DA484" i="1"/>
  <c r="DB484" i="1"/>
  <c r="CM484" i="1"/>
  <c r="DF484" i="1"/>
  <c r="CP484" i="1"/>
  <c r="DG484" i="1"/>
  <c r="CL484" i="1"/>
  <c r="DH484" i="1"/>
  <c r="CI484" i="1"/>
  <c r="DN484" i="1"/>
  <c r="DO484" i="1"/>
  <c r="DI484" i="1"/>
  <c r="DJ484" i="1"/>
  <c r="DK484" i="1"/>
  <c r="DL484" i="1"/>
  <c r="CZ485" i="1"/>
  <c r="DA485" i="1"/>
  <c r="DB485" i="1"/>
  <c r="CM485" i="1"/>
  <c r="DF485" i="1"/>
  <c r="CP485" i="1"/>
  <c r="DG485" i="1"/>
  <c r="CL485" i="1"/>
  <c r="DH485" i="1"/>
  <c r="CI485" i="1"/>
  <c r="DN485" i="1"/>
  <c r="DO485" i="1"/>
  <c r="DI485" i="1"/>
  <c r="DJ485" i="1"/>
  <c r="DK485" i="1"/>
  <c r="DL485" i="1"/>
  <c r="CZ486" i="1"/>
  <c r="DA486" i="1"/>
  <c r="DB486" i="1"/>
  <c r="CM486" i="1"/>
  <c r="DF486" i="1"/>
  <c r="CP486" i="1"/>
  <c r="DG486" i="1"/>
  <c r="CL486" i="1"/>
  <c r="DH486" i="1"/>
  <c r="CI486" i="1"/>
  <c r="DN486" i="1"/>
  <c r="DO486" i="1"/>
  <c r="DI486" i="1"/>
  <c r="DJ486" i="1"/>
  <c r="DK486" i="1"/>
  <c r="DL486" i="1"/>
  <c r="CZ487" i="1"/>
  <c r="DA487" i="1"/>
  <c r="DB487" i="1"/>
  <c r="CM487" i="1"/>
  <c r="DF487" i="1"/>
  <c r="CP487" i="1"/>
  <c r="DG487" i="1"/>
  <c r="CL487" i="1"/>
  <c r="DH487" i="1"/>
  <c r="CI487" i="1"/>
  <c r="DN487" i="1"/>
  <c r="DO487" i="1"/>
  <c r="DI487" i="1"/>
  <c r="DJ487" i="1"/>
  <c r="DK487" i="1"/>
  <c r="DL487" i="1"/>
  <c r="CZ488" i="1"/>
  <c r="DA488" i="1"/>
  <c r="DB488" i="1"/>
  <c r="CM488" i="1"/>
  <c r="DF488" i="1"/>
  <c r="CP488" i="1"/>
  <c r="DG488" i="1"/>
  <c r="CL488" i="1"/>
  <c r="DH488" i="1"/>
  <c r="CI488" i="1"/>
  <c r="DN488" i="1"/>
  <c r="DO488" i="1"/>
  <c r="DI488" i="1"/>
  <c r="DJ488" i="1"/>
  <c r="DK488" i="1"/>
  <c r="DL488" i="1"/>
  <c r="CZ489" i="1"/>
  <c r="DA489" i="1"/>
  <c r="DB489" i="1"/>
  <c r="CM489" i="1"/>
  <c r="DF489" i="1"/>
  <c r="CP489" i="1"/>
  <c r="DG489" i="1"/>
  <c r="CL489" i="1"/>
  <c r="DH489" i="1"/>
  <c r="CI489" i="1"/>
  <c r="DN489" i="1"/>
  <c r="DO489" i="1"/>
  <c r="DI489" i="1"/>
  <c r="DJ489" i="1"/>
  <c r="DK489" i="1"/>
  <c r="DL489" i="1"/>
  <c r="CZ490" i="1"/>
  <c r="DA490" i="1"/>
  <c r="DB490" i="1"/>
  <c r="CM490" i="1"/>
  <c r="DF490" i="1"/>
  <c r="CP490" i="1"/>
  <c r="DG490" i="1"/>
  <c r="CL490" i="1"/>
  <c r="DH490" i="1"/>
  <c r="CI490" i="1"/>
  <c r="DN490" i="1"/>
  <c r="DO490" i="1"/>
  <c r="DI490" i="1"/>
  <c r="DJ490" i="1"/>
  <c r="DK490" i="1"/>
  <c r="DL490" i="1"/>
  <c r="CZ491" i="1"/>
  <c r="DA491" i="1"/>
  <c r="DB491" i="1"/>
  <c r="CM491" i="1"/>
  <c r="DF491" i="1"/>
  <c r="CP491" i="1"/>
  <c r="DG491" i="1"/>
  <c r="CL491" i="1"/>
  <c r="DH491" i="1"/>
  <c r="CI491" i="1"/>
  <c r="DN491" i="1"/>
  <c r="DO491" i="1"/>
  <c r="DI491" i="1"/>
  <c r="DJ491" i="1"/>
  <c r="DK491" i="1"/>
  <c r="DL491" i="1"/>
  <c r="CZ492" i="1"/>
  <c r="DA492" i="1"/>
  <c r="DB492" i="1"/>
  <c r="CM492" i="1"/>
  <c r="DF492" i="1"/>
  <c r="CP492" i="1"/>
  <c r="DG492" i="1"/>
  <c r="CL492" i="1"/>
  <c r="DH492" i="1"/>
  <c r="CI492" i="1"/>
  <c r="DN492" i="1"/>
  <c r="DO492" i="1"/>
  <c r="DI492" i="1"/>
  <c r="DJ492" i="1"/>
  <c r="DK492" i="1"/>
  <c r="DL492" i="1"/>
  <c r="CZ493" i="1"/>
  <c r="DA493" i="1"/>
  <c r="DB493" i="1"/>
  <c r="CM493" i="1"/>
  <c r="DF493" i="1"/>
  <c r="CP493" i="1"/>
  <c r="DG493" i="1"/>
  <c r="CL493" i="1"/>
  <c r="DH493" i="1"/>
  <c r="CI493" i="1"/>
  <c r="DN493" i="1"/>
  <c r="DO493" i="1"/>
  <c r="DI493" i="1"/>
  <c r="DJ493" i="1"/>
  <c r="DK493" i="1"/>
  <c r="DL493" i="1"/>
  <c r="CZ494" i="1"/>
  <c r="DA494" i="1"/>
  <c r="DB494" i="1"/>
  <c r="CM494" i="1"/>
  <c r="DF494" i="1"/>
  <c r="CP494" i="1"/>
  <c r="DG494" i="1"/>
  <c r="CL494" i="1"/>
  <c r="DH494" i="1"/>
  <c r="CI494" i="1"/>
  <c r="DN494" i="1"/>
  <c r="DO494" i="1"/>
  <c r="DI494" i="1"/>
  <c r="DJ494" i="1"/>
  <c r="DK494" i="1"/>
  <c r="DL494" i="1"/>
  <c r="CZ495" i="1"/>
  <c r="DA495" i="1"/>
  <c r="DB495" i="1"/>
  <c r="CM495" i="1"/>
  <c r="DF495" i="1"/>
  <c r="CP495" i="1"/>
  <c r="DG495" i="1"/>
  <c r="CL495" i="1"/>
  <c r="DH495" i="1"/>
  <c r="CI495" i="1"/>
  <c r="DN495" i="1"/>
  <c r="DO495" i="1"/>
  <c r="DI495" i="1"/>
  <c r="DJ495" i="1"/>
  <c r="DK495" i="1"/>
  <c r="DL495" i="1"/>
  <c r="CZ496" i="1"/>
  <c r="DA496" i="1"/>
  <c r="DB496" i="1"/>
  <c r="CM496" i="1"/>
  <c r="DF496" i="1"/>
  <c r="CP496" i="1"/>
  <c r="DG496" i="1"/>
  <c r="CL496" i="1"/>
  <c r="DH496" i="1"/>
  <c r="CI496" i="1"/>
  <c r="DN496" i="1"/>
  <c r="DO496" i="1"/>
  <c r="DI496" i="1"/>
  <c r="DJ496" i="1"/>
  <c r="DK496" i="1"/>
  <c r="DL496" i="1"/>
  <c r="CZ497" i="1"/>
  <c r="DA497" i="1"/>
  <c r="DB497" i="1"/>
  <c r="CM497" i="1"/>
  <c r="DF497" i="1"/>
  <c r="CP497" i="1"/>
  <c r="DG497" i="1"/>
  <c r="CL497" i="1"/>
  <c r="DH497" i="1"/>
  <c r="CI497" i="1"/>
  <c r="DN497" i="1"/>
  <c r="DO497" i="1"/>
  <c r="DI497" i="1"/>
  <c r="DJ497" i="1"/>
  <c r="DK497" i="1"/>
  <c r="DL497" i="1"/>
  <c r="CZ498" i="1"/>
  <c r="DA498" i="1"/>
  <c r="DB498" i="1"/>
  <c r="CM498" i="1"/>
  <c r="DF498" i="1"/>
  <c r="CP498" i="1"/>
  <c r="DG498" i="1"/>
  <c r="CL498" i="1"/>
  <c r="DH498" i="1"/>
  <c r="CI498" i="1"/>
  <c r="DN498" i="1"/>
  <c r="DO498" i="1"/>
  <c r="DI498" i="1"/>
  <c r="DJ498" i="1"/>
  <c r="DK498" i="1"/>
  <c r="DL498" i="1"/>
  <c r="CZ499" i="1"/>
  <c r="DA499" i="1"/>
  <c r="DB499" i="1"/>
  <c r="CM499" i="1"/>
  <c r="DF499" i="1"/>
  <c r="CP499" i="1"/>
  <c r="DG499" i="1"/>
  <c r="CL499" i="1"/>
  <c r="DH499" i="1"/>
  <c r="CI499" i="1"/>
  <c r="DN499" i="1"/>
  <c r="DO499" i="1"/>
  <c r="DI499" i="1"/>
  <c r="DJ499" i="1"/>
  <c r="DK499" i="1"/>
  <c r="DL499" i="1"/>
  <c r="CZ500" i="1"/>
  <c r="DA500" i="1"/>
  <c r="DB500" i="1"/>
  <c r="CM500" i="1"/>
  <c r="DF500" i="1"/>
  <c r="CP500" i="1"/>
  <c r="DG500" i="1"/>
  <c r="CL500" i="1"/>
  <c r="DH500" i="1"/>
  <c r="CI500" i="1"/>
  <c r="DN500" i="1"/>
  <c r="DO500" i="1"/>
  <c r="DI500" i="1"/>
  <c r="DJ500" i="1"/>
  <c r="DK500" i="1"/>
  <c r="DL500" i="1"/>
  <c r="CZ501" i="1"/>
  <c r="DA501" i="1"/>
  <c r="DB501" i="1"/>
  <c r="CM501" i="1"/>
  <c r="DF501" i="1"/>
  <c r="CP501" i="1"/>
  <c r="DG501" i="1"/>
  <c r="CL501" i="1"/>
  <c r="DH501" i="1"/>
  <c r="CI501" i="1"/>
  <c r="DN501" i="1"/>
  <c r="DO501" i="1"/>
  <c r="DI501" i="1"/>
  <c r="DJ501" i="1"/>
  <c r="DK501" i="1"/>
  <c r="DL501" i="1"/>
  <c r="CZ502" i="1"/>
  <c r="DA502" i="1"/>
  <c r="DB502" i="1"/>
  <c r="CM502" i="1"/>
  <c r="DF502" i="1"/>
  <c r="CP502" i="1"/>
  <c r="DG502" i="1"/>
  <c r="CL502" i="1"/>
  <c r="DH502" i="1"/>
  <c r="CI502" i="1"/>
  <c r="DN502" i="1"/>
  <c r="DO502" i="1"/>
  <c r="DI502" i="1"/>
  <c r="DJ502" i="1"/>
  <c r="DK502" i="1"/>
  <c r="DL502" i="1"/>
  <c r="CZ503" i="1"/>
  <c r="DA503" i="1"/>
  <c r="DB503" i="1"/>
  <c r="CM503" i="1"/>
  <c r="DF503" i="1"/>
  <c r="CP503" i="1"/>
  <c r="DG503" i="1"/>
  <c r="CL503" i="1"/>
  <c r="DH503" i="1"/>
  <c r="CI503" i="1"/>
  <c r="DN503" i="1"/>
  <c r="DO503" i="1"/>
  <c r="DI503" i="1"/>
  <c r="DJ503" i="1"/>
  <c r="DK503" i="1"/>
  <c r="DL503" i="1"/>
  <c r="CZ504" i="1"/>
  <c r="DA504" i="1"/>
  <c r="DB504" i="1"/>
  <c r="CM504" i="1"/>
  <c r="DF504" i="1"/>
  <c r="CP504" i="1"/>
  <c r="DG504" i="1"/>
  <c r="CL504" i="1"/>
  <c r="DH504" i="1"/>
  <c r="CI504" i="1"/>
  <c r="DN504" i="1"/>
  <c r="DO504" i="1"/>
  <c r="DI504" i="1"/>
  <c r="DJ504" i="1"/>
  <c r="DK504" i="1"/>
  <c r="DL504" i="1"/>
  <c r="CZ505" i="1"/>
  <c r="DA505" i="1"/>
  <c r="DB505" i="1"/>
  <c r="CM505" i="1"/>
  <c r="DF505" i="1"/>
  <c r="CP505" i="1"/>
  <c r="DG505" i="1"/>
  <c r="CL505" i="1"/>
  <c r="DH505" i="1"/>
  <c r="CI505" i="1"/>
  <c r="DN505" i="1"/>
  <c r="DO505" i="1"/>
  <c r="DI505" i="1"/>
  <c r="DJ505" i="1"/>
  <c r="DK505" i="1"/>
  <c r="DL505" i="1"/>
  <c r="CZ506" i="1"/>
  <c r="DA506" i="1"/>
  <c r="DB506" i="1"/>
  <c r="CM506" i="1"/>
  <c r="DF506" i="1"/>
  <c r="CP506" i="1"/>
  <c r="DG506" i="1"/>
  <c r="CL506" i="1"/>
  <c r="DH506" i="1"/>
  <c r="CI506" i="1"/>
  <c r="DN506" i="1"/>
  <c r="DO506" i="1"/>
  <c r="DI506" i="1"/>
  <c r="DJ506" i="1"/>
  <c r="DK506" i="1"/>
  <c r="DL506" i="1"/>
  <c r="CZ507" i="1"/>
  <c r="DA507" i="1"/>
  <c r="DB507" i="1"/>
  <c r="CM507" i="1"/>
  <c r="DF507" i="1"/>
  <c r="CP507" i="1"/>
  <c r="DG507" i="1"/>
  <c r="CL507" i="1"/>
  <c r="DH507" i="1"/>
  <c r="CI507" i="1"/>
  <c r="DN507" i="1"/>
  <c r="DO507" i="1"/>
  <c r="DI507" i="1"/>
  <c r="DJ507" i="1"/>
  <c r="DK507" i="1"/>
  <c r="DL507" i="1"/>
  <c r="CZ508" i="1"/>
  <c r="DA508" i="1"/>
  <c r="DB508" i="1"/>
  <c r="CM508" i="1"/>
  <c r="DF508" i="1"/>
  <c r="CP508" i="1"/>
  <c r="DG508" i="1"/>
  <c r="CL508" i="1"/>
  <c r="DH508" i="1"/>
  <c r="CI508" i="1"/>
  <c r="DN508" i="1"/>
  <c r="DO508" i="1"/>
  <c r="DI508" i="1"/>
  <c r="DJ508" i="1"/>
  <c r="DK508" i="1"/>
  <c r="DL508" i="1"/>
  <c r="CZ509" i="1"/>
  <c r="DA509" i="1"/>
  <c r="DB509" i="1"/>
  <c r="CM509" i="1"/>
  <c r="DF509" i="1"/>
  <c r="CP509" i="1"/>
  <c r="DG509" i="1"/>
  <c r="CL509" i="1"/>
  <c r="DH509" i="1"/>
  <c r="CI509" i="1"/>
  <c r="DN509" i="1"/>
  <c r="DO509" i="1"/>
  <c r="DI509" i="1"/>
  <c r="DJ509" i="1"/>
  <c r="DK509" i="1"/>
  <c r="DL509" i="1"/>
  <c r="CZ510" i="1"/>
  <c r="DA510" i="1"/>
  <c r="DB510" i="1"/>
  <c r="CM510" i="1"/>
  <c r="DF510" i="1"/>
  <c r="CP510" i="1"/>
  <c r="DG510" i="1"/>
  <c r="CL510" i="1"/>
  <c r="DH510" i="1"/>
  <c r="CI510" i="1"/>
  <c r="DN510" i="1"/>
  <c r="DO510" i="1"/>
  <c r="DI510" i="1"/>
  <c r="DJ510" i="1"/>
  <c r="DK510" i="1"/>
  <c r="DL510" i="1"/>
  <c r="CZ511" i="1"/>
  <c r="DA511" i="1"/>
  <c r="DB511" i="1"/>
  <c r="CM511" i="1"/>
  <c r="DF511" i="1"/>
  <c r="CP511" i="1"/>
  <c r="DG511" i="1"/>
  <c r="CL511" i="1"/>
  <c r="DH511" i="1"/>
  <c r="CI511" i="1"/>
  <c r="DN511" i="1"/>
  <c r="DO511" i="1"/>
  <c r="DI511" i="1"/>
  <c r="DJ511" i="1"/>
  <c r="DK511" i="1"/>
  <c r="DL511" i="1"/>
  <c r="CZ512" i="1"/>
  <c r="DA512" i="1"/>
  <c r="DB512" i="1"/>
  <c r="CM512" i="1"/>
  <c r="DF512" i="1"/>
  <c r="CP512" i="1"/>
  <c r="DG512" i="1"/>
  <c r="CL512" i="1"/>
  <c r="DH512" i="1"/>
  <c r="CI512" i="1"/>
  <c r="DN512" i="1"/>
  <c r="DO512" i="1"/>
  <c r="DI512" i="1"/>
  <c r="DJ512" i="1"/>
  <c r="DK512" i="1"/>
  <c r="DL512" i="1"/>
  <c r="CZ513" i="1"/>
  <c r="DA513" i="1"/>
  <c r="DB513" i="1"/>
  <c r="CM513" i="1"/>
  <c r="DF513" i="1"/>
  <c r="CP513" i="1"/>
  <c r="DG513" i="1"/>
  <c r="CL513" i="1"/>
  <c r="DH513" i="1"/>
  <c r="CI513" i="1"/>
  <c r="DN513" i="1"/>
  <c r="DO513" i="1"/>
  <c r="DI513" i="1"/>
  <c r="DJ513" i="1"/>
  <c r="DK513" i="1"/>
  <c r="DL513" i="1"/>
  <c r="CZ514" i="1"/>
  <c r="DA514" i="1"/>
  <c r="DB514" i="1"/>
  <c r="CM514" i="1"/>
  <c r="DF514" i="1"/>
  <c r="CP514" i="1"/>
  <c r="DG514" i="1"/>
  <c r="CL514" i="1"/>
  <c r="DH514" i="1"/>
  <c r="CI514" i="1"/>
  <c r="DN514" i="1"/>
  <c r="DO514" i="1"/>
  <c r="DI514" i="1"/>
  <c r="DJ514" i="1"/>
  <c r="DK514" i="1"/>
  <c r="DL514" i="1"/>
  <c r="CZ515" i="1"/>
  <c r="DA515" i="1"/>
  <c r="DB515" i="1"/>
  <c r="CM515" i="1"/>
  <c r="DF515" i="1"/>
  <c r="CP515" i="1"/>
  <c r="DG515" i="1"/>
  <c r="CL515" i="1"/>
  <c r="DH515" i="1"/>
  <c r="CI515" i="1"/>
  <c r="DN515" i="1"/>
  <c r="DO515" i="1"/>
  <c r="DI515" i="1"/>
  <c r="DJ515" i="1"/>
  <c r="DK515" i="1"/>
  <c r="DL515" i="1"/>
  <c r="CZ516" i="1"/>
  <c r="DA516" i="1"/>
  <c r="DB516" i="1"/>
  <c r="CM516" i="1"/>
  <c r="DF516" i="1"/>
  <c r="CP516" i="1"/>
  <c r="DG516" i="1"/>
  <c r="CL516" i="1"/>
  <c r="DH516" i="1"/>
  <c r="CI516" i="1"/>
  <c r="DN516" i="1"/>
  <c r="DO516" i="1"/>
  <c r="DI516" i="1"/>
  <c r="DJ516" i="1"/>
  <c r="DK516" i="1"/>
  <c r="DL516" i="1"/>
  <c r="CZ517" i="1"/>
  <c r="DA517" i="1"/>
  <c r="DB517" i="1"/>
  <c r="CM517" i="1"/>
  <c r="DF517" i="1"/>
  <c r="CP517" i="1"/>
  <c r="DG517" i="1"/>
  <c r="CL517" i="1"/>
  <c r="DH517" i="1"/>
  <c r="CI517" i="1"/>
  <c r="DN517" i="1"/>
  <c r="DO517" i="1"/>
  <c r="DI517" i="1"/>
  <c r="DJ517" i="1"/>
  <c r="DK517" i="1"/>
  <c r="DL517" i="1"/>
  <c r="CZ518" i="1"/>
  <c r="DA518" i="1"/>
  <c r="DB518" i="1"/>
  <c r="CM518" i="1"/>
  <c r="DF518" i="1"/>
  <c r="CP518" i="1"/>
  <c r="DG518" i="1"/>
  <c r="CL518" i="1"/>
  <c r="DH518" i="1"/>
  <c r="CI518" i="1"/>
  <c r="DN518" i="1"/>
  <c r="DO518" i="1"/>
  <c r="DI518" i="1"/>
  <c r="DJ518" i="1"/>
  <c r="DK518" i="1"/>
  <c r="DL518" i="1"/>
  <c r="CZ519" i="1"/>
  <c r="DA519" i="1"/>
  <c r="DB519" i="1"/>
  <c r="CM519" i="1"/>
  <c r="DF519" i="1"/>
  <c r="CP519" i="1"/>
  <c r="DG519" i="1"/>
  <c r="CL519" i="1"/>
  <c r="DH519" i="1"/>
  <c r="CI519" i="1"/>
  <c r="DN519" i="1"/>
  <c r="DO519" i="1"/>
  <c r="DI519" i="1"/>
  <c r="DJ519" i="1"/>
  <c r="DK519" i="1"/>
  <c r="DL519" i="1"/>
  <c r="CZ520" i="1"/>
  <c r="DA520" i="1"/>
  <c r="DB520" i="1"/>
  <c r="CM520" i="1"/>
  <c r="DF520" i="1"/>
  <c r="CP520" i="1"/>
  <c r="DG520" i="1"/>
  <c r="CL520" i="1"/>
  <c r="DH520" i="1"/>
  <c r="CI520" i="1"/>
  <c r="DN520" i="1"/>
  <c r="DO520" i="1"/>
  <c r="DI520" i="1"/>
  <c r="DJ520" i="1"/>
  <c r="DK520" i="1"/>
  <c r="DL520" i="1"/>
  <c r="CZ521" i="1"/>
  <c r="DA521" i="1"/>
  <c r="DB521" i="1"/>
  <c r="CM521" i="1"/>
  <c r="DF521" i="1"/>
  <c r="CP521" i="1"/>
  <c r="DG521" i="1"/>
  <c r="CL521" i="1"/>
  <c r="DH521" i="1"/>
  <c r="CI521" i="1"/>
  <c r="DN521" i="1"/>
  <c r="DO521" i="1"/>
  <c r="DI521" i="1"/>
  <c r="DJ521" i="1"/>
  <c r="DK521" i="1"/>
  <c r="DL521" i="1"/>
  <c r="CZ522" i="1"/>
  <c r="DA522" i="1"/>
  <c r="DB522" i="1"/>
  <c r="CM522" i="1"/>
  <c r="DF522" i="1"/>
  <c r="CP522" i="1"/>
  <c r="DG522" i="1"/>
  <c r="CL522" i="1"/>
  <c r="DH522" i="1"/>
  <c r="CI522" i="1"/>
  <c r="DN522" i="1"/>
  <c r="DO522" i="1"/>
  <c r="DI522" i="1"/>
  <c r="DJ522" i="1"/>
  <c r="DK522" i="1"/>
  <c r="DL522" i="1"/>
  <c r="CZ523" i="1"/>
  <c r="DA523" i="1"/>
  <c r="DB523" i="1"/>
  <c r="CM523" i="1"/>
  <c r="DF523" i="1"/>
  <c r="CP523" i="1"/>
  <c r="DG523" i="1"/>
  <c r="CL523" i="1"/>
  <c r="DH523" i="1"/>
  <c r="CI523" i="1"/>
  <c r="DN523" i="1"/>
  <c r="DO523" i="1"/>
  <c r="DI523" i="1"/>
  <c r="DJ523" i="1"/>
  <c r="DK523" i="1"/>
  <c r="DL523" i="1"/>
  <c r="CZ524" i="1"/>
  <c r="DA524" i="1"/>
  <c r="DB524" i="1"/>
  <c r="CM524" i="1"/>
  <c r="DF524" i="1"/>
  <c r="CP524" i="1"/>
  <c r="DG524" i="1"/>
  <c r="CL524" i="1"/>
  <c r="DH524" i="1"/>
  <c r="CI524" i="1"/>
  <c r="DN524" i="1"/>
  <c r="DO524" i="1"/>
  <c r="DI524" i="1"/>
  <c r="DJ524" i="1"/>
  <c r="DK524" i="1"/>
  <c r="DL524" i="1"/>
  <c r="CZ525" i="1"/>
  <c r="DA525" i="1"/>
  <c r="DB525" i="1"/>
  <c r="CM525" i="1"/>
  <c r="DF525" i="1"/>
  <c r="CP525" i="1"/>
  <c r="DG525" i="1"/>
  <c r="CL525" i="1"/>
  <c r="DH525" i="1"/>
  <c r="CI525" i="1"/>
  <c r="DN525" i="1"/>
  <c r="DO525" i="1"/>
  <c r="DI525" i="1"/>
  <c r="DJ525" i="1"/>
  <c r="DK525" i="1"/>
  <c r="DL525" i="1"/>
  <c r="CZ526" i="1"/>
  <c r="DA526" i="1"/>
  <c r="DB526" i="1"/>
  <c r="CM526" i="1"/>
  <c r="DF526" i="1"/>
  <c r="CP526" i="1"/>
  <c r="DG526" i="1"/>
  <c r="CL526" i="1"/>
  <c r="DH526" i="1"/>
  <c r="CI526" i="1"/>
  <c r="DN526" i="1"/>
  <c r="DO526" i="1"/>
  <c r="DI526" i="1"/>
  <c r="DJ526" i="1"/>
  <c r="DK526" i="1"/>
  <c r="DL526" i="1"/>
  <c r="CZ527" i="1"/>
  <c r="DA527" i="1"/>
  <c r="DB527" i="1"/>
  <c r="CM527" i="1"/>
  <c r="DF527" i="1"/>
  <c r="CP527" i="1"/>
  <c r="DG527" i="1"/>
  <c r="CL527" i="1"/>
  <c r="DH527" i="1"/>
  <c r="CI527" i="1"/>
  <c r="DN527" i="1"/>
  <c r="DO527" i="1"/>
  <c r="DI527" i="1"/>
  <c r="DJ527" i="1"/>
  <c r="DK527" i="1"/>
  <c r="DL527" i="1"/>
  <c r="CZ528" i="1"/>
  <c r="DA528" i="1"/>
  <c r="DB528" i="1"/>
  <c r="CM528" i="1"/>
  <c r="DF528" i="1"/>
  <c r="CP528" i="1"/>
  <c r="DG528" i="1"/>
  <c r="CL528" i="1"/>
  <c r="DH528" i="1"/>
  <c r="CI528" i="1"/>
  <c r="DN528" i="1"/>
  <c r="DO528" i="1"/>
  <c r="DI528" i="1"/>
  <c r="DJ528" i="1"/>
  <c r="DK528" i="1"/>
  <c r="DL528" i="1"/>
  <c r="CZ529" i="1"/>
  <c r="DA529" i="1"/>
  <c r="DB529" i="1"/>
  <c r="CM529" i="1"/>
  <c r="DF529" i="1"/>
  <c r="CP529" i="1"/>
  <c r="DG529" i="1"/>
  <c r="CL529" i="1"/>
  <c r="DH529" i="1"/>
  <c r="CI529" i="1"/>
  <c r="DN529" i="1"/>
  <c r="DO529" i="1"/>
  <c r="DI529" i="1"/>
  <c r="DJ529" i="1"/>
  <c r="DK529" i="1"/>
  <c r="DL529" i="1"/>
  <c r="CZ530" i="1"/>
  <c r="DA530" i="1"/>
  <c r="DB530" i="1"/>
  <c r="CM530" i="1"/>
  <c r="DF530" i="1"/>
  <c r="CP530" i="1"/>
  <c r="DG530" i="1"/>
  <c r="CL530" i="1"/>
  <c r="DH530" i="1"/>
  <c r="CI530" i="1"/>
  <c r="DN530" i="1"/>
  <c r="DO530" i="1"/>
  <c r="DI530" i="1"/>
  <c r="DJ530" i="1"/>
  <c r="DK530" i="1"/>
  <c r="DL530" i="1"/>
  <c r="CZ531" i="1"/>
  <c r="DA531" i="1"/>
  <c r="DB531" i="1"/>
  <c r="CM531" i="1"/>
  <c r="DF531" i="1"/>
  <c r="CP531" i="1"/>
  <c r="DG531" i="1"/>
  <c r="CL531" i="1"/>
  <c r="DH531" i="1"/>
  <c r="CI531" i="1"/>
  <c r="DN531" i="1"/>
  <c r="DO531" i="1"/>
  <c r="DI531" i="1"/>
  <c r="DJ531" i="1"/>
  <c r="DK531" i="1"/>
  <c r="DL531" i="1"/>
  <c r="CZ532" i="1"/>
  <c r="DA532" i="1"/>
  <c r="DB532" i="1"/>
  <c r="CM532" i="1"/>
  <c r="DF532" i="1"/>
  <c r="CP532" i="1"/>
  <c r="DG532" i="1"/>
  <c r="CL532" i="1"/>
  <c r="DH532" i="1"/>
  <c r="CI532" i="1"/>
  <c r="DN532" i="1"/>
  <c r="DO532" i="1"/>
  <c r="DI532" i="1"/>
  <c r="DJ532" i="1"/>
  <c r="DK532" i="1"/>
  <c r="DL532" i="1"/>
  <c r="CZ533" i="1"/>
  <c r="DA533" i="1"/>
  <c r="DB533" i="1"/>
  <c r="CM533" i="1"/>
  <c r="DF533" i="1"/>
  <c r="CP533" i="1"/>
  <c r="DG533" i="1"/>
  <c r="CL533" i="1"/>
  <c r="DH533" i="1"/>
  <c r="CI533" i="1"/>
  <c r="DN533" i="1"/>
  <c r="DO533" i="1"/>
  <c r="DI533" i="1"/>
  <c r="DJ533" i="1"/>
  <c r="DK533" i="1"/>
  <c r="DL533" i="1"/>
  <c r="CZ534" i="1"/>
  <c r="DA534" i="1"/>
  <c r="DB534" i="1"/>
  <c r="CM534" i="1"/>
  <c r="DF534" i="1"/>
  <c r="CP534" i="1"/>
  <c r="DG534" i="1"/>
  <c r="CL534" i="1"/>
  <c r="DH534" i="1"/>
  <c r="CI534" i="1"/>
  <c r="DN534" i="1"/>
  <c r="DO534" i="1"/>
  <c r="DI534" i="1"/>
  <c r="DJ534" i="1"/>
  <c r="DK534" i="1"/>
  <c r="DL534" i="1"/>
  <c r="CZ535" i="1"/>
  <c r="DA535" i="1"/>
  <c r="DB535" i="1"/>
  <c r="CM535" i="1"/>
  <c r="DF535" i="1"/>
  <c r="CP535" i="1"/>
  <c r="DG535" i="1"/>
  <c r="CL535" i="1"/>
  <c r="DH535" i="1"/>
  <c r="CI535" i="1"/>
  <c r="DN535" i="1"/>
  <c r="DO535" i="1"/>
  <c r="DI535" i="1"/>
  <c r="DJ535" i="1"/>
  <c r="DK535" i="1"/>
  <c r="DL535" i="1"/>
  <c r="CZ536" i="1"/>
  <c r="DA536" i="1"/>
  <c r="DB536" i="1"/>
  <c r="CM536" i="1"/>
  <c r="DF536" i="1"/>
  <c r="CP536" i="1"/>
  <c r="DG536" i="1"/>
  <c r="CL536" i="1"/>
  <c r="DH536" i="1"/>
  <c r="CI536" i="1"/>
  <c r="DN536" i="1"/>
  <c r="DO536" i="1"/>
  <c r="DI536" i="1"/>
  <c r="DJ536" i="1"/>
  <c r="DK536" i="1"/>
  <c r="DL536" i="1"/>
  <c r="CZ537" i="1"/>
  <c r="DA537" i="1"/>
  <c r="DB537" i="1"/>
  <c r="CM537" i="1"/>
  <c r="DF537" i="1"/>
  <c r="CP537" i="1"/>
  <c r="DG537" i="1"/>
  <c r="CL537" i="1"/>
  <c r="DH537" i="1"/>
  <c r="CI537" i="1"/>
  <c r="DN537" i="1"/>
  <c r="DO537" i="1"/>
  <c r="DI537" i="1"/>
  <c r="DJ537" i="1"/>
  <c r="DK537" i="1"/>
  <c r="DL537" i="1"/>
  <c r="CZ538" i="1"/>
  <c r="DA538" i="1"/>
  <c r="DB538" i="1"/>
  <c r="CM538" i="1"/>
  <c r="DF538" i="1"/>
  <c r="CP538" i="1"/>
  <c r="DG538" i="1"/>
  <c r="CL538" i="1"/>
  <c r="DH538" i="1"/>
  <c r="CI538" i="1"/>
  <c r="DN538" i="1"/>
  <c r="DO538" i="1"/>
  <c r="DI538" i="1"/>
  <c r="DJ538" i="1"/>
  <c r="DK538" i="1"/>
  <c r="DL538" i="1"/>
  <c r="CZ539" i="1"/>
  <c r="DA539" i="1"/>
  <c r="DB539" i="1"/>
  <c r="CM539" i="1"/>
  <c r="DF539" i="1"/>
  <c r="CP539" i="1"/>
  <c r="DG539" i="1"/>
  <c r="CL539" i="1"/>
  <c r="DH539" i="1"/>
  <c r="CI539" i="1"/>
  <c r="DN539" i="1"/>
  <c r="DO539" i="1"/>
  <c r="DI539" i="1"/>
  <c r="DJ539" i="1"/>
  <c r="DK539" i="1"/>
  <c r="DL539" i="1"/>
  <c r="CZ540" i="1"/>
  <c r="DA540" i="1"/>
  <c r="DB540" i="1"/>
  <c r="CM540" i="1"/>
  <c r="DF540" i="1"/>
  <c r="CP540" i="1"/>
  <c r="DG540" i="1"/>
  <c r="CL540" i="1"/>
  <c r="DH540" i="1"/>
  <c r="CI540" i="1"/>
  <c r="DN540" i="1"/>
  <c r="DO540" i="1"/>
  <c r="DI540" i="1"/>
  <c r="DJ540" i="1"/>
  <c r="DK540" i="1"/>
  <c r="DL540" i="1"/>
  <c r="CZ541" i="1"/>
  <c r="DA541" i="1"/>
  <c r="DB541" i="1"/>
  <c r="CM541" i="1"/>
  <c r="DF541" i="1"/>
  <c r="CP541" i="1"/>
  <c r="DG541" i="1"/>
  <c r="CL541" i="1"/>
  <c r="DH541" i="1"/>
  <c r="CI541" i="1"/>
  <c r="DN541" i="1"/>
  <c r="DO541" i="1"/>
  <c r="DI541" i="1"/>
  <c r="DJ541" i="1"/>
  <c r="DK541" i="1"/>
  <c r="DL541" i="1"/>
  <c r="CZ542" i="1"/>
  <c r="DA542" i="1"/>
  <c r="DB542" i="1"/>
  <c r="CM542" i="1"/>
  <c r="DF542" i="1"/>
  <c r="CP542" i="1"/>
  <c r="DG542" i="1"/>
  <c r="CL542" i="1"/>
  <c r="DH542" i="1"/>
  <c r="CI542" i="1"/>
  <c r="DN542" i="1"/>
  <c r="DO542" i="1"/>
  <c r="DI542" i="1"/>
  <c r="DJ542" i="1"/>
  <c r="DK542" i="1"/>
  <c r="DL542" i="1"/>
  <c r="CZ543" i="1"/>
  <c r="DA543" i="1"/>
  <c r="DB543" i="1"/>
  <c r="CM543" i="1"/>
  <c r="DF543" i="1"/>
  <c r="CP543" i="1"/>
  <c r="DG543" i="1"/>
  <c r="CL543" i="1"/>
  <c r="DH543" i="1"/>
  <c r="CI543" i="1"/>
  <c r="DN543" i="1"/>
  <c r="DO543" i="1"/>
  <c r="DI543" i="1"/>
  <c r="DJ543" i="1"/>
  <c r="DK543" i="1"/>
  <c r="DL543" i="1"/>
  <c r="CZ544" i="1"/>
  <c r="DA544" i="1"/>
  <c r="DB544" i="1"/>
  <c r="CM544" i="1"/>
  <c r="DF544" i="1"/>
  <c r="CP544" i="1"/>
  <c r="DG544" i="1"/>
  <c r="CL544" i="1"/>
  <c r="DH544" i="1"/>
  <c r="CI544" i="1"/>
  <c r="DN544" i="1"/>
  <c r="DO544" i="1"/>
  <c r="DI544" i="1"/>
  <c r="DJ544" i="1"/>
  <c r="DK544" i="1"/>
  <c r="DL544" i="1"/>
  <c r="CZ545" i="1"/>
  <c r="DA545" i="1"/>
  <c r="DB545" i="1"/>
  <c r="CM545" i="1"/>
  <c r="DF545" i="1"/>
  <c r="CP545" i="1"/>
  <c r="DG545" i="1"/>
  <c r="CL545" i="1"/>
  <c r="DH545" i="1"/>
  <c r="CI545" i="1"/>
  <c r="DN545" i="1"/>
  <c r="DO545" i="1"/>
  <c r="DI545" i="1"/>
  <c r="DJ545" i="1"/>
  <c r="DK545" i="1"/>
  <c r="DL545" i="1"/>
  <c r="CZ546" i="1"/>
  <c r="DA546" i="1"/>
  <c r="DB546" i="1"/>
  <c r="CM546" i="1"/>
  <c r="DF546" i="1"/>
  <c r="CP546" i="1"/>
  <c r="DG546" i="1"/>
  <c r="CL546" i="1"/>
  <c r="DH546" i="1"/>
  <c r="CI546" i="1"/>
  <c r="DN546" i="1"/>
  <c r="DO546" i="1"/>
  <c r="DI546" i="1"/>
  <c r="DJ546" i="1"/>
  <c r="DK546" i="1"/>
  <c r="DL546" i="1"/>
  <c r="CZ547" i="1"/>
  <c r="DA547" i="1"/>
  <c r="DB547" i="1"/>
  <c r="CM547" i="1"/>
  <c r="DF547" i="1"/>
  <c r="CP547" i="1"/>
  <c r="DG547" i="1"/>
  <c r="CL547" i="1"/>
  <c r="DH547" i="1"/>
  <c r="CI547" i="1"/>
  <c r="DN547" i="1"/>
  <c r="DO547" i="1"/>
  <c r="DI547" i="1"/>
  <c r="DJ547" i="1"/>
  <c r="DK547" i="1"/>
  <c r="DL547" i="1"/>
  <c r="CZ548" i="1"/>
  <c r="DA548" i="1"/>
  <c r="DB548" i="1"/>
  <c r="CM548" i="1"/>
  <c r="DF548" i="1"/>
  <c r="CP548" i="1"/>
  <c r="DG548" i="1"/>
  <c r="CL548" i="1"/>
  <c r="DH548" i="1"/>
  <c r="CI548" i="1"/>
  <c r="DN548" i="1"/>
  <c r="DO548" i="1"/>
  <c r="DI548" i="1"/>
  <c r="DJ548" i="1"/>
  <c r="DK548" i="1"/>
  <c r="DL548" i="1"/>
  <c r="CZ549" i="1"/>
  <c r="DA549" i="1"/>
  <c r="DB549" i="1"/>
  <c r="CM549" i="1"/>
  <c r="DF549" i="1"/>
  <c r="CP549" i="1"/>
  <c r="DG549" i="1"/>
  <c r="CL549" i="1"/>
  <c r="DH549" i="1"/>
  <c r="CI549" i="1"/>
  <c r="DN549" i="1"/>
  <c r="DO549" i="1"/>
  <c r="DI549" i="1"/>
  <c r="DJ549" i="1"/>
  <c r="DK549" i="1"/>
  <c r="DL549" i="1"/>
  <c r="CZ550" i="1"/>
  <c r="DA550" i="1"/>
  <c r="DB550" i="1"/>
  <c r="CM550" i="1"/>
  <c r="DF550" i="1"/>
  <c r="CP550" i="1"/>
  <c r="DG550" i="1"/>
  <c r="CL550" i="1"/>
  <c r="DH550" i="1"/>
  <c r="CI550" i="1"/>
  <c r="DN550" i="1"/>
  <c r="DO550" i="1"/>
  <c r="DI550" i="1"/>
  <c r="DJ550" i="1"/>
  <c r="DK550" i="1"/>
  <c r="DL550" i="1"/>
  <c r="CZ551" i="1"/>
  <c r="DA551" i="1"/>
  <c r="DB551" i="1"/>
  <c r="CM551" i="1"/>
  <c r="DF551" i="1"/>
  <c r="CP551" i="1"/>
  <c r="DG551" i="1"/>
  <c r="CL551" i="1"/>
  <c r="DH551" i="1"/>
  <c r="CI551" i="1"/>
  <c r="DN551" i="1"/>
  <c r="DO551" i="1"/>
  <c r="DI551" i="1"/>
  <c r="DJ551" i="1"/>
  <c r="DK551" i="1"/>
  <c r="DL551" i="1"/>
  <c r="CZ552" i="1"/>
  <c r="DA552" i="1"/>
  <c r="DB552" i="1"/>
  <c r="CM552" i="1"/>
  <c r="DF552" i="1"/>
  <c r="CP552" i="1"/>
  <c r="DG552" i="1"/>
  <c r="CL552" i="1"/>
  <c r="DH552" i="1"/>
  <c r="CI552" i="1"/>
  <c r="DN552" i="1"/>
  <c r="DO552" i="1"/>
  <c r="DI552" i="1"/>
  <c r="DJ552" i="1"/>
  <c r="DK552" i="1"/>
  <c r="DL552" i="1"/>
  <c r="CZ553" i="1"/>
  <c r="DA553" i="1"/>
  <c r="DB553" i="1"/>
  <c r="CM553" i="1"/>
  <c r="DF553" i="1"/>
  <c r="CP553" i="1"/>
  <c r="DG553" i="1"/>
  <c r="CL553" i="1"/>
  <c r="DH553" i="1"/>
  <c r="CI553" i="1"/>
  <c r="DN553" i="1"/>
  <c r="DO553" i="1"/>
  <c r="DI553" i="1"/>
  <c r="DJ553" i="1"/>
  <c r="DK553" i="1"/>
  <c r="DL553" i="1"/>
  <c r="CZ554" i="1"/>
  <c r="DA554" i="1"/>
  <c r="DB554" i="1"/>
  <c r="CM554" i="1"/>
  <c r="DF554" i="1"/>
  <c r="CP554" i="1"/>
  <c r="DG554" i="1"/>
  <c r="CL554" i="1"/>
  <c r="DH554" i="1"/>
  <c r="CI554" i="1"/>
  <c r="DN554" i="1"/>
  <c r="DO554" i="1"/>
  <c r="DI554" i="1"/>
  <c r="DJ554" i="1"/>
  <c r="DK554" i="1"/>
  <c r="DL554" i="1"/>
  <c r="CZ555" i="1"/>
  <c r="DA555" i="1"/>
  <c r="DB555" i="1"/>
  <c r="CM555" i="1"/>
  <c r="DF555" i="1"/>
  <c r="CP555" i="1"/>
  <c r="DG555" i="1"/>
  <c r="CL555" i="1"/>
  <c r="DH555" i="1"/>
  <c r="CI555" i="1"/>
  <c r="DN555" i="1"/>
  <c r="DO555" i="1"/>
  <c r="DI555" i="1"/>
  <c r="DJ555" i="1"/>
  <c r="DK555" i="1"/>
  <c r="DL555" i="1"/>
  <c r="CZ556" i="1"/>
  <c r="DA556" i="1"/>
  <c r="DB556" i="1"/>
  <c r="CM556" i="1"/>
  <c r="DF556" i="1"/>
  <c r="CP556" i="1"/>
  <c r="DG556" i="1"/>
  <c r="CL556" i="1"/>
  <c r="DH556" i="1"/>
  <c r="CI556" i="1"/>
  <c r="DN556" i="1"/>
  <c r="DO556" i="1"/>
  <c r="DI556" i="1"/>
  <c r="DJ556" i="1"/>
  <c r="DK556" i="1"/>
  <c r="DL556" i="1"/>
  <c r="CZ557" i="1"/>
  <c r="DA557" i="1"/>
  <c r="DB557" i="1"/>
  <c r="CM557" i="1"/>
  <c r="DF557" i="1"/>
  <c r="CP557" i="1"/>
  <c r="DG557" i="1"/>
  <c r="CL557" i="1"/>
  <c r="DH557" i="1"/>
  <c r="CI557" i="1"/>
  <c r="DN557" i="1"/>
  <c r="DO557" i="1"/>
  <c r="DI557" i="1"/>
  <c r="DJ557" i="1"/>
  <c r="DK557" i="1"/>
  <c r="DL557" i="1"/>
  <c r="CZ558" i="1"/>
  <c r="DA558" i="1"/>
  <c r="DB558" i="1"/>
  <c r="CM558" i="1"/>
  <c r="DF558" i="1"/>
  <c r="CP558" i="1"/>
  <c r="DG558" i="1"/>
  <c r="CL558" i="1"/>
  <c r="DH558" i="1"/>
  <c r="CI558" i="1"/>
  <c r="DN558" i="1"/>
  <c r="DO558" i="1"/>
  <c r="DI558" i="1"/>
  <c r="DJ558" i="1"/>
  <c r="DK558" i="1"/>
  <c r="DL558" i="1"/>
  <c r="CZ559" i="1"/>
  <c r="DA559" i="1"/>
  <c r="DB559" i="1"/>
  <c r="CM559" i="1"/>
  <c r="DF559" i="1"/>
  <c r="CP559" i="1"/>
  <c r="DG559" i="1"/>
  <c r="CL559" i="1"/>
  <c r="DH559" i="1"/>
  <c r="CI559" i="1"/>
  <c r="DN559" i="1"/>
  <c r="DO559" i="1"/>
  <c r="DI559" i="1"/>
  <c r="DJ559" i="1"/>
  <c r="DK559" i="1"/>
  <c r="DL559" i="1"/>
  <c r="CZ560" i="1"/>
  <c r="DA560" i="1"/>
  <c r="DB560" i="1"/>
  <c r="CM560" i="1"/>
  <c r="DF560" i="1"/>
  <c r="CP560" i="1"/>
  <c r="DG560" i="1"/>
  <c r="CL560" i="1"/>
  <c r="DH560" i="1"/>
  <c r="CI560" i="1"/>
  <c r="DN560" i="1"/>
  <c r="DO560" i="1"/>
  <c r="DI560" i="1"/>
  <c r="DJ560" i="1"/>
  <c r="DK560" i="1"/>
  <c r="DL560" i="1"/>
  <c r="CZ561" i="1"/>
  <c r="DA561" i="1"/>
  <c r="DB561" i="1"/>
  <c r="CM561" i="1"/>
  <c r="DF561" i="1"/>
  <c r="CP561" i="1"/>
  <c r="DG561" i="1"/>
  <c r="CL561" i="1"/>
  <c r="DH561" i="1"/>
  <c r="CI561" i="1"/>
  <c r="DN561" i="1"/>
  <c r="DO561" i="1"/>
  <c r="DI561" i="1"/>
  <c r="DJ561" i="1"/>
  <c r="DK561" i="1"/>
  <c r="DL561" i="1"/>
  <c r="CZ562" i="1"/>
  <c r="DA562" i="1"/>
  <c r="DB562" i="1"/>
  <c r="CM562" i="1"/>
  <c r="DF562" i="1"/>
  <c r="CP562" i="1"/>
  <c r="DG562" i="1"/>
  <c r="CL562" i="1"/>
  <c r="DH562" i="1"/>
  <c r="CI562" i="1"/>
  <c r="DN562" i="1"/>
  <c r="DO562" i="1"/>
  <c r="DI562" i="1"/>
  <c r="DJ562" i="1"/>
  <c r="DK562" i="1"/>
  <c r="DL562" i="1"/>
  <c r="CZ563" i="1"/>
  <c r="DA563" i="1"/>
  <c r="DB563" i="1"/>
  <c r="CM563" i="1"/>
  <c r="DF563" i="1"/>
  <c r="CP563" i="1"/>
  <c r="DG563" i="1"/>
  <c r="CL563" i="1"/>
  <c r="DH563" i="1"/>
  <c r="CI563" i="1"/>
  <c r="DN563" i="1"/>
  <c r="DO563" i="1"/>
  <c r="DI563" i="1"/>
  <c r="DJ563" i="1"/>
  <c r="DK563" i="1"/>
  <c r="DL563" i="1"/>
  <c r="CZ564" i="1"/>
  <c r="DA564" i="1"/>
  <c r="DB564" i="1"/>
  <c r="CM564" i="1"/>
  <c r="DF564" i="1"/>
  <c r="CP564" i="1"/>
  <c r="DG564" i="1"/>
  <c r="CL564" i="1"/>
  <c r="DH564" i="1"/>
  <c r="CI564" i="1"/>
  <c r="DN564" i="1"/>
  <c r="DO564" i="1"/>
  <c r="DI564" i="1"/>
  <c r="DJ564" i="1"/>
  <c r="DK564" i="1"/>
  <c r="DL564" i="1"/>
  <c r="CZ565" i="1"/>
  <c r="DA565" i="1"/>
  <c r="DB565" i="1"/>
  <c r="CM565" i="1"/>
  <c r="DF565" i="1"/>
  <c r="CP565" i="1"/>
  <c r="DG565" i="1"/>
  <c r="CL565" i="1"/>
  <c r="DH565" i="1"/>
  <c r="CI565" i="1"/>
  <c r="DN565" i="1"/>
  <c r="DO565" i="1"/>
  <c r="DI565" i="1"/>
  <c r="DJ565" i="1"/>
  <c r="DK565" i="1"/>
  <c r="DL565" i="1"/>
  <c r="CZ566" i="1"/>
  <c r="DA566" i="1"/>
  <c r="DB566" i="1"/>
  <c r="CM566" i="1"/>
  <c r="DF566" i="1"/>
  <c r="CP566" i="1"/>
  <c r="DG566" i="1"/>
  <c r="CL566" i="1"/>
  <c r="DH566" i="1"/>
  <c r="CI566" i="1"/>
  <c r="DN566" i="1"/>
  <c r="DO566" i="1"/>
  <c r="DI566" i="1"/>
  <c r="DJ566" i="1"/>
  <c r="DK566" i="1"/>
  <c r="DL566" i="1"/>
  <c r="CZ567" i="1"/>
  <c r="DA567" i="1"/>
  <c r="DB567" i="1"/>
  <c r="CM567" i="1"/>
  <c r="DF567" i="1"/>
  <c r="CP567" i="1"/>
  <c r="DG567" i="1"/>
  <c r="CL567" i="1"/>
  <c r="DH567" i="1"/>
  <c r="CI567" i="1"/>
  <c r="DN567" i="1"/>
  <c r="DO567" i="1"/>
  <c r="DI567" i="1"/>
  <c r="DJ567" i="1"/>
  <c r="DK567" i="1"/>
  <c r="DL567" i="1"/>
  <c r="CZ568" i="1"/>
  <c r="DA568" i="1"/>
  <c r="DB568" i="1"/>
  <c r="CM568" i="1"/>
  <c r="DF568" i="1"/>
  <c r="CP568" i="1"/>
  <c r="DG568" i="1"/>
  <c r="CL568" i="1"/>
  <c r="DH568" i="1"/>
  <c r="CI568" i="1"/>
  <c r="DN568" i="1"/>
  <c r="DO568" i="1"/>
  <c r="DI568" i="1"/>
  <c r="DJ568" i="1"/>
  <c r="DK568" i="1"/>
  <c r="DL568" i="1"/>
  <c r="CZ569" i="1"/>
  <c r="DA569" i="1"/>
  <c r="DB569" i="1"/>
  <c r="CM569" i="1"/>
  <c r="DF569" i="1"/>
  <c r="CP569" i="1"/>
  <c r="DG569" i="1"/>
  <c r="CL569" i="1"/>
  <c r="DH569" i="1"/>
  <c r="CI569" i="1"/>
  <c r="DN569" i="1"/>
  <c r="DO569" i="1"/>
  <c r="DI569" i="1"/>
  <c r="DJ569" i="1"/>
  <c r="DK569" i="1"/>
  <c r="DL569" i="1"/>
  <c r="CZ570" i="1"/>
  <c r="DA570" i="1"/>
  <c r="DB570" i="1"/>
  <c r="CM570" i="1"/>
  <c r="DF570" i="1"/>
  <c r="CP570" i="1"/>
  <c r="DG570" i="1"/>
  <c r="CL570" i="1"/>
  <c r="DH570" i="1"/>
  <c r="CI570" i="1"/>
  <c r="DN570" i="1"/>
  <c r="DO570" i="1"/>
  <c r="DI570" i="1"/>
  <c r="DJ570" i="1"/>
  <c r="DK570" i="1"/>
  <c r="DL570" i="1"/>
  <c r="CZ571" i="1"/>
  <c r="DA571" i="1"/>
  <c r="DB571" i="1"/>
  <c r="CM571" i="1"/>
  <c r="DF571" i="1"/>
  <c r="CP571" i="1"/>
  <c r="DG571" i="1"/>
  <c r="CL571" i="1"/>
  <c r="DH571" i="1"/>
  <c r="CI571" i="1"/>
  <c r="DN571" i="1"/>
  <c r="DO571" i="1"/>
  <c r="DI571" i="1"/>
  <c r="DJ571" i="1"/>
  <c r="DK571" i="1"/>
  <c r="DL571" i="1"/>
  <c r="CZ572" i="1"/>
  <c r="DA572" i="1"/>
  <c r="DB572" i="1"/>
  <c r="CM572" i="1"/>
  <c r="DF572" i="1"/>
  <c r="CP572" i="1"/>
  <c r="DG572" i="1"/>
  <c r="CL572" i="1"/>
  <c r="DH572" i="1"/>
  <c r="CI572" i="1"/>
  <c r="DN572" i="1"/>
  <c r="DO572" i="1"/>
  <c r="DI572" i="1"/>
  <c r="DJ572" i="1"/>
  <c r="DK572" i="1"/>
  <c r="DL572" i="1"/>
  <c r="CZ573" i="1"/>
  <c r="DA573" i="1"/>
  <c r="DB573" i="1"/>
  <c r="CM573" i="1"/>
  <c r="DF573" i="1"/>
  <c r="CP573" i="1"/>
  <c r="DG573" i="1"/>
  <c r="CL573" i="1"/>
  <c r="DH573" i="1"/>
  <c r="CI573" i="1"/>
  <c r="DN573" i="1"/>
  <c r="DO573" i="1"/>
  <c r="DI573" i="1"/>
  <c r="DJ573" i="1"/>
  <c r="DK573" i="1"/>
  <c r="DL573" i="1"/>
  <c r="CZ574" i="1"/>
  <c r="DA574" i="1"/>
  <c r="DB574" i="1"/>
  <c r="CM574" i="1"/>
  <c r="DF574" i="1"/>
  <c r="CP574" i="1"/>
  <c r="DG574" i="1"/>
  <c r="CL574" i="1"/>
  <c r="DH574" i="1"/>
  <c r="CI574" i="1"/>
  <c r="DN574" i="1"/>
  <c r="DO574" i="1"/>
  <c r="DI574" i="1"/>
  <c r="DJ574" i="1"/>
  <c r="DK574" i="1"/>
  <c r="DL574" i="1"/>
  <c r="CZ575" i="1"/>
  <c r="DA575" i="1"/>
  <c r="DB575" i="1"/>
  <c r="CM575" i="1"/>
  <c r="DF575" i="1"/>
  <c r="CP575" i="1"/>
  <c r="DG575" i="1"/>
  <c r="CL575" i="1"/>
  <c r="DH575" i="1"/>
  <c r="CI575" i="1"/>
  <c r="DN575" i="1"/>
  <c r="DO575" i="1"/>
  <c r="DI575" i="1"/>
  <c r="DJ575" i="1"/>
  <c r="DK575" i="1"/>
  <c r="DL575" i="1"/>
  <c r="CZ576" i="1"/>
  <c r="DA576" i="1"/>
  <c r="DB576" i="1"/>
  <c r="CM576" i="1"/>
  <c r="DF576" i="1"/>
  <c r="CP576" i="1"/>
  <c r="DG576" i="1"/>
  <c r="CL576" i="1"/>
  <c r="DH576" i="1"/>
  <c r="CI576" i="1"/>
  <c r="DN576" i="1"/>
  <c r="DO576" i="1"/>
  <c r="DI576" i="1"/>
  <c r="DJ576" i="1"/>
  <c r="DK576" i="1"/>
  <c r="DL576" i="1"/>
  <c r="CZ577" i="1"/>
  <c r="DA577" i="1"/>
  <c r="DB577" i="1"/>
  <c r="CM577" i="1"/>
  <c r="DF577" i="1"/>
  <c r="CP577" i="1"/>
  <c r="DG577" i="1"/>
  <c r="CL577" i="1"/>
  <c r="DH577" i="1"/>
  <c r="CI577" i="1"/>
  <c r="DN577" i="1"/>
  <c r="DO577" i="1"/>
  <c r="DI577" i="1"/>
  <c r="DJ577" i="1"/>
  <c r="DK577" i="1"/>
  <c r="DL577" i="1"/>
  <c r="CZ578" i="1"/>
  <c r="DA578" i="1"/>
  <c r="DB578" i="1"/>
  <c r="CM578" i="1"/>
  <c r="DF578" i="1"/>
  <c r="CP578" i="1"/>
  <c r="DG578" i="1"/>
  <c r="CL578" i="1"/>
  <c r="DH578" i="1"/>
  <c r="CI578" i="1"/>
  <c r="DN578" i="1"/>
  <c r="DO578" i="1"/>
  <c r="DI578" i="1"/>
  <c r="DJ578" i="1"/>
  <c r="DK578" i="1"/>
  <c r="DL578" i="1"/>
  <c r="CZ579" i="1"/>
  <c r="DA579" i="1"/>
  <c r="DB579" i="1"/>
  <c r="CM579" i="1"/>
  <c r="DF579" i="1"/>
  <c r="CP579" i="1"/>
  <c r="DG579" i="1"/>
  <c r="CL579" i="1"/>
  <c r="DH579" i="1"/>
  <c r="CI579" i="1"/>
  <c r="DN579" i="1"/>
  <c r="DO579" i="1"/>
  <c r="DI579" i="1"/>
  <c r="DJ579" i="1"/>
  <c r="DK579" i="1"/>
  <c r="DL579" i="1"/>
  <c r="CZ580" i="1"/>
  <c r="DA580" i="1"/>
  <c r="DB580" i="1"/>
  <c r="CM580" i="1"/>
  <c r="DF580" i="1"/>
  <c r="CP580" i="1"/>
  <c r="DG580" i="1"/>
  <c r="CL580" i="1"/>
  <c r="DH580" i="1"/>
  <c r="CI580" i="1"/>
  <c r="DN580" i="1"/>
  <c r="DO580" i="1"/>
  <c r="DI580" i="1"/>
  <c r="DJ580" i="1"/>
  <c r="DK580" i="1"/>
  <c r="DL580" i="1"/>
  <c r="CZ581" i="1"/>
  <c r="DA581" i="1"/>
  <c r="DB581" i="1"/>
  <c r="CM581" i="1"/>
  <c r="DF581" i="1"/>
  <c r="CP581" i="1"/>
  <c r="DG581" i="1"/>
  <c r="CL581" i="1"/>
  <c r="DH581" i="1"/>
  <c r="CI581" i="1"/>
  <c r="DN581" i="1"/>
  <c r="DO581" i="1"/>
  <c r="DI581" i="1"/>
  <c r="DJ581" i="1"/>
  <c r="DK581" i="1"/>
  <c r="DL581" i="1"/>
  <c r="CZ582" i="1"/>
  <c r="DA582" i="1"/>
  <c r="DB582" i="1"/>
  <c r="CM582" i="1"/>
  <c r="DF582" i="1"/>
  <c r="CP582" i="1"/>
  <c r="DG582" i="1"/>
  <c r="CL582" i="1"/>
  <c r="DH582" i="1"/>
  <c r="CI582" i="1"/>
  <c r="DN582" i="1"/>
  <c r="DO582" i="1"/>
  <c r="DI582" i="1"/>
  <c r="DJ582" i="1"/>
  <c r="DK582" i="1"/>
  <c r="DL582" i="1"/>
  <c r="CZ583" i="1"/>
  <c r="DA583" i="1"/>
  <c r="DB583" i="1"/>
  <c r="CM583" i="1"/>
  <c r="DF583" i="1"/>
  <c r="CP583" i="1"/>
  <c r="DG583" i="1"/>
  <c r="CL583" i="1"/>
  <c r="DH583" i="1"/>
  <c r="CI583" i="1"/>
  <c r="DN583" i="1"/>
  <c r="DO583" i="1"/>
  <c r="DI583" i="1"/>
  <c r="DJ583" i="1"/>
  <c r="DK583" i="1"/>
  <c r="DL583" i="1"/>
  <c r="CZ584" i="1"/>
  <c r="DA584" i="1"/>
  <c r="DB584" i="1"/>
  <c r="CM584" i="1"/>
  <c r="DF584" i="1"/>
  <c r="CP584" i="1"/>
  <c r="DG584" i="1"/>
  <c r="CL584" i="1"/>
  <c r="DH584" i="1"/>
  <c r="CI584" i="1"/>
  <c r="DN584" i="1"/>
  <c r="DO584" i="1"/>
  <c r="DI584" i="1"/>
  <c r="DJ584" i="1"/>
  <c r="DK584" i="1"/>
  <c r="DL584" i="1"/>
  <c r="CZ585" i="1"/>
  <c r="DA585" i="1"/>
  <c r="DB585" i="1"/>
  <c r="CM585" i="1"/>
  <c r="DF585" i="1"/>
  <c r="CP585" i="1"/>
  <c r="DG585" i="1"/>
  <c r="CL585" i="1"/>
  <c r="DH585" i="1"/>
  <c r="CI585" i="1"/>
  <c r="DN585" i="1"/>
  <c r="DO585" i="1"/>
  <c r="DI585" i="1"/>
  <c r="DJ585" i="1"/>
  <c r="DK585" i="1"/>
  <c r="DL585" i="1"/>
  <c r="CZ586" i="1"/>
  <c r="DA586" i="1"/>
  <c r="DB586" i="1"/>
  <c r="CM586" i="1"/>
  <c r="DF586" i="1"/>
  <c r="CP586" i="1"/>
  <c r="DG586" i="1"/>
  <c r="CL586" i="1"/>
  <c r="DH586" i="1"/>
  <c r="CI586" i="1"/>
  <c r="DN586" i="1"/>
  <c r="DO586" i="1"/>
  <c r="DI586" i="1"/>
  <c r="DJ586" i="1"/>
  <c r="DK586" i="1"/>
  <c r="DL586" i="1"/>
  <c r="CZ587" i="1"/>
  <c r="DA587" i="1"/>
  <c r="DB587" i="1"/>
  <c r="CM587" i="1"/>
  <c r="DF587" i="1"/>
  <c r="CP587" i="1"/>
  <c r="DG587" i="1"/>
  <c r="CL587" i="1"/>
  <c r="DH587" i="1"/>
  <c r="CI587" i="1"/>
  <c r="DN587" i="1"/>
  <c r="DO587" i="1"/>
  <c r="DI587" i="1"/>
  <c r="DJ587" i="1"/>
  <c r="DK587" i="1"/>
  <c r="DL587" i="1"/>
  <c r="CZ588" i="1"/>
  <c r="DA588" i="1"/>
  <c r="DB588" i="1"/>
  <c r="CM588" i="1"/>
  <c r="DF588" i="1"/>
  <c r="CP588" i="1"/>
  <c r="DG588" i="1"/>
  <c r="CL588" i="1"/>
  <c r="DH588" i="1"/>
  <c r="CI588" i="1"/>
  <c r="DN588" i="1"/>
  <c r="DO588" i="1"/>
  <c r="DI588" i="1"/>
  <c r="DJ588" i="1"/>
  <c r="DK588" i="1"/>
  <c r="DL588" i="1"/>
  <c r="CZ589" i="1"/>
  <c r="DA589" i="1"/>
  <c r="DB589" i="1"/>
  <c r="CM589" i="1"/>
  <c r="DF589" i="1"/>
  <c r="CP589" i="1"/>
  <c r="DG589" i="1"/>
  <c r="CL589" i="1"/>
  <c r="DH589" i="1"/>
  <c r="CI589" i="1"/>
  <c r="DN589" i="1"/>
  <c r="DO589" i="1"/>
  <c r="DI589" i="1"/>
  <c r="DJ589" i="1"/>
  <c r="DK589" i="1"/>
  <c r="DL589" i="1"/>
  <c r="CZ590" i="1"/>
  <c r="DA590" i="1"/>
  <c r="DB590" i="1"/>
  <c r="CM590" i="1"/>
  <c r="DF590" i="1"/>
  <c r="CP590" i="1"/>
  <c r="DG590" i="1"/>
  <c r="CL590" i="1"/>
  <c r="DH590" i="1"/>
  <c r="CI590" i="1"/>
  <c r="DN590" i="1"/>
  <c r="DO590" i="1"/>
  <c r="DI590" i="1"/>
  <c r="DJ590" i="1"/>
  <c r="DK590" i="1"/>
  <c r="DL590" i="1"/>
  <c r="CZ591" i="1"/>
  <c r="DA591" i="1"/>
  <c r="DB591" i="1"/>
  <c r="CM591" i="1"/>
  <c r="DF591" i="1"/>
  <c r="CP591" i="1"/>
  <c r="DG591" i="1"/>
  <c r="CL591" i="1"/>
  <c r="DH591" i="1"/>
  <c r="CI591" i="1"/>
  <c r="DN591" i="1"/>
  <c r="DO591" i="1"/>
  <c r="DI591" i="1"/>
  <c r="DJ591" i="1"/>
  <c r="DK591" i="1"/>
  <c r="DL591" i="1"/>
  <c r="CZ592" i="1"/>
  <c r="DA592" i="1"/>
  <c r="DB592" i="1"/>
  <c r="CM592" i="1"/>
  <c r="DF592" i="1"/>
  <c r="CP592" i="1"/>
  <c r="DG592" i="1"/>
  <c r="CL592" i="1"/>
  <c r="DH592" i="1"/>
  <c r="CI592" i="1"/>
  <c r="DN592" i="1"/>
  <c r="DO592" i="1"/>
  <c r="DI592" i="1"/>
  <c r="DJ592" i="1"/>
  <c r="DK592" i="1"/>
  <c r="DL592" i="1"/>
  <c r="CZ593" i="1"/>
  <c r="DA593" i="1"/>
  <c r="DB593" i="1"/>
  <c r="CM593" i="1"/>
  <c r="DF593" i="1"/>
  <c r="CP593" i="1"/>
  <c r="DG593" i="1"/>
  <c r="CL593" i="1"/>
  <c r="DH593" i="1"/>
  <c r="CI593" i="1"/>
  <c r="DN593" i="1"/>
  <c r="DO593" i="1"/>
  <c r="DI593" i="1"/>
  <c r="DJ593" i="1"/>
  <c r="DK593" i="1"/>
  <c r="DL593" i="1"/>
  <c r="CZ594" i="1"/>
  <c r="DA594" i="1"/>
  <c r="DB594" i="1"/>
  <c r="CM594" i="1"/>
  <c r="DF594" i="1"/>
  <c r="CP594" i="1"/>
  <c r="DG594" i="1"/>
  <c r="CL594" i="1"/>
  <c r="DH594" i="1"/>
  <c r="CI594" i="1"/>
  <c r="DN594" i="1"/>
  <c r="DO594" i="1"/>
  <c r="DI594" i="1"/>
  <c r="DJ594" i="1"/>
  <c r="DK594" i="1"/>
  <c r="DL594" i="1"/>
  <c r="CZ595" i="1"/>
  <c r="DA595" i="1"/>
  <c r="DB595" i="1"/>
  <c r="CM595" i="1"/>
  <c r="DF595" i="1"/>
  <c r="CP595" i="1"/>
  <c r="DG595" i="1"/>
  <c r="CL595" i="1"/>
  <c r="DH595" i="1"/>
  <c r="CI595" i="1"/>
  <c r="DN595" i="1"/>
  <c r="DO595" i="1"/>
  <c r="DI595" i="1"/>
  <c r="DJ595" i="1"/>
  <c r="DK595" i="1"/>
  <c r="DL595" i="1"/>
  <c r="CZ596" i="1"/>
  <c r="DA596" i="1"/>
  <c r="DB596" i="1"/>
  <c r="CM596" i="1"/>
  <c r="DF596" i="1"/>
  <c r="CP596" i="1"/>
  <c r="DG596" i="1"/>
  <c r="CL596" i="1"/>
  <c r="DH596" i="1"/>
  <c r="CI596" i="1"/>
  <c r="DN596" i="1"/>
  <c r="DO596" i="1"/>
  <c r="DI596" i="1"/>
  <c r="DJ596" i="1"/>
  <c r="DK596" i="1"/>
  <c r="DL596" i="1"/>
  <c r="CZ597" i="1"/>
  <c r="DA597" i="1"/>
  <c r="DB597" i="1"/>
  <c r="CM597" i="1"/>
  <c r="DF597" i="1"/>
  <c r="CP597" i="1"/>
  <c r="DG597" i="1"/>
  <c r="CL597" i="1"/>
  <c r="DH597" i="1"/>
  <c r="CI597" i="1"/>
  <c r="DN597" i="1"/>
  <c r="DO597" i="1"/>
  <c r="DI597" i="1"/>
  <c r="DJ597" i="1"/>
  <c r="DK597" i="1"/>
  <c r="DL597" i="1"/>
  <c r="CZ598" i="1"/>
  <c r="DA598" i="1"/>
  <c r="DB598" i="1"/>
  <c r="CM598" i="1"/>
  <c r="DF598" i="1"/>
  <c r="CP598" i="1"/>
  <c r="DG598" i="1"/>
  <c r="CL598" i="1"/>
  <c r="DH598" i="1"/>
  <c r="CI598" i="1"/>
  <c r="DN598" i="1"/>
  <c r="DO598" i="1"/>
  <c r="DI598" i="1"/>
  <c r="DJ598" i="1"/>
  <c r="DK598" i="1"/>
  <c r="DL598" i="1"/>
  <c r="CZ599" i="1"/>
  <c r="DA599" i="1"/>
  <c r="DB599" i="1"/>
  <c r="CM599" i="1"/>
  <c r="DF599" i="1"/>
  <c r="CP599" i="1"/>
  <c r="DG599" i="1"/>
  <c r="CL599" i="1"/>
  <c r="DH599" i="1"/>
  <c r="CI599" i="1"/>
  <c r="DN599" i="1"/>
  <c r="DO599" i="1"/>
  <c r="DI599" i="1"/>
  <c r="DJ599" i="1"/>
  <c r="DK599" i="1"/>
  <c r="DL599" i="1"/>
  <c r="CZ600" i="1"/>
  <c r="DA600" i="1"/>
  <c r="DB600" i="1"/>
  <c r="CM600" i="1"/>
  <c r="DF600" i="1"/>
  <c r="CP600" i="1"/>
  <c r="DG600" i="1"/>
  <c r="CL600" i="1"/>
  <c r="DH600" i="1"/>
  <c r="CI600" i="1"/>
  <c r="DN600" i="1"/>
  <c r="DO600" i="1"/>
  <c r="DI600" i="1"/>
  <c r="DJ600" i="1"/>
  <c r="DK600" i="1"/>
  <c r="DL600" i="1"/>
  <c r="CZ601" i="1"/>
  <c r="DA601" i="1"/>
  <c r="DB601" i="1"/>
  <c r="CM601" i="1"/>
  <c r="DF601" i="1"/>
  <c r="CP601" i="1"/>
  <c r="DG601" i="1"/>
  <c r="CL601" i="1"/>
  <c r="DH601" i="1"/>
  <c r="CI601" i="1"/>
  <c r="DN601" i="1"/>
  <c r="DO601" i="1"/>
  <c r="DI601" i="1"/>
  <c r="DJ601" i="1"/>
  <c r="DK601" i="1"/>
  <c r="DL601" i="1"/>
  <c r="CZ602" i="1"/>
  <c r="DA602" i="1"/>
  <c r="DB602" i="1"/>
  <c r="CM602" i="1"/>
  <c r="DF602" i="1"/>
  <c r="CP602" i="1"/>
  <c r="DG602" i="1"/>
  <c r="CL602" i="1"/>
  <c r="DH602" i="1"/>
  <c r="CI602" i="1"/>
  <c r="DN602" i="1"/>
  <c r="DO602" i="1"/>
  <c r="DI602" i="1"/>
  <c r="DJ602" i="1"/>
  <c r="DK602" i="1"/>
  <c r="DL602" i="1"/>
  <c r="CZ603" i="1"/>
  <c r="DA603" i="1"/>
  <c r="DB603" i="1"/>
  <c r="CM603" i="1"/>
  <c r="DF603" i="1"/>
  <c r="CP603" i="1"/>
  <c r="DG603" i="1"/>
  <c r="CL603" i="1"/>
  <c r="DH603" i="1"/>
  <c r="CI603" i="1"/>
  <c r="DN603" i="1"/>
  <c r="DO603" i="1"/>
  <c r="DI603" i="1"/>
  <c r="DJ603" i="1"/>
  <c r="DK603" i="1"/>
  <c r="DL603" i="1"/>
  <c r="CZ604" i="1"/>
  <c r="DA604" i="1"/>
  <c r="DB604" i="1"/>
  <c r="CM604" i="1"/>
  <c r="DF604" i="1"/>
  <c r="CP604" i="1"/>
  <c r="DG604" i="1"/>
  <c r="CL604" i="1"/>
  <c r="DH604" i="1"/>
  <c r="CI604" i="1"/>
  <c r="DN604" i="1"/>
  <c r="DO604" i="1"/>
  <c r="DI604" i="1"/>
  <c r="DJ604" i="1"/>
  <c r="DK604" i="1"/>
  <c r="DL604" i="1"/>
  <c r="CZ605" i="1"/>
  <c r="DA605" i="1"/>
  <c r="DB605" i="1"/>
  <c r="CM605" i="1"/>
  <c r="DF605" i="1"/>
  <c r="CP605" i="1"/>
  <c r="DG605" i="1"/>
  <c r="CL605" i="1"/>
  <c r="DH605" i="1"/>
  <c r="CI605" i="1"/>
  <c r="DN605" i="1"/>
  <c r="DO605" i="1"/>
  <c r="DI605" i="1"/>
  <c r="DJ605" i="1"/>
  <c r="DK605" i="1"/>
  <c r="DL605" i="1"/>
  <c r="CZ606" i="1"/>
  <c r="DA606" i="1"/>
  <c r="DB606" i="1"/>
  <c r="CM606" i="1"/>
  <c r="DF606" i="1"/>
  <c r="CP606" i="1"/>
  <c r="DG606" i="1"/>
  <c r="CL606" i="1"/>
  <c r="DH606" i="1"/>
  <c r="CI606" i="1"/>
  <c r="DN606" i="1"/>
  <c r="DO606" i="1"/>
  <c r="DI606" i="1"/>
  <c r="DJ606" i="1"/>
  <c r="DK606" i="1"/>
  <c r="DL606" i="1"/>
  <c r="CZ607" i="1"/>
  <c r="DA607" i="1"/>
  <c r="DB607" i="1"/>
  <c r="CM607" i="1"/>
  <c r="DF607" i="1"/>
  <c r="CP607" i="1"/>
  <c r="DG607" i="1"/>
  <c r="CL607" i="1"/>
  <c r="DH607" i="1"/>
  <c r="CI607" i="1"/>
  <c r="DN607" i="1"/>
  <c r="DO607" i="1"/>
  <c r="DI607" i="1"/>
  <c r="DJ607" i="1"/>
  <c r="DK607" i="1"/>
  <c r="DL607" i="1"/>
  <c r="CZ608" i="1"/>
  <c r="DA608" i="1"/>
  <c r="DB608" i="1"/>
  <c r="CM608" i="1"/>
  <c r="DF608" i="1"/>
  <c r="CP608" i="1"/>
  <c r="DG608" i="1"/>
  <c r="CL608" i="1"/>
  <c r="DH608" i="1"/>
  <c r="CI608" i="1"/>
  <c r="DN608" i="1"/>
  <c r="DO608" i="1"/>
  <c r="DI608" i="1"/>
  <c r="DJ608" i="1"/>
  <c r="DK608" i="1"/>
  <c r="DL608" i="1"/>
  <c r="CZ609" i="1"/>
  <c r="DA609" i="1"/>
  <c r="DB609" i="1"/>
  <c r="CM609" i="1"/>
  <c r="DF609" i="1"/>
  <c r="CP609" i="1"/>
  <c r="DG609" i="1"/>
  <c r="CL609" i="1"/>
  <c r="DH609" i="1"/>
  <c r="CI609" i="1"/>
  <c r="DN609" i="1"/>
  <c r="DO609" i="1"/>
  <c r="DI609" i="1"/>
  <c r="DJ609" i="1"/>
  <c r="DK609" i="1"/>
  <c r="DL609" i="1"/>
  <c r="CZ610" i="1"/>
  <c r="DA610" i="1"/>
  <c r="DB610" i="1"/>
  <c r="CM610" i="1"/>
  <c r="DF610" i="1"/>
  <c r="CP610" i="1"/>
  <c r="DG610" i="1"/>
  <c r="CL610" i="1"/>
  <c r="DH610" i="1"/>
  <c r="CI610" i="1"/>
  <c r="DN610" i="1"/>
  <c r="DO610" i="1"/>
  <c r="DI610" i="1"/>
  <c r="DJ610" i="1"/>
  <c r="DK610" i="1"/>
  <c r="DL610" i="1"/>
  <c r="CZ611" i="1"/>
  <c r="DA611" i="1"/>
  <c r="DB611" i="1"/>
  <c r="CM611" i="1"/>
  <c r="DF611" i="1"/>
  <c r="CP611" i="1"/>
  <c r="DG611" i="1"/>
  <c r="CL611" i="1"/>
  <c r="DH611" i="1"/>
  <c r="CI611" i="1"/>
  <c r="DN611" i="1"/>
  <c r="DO611" i="1"/>
  <c r="DI611" i="1"/>
  <c r="DJ611" i="1"/>
  <c r="DK611" i="1"/>
  <c r="DL611" i="1"/>
  <c r="CZ612" i="1"/>
  <c r="DA612" i="1"/>
  <c r="DB612" i="1"/>
  <c r="CM612" i="1"/>
  <c r="DF612" i="1"/>
  <c r="CP612" i="1"/>
  <c r="DG612" i="1"/>
  <c r="CL612" i="1"/>
  <c r="DH612" i="1"/>
  <c r="CI612" i="1"/>
  <c r="DN612" i="1"/>
  <c r="DO612" i="1"/>
  <c r="DI612" i="1"/>
  <c r="DJ612" i="1"/>
  <c r="DK612" i="1"/>
  <c r="DL612" i="1"/>
  <c r="CZ613" i="1"/>
  <c r="DA613" i="1"/>
  <c r="DB613" i="1"/>
  <c r="CM613" i="1"/>
  <c r="DF613" i="1"/>
  <c r="CP613" i="1"/>
  <c r="DG613" i="1"/>
  <c r="CL613" i="1"/>
  <c r="DH613" i="1"/>
  <c r="CI613" i="1"/>
  <c r="DN613" i="1"/>
  <c r="DO613" i="1"/>
  <c r="DI613" i="1"/>
  <c r="DJ613" i="1"/>
  <c r="DK613" i="1"/>
  <c r="DL613" i="1"/>
  <c r="CZ614" i="1"/>
  <c r="DA614" i="1"/>
  <c r="DB614" i="1"/>
  <c r="CM614" i="1"/>
  <c r="DF614" i="1"/>
  <c r="CP614" i="1"/>
  <c r="DG614" i="1"/>
  <c r="CL614" i="1"/>
  <c r="DH614" i="1"/>
  <c r="CI614" i="1"/>
  <c r="DN614" i="1"/>
  <c r="DO614" i="1"/>
  <c r="DI614" i="1"/>
  <c r="DJ614" i="1"/>
  <c r="DK614" i="1"/>
  <c r="DL614" i="1"/>
  <c r="CZ615" i="1"/>
  <c r="DA615" i="1"/>
  <c r="DB615" i="1"/>
  <c r="CM615" i="1"/>
  <c r="DF615" i="1"/>
  <c r="CP615" i="1"/>
  <c r="DG615" i="1"/>
  <c r="CL615" i="1"/>
  <c r="DH615" i="1"/>
  <c r="CI615" i="1"/>
  <c r="DN615" i="1"/>
  <c r="DO615" i="1"/>
  <c r="DI615" i="1"/>
  <c r="DJ615" i="1"/>
  <c r="DK615" i="1"/>
  <c r="DL615" i="1"/>
  <c r="CZ616" i="1"/>
  <c r="DA616" i="1"/>
  <c r="DB616" i="1"/>
  <c r="CM616" i="1"/>
  <c r="DF616" i="1"/>
  <c r="CP616" i="1"/>
  <c r="DG616" i="1"/>
  <c r="CL616" i="1"/>
  <c r="DH616" i="1"/>
  <c r="CI616" i="1"/>
  <c r="DN616" i="1"/>
  <c r="DO616" i="1"/>
  <c r="DI616" i="1"/>
  <c r="DJ616" i="1"/>
  <c r="DK616" i="1"/>
  <c r="DL616" i="1"/>
  <c r="CZ617" i="1"/>
  <c r="DA617" i="1"/>
  <c r="DB617" i="1"/>
  <c r="CM617" i="1"/>
  <c r="DF617" i="1"/>
  <c r="CP617" i="1"/>
  <c r="DG617" i="1"/>
  <c r="CL617" i="1"/>
  <c r="DH617" i="1"/>
  <c r="CI617" i="1"/>
  <c r="DN617" i="1"/>
  <c r="DO617" i="1"/>
  <c r="DI617" i="1"/>
  <c r="DJ617" i="1"/>
  <c r="DK617" i="1"/>
  <c r="DL617" i="1"/>
  <c r="CZ618" i="1"/>
  <c r="DA618" i="1"/>
  <c r="DB618" i="1"/>
  <c r="CM618" i="1"/>
  <c r="DF618" i="1"/>
  <c r="CP618" i="1"/>
  <c r="DG618" i="1"/>
  <c r="CL618" i="1"/>
  <c r="DH618" i="1"/>
  <c r="CI618" i="1"/>
  <c r="DN618" i="1"/>
  <c r="DO618" i="1"/>
  <c r="DI618" i="1"/>
  <c r="DJ618" i="1"/>
  <c r="DK618" i="1"/>
  <c r="DL618" i="1"/>
  <c r="CZ619" i="1"/>
  <c r="DA619" i="1"/>
  <c r="DB619" i="1"/>
  <c r="CM619" i="1"/>
  <c r="DF619" i="1"/>
  <c r="CP619" i="1"/>
  <c r="DG619" i="1"/>
  <c r="CL619" i="1"/>
  <c r="DH619" i="1"/>
  <c r="CI619" i="1"/>
  <c r="DN619" i="1"/>
  <c r="DO619" i="1"/>
  <c r="DI619" i="1"/>
  <c r="DJ619" i="1"/>
  <c r="DK619" i="1"/>
  <c r="DL619" i="1"/>
  <c r="CZ620" i="1"/>
  <c r="DA620" i="1"/>
  <c r="DB620" i="1"/>
  <c r="CM620" i="1"/>
  <c r="DF620" i="1"/>
  <c r="CP620" i="1"/>
  <c r="DG620" i="1"/>
  <c r="CL620" i="1"/>
  <c r="DH620" i="1"/>
  <c r="CI620" i="1"/>
  <c r="DN620" i="1"/>
  <c r="DO620" i="1"/>
  <c r="DI620" i="1"/>
  <c r="DJ620" i="1"/>
  <c r="DK620" i="1"/>
  <c r="DL620" i="1"/>
  <c r="CZ621" i="1"/>
  <c r="DA621" i="1"/>
  <c r="DB621" i="1"/>
  <c r="CM621" i="1"/>
  <c r="DF621" i="1"/>
  <c r="CP621" i="1"/>
  <c r="DG621" i="1"/>
  <c r="CL621" i="1"/>
  <c r="DH621" i="1"/>
  <c r="CI621" i="1"/>
  <c r="DN621" i="1"/>
  <c r="DO621" i="1"/>
  <c r="DI621" i="1"/>
  <c r="DJ621" i="1"/>
  <c r="DK621" i="1"/>
  <c r="DL621" i="1"/>
  <c r="CZ622" i="1"/>
  <c r="DA622" i="1"/>
  <c r="DB622" i="1"/>
  <c r="CM622" i="1"/>
  <c r="DF622" i="1"/>
  <c r="CP622" i="1"/>
  <c r="DG622" i="1"/>
  <c r="CL622" i="1"/>
  <c r="DH622" i="1"/>
  <c r="CI622" i="1"/>
  <c r="DN622" i="1"/>
  <c r="DO622" i="1"/>
  <c r="DI622" i="1"/>
  <c r="DJ622" i="1"/>
  <c r="DK622" i="1"/>
  <c r="DL622" i="1"/>
  <c r="CZ623" i="1"/>
  <c r="DA623" i="1"/>
  <c r="DB623" i="1"/>
  <c r="CM623" i="1"/>
  <c r="DF623" i="1"/>
  <c r="CP623" i="1"/>
  <c r="DG623" i="1"/>
  <c r="CL623" i="1"/>
  <c r="DH623" i="1"/>
  <c r="CI623" i="1"/>
  <c r="DN623" i="1"/>
  <c r="DO623" i="1"/>
  <c r="DI623" i="1"/>
  <c r="DJ623" i="1"/>
  <c r="DK623" i="1"/>
  <c r="DL623" i="1"/>
  <c r="CZ624" i="1"/>
  <c r="DA624" i="1"/>
  <c r="DB624" i="1"/>
  <c r="CM624" i="1"/>
  <c r="DF624" i="1"/>
  <c r="CP624" i="1"/>
  <c r="DG624" i="1"/>
  <c r="CL624" i="1"/>
  <c r="DH624" i="1"/>
  <c r="CI624" i="1"/>
  <c r="DN624" i="1"/>
  <c r="DO624" i="1"/>
  <c r="DI624" i="1"/>
  <c r="DJ624" i="1"/>
  <c r="DK624" i="1"/>
  <c r="DL624" i="1"/>
  <c r="CZ625" i="1"/>
  <c r="DA625" i="1"/>
  <c r="DB625" i="1"/>
  <c r="CM625" i="1"/>
  <c r="DF625" i="1"/>
  <c r="CP625" i="1"/>
  <c r="DG625" i="1"/>
  <c r="CL625" i="1"/>
  <c r="DH625" i="1"/>
  <c r="CI625" i="1"/>
  <c r="DN625" i="1"/>
  <c r="DO625" i="1"/>
  <c r="DI625" i="1"/>
  <c r="DJ625" i="1"/>
  <c r="DK625" i="1"/>
  <c r="DL625" i="1"/>
  <c r="CZ626" i="1"/>
  <c r="DA626" i="1"/>
  <c r="DB626" i="1"/>
  <c r="CM626" i="1"/>
  <c r="DF626" i="1"/>
  <c r="CP626" i="1"/>
  <c r="DG626" i="1"/>
  <c r="CL626" i="1"/>
  <c r="DH626" i="1"/>
  <c r="CI626" i="1"/>
  <c r="DN626" i="1"/>
  <c r="DO626" i="1"/>
  <c r="DI626" i="1"/>
  <c r="DJ626" i="1"/>
  <c r="DK626" i="1"/>
  <c r="DL626" i="1"/>
  <c r="CZ627" i="1"/>
  <c r="DA627" i="1"/>
  <c r="DB627" i="1"/>
  <c r="CM627" i="1"/>
  <c r="DF627" i="1"/>
  <c r="CP627" i="1"/>
  <c r="DG627" i="1"/>
  <c r="CL627" i="1"/>
  <c r="DH627" i="1"/>
  <c r="CI627" i="1"/>
  <c r="DN627" i="1"/>
  <c r="DO627" i="1"/>
  <c r="DI627" i="1"/>
  <c r="DJ627" i="1"/>
  <c r="DK627" i="1"/>
  <c r="DL627" i="1"/>
  <c r="CZ628" i="1"/>
  <c r="DA628" i="1"/>
  <c r="DB628" i="1"/>
  <c r="CM628" i="1"/>
  <c r="DF628" i="1"/>
  <c r="CP628" i="1"/>
  <c r="DG628" i="1"/>
  <c r="CL628" i="1"/>
  <c r="DH628" i="1"/>
  <c r="CI628" i="1"/>
  <c r="DN628" i="1"/>
  <c r="DO628" i="1"/>
  <c r="DI628" i="1"/>
  <c r="DJ628" i="1"/>
  <c r="DK628" i="1"/>
  <c r="DL628" i="1"/>
  <c r="CZ629" i="1"/>
  <c r="DA629" i="1"/>
  <c r="DB629" i="1"/>
  <c r="CM629" i="1"/>
  <c r="DF629" i="1"/>
  <c r="CP629" i="1"/>
  <c r="DG629" i="1"/>
  <c r="CL629" i="1"/>
  <c r="DH629" i="1"/>
  <c r="CI629" i="1"/>
  <c r="DN629" i="1"/>
  <c r="DO629" i="1"/>
  <c r="DI629" i="1"/>
  <c r="DJ629" i="1"/>
  <c r="DK629" i="1"/>
  <c r="DL629" i="1"/>
  <c r="CZ630" i="1"/>
  <c r="DA630" i="1"/>
  <c r="DB630" i="1"/>
  <c r="CM630" i="1"/>
  <c r="DF630" i="1"/>
  <c r="CP630" i="1"/>
  <c r="DG630" i="1"/>
  <c r="CL630" i="1"/>
  <c r="DH630" i="1"/>
  <c r="CI630" i="1"/>
  <c r="DN630" i="1"/>
  <c r="DO630" i="1"/>
  <c r="DI630" i="1"/>
  <c r="DJ630" i="1"/>
  <c r="DK630" i="1"/>
  <c r="DL630" i="1"/>
  <c r="CZ631" i="1"/>
  <c r="DA631" i="1"/>
  <c r="DB631" i="1"/>
  <c r="CM631" i="1"/>
  <c r="DF631" i="1"/>
  <c r="CP631" i="1"/>
  <c r="DG631" i="1"/>
  <c r="CL631" i="1"/>
  <c r="DH631" i="1"/>
  <c r="CI631" i="1"/>
  <c r="DN631" i="1"/>
  <c r="DO631" i="1"/>
  <c r="DI631" i="1"/>
  <c r="DJ631" i="1"/>
  <c r="DK631" i="1"/>
  <c r="DL631" i="1"/>
  <c r="CZ632" i="1"/>
  <c r="DA632" i="1"/>
  <c r="DB632" i="1"/>
  <c r="CM632" i="1"/>
  <c r="DF632" i="1"/>
  <c r="CP632" i="1"/>
  <c r="DG632" i="1"/>
  <c r="CL632" i="1"/>
  <c r="DH632" i="1"/>
  <c r="CI632" i="1"/>
  <c r="DN632" i="1"/>
  <c r="DO632" i="1"/>
  <c r="DI632" i="1"/>
  <c r="DJ632" i="1"/>
  <c r="DK632" i="1"/>
  <c r="DL632" i="1"/>
  <c r="CZ633" i="1"/>
  <c r="DA633" i="1"/>
  <c r="DB633" i="1"/>
  <c r="CM633" i="1"/>
  <c r="DF633" i="1"/>
  <c r="CP633" i="1"/>
  <c r="DG633" i="1"/>
  <c r="CL633" i="1"/>
  <c r="DH633" i="1"/>
  <c r="CI633" i="1"/>
  <c r="DN633" i="1"/>
  <c r="DO633" i="1"/>
  <c r="DI633" i="1"/>
  <c r="DJ633" i="1"/>
  <c r="DK633" i="1"/>
  <c r="DL633" i="1"/>
  <c r="CZ634" i="1"/>
  <c r="DA634" i="1"/>
  <c r="DB634" i="1"/>
  <c r="CM634" i="1"/>
  <c r="DF634" i="1"/>
  <c r="CP634" i="1"/>
  <c r="DG634" i="1"/>
  <c r="CL634" i="1"/>
  <c r="DH634" i="1"/>
  <c r="CI634" i="1"/>
  <c r="DN634" i="1"/>
  <c r="DO634" i="1"/>
  <c r="DI634" i="1"/>
  <c r="DJ634" i="1"/>
  <c r="DK634" i="1"/>
  <c r="DL634" i="1"/>
  <c r="CZ635" i="1"/>
  <c r="DA635" i="1"/>
  <c r="DB635" i="1"/>
  <c r="CM635" i="1"/>
  <c r="DF635" i="1"/>
  <c r="CP635" i="1"/>
  <c r="DG635" i="1"/>
  <c r="CL635" i="1"/>
  <c r="DH635" i="1"/>
  <c r="CI635" i="1"/>
  <c r="DN635" i="1"/>
  <c r="DO635" i="1"/>
  <c r="DI635" i="1"/>
  <c r="DJ635" i="1"/>
  <c r="DK635" i="1"/>
  <c r="DL635" i="1"/>
  <c r="CZ636" i="1"/>
  <c r="DA636" i="1"/>
  <c r="DB636" i="1"/>
  <c r="CM636" i="1"/>
  <c r="DF636" i="1"/>
  <c r="CP636" i="1"/>
  <c r="DG636" i="1"/>
  <c r="CL636" i="1"/>
  <c r="DH636" i="1"/>
  <c r="CI636" i="1"/>
  <c r="DN636" i="1"/>
  <c r="DO636" i="1"/>
  <c r="DI636" i="1"/>
  <c r="DJ636" i="1"/>
  <c r="DK636" i="1"/>
  <c r="DL636" i="1"/>
  <c r="CZ637" i="1"/>
  <c r="DA637" i="1"/>
  <c r="DB637" i="1"/>
  <c r="CM637" i="1"/>
  <c r="DF637" i="1"/>
  <c r="CP637" i="1"/>
  <c r="DG637" i="1"/>
  <c r="CL637" i="1"/>
  <c r="DH637" i="1"/>
  <c r="CI637" i="1"/>
  <c r="DN637" i="1"/>
  <c r="DO637" i="1"/>
  <c r="DI637" i="1"/>
  <c r="DJ637" i="1"/>
  <c r="DK637" i="1"/>
  <c r="DL637" i="1"/>
  <c r="CZ638" i="1"/>
  <c r="DA638" i="1"/>
  <c r="DB638" i="1"/>
  <c r="CM638" i="1"/>
  <c r="DF638" i="1"/>
  <c r="CP638" i="1"/>
  <c r="DG638" i="1"/>
  <c r="CL638" i="1"/>
  <c r="DH638" i="1"/>
  <c r="CI638" i="1"/>
  <c r="DN638" i="1"/>
  <c r="DO638" i="1"/>
  <c r="DI638" i="1"/>
  <c r="DJ638" i="1"/>
  <c r="DK638" i="1"/>
  <c r="DL638" i="1"/>
  <c r="CZ639" i="1"/>
  <c r="DA639" i="1"/>
  <c r="DB639" i="1"/>
  <c r="CM639" i="1"/>
  <c r="DF639" i="1"/>
  <c r="CP639" i="1"/>
  <c r="DG639" i="1"/>
  <c r="CL639" i="1"/>
  <c r="DH639" i="1"/>
  <c r="CI639" i="1"/>
  <c r="DN639" i="1"/>
  <c r="DO639" i="1"/>
  <c r="DI639" i="1"/>
  <c r="DJ639" i="1"/>
  <c r="DK639" i="1"/>
  <c r="DL639" i="1"/>
  <c r="CZ640" i="1"/>
  <c r="DA640" i="1"/>
  <c r="DB640" i="1"/>
  <c r="CM640" i="1"/>
  <c r="DF640" i="1"/>
  <c r="CP640" i="1"/>
  <c r="DG640" i="1"/>
  <c r="CL640" i="1"/>
  <c r="DH640" i="1"/>
  <c r="CI640" i="1"/>
  <c r="DN640" i="1"/>
  <c r="DO640" i="1"/>
  <c r="DI640" i="1"/>
  <c r="DJ640" i="1"/>
  <c r="DK640" i="1"/>
  <c r="DL640" i="1"/>
  <c r="CZ641" i="1"/>
  <c r="DA641" i="1"/>
  <c r="DB641" i="1"/>
  <c r="CM641" i="1"/>
  <c r="DF641" i="1"/>
  <c r="CP641" i="1"/>
  <c r="DG641" i="1"/>
  <c r="CL641" i="1"/>
  <c r="DH641" i="1"/>
  <c r="CI641" i="1"/>
  <c r="DN641" i="1"/>
  <c r="DO641" i="1"/>
  <c r="DI641" i="1"/>
  <c r="DJ641" i="1"/>
  <c r="DK641" i="1"/>
  <c r="DL641" i="1"/>
  <c r="CZ642" i="1"/>
  <c r="DA642" i="1"/>
  <c r="DB642" i="1"/>
  <c r="CM642" i="1"/>
  <c r="DF642" i="1"/>
  <c r="CP642" i="1"/>
  <c r="DG642" i="1"/>
  <c r="CL642" i="1"/>
  <c r="DH642" i="1"/>
  <c r="CI642" i="1"/>
  <c r="DN642" i="1"/>
  <c r="DO642" i="1"/>
  <c r="DI642" i="1"/>
  <c r="DJ642" i="1"/>
  <c r="DK642" i="1"/>
  <c r="DL642" i="1"/>
  <c r="CZ643" i="1"/>
  <c r="DA643" i="1"/>
  <c r="DB643" i="1"/>
  <c r="CM643" i="1"/>
  <c r="DF643" i="1"/>
  <c r="CP643" i="1"/>
  <c r="DG643" i="1"/>
  <c r="CL643" i="1"/>
  <c r="DH643" i="1"/>
  <c r="CI643" i="1"/>
  <c r="DN643" i="1"/>
  <c r="DO643" i="1"/>
  <c r="DI643" i="1"/>
  <c r="DJ643" i="1"/>
  <c r="DK643" i="1"/>
  <c r="DL643" i="1"/>
  <c r="CZ644" i="1"/>
  <c r="DA644" i="1"/>
  <c r="DB644" i="1"/>
  <c r="CM644" i="1"/>
  <c r="DF644" i="1"/>
  <c r="CP644" i="1"/>
  <c r="DG644" i="1"/>
  <c r="CL644" i="1"/>
  <c r="DH644" i="1"/>
  <c r="CI644" i="1"/>
  <c r="DN644" i="1"/>
  <c r="DO644" i="1"/>
  <c r="DI644" i="1"/>
  <c r="DJ644" i="1"/>
  <c r="DK644" i="1"/>
  <c r="DL644" i="1"/>
  <c r="CZ645" i="1"/>
  <c r="DA645" i="1"/>
  <c r="DB645" i="1"/>
  <c r="CM645" i="1"/>
  <c r="DF645" i="1"/>
  <c r="CP645" i="1"/>
  <c r="DG645" i="1"/>
  <c r="CL645" i="1"/>
  <c r="DH645" i="1"/>
  <c r="CI645" i="1"/>
  <c r="DN645" i="1"/>
  <c r="DO645" i="1"/>
  <c r="DI645" i="1"/>
  <c r="DJ645" i="1"/>
  <c r="DK645" i="1"/>
  <c r="DL645" i="1"/>
  <c r="CZ646" i="1"/>
  <c r="DA646" i="1"/>
  <c r="DB646" i="1"/>
  <c r="CM646" i="1"/>
  <c r="DF646" i="1"/>
  <c r="CP646" i="1"/>
  <c r="DG646" i="1"/>
  <c r="CL646" i="1"/>
  <c r="DH646" i="1"/>
  <c r="CI646" i="1"/>
  <c r="DN646" i="1"/>
  <c r="DO646" i="1"/>
  <c r="DI646" i="1"/>
  <c r="DJ646" i="1"/>
  <c r="DK646" i="1"/>
  <c r="DL646" i="1"/>
  <c r="CZ647" i="1"/>
  <c r="DA647" i="1"/>
  <c r="DB647" i="1"/>
  <c r="CM647" i="1"/>
  <c r="DF647" i="1"/>
  <c r="CP647" i="1"/>
  <c r="DG647" i="1"/>
  <c r="CL647" i="1"/>
  <c r="DH647" i="1"/>
  <c r="CI647" i="1"/>
  <c r="DN647" i="1"/>
  <c r="DO647" i="1"/>
  <c r="DI647" i="1"/>
  <c r="DJ647" i="1"/>
  <c r="DK647" i="1"/>
  <c r="DL647" i="1"/>
  <c r="CZ648" i="1"/>
  <c r="DA648" i="1"/>
  <c r="DB648" i="1"/>
  <c r="CM648" i="1"/>
  <c r="DF648" i="1"/>
  <c r="CP648" i="1"/>
  <c r="DG648" i="1"/>
  <c r="CL648" i="1"/>
  <c r="DH648" i="1"/>
  <c r="CI648" i="1"/>
  <c r="DN648" i="1"/>
  <c r="DO648" i="1"/>
  <c r="DI648" i="1"/>
  <c r="DJ648" i="1"/>
  <c r="DK648" i="1"/>
  <c r="DL648" i="1"/>
  <c r="CZ649" i="1"/>
  <c r="DA649" i="1"/>
  <c r="DB649" i="1"/>
  <c r="CM649" i="1"/>
  <c r="DF649" i="1"/>
  <c r="CP649" i="1"/>
  <c r="DG649" i="1"/>
  <c r="CL649" i="1"/>
  <c r="DH649" i="1"/>
  <c r="CI649" i="1"/>
  <c r="DN649" i="1"/>
  <c r="DO649" i="1"/>
  <c r="DI649" i="1"/>
  <c r="DJ649" i="1"/>
  <c r="DK649" i="1"/>
  <c r="DL649" i="1"/>
  <c r="CZ650" i="1"/>
  <c r="DA650" i="1"/>
  <c r="DB650" i="1"/>
  <c r="CM650" i="1"/>
  <c r="DF650" i="1"/>
  <c r="CP650" i="1"/>
  <c r="DG650" i="1"/>
  <c r="CL650" i="1"/>
  <c r="DH650" i="1"/>
  <c r="CI650" i="1"/>
  <c r="DN650" i="1"/>
  <c r="DO650" i="1"/>
  <c r="DI650" i="1"/>
  <c r="DJ650" i="1"/>
  <c r="DK650" i="1"/>
  <c r="DL650" i="1"/>
  <c r="CZ651" i="1"/>
  <c r="DA651" i="1"/>
  <c r="DB651" i="1"/>
  <c r="CM651" i="1"/>
  <c r="DF651" i="1"/>
  <c r="CP651" i="1"/>
  <c r="DG651" i="1"/>
  <c r="CL651" i="1"/>
  <c r="DH651" i="1"/>
  <c r="CI651" i="1"/>
  <c r="DN651" i="1"/>
  <c r="DO651" i="1"/>
  <c r="DI651" i="1"/>
  <c r="DJ651" i="1"/>
  <c r="DK651" i="1"/>
  <c r="DL651" i="1"/>
  <c r="CZ652" i="1"/>
  <c r="DA652" i="1"/>
  <c r="DB652" i="1"/>
  <c r="CM652" i="1"/>
  <c r="DF652" i="1"/>
  <c r="CP652" i="1"/>
  <c r="DG652" i="1"/>
  <c r="CL652" i="1"/>
  <c r="DH652" i="1"/>
  <c r="CI652" i="1"/>
  <c r="DN652" i="1"/>
  <c r="DO652" i="1"/>
  <c r="DI652" i="1"/>
  <c r="DJ652" i="1"/>
  <c r="DK652" i="1"/>
  <c r="DL652" i="1"/>
  <c r="CZ653" i="1"/>
  <c r="DA653" i="1"/>
  <c r="DB653" i="1"/>
  <c r="CM653" i="1"/>
  <c r="DF653" i="1"/>
  <c r="CP653" i="1"/>
  <c r="DG653" i="1"/>
  <c r="CL653" i="1"/>
  <c r="DH653" i="1"/>
  <c r="CI653" i="1"/>
  <c r="DN653" i="1"/>
  <c r="DO653" i="1"/>
  <c r="DI653" i="1"/>
  <c r="DJ653" i="1"/>
  <c r="DK653" i="1"/>
  <c r="DL653" i="1"/>
  <c r="CZ654" i="1"/>
  <c r="DA654" i="1"/>
  <c r="DB654" i="1"/>
  <c r="CM654" i="1"/>
  <c r="DF654" i="1"/>
  <c r="CP654" i="1"/>
  <c r="DG654" i="1"/>
  <c r="CL654" i="1"/>
  <c r="DH654" i="1"/>
  <c r="CI654" i="1"/>
  <c r="DN654" i="1"/>
  <c r="DO654" i="1"/>
  <c r="DI654" i="1"/>
  <c r="DJ654" i="1"/>
  <c r="DK654" i="1"/>
  <c r="DL654" i="1"/>
  <c r="CZ655" i="1"/>
  <c r="DA655" i="1"/>
  <c r="DB655" i="1"/>
  <c r="CM655" i="1"/>
  <c r="DF655" i="1"/>
  <c r="CP655" i="1"/>
  <c r="DG655" i="1"/>
  <c r="CL655" i="1"/>
  <c r="DH655" i="1"/>
  <c r="CI655" i="1"/>
  <c r="DN655" i="1"/>
  <c r="DO655" i="1"/>
  <c r="DI655" i="1"/>
  <c r="DJ655" i="1"/>
  <c r="DK655" i="1"/>
  <c r="DL655" i="1"/>
  <c r="CZ656" i="1"/>
  <c r="DA656" i="1"/>
  <c r="DB656" i="1"/>
  <c r="CM656" i="1"/>
  <c r="DF656" i="1"/>
  <c r="CP656" i="1"/>
  <c r="DG656" i="1"/>
  <c r="CL656" i="1"/>
  <c r="DH656" i="1"/>
  <c r="CI656" i="1"/>
  <c r="DN656" i="1"/>
  <c r="DO656" i="1"/>
  <c r="DI656" i="1"/>
  <c r="DJ656" i="1"/>
  <c r="DK656" i="1"/>
  <c r="DL656" i="1"/>
  <c r="CZ657" i="1"/>
  <c r="DA657" i="1"/>
  <c r="DB657" i="1"/>
  <c r="CM657" i="1"/>
  <c r="DF657" i="1"/>
  <c r="CP657" i="1"/>
  <c r="DG657" i="1"/>
  <c r="CL657" i="1"/>
  <c r="DH657" i="1"/>
  <c r="CI657" i="1"/>
  <c r="DN657" i="1"/>
  <c r="DO657" i="1"/>
  <c r="DI657" i="1"/>
  <c r="DJ657" i="1"/>
  <c r="DK657" i="1"/>
  <c r="DL657" i="1"/>
  <c r="CZ658" i="1"/>
  <c r="DA658" i="1"/>
  <c r="DB658" i="1"/>
  <c r="CM658" i="1"/>
  <c r="DF658" i="1"/>
  <c r="CP658" i="1"/>
  <c r="DG658" i="1"/>
  <c r="CL658" i="1"/>
  <c r="DH658" i="1"/>
  <c r="CI658" i="1"/>
  <c r="DN658" i="1"/>
  <c r="DO658" i="1"/>
  <c r="DI658" i="1"/>
  <c r="DJ658" i="1"/>
  <c r="DK658" i="1"/>
  <c r="DL658" i="1"/>
  <c r="CZ659" i="1"/>
  <c r="DA659" i="1"/>
  <c r="DB659" i="1"/>
  <c r="CM659" i="1"/>
  <c r="DF659" i="1"/>
  <c r="CP659" i="1"/>
  <c r="DG659" i="1"/>
  <c r="CL659" i="1"/>
  <c r="DH659" i="1"/>
  <c r="CI659" i="1"/>
  <c r="DN659" i="1"/>
  <c r="DO659" i="1"/>
  <c r="DI659" i="1"/>
  <c r="DJ659" i="1"/>
  <c r="DK659" i="1"/>
  <c r="DL659" i="1"/>
  <c r="CZ660" i="1"/>
  <c r="DA660" i="1"/>
  <c r="DB660" i="1"/>
  <c r="CM660" i="1"/>
  <c r="DF660" i="1"/>
  <c r="CP660" i="1"/>
  <c r="DG660" i="1"/>
  <c r="CL660" i="1"/>
  <c r="DH660" i="1"/>
  <c r="CI660" i="1"/>
  <c r="DN660" i="1"/>
  <c r="DO660" i="1"/>
  <c r="DI660" i="1"/>
  <c r="DJ660" i="1"/>
  <c r="DK660" i="1"/>
  <c r="DL660" i="1"/>
  <c r="CZ661" i="1"/>
  <c r="DA661" i="1"/>
  <c r="DB661" i="1"/>
  <c r="CM661" i="1"/>
  <c r="DF661" i="1"/>
  <c r="CP661" i="1"/>
  <c r="DG661" i="1"/>
  <c r="CL661" i="1"/>
  <c r="DH661" i="1"/>
  <c r="CI661" i="1"/>
  <c r="DN661" i="1"/>
  <c r="DO661" i="1"/>
  <c r="DI661" i="1"/>
  <c r="DJ661" i="1"/>
  <c r="DK661" i="1"/>
  <c r="DL661" i="1"/>
  <c r="CZ662" i="1"/>
  <c r="DA662" i="1"/>
  <c r="DB662" i="1"/>
  <c r="CM662" i="1"/>
  <c r="DF662" i="1"/>
  <c r="CP662" i="1"/>
  <c r="DG662" i="1"/>
  <c r="CL662" i="1"/>
  <c r="DH662" i="1"/>
  <c r="CI662" i="1"/>
  <c r="DN662" i="1"/>
  <c r="DO662" i="1"/>
  <c r="DI662" i="1"/>
  <c r="DJ662" i="1"/>
  <c r="DK662" i="1"/>
  <c r="DL662" i="1"/>
  <c r="CZ663" i="1"/>
  <c r="DA663" i="1"/>
  <c r="DB663" i="1"/>
  <c r="CM663" i="1"/>
  <c r="DF663" i="1"/>
  <c r="CP663" i="1"/>
  <c r="DG663" i="1"/>
  <c r="CL663" i="1"/>
  <c r="DH663" i="1"/>
  <c r="CI663" i="1"/>
  <c r="DN663" i="1"/>
  <c r="DO663" i="1"/>
  <c r="DI663" i="1"/>
  <c r="DJ663" i="1"/>
  <c r="DK663" i="1"/>
  <c r="DL663" i="1"/>
  <c r="CZ664" i="1"/>
  <c r="DA664" i="1"/>
  <c r="DB664" i="1"/>
  <c r="CM664" i="1"/>
  <c r="DF664" i="1"/>
  <c r="CP664" i="1"/>
  <c r="DG664" i="1"/>
  <c r="CL664" i="1"/>
  <c r="DH664" i="1"/>
  <c r="CI664" i="1"/>
  <c r="DN664" i="1"/>
  <c r="DO664" i="1"/>
  <c r="DI664" i="1"/>
  <c r="DJ664" i="1"/>
  <c r="DK664" i="1"/>
  <c r="DL664" i="1"/>
  <c r="CZ665" i="1"/>
  <c r="DA665" i="1"/>
  <c r="DB665" i="1"/>
  <c r="CM665" i="1"/>
  <c r="DF665" i="1"/>
  <c r="CP665" i="1"/>
  <c r="DG665" i="1"/>
  <c r="CL665" i="1"/>
  <c r="DH665" i="1"/>
  <c r="CI665" i="1"/>
  <c r="DN665" i="1"/>
  <c r="DO665" i="1"/>
  <c r="DI665" i="1"/>
  <c r="DJ665" i="1"/>
  <c r="DK665" i="1"/>
  <c r="DL665" i="1"/>
  <c r="CZ666" i="1"/>
  <c r="DA666" i="1"/>
  <c r="DB666" i="1"/>
  <c r="CM666" i="1"/>
  <c r="DF666" i="1"/>
  <c r="CP666" i="1"/>
  <c r="DG666" i="1"/>
  <c r="CL666" i="1"/>
  <c r="DH666" i="1"/>
  <c r="CI666" i="1"/>
  <c r="DN666" i="1"/>
  <c r="DO666" i="1"/>
  <c r="DI666" i="1"/>
  <c r="DJ666" i="1"/>
  <c r="DK666" i="1"/>
  <c r="DL666" i="1"/>
  <c r="CZ667" i="1"/>
  <c r="DA667" i="1"/>
  <c r="DB667" i="1"/>
  <c r="CM667" i="1"/>
  <c r="DF667" i="1"/>
  <c r="CP667" i="1"/>
  <c r="DG667" i="1"/>
  <c r="CL667" i="1"/>
  <c r="DH667" i="1"/>
  <c r="CI667" i="1"/>
  <c r="DN667" i="1"/>
  <c r="DO667" i="1"/>
  <c r="DI667" i="1"/>
  <c r="DJ667" i="1"/>
  <c r="DK667" i="1"/>
  <c r="DL667" i="1"/>
  <c r="CZ668" i="1"/>
  <c r="DA668" i="1"/>
  <c r="DB668" i="1"/>
  <c r="CM668" i="1"/>
  <c r="DF668" i="1"/>
  <c r="CP668" i="1"/>
  <c r="DG668" i="1"/>
  <c r="CL668" i="1"/>
  <c r="DH668" i="1"/>
  <c r="CI668" i="1"/>
  <c r="DN668" i="1"/>
  <c r="DO668" i="1"/>
  <c r="DI668" i="1"/>
  <c r="DJ668" i="1"/>
  <c r="DK668" i="1"/>
  <c r="DL668" i="1"/>
  <c r="CZ669" i="1"/>
  <c r="DA669" i="1"/>
  <c r="DB669" i="1"/>
  <c r="CM669" i="1"/>
  <c r="DF669" i="1"/>
  <c r="CP669" i="1"/>
  <c r="DG669" i="1"/>
  <c r="CL669" i="1"/>
  <c r="DH669" i="1"/>
  <c r="CI669" i="1"/>
  <c r="DN669" i="1"/>
  <c r="DO669" i="1"/>
  <c r="DI669" i="1"/>
  <c r="DJ669" i="1"/>
  <c r="DK669" i="1"/>
  <c r="DL669" i="1"/>
  <c r="CZ670" i="1"/>
  <c r="DA670" i="1"/>
  <c r="DB670" i="1"/>
  <c r="CM670" i="1"/>
  <c r="DF670" i="1"/>
  <c r="CP670" i="1"/>
  <c r="DG670" i="1"/>
  <c r="CL670" i="1"/>
  <c r="DH670" i="1"/>
  <c r="CI670" i="1"/>
  <c r="DN670" i="1"/>
  <c r="DO670" i="1"/>
  <c r="DI670" i="1"/>
  <c r="DJ670" i="1"/>
  <c r="DK670" i="1"/>
  <c r="DL670" i="1"/>
  <c r="CZ671" i="1"/>
  <c r="DA671" i="1"/>
  <c r="DB671" i="1"/>
  <c r="CM671" i="1"/>
  <c r="DF671" i="1"/>
  <c r="CP671" i="1"/>
  <c r="DG671" i="1"/>
  <c r="CL671" i="1"/>
  <c r="DH671" i="1"/>
  <c r="CI671" i="1"/>
  <c r="DN671" i="1"/>
  <c r="DO671" i="1"/>
  <c r="DI671" i="1"/>
  <c r="DJ671" i="1"/>
  <c r="DK671" i="1"/>
  <c r="DL671" i="1"/>
  <c r="CZ672" i="1"/>
  <c r="DA672" i="1"/>
  <c r="DB672" i="1"/>
  <c r="CM672" i="1"/>
  <c r="DF672" i="1"/>
  <c r="CP672" i="1"/>
  <c r="DG672" i="1"/>
  <c r="CL672" i="1"/>
  <c r="DH672" i="1"/>
  <c r="CI672" i="1"/>
  <c r="DN672" i="1"/>
  <c r="DO672" i="1"/>
  <c r="DI672" i="1"/>
  <c r="DJ672" i="1"/>
  <c r="DK672" i="1"/>
  <c r="DL672" i="1"/>
  <c r="CZ673" i="1"/>
  <c r="DA673" i="1"/>
  <c r="DB673" i="1"/>
  <c r="CM673" i="1"/>
  <c r="DF673" i="1"/>
  <c r="CP673" i="1"/>
  <c r="DG673" i="1"/>
  <c r="CL673" i="1"/>
  <c r="DH673" i="1"/>
  <c r="CI673" i="1"/>
  <c r="DN673" i="1"/>
  <c r="DO673" i="1"/>
  <c r="DI673" i="1"/>
  <c r="DJ673" i="1"/>
  <c r="DK673" i="1"/>
  <c r="DL673" i="1"/>
  <c r="CZ674" i="1"/>
  <c r="DA674" i="1"/>
  <c r="DB674" i="1"/>
  <c r="CM674" i="1"/>
  <c r="DF674" i="1"/>
  <c r="CP674" i="1"/>
  <c r="DG674" i="1"/>
  <c r="CL674" i="1"/>
  <c r="DH674" i="1"/>
  <c r="CI674" i="1"/>
  <c r="DN674" i="1"/>
  <c r="DO674" i="1"/>
  <c r="DI674" i="1"/>
  <c r="DJ674" i="1"/>
  <c r="DK674" i="1"/>
  <c r="DL674" i="1"/>
  <c r="CZ675" i="1"/>
  <c r="DA675" i="1"/>
  <c r="DB675" i="1"/>
  <c r="CM675" i="1"/>
  <c r="DF675" i="1"/>
  <c r="CP675" i="1"/>
  <c r="DG675" i="1"/>
  <c r="CL675" i="1"/>
  <c r="DH675" i="1"/>
  <c r="CI675" i="1"/>
  <c r="DN675" i="1"/>
  <c r="DO675" i="1"/>
  <c r="DI675" i="1"/>
  <c r="DJ675" i="1"/>
  <c r="DK675" i="1"/>
  <c r="DL675" i="1"/>
  <c r="CZ676" i="1"/>
  <c r="DA676" i="1"/>
  <c r="DB676" i="1"/>
  <c r="CM676" i="1"/>
  <c r="DF676" i="1"/>
  <c r="CP676" i="1"/>
  <c r="DG676" i="1"/>
  <c r="CL676" i="1"/>
  <c r="DH676" i="1"/>
  <c r="CI676" i="1"/>
  <c r="DN676" i="1"/>
  <c r="DO676" i="1"/>
  <c r="DI676" i="1"/>
  <c r="DJ676" i="1"/>
  <c r="DK676" i="1"/>
  <c r="DL676" i="1"/>
  <c r="CZ677" i="1"/>
  <c r="DA677" i="1"/>
  <c r="DB677" i="1"/>
  <c r="CM677" i="1"/>
  <c r="DF677" i="1"/>
  <c r="CP677" i="1"/>
  <c r="DG677" i="1"/>
  <c r="CL677" i="1"/>
  <c r="DH677" i="1"/>
  <c r="CI677" i="1"/>
  <c r="DN677" i="1"/>
  <c r="DO677" i="1"/>
  <c r="DI677" i="1"/>
  <c r="DJ677" i="1"/>
  <c r="DK677" i="1"/>
  <c r="DL677" i="1"/>
  <c r="CZ678" i="1"/>
  <c r="DA678" i="1"/>
  <c r="DB678" i="1"/>
  <c r="CM678" i="1"/>
  <c r="DF678" i="1"/>
  <c r="CP678" i="1"/>
  <c r="DG678" i="1"/>
  <c r="CL678" i="1"/>
  <c r="DH678" i="1"/>
  <c r="CI678" i="1"/>
  <c r="DN678" i="1"/>
  <c r="DO678" i="1"/>
  <c r="DI678" i="1"/>
  <c r="DJ678" i="1"/>
  <c r="DK678" i="1"/>
  <c r="DL678" i="1"/>
  <c r="CZ679" i="1"/>
  <c r="DA679" i="1"/>
  <c r="DB679" i="1"/>
  <c r="CM679" i="1"/>
  <c r="DF679" i="1"/>
  <c r="CP679" i="1"/>
  <c r="DG679" i="1"/>
  <c r="CL679" i="1"/>
  <c r="DH679" i="1"/>
  <c r="CI679" i="1"/>
  <c r="DN679" i="1"/>
  <c r="DO679" i="1"/>
  <c r="DI679" i="1"/>
  <c r="DJ679" i="1"/>
  <c r="DK679" i="1"/>
  <c r="DL679" i="1"/>
  <c r="CZ680" i="1"/>
  <c r="DA680" i="1"/>
  <c r="DB680" i="1"/>
  <c r="CM680" i="1"/>
  <c r="DF680" i="1"/>
  <c r="CP680" i="1"/>
  <c r="DG680" i="1"/>
  <c r="CL680" i="1"/>
  <c r="DH680" i="1"/>
  <c r="CI680" i="1"/>
  <c r="DN680" i="1"/>
  <c r="DO680" i="1"/>
  <c r="DI680" i="1"/>
  <c r="DJ680" i="1"/>
  <c r="DK680" i="1"/>
  <c r="DL680" i="1"/>
  <c r="CZ681" i="1"/>
  <c r="DA681" i="1"/>
  <c r="DB681" i="1"/>
  <c r="CM681" i="1"/>
  <c r="DF681" i="1"/>
  <c r="CP681" i="1"/>
  <c r="DG681" i="1"/>
  <c r="CL681" i="1"/>
  <c r="DH681" i="1"/>
  <c r="CI681" i="1"/>
  <c r="DN681" i="1"/>
  <c r="DO681" i="1"/>
  <c r="DI681" i="1"/>
  <c r="DJ681" i="1"/>
  <c r="DK681" i="1"/>
  <c r="DL681" i="1"/>
  <c r="CZ682" i="1"/>
  <c r="DA682" i="1"/>
  <c r="DB682" i="1"/>
  <c r="CM682" i="1"/>
  <c r="DF682" i="1"/>
  <c r="CP682" i="1"/>
  <c r="DG682" i="1"/>
  <c r="CL682" i="1"/>
  <c r="DH682" i="1"/>
  <c r="CI682" i="1"/>
  <c r="DN682" i="1"/>
  <c r="DO682" i="1"/>
  <c r="DI682" i="1"/>
  <c r="DJ682" i="1"/>
  <c r="DK682" i="1"/>
  <c r="DL682" i="1"/>
  <c r="CZ683" i="1"/>
  <c r="DA683" i="1"/>
  <c r="DB683" i="1"/>
  <c r="CM683" i="1"/>
  <c r="DF683" i="1"/>
  <c r="CP683" i="1"/>
  <c r="DG683" i="1"/>
  <c r="CL683" i="1"/>
  <c r="DH683" i="1"/>
  <c r="CI683" i="1"/>
  <c r="DN683" i="1"/>
  <c r="DO683" i="1"/>
  <c r="DI683" i="1"/>
  <c r="DJ683" i="1"/>
  <c r="DK683" i="1"/>
  <c r="DL683" i="1"/>
  <c r="CZ684" i="1"/>
  <c r="DA684" i="1"/>
  <c r="DB684" i="1"/>
  <c r="CM684" i="1"/>
  <c r="DF684" i="1"/>
  <c r="CP684" i="1"/>
  <c r="DG684" i="1"/>
  <c r="CL684" i="1"/>
  <c r="DH684" i="1"/>
  <c r="CI684" i="1"/>
  <c r="DN684" i="1"/>
  <c r="DO684" i="1"/>
  <c r="DI684" i="1"/>
  <c r="DJ684" i="1"/>
  <c r="DK684" i="1"/>
  <c r="DL684" i="1"/>
  <c r="CZ685" i="1"/>
  <c r="DA685" i="1"/>
  <c r="DB685" i="1"/>
  <c r="CM685" i="1"/>
  <c r="DF685" i="1"/>
  <c r="CP685" i="1"/>
  <c r="DG685" i="1"/>
  <c r="CL685" i="1"/>
  <c r="DH685" i="1"/>
  <c r="CI685" i="1"/>
  <c r="DN685" i="1"/>
  <c r="DO685" i="1"/>
  <c r="DI685" i="1"/>
  <c r="DJ685" i="1"/>
  <c r="DK685" i="1"/>
  <c r="DL685" i="1"/>
  <c r="CZ686" i="1"/>
  <c r="DA686" i="1"/>
  <c r="DB686" i="1"/>
  <c r="CM686" i="1"/>
  <c r="DF686" i="1"/>
  <c r="CP686" i="1"/>
  <c r="DG686" i="1"/>
  <c r="CL686" i="1"/>
  <c r="DH686" i="1"/>
  <c r="CI686" i="1"/>
  <c r="DN686" i="1"/>
  <c r="DO686" i="1"/>
  <c r="DI686" i="1"/>
  <c r="DJ686" i="1"/>
  <c r="DK686" i="1"/>
  <c r="DL686" i="1"/>
  <c r="CZ687" i="1"/>
  <c r="DA687" i="1"/>
  <c r="DB687" i="1"/>
  <c r="CM687" i="1"/>
  <c r="DF687" i="1"/>
  <c r="CP687" i="1"/>
  <c r="DG687" i="1"/>
  <c r="CL687" i="1"/>
  <c r="DH687" i="1"/>
  <c r="CI687" i="1"/>
  <c r="DN687" i="1"/>
  <c r="DO687" i="1"/>
  <c r="DI687" i="1"/>
  <c r="DJ687" i="1"/>
  <c r="DK687" i="1"/>
  <c r="DL687" i="1"/>
  <c r="CZ688" i="1"/>
  <c r="DA688" i="1"/>
  <c r="DB688" i="1"/>
  <c r="CM688" i="1"/>
  <c r="DF688" i="1"/>
  <c r="CP688" i="1"/>
  <c r="DG688" i="1"/>
  <c r="CL688" i="1"/>
  <c r="DH688" i="1"/>
  <c r="CI688" i="1"/>
  <c r="DN688" i="1"/>
  <c r="DO688" i="1"/>
  <c r="DI688" i="1"/>
  <c r="DJ688" i="1"/>
  <c r="DK688" i="1"/>
  <c r="DL688" i="1"/>
  <c r="CZ689" i="1"/>
  <c r="DA689" i="1"/>
  <c r="DB689" i="1"/>
  <c r="CM689" i="1"/>
  <c r="DF689" i="1"/>
  <c r="CP689" i="1"/>
  <c r="DG689" i="1"/>
  <c r="CL689" i="1"/>
  <c r="DH689" i="1"/>
  <c r="CI689" i="1"/>
  <c r="DN689" i="1"/>
  <c r="DO689" i="1"/>
  <c r="DI689" i="1"/>
  <c r="DJ689" i="1"/>
  <c r="DK689" i="1"/>
  <c r="DL689" i="1"/>
  <c r="CZ690" i="1"/>
  <c r="DA690" i="1"/>
  <c r="DB690" i="1"/>
  <c r="CM690" i="1"/>
  <c r="DF690" i="1"/>
  <c r="CP690" i="1"/>
  <c r="DG690" i="1"/>
  <c r="CL690" i="1"/>
  <c r="DH690" i="1"/>
  <c r="CI690" i="1"/>
  <c r="DN690" i="1"/>
  <c r="DO690" i="1"/>
  <c r="DI690" i="1"/>
  <c r="DJ690" i="1"/>
  <c r="DK690" i="1"/>
  <c r="DL690" i="1"/>
  <c r="CZ691" i="1"/>
  <c r="DA691" i="1"/>
  <c r="DB691" i="1"/>
  <c r="CM691" i="1"/>
  <c r="DF691" i="1"/>
  <c r="CP691" i="1"/>
  <c r="DG691" i="1"/>
  <c r="CL691" i="1"/>
  <c r="DH691" i="1"/>
  <c r="CI691" i="1"/>
  <c r="DN691" i="1"/>
  <c r="DO691" i="1"/>
  <c r="DI691" i="1"/>
  <c r="DJ691" i="1"/>
  <c r="DK691" i="1"/>
  <c r="DL691" i="1"/>
  <c r="CZ692" i="1"/>
  <c r="DA692" i="1"/>
  <c r="DB692" i="1"/>
  <c r="CM692" i="1"/>
  <c r="DF692" i="1"/>
  <c r="CP692" i="1"/>
  <c r="DG692" i="1"/>
  <c r="CL692" i="1"/>
  <c r="DH692" i="1"/>
  <c r="CI692" i="1"/>
  <c r="DN692" i="1"/>
  <c r="DO692" i="1"/>
  <c r="DI692" i="1"/>
  <c r="DJ692" i="1"/>
  <c r="DK692" i="1"/>
  <c r="DL692" i="1"/>
  <c r="CZ693" i="1"/>
  <c r="DA693" i="1"/>
  <c r="DB693" i="1"/>
  <c r="CM693" i="1"/>
  <c r="DF693" i="1"/>
  <c r="CP693" i="1"/>
  <c r="DG693" i="1"/>
  <c r="CL693" i="1"/>
  <c r="DH693" i="1"/>
  <c r="CI693" i="1"/>
  <c r="DN693" i="1"/>
  <c r="DO693" i="1"/>
  <c r="DI693" i="1"/>
  <c r="DJ693" i="1"/>
  <c r="DK693" i="1"/>
  <c r="DL693" i="1"/>
  <c r="CZ694" i="1"/>
  <c r="DA694" i="1"/>
  <c r="DB694" i="1"/>
  <c r="CM694" i="1"/>
  <c r="DF694" i="1"/>
  <c r="CP694" i="1"/>
  <c r="DG694" i="1"/>
  <c r="CL694" i="1"/>
  <c r="DH694" i="1"/>
  <c r="CI694" i="1"/>
  <c r="DN694" i="1"/>
  <c r="DO694" i="1"/>
  <c r="DI694" i="1"/>
  <c r="DJ694" i="1"/>
  <c r="DK694" i="1"/>
  <c r="DL694" i="1"/>
  <c r="CZ695" i="1"/>
  <c r="DA695" i="1"/>
  <c r="DB695" i="1"/>
  <c r="CM695" i="1"/>
  <c r="DF695" i="1"/>
  <c r="CP695" i="1"/>
  <c r="DG695" i="1"/>
  <c r="CL695" i="1"/>
  <c r="DH695" i="1"/>
  <c r="CI695" i="1"/>
  <c r="DN695" i="1"/>
  <c r="DO695" i="1"/>
  <c r="DI695" i="1"/>
  <c r="DJ695" i="1"/>
  <c r="DK695" i="1"/>
  <c r="DL695" i="1"/>
  <c r="CZ696" i="1"/>
  <c r="DA696" i="1"/>
  <c r="DB696" i="1"/>
  <c r="CM696" i="1"/>
  <c r="DF696" i="1"/>
  <c r="CP696" i="1"/>
  <c r="DG696" i="1"/>
  <c r="CL696" i="1"/>
  <c r="DH696" i="1"/>
  <c r="CI696" i="1"/>
  <c r="DN696" i="1"/>
  <c r="DO696" i="1"/>
  <c r="DI696" i="1"/>
  <c r="DJ696" i="1"/>
  <c r="DK696" i="1"/>
  <c r="DL696" i="1"/>
  <c r="CZ697" i="1"/>
  <c r="DA697" i="1"/>
  <c r="DB697" i="1"/>
  <c r="CM697" i="1"/>
  <c r="DF697" i="1"/>
  <c r="CP697" i="1"/>
  <c r="DG697" i="1"/>
  <c r="CL697" i="1"/>
  <c r="DH697" i="1"/>
  <c r="CI697" i="1"/>
  <c r="DN697" i="1"/>
  <c r="DO697" i="1"/>
  <c r="DI697" i="1"/>
  <c r="DJ697" i="1"/>
  <c r="DK697" i="1"/>
  <c r="DL697" i="1"/>
  <c r="CZ698" i="1"/>
  <c r="DA698" i="1"/>
  <c r="DB698" i="1"/>
  <c r="CM698" i="1"/>
  <c r="DF698" i="1"/>
  <c r="CP698" i="1"/>
  <c r="DG698" i="1"/>
  <c r="CL698" i="1"/>
  <c r="DH698" i="1"/>
  <c r="CI698" i="1"/>
  <c r="DN698" i="1"/>
  <c r="DO698" i="1"/>
  <c r="DI698" i="1"/>
  <c r="DJ698" i="1"/>
  <c r="DK698" i="1"/>
  <c r="DL698" i="1"/>
  <c r="CZ699" i="1"/>
  <c r="DA699" i="1"/>
  <c r="DB699" i="1"/>
  <c r="CM699" i="1"/>
  <c r="DF699" i="1"/>
  <c r="CP699" i="1"/>
  <c r="DG699" i="1"/>
  <c r="CL699" i="1"/>
  <c r="DH699" i="1"/>
  <c r="CI699" i="1"/>
  <c r="DN699" i="1"/>
  <c r="DO699" i="1"/>
  <c r="DI699" i="1"/>
  <c r="DJ699" i="1"/>
  <c r="DK699" i="1"/>
  <c r="DL699" i="1"/>
  <c r="CZ700" i="1"/>
  <c r="DA700" i="1"/>
  <c r="DB700" i="1"/>
  <c r="CM700" i="1"/>
  <c r="DF700" i="1"/>
  <c r="CP700" i="1"/>
  <c r="DG700" i="1"/>
  <c r="CL700" i="1"/>
  <c r="DH700" i="1"/>
  <c r="CI700" i="1"/>
  <c r="DN700" i="1"/>
  <c r="DO700" i="1"/>
  <c r="DI700" i="1"/>
  <c r="DJ700" i="1"/>
  <c r="DK700" i="1"/>
  <c r="DL700" i="1"/>
  <c r="CZ701" i="1"/>
  <c r="DA701" i="1"/>
  <c r="DB701" i="1"/>
  <c r="CM701" i="1"/>
  <c r="DF701" i="1"/>
  <c r="CP701" i="1"/>
  <c r="DG701" i="1"/>
  <c r="CL701" i="1"/>
  <c r="DH701" i="1"/>
  <c r="CI701" i="1"/>
  <c r="DN701" i="1"/>
  <c r="DO701" i="1"/>
  <c r="DI701" i="1"/>
  <c r="DJ701" i="1"/>
  <c r="DK701" i="1"/>
  <c r="DL701" i="1"/>
  <c r="CZ702" i="1"/>
  <c r="DA702" i="1"/>
  <c r="DB702" i="1"/>
  <c r="CM702" i="1"/>
  <c r="DF702" i="1"/>
  <c r="CP702" i="1"/>
  <c r="DG702" i="1"/>
  <c r="CL702" i="1"/>
  <c r="DH702" i="1"/>
  <c r="CI702" i="1"/>
  <c r="DN702" i="1"/>
  <c r="DO702" i="1"/>
  <c r="DI702" i="1"/>
  <c r="DJ702" i="1"/>
  <c r="DK702" i="1"/>
  <c r="DL702" i="1"/>
  <c r="CZ703" i="1"/>
  <c r="DA703" i="1"/>
  <c r="DB703" i="1"/>
  <c r="CM703" i="1"/>
  <c r="DF703" i="1"/>
  <c r="CP703" i="1"/>
  <c r="DG703" i="1"/>
  <c r="CL703" i="1"/>
  <c r="DH703" i="1"/>
  <c r="CI703" i="1"/>
  <c r="DN703" i="1"/>
  <c r="DO703" i="1"/>
  <c r="DI703" i="1"/>
  <c r="DJ703" i="1"/>
  <c r="DK703" i="1"/>
  <c r="DL703" i="1"/>
  <c r="CZ704" i="1"/>
  <c r="DA704" i="1"/>
  <c r="DB704" i="1"/>
  <c r="CM704" i="1"/>
  <c r="DF704" i="1"/>
  <c r="CP704" i="1"/>
  <c r="DG704" i="1"/>
  <c r="CL704" i="1"/>
  <c r="DH704" i="1"/>
  <c r="CI704" i="1"/>
  <c r="DN704" i="1"/>
  <c r="DO704" i="1"/>
  <c r="DI704" i="1"/>
  <c r="DJ704" i="1"/>
  <c r="DK704" i="1"/>
  <c r="DL704" i="1"/>
  <c r="CZ705" i="1"/>
  <c r="DA705" i="1"/>
  <c r="DB705" i="1"/>
  <c r="CM705" i="1"/>
  <c r="DF705" i="1"/>
  <c r="CP705" i="1"/>
  <c r="DG705" i="1"/>
  <c r="CL705" i="1"/>
  <c r="DH705" i="1"/>
  <c r="CI705" i="1"/>
  <c r="DN705" i="1"/>
  <c r="DO705" i="1"/>
  <c r="DI705" i="1"/>
  <c r="DJ705" i="1"/>
  <c r="DK705" i="1"/>
  <c r="DL705" i="1"/>
  <c r="CZ706" i="1"/>
  <c r="DA706" i="1"/>
  <c r="DB706" i="1"/>
  <c r="CM706" i="1"/>
  <c r="DF706" i="1"/>
  <c r="CP706" i="1"/>
  <c r="DG706" i="1"/>
  <c r="CL706" i="1"/>
  <c r="DH706" i="1"/>
  <c r="CI706" i="1"/>
  <c r="DN706" i="1"/>
  <c r="DO706" i="1"/>
  <c r="DI706" i="1"/>
  <c r="DJ706" i="1"/>
  <c r="DK706" i="1"/>
  <c r="DL706" i="1"/>
  <c r="CZ707" i="1"/>
  <c r="DA707" i="1"/>
  <c r="DB707" i="1"/>
  <c r="CM707" i="1"/>
  <c r="DF707" i="1"/>
  <c r="CP707" i="1"/>
  <c r="DG707" i="1"/>
  <c r="CL707" i="1"/>
  <c r="DH707" i="1"/>
  <c r="CI707" i="1"/>
  <c r="DN707" i="1"/>
  <c r="DO707" i="1"/>
  <c r="DI707" i="1"/>
  <c r="DJ707" i="1"/>
  <c r="DK707" i="1"/>
  <c r="DL707" i="1"/>
  <c r="CZ708" i="1"/>
  <c r="DA708" i="1"/>
  <c r="DB708" i="1"/>
  <c r="CM708" i="1"/>
  <c r="DF708" i="1"/>
  <c r="CP708" i="1"/>
  <c r="DG708" i="1"/>
  <c r="CL708" i="1"/>
  <c r="DH708" i="1"/>
  <c r="CI708" i="1"/>
  <c r="DN708" i="1"/>
  <c r="DO708" i="1"/>
  <c r="DI708" i="1"/>
  <c r="DJ708" i="1"/>
  <c r="DK708" i="1"/>
  <c r="DL708" i="1"/>
  <c r="CZ709" i="1"/>
  <c r="DA709" i="1"/>
  <c r="DB709" i="1"/>
  <c r="CM709" i="1"/>
  <c r="DF709" i="1"/>
  <c r="CP709" i="1"/>
  <c r="DG709" i="1"/>
  <c r="CL709" i="1"/>
  <c r="DH709" i="1"/>
  <c r="CI709" i="1"/>
  <c r="DN709" i="1"/>
  <c r="DO709" i="1"/>
  <c r="DI709" i="1"/>
  <c r="DJ709" i="1"/>
  <c r="DK709" i="1"/>
  <c r="DL709" i="1"/>
  <c r="CZ710" i="1"/>
  <c r="DA710" i="1"/>
  <c r="DB710" i="1"/>
  <c r="CM710" i="1"/>
  <c r="DF710" i="1"/>
  <c r="CP710" i="1"/>
  <c r="DG710" i="1"/>
  <c r="CL710" i="1"/>
  <c r="DH710" i="1"/>
  <c r="CI710" i="1"/>
  <c r="DN710" i="1"/>
  <c r="DO710" i="1"/>
  <c r="DI710" i="1"/>
  <c r="DJ710" i="1"/>
  <c r="DK710" i="1"/>
  <c r="DL710" i="1"/>
  <c r="CZ711" i="1"/>
  <c r="DA711" i="1"/>
  <c r="DB711" i="1"/>
  <c r="CM711" i="1"/>
  <c r="DF711" i="1"/>
  <c r="CP711" i="1"/>
  <c r="DG711" i="1"/>
  <c r="CL711" i="1"/>
  <c r="DH711" i="1"/>
  <c r="CI711" i="1"/>
  <c r="DN711" i="1"/>
  <c r="DO711" i="1"/>
  <c r="DI711" i="1"/>
  <c r="DJ711" i="1"/>
  <c r="DK711" i="1"/>
  <c r="DL711" i="1"/>
  <c r="CZ712" i="1"/>
  <c r="DA712" i="1"/>
  <c r="DB712" i="1"/>
  <c r="CM712" i="1"/>
  <c r="DF712" i="1"/>
  <c r="CP712" i="1"/>
  <c r="DG712" i="1"/>
  <c r="CL712" i="1"/>
  <c r="DH712" i="1"/>
  <c r="CI712" i="1"/>
  <c r="DN712" i="1"/>
  <c r="DO712" i="1"/>
  <c r="DI712" i="1"/>
  <c r="DJ712" i="1"/>
  <c r="DK712" i="1"/>
  <c r="DL712" i="1"/>
  <c r="CZ713" i="1"/>
  <c r="DA713" i="1"/>
  <c r="DB713" i="1"/>
  <c r="CM713" i="1"/>
  <c r="DF713" i="1"/>
  <c r="CP713" i="1"/>
  <c r="DG713" i="1"/>
  <c r="CL713" i="1"/>
  <c r="DH713" i="1"/>
  <c r="CI713" i="1"/>
  <c r="DN713" i="1"/>
  <c r="DO713" i="1"/>
  <c r="DI713" i="1"/>
  <c r="DJ713" i="1"/>
  <c r="DK713" i="1"/>
  <c r="DL713" i="1"/>
  <c r="CZ714" i="1"/>
  <c r="DA714" i="1"/>
  <c r="DB714" i="1"/>
  <c r="CM714" i="1"/>
  <c r="DF714" i="1"/>
  <c r="CP714" i="1"/>
  <c r="DG714" i="1"/>
  <c r="CL714" i="1"/>
  <c r="DH714" i="1"/>
  <c r="CI714" i="1"/>
  <c r="DN714" i="1"/>
  <c r="DO714" i="1"/>
  <c r="DI714" i="1"/>
  <c r="DJ714" i="1"/>
  <c r="DK714" i="1"/>
  <c r="DL714" i="1"/>
  <c r="CZ715" i="1"/>
  <c r="DA715" i="1"/>
  <c r="DB715" i="1"/>
  <c r="CM715" i="1"/>
  <c r="DF715" i="1"/>
  <c r="CP715" i="1"/>
  <c r="DG715" i="1"/>
  <c r="CL715" i="1"/>
  <c r="DH715" i="1"/>
  <c r="CI715" i="1"/>
  <c r="DN715" i="1"/>
  <c r="DO715" i="1"/>
  <c r="DI715" i="1"/>
  <c r="DJ715" i="1"/>
  <c r="DK715" i="1"/>
  <c r="DL715" i="1"/>
  <c r="CZ716" i="1"/>
  <c r="DA716" i="1"/>
  <c r="DB716" i="1"/>
  <c r="CM716" i="1"/>
  <c r="DF716" i="1"/>
  <c r="CP716" i="1"/>
  <c r="DG716" i="1"/>
  <c r="CL716" i="1"/>
  <c r="DH716" i="1"/>
  <c r="CI716" i="1"/>
  <c r="DN716" i="1"/>
  <c r="DO716" i="1"/>
  <c r="DI716" i="1"/>
  <c r="DJ716" i="1"/>
  <c r="DK716" i="1"/>
  <c r="DL716" i="1"/>
  <c r="CZ717" i="1"/>
  <c r="DA717" i="1"/>
  <c r="DB717" i="1"/>
  <c r="CM717" i="1"/>
  <c r="DF717" i="1"/>
  <c r="CP717" i="1"/>
  <c r="DG717" i="1"/>
  <c r="CL717" i="1"/>
  <c r="DH717" i="1"/>
  <c r="CI717" i="1"/>
  <c r="DN717" i="1"/>
  <c r="DO717" i="1"/>
  <c r="DI717" i="1"/>
  <c r="DJ717" i="1"/>
  <c r="DK717" i="1"/>
  <c r="DL717" i="1"/>
  <c r="CZ718" i="1"/>
  <c r="DA718" i="1"/>
  <c r="DB718" i="1"/>
  <c r="CM718" i="1"/>
  <c r="DF718" i="1"/>
  <c r="CP718" i="1"/>
  <c r="DG718" i="1"/>
  <c r="CL718" i="1"/>
  <c r="DH718" i="1"/>
  <c r="CI718" i="1"/>
  <c r="DN718" i="1"/>
  <c r="DO718" i="1"/>
  <c r="DI718" i="1"/>
  <c r="DJ718" i="1"/>
  <c r="DK718" i="1"/>
  <c r="DL718" i="1"/>
  <c r="CZ719" i="1"/>
  <c r="DA719" i="1"/>
  <c r="DB719" i="1"/>
  <c r="CM719" i="1"/>
  <c r="DF719" i="1"/>
  <c r="CP719" i="1"/>
  <c r="DG719" i="1"/>
  <c r="CL719" i="1"/>
  <c r="DH719" i="1"/>
  <c r="CI719" i="1"/>
  <c r="DN719" i="1"/>
  <c r="DO719" i="1"/>
  <c r="DI719" i="1"/>
  <c r="DJ719" i="1"/>
  <c r="DK719" i="1"/>
  <c r="DL719" i="1"/>
  <c r="CZ720" i="1"/>
  <c r="DA720" i="1"/>
  <c r="DB720" i="1"/>
  <c r="CM720" i="1"/>
  <c r="DF720" i="1"/>
  <c r="CP720" i="1"/>
  <c r="DG720" i="1"/>
  <c r="CL720" i="1"/>
  <c r="DH720" i="1"/>
  <c r="CI720" i="1"/>
  <c r="DN720" i="1"/>
  <c r="DO720" i="1"/>
  <c r="DI720" i="1"/>
  <c r="DJ720" i="1"/>
  <c r="DK720" i="1"/>
  <c r="DL720" i="1"/>
  <c r="CZ721" i="1"/>
  <c r="DA721" i="1"/>
  <c r="DB721" i="1"/>
  <c r="CM721" i="1"/>
  <c r="DF721" i="1"/>
  <c r="CP721" i="1"/>
  <c r="DG721" i="1"/>
  <c r="CL721" i="1"/>
  <c r="DH721" i="1"/>
  <c r="CI721" i="1"/>
  <c r="DN721" i="1"/>
  <c r="DO721" i="1"/>
  <c r="DI721" i="1"/>
  <c r="DJ721" i="1"/>
  <c r="DK721" i="1"/>
  <c r="DL721" i="1"/>
  <c r="CZ722" i="1"/>
  <c r="DA722" i="1"/>
  <c r="DB722" i="1"/>
  <c r="CM722" i="1"/>
  <c r="DF722" i="1"/>
  <c r="CP722" i="1"/>
  <c r="DG722" i="1"/>
  <c r="CL722" i="1"/>
  <c r="DH722" i="1"/>
  <c r="CI722" i="1"/>
  <c r="DN722" i="1"/>
  <c r="DO722" i="1"/>
  <c r="DI722" i="1"/>
  <c r="DJ722" i="1"/>
  <c r="DK722" i="1"/>
  <c r="DL722" i="1"/>
  <c r="CZ723" i="1"/>
  <c r="DA723" i="1"/>
  <c r="DB723" i="1"/>
  <c r="CM723" i="1"/>
  <c r="DF723" i="1"/>
  <c r="CP723" i="1"/>
  <c r="DG723" i="1"/>
  <c r="CL723" i="1"/>
  <c r="DH723" i="1"/>
  <c r="CI723" i="1"/>
  <c r="DN723" i="1"/>
  <c r="DO723" i="1"/>
  <c r="DI723" i="1"/>
  <c r="DJ723" i="1"/>
  <c r="DK723" i="1"/>
  <c r="DL723" i="1"/>
  <c r="CZ724" i="1"/>
  <c r="DA724" i="1"/>
  <c r="DB724" i="1"/>
  <c r="CM724" i="1"/>
  <c r="DF724" i="1"/>
  <c r="CP724" i="1"/>
  <c r="DG724" i="1"/>
  <c r="CL724" i="1"/>
  <c r="DH724" i="1"/>
  <c r="CI724" i="1"/>
  <c r="DN724" i="1"/>
  <c r="DO724" i="1"/>
  <c r="DI724" i="1"/>
  <c r="DJ724" i="1"/>
  <c r="DK724" i="1"/>
  <c r="DL724" i="1"/>
  <c r="CZ725" i="1"/>
  <c r="DA725" i="1"/>
  <c r="DB725" i="1"/>
  <c r="CM725" i="1"/>
  <c r="DF725" i="1"/>
  <c r="CP725" i="1"/>
  <c r="DG725" i="1"/>
  <c r="CL725" i="1"/>
  <c r="DH725" i="1"/>
  <c r="CI725" i="1"/>
  <c r="DN725" i="1"/>
  <c r="DO725" i="1"/>
  <c r="DI725" i="1"/>
  <c r="DJ725" i="1"/>
  <c r="DK725" i="1"/>
  <c r="DL725" i="1"/>
  <c r="CZ726" i="1"/>
  <c r="DA726" i="1"/>
  <c r="DB726" i="1"/>
  <c r="CM726" i="1"/>
  <c r="DF726" i="1"/>
  <c r="CP726" i="1"/>
  <c r="DG726" i="1"/>
  <c r="CL726" i="1"/>
  <c r="DH726" i="1"/>
  <c r="CI726" i="1"/>
  <c r="DN726" i="1"/>
  <c r="DO726" i="1"/>
  <c r="DI726" i="1"/>
  <c r="DJ726" i="1"/>
  <c r="DK726" i="1"/>
  <c r="DL726" i="1"/>
  <c r="CZ727" i="1"/>
  <c r="DA727" i="1"/>
  <c r="DB727" i="1"/>
  <c r="CM727" i="1"/>
  <c r="DF727" i="1"/>
  <c r="CP727" i="1"/>
  <c r="DG727" i="1"/>
  <c r="CL727" i="1"/>
  <c r="DH727" i="1"/>
  <c r="CI727" i="1"/>
  <c r="DN727" i="1"/>
  <c r="DO727" i="1"/>
  <c r="DI727" i="1"/>
  <c r="DJ727" i="1"/>
  <c r="DK727" i="1"/>
  <c r="DL727" i="1"/>
  <c r="CZ728" i="1"/>
  <c r="DA728" i="1"/>
  <c r="DB728" i="1"/>
  <c r="CM728" i="1"/>
  <c r="DF728" i="1"/>
  <c r="CP728" i="1"/>
  <c r="DG728" i="1"/>
  <c r="CL728" i="1"/>
  <c r="DH728" i="1"/>
  <c r="CI728" i="1"/>
  <c r="DN728" i="1"/>
  <c r="DO728" i="1"/>
  <c r="DI728" i="1"/>
  <c r="DJ728" i="1"/>
  <c r="DK728" i="1"/>
  <c r="DL728" i="1"/>
  <c r="CZ729" i="1"/>
  <c r="DA729" i="1"/>
  <c r="DB729" i="1"/>
  <c r="CM729" i="1"/>
  <c r="DF729" i="1"/>
  <c r="CP729" i="1"/>
  <c r="DG729" i="1"/>
  <c r="CL729" i="1"/>
  <c r="DH729" i="1"/>
  <c r="CI729" i="1"/>
  <c r="DN729" i="1"/>
  <c r="DO729" i="1"/>
  <c r="DI729" i="1"/>
  <c r="DJ729" i="1"/>
  <c r="DK729" i="1"/>
  <c r="DL729" i="1"/>
  <c r="CZ730" i="1"/>
  <c r="DA730" i="1"/>
  <c r="DB730" i="1"/>
  <c r="CM730" i="1"/>
  <c r="DF730" i="1"/>
  <c r="CP730" i="1"/>
  <c r="DG730" i="1"/>
  <c r="CL730" i="1"/>
  <c r="DH730" i="1"/>
  <c r="CI730" i="1"/>
  <c r="DN730" i="1"/>
  <c r="DO730" i="1"/>
  <c r="DI730" i="1"/>
  <c r="DJ730" i="1"/>
  <c r="DK730" i="1"/>
  <c r="DL730" i="1"/>
  <c r="CZ731" i="1"/>
  <c r="DA731" i="1"/>
  <c r="DB731" i="1"/>
  <c r="CM731" i="1"/>
  <c r="DF731" i="1"/>
  <c r="CP731" i="1"/>
  <c r="DG731" i="1"/>
  <c r="CL731" i="1"/>
  <c r="DH731" i="1"/>
  <c r="CI731" i="1"/>
  <c r="DN731" i="1"/>
  <c r="DO731" i="1"/>
  <c r="DI731" i="1"/>
  <c r="DJ731" i="1"/>
  <c r="DK731" i="1"/>
  <c r="DL731" i="1"/>
  <c r="CZ732" i="1"/>
  <c r="DA732" i="1"/>
  <c r="DB732" i="1"/>
  <c r="CM732" i="1"/>
  <c r="DF732" i="1"/>
  <c r="CP732" i="1"/>
  <c r="DG732" i="1"/>
  <c r="CL732" i="1"/>
  <c r="DH732" i="1"/>
  <c r="CI732" i="1"/>
  <c r="DN732" i="1"/>
  <c r="DO732" i="1"/>
  <c r="DI732" i="1"/>
  <c r="DJ732" i="1"/>
  <c r="DK732" i="1"/>
  <c r="DL732" i="1"/>
  <c r="CZ733" i="1"/>
  <c r="DA733" i="1"/>
  <c r="DB733" i="1"/>
  <c r="CM733" i="1"/>
  <c r="DF733" i="1"/>
  <c r="CP733" i="1"/>
  <c r="DG733" i="1"/>
  <c r="CL733" i="1"/>
  <c r="DH733" i="1"/>
  <c r="CI733" i="1"/>
  <c r="DN733" i="1"/>
  <c r="DO733" i="1"/>
  <c r="DI733" i="1"/>
  <c r="DJ733" i="1"/>
  <c r="DK733" i="1"/>
  <c r="DL733" i="1"/>
  <c r="CZ734" i="1"/>
  <c r="DA734" i="1"/>
  <c r="DB734" i="1"/>
  <c r="CM734" i="1"/>
  <c r="DF734" i="1"/>
  <c r="CP734" i="1"/>
  <c r="DG734" i="1"/>
  <c r="CL734" i="1"/>
  <c r="DH734" i="1"/>
  <c r="CI734" i="1"/>
  <c r="DN734" i="1"/>
  <c r="DO734" i="1"/>
  <c r="DI734" i="1"/>
  <c r="DJ734" i="1"/>
  <c r="DK734" i="1"/>
  <c r="DL734" i="1"/>
  <c r="CZ735" i="1"/>
  <c r="DA735" i="1"/>
  <c r="DB735" i="1"/>
  <c r="CM735" i="1"/>
  <c r="DF735" i="1"/>
  <c r="CP735" i="1"/>
  <c r="DG735" i="1"/>
  <c r="CL735" i="1"/>
  <c r="DH735" i="1"/>
  <c r="CI735" i="1"/>
  <c r="DN735" i="1"/>
  <c r="DO735" i="1"/>
  <c r="DI735" i="1"/>
  <c r="DJ735" i="1"/>
  <c r="DK735" i="1"/>
  <c r="DL735" i="1"/>
  <c r="CZ736" i="1"/>
  <c r="DA736" i="1"/>
  <c r="DB736" i="1"/>
  <c r="CM736" i="1"/>
  <c r="DF736" i="1"/>
  <c r="CP736" i="1"/>
  <c r="DG736" i="1"/>
  <c r="CL736" i="1"/>
  <c r="DH736" i="1"/>
  <c r="CI736" i="1"/>
  <c r="DN736" i="1"/>
  <c r="DO736" i="1"/>
  <c r="DI736" i="1"/>
  <c r="DJ736" i="1"/>
  <c r="DK736" i="1"/>
  <c r="DL736" i="1"/>
  <c r="CZ737" i="1"/>
  <c r="DA737" i="1"/>
  <c r="DB737" i="1"/>
  <c r="CM737" i="1"/>
  <c r="DF737" i="1"/>
  <c r="CP737" i="1"/>
  <c r="DG737" i="1"/>
  <c r="CL737" i="1"/>
  <c r="DH737" i="1"/>
  <c r="CI737" i="1"/>
  <c r="DN737" i="1"/>
  <c r="DO737" i="1"/>
  <c r="DI737" i="1"/>
  <c r="DJ737" i="1"/>
  <c r="DK737" i="1"/>
  <c r="DL737" i="1"/>
  <c r="CZ738" i="1"/>
  <c r="DA738" i="1"/>
  <c r="DB738" i="1"/>
  <c r="CM738" i="1"/>
  <c r="DF738" i="1"/>
  <c r="CP738" i="1"/>
  <c r="DG738" i="1"/>
  <c r="CL738" i="1"/>
  <c r="DH738" i="1"/>
  <c r="CI738" i="1"/>
  <c r="DN738" i="1"/>
  <c r="DO738" i="1"/>
  <c r="DI738" i="1"/>
  <c r="DJ738" i="1"/>
  <c r="DK738" i="1"/>
  <c r="DL738" i="1"/>
  <c r="CZ739" i="1"/>
  <c r="DA739" i="1"/>
  <c r="DB739" i="1"/>
  <c r="CM739" i="1"/>
  <c r="DF739" i="1"/>
  <c r="CP739" i="1"/>
  <c r="DG739" i="1"/>
  <c r="CL739" i="1"/>
  <c r="DH739" i="1"/>
  <c r="CI739" i="1"/>
  <c r="DN739" i="1"/>
  <c r="DO739" i="1"/>
  <c r="DI739" i="1"/>
  <c r="DJ739" i="1"/>
  <c r="DK739" i="1"/>
  <c r="DL739" i="1"/>
  <c r="CZ740" i="1"/>
  <c r="DA740" i="1"/>
  <c r="DB740" i="1"/>
  <c r="CM740" i="1"/>
  <c r="DF740" i="1"/>
  <c r="CP740" i="1"/>
  <c r="DG740" i="1"/>
  <c r="CL740" i="1"/>
  <c r="DH740" i="1"/>
  <c r="CI740" i="1"/>
  <c r="DN740" i="1"/>
  <c r="DO740" i="1"/>
  <c r="DI740" i="1"/>
  <c r="DJ740" i="1"/>
  <c r="DK740" i="1"/>
  <c r="DL740" i="1"/>
  <c r="CZ741" i="1"/>
  <c r="DA741" i="1"/>
  <c r="DB741" i="1"/>
  <c r="CM741" i="1"/>
  <c r="DF741" i="1"/>
  <c r="CP741" i="1"/>
  <c r="DG741" i="1"/>
  <c r="CL741" i="1"/>
  <c r="DH741" i="1"/>
  <c r="CI741" i="1"/>
  <c r="DN741" i="1"/>
  <c r="DO741" i="1"/>
  <c r="DI741" i="1"/>
  <c r="DJ741" i="1"/>
  <c r="DK741" i="1"/>
  <c r="DL741" i="1"/>
  <c r="CZ742" i="1"/>
  <c r="DA742" i="1"/>
  <c r="DB742" i="1"/>
  <c r="CM742" i="1"/>
  <c r="DF742" i="1"/>
  <c r="CP742" i="1"/>
  <c r="DG742" i="1"/>
  <c r="CL742" i="1"/>
  <c r="DH742" i="1"/>
  <c r="CI742" i="1"/>
  <c r="DN742" i="1"/>
  <c r="DO742" i="1"/>
  <c r="DI742" i="1"/>
  <c r="DJ742" i="1"/>
  <c r="DK742" i="1"/>
  <c r="DL742" i="1"/>
  <c r="CZ743" i="1"/>
  <c r="DA743" i="1"/>
  <c r="DB743" i="1"/>
  <c r="CM743" i="1"/>
  <c r="DF743" i="1"/>
  <c r="CP743" i="1"/>
  <c r="DG743" i="1"/>
  <c r="CL743" i="1"/>
  <c r="DH743" i="1"/>
  <c r="CI743" i="1"/>
  <c r="DN743" i="1"/>
  <c r="DO743" i="1"/>
  <c r="DI743" i="1"/>
  <c r="DJ743" i="1"/>
  <c r="DK743" i="1"/>
  <c r="DL743" i="1"/>
  <c r="CZ744" i="1"/>
  <c r="DA744" i="1"/>
  <c r="DB744" i="1"/>
  <c r="CM744" i="1"/>
  <c r="DF744" i="1"/>
  <c r="CP744" i="1"/>
  <c r="DG744" i="1"/>
  <c r="CL744" i="1"/>
  <c r="DH744" i="1"/>
  <c r="CI744" i="1"/>
  <c r="DN744" i="1"/>
  <c r="DO744" i="1"/>
  <c r="DI744" i="1"/>
  <c r="DJ744" i="1"/>
  <c r="DK744" i="1"/>
  <c r="DL744" i="1"/>
  <c r="CZ745" i="1"/>
  <c r="DA745" i="1"/>
  <c r="DB745" i="1"/>
  <c r="CM745" i="1"/>
  <c r="DF745" i="1"/>
  <c r="CP745" i="1"/>
  <c r="DG745" i="1"/>
  <c r="CL745" i="1"/>
  <c r="DH745" i="1"/>
  <c r="CI745" i="1"/>
  <c r="DN745" i="1"/>
  <c r="DO745" i="1"/>
  <c r="DI745" i="1"/>
  <c r="DJ745" i="1"/>
  <c r="DK745" i="1"/>
  <c r="DL745" i="1"/>
  <c r="CZ746" i="1"/>
  <c r="DA746" i="1"/>
  <c r="DB746" i="1"/>
  <c r="CM746" i="1"/>
  <c r="DF746" i="1"/>
  <c r="CP746" i="1"/>
  <c r="DG746" i="1"/>
  <c r="CL746" i="1"/>
  <c r="DH746" i="1"/>
  <c r="CI746" i="1"/>
  <c r="DN746" i="1"/>
  <c r="DO746" i="1"/>
  <c r="DI746" i="1"/>
  <c r="DJ746" i="1"/>
  <c r="DK746" i="1"/>
  <c r="DL746" i="1"/>
  <c r="CZ747" i="1"/>
  <c r="DA747" i="1"/>
  <c r="DB747" i="1"/>
  <c r="CM747" i="1"/>
  <c r="DF747" i="1"/>
  <c r="CP747" i="1"/>
  <c r="DG747" i="1"/>
  <c r="CL747" i="1"/>
  <c r="DH747" i="1"/>
  <c r="CI747" i="1"/>
  <c r="DN747" i="1"/>
  <c r="DO747" i="1"/>
  <c r="DI747" i="1"/>
  <c r="DJ747" i="1"/>
  <c r="DK747" i="1"/>
  <c r="DL747" i="1"/>
  <c r="CZ748" i="1"/>
  <c r="DA748" i="1"/>
  <c r="DB748" i="1"/>
  <c r="CM748" i="1"/>
  <c r="DF748" i="1"/>
  <c r="CP748" i="1"/>
  <c r="DG748" i="1"/>
  <c r="CL748" i="1"/>
  <c r="DH748" i="1"/>
  <c r="CI748" i="1"/>
  <c r="DN748" i="1"/>
  <c r="DO748" i="1"/>
  <c r="DI748" i="1"/>
  <c r="DJ748" i="1"/>
  <c r="DK748" i="1"/>
  <c r="DL748" i="1"/>
  <c r="CZ749" i="1"/>
  <c r="DA749" i="1"/>
  <c r="DB749" i="1"/>
  <c r="CM749" i="1"/>
  <c r="DF749" i="1"/>
  <c r="CP749" i="1"/>
  <c r="DG749" i="1"/>
  <c r="CL749" i="1"/>
  <c r="DH749" i="1"/>
  <c r="CI749" i="1"/>
  <c r="DN749" i="1"/>
  <c r="DO749" i="1"/>
  <c r="DI749" i="1"/>
  <c r="DJ749" i="1"/>
  <c r="DK749" i="1"/>
  <c r="DL749" i="1"/>
  <c r="CZ750" i="1"/>
  <c r="DA750" i="1"/>
  <c r="DB750" i="1"/>
  <c r="CM750" i="1"/>
  <c r="DF750" i="1"/>
  <c r="CP750" i="1"/>
  <c r="DG750" i="1"/>
  <c r="CL750" i="1"/>
  <c r="DH750" i="1"/>
  <c r="CI750" i="1"/>
  <c r="DN750" i="1"/>
  <c r="DO750" i="1"/>
  <c r="DI750" i="1"/>
  <c r="DJ750" i="1"/>
  <c r="DK750" i="1"/>
  <c r="DL750" i="1"/>
  <c r="CZ751" i="1"/>
  <c r="DA751" i="1"/>
  <c r="DB751" i="1"/>
  <c r="CM751" i="1"/>
  <c r="DF751" i="1"/>
  <c r="CP751" i="1"/>
  <c r="DG751" i="1"/>
  <c r="CL751" i="1"/>
  <c r="DH751" i="1"/>
  <c r="CI751" i="1"/>
  <c r="DN751" i="1"/>
  <c r="DO751" i="1"/>
  <c r="DI751" i="1"/>
  <c r="DJ751" i="1"/>
  <c r="DK751" i="1"/>
  <c r="DL751" i="1"/>
  <c r="CZ752" i="1"/>
  <c r="DA752" i="1"/>
  <c r="DB752" i="1"/>
  <c r="CM752" i="1"/>
  <c r="DF752" i="1"/>
  <c r="CP752" i="1"/>
  <c r="DG752" i="1"/>
  <c r="CL752" i="1"/>
  <c r="DH752" i="1"/>
  <c r="CI752" i="1"/>
  <c r="DN752" i="1"/>
  <c r="DO752" i="1"/>
  <c r="DI752" i="1"/>
  <c r="DJ752" i="1"/>
  <c r="DK752" i="1"/>
  <c r="DL752" i="1"/>
  <c r="CZ753" i="1"/>
  <c r="DA753" i="1"/>
  <c r="DB753" i="1"/>
  <c r="CM753" i="1"/>
  <c r="DF753" i="1"/>
  <c r="CP753" i="1"/>
  <c r="DG753" i="1"/>
  <c r="CL753" i="1"/>
  <c r="DH753" i="1"/>
  <c r="CI753" i="1"/>
  <c r="DN753" i="1"/>
  <c r="DO753" i="1"/>
  <c r="DI753" i="1"/>
  <c r="DJ753" i="1"/>
  <c r="DK753" i="1"/>
  <c r="DL753" i="1"/>
  <c r="CZ754" i="1"/>
  <c r="DA754" i="1"/>
  <c r="DB754" i="1"/>
  <c r="CM754" i="1"/>
  <c r="DF754" i="1"/>
  <c r="CP754" i="1"/>
  <c r="DG754" i="1"/>
  <c r="CL754" i="1"/>
  <c r="DH754" i="1"/>
  <c r="CI754" i="1"/>
  <c r="DN754" i="1"/>
  <c r="DO754" i="1"/>
  <c r="DI754" i="1"/>
  <c r="DJ754" i="1"/>
  <c r="DK754" i="1"/>
  <c r="DL754" i="1"/>
  <c r="CZ755" i="1"/>
  <c r="DA755" i="1"/>
  <c r="DB755" i="1"/>
  <c r="CM755" i="1"/>
  <c r="DF755" i="1"/>
  <c r="CP755" i="1"/>
  <c r="DG755" i="1"/>
  <c r="CL755" i="1"/>
  <c r="DH755" i="1"/>
  <c r="CI755" i="1"/>
  <c r="DN755" i="1"/>
  <c r="DO755" i="1"/>
  <c r="DI755" i="1"/>
  <c r="DJ755" i="1"/>
  <c r="DK755" i="1"/>
  <c r="DL755" i="1"/>
  <c r="CZ756" i="1"/>
  <c r="DA756" i="1"/>
  <c r="DB756" i="1"/>
  <c r="CM756" i="1"/>
  <c r="DF756" i="1"/>
  <c r="CP756" i="1"/>
  <c r="DG756" i="1"/>
  <c r="CL756" i="1"/>
  <c r="DH756" i="1"/>
  <c r="CI756" i="1"/>
  <c r="DN756" i="1"/>
  <c r="DO756" i="1"/>
  <c r="DI756" i="1"/>
  <c r="DJ756" i="1"/>
  <c r="DK756" i="1"/>
  <c r="DL756" i="1"/>
  <c r="CZ757" i="1"/>
  <c r="DA757" i="1"/>
  <c r="DB757" i="1"/>
  <c r="CM757" i="1"/>
  <c r="DF757" i="1"/>
  <c r="CP757" i="1"/>
  <c r="DG757" i="1"/>
  <c r="CL757" i="1"/>
  <c r="DH757" i="1"/>
  <c r="CI757" i="1"/>
  <c r="DN757" i="1"/>
  <c r="DO757" i="1"/>
  <c r="DI757" i="1"/>
  <c r="DJ757" i="1"/>
  <c r="DK757" i="1"/>
  <c r="DL757" i="1"/>
  <c r="CZ758" i="1"/>
  <c r="DA758" i="1"/>
  <c r="DB758" i="1"/>
  <c r="CM758" i="1"/>
  <c r="DF758" i="1"/>
  <c r="CP758" i="1"/>
  <c r="DG758" i="1"/>
  <c r="CL758" i="1"/>
  <c r="DH758" i="1"/>
  <c r="CI758" i="1"/>
  <c r="DN758" i="1"/>
  <c r="DO758" i="1"/>
  <c r="DI758" i="1"/>
  <c r="DJ758" i="1"/>
  <c r="DK758" i="1"/>
  <c r="DL758" i="1"/>
  <c r="CZ759" i="1"/>
  <c r="DA759" i="1"/>
  <c r="DB759" i="1"/>
  <c r="CM759" i="1"/>
  <c r="DF759" i="1"/>
  <c r="CP759" i="1"/>
  <c r="DG759" i="1"/>
  <c r="CL759" i="1"/>
  <c r="DH759" i="1"/>
  <c r="CI759" i="1"/>
  <c r="DN759" i="1"/>
  <c r="DO759" i="1"/>
  <c r="DI759" i="1"/>
  <c r="DJ759" i="1"/>
  <c r="DK759" i="1"/>
  <c r="DL759" i="1"/>
  <c r="CZ760" i="1"/>
  <c r="DA760" i="1"/>
  <c r="DB760" i="1"/>
  <c r="CM760" i="1"/>
  <c r="DF760" i="1"/>
  <c r="CP760" i="1"/>
  <c r="DG760" i="1"/>
  <c r="CL760" i="1"/>
  <c r="DH760" i="1"/>
  <c r="CI760" i="1"/>
  <c r="DN760" i="1"/>
  <c r="DO760" i="1"/>
  <c r="DI760" i="1"/>
  <c r="DJ760" i="1"/>
  <c r="DK760" i="1"/>
  <c r="DL760" i="1"/>
  <c r="CZ761" i="1"/>
  <c r="DA761" i="1"/>
  <c r="DB761" i="1"/>
  <c r="CM761" i="1"/>
  <c r="DF761" i="1"/>
  <c r="CP761" i="1"/>
  <c r="DG761" i="1"/>
  <c r="CL761" i="1"/>
  <c r="DH761" i="1"/>
  <c r="CI761" i="1"/>
  <c r="DN761" i="1"/>
  <c r="DO761" i="1"/>
  <c r="DI761" i="1"/>
  <c r="DJ761" i="1"/>
  <c r="DK761" i="1"/>
  <c r="DL761" i="1"/>
  <c r="CZ762" i="1"/>
  <c r="DA762" i="1"/>
  <c r="DB762" i="1"/>
  <c r="CM762" i="1"/>
  <c r="DF762" i="1"/>
  <c r="CP762" i="1"/>
  <c r="DG762" i="1"/>
  <c r="CL762" i="1"/>
  <c r="DH762" i="1"/>
  <c r="CI762" i="1"/>
  <c r="DN762" i="1"/>
  <c r="DO762" i="1"/>
  <c r="DI762" i="1"/>
  <c r="DJ762" i="1"/>
  <c r="DK762" i="1"/>
  <c r="DL762" i="1"/>
  <c r="CZ763" i="1"/>
  <c r="DA763" i="1"/>
  <c r="DB763" i="1"/>
  <c r="CM763" i="1"/>
  <c r="DF763" i="1"/>
  <c r="CP763" i="1"/>
  <c r="DG763" i="1"/>
  <c r="CL763" i="1"/>
  <c r="DH763" i="1"/>
  <c r="CI763" i="1"/>
  <c r="DN763" i="1"/>
  <c r="DO763" i="1"/>
  <c r="DI763" i="1"/>
  <c r="DJ763" i="1"/>
  <c r="DK763" i="1"/>
  <c r="DL763" i="1"/>
  <c r="CZ764" i="1"/>
  <c r="DA764" i="1"/>
  <c r="DB764" i="1"/>
  <c r="CM764" i="1"/>
  <c r="DF764" i="1"/>
  <c r="CP764" i="1"/>
  <c r="DG764" i="1"/>
  <c r="CL764" i="1"/>
  <c r="DH764" i="1"/>
  <c r="CI764" i="1"/>
  <c r="DN764" i="1"/>
  <c r="DO764" i="1"/>
  <c r="DI764" i="1"/>
  <c r="DJ764" i="1"/>
  <c r="DK764" i="1"/>
  <c r="DL764" i="1"/>
  <c r="CZ765" i="1"/>
  <c r="DA765" i="1"/>
  <c r="DB765" i="1"/>
  <c r="CM765" i="1"/>
  <c r="DF765" i="1"/>
  <c r="CP765" i="1"/>
  <c r="DG765" i="1"/>
  <c r="CL765" i="1"/>
  <c r="DH765" i="1"/>
  <c r="CI765" i="1"/>
  <c r="DN765" i="1"/>
  <c r="DO765" i="1"/>
  <c r="DI765" i="1"/>
  <c r="DJ765" i="1"/>
  <c r="DK765" i="1"/>
  <c r="DL765" i="1"/>
  <c r="CZ766" i="1"/>
  <c r="DA766" i="1"/>
  <c r="DB766" i="1"/>
  <c r="CM766" i="1"/>
  <c r="DF766" i="1"/>
  <c r="CP766" i="1"/>
  <c r="DG766" i="1"/>
  <c r="CL766" i="1"/>
  <c r="DH766" i="1"/>
  <c r="CI766" i="1"/>
  <c r="DN766" i="1"/>
  <c r="DO766" i="1"/>
  <c r="DI766" i="1"/>
  <c r="DJ766" i="1"/>
  <c r="DK766" i="1"/>
  <c r="DL766" i="1"/>
  <c r="CZ767" i="1"/>
  <c r="DA767" i="1"/>
  <c r="DB767" i="1"/>
  <c r="CM767" i="1"/>
  <c r="DF767" i="1"/>
  <c r="CP767" i="1"/>
  <c r="DG767" i="1"/>
  <c r="CL767" i="1"/>
  <c r="DH767" i="1"/>
  <c r="CI767" i="1"/>
  <c r="DN767" i="1"/>
  <c r="DO767" i="1"/>
  <c r="DI767" i="1"/>
  <c r="DJ767" i="1"/>
  <c r="DK767" i="1"/>
  <c r="DL767" i="1"/>
  <c r="CZ768" i="1"/>
  <c r="DA768" i="1"/>
  <c r="DB768" i="1"/>
  <c r="CM768" i="1"/>
  <c r="DF768" i="1"/>
  <c r="CP768" i="1"/>
  <c r="DG768" i="1"/>
  <c r="CL768" i="1"/>
  <c r="DH768" i="1"/>
  <c r="CI768" i="1"/>
  <c r="DN768" i="1"/>
  <c r="DO768" i="1"/>
  <c r="DI768" i="1"/>
  <c r="DJ768" i="1"/>
  <c r="DK768" i="1"/>
  <c r="DL768" i="1"/>
  <c r="CZ769" i="1"/>
  <c r="DA769" i="1"/>
  <c r="DB769" i="1"/>
  <c r="CM769" i="1"/>
  <c r="DF769" i="1"/>
  <c r="CP769" i="1"/>
  <c r="DG769" i="1"/>
  <c r="CL769" i="1"/>
  <c r="DH769" i="1"/>
  <c r="CI769" i="1"/>
  <c r="DN769" i="1"/>
  <c r="DO769" i="1"/>
  <c r="DI769" i="1"/>
  <c r="DJ769" i="1"/>
  <c r="DK769" i="1"/>
  <c r="DL769" i="1"/>
  <c r="CZ770" i="1"/>
  <c r="DA770" i="1"/>
  <c r="DB770" i="1"/>
  <c r="CM770" i="1"/>
  <c r="DF770" i="1"/>
  <c r="CP770" i="1"/>
  <c r="DG770" i="1"/>
  <c r="CL770" i="1"/>
  <c r="DH770" i="1"/>
  <c r="CI770" i="1"/>
  <c r="DN770" i="1"/>
  <c r="DO770" i="1"/>
  <c r="DI770" i="1"/>
  <c r="DJ770" i="1"/>
  <c r="DK770" i="1"/>
  <c r="DL770" i="1"/>
  <c r="CZ771" i="1"/>
  <c r="DA771" i="1"/>
  <c r="DB771" i="1"/>
  <c r="CM771" i="1"/>
  <c r="DF771" i="1"/>
  <c r="CP771" i="1"/>
  <c r="DG771" i="1"/>
  <c r="CL771" i="1"/>
  <c r="DH771" i="1"/>
  <c r="CI771" i="1"/>
  <c r="DN771" i="1"/>
  <c r="DO771" i="1"/>
  <c r="DI771" i="1"/>
  <c r="DJ771" i="1"/>
  <c r="DK771" i="1"/>
  <c r="DL771" i="1"/>
  <c r="CZ772" i="1"/>
  <c r="DA772" i="1"/>
  <c r="DB772" i="1"/>
  <c r="CM772" i="1"/>
  <c r="DF772" i="1"/>
  <c r="CP772" i="1"/>
  <c r="DG772" i="1"/>
  <c r="CL772" i="1"/>
  <c r="DH772" i="1"/>
  <c r="CI772" i="1"/>
  <c r="DN772" i="1"/>
  <c r="DO772" i="1"/>
  <c r="DI772" i="1"/>
  <c r="DJ772" i="1"/>
  <c r="DK772" i="1"/>
  <c r="DL772" i="1"/>
  <c r="CZ773" i="1"/>
  <c r="DA773" i="1"/>
  <c r="DB773" i="1"/>
  <c r="CM773" i="1"/>
  <c r="DF773" i="1"/>
  <c r="CP773" i="1"/>
  <c r="DG773" i="1"/>
  <c r="CL773" i="1"/>
  <c r="DH773" i="1"/>
  <c r="CI773" i="1"/>
  <c r="DN773" i="1"/>
  <c r="DO773" i="1"/>
  <c r="DI773" i="1"/>
  <c r="DJ773" i="1"/>
  <c r="DK773" i="1"/>
  <c r="DL773" i="1"/>
  <c r="CZ774" i="1"/>
  <c r="DA774" i="1"/>
  <c r="DB774" i="1"/>
  <c r="CM774" i="1"/>
  <c r="DF774" i="1"/>
  <c r="CP774" i="1"/>
  <c r="DG774" i="1"/>
  <c r="CL774" i="1"/>
  <c r="DH774" i="1"/>
  <c r="CI774" i="1"/>
  <c r="DN774" i="1"/>
  <c r="DO774" i="1"/>
  <c r="DI774" i="1"/>
  <c r="DJ774" i="1"/>
  <c r="DK774" i="1"/>
  <c r="DL774" i="1"/>
  <c r="CZ775" i="1"/>
  <c r="DA775" i="1"/>
  <c r="DB775" i="1"/>
  <c r="CM775" i="1"/>
  <c r="DF775" i="1"/>
  <c r="CP775" i="1"/>
  <c r="DG775" i="1"/>
  <c r="CL775" i="1"/>
  <c r="DH775" i="1"/>
  <c r="CI775" i="1"/>
  <c r="DN775" i="1"/>
  <c r="DO775" i="1"/>
  <c r="DI775" i="1"/>
  <c r="DJ775" i="1"/>
  <c r="DK775" i="1"/>
  <c r="DL775" i="1"/>
  <c r="CZ776" i="1"/>
  <c r="DA776" i="1"/>
  <c r="DB776" i="1"/>
  <c r="CM776" i="1"/>
  <c r="DF776" i="1"/>
  <c r="CP776" i="1"/>
  <c r="DG776" i="1"/>
  <c r="CL776" i="1"/>
  <c r="DH776" i="1"/>
  <c r="CI776" i="1"/>
  <c r="DN776" i="1"/>
  <c r="DO776" i="1"/>
  <c r="DI776" i="1"/>
  <c r="DJ776" i="1"/>
  <c r="DK776" i="1"/>
  <c r="DL776" i="1"/>
  <c r="CZ777" i="1"/>
  <c r="DA777" i="1"/>
  <c r="DB777" i="1"/>
  <c r="CM777" i="1"/>
  <c r="DF777" i="1"/>
  <c r="CP777" i="1"/>
  <c r="DG777" i="1"/>
  <c r="CL777" i="1"/>
  <c r="DH777" i="1"/>
  <c r="CI777" i="1"/>
  <c r="DN777" i="1"/>
  <c r="DO777" i="1"/>
  <c r="DI777" i="1"/>
  <c r="DJ777" i="1"/>
  <c r="DK777" i="1"/>
  <c r="DL777" i="1"/>
  <c r="CZ778" i="1"/>
  <c r="DA778" i="1"/>
  <c r="DB778" i="1"/>
  <c r="CM778" i="1"/>
  <c r="DF778" i="1"/>
  <c r="CP778" i="1"/>
  <c r="DG778" i="1"/>
  <c r="CL778" i="1"/>
  <c r="DH778" i="1"/>
  <c r="CI778" i="1"/>
  <c r="DN778" i="1"/>
  <c r="DO778" i="1"/>
  <c r="DI778" i="1"/>
  <c r="DJ778" i="1"/>
  <c r="DK778" i="1"/>
  <c r="DL778" i="1"/>
  <c r="CZ779" i="1"/>
  <c r="DA779" i="1"/>
  <c r="DB779" i="1"/>
  <c r="CM779" i="1"/>
  <c r="DF779" i="1"/>
  <c r="CP779" i="1"/>
  <c r="DG779" i="1"/>
  <c r="CL779" i="1"/>
  <c r="DH779" i="1"/>
  <c r="CI779" i="1"/>
  <c r="DN779" i="1"/>
  <c r="DO779" i="1"/>
  <c r="DI779" i="1"/>
  <c r="DJ779" i="1"/>
  <c r="DK779" i="1"/>
  <c r="DL779" i="1"/>
  <c r="CZ780" i="1"/>
  <c r="DA780" i="1"/>
  <c r="DB780" i="1"/>
  <c r="CM780" i="1"/>
  <c r="DF780" i="1"/>
  <c r="CP780" i="1"/>
  <c r="DG780" i="1"/>
  <c r="CL780" i="1"/>
  <c r="DH780" i="1"/>
  <c r="CI780" i="1"/>
  <c r="DN780" i="1"/>
  <c r="DO780" i="1"/>
  <c r="DI780" i="1"/>
  <c r="DJ780" i="1"/>
  <c r="DK780" i="1"/>
  <c r="DL780" i="1"/>
  <c r="CZ781" i="1"/>
  <c r="DA781" i="1"/>
  <c r="DB781" i="1"/>
  <c r="CM781" i="1"/>
  <c r="DF781" i="1"/>
  <c r="CP781" i="1"/>
  <c r="DG781" i="1"/>
  <c r="CL781" i="1"/>
  <c r="DH781" i="1"/>
  <c r="CI781" i="1"/>
  <c r="DN781" i="1"/>
  <c r="DO781" i="1"/>
  <c r="DI781" i="1"/>
  <c r="DJ781" i="1"/>
  <c r="DK781" i="1"/>
  <c r="DL781" i="1"/>
  <c r="CZ782" i="1"/>
  <c r="DA782" i="1"/>
  <c r="DB782" i="1"/>
  <c r="CM782" i="1"/>
  <c r="DF782" i="1"/>
  <c r="CP782" i="1"/>
  <c r="DG782" i="1"/>
  <c r="CL782" i="1"/>
  <c r="DH782" i="1"/>
  <c r="CI782" i="1"/>
  <c r="DN782" i="1"/>
  <c r="DO782" i="1"/>
  <c r="DI782" i="1"/>
  <c r="DJ782" i="1"/>
  <c r="DK782" i="1"/>
  <c r="DL782" i="1"/>
  <c r="CZ783" i="1"/>
  <c r="DA783" i="1"/>
  <c r="DB783" i="1"/>
  <c r="CM783" i="1"/>
  <c r="DF783" i="1"/>
  <c r="CP783" i="1"/>
  <c r="DG783" i="1"/>
  <c r="CL783" i="1"/>
  <c r="DH783" i="1"/>
  <c r="CI783" i="1"/>
  <c r="DN783" i="1"/>
  <c r="DO783" i="1"/>
  <c r="DI783" i="1"/>
  <c r="DJ783" i="1"/>
  <c r="DK783" i="1"/>
  <c r="DL783" i="1"/>
  <c r="CZ784" i="1"/>
  <c r="DA784" i="1"/>
  <c r="DB784" i="1"/>
  <c r="CM784" i="1"/>
  <c r="DF784" i="1"/>
  <c r="CP784" i="1"/>
  <c r="DG784" i="1"/>
  <c r="CL784" i="1"/>
  <c r="DH784" i="1"/>
  <c r="CI784" i="1"/>
  <c r="DN784" i="1"/>
  <c r="DO784" i="1"/>
  <c r="DI784" i="1"/>
  <c r="DJ784" i="1"/>
  <c r="DK784" i="1"/>
  <c r="DL784" i="1"/>
  <c r="CZ785" i="1"/>
  <c r="DA785" i="1"/>
  <c r="DB785" i="1"/>
  <c r="CM785" i="1"/>
  <c r="DF785" i="1"/>
  <c r="CP785" i="1"/>
  <c r="DG785" i="1"/>
  <c r="CL785" i="1"/>
  <c r="DH785" i="1"/>
  <c r="CI785" i="1"/>
  <c r="DN785" i="1"/>
  <c r="DO785" i="1"/>
  <c r="DI785" i="1"/>
  <c r="DJ785" i="1"/>
  <c r="DK785" i="1"/>
  <c r="DL785" i="1"/>
  <c r="CZ786" i="1"/>
  <c r="DA786" i="1"/>
  <c r="DB786" i="1"/>
  <c r="CM786" i="1"/>
  <c r="DF786" i="1"/>
  <c r="CP786" i="1"/>
  <c r="DG786" i="1"/>
  <c r="CL786" i="1"/>
  <c r="DH786" i="1"/>
  <c r="CI786" i="1"/>
  <c r="DN786" i="1"/>
  <c r="DO786" i="1"/>
  <c r="DI786" i="1"/>
  <c r="DJ786" i="1"/>
  <c r="DK786" i="1"/>
  <c r="DL786" i="1"/>
  <c r="CZ787" i="1"/>
  <c r="DA787" i="1"/>
  <c r="DB787" i="1"/>
  <c r="CM787" i="1"/>
  <c r="DF787" i="1"/>
  <c r="CP787" i="1"/>
  <c r="DG787" i="1"/>
  <c r="CL787" i="1"/>
  <c r="DH787" i="1"/>
  <c r="CI787" i="1"/>
  <c r="DN787" i="1"/>
  <c r="DO787" i="1"/>
  <c r="DI787" i="1"/>
  <c r="DJ787" i="1"/>
  <c r="DK787" i="1"/>
  <c r="DL787" i="1"/>
  <c r="CZ788" i="1"/>
  <c r="DA788" i="1"/>
  <c r="DB788" i="1"/>
  <c r="CM788" i="1"/>
  <c r="DF788" i="1"/>
  <c r="CP788" i="1"/>
  <c r="DG788" i="1"/>
  <c r="CL788" i="1"/>
  <c r="DH788" i="1"/>
  <c r="CI788" i="1"/>
  <c r="DN788" i="1"/>
  <c r="DO788" i="1"/>
  <c r="DI788" i="1"/>
  <c r="DJ788" i="1"/>
  <c r="DK788" i="1"/>
  <c r="DL788" i="1"/>
  <c r="CZ789" i="1"/>
  <c r="DA789" i="1"/>
  <c r="DB789" i="1"/>
  <c r="CM789" i="1"/>
  <c r="DF789" i="1"/>
  <c r="CP789" i="1"/>
  <c r="DG789" i="1"/>
  <c r="CL789" i="1"/>
  <c r="DH789" i="1"/>
  <c r="CI789" i="1"/>
  <c r="DN789" i="1"/>
  <c r="DO789" i="1"/>
  <c r="DI789" i="1"/>
  <c r="DJ789" i="1"/>
  <c r="DK789" i="1"/>
  <c r="DL789" i="1"/>
  <c r="CZ790" i="1"/>
  <c r="DA790" i="1"/>
  <c r="DB790" i="1"/>
  <c r="CM790" i="1"/>
  <c r="DF790" i="1"/>
  <c r="CP790" i="1"/>
  <c r="DG790" i="1"/>
  <c r="CL790" i="1"/>
  <c r="DH790" i="1"/>
  <c r="CI790" i="1"/>
  <c r="DN790" i="1"/>
  <c r="DO790" i="1"/>
  <c r="DI790" i="1"/>
  <c r="DJ790" i="1"/>
  <c r="DK790" i="1"/>
  <c r="DL790" i="1"/>
  <c r="CZ791" i="1"/>
  <c r="DA791" i="1"/>
  <c r="DB791" i="1"/>
  <c r="CM791" i="1"/>
  <c r="DF791" i="1"/>
  <c r="CP791" i="1"/>
  <c r="DG791" i="1"/>
  <c r="CL791" i="1"/>
  <c r="DH791" i="1"/>
  <c r="CI791" i="1"/>
  <c r="DN791" i="1"/>
  <c r="DO791" i="1"/>
  <c r="DI791" i="1"/>
  <c r="DJ791" i="1"/>
  <c r="DK791" i="1"/>
  <c r="DL791" i="1"/>
  <c r="CZ792" i="1"/>
  <c r="DA792" i="1"/>
  <c r="DB792" i="1"/>
  <c r="CM792" i="1"/>
  <c r="DF792" i="1"/>
  <c r="CP792" i="1"/>
  <c r="DG792" i="1"/>
  <c r="CL792" i="1"/>
  <c r="DH792" i="1"/>
  <c r="CI792" i="1"/>
  <c r="DN792" i="1"/>
  <c r="DO792" i="1"/>
  <c r="DI792" i="1"/>
  <c r="DJ792" i="1"/>
  <c r="DK792" i="1"/>
  <c r="DL792" i="1"/>
  <c r="CZ793" i="1"/>
  <c r="DA793" i="1"/>
  <c r="DB793" i="1"/>
  <c r="CM793" i="1"/>
  <c r="DF793" i="1"/>
  <c r="CP793" i="1"/>
  <c r="DG793" i="1"/>
  <c r="CL793" i="1"/>
  <c r="DH793" i="1"/>
  <c r="CI793" i="1"/>
  <c r="DN793" i="1"/>
  <c r="DO793" i="1"/>
  <c r="DI793" i="1"/>
  <c r="DJ793" i="1"/>
  <c r="DK793" i="1"/>
  <c r="DL793" i="1"/>
  <c r="CZ794" i="1"/>
  <c r="DA794" i="1"/>
  <c r="DB794" i="1"/>
  <c r="CM794" i="1"/>
  <c r="DF794" i="1"/>
  <c r="CP794" i="1"/>
  <c r="DG794" i="1"/>
  <c r="CL794" i="1"/>
  <c r="DH794" i="1"/>
  <c r="CI794" i="1"/>
  <c r="DN794" i="1"/>
  <c r="DO794" i="1"/>
  <c r="DI794" i="1"/>
  <c r="DJ794" i="1"/>
  <c r="DK794" i="1"/>
  <c r="DL794" i="1"/>
  <c r="CZ795" i="1"/>
  <c r="DA795" i="1"/>
  <c r="DB795" i="1"/>
  <c r="CM795" i="1"/>
  <c r="DF795" i="1"/>
  <c r="CP795" i="1"/>
  <c r="DG795" i="1"/>
  <c r="CL795" i="1"/>
  <c r="DH795" i="1"/>
  <c r="CI795" i="1"/>
  <c r="DN795" i="1"/>
  <c r="DO795" i="1"/>
  <c r="DI795" i="1"/>
  <c r="DJ795" i="1"/>
  <c r="DK795" i="1"/>
  <c r="DL795" i="1"/>
  <c r="CZ796" i="1"/>
  <c r="DA796" i="1"/>
  <c r="DB796" i="1"/>
  <c r="CM796" i="1"/>
  <c r="DF796" i="1"/>
  <c r="CP796" i="1"/>
  <c r="DG796" i="1"/>
  <c r="CL796" i="1"/>
  <c r="DH796" i="1"/>
  <c r="CI796" i="1"/>
  <c r="DN796" i="1"/>
  <c r="DO796" i="1"/>
  <c r="DI796" i="1"/>
  <c r="DJ796" i="1"/>
  <c r="DK796" i="1"/>
  <c r="DL796" i="1"/>
  <c r="CZ797" i="1"/>
  <c r="DA797" i="1"/>
  <c r="DB797" i="1"/>
  <c r="CM797" i="1"/>
  <c r="DF797" i="1"/>
  <c r="CP797" i="1"/>
  <c r="DG797" i="1"/>
  <c r="CL797" i="1"/>
  <c r="DH797" i="1"/>
  <c r="CI797" i="1"/>
  <c r="DN797" i="1"/>
  <c r="DO797" i="1"/>
  <c r="DI797" i="1"/>
  <c r="DJ797" i="1"/>
  <c r="DK797" i="1"/>
  <c r="DL797" i="1"/>
  <c r="CZ798" i="1"/>
  <c r="DA798" i="1"/>
  <c r="DB798" i="1"/>
  <c r="CM798" i="1"/>
  <c r="DF798" i="1"/>
  <c r="CP798" i="1"/>
  <c r="DG798" i="1"/>
  <c r="CL798" i="1"/>
  <c r="DH798" i="1"/>
  <c r="CI798" i="1"/>
  <c r="DN798" i="1"/>
  <c r="DO798" i="1"/>
  <c r="DI798" i="1"/>
  <c r="DJ798" i="1"/>
  <c r="DK798" i="1"/>
  <c r="DL798" i="1"/>
  <c r="CZ799" i="1"/>
  <c r="DA799" i="1"/>
  <c r="DB799" i="1"/>
  <c r="CM799" i="1"/>
  <c r="DF799" i="1"/>
  <c r="CP799" i="1"/>
  <c r="DG799" i="1"/>
  <c r="CL799" i="1"/>
  <c r="DH799" i="1"/>
  <c r="CI799" i="1"/>
  <c r="DN799" i="1"/>
  <c r="DO799" i="1"/>
  <c r="DI799" i="1"/>
  <c r="DJ799" i="1"/>
  <c r="DK799" i="1"/>
  <c r="DL799" i="1"/>
  <c r="CZ800" i="1"/>
  <c r="DA800" i="1"/>
  <c r="DB800" i="1"/>
  <c r="CM800" i="1"/>
  <c r="DF800" i="1"/>
  <c r="CP800" i="1"/>
  <c r="DG800" i="1"/>
  <c r="CL800" i="1"/>
  <c r="DH800" i="1"/>
  <c r="CI800" i="1"/>
  <c r="DN800" i="1"/>
  <c r="DO800" i="1"/>
  <c r="DI800" i="1"/>
  <c r="DJ800" i="1"/>
  <c r="DK800" i="1"/>
  <c r="DL800" i="1"/>
  <c r="CZ801" i="1"/>
  <c r="DA801" i="1"/>
  <c r="DB801" i="1"/>
  <c r="CM801" i="1"/>
  <c r="DF801" i="1"/>
  <c r="CP801" i="1"/>
  <c r="DG801" i="1"/>
  <c r="CL801" i="1"/>
  <c r="DH801" i="1"/>
  <c r="CI801" i="1"/>
  <c r="DN801" i="1"/>
  <c r="DO801" i="1"/>
  <c r="DI801" i="1"/>
  <c r="DJ801" i="1"/>
  <c r="DK801" i="1"/>
  <c r="DL801" i="1"/>
  <c r="CZ802" i="1"/>
  <c r="DA802" i="1"/>
  <c r="DB802" i="1"/>
  <c r="CM802" i="1"/>
  <c r="DF802" i="1"/>
  <c r="CP802" i="1"/>
  <c r="DG802" i="1"/>
  <c r="CL802" i="1"/>
  <c r="DH802" i="1"/>
  <c r="CI802" i="1"/>
  <c r="DN802" i="1"/>
  <c r="DO802" i="1"/>
  <c r="DI802" i="1"/>
  <c r="DJ802" i="1"/>
  <c r="DK802" i="1"/>
  <c r="DL802" i="1"/>
  <c r="CZ803" i="1"/>
  <c r="DA803" i="1"/>
  <c r="DB803" i="1"/>
  <c r="CM803" i="1"/>
  <c r="DF803" i="1"/>
  <c r="CP803" i="1"/>
  <c r="DG803" i="1"/>
  <c r="CL803" i="1"/>
  <c r="DH803" i="1"/>
  <c r="CI803" i="1"/>
  <c r="DN803" i="1"/>
  <c r="DO803" i="1"/>
  <c r="DI803" i="1"/>
  <c r="DJ803" i="1"/>
  <c r="DK803" i="1"/>
  <c r="DL803" i="1"/>
  <c r="CZ804" i="1"/>
  <c r="DA804" i="1"/>
  <c r="DB804" i="1"/>
  <c r="CM804" i="1"/>
  <c r="DF804" i="1"/>
  <c r="CP804" i="1"/>
  <c r="DG804" i="1"/>
  <c r="CL804" i="1"/>
  <c r="DH804" i="1"/>
  <c r="CI804" i="1"/>
  <c r="DN804" i="1"/>
  <c r="DO804" i="1"/>
  <c r="DI804" i="1"/>
  <c r="DJ804" i="1"/>
  <c r="DK804" i="1"/>
  <c r="DL804" i="1"/>
  <c r="CZ805" i="1"/>
  <c r="DA805" i="1"/>
  <c r="DB805" i="1"/>
  <c r="CM805" i="1"/>
  <c r="DF805" i="1"/>
  <c r="CP805" i="1"/>
  <c r="DG805" i="1"/>
  <c r="CL805" i="1"/>
  <c r="DH805" i="1"/>
  <c r="CI805" i="1"/>
  <c r="DN805" i="1"/>
  <c r="DO805" i="1"/>
  <c r="DI805" i="1"/>
  <c r="DJ805" i="1"/>
  <c r="DK805" i="1"/>
  <c r="DL805" i="1"/>
  <c r="CZ806" i="1"/>
  <c r="DA806" i="1"/>
  <c r="DB806" i="1"/>
  <c r="CM806" i="1"/>
  <c r="DF806" i="1"/>
  <c r="CP806" i="1"/>
  <c r="DG806" i="1"/>
  <c r="CL806" i="1"/>
  <c r="DH806" i="1"/>
  <c r="CI806" i="1"/>
  <c r="DN806" i="1"/>
  <c r="DO806" i="1"/>
  <c r="DI806" i="1"/>
  <c r="DJ806" i="1"/>
  <c r="DK806" i="1"/>
  <c r="DL806" i="1"/>
  <c r="CZ807" i="1"/>
  <c r="DA807" i="1"/>
  <c r="DB807" i="1"/>
  <c r="CM807" i="1"/>
  <c r="DF807" i="1"/>
  <c r="CP807" i="1"/>
  <c r="DG807" i="1"/>
  <c r="CL807" i="1"/>
  <c r="DH807" i="1"/>
  <c r="CI807" i="1"/>
  <c r="DN807" i="1"/>
  <c r="DO807" i="1"/>
  <c r="DI807" i="1"/>
  <c r="DJ807" i="1"/>
  <c r="DK807" i="1"/>
  <c r="DL807" i="1"/>
  <c r="CZ808" i="1"/>
  <c r="DA808" i="1"/>
  <c r="DB808" i="1"/>
  <c r="CM808" i="1"/>
  <c r="DF808" i="1"/>
  <c r="CP808" i="1"/>
  <c r="DG808" i="1"/>
  <c r="CL808" i="1"/>
  <c r="DH808" i="1"/>
  <c r="CI808" i="1"/>
  <c r="DN808" i="1"/>
  <c r="DO808" i="1"/>
  <c r="DI808" i="1"/>
  <c r="DJ808" i="1"/>
  <c r="DK808" i="1"/>
  <c r="DL808" i="1"/>
  <c r="CZ809" i="1"/>
  <c r="DA809" i="1"/>
  <c r="DB809" i="1"/>
  <c r="CM809" i="1"/>
  <c r="DF809" i="1"/>
  <c r="CP809" i="1"/>
  <c r="DG809" i="1"/>
  <c r="CL809" i="1"/>
  <c r="DH809" i="1"/>
  <c r="CI809" i="1"/>
  <c r="DN809" i="1"/>
  <c r="DO809" i="1"/>
  <c r="DI809" i="1"/>
  <c r="DJ809" i="1"/>
  <c r="DK809" i="1"/>
  <c r="DL809" i="1"/>
  <c r="CZ810" i="1"/>
  <c r="DA810" i="1"/>
  <c r="DB810" i="1"/>
  <c r="CM810" i="1"/>
  <c r="DF810" i="1"/>
  <c r="CP810" i="1"/>
  <c r="DG810" i="1"/>
  <c r="CL810" i="1"/>
  <c r="DH810" i="1"/>
  <c r="CI810" i="1"/>
  <c r="DN810" i="1"/>
  <c r="DO810" i="1"/>
  <c r="DI810" i="1"/>
  <c r="DJ810" i="1"/>
  <c r="DK810" i="1"/>
  <c r="DL810" i="1"/>
  <c r="CZ811" i="1"/>
  <c r="DA811" i="1"/>
  <c r="DB811" i="1"/>
  <c r="CM811" i="1"/>
  <c r="DF811" i="1"/>
  <c r="CP811" i="1"/>
  <c r="DG811" i="1"/>
  <c r="CL811" i="1"/>
  <c r="DH811" i="1"/>
  <c r="CI811" i="1"/>
  <c r="DN811" i="1"/>
  <c r="DO811" i="1"/>
  <c r="DI811" i="1"/>
  <c r="DJ811" i="1"/>
  <c r="DK811" i="1"/>
  <c r="DL811" i="1"/>
  <c r="CZ812" i="1"/>
  <c r="DA812" i="1"/>
  <c r="DB812" i="1"/>
  <c r="CM812" i="1"/>
  <c r="DF812" i="1"/>
  <c r="CP812" i="1"/>
  <c r="DG812" i="1"/>
  <c r="CL812" i="1"/>
  <c r="DH812" i="1"/>
  <c r="CI812" i="1"/>
  <c r="DN812" i="1"/>
  <c r="DO812" i="1"/>
  <c r="DI812" i="1"/>
  <c r="DJ812" i="1"/>
  <c r="DK812" i="1"/>
  <c r="DL812" i="1"/>
  <c r="CZ813" i="1"/>
  <c r="DA813" i="1"/>
  <c r="DB813" i="1"/>
  <c r="CM813" i="1"/>
  <c r="DF813" i="1"/>
  <c r="CP813" i="1"/>
  <c r="DG813" i="1"/>
  <c r="CL813" i="1"/>
  <c r="DH813" i="1"/>
  <c r="CI813" i="1"/>
  <c r="DN813" i="1"/>
  <c r="DO813" i="1"/>
  <c r="DI813" i="1"/>
  <c r="DJ813" i="1"/>
  <c r="DK813" i="1"/>
  <c r="DL813" i="1"/>
  <c r="CZ814" i="1"/>
  <c r="DA814" i="1"/>
  <c r="DB814" i="1"/>
  <c r="CM814" i="1"/>
  <c r="DF814" i="1"/>
  <c r="CP814" i="1"/>
  <c r="DG814" i="1"/>
  <c r="CL814" i="1"/>
  <c r="DH814" i="1"/>
  <c r="CI814" i="1"/>
  <c r="DN814" i="1"/>
  <c r="DO814" i="1"/>
  <c r="DI814" i="1"/>
  <c r="DJ814" i="1"/>
  <c r="DK814" i="1"/>
  <c r="DL814" i="1"/>
  <c r="CZ815" i="1"/>
  <c r="DA815" i="1"/>
  <c r="DB815" i="1"/>
  <c r="CM815" i="1"/>
  <c r="DF815" i="1"/>
  <c r="CP815" i="1"/>
  <c r="DG815" i="1"/>
  <c r="CL815" i="1"/>
  <c r="DH815" i="1"/>
  <c r="CI815" i="1"/>
  <c r="DN815" i="1"/>
  <c r="DO815" i="1"/>
  <c r="DI815" i="1"/>
  <c r="DJ815" i="1"/>
  <c r="DK815" i="1"/>
  <c r="DL815" i="1"/>
  <c r="CZ816" i="1"/>
  <c r="DA816" i="1"/>
  <c r="DB816" i="1"/>
  <c r="CM816" i="1"/>
  <c r="DF816" i="1"/>
  <c r="CP816" i="1"/>
  <c r="DG816" i="1"/>
  <c r="CL816" i="1"/>
  <c r="DH816" i="1"/>
  <c r="CI816" i="1"/>
  <c r="DN816" i="1"/>
  <c r="DO816" i="1"/>
  <c r="DI816" i="1"/>
  <c r="DJ816" i="1"/>
  <c r="DK816" i="1"/>
  <c r="DL816" i="1"/>
  <c r="CZ817" i="1"/>
  <c r="DA817" i="1"/>
  <c r="DB817" i="1"/>
  <c r="CM817" i="1"/>
  <c r="DF817" i="1"/>
  <c r="CP817" i="1"/>
  <c r="DG817" i="1"/>
  <c r="CL817" i="1"/>
  <c r="DH817" i="1"/>
  <c r="CI817" i="1"/>
  <c r="DN817" i="1"/>
  <c r="DO817" i="1"/>
  <c r="DI817" i="1"/>
  <c r="DJ817" i="1"/>
  <c r="DK817" i="1"/>
  <c r="DL817" i="1"/>
  <c r="CZ818" i="1"/>
  <c r="DA818" i="1"/>
  <c r="DB818" i="1"/>
  <c r="CM818" i="1"/>
  <c r="DF818" i="1"/>
  <c r="CP818" i="1"/>
  <c r="DG818" i="1"/>
  <c r="CL818" i="1"/>
  <c r="DH818" i="1"/>
  <c r="CI818" i="1"/>
  <c r="DN818" i="1"/>
  <c r="DO818" i="1"/>
  <c r="DI818" i="1"/>
  <c r="DJ818" i="1"/>
  <c r="DK818" i="1"/>
  <c r="DL818" i="1"/>
  <c r="CZ819" i="1"/>
  <c r="DA819" i="1"/>
  <c r="DB819" i="1"/>
  <c r="CM819" i="1"/>
  <c r="DF819" i="1"/>
  <c r="CP819" i="1"/>
  <c r="DG819" i="1"/>
  <c r="CL819" i="1"/>
  <c r="DH819" i="1"/>
  <c r="CI819" i="1"/>
  <c r="DN819" i="1"/>
  <c r="DO819" i="1"/>
  <c r="DI819" i="1"/>
  <c r="DJ819" i="1"/>
  <c r="DK819" i="1"/>
  <c r="DL819" i="1"/>
  <c r="CZ820" i="1"/>
  <c r="DA820" i="1"/>
  <c r="DB820" i="1"/>
  <c r="CM820" i="1"/>
  <c r="DF820" i="1"/>
  <c r="CP820" i="1"/>
  <c r="DG820" i="1"/>
  <c r="CL820" i="1"/>
  <c r="DH820" i="1"/>
  <c r="CI820" i="1"/>
  <c r="DN820" i="1"/>
  <c r="DO820" i="1"/>
  <c r="DI820" i="1"/>
  <c r="DJ820" i="1"/>
  <c r="DK820" i="1"/>
  <c r="DL820" i="1"/>
  <c r="CZ821" i="1"/>
  <c r="DA821" i="1"/>
  <c r="DB821" i="1"/>
  <c r="CM821" i="1"/>
  <c r="DF821" i="1"/>
  <c r="CP821" i="1"/>
  <c r="DG821" i="1"/>
  <c r="CL821" i="1"/>
  <c r="DH821" i="1"/>
  <c r="CI821" i="1"/>
  <c r="DN821" i="1"/>
  <c r="DO821" i="1"/>
  <c r="DI821" i="1"/>
  <c r="DJ821" i="1"/>
  <c r="DK821" i="1"/>
  <c r="DL821" i="1"/>
  <c r="CZ822" i="1"/>
  <c r="DA822" i="1"/>
  <c r="DB822" i="1"/>
  <c r="CM822" i="1"/>
  <c r="DF822" i="1"/>
  <c r="CP822" i="1"/>
  <c r="DG822" i="1"/>
  <c r="CL822" i="1"/>
  <c r="DH822" i="1"/>
  <c r="CI822" i="1"/>
  <c r="DN822" i="1"/>
  <c r="DO822" i="1"/>
  <c r="DI822" i="1"/>
  <c r="DJ822" i="1"/>
  <c r="DK822" i="1"/>
  <c r="DL822" i="1"/>
  <c r="CZ823" i="1"/>
  <c r="DA823" i="1"/>
  <c r="DB823" i="1"/>
  <c r="CM823" i="1"/>
  <c r="DF823" i="1"/>
  <c r="CP823" i="1"/>
  <c r="DG823" i="1"/>
  <c r="CL823" i="1"/>
  <c r="DH823" i="1"/>
  <c r="CI823" i="1"/>
  <c r="DN823" i="1"/>
  <c r="DO823" i="1"/>
  <c r="DI823" i="1"/>
  <c r="DJ823" i="1"/>
  <c r="DK823" i="1"/>
  <c r="DL823" i="1"/>
  <c r="CZ824" i="1"/>
  <c r="DA824" i="1"/>
  <c r="DB824" i="1"/>
  <c r="CM824" i="1"/>
  <c r="DF824" i="1"/>
  <c r="CP824" i="1"/>
  <c r="DG824" i="1"/>
  <c r="CL824" i="1"/>
  <c r="DH824" i="1"/>
  <c r="CI824" i="1"/>
  <c r="DN824" i="1"/>
  <c r="DO824" i="1"/>
  <c r="DI824" i="1"/>
  <c r="DJ824" i="1"/>
  <c r="DK824" i="1"/>
  <c r="DL824" i="1"/>
  <c r="CZ825" i="1"/>
  <c r="DA825" i="1"/>
  <c r="DB825" i="1"/>
  <c r="CM825" i="1"/>
  <c r="DF825" i="1"/>
  <c r="CP825" i="1"/>
  <c r="DG825" i="1"/>
  <c r="CL825" i="1"/>
  <c r="DH825" i="1"/>
  <c r="CI825" i="1"/>
  <c r="DN825" i="1"/>
  <c r="DO825" i="1"/>
  <c r="DI825" i="1"/>
  <c r="DJ825" i="1"/>
  <c r="DK825" i="1"/>
  <c r="DL825" i="1"/>
  <c r="CZ826" i="1"/>
  <c r="DA826" i="1"/>
  <c r="DB826" i="1"/>
  <c r="CM826" i="1"/>
  <c r="DF826" i="1"/>
  <c r="CP826" i="1"/>
  <c r="DG826" i="1"/>
  <c r="CL826" i="1"/>
  <c r="DH826" i="1"/>
  <c r="CI826" i="1"/>
  <c r="DN826" i="1"/>
  <c r="DO826" i="1"/>
  <c r="DI826" i="1"/>
  <c r="DJ826" i="1"/>
  <c r="DK826" i="1"/>
  <c r="DL826" i="1"/>
  <c r="CZ827" i="1"/>
  <c r="DA827" i="1"/>
  <c r="DB827" i="1"/>
  <c r="CM827" i="1"/>
  <c r="DF827" i="1"/>
  <c r="CP827" i="1"/>
  <c r="DG827" i="1"/>
  <c r="CL827" i="1"/>
  <c r="DH827" i="1"/>
  <c r="CI827" i="1"/>
  <c r="DN827" i="1"/>
  <c r="DO827" i="1"/>
  <c r="DI827" i="1"/>
  <c r="DJ827" i="1"/>
  <c r="DK827" i="1"/>
  <c r="DL827" i="1"/>
  <c r="CZ828" i="1"/>
  <c r="DA828" i="1"/>
  <c r="DB828" i="1"/>
  <c r="CM828" i="1"/>
  <c r="DF828" i="1"/>
  <c r="CP828" i="1"/>
  <c r="DG828" i="1"/>
  <c r="CL828" i="1"/>
  <c r="DH828" i="1"/>
  <c r="CI828" i="1"/>
  <c r="DN828" i="1"/>
  <c r="DO828" i="1"/>
  <c r="DI828" i="1"/>
  <c r="DJ828" i="1"/>
  <c r="DK828" i="1"/>
  <c r="DL828" i="1"/>
  <c r="CZ829" i="1"/>
  <c r="DA829" i="1"/>
  <c r="DB829" i="1"/>
  <c r="CM829" i="1"/>
  <c r="DF829" i="1"/>
  <c r="CP829" i="1"/>
  <c r="DG829" i="1"/>
  <c r="CL829" i="1"/>
  <c r="DH829" i="1"/>
  <c r="CI829" i="1"/>
  <c r="DN829" i="1"/>
  <c r="DO829" i="1"/>
  <c r="DI829" i="1"/>
  <c r="DJ829" i="1"/>
  <c r="DK829" i="1"/>
  <c r="DL829" i="1"/>
  <c r="CZ830" i="1"/>
  <c r="DA830" i="1"/>
  <c r="DB830" i="1"/>
  <c r="CM830" i="1"/>
  <c r="DF830" i="1"/>
  <c r="CP830" i="1"/>
  <c r="DG830" i="1"/>
  <c r="CL830" i="1"/>
  <c r="DH830" i="1"/>
  <c r="CI830" i="1"/>
  <c r="DN830" i="1"/>
  <c r="DO830" i="1"/>
  <c r="DI830" i="1"/>
  <c r="DJ830" i="1"/>
  <c r="DK830" i="1"/>
  <c r="DL830" i="1"/>
  <c r="CZ831" i="1"/>
  <c r="DA831" i="1"/>
  <c r="DB831" i="1"/>
  <c r="CM831" i="1"/>
  <c r="DF831" i="1"/>
  <c r="CP831" i="1"/>
  <c r="DG831" i="1"/>
  <c r="CL831" i="1"/>
  <c r="DH831" i="1"/>
  <c r="CI831" i="1"/>
  <c r="DN831" i="1"/>
  <c r="DO831" i="1"/>
  <c r="DI831" i="1"/>
  <c r="DJ831" i="1"/>
  <c r="DK831" i="1"/>
  <c r="DL831" i="1"/>
  <c r="CZ832" i="1"/>
  <c r="DA832" i="1"/>
  <c r="DB832" i="1"/>
  <c r="CM832" i="1"/>
  <c r="DF832" i="1"/>
  <c r="CP832" i="1"/>
  <c r="DG832" i="1"/>
  <c r="CL832" i="1"/>
  <c r="DH832" i="1"/>
  <c r="CI832" i="1"/>
  <c r="DN832" i="1"/>
  <c r="DO832" i="1"/>
  <c r="DI832" i="1"/>
  <c r="DJ832" i="1"/>
  <c r="DK832" i="1"/>
  <c r="DL832" i="1"/>
  <c r="CZ833" i="1"/>
  <c r="DA833" i="1"/>
  <c r="DB833" i="1"/>
  <c r="CM833" i="1"/>
  <c r="DF833" i="1"/>
  <c r="CP833" i="1"/>
  <c r="DG833" i="1"/>
  <c r="CL833" i="1"/>
  <c r="DH833" i="1"/>
  <c r="CI833" i="1"/>
  <c r="DN833" i="1"/>
  <c r="DO833" i="1"/>
  <c r="DI833" i="1"/>
  <c r="DJ833" i="1"/>
  <c r="DK833" i="1"/>
  <c r="DL833" i="1"/>
  <c r="CZ834" i="1"/>
  <c r="DA834" i="1"/>
  <c r="DB834" i="1"/>
  <c r="CM834" i="1"/>
  <c r="DF834" i="1"/>
  <c r="CP834" i="1"/>
  <c r="DG834" i="1"/>
  <c r="CL834" i="1"/>
  <c r="DH834" i="1"/>
  <c r="CI834" i="1"/>
  <c r="DN834" i="1"/>
  <c r="DO834" i="1"/>
  <c r="DI834" i="1"/>
  <c r="DJ834" i="1"/>
  <c r="DK834" i="1"/>
  <c r="DL834" i="1"/>
  <c r="CZ835" i="1"/>
  <c r="DA835" i="1"/>
  <c r="DB835" i="1"/>
  <c r="CM835" i="1"/>
  <c r="DF835" i="1"/>
  <c r="CP835" i="1"/>
  <c r="DG835" i="1"/>
  <c r="CL835" i="1"/>
  <c r="DH835" i="1"/>
  <c r="CI835" i="1"/>
  <c r="DN835" i="1"/>
  <c r="DO835" i="1"/>
  <c r="DI835" i="1"/>
  <c r="DJ835" i="1"/>
  <c r="DK835" i="1"/>
  <c r="DL835" i="1"/>
  <c r="CZ836" i="1"/>
  <c r="DA836" i="1"/>
  <c r="DB836" i="1"/>
  <c r="CM836" i="1"/>
  <c r="DF836" i="1"/>
  <c r="CP836" i="1"/>
  <c r="DG836" i="1"/>
  <c r="CL836" i="1"/>
  <c r="DH836" i="1"/>
  <c r="CI836" i="1"/>
  <c r="DN836" i="1"/>
  <c r="DO836" i="1"/>
  <c r="DI836" i="1"/>
  <c r="DJ836" i="1"/>
  <c r="DK836" i="1"/>
  <c r="DL836" i="1"/>
  <c r="CZ837" i="1"/>
  <c r="DA837" i="1"/>
  <c r="DB837" i="1"/>
  <c r="CM837" i="1"/>
  <c r="DF837" i="1"/>
  <c r="CP837" i="1"/>
  <c r="DG837" i="1"/>
  <c r="CL837" i="1"/>
  <c r="DH837" i="1"/>
  <c r="CI837" i="1"/>
  <c r="DN837" i="1"/>
  <c r="DO837" i="1"/>
  <c r="DI837" i="1"/>
  <c r="DJ837" i="1"/>
  <c r="DK837" i="1"/>
  <c r="DL837" i="1"/>
  <c r="CZ838" i="1"/>
  <c r="DA838" i="1"/>
  <c r="DB838" i="1"/>
  <c r="CM838" i="1"/>
  <c r="DF838" i="1"/>
  <c r="CP838" i="1"/>
  <c r="DG838" i="1"/>
  <c r="CL838" i="1"/>
  <c r="DH838" i="1"/>
  <c r="CI838" i="1"/>
  <c r="DN838" i="1"/>
  <c r="DO838" i="1"/>
  <c r="DI838" i="1"/>
  <c r="DJ838" i="1"/>
  <c r="DK838" i="1"/>
  <c r="DL838" i="1"/>
  <c r="CZ839" i="1"/>
  <c r="DA839" i="1"/>
  <c r="DB839" i="1"/>
  <c r="CM839" i="1"/>
  <c r="DF839" i="1"/>
  <c r="CP839" i="1"/>
  <c r="DG839" i="1"/>
  <c r="CL839" i="1"/>
  <c r="DH839" i="1"/>
  <c r="CI839" i="1"/>
  <c r="DN839" i="1"/>
  <c r="DO839" i="1"/>
  <c r="DI839" i="1"/>
  <c r="DJ839" i="1"/>
  <c r="DK839" i="1"/>
  <c r="DL839" i="1"/>
  <c r="CZ840" i="1"/>
  <c r="DA840" i="1"/>
  <c r="DB840" i="1"/>
  <c r="CM840" i="1"/>
  <c r="DF840" i="1"/>
  <c r="CP840" i="1"/>
  <c r="DG840" i="1"/>
  <c r="CL840" i="1"/>
  <c r="DH840" i="1"/>
  <c r="CI840" i="1"/>
  <c r="DN840" i="1"/>
  <c r="DO840" i="1"/>
  <c r="DI840" i="1"/>
  <c r="DJ840" i="1"/>
  <c r="DK840" i="1"/>
  <c r="DL840" i="1"/>
  <c r="CZ841" i="1"/>
  <c r="DA841" i="1"/>
  <c r="DB841" i="1"/>
  <c r="CM841" i="1"/>
  <c r="DF841" i="1"/>
  <c r="CP841" i="1"/>
  <c r="DG841" i="1"/>
  <c r="CL841" i="1"/>
  <c r="DH841" i="1"/>
  <c r="CI841" i="1"/>
  <c r="DN841" i="1"/>
  <c r="DO841" i="1"/>
  <c r="DI841" i="1"/>
  <c r="DJ841" i="1"/>
  <c r="DK841" i="1"/>
  <c r="DL841" i="1"/>
  <c r="CZ842" i="1"/>
  <c r="DA842" i="1"/>
  <c r="DB842" i="1"/>
  <c r="CM842" i="1"/>
  <c r="DF842" i="1"/>
  <c r="CP842" i="1"/>
  <c r="DG842" i="1"/>
  <c r="CL842" i="1"/>
  <c r="DH842" i="1"/>
  <c r="CI842" i="1"/>
  <c r="DN842" i="1"/>
  <c r="DO842" i="1"/>
  <c r="DI842" i="1"/>
  <c r="DJ842" i="1"/>
  <c r="DK842" i="1"/>
  <c r="DL842" i="1"/>
  <c r="CZ843" i="1"/>
  <c r="DA843" i="1"/>
  <c r="DB843" i="1"/>
  <c r="CM843" i="1"/>
  <c r="DF843" i="1"/>
  <c r="CP843" i="1"/>
  <c r="DG843" i="1"/>
  <c r="CL843" i="1"/>
  <c r="DH843" i="1"/>
  <c r="CI843" i="1"/>
  <c r="DN843" i="1"/>
  <c r="DO843" i="1"/>
  <c r="DI843" i="1"/>
  <c r="DJ843" i="1"/>
  <c r="DK843" i="1"/>
  <c r="DL843" i="1"/>
  <c r="CZ844" i="1"/>
  <c r="DA844" i="1"/>
  <c r="DB844" i="1"/>
  <c r="CM844" i="1"/>
  <c r="DF844" i="1"/>
  <c r="CP844" i="1"/>
  <c r="DG844" i="1"/>
  <c r="CL844" i="1"/>
  <c r="DH844" i="1"/>
  <c r="CI844" i="1"/>
  <c r="DN844" i="1"/>
  <c r="DO844" i="1"/>
  <c r="DI844" i="1"/>
  <c r="DJ844" i="1"/>
  <c r="DK844" i="1"/>
  <c r="DL844" i="1"/>
  <c r="CZ845" i="1"/>
  <c r="DA845" i="1"/>
  <c r="DB845" i="1"/>
  <c r="CM845" i="1"/>
  <c r="DF845" i="1"/>
  <c r="CP845" i="1"/>
  <c r="DG845" i="1"/>
  <c r="CL845" i="1"/>
  <c r="DH845" i="1"/>
  <c r="CI845" i="1"/>
  <c r="DN845" i="1"/>
  <c r="DO845" i="1"/>
  <c r="DI845" i="1"/>
  <c r="DJ845" i="1"/>
  <c r="DK845" i="1"/>
  <c r="DL845" i="1"/>
  <c r="CZ846" i="1"/>
  <c r="DA846" i="1"/>
  <c r="DB846" i="1"/>
  <c r="CM846" i="1"/>
  <c r="DF846" i="1"/>
  <c r="CP846" i="1"/>
  <c r="DG846" i="1"/>
  <c r="CL846" i="1"/>
  <c r="DH846" i="1"/>
  <c r="CI846" i="1"/>
  <c r="DN846" i="1"/>
  <c r="DO846" i="1"/>
  <c r="DI846" i="1"/>
  <c r="DJ846" i="1"/>
  <c r="DK846" i="1"/>
  <c r="DL846" i="1"/>
  <c r="CZ847" i="1"/>
  <c r="DA847" i="1"/>
  <c r="DB847" i="1"/>
  <c r="CM847" i="1"/>
  <c r="DF847" i="1"/>
  <c r="CP847" i="1"/>
  <c r="DG847" i="1"/>
  <c r="CL847" i="1"/>
  <c r="DH847" i="1"/>
  <c r="CI847" i="1"/>
  <c r="DN847" i="1"/>
  <c r="DO847" i="1"/>
  <c r="DI847" i="1"/>
  <c r="DJ847" i="1"/>
  <c r="DK847" i="1"/>
  <c r="DL847" i="1"/>
  <c r="CZ848" i="1"/>
  <c r="DA848" i="1"/>
  <c r="DB848" i="1"/>
  <c r="CM848" i="1"/>
  <c r="DF848" i="1"/>
  <c r="CP848" i="1"/>
  <c r="DG848" i="1"/>
  <c r="CL848" i="1"/>
  <c r="DH848" i="1"/>
  <c r="CI848" i="1"/>
  <c r="DN848" i="1"/>
  <c r="DO848" i="1"/>
  <c r="DI848" i="1"/>
  <c r="DJ848" i="1"/>
  <c r="DK848" i="1"/>
  <c r="DL848" i="1"/>
  <c r="CZ849" i="1"/>
  <c r="DA849" i="1"/>
  <c r="DB849" i="1"/>
  <c r="CM849" i="1"/>
  <c r="DF849" i="1"/>
  <c r="CP849" i="1"/>
  <c r="DG849" i="1"/>
  <c r="CL849" i="1"/>
  <c r="DH849" i="1"/>
  <c r="CI849" i="1"/>
  <c r="DN849" i="1"/>
  <c r="DO849" i="1"/>
  <c r="DI849" i="1"/>
  <c r="DJ849" i="1"/>
  <c r="DK849" i="1"/>
  <c r="DL849" i="1"/>
  <c r="CZ850" i="1"/>
  <c r="DA850" i="1"/>
  <c r="DB850" i="1"/>
  <c r="CM850" i="1"/>
  <c r="DF850" i="1"/>
  <c r="CP850" i="1"/>
  <c r="DG850" i="1"/>
  <c r="CL850" i="1"/>
  <c r="DH850" i="1"/>
  <c r="CI850" i="1"/>
  <c r="DN850" i="1"/>
  <c r="DO850" i="1"/>
  <c r="DI850" i="1"/>
  <c r="DJ850" i="1"/>
  <c r="DK850" i="1"/>
  <c r="DL850" i="1"/>
  <c r="CZ851" i="1"/>
  <c r="DA851" i="1"/>
  <c r="DB851" i="1"/>
  <c r="CM851" i="1"/>
  <c r="DF851" i="1"/>
  <c r="CP851" i="1"/>
  <c r="DG851" i="1"/>
  <c r="CL851" i="1"/>
  <c r="DH851" i="1"/>
  <c r="CI851" i="1"/>
  <c r="DN851" i="1"/>
  <c r="DO851" i="1"/>
  <c r="DI851" i="1"/>
  <c r="DJ851" i="1"/>
  <c r="DK851" i="1"/>
  <c r="DL851" i="1"/>
  <c r="CZ852" i="1"/>
  <c r="DA852" i="1"/>
  <c r="DB852" i="1"/>
  <c r="CM852" i="1"/>
  <c r="DF852" i="1"/>
  <c r="CP852" i="1"/>
  <c r="DG852" i="1"/>
  <c r="CL852" i="1"/>
  <c r="DH852" i="1"/>
  <c r="CI852" i="1"/>
  <c r="DN852" i="1"/>
  <c r="DO852" i="1"/>
  <c r="DI852" i="1"/>
  <c r="DJ852" i="1"/>
  <c r="DK852" i="1"/>
  <c r="DL852" i="1"/>
  <c r="CZ853" i="1"/>
  <c r="DA853" i="1"/>
  <c r="DB853" i="1"/>
  <c r="CM853" i="1"/>
  <c r="DF853" i="1"/>
  <c r="CP853" i="1"/>
  <c r="DG853" i="1"/>
  <c r="CL853" i="1"/>
  <c r="DH853" i="1"/>
  <c r="CI853" i="1"/>
  <c r="DN853" i="1"/>
  <c r="DO853" i="1"/>
  <c r="DI853" i="1"/>
  <c r="DJ853" i="1"/>
  <c r="DK853" i="1"/>
  <c r="DL853" i="1"/>
  <c r="CZ854" i="1"/>
  <c r="DA854" i="1"/>
  <c r="DB854" i="1"/>
  <c r="CM854" i="1"/>
  <c r="DF854" i="1"/>
  <c r="CP854" i="1"/>
  <c r="DG854" i="1"/>
  <c r="CL854" i="1"/>
  <c r="DH854" i="1"/>
  <c r="CI854" i="1"/>
  <c r="DN854" i="1"/>
  <c r="DO854" i="1"/>
  <c r="DI854" i="1"/>
  <c r="DJ854" i="1"/>
  <c r="DK854" i="1"/>
  <c r="DL854" i="1"/>
  <c r="CZ855" i="1"/>
  <c r="DA855" i="1"/>
  <c r="DB855" i="1"/>
  <c r="CM855" i="1"/>
  <c r="DF855" i="1"/>
  <c r="CP855" i="1"/>
  <c r="DG855" i="1"/>
  <c r="CL855" i="1"/>
  <c r="DH855" i="1"/>
  <c r="CI855" i="1"/>
  <c r="DN855" i="1"/>
  <c r="DO855" i="1"/>
  <c r="DI855" i="1"/>
  <c r="DJ855" i="1"/>
  <c r="DK855" i="1"/>
  <c r="DL855" i="1"/>
  <c r="CZ856" i="1"/>
  <c r="DA856" i="1"/>
  <c r="DB856" i="1"/>
  <c r="CM856" i="1"/>
  <c r="DF856" i="1"/>
  <c r="CP856" i="1"/>
  <c r="DG856" i="1"/>
  <c r="CL856" i="1"/>
  <c r="DH856" i="1"/>
  <c r="CI856" i="1"/>
  <c r="DN856" i="1"/>
  <c r="DO856" i="1"/>
  <c r="DI856" i="1"/>
  <c r="DJ856" i="1"/>
  <c r="DK856" i="1"/>
  <c r="DL856" i="1"/>
  <c r="CZ857" i="1"/>
  <c r="DA857" i="1"/>
  <c r="DB857" i="1"/>
  <c r="CM857" i="1"/>
  <c r="DF857" i="1"/>
  <c r="CP857" i="1"/>
  <c r="DG857" i="1"/>
  <c r="CL857" i="1"/>
  <c r="DH857" i="1"/>
  <c r="CI857" i="1"/>
  <c r="DN857" i="1"/>
  <c r="DO857" i="1"/>
  <c r="DI857" i="1"/>
  <c r="DJ857" i="1"/>
  <c r="DK857" i="1"/>
  <c r="DL857" i="1"/>
  <c r="CZ858" i="1"/>
  <c r="DA858" i="1"/>
  <c r="DB858" i="1"/>
  <c r="CM858" i="1"/>
  <c r="DF858" i="1"/>
  <c r="CP858" i="1"/>
  <c r="DG858" i="1"/>
  <c r="CL858" i="1"/>
  <c r="DH858" i="1"/>
  <c r="CI858" i="1"/>
  <c r="DN858" i="1"/>
  <c r="DO858" i="1"/>
  <c r="DI858" i="1"/>
  <c r="DJ858" i="1"/>
  <c r="DK858" i="1"/>
  <c r="DL858" i="1"/>
  <c r="CZ859" i="1"/>
  <c r="DA859" i="1"/>
  <c r="DB859" i="1"/>
  <c r="CM859" i="1"/>
  <c r="DF859" i="1"/>
  <c r="CP859" i="1"/>
  <c r="DG859" i="1"/>
  <c r="CL859" i="1"/>
  <c r="DH859" i="1"/>
  <c r="CI859" i="1"/>
  <c r="DN859" i="1"/>
  <c r="DO859" i="1"/>
  <c r="DI859" i="1"/>
  <c r="DJ859" i="1"/>
  <c r="DK859" i="1"/>
  <c r="DL859" i="1"/>
  <c r="CZ860" i="1"/>
  <c r="DA860" i="1"/>
  <c r="DB860" i="1"/>
  <c r="CM860" i="1"/>
  <c r="DF860" i="1"/>
  <c r="CP860" i="1"/>
  <c r="DG860" i="1"/>
  <c r="CL860" i="1"/>
  <c r="DH860" i="1"/>
  <c r="CI860" i="1"/>
  <c r="DN860" i="1"/>
  <c r="DO860" i="1"/>
  <c r="DI860" i="1"/>
  <c r="DJ860" i="1"/>
  <c r="DK860" i="1"/>
  <c r="DL860" i="1"/>
  <c r="CZ861" i="1"/>
  <c r="DA861" i="1"/>
  <c r="DB861" i="1"/>
  <c r="CM861" i="1"/>
  <c r="DF861" i="1"/>
  <c r="CP861" i="1"/>
  <c r="DG861" i="1"/>
  <c r="CL861" i="1"/>
  <c r="DH861" i="1"/>
  <c r="CI861" i="1"/>
  <c r="DN861" i="1"/>
  <c r="DO861" i="1"/>
  <c r="DI861" i="1"/>
  <c r="DJ861" i="1"/>
  <c r="DK861" i="1"/>
  <c r="DL861" i="1"/>
  <c r="CZ862" i="1"/>
  <c r="DA862" i="1"/>
  <c r="DB862" i="1"/>
  <c r="CM862" i="1"/>
  <c r="DF862" i="1"/>
  <c r="CP862" i="1"/>
  <c r="DG862" i="1"/>
  <c r="CL862" i="1"/>
  <c r="DH862" i="1"/>
  <c r="CI862" i="1"/>
  <c r="DN862" i="1"/>
  <c r="DO862" i="1"/>
  <c r="DI862" i="1"/>
  <c r="DJ862" i="1"/>
  <c r="DK862" i="1"/>
  <c r="DL862" i="1"/>
  <c r="CZ863" i="1"/>
  <c r="DA863" i="1"/>
  <c r="DB863" i="1"/>
  <c r="CM863" i="1"/>
  <c r="DF863" i="1"/>
  <c r="CP863" i="1"/>
  <c r="DG863" i="1"/>
  <c r="CL863" i="1"/>
  <c r="DH863" i="1"/>
  <c r="CI863" i="1"/>
  <c r="DN863" i="1"/>
  <c r="DO863" i="1"/>
  <c r="DI863" i="1"/>
  <c r="DJ863" i="1"/>
  <c r="DK863" i="1"/>
  <c r="DL863" i="1"/>
  <c r="CZ864" i="1"/>
  <c r="DA864" i="1"/>
  <c r="DB864" i="1"/>
  <c r="CM864" i="1"/>
  <c r="DF864" i="1"/>
  <c r="CP864" i="1"/>
  <c r="DG864" i="1"/>
  <c r="CL864" i="1"/>
  <c r="DH864" i="1"/>
  <c r="CI864" i="1"/>
  <c r="DN864" i="1"/>
  <c r="DO864" i="1"/>
  <c r="DI864" i="1"/>
  <c r="DJ864" i="1"/>
  <c r="DK864" i="1"/>
  <c r="DL864" i="1"/>
  <c r="CZ865" i="1"/>
  <c r="DA865" i="1"/>
  <c r="DB865" i="1"/>
  <c r="CM865" i="1"/>
  <c r="DF865" i="1"/>
  <c r="CP865" i="1"/>
  <c r="DG865" i="1"/>
  <c r="CL865" i="1"/>
  <c r="DH865" i="1"/>
  <c r="CI865" i="1"/>
  <c r="DN865" i="1"/>
  <c r="DO865" i="1"/>
  <c r="DI865" i="1"/>
  <c r="DJ865" i="1"/>
  <c r="DK865" i="1"/>
  <c r="DL865" i="1"/>
  <c r="CZ866" i="1"/>
  <c r="DA866" i="1"/>
  <c r="DB866" i="1"/>
  <c r="CM866" i="1"/>
  <c r="DF866" i="1"/>
  <c r="CP866" i="1"/>
  <c r="DG866" i="1"/>
  <c r="CL866" i="1"/>
  <c r="DH866" i="1"/>
  <c r="CI866" i="1"/>
  <c r="DN866" i="1"/>
  <c r="DO866" i="1"/>
  <c r="DI866" i="1"/>
  <c r="DJ866" i="1"/>
  <c r="DK866" i="1"/>
  <c r="DL866" i="1"/>
  <c r="CZ867" i="1"/>
  <c r="DA867" i="1"/>
  <c r="DB867" i="1"/>
  <c r="CM867" i="1"/>
  <c r="DF867" i="1"/>
  <c r="CP867" i="1"/>
  <c r="DG867" i="1"/>
  <c r="CL867" i="1"/>
  <c r="DH867" i="1"/>
  <c r="CI867" i="1"/>
  <c r="DN867" i="1"/>
  <c r="DO867" i="1"/>
  <c r="DI867" i="1"/>
  <c r="DJ867" i="1"/>
  <c r="DK867" i="1"/>
  <c r="DL867" i="1"/>
  <c r="CZ868" i="1"/>
  <c r="DA868" i="1"/>
  <c r="DB868" i="1"/>
  <c r="CM868" i="1"/>
  <c r="DF868" i="1"/>
  <c r="CP868" i="1"/>
  <c r="DG868" i="1"/>
  <c r="CL868" i="1"/>
  <c r="DH868" i="1"/>
  <c r="CI868" i="1"/>
  <c r="DN868" i="1"/>
  <c r="DO868" i="1"/>
  <c r="DI868" i="1"/>
  <c r="DJ868" i="1"/>
  <c r="DK868" i="1"/>
  <c r="DL868" i="1"/>
  <c r="CZ869" i="1"/>
  <c r="DA869" i="1"/>
  <c r="DB869" i="1"/>
  <c r="CM869" i="1"/>
  <c r="DF869" i="1"/>
  <c r="CP869" i="1"/>
  <c r="DG869" i="1"/>
  <c r="CL869" i="1"/>
  <c r="DH869" i="1"/>
  <c r="CI869" i="1"/>
  <c r="DN869" i="1"/>
  <c r="DO869" i="1"/>
  <c r="DI869" i="1"/>
  <c r="DJ869" i="1"/>
  <c r="DK869" i="1"/>
  <c r="DL869" i="1"/>
  <c r="CZ870" i="1"/>
  <c r="DA870" i="1"/>
  <c r="DB870" i="1"/>
  <c r="CM870" i="1"/>
  <c r="DF870" i="1"/>
  <c r="CP870" i="1"/>
  <c r="DG870" i="1"/>
  <c r="CL870" i="1"/>
  <c r="DH870" i="1"/>
  <c r="CI870" i="1"/>
  <c r="DN870" i="1"/>
  <c r="DO870" i="1"/>
  <c r="DI870" i="1"/>
  <c r="DJ870" i="1"/>
  <c r="DK870" i="1"/>
  <c r="DL870" i="1"/>
  <c r="CZ871" i="1"/>
  <c r="DA871" i="1"/>
  <c r="DB871" i="1"/>
  <c r="CM871" i="1"/>
  <c r="DF871" i="1"/>
  <c r="CP871" i="1"/>
  <c r="DG871" i="1"/>
  <c r="CL871" i="1"/>
  <c r="DH871" i="1"/>
  <c r="CI871" i="1"/>
  <c r="DN871" i="1"/>
  <c r="DO871" i="1"/>
  <c r="DI871" i="1"/>
  <c r="DJ871" i="1"/>
  <c r="DK871" i="1"/>
  <c r="DL871" i="1"/>
  <c r="CZ872" i="1"/>
  <c r="DA872" i="1"/>
  <c r="DB872" i="1"/>
  <c r="CM872" i="1"/>
  <c r="DF872" i="1"/>
  <c r="CP872" i="1"/>
  <c r="DG872" i="1"/>
  <c r="CL872" i="1"/>
  <c r="DH872" i="1"/>
  <c r="CI872" i="1"/>
  <c r="DN872" i="1"/>
  <c r="DO872" i="1"/>
  <c r="DI872" i="1"/>
  <c r="DJ872" i="1"/>
  <c r="DK872" i="1"/>
  <c r="DL872" i="1"/>
  <c r="CZ873" i="1"/>
  <c r="DA873" i="1"/>
  <c r="DB873" i="1"/>
  <c r="CM873" i="1"/>
  <c r="DF873" i="1"/>
  <c r="CP873" i="1"/>
  <c r="DG873" i="1"/>
  <c r="CL873" i="1"/>
  <c r="DH873" i="1"/>
  <c r="CI873" i="1"/>
  <c r="DN873" i="1"/>
  <c r="DO873" i="1"/>
  <c r="DI873" i="1"/>
  <c r="DJ873" i="1"/>
  <c r="DK873" i="1"/>
  <c r="DL873" i="1"/>
  <c r="CZ874" i="1"/>
  <c r="DA874" i="1"/>
  <c r="DB874" i="1"/>
  <c r="CM874" i="1"/>
  <c r="DF874" i="1"/>
  <c r="CP874" i="1"/>
  <c r="DG874" i="1"/>
  <c r="CL874" i="1"/>
  <c r="DH874" i="1"/>
  <c r="CI874" i="1"/>
  <c r="DN874" i="1"/>
  <c r="DO874" i="1"/>
  <c r="DI874" i="1"/>
  <c r="DJ874" i="1"/>
  <c r="DK874" i="1"/>
  <c r="DL874" i="1"/>
  <c r="CZ875" i="1"/>
  <c r="DA875" i="1"/>
  <c r="DB875" i="1"/>
  <c r="CM875" i="1"/>
  <c r="DF875" i="1"/>
  <c r="CP875" i="1"/>
  <c r="DG875" i="1"/>
  <c r="CL875" i="1"/>
  <c r="DH875" i="1"/>
  <c r="CI875" i="1"/>
  <c r="DN875" i="1"/>
  <c r="DO875" i="1"/>
  <c r="DI875" i="1"/>
  <c r="DJ875" i="1"/>
  <c r="DK875" i="1"/>
  <c r="DL875" i="1"/>
  <c r="CZ876" i="1"/>
  <c r="DA876" i="1"/>
  <c r="DB876" i="1"/>
  <c r="CM876" i="1"/>
  <c r="DF876" i="1"/>
  <c r="CP876" i="1"/>
  <c r="DG876" i="1"/>
  <c r="CL876" i="1"/>
  <c r="DH876" i="1"/>
  <c r="CI876" i="1"/>
  <c r="DN876" i="1"/>
  <c r="DO876" i="1"/>
  <c r="DI876" i="1"/>
  <c r="DJ876" i="1"/>
  <c r="DK876" i="1"/>
  <c r="DL876" i="1"/>
  <c r="CZ877" i="1"/>
  <c r="DA877" i="1"/>
  <c r="DB877" i="1"/>
  <c r="CM877" i="1"/>
  <c r="DF877" i="1"/>
  <c r="CP877" i="1"/>
  <c r="DG877" i="1"/>
  <c r="CL877" i="1"/>
  <c r="DH877" i="1"/>
  <c r="CI877" i="1"/>
  <c r="DN877" i="1"/>
  <c r="DO877" i="1"/>
  <c r="DI877" i="1"/>
  <c r="DJ877" i="1"/>
  <c r="DK877" i="1"/>
  <c r="DL877" i="1"/>
  <c r="CZ878" i="1"/>
  <c r="DA878" i="1"/>
  <c r="DB878" i="1"/>
  <c r="CM878" i="1"/>
  <c r="DF878" i="1"/>
  <c r="CP878" i="1"/>
  <c r="DG878" i="1"/>
  <c r="CL878" i="1"/>
  <c r="DH878" i="1"/>
  <c r="CI878" i="1"/>
  <c r="DN878" i="1"/>
  <c r="DO878" i="1"/>
  <c r="DI878" i="1"/>
  <c r="DJ878" i="1"/>
  <c r="DK878" i="1"/>
  <c r="DL878" i="1"/>
  <c r="CZ879" i="1"/>
  <c r="DA879" i="1"/>
  <c r="DB879" i="1"/>
  <c r="CM879" i="1"/>
  <c r="DF879" i="1"/>
  <c r="CP879" i="1"/>
  <c r="DG879" i="1"/>
  <c r="CL879" i="1"/>
  <c r="DH879" i="1"/>
  <c r="CI879" i="1"/>
  <c r="DN879" i="1"/>
  <c r="DO879" i="1"/>
  <c r="DI879" i="1"/>
  <c r="DJ879" i="1"/>
  <c r="DK879" i="1"/>
  <c r="DL879" i="1"/>
  <c r="CZ880" i="1"/>
  <c r="DA880" i="1"/>
  <c r="DB880" i="1"/>
  <c r="CM880" i="1"/>
  <c r="DF880" i="1"/>
  <c r="CP880" i="1"/>
  <c r="DG880" i="1"/>
  <c r="CL880" i="1"/>
  <c r="DH880" i="1"/>
  <c r="CI880" i="1"/>
  <c r="DN880" i="1"/>
  <c r="DO880" i="1"/>
  <c r="DI880" i="1"/>
  <c r="DJ880" i="1"/>
  <c r="DK880" i="1"/>
  <c r="DL880" i="1"/>
  <c r="CZ881" i="1"/>
  <c r="DA881" i="1"/>
  <c r="DB881" i="1"/>
  <c r="CM881" i="1"/>
  <c r="DF881" i="1"/>
  <c r="CP881" i="1"/>
  <c r="DG881" i="1"/>
  <c r="CL881" i="1"/>
  <c r="DH881" i="1"/>
  <c r="CI881" i="1"/>
  <c r="DN881" i="1"/>
  <c r="DO881" i="1"/>
  <c r="DI881" i="1"/>
  <c r="DJ881" i="1"/>
  <c r="DK881" i="1"/>
  <c r="DL881" i="1"/>
  <c r="CZ882" i="1"/>
  <c r="DA882" i="1"/>
  <c r="DB882" i="1"/>
  <c r="CM882" i="1"/>
  <c r="DF882" i="1"/>
  <c r="CP882" i="1"/>
  <c r="DG882" i="1"/>
  <c r="CL882" i="1"/>
  <c r="DH882" i="1"/>
  <c r="CI882" i="1"/>
  <c r="DN882" i="1"/>
  <c r="DO882" i="1"/>
  <c r="DI882" i="1"/>
  <c r="DJ882" i="1"/>
  <c r="DK882" i="1"/>
  <c r="DL882" i="1"/>
  <c r="CZ883" i="1"/>
  <c r="DA883" i="1"/>
  <c r="DB883" i="1"/>
  <c r="CM883" i="1"/>
  <c r="DF883" i="1"/>
  <c r="CP883" i="1"/>
  <c r="DG883" i="1"/>
  <c r="CL883" i="1"/>
  <c r="DH883" i="1"/>
  <c r="CI883" i="1"/>
  <c r="DN883" i="1"/>
  <c r="DO883" i="1"/>
  <c r="DI883" i="1"/>
  <c r="DJ883" i="1"/>
  <c r="DK883" i="1"/>
  <c r="DL883" i="1"/>
  <c r="CZ884" i="1"/>
  <c r="DA884" i="1"/>
  <c r="DB884" i="1"/>
  <c r="CM884" i="1"/>
  <c r="DF884" i="1"/>
  <c r="CP884" i="1"/>
  <c r="DG884" i="1"/>
  <c r="CL884" i="1"/>
  <c r="DH884" i="1"/>
  <c r="CI884" i="1"/>
  <c r="DN884" i="1"/>
  <c r="DO884" i="1"/>
  <c r="DI884" i="1"/>
  <c r="DJ884" i="1"/>
  <c r="DK884" i="1"/>
  <c r="DL884" i="1"/>
  <c r="CZ885" i="1"/>
  <c r="DA885" i="1"/>
  <c r="DB885" i="1"/>
  <c r="CM885" i="1"/>
  <c r="DF885" i="1"/>
  <c r="CP885" i="1"/>
  <c r="DG885" i="1"/>
  <c r="CL885" i="1"/>
  <c r="DH885" i="1"/>
  <c r="CI885" i="1"/>
  <c r="DN885" i="1"/>
  <c r="DO885" i="1"/>
  <c r="DI885" i="1"/>
  <c r="DJ885" i="1"/>
  <c r="DK885" i="1"/>
  <c r="DL885" i="1"/>
  <c r="CZ886" i="1"/>
  <c r="DA886" i="1"/>
  <c r="DB886" i="1"/>
  <c r="CM886" i="1"/>
  <c r="DF886" i="1"/>
  <c r="CP886" i="1"/>
  <c r="DG886" i="1"/>
  <c r="CL886" i="1"/>
  <c r="DH886" i="1"/>
  <c r="CI886" i="1"/>
  <c r="DN886" i="1"/>
  <c r="DO886" i="1"/>
  <c r="DI886" i="1"/>
  <c r="DJ886" i="1"/>
  <c r="DK886" i="1"/>
  <c r="DL886" i="1"/>
  <c r="CZ887" i="1"/>
  <c r="DA887" i="1"/>
  <c r="DB887" i="1"/>
  <c r="CM887" i="1"/>
  <c r="DF887" i="1"/>
  <c r="CP887" i="1"/>
  <c r="DG887" i="1"/>
  <c r="CL887" i="1"/>
  <c r="DH887" i="1"/>
  <c r="CI887" i="1"/>
  <c r="DN887" i="1"/>
  <c r="DO887" i="1"/>
  <c r="DI887" i="1"/>
  <c r="DJ887" i="1"/>
  <c r="DK887" i="1"/>
  <c r="DL887" i="1"/>
  <c r="CZ888" i="1"/>
  <c r="DA888" i="1"/>
  <c r="DB888" i="1"/>
  <c r="CM888" i="1"/>
  <c r="DF888" i="1"/>
  <c r="CP888" i="1"/>
  <c r="DG888" i="1"/>
  <c r="CL888" i="1"/>
  <c r="DH888" i="1"/>
  <c r="CI888" i="1"/>
  <c r="DN888" i="1"/>
  <c r="DO888" i="1"/>
  <c r="DI888" i="1"/>
  <c r="DJ888" i="1"/>
  <c r="DK888" i="1"/>
  <c r="DL888" i="1"/>
  <c r="CZ889" i="1"/>
  <c r="DA889" i="1"/>
  <c r="DB889" i="1"/>
  <c r="CM889" i="1"/>
  <c r="DF889" i="1"/>
  <c r="CP889" i="1"/>
  <c r="DG889" i="1"/>
  <c r="CL889" i="1"/>
  <c r="DH889" i="1"/>
  <c r="CI889" i="1"/>
  <c r="DN889" i="1"/>
  <c r="DO889" i="1"/>
  <c r="DI889" i="1"/>
  <c r="DJ889" i="1"/>
  <c r="DK889" i="1"/>
  <c r="DL889" i="1"/>
  <c r="CZ890" i="1"/>
  <c r="DA890" i="1"/>
  <c r="DB890" i="1"/>
  <c r="CM890" i="1"/>
  <c r="DF890" i="1"/>
  <c r="CP890" i="1"/>
  <c r="DG890" i="1"/>
  <c r="CL890" i="1"/>
  <c r="DH890" i="1"/>
  <c r="CI890" i="1"/>
  <c r="DN890" i="1"/>
  <c r="DO890" i="1"/>
  <c r="DI890" i="1"/>
  <c r="DJ890" i="1"/>
  <c r="DK890" i="1"/>
  <c r="DL890" i="1"/>
  <c r="CZ891" i="1"/>
  <c r="DA891" i="1"/>
  <c r="DB891" i="1"/>
  <c r="CM891" i="1"/>
  <c r="DF891" i="1"/>
  <c r="CP891" i="1"/>
  <c r="DG891" i="1"/>
  <c r="CL891" i="1"/>
  <c r="DH891" i="1"/>
  <c r="CI891" i="1"/>
  <c r="DN891" i="1"/>
  <c r="DO891" i="1"/>
  <c r="DI891" i="1"/>
  <c r="DJ891" i="1"/>
  <c r="DK891" i="1"/>
  <c r="DL891" i="1"/>
  <c r="CZ892" i="1"/>
  <c r="DA892" i="1"/>
  <c r="DB892" i="1"/>
  <c r="CM892" i="1"/>
  <c r="DF892" i="1"/>
  <c r="CP892" i="1"/>
  <c r="DG892" i="1"/>
  <c r="CL892" i="1"/>
  <c r="DH892" i="1"/>
  <c r="CI892" i="1"/>
  <c r="DN892" i="1"/>
  <c r="DO892" i="1"/>
  <c r="DI892" i="1"/>
  <c r="DJ892" i="1"/>
  <c r="DK892" i="1"/>
  <c r="DL892" i="1"/>
  <c r="CZ893" i="1"/>
  <c r="DA893" i="1"/>
  <c r="DB893" i="1"/>
  <c r="CM893" i="1"/>
  <c r="DF893" i="1"/>
  <c r="CP893" i="1"/>
  <c r="DG893" i="1"/>
  <c r="CL893" i="1"/>
  <c r="DH893" i="1"/>
  <c r="CI893" i="1"/>
  <c r="DN893" i="1"/>
  <c r="DO893" i="1"/>
  <c r="DI893" i="1"/>
  <c r="DJ893" i="1"/>
  <c r="DK893" i="1"/>
  <c r="DL893" i="1"/>
  <c r="CZ894" i="1"/>
  <c r="DA894" i="1"/>
  <c r="DB894" i="1"/>
  <c r="CM894" i="1"/>
  <c r="DF894" i="1"/>
  <c r="CP894" i="1"/>
  <c r="DG894" i="1"/>
  <c r="CL894" i="1"/>
  <c r="DH894" i="1"/>
  <c r="CI894" i="1"/>
  <c r="DN894" i="1"/>
  <c r="DO894" i="1"/>
  <c r="DI894" i="1"/>
  <c r="DJ894" i="1"/>
  <c r="DK894" i="1"/>
  <c r="DL894" i="1"/>
  <c r="CZ895" i="1"/>
  <c r="DA895" i="1"/>
  <c r="DB895" i="1"/>
  <c r="CM895" i="1"/>
  <c r="DF895" i="1"/>
  <c r="CP895" i="1"/>
  <c r="DG895" i="1"/>
  <c r="CL895" i="1"/>
  <c r="DH895" i="1"/>
  <c r="CI895" i="1"/>
  <c r="DN895" i="1"/>
  <c r="DO895" i="1"/>
  <c r="DI895" i="1"/>
  <c r="DJ895" i="1"/>
  <c r="DK895" i="1"/>
  <c r="DL895" i="1"/>
  <c r="CZ896" i="1"/>
  <c r="DA896" i="1"/>
  <c r="DB896" i="1"/>
  <c r="CM896" i="1"/>
  <c r="DF896" i="1"/>
  <c r="CP896" i="1"/>
  <c r="DG896" i="1"/>
  <c r="CL896" i="1"/>
  <c r="DH896" i="1"/>
  <c r="CI896" i="1"/>
  <c r="DN896" i="1"/>
  <c r="DO896" i="1"/>
  <c r="DI896" i="1"/>
  <c r="DJ896" i="1"/>
  <c r="DK896" i="1"/>
  <c r="DL896" i="1"/>
  <c r="CZ897" i="1"/>
  <c r="DA897" i="1"/>
  <c r="DB897" i="1"/>
  <c r="CM897" i="1"/>
  <c r="DF897" i="1"/>
  <c r="CP897" i="1"/>
  <c r="DG897" i="1"/>
  <c r="CL897" i="1"/>
  <c r="DH897" i="1"/>
  <c r="CI897" i="1"/>
  <c r="DN897" i="1"/>
  <c r="DO897" i="1"/>
  <c r="DI897" i="1"/>
  <c r="DJ897" i="1"/>
  <c r="DK897" i="1"/>
  <c r="DL897" i="1"/>
  <c r="CZ898" i="1"/>
  <c r="DA898" i="1"/>
  <c r="DB898" i="1"/>
  <c r="CM898" i="1"/>
  <c r="DF898" i="1"/>
  <c r="CP898" i="1"/>
  <c r="DG898" i="1"/>
  <c r="CL898" i="1"/>
  <c r="DH898" i="1"/>
  <c r="CI898" i="1"/>
  <c r="DN898" i="1"/>
  <c r="DO898" i="1"/>
  <c r="DI898" i="1"/>
  <c r="DJ898" i="1"/>
  <c r="DK898" i="1"/>
  <c r="DL898" i="1"/>
  <c r="CZ899" i="1"/>
  <c r="DA899" i="1"/>
  <c r="DB899" i="1"/>
  <c r="CM899" i="1"/>
  <c r="DF899" i="1"/>
  <c r="CP899" i="1"/>
  <c r="DG899" i="1"/>
  <c r="CL899" i="1"/>
  <c r="DH899" i="1"/>
  <c r="CI899" i="1"/>
  <c r="DN899" i="1"/>
  <c r="DO899" i="1"/>
  <c r="DI899" i="1"/>
  <c r="DJ899" i="1"/>
  <c r="DK899" i="1"/>
  <c r="DL899" i="1"/>
  <c r="CZ900" i="1"/>
  <c r="DA900" i="1"/>
  <c r="DB900" i="1"/>
  <c r="CM900" i="1"/>
  <c r="DF900" i="1"/>
  <c r="CP900" i="1"/>
  <c r="DG900" i="1"/>
  <c r="CL900" i="1"/>
  <c r="DH900" i="1"/>
  <c r="CI900" i="1"/>
  <c r="DN900" i="1"/>
  <c r="DO900" i="1"/>
  <c r="DI900" i="1"/>
  <c r="DJ900" i="1"/>
  <c r="DK900" i="1"/>
  <c r="DL900" i="1"/>
  <c r="CZ901" i="1"/>
  <c r="DA901" i="1"/>
  <c r="DB901" i="1"/>
  <c r="CM901" i="1"/>
  <c r="DF901" i="1"/>
  <c r="CP901" i="1"/>
  <c r="DG901" i="1"/>
  <c r="CL901" i="1"/>
  <c r="DH901" i="1"/>
  <c r="CI901" i="1"/>
  <c r="DN901" i="1"/>
  <c r="DO901" i="1"/>
  <c r="DI901" i="1"/>
  <c r="DJ901" i="1"/>
  <c r="DK901" i="1"/>
  <c r="DL901" i="1"/>
  <c r="CZ902" i="1"/>
  <c r="DA902" i="1"/>
  <c r="DB902" i="1"/>
  <c r="CM902" i="1"/>
  <c r="DF902" i="1"/>
  <c r="CP902" i="1"/>
  <c r="DG902" i="1"/>
  <c r="CL902" i="1"/>
  <c r="DH902" i="1"/>
  <c r="CI902" i="1"/>
  <c r="DN902" i="1"/>
  <c r="DO902" i="1"/>
  <c r="DI902" i="1"/>
  <c r="DJ902" i="1"/>
  <c r="DK902" i="1"/>
  <c r="DL902" i="1"/>
  <c r="CZ903" i="1"/>
  <c r="DA903" i="1"/>
  <c r="DB903" i="1"/>
  <c r="CM903" i="1"/>
  <c r="DF903" i="1"/>
  <c r="CP903" i="1"/>
  <c r="DG903" i="1"/>
  <c r="CL903" i="1"/>
  <c r="DH903" i="1"/>
  <c r="CI903" i="1"/>
  <c r="DN903" i="1"/>
  <c r="DO903" i="1"/>
  <c r="DI903" i="1"/>
  <c r="DJ903" i="1"/>
  <c r="DK903" i="1"/>
  <c r="DL903" i="1"/>
  <c r="CZ904" i="1"/>
  <c r="DA904" i="1"/>
  <c r="DB904" i="1"/>
  <c r="CM904" i="1"/>
  <c r="DF904" i="1"/>
  <c r="CP904" i="1"/>
  <c r="DG904" i="1"/>
  <c r="CL904" i="1"/>
  <c r="DH904" i="1"/>
  <c r="CI904" i="1"/>
  <c r="DN904" i="1"/>
  <c r="DO904" i="1"/>
  <c r="DI904" i="1"/>
  <c r="DJ904" i="1"/>
  <c r="DK904" i="1"/>
  <c r="DL904" i="1"/>
  <c r="CZ905" i="1"/>
  <c r="DA905" i="1"/>
  <c r="DB905" i="1"/>
  <c r="CM905" i="1"/>
  <c r="DF905" i="1"/>
  <c r="CP905" i="1"/>
  <c r="DG905" i="1"/>
  <c r="CL905" i="1"/>
  <c r="DH905" i="1"/>
  <c r="CI905" i="1"/>
  <c r="DN905" i="1"/>
  <c r="DO905" i="1"/>
  <c r="DI905" i="1"/>
  <c r="DJ905" i="1"/>
  <c r="DK905" i="1"/>
  <c r="DL905" i="1"/>
  <c r="CZ906" i="1"/>
  <c r="DA906" i="1"/>
  <c r="DB906" i="1"/>
  <c r="CM906" i="1"/>
  <c r="DF906" i="1"/>
  <c r="CP906" i="1"/>
  <c r="DG906" i="1"/>
  <c r="CL906" i="1"/>
  <c r="DH906" i="1"/>
  <c r="CI906" i="1"/>
  <c r="DN906" i="1"/>
  <c r="DO906" i="1"/>
  <c r="DI906" i="1"/>
  <c r="DJ906" i="1"/>
  <c r="DK906" i="1"/>
  <c r="DL906" i="1"/>
  <c r="CZ907" i="1"/>
  <c r="DA907" i="1"/>
  <c r="DB907" i="1"/>
  <c r="CM907" i="1"/>
  <c r="DF907" i="1"/>
  <c r="CP907" i="1"/>
  <c r="DG907" i="1"/>
  <c r="CL907" i="1"/>
  <c r="DH907" i="1"/>
  <c r="CI907" i="1"/>
  <c r="DN907" i="1"/>
  <c r="DO907" i="1"/>
  <c r="DI907" i="1"/>
  <c r="DJ907" i="1"/>
  <c r="DK907" i="1"/>
  <c r="DL907" i="1"/>
  <c r="CZ908" i="1"/>
  <c r="DA908" i="1"/>
  <c r="DB908" i="1"/>
  <c r="CM908" i="1"/>
  <c r="DF908" i="1"/>
  <c r="CP908" i="1"/>
  <c r="DG908" i="1"/>
  <c r="CL908" i="1"/>
  <c r="DH908" i="1"/>
  <c r="CI908" i="1"/>
  <c r="DN908" i="1"/>
  <c r="DO908" i="1"/>
  <c r="DI908" i="1"/>
  <c r="DJ908" i="1"/>
  <c r="DK908" i="1"/>
  <c r="DL908" i="1"/>
  <c r="CZ909" i="1"/>
  <c r="DA909" i="1"/>
  <c r="DB909" i="1"/>
  <c r="CM909" i="1"/>
  <c r="DF909" i="1"/>
  <c r="CP909" i="1"/>
  <c r="DG909" i="1"/>
  <c r="CL909" i="1"/>
  <c r="DH909" i="1"/>
  <c r="CI909" i="1"/>
  <c r="DN909" i="1"/>
  <c r="DO909" i="1"/>
  <c r="DI909" i="1"/>
  <c r="DJ909" i="1"/>
  <c r="DK909" i="1"/>
  <c r="DL909" i="1"/>
  <c r="CZ910" i="1"/>
  <c r="DA910" i="1"/>
  <c r="DB910" i="1"/>
  <c r="CM910" i="1"/>
  <c r="DF910" i="1"/>
  <c r="CP910" i="1"/>
  <c r="DG910" i="1"/>
  <c r="CL910" i="1"/>
  <c r="DH910" i="1"/>
  <c r="CI910" i="1"/>
  <c r="DN910" i="1"/>
  <c r="DO910" i="1"/>
  <c r="DI910" i="1"/>
  <c r="DJ910" i="1"/>
  <c r="DK910" i="1"/>
  <c r="DL910" i="1"/>
  <c r="CZ911" i="1"/>
  <c r="DA911" i="1"/>
  <c r="DB911" i="1"/>
  <c r="CM911" i="1"/>
  <c r="DF911" i="1"/>
  <c r="CP911" i="1"/>
  <c r="DG911" i="1"/>
  <c r="CL911" i="1"/>
  <c r="DH911" i="1"/>
  <c r="CI911" i="1"/>
  <c r="DN911" i="1"/>
  <c r="DO911" i="1"/>
  <c r="DI911" i="1"/>
  <c r="DJ911" i="1"/>
  <c r="DK911" i="1"/>
  <c r="DL911" i="1"/>
  <c r="CZ912" i="1"/>
  <c r="DA912" i="1"/>
  <c r="DB912" i="1"/>
  <c r="CM912" i="1"/>
  <c r="DF912" i="1"/>
  <c r="CP912" i="1"/>
  <c r="DG912" i="1"/>
  <c r="CL912" i="1"/>
  <c r="DH912" i="1"/>
  <c r="CI912" i="1"/>
  <c r="DN912" i="1"/>
  <c r="DO912" i="1"/>
  <c r="DI912" i="1"/>
  <c r="DJ912" i="1"/>
  <c r="DK912" i="1"/>
  <c r="DL912" i="1"/>
  <c r="CZ913" i="1"/>
  <c r="DA913" i="1"/>
  <c r="DB913" i="1"/>
  <c r="CM913" i="1"/>
  <c r="DF913" i="1"/>
  <c r="CP913" i="1"/>
  <c r="DG913" i="1"/>
  <c r="CL913" i="1"/>
  <c r="DH913" i="1"/>
  <c r="CI913" i="1"/>
  <c r="DN913" i="1"/>
  <c r="DO913" i="1"/>
  <c r="DI913" i="1"/>
  <c r="DJ913" i="1"/>
  <c r="DK913" i="1"/>
  <c r="DL913" i="1"/>
  <c r="CZ914" i="1"/>
  <c r="DA914" i="1"/>
  <c r="DB914" i="1"/>
  <c r="CM914" i="1"/>
  <c r="DF914" i="1"/>
  <c r="CP914" i="1"/>
  <c r="DG914" i="1"/>
  <c r="CL914" i="1"/>
  <c r="DH914" i="1"/>
  <c r="CI914" i="1"/>
  <c r="DN914" i="1"/>
  <c r="DO914" i="1"/>
  <c r="DI914" i="1"/>
  <c r="DJ914" i="1"/>
  <c r="DK914" i="1"/>
  <c r="DL914" i="1"/>
  <c r="CZ915" i="1"/>
  <c r="DA915" i="1"/>
  <c r="DB915" i="1"/>
  <c r="CM915" i="1"/>
  <c r="DF915" i="1"/>
  <c r="CP915" i="1"/>
  <c r="DG915" i="1"/>
  <c r="CL915" i="1"/>
  <c r="DH915" i="1"/>
  <c r="CI915" i="1"/>
  <c r="DN915" i="1"/>
  <c r="DO915" i="1"/>
  <c r="DI915" i="1"/>
  <c r="DJ915" i="1"/>
  <c r="DK915" i="1"/>
  <c r="DL915" i="1"/>
  <c r="CZ916" i="1"/>
  <c r="DA916" i="1"/>
  <c r="DB916" i="1"/>
  <c r="CM916" i="1"/>
  <c r="DF916" i="1"/>
  <c r="CP916" i="1"/>
  <c r="DG916" i="1"/>
  <c r="CL916" i="1"/>
  <c r="DH916" i="1"/>
  <c r="CI916" i="1"/>
  <c r="DN916" i="1"/>
  <c r="DO916" i="1"/>
  <c r="DI916" i="1"/>
  <c r="DJ916" i="1"/>
  <c r="DK916" i="1"/>
  <c r="DL916" i="1"/>
  <c r="CZ917" i="1"/>
  <c r="DA917" i="1"/>
  <c r="DB917" i="1"/>
  <c r="CM917" i="1"/>
  <c r="DF917" i="1"/>
  <c r="CP917" i="1"/>
  <c r="DG917" i="1"/>
  <c r="CL917" i="1"/>
  <c r="DH917" i="1"/>
  <c r="CI917" i="1"/>
  <c r="DN917" i="1"/>
  <c r="DO917" i="1"/>
  <c r="DI917" i="1"/>
  <c r="DJ917" i="1"/>
  <c r="DK917" i="1"/>
  <c r="DL917" i="1"/>
  <c r="CZ918" i="1"/>
  <c r="DA918" i="1"/>
  <c r="DB918" i="1"/>
  <c r="CM918" i="1"/>
  <c r="DF918" i="1"/>
  <c r="CP918" i="1"/>
  <c r="DG918" i="1"/>
  <c r="CL918" i="1"/>
  <c r="DH918" i="1"/>
  <c r="CI918" i="1"/>
  <c r="DN918" i="1"/>
  <c r="DO918" i="1"/>
  <c r="DI918" i="1"/>
  <c r="DJ918" i="1"/>
  <c r="DK918" i="1"/>
  <c r="DL918" i="1"/>
  <c r="CZ919" i="1"/>
  <c r="DA919" i="1"/>
  <c r="DB919" i="1"/>
  <c r="CM919" i="1"/>
  <c r="DF919" i="1"/>
  <c r="CP919" i="1"/>
  <c r="DG919" i="1"/>
  <c r="CL919" i="1"/>
  <c r="DH919" i="1"/>
  <c r="CI919" i="1"/>
  <c r="DN919" i="1"/>
  <c r="DO919" i="1"/>
  <c r="DI919" i="1"/>
  <c r="DJ919" i="1"/>
  <c r="DK919" i="1"/>
  <c r="DL919" i="1"/>
  <c r="CZ920" i="1"/>
  <c r="DA920" i="1"/>
  <c r="DB920" i="1"/>
  <c r="CM920" i="1"/>
  <c r="DF920" i="1"/>
  <c r="CP920" i="1"/>
  <c r="DG920" i="1"/>
  <c r="CL920" i="1"/>
  <c r="DH920" i="1"/>
  <c r="CI920" i="1"/>
  <c r="DN920" i="1"/>
  <c r="DO920" i="1"/>
  <c r="DI920" i="1"/>
  <c r="DJ920" i="1"/>
  <c r="DK920" i="1"/>
  <c r="DL920" i="1"/>
  <c r="CZ921" i="1"/>
  <c r="DA921" i="1"/>
  <c r="DB921" i="1"/>
  <c r="CM921" i="1"/>
  <c r="DF921" i="1"/>
  <c r="CP921" i="1"/>
  <c r="DG921" i="1"/>
  <c r="CL921" i="1"/>
  <c r="DH921" i="1"/>
  <c r="CI921" i="1"/>
  <c r="DN921" i="1"/>
  <c r="DO921" i="1"/>
  <c r="DI921" i="1"/>
  <c r="DJ921" i="1"/>
  <c r="DK921" i="1"/>
  <c r="DL921" i="1"/>
  <c r="CZ922" i="1"/>
  <c r="DA922" i="1"/>
  <c r="DB922" i="1"/>
  <c r="CM922" i="1"/>
  <c r="DF922" i="1"/>
  <c r="CP922" i="1"/>
  <c r="DG922" i="1"/>
  <c r="CL922" i="1"/>
  <c r="DH922" i="1"/>
  <c r="CI922" i="1"/>
  <c r="DN922" i="1"/>
  <c r="DO922" i="1"/>
  <c r="DI922" i="1"/>
  <c r="DJ922" i="1"/>
  <c r="DK922" i="1"/>
  <c r="DL922" i="1"/>
  <c r="CZ923" i="1"/>
  <c r="DA923" i="1"/>
  <c r="DB923" i="1"/>
  <c r="CM923" i="1"/>
  <c r="DF923" i="1"/>
  <c r="CP923" i="1"/>
  <c r="DG923" i="1"/>
  <c r="CL923" i="1"/>
  <c r="DH923" i="1"/>
  <c r="CI923" i="1"/>
  <c r="DN923" i="1"/>
  <c r="DO923" i="1"/>
  <c r="DI923" i="1"/>
  <c r="DJ923" i="1"/>
  <c r="DK923" i="1"/>
  <c r="DL923" i="1"/>
  <c r="CZ924" i="1"/>
  <c r="DA924" i="1"/>
  <c r="DB924" i="1"/>
  <c r="CM924" i="1"/>
  <c r="DF924" i="1"/>
  <c r="CP924" i="1"/>
  <c r="DG924" i="1"/>
  <c r="CL924" i="1"/>
  <c r="DH924" i="1"/>
  <c r="CI924" i="1"/>
  <c r="DN924" i="1"/>
  <c r="DO924" i="1"/>
  <c r="DI924" i="1"/>
  <c r="DJ924" i="1"/>
  <c r="DK924" i="1"/>
  <c r="DL924" i="1"/>
  <c r="CZ925" i="1"/>
  <c r="DA925" i="1"/>
  <c r="DB925" i="1"/>
  <c r="CM925" i="1"/>
  <c r="DF925" i="1"/>
  <c r="CP925" i="1"/>
  <c r="DG925" i="1"/>
  <c r="CL925" i="1"/>
  <c r="DH925" i="1"/>
  <c r="CI925" i="1"/>
  <c r="DN925" i="1"/>
  <c r="DO925" i="1"/>
  <c r="DI925" i="1"/>
  <c r="DJ925" i="1"/>
  <c r="DK925" i="1"/>
  <c r="DL925" i="1"/>
  <c r="CZ926" i="1"/>
  <c r="DA926" i="1"/>
  <c r="DB926" i="1"/>
  <c r="CM926" i="1"/>
  <c r="DF926" i="1"/>
  <c r="CP926" i="1"/>
  <c r="DG926" i="1"/>
  <c r="CL926" i="1"/>
  <c r="DH926" i="1"/>
  <c r="CI926" i="1"/>
  <c r="DN926" i="1"/>
  <c r="DO926" i="1"/>
  <c r="DI926" i="1"/>
  <c r="DJ926" i="1"/>
  <c r="DK926" i="1"/>
  <c r="DL926" i="1"/>
  <c r="CZ927" i="1"/>
  <c r="DA927" i="1"/>
  <c r="DB927" i="1"/>
  <c r="CM927" i="1"/>
  <c r="DF927" i="1"/>
  <c r="CP927" i="1"/>
  <c r="DG927" i="1"/>
  <c r="CL927" i="1"/>
  <c r="DH927" i="1"/>
  <c r="CI927" i="1"/>
  <c r="DN927" i="1"/>
  <c r="DO927" i="1"/>
  <c r="DI927" i="1"/>
  <c r="DJ927" i="1"/>
  <c r="DK927" i="1"/>
  <c r="DL927" i="1"/>
  <c r="CZ928" i="1"/>
  <c r="DA928" i="1"/>
  <c r="DB928" i="1"/>
  <c r="CM928" i="1"/>
  <c r="DF928" i="1"/>
  <c r="CP928" i="1"/>
  <c r="DG928" i="1"/>
  <c r="CL928" i="1"/>
  <c r="DH928" i="1"/>
  <c r="CI928" i="1"/>
  <c r="DN928" i="1"/>
  <c r="DO928" i="1"/>
  <c r="DI928" i="1"/>
  <c r="DJ928" i="1"/>
  <c r="DK928" i="1"/>
  <c r="DL928" i="1"/>
  <c r="CZ929" i="1"/>
  <c r="DA929" i="1"/>
  <c r="DB929" i="1"/>
  <c r="CM929" i="1"/>
  <c r="DF929" i="1"/>
  <c r="CP929" i="1"/>
  <c r="DG929" i="1"/>
  <c r="CL929" i="1"/>
  <c r="DH929" i="1"/>
  <c r="CI929" i="1"/>
  <c r="DN929" i="1"/>
  <c r="DO929" i="1"/>
  <c r="DI929" i="1"/>
  <c r="DJ929" i="1"/>
  <c r="DK929" i="1"/>
  <c r="DL929" i="1"/>
  <c r="CZ930" i="1"/>
  <c r="DA930" i="1"/>
  <c r="DB930" i="1"/>
  <c r="CM930" i="1"/>
  <c r="DF930" i="1"/>
  <c r="CP930" i="1"/>
  <c r="DG930" i="1"/>
  <c r="CL930" i="1"/>
  <c r="DH930" i="1"/>
  <c r="CI930" i="1"/>
  <c r="DN930" i="1"/>
  <c r="DO930" i="1"/>
  <c r="DI930" i="1"/>
  <c r="DJ930" i="1"/>
  <c r="DK930" i="1"/>
  <c r="DL930" i="1"/>
  <c r="CZ931" i="1"/>
  <c r="DA931" i="1"/>
  <c r="DB931" i="1"/>
  <c r="CM931" i="1"/>
  <c r="DF931" i="1"/>
  <c r="CP931" i="1"/>
  <c r="DG931" i="1"/>
  <c r="CL931" i="1"/>
  <c r="DH931" i="1"/>
  <c r="CI931" i="1"/>
  <c r="DN931" i="1"/>
  <c r="DO931" i="1"/>
  <c r="DI931" i="1"/>
  <c r="DJ931" i="1"/>
  <c r="DK931" i="1"/>
  <c r="DL931" i="1"/>
  <c r="CZ932" i="1"/>
  <c r="DA932" i="1"/>
  <c r="DB932" i="1"/>
  <c r="CM932" i="1"/>
  <c r="DF932" i="1"/>
  <c r="CP932" i="1"/>
  <c r="DG932" i="1"/>
  <c r="CL932" i="1"/>
  <c r="DH932" i="1"/>
  <c r="CI932" i="1"/>
  <c r="DN932" i="1"/>
  <c r="DO932" i="1"/>
  <c r="DI932" i="1"/>
  <c r="DJ932" i="1"/>
  <c r="DK932" i="1"/>
  <c r="DL932" i="1"/>
  <c r="CZ933" i="1"/>
  <c r="DA933" i="1"/>
  <c r="DB933" i="1"/>
  <c r="CM933" i="1"/>
  <c r="DF933" i="1"/>
  <c r="CP933" i="1"/>
  <c r="DG933" i="1"/>
  <c r="CL933" i="1"/>
  <c r="DH933" i="1"/>
  <c r="CI933" i="1"/>
  <c r="DN933" i="1"/>
  <c r="DO933" i="1"/>
  <c r="DI933" i="1"/>
  <c r="DJ933" i="1"/>
  <c r="DK933" i="1"/>
  <c r="DL933" i="1"/>
  <c r="CZ934" i="1"/>
  <c r="DA934" i="1"/>
  <c r="DB934" i="1"/>
  <c r="CM934" i="1"/>
  <c r="DF934" i="1"/>
  <c r="CP934" i="1"/>
  <c r="DG934" i="1"/>
  <c r="CL934" i="1"/>
  <c r="DH934" i="1"/>
  <c r="CI934" i="1"/>
  <c r="DN934" i="1"/>
  <c r="DO934" i="1"/>
  <c r="DI934" i="1"/>
  <c r="DJ934" i="1"/>
  <c r="DK934" i="1"/>
  <c r="DL934" i="1"/>
  <c r="CZ935" i="1"/>
  <c r="DA935" i="1"/>
  <c r="DB935" i="1"/>
  <c r="CM935" i="1"/>
  <c r="DF935" i="1"/>
  <c r="CP935" i="1"/>
  <c r="DG935" i="1"/>
  <c r="CL935" i="1"/>
  <c r="DH935" i="1"/>
  <c r="CI935" i="1"/>
  <c r="DN935" i="1"/>
  <c r="DO935" i="1"/>
  <c r="DI935" i="1"/>
  <c r="DJ935" i="1"/>
  <c r="DK935" i="1"/>
  <c r="DL935" i="1"/>
  <c r="CZ936" i="1"/>
  <c r="DA936" i="1"/>
  <c r="DB936" i="1"/>
  <c r="CM936" i="1"/>
  <c r="DF936" i="1"/>
  <c r="CP936" i="1"/>
  <c r="DG936" i="1"/>
  <c r="CL936" i="1"/>
  <c r="DH936" i="1"/>
  <c r="CI936" i="1"/>
  <c r="DN936" i="1"/>
  <c r="DO936" i="1"/>
  <c r="DI936" i="1"/>
  <c r="DJ936" i="1"/>
  <c r="DK936" i="1"/>
  <c r="DL936" i="1"/>
  <c r="CZ937" i="1"/>
  <c r="DA937" i="1"/>
  <c r="DB937" i="1"/>
  <c r="CM937" i="1"/>
  <c r="DF937" i="1"/>
  <c r="CP937" i="1"/>
  <c r="DG937" i="1"/>
  <c r="CL937" i="1"/>
  <c r="DH937" i="1"/>
  <c r="CI937" i="1"/>
  <c r="DN937" i="1"/>
  <c r="DO937" i="1"/>
  <c r="DI937" i="1"/>
  <c r="DJ937" i="1"/>
  <c r="DK937" i="1"/>
  <c r="DL937" i="1"/>
  <c r="CZ938" i="1"/>
  <c r="DA938" i="1"/>
  <c r="DB938" i="1"/>
  <c r="CM938" i="1"/>
  <c r="DF938" i="1"/>
  <c r="CP938" i="1"/>
  <c r="DG938" i="1"/>
  <c r="CL938" i="1"/>
  <c r="DH938" i="1"/>
  <c r="CI938" i="1"/>
  <c r="DN938" i="1"/>
  <c r="DO938" i="1"/>
  <c r="DI938" i="1"/>
  <c r="DJ938" i="1"/>
  <c r="DK938" i="1"/>
  <c r="DL938" i="1"/>
  <c r="CZ939" i="1"/>
  <c r="DA939" i="1"/>
  <c r="DB939" i="1"/>
  <c r="CM939" i="1"/>
  <c r="DF939" i="1"/>
  <c r="CP939" i="1"/>
  <c r="DG939" i="1"/>
  <c r="CL939" i="1"/>
  <c r="DH939" i="1"/>
  <c r="CI939" i="1"/>
  <c r="DN939" i="1"/>
  <c r="DO939" i="1"/>
  <c r="DI939" i="1"/>
  <c r="DJ939" i="1"/>
  <c r="DK939" i="1"/>
  <c r="DL939" i="1"/>
  <c r="CZ940" i="1"/>
  <c r="DA940" i="1"/>
  <c r="DB940" i="1"/>
  <c r="CM940" i="1"/>
  <c r="DF940" i="1"/>
  <c r="CP940" i="1"/>
  <c r="DG940" i="1"/>
  <c r="CL940" i="1"/>
  <c r="DH940" i="1"/>
  <c r="CI940" i="1"/>
  <c r="DN940" i="1"/>
  <c r="DO940" i="1"/>
  <c r="DI940" i="1"/>
  <c r="DJ940" i="1"/>
  <c r="DK940" i="1"/>
  <c r="DL940" i="1"/>
  <c r="CZ941" i="1"/>
  <c r="DA941" i="1"/>
  <c r="DB941" i="1"/>
  <c r="CM941" i="1"/>
  <c r="DF941" i="1"/>
  <c r="CP941" i="1"/>
  <c r="DG941" i="1"/>
  <c r="CL941" i="1"/>
  <c r="DH941" i="1"/>
  <c r="CI941" i="1"/>
  <c r="DN941" i="1"/>
  <c r="DO941" i="1"/>
  <c r="DI941" i="1"/>
  <c r="DJ941" i="1"/>
  <c r="DK941" i="1"/>
  <c r="DL941" i="1"/>
  <c r="CZ942" i="1"/>
  <c r="DA942" i="1"/>
  <c r="DB942" i="1"/>
  <c r="CM942" i="1"/>
  <c r="DF942" i="1"/>
  <c r="CP942" i="1"/>
  <c r="DG942" i="1"/>
  <c r="CL942" i="1"/>
  <c r="DH942" i="1"/>
  <c r="CI942" i="1"/>
  <c r="DN942" i="1"/>
  <c r="DO942" i="1"/>
  <c r="DI942" i="1"/>
  <c r="DJ942" i="1"/>
  <c r="DK942" i="1"/>
  <c r="DL942" i="1"/>
  <c r="CZ943" i="1"/>
  <c r="DA943" i="1"/>
  <c r="DB943" i="1"/>
  <c r="CM943" i="1"/>
  <c r="DF943" i="1"/>
  <c r="CP943" i="1"/>
  <c r="DG943" i="1"/>
  <c r="CL943" i="1"/>
  <c r="DH943" i="1"/>
  <c r="CI943" i="1"/>
  <c r="DN943" i="1"/>
  <c r="DO943" i="1"/>
  <c r="DI943" i="1"/>
  <c r="DJ943" i="1"/>
  <c r="DK943" i="1"/>
  <c r="DL943" i="1"/>
  <c r="CZ944" i="1"/>
  <c r="DA944" i="1"/>
  <c r="DB944" i="1"/>
  <c r="CM944" i="1"/>
  <c r="DF944" i="1"/>
  <c r="CP944" i="1"/>
  <c r="DG944" i="1"/>
  <c r="CL944" i="1"/>
  <c r="DH944" i="1"/>
  <c r="CI944" i="1"/>
  <c r="DN944" i="1"/>
  <c r="DO944" i="1"/>
  <c r="DI944" i="1"/>
  <c r="DJ944" i="1"/>
  <c r="DK944" i="1"/>
  <c r="DL944" i="1"/>
  <c r="CZ945" i="1"/>
  <c r="DA945" i="1"/>
  <c r="DB945" i="1"/>
  <c r="CM945" i="1"/>
  <c r="DF945" i="1"/>
  <c r="CP945" i="1"/>
  <c r="DG945" i="1"/>
  <c r="CL945" i="1"/>
  <c r="DH945" i="1"/>
  <c r="CI945" i="1"/>
  <c r="DN945" i="1"/>
  <c r="DO945" i="1"/>
  <c r="DI945" i="1"/>
  <c r="DJ945" i="1"/>
  <c r="DK945" i="1"/>
  <c r="DL945" i="1"/>
  <c r="CZ946" i="1"/>
  <c r="DA946" i="1"/>
  <c r="DB946" i="1"/>
  <c r="CM946" i="1"/>
  <c r="DF946" i="1"/>
  <c r="CP946" i="1"/>
  <c r="DG946" i="1"/>
  <c r="CL946" i="1"/>
  <c r="DH946" i="1"/>
  <c r="CI946" i="1"/>
  <c r="DN946" i="1"/>
  <c r="DO946" i="1"/>
  <c r="DI946" i="1"/>
  <c r="DJ946" i="1"/>
  <c r="DK946" i="1"/>
  <c r="DL946" i="1"/>
  <c r="CZ947" i="1"/>
  <c r="DA947" i="1"/>
  <c r="DB947" i="1"/>
  <c r="CM947" i="1"/>
  <c r="DF947" i="1"/>
  <c r="CP947" i="1"/>
  <c r="DG947" i="1"/>
  <c r="CL947" i="1"/>
  <c r="DH947" i="1"/>
  <c r="CI947" i="1"/>
  <c r="DN947" i="1"/>
  <c r="DO947" i="1"/>
  <c r="DI947" i="1"/>
  <c r="DJ947" i="1"/>
  <c r="DK947" i="1"/>
  <c r="DL947" i="1"/>
  <c r="CZ948" i="1"/>
  <c r="DA948" i="1"/>
  <c r="DB948" i="1"/>
  <c r="CM948" i="1"/>
  <c r="DF948" i="1"/>
  <c r="CP948" i="1"/>
  <c r="DG948" i="1"/>
  <c r="CL948" i="1"/>
  <c r="DH948" i="1"/>
  <c r="CI948" i="1"/>
  <c r="DN948" i="1"/>
  <c r="DO948" i="1"/>
  <c r="DI948" i="1"/>
  <c r="DJ948" i="1"/>
  <c r="DK948" i="1"/>
  <c r="DL948" i="1"/>
  <c r="CZ949" i="1"/>
  <c r="DA949" i="1"/>
  <c r="DB949" i="1"/>
  <c r="CM949" i="1"/>
  <c r="DF949" i="1"/>
  <c r="CP949" i="1"/>
  <c r="DG949" i="1"/>
  <c r="CL949" i="1"/>
  <c r="DH949" i="1"/>
  <c r="CI949" i="1"/>
  <c r="DN949" i="1"/>
  <c r="DO949" i="1"/>
  <c r="DI949" i="1"/>
  <c r="DJ949" i="1"/>
  <c r="DK949" i="1"/>
  <c r="DL949" i="1"/>
  <c r="CZ950" i="1"/>
  <c r="DA950" i="1"/>
  <c r="DB950" i="1"/>
  <c r="CM950" i="1"/>
  <c r="DF950" i="1"/>
  <c r="CP950" i="1"/>
  <c r="DG950" i="1"/>
  <c r="CL950" i="1"/>
  <c r="DH950" i="1"/>
  <c r="CI950" i="1"/>
  <c r="DN950" i="1"/>
  <c r="DO950" i="1"/>
  <c r="DI950" i="1"/>
  <c r="DJ950" i="1"/>
  <c r="DK950" i="1"/>
  <c r="DL950" i="1"/>
  <c r="CZ951" i="1"/>
  <c r="DA951" i="1"/>
  <c r="DB951" i="1"/>
  <c r="CM951" i="1"/>
  <c r="DF951" i="1"/>
  <c r="CP951" i="1"/>
  <c r="DG951" i="1"/>
  <c r="CL951" i="1"/>
  <c r="DH951" i="1"/>
  <c r="CI951" i="1"/>
  <c r="DN951" i="1"/>
  <c r="DO951" i="1"/>
  <c r="DI951" i="1"/>
  <c r="DJ951" i="1"/>
  <c r="DK951" i="1"/>
  <c r="DL951" i="1"/>
  <c r="CZ952" i="1"/>
  <c r="DA952" i="1"/>
  <c r="DB952" i="1"/>
  <c r="CM952" i="1"/>
  <c r="DF952" i="1"/>
  <c r="CP952" i="1"/>
  <c r="DG952" i="1"/>
  <c r="CL952" i="1"/>
  <c r="DH952" i="1"/>
  <c r="CI952" i="1"/>
  <c r="DN952" i="1"/>
  <c r="DO952" i="1"/>
  <c r="DI952" i="1"/>
  <c r="DJ952" i="1"/>
  <c r="DK952" i="1"/>
  <c r="DL952" i="1"/>
  <c r="CZ953" i="1"/>
  <c r="DA953" i="1"/>
  <c r="DB953" i="1"/>
  <c r="CM953" i="1"/>
  <c r="DF953" i="1"/>
  <c r="CP953" i="1"/>
  <c r="DG953" i="1"/>
  <c r="CL953" i="1"/>
  <c r="DH953" i="1"/>
  <c r="CI953" i="1"/>
  <c r="DN953" i="1"/>
  <c r="DO953" i="1"/>
  <c r="DI953" i="1"/>
  <c r="DJ953" i="1"/>
  <c r="DK953" i="1"/>
  <c r="DL953" i="1"/>
  <c r="CZ954" i="1"/>
  <c r="DA954" i="1"/>
  <c r="DB954" i="1"/>
  <c r="CM954" i="1"/>
  <c r="DF954" i="1"/>
  <c r="CP954" i="1"/>
  <c r="DG954" i="1"/>
  <c r="CL954" i="1"/>
  <c r="DH954" i="1"/>
  <c r="CI954" i="1"/>
  <c r="DN954" i="1"/>
  <c r="DO954" i="1"/>
  <c r="DI954" i="1"/>
  <c r="DJ954" i="1"/>
  <c r="DK954" i="1"/>
  <c r="DL954" i="1"/>
  <c r="CZ955" i="1"/>
  <c r="DA955" i="1"/>
  <c r="DB955" i="1"/>
  <c r="CM955" i="1"/>
  <c r="DF955" i="1"/>
  <c r="CP955" i="1"/>
  <c r="DG955" i="1"/>
  <c r="CL955" i="1"/>
  <c r="DH955" i="1"/>
  <c r="CI955" i="1"/>
  <c r="DN955" i="1"/>
  <c r="DO955" i="1"/>
  <c r="DI955" i="1"/>
  <c r="DJ955" i="1"/>
  <c r="DK955" i="1"/>
  <c r="DL955" i="1"/>
  <c r="CZ956" i="1"/>
  <c r="DA956" i="1"/>
  <c r="DB956" i="1"/>
  <c r="CM956" i="1"/>
  <c r="DF956" i="1"/>
  <c r="CP956" i="1"/>
  <c r="DG956" i="1"/>
  <c r="CL956" i="1"/>
  <c r="DH956" i="1"/>
  <c r="CI956" i="1"/>
  <c r="DN956" i="1"/>
  <c r="DO956" i="1"/>
  <c r="DI956" i="1"/>
  <c r="DJ956" i="1"/>
  <c r="DK956" i="1"/>
  <c r="DL956" i="1"/>
  <c r="CZ957" i="1"/>
  <c r="DA957" i="1"/>
  <c r="DB957" i="1"/>
  <c r="CM957" i="1"/>
  <c r="DF957" i="1"/>
  <c r="CP957" i="1"/>
  <c r="DG957" i="1"/>
  <c r="CL957" i="1"/>
  <c r="DH957" i="1"/>
  <c r="CI957" i="1"/>
  <c r="DN957" i="1"/>
  <c r="DO957" i="1"/>
  <c r="DI957" i="1"/>
  <c r="DJ957" i="1"/>
  <c r="DK957" i="1"/>
  <c r="DL957" i="1"/>
  <c r="CZ958" i="1"/>
  <c r="DA958" i="1"/>
  <c r="DB958" i="1"/>
  <c r="CM958" i="1"/>
  <c r="DF958" i="1"/>
  <c r="CP958" i="1"/>
  <c r="DG958" i="1"/>
  <c r="CL958" i="1"/>
  <c r="DH958" i="1"/>
  <c r="CI958" i="1"/>
  <c r="DN958" i="1"/>
  <c r="DO958" i="1"/>
  <c r="DI958" i="1"/>
  <c r="DJ958" i="1"/>
  <c r="DK958" i="1"/>
  <c r="DL958" i="1"/>
  <c r="CZ959" i="1"/>
  <c r="DA959" i="1"/>
  <c r="DB959" i="1"/>
  <c r="CM959" i="1"/>
  <c r="DF959" i="1"/>
  <c r="CP959" i="1"/>
  <c r="DG959" i="1"/>
  <c r="CL959" i="1"/>
  <c r="DH959" i="1"/>
  <c r="CI959" i="1"/>
  <c r="DN959" i="1"/>
  <c r="DO959" i="1"/>
  <c r="DI959" i="1"/>
  <c r="DJ959" i="1"/>
  <c r="DK959" i="1"/>
  <c r="DL959" i="1"/>
  <c r="CZ960" i="1"/>
  <c r="DA960" i="1"/>
  <c r="DB960" i="1"/>
  <c r="CM960" i="1"/>
  <c r="DF960" i="1"/>
  <c r="CP960" i="1"/>
  <c r="DG960" i="1"/>
  <c r="CL960" i="1"/>
  <c r="DH960" i="1"/>
  <c r="CI960" i="1"/>
  <c r="DN960" i="1"/>
  <c r="DO960" i="1"/>
  <c r="DI960" i="1"/>
  <c r="DJ960" i="1"/>
  <c r="DK960" i="1"/>
  <c r="DL960" i="1"/>
  <c r="CZ961" i="1"/>
  <c r="DA961" i="1"/>
  <c r="DB961" i="1"/>
  <c r="CM961" i="1"/>
  <c r="DF961" i="1"/>
  <c r="CP961" i="1"/>
  <c r="DG961" i="1"/>
  <c r="CL961" i="1"/>
  <c r="DH961" i="1"/>
  <c r="CI961" i="1"/>
  <c r="DN961" i="1"/>
  <c r="DO961" i="1"/>
  <c r="DI961" i="1"/>
  <c r="DJ961" i="1"/>
  <c r="DK961" i="1"/>
  <c r="DL961" i="1"/>
  <c r="CZ962" i="1"/>
  <c r="DA962" i="1"/>
  <c r="DB962" i="1"/>
  <c r="CM962" i="1"/>
  <c r="DF962" i="1"/>
  <c r="CP962" i="1"/>
  <c r="DG962" i="1"/>
  <c r="CL962" i="1"/>
  <c r="DH962" i="1"/>
  <c r="CI962" i="1"/>
  <c r="DN962" i="1"/>
  <c r="DO962" i="1"/>
  <c r="DI962" i="1"/>
  <c r="DJ962" i="1"/>
  <c r="DK962" i="1"/>
  <c r="DL962" i="1"/>
  <c r="CZ963" i="1"/>
  <c r="DA963" i="1"/>
  <c r="DB963" i="1"/>
  <c r="CM963" i="1"/>
  <c r="DF963" i="1"/>
  <c r="CP963" i="1"/>
  <c r="DG963" i="1"/>
  <c r="CL963" i="1"/>
  <c r="DH963" i="1"/>
  <c r="CI963" i="1"/>
  <c r="DN963" i="1"/>
  <c r="DO963" i="1"/>
  <c r="DI963" i="1"/>
  <c r="DJ963" i="1"/>
  <c r="DK963" i="1"/>
  <c r="DL963" i="1"/>
  <c r="CZ964" i="1"/>
  <c r="DA964" i="1"/>
  <c r="DB964" i="1"/>
  <c r="CM964" i="1"/>
  <c r="DF964" i="1"/>
  <c r="CP964" i="1"/>
  <c r="DG964" i="1"/>
  <c r="CL964" i="1"/>
  <c r="DH964" i="1"/>
  <c r="CI964" i="1"/>
  <c r="DN964" i="1"/>
  <c r="DO964" i="1"/>
  <c r="DI964" i="1"/>
  <c r="DJ964" i="1"/>
  <c r="DK964" i="1"/>
  <c r="DL964" i="1"/>
  <c r="CZ965" i="1"/>
  <c r="DA965" i="1"/>
  <c r="DB965" i="1"/>
  <c r="CM965" i="1"/>
  <c r="DF965" i="1"/>
  <c r="CP965" i="1"/>
  <c r="DG965" i="1"/>
  <c r="CL965" i="1"/>
  <c r="DH965" i="1"/>
  <c r="CI965" i="1"/>
  <c r="DN965" i="1"/>
  <c r="DO965" i="1"/>
  <c r="DI965" i="1"/>
  <c r="DJ965" i="1"/>
  <c r="DK965" i="1"/>
  <c r="DL965" i="1"/>
  <c r="CZ966" i="1"/>
  <c r="DA966" i="1"/>
  <c r="DB966" i="1"/>
  <c r="CM966" i="1"/>
  <c r="DF966" i="1"/>
  <c r="CP966" i="1"/>
  <c r="DG966" i="1"/>
  <c r="CL966" i="1"/>
  <c r="DH966" i="1"/>
  <c r="CI966" i="1"/>
  <c r="DN966" i="1"/>
  <c r="DO966" i="1"/>
  <c r="DI966" i="1"/>
  <c r="DJ966" i="1"/>
  <c r="DK966" i="1"/>
  <c r="DL966" i="1"/>
  <c r="CZ967" i="1"/>
  <c r="DA967" i="1"/>
  <c r="DB967" i="1"/>
  <c r="CM967" i="1"/>
  <c r="DF967" i="1"/>
  <c r="CP967" i="1"/>
  <c r="DG967" i="1"/>
  <c r="CL967" i="1"/>
  <c r="DH967" i="1"/>
  <c r="CI967" i="1"/>
  <c r="DN967" i="1"/>
  <c r="DO967" i="1"/>
  <c r="DI967" i="1"/>
  <c r="DJ967" i="1"/>
  <c r="DK967" i="1"/>
  <c r="DL967" i="1"/>
  <c r="CZ968" i="1"/>
  <c r="DA968" i="1"/>
  <c r="DB968" i="1"/>
  <c r="CM968" i="1"/>
  <c r="DF968" i="1"/>
  <c r="CP968" i="1"/>
  <c r="DG968" i="1"/>
  <c r="CL968" i="1"/>
  <c r="DH968" i="1"/>
  <c r="CI968" i="1"/>
  <c r="DN968" i="1"/>
  <c r="DO968" i="1"/>
  <c r="DI968" i="1"/>
  <c r="DJ968" i="1"/>
  <c r="DK968" i="1"/>
  <c r="DL968" i="1"/>
  <c r="CZ969" i="1"/>
  <c r="DA969" i="1"/>
  <c r="DB969" i="1"/>
  <c r="CM969" i="1"/>
  <c r="DF969" i="1"/>
  <c r="CP969" i="1"/>
  <c r="DG969" i="1"/>
  <c r="CL969" i="1"/>
  <c r="DH969" i="1"/>
  <c r="CI969" i="1"/>
  <c r="DN969" i="1"/>
  <c r="DO969" i="1"/>
  <c r="DI969" i="1"/>
  <c r="DJ969" i="1"/>
  <c r="DK969" i="1"/>
  <c r="DL969" i="1"/>
  <c r="CZ970" i="1"/>
  <c r="DA970" i="1"/>
  <c r="DB970" i="1"/>
  <c r="CM970" i="1"/>
  <c r="DF970" i="1"/>
  <c r="CP970" i="1"/>
  <c r="DG970" i="1"/>
  <c r="CL970" i="1"/>
  <c r="DH970" i="1"/>
  <c r="CI970" i="1"/>
  <c r="DN970" i="1"/>
  <c r="DO970" i="1"/>
  <c r="DI970" i="1"/>
  <c r="DJ970" i="1"/>
  <c r="DK970" i="1"/>
  <c r="DL970" i="1"/>
  <c r="CZ971" i="1"/>
  <c r="DA971" i="1"/>
  <c r="DB971" i="1"/>
  <c r="CM971" i="1"/>
  <c r="DF971" i="1"/>
  <c r="CP971" i="1"/>
  <c r="DG971" i="1"/>
  <c r="CL971" i="1"/>
  <c r="DH971" i="1"/>
  <c r="CI971" i="1"/>
  <c r="DN971" i="1"/>
  <c r="DO971" i="1"/>
  <c r="DI971" i="1"/>
  <c r="DJ971" i="1"/>
  <c r="DK971" i="1"/>
  <c r="DL971" i="1"/>
  <c r="CZ972" i="1"/>
  <c r="DA972" i="1"/>
  <c r="DB972" i="1"/>
  <c r="CM972" i="1"/>
  <c r="DF972" i="1"/>
  <c r="CP972" i="1"/>
  <c r="DG972" i="1"/>
  <c r="CL972" i="1"/>
  <c r="DH972" i="1"/>
  <c r="CI972" i="1"/>
  <c r="DN972" i="1"/>
  <c r="DO972" i="1"/>
  <c r="DI972" i="1"/>
  <c r="DJ972" i="1"/>
  <c r="DK972" i="1"/>
  <c r="DL972" i="1"/>
  <c r="CZ973" i="1"/>
  <c r="DA973" i="1"/>
  <c r="DB973" i="1"/>
  <c r="CM973" i="1"/>
  <c r="DF973" i="1"/>
  <c r="CP973" i="1"/>
  <c r="DG973" i="1"/>
  <c r="CL973" i="1"/>
  <c r="DH973" i="1"/>
  <c r="CI973" i="1"/>
  <c r="DN973" i="1"/>
  <c r="DO973" i="1"/>
  <c r="DI973" i="1"/>
  <c r="DJ973" i="1"/>
  <c r="DK973" i="1"/>
  <c r="DL973" i="1"/>
  <c r="CZ974" i="1"/>
  <c r="DA974" i="1"/>
  <c r="DB974" i="1"/>
  <c r="CM974" i="1"/>
  <c r="DF974" i="1"/>
  <c r="CP974" i="1"/>
  <c r="DG974" i="1"/>
  <c r="CL974" i="1"/>
  <c r="DH974" i="1"/>
  <c r="CI974" i="1"/>
  <c r="DN974" i="1"/>
  <c r="DO974" i="1"/>
  <c r="DI974" i="1"/>
  <c r="DJ974" i="1"/>
  <c r="DK974" i="1"/>
  <c r="DL974" i="1"/>
  <c r="CZ975" i="1"/>
  <c r="DA975" i="1"/>
  <c r="DB975" i="1"/>
  <c r="CM975" i="1"/>
  <c r="DF975" i="1"/>
  <c r="CP975" i="1"/>
  <c r="DG975" i="1"/>
  <c r="CL975" i="1"/>
  <c r="DH975" i="1"/>
  <c r="CI975" i="1"/>
  <c r="DN975" i="1"/>
  <c r="DO975" i="1"/>
  <c r="DI975" i="1"/>
  <c r="DJ975" i="1"/>
  <c r="DK975" i="1"/>
  <c r="DL975" i="1"/>
  <c r="CZ976" i="1"/>
  <c r="DA976" i="1"/>
  <c r="DB976" i="1"/>
  <c r="CM976" i="1"/>
  <c r="DF976" i="1"/>
  <c r="CP976" i="1"/>
  <c r="DG976" i="1"/>
  <c r="CL976" i="1"/>
  <c r="DH976" i="1"/>
  <c r="CI976" i="1"/>
  <c r="DN976" i="1"/>
  <c r="DO976" i="1"/>
  <c r="DI976" i="1"/>
  <c r="DJ976" i="1"/>
  <c r="DK976" i="1"/>
  <c r="DL976" i="1"/>
  <c r="CZ977" i="1"/>
  <c r="DA977" i="1"/>
  <c r="DB977" i="1"/>
  <c r="CM977" i="1"/>
  <c r="DF977" i="1"/>
  <c r="CP977" i="1"/>
  <c r="DG977" i="1"/>
  <c r="CL977" i="1"/>
  <c r="DH977" i="1"/>
  <c r="CI977" i="1"/>
  <c r="DN977" i="1"/>
  <c r="DO977" i="1"/>
  <c r="DI977" i="1"/>
  <c r="DJ977" i="1"/>
  <c r="DK977" i="1"/>
  <c r="DL977" i="1"/>
  <c r="CZ978" i="1"/>
  <c r="DA978" i="1"/>
  <c r="DB978" i="1"/>
  <c r="CM978" i="1"/>
  <c r="DF978" i="1"/>
  <c r="CP978" i="1"/>
  <c r="DG978" i="1"/>
  <c r="CL978" i="1"/>
  <c r="DH978" i="1"/>
  <c r="CI978" i="1"/>
  <c r="DN978" i="1"/>
  <c r="DO978" i="1"/>
  <c r="DI978" i="1"/>
  <c r="DJ978" i="1"/>
  <c r="DK978" i="1"/>
  <c r="DL978" i="1"/>
  <c r="CZ979" i="1"/>
  <c r="DA979" i="1"/>
  <c r="DB979" i="1"/>
  <c r="CM979" i="1"/>
  <c r="DF979" i="1"/>
  <c r="CP979" i="1"/>
  <c r="DG979" i="1"/>
  <c r="CL979" i="1"/>
  <c r="DH979" i="1"/>
  <c r="CI979" i="1"/>
  <c r="DN979" i="1"/>
  <c r="DO979" i="1"/>
  <c r="DI979" i="1"/>
  <c r="DJ979" i="1"/>
  <c r="DK979" i="1"/>
  <c r="DL979" i="1"/>
  <c r="CZ980" i="1"/>
  <c r="DA980" i="1"/>
  <c r="DB980" i="1"/>
  <c r="CM980" i="1"/>
  <c r="DF980" i="1"/>
  <c r="CP980" i="1"/>
  <c r="DG980" i="1"/>
  <c r="CL980" i="1"/>
  <c r="DH980" i="1"/>
  <c r="CI980" i="1"/>
  <c r="DN980" i="1"/>
  <c r="DO980" i="1"/>
  <c r="DI980" i="1"/>
  <c r="DJ980" i="1"/>
  <c r="DK980" i="1"/>
  <c r="DL980" i="1"/>
  <c r="CZ981" i="1"/>
  <c r="DA981" i="1"/>
  <c r="DB981" i="1"/>
  <c r="CM981" i="1"/>
  <c r="DF981" i="1"/>
  <c r="CP981" i="1"/>
  <c r="DG981" i="1"/>
  <c r="CL981" i="1"/>
  <c r="DH981" i="1"/>
  <c r="CI981" i="1"/>
  <c r="DN981" i="1"/>
  <c r="DO981" i="1"/>
  <c r="DI981" i="1"/>
  <c r="DJ981" i="1"/>
  <c r="DK981" i="1"/>
  <c r="DL981" i="1"/>
  <c r="CZ982" i="1"/>
  <c r="DA982" i="1"/>
  <c r="DB982" i="1"/>
  <c r="CM982" i="1"/>
  <c r="DF982" i="1"/>
  <c r="CP982" i="1"/>
  <c r="DG982" i="1"/>
  <c r="CL982" i="1"/>
  <c r="DH982" i="1"/>
  <c r="CI982" i="1"/>
  <c r="DN982" i="1"/>
  <c r="DO982" i="1"/>
  <c r="DI982" i="1"/>
  <c r="DJ982" i="1"/>
  <c r="DK982" i="1"/>
  <c r="DL982" i="1"/>
  <c r="CZ983" i="1"/>
  <c r="DA983" i="1"/>
  <c r="DB983" i="1"/>
  <c r="CM983" i="1"/>
  <c r="DF983" i="1"/>
  <c r="CP983" i="1"/>
  <c r="DG983" i="1"/>
  <c r="CL983" i="1"/>
  <c r="DH983" i="1"/>
  <c r="CI983" i="1"/>
  <c r="DN983" i="1"/>
  <c r="DO983" i="1"/>
  <c r="DI983" i="1"/>
  <c r="DJ983" i="1"/>
  <c r="DK983" i="1"/>
  <c r="DL983" i="1"/>
  <c r="CZ984" i="1"/>
  <c r="DA984" i="1"/>
  <c r="DB984" i="1"/>
  <c r="CM984" i="1"/>
  <c r="DF984" i="1"/>
  <c r="CP984" i="1"/>
  <c r="DG984" i="1"/>
  <c r="CL984" i="1"/>
  <c r="DH984" i="1"/>
  <c r="CI984" i="1"/>
  <c r="DN984" i="1"/>
  <c r="DO984" i="1"/>
  <c r="DI984" i="1"/>
  <c r="DJ984" i="1"/>
  <c r="DK984" i="1"/>
  <c r="DL984" i="1"/>
  <c r="CZ985" i="1"/>
  <c r="DA985" i="1"/>
  <c r="DB985" i="1"/>
  <c r="CM985" i="1"/>
  <c r="DF985" i="1"/>
  <c r="CP985" i="1"/>
  <c r="DG985" i="1"/>
  <c r="CL985" i="1"/>
  <c r="DH985" i="1"/>
  <c r="CI985" i="1"/>
  <c r="DN985" i="1"/>
  <c r="DO985" i="1"/>
  <c r="DI985" i="1"/>
  <c r="DJ985" i="1"/>
  <c r="DK985" i="1"/>
  <c r="DL985" i="1"/>
  <c r="CZ986" i="1"/>
  <c r="DA986" i="1"/>
  <c r="DB986" i="1"/>
  <c r="CM986" i="1"/>
  <c r="DF986" i="1"/>
  <c r="CP986" i="1"/>
  <c r="DG986" i="1"/>
  <c r="CL986" i="1"/>
  <c r="DH986" i="1"/>
  <c r="CI986" i="1"/>
  <c r="DN986" i="1"/>
  <c r="DO986" i="1"/>
  <c r="DI986" i="1"/>
  <c r="DJ986" i="1"/>
  <c r="DK986" i="1"/>
  <c r="DL986" i="1"/>
  <c r="CZ987" i="1"/>
  <c r="DA987" i="1"/>
  <c r="DB987" i="1"/>
  <c r="CM987" i="1"/>
  <c r="DF987" i="1"/>
  <c r="CP987" i="1"/>
  <c r="DG987" i="1"/>
  <c r="CL987" i="1"/>
  <c r="DH987" i="1"/>
  <c r="CI987" i="1"/>
  <c r="DN987" i="1"/>
  <c r="DO987" i="1"/>
  <c r="DI987" i="1"/>
  <c r="DJ987" i="1"/>
  <c r="DK987" i="1"/>
  <c r="DL987" i="1"/>
  <c r="CZ988" i="1"/>
  <c r="DA988" i="1"/>
  <c r="DB988" i="1"/>
  <c r="CM988" i="1"/>
  <c r="DF988" i="1"/>
  <c r="CP988" i="1"/>
  <c r="DG988" i="1"/>
  <c r="CL988" i="1"/>
  <c r="DH988" i="1"/>
  <c r="CI988" i="1"/>
  <c r="DN988" i="1"/>
  <c r="DO988" i="1"/>
  <c r="DI988" i="1"/>
  <c r="DJ988" i="1"/>
  <c r="DK988" i="1"/>
  <c r="DL988" i="1"/>
  <c r="CZ989" i="1"/>
  <c r="DA989" i="1"/>
  <c r="DB989" i="1"/>
  <c r="CM989" i="1"/>
  <c r="DF989" i="1"/>
  <c r="CP989" i="1"/>
  <c r="DG989" i="1"/>
  <c r="CL989" i="1"/>
  <c r="DH989" i="1"/>
  <c r="CI989" i="1"/>
  <c r="DN989" i="1"/>
  <c r="DO989" i="1"/>
  <c r="DI989" i="1"/>
  <c r="DJ989" i="1"/>
  <c r="DK989" i="1"/>
  <c r="DL989" i="1"/>
  <c r="CZ990" i="1"/>
  <c r="DA990" i="1"/>
  <c r="DB990" i="1"/>
  <c r="CM990" i="1"/>
  <c r="DF990" i="1"/>
  <c r="CP990" i="1"/>
  <c r="DG990" i="1"/>
  <c r="CL990" i="1"/>
  <c r="DH990" i="1"/>
  <c r="CI990" i="1"/>
  <c r="DN990" i="1"/>
  <c r="DO990" i="1"/>
  <c r="DI990" i="1"/>
  <c r="DJ990" i="1"/>
  <c r="DK990" i="1"/>
  <c r="DL990" i="1"/>
  <c r="CZ991" i="1"/>
  <c r="DA991" i="1"/>
  <c r="DB991" i="1"/>
  <c r="CM991" i="1"/>
  <c r="DF991" i="1"/>
  <c r="CP991" i="1"/>
  <c r="DG991" i="1"/>
  <c r="CL991" i="1"/>
  <c r="DH991" i="1"/>
  <c r="CI991" i="1"/>
  <c r="DN991" i="1"/>
  <c r="DO991" i="1"/>
  <c r="DI991" i="1"/>
  <c r="DJ991" i="1"/>
  <c r="DK991" i="1"/>
  <c r="DL991" i="1"/>
  <c r="CZ992" i="1"/>
  <c r="DA992" i="1"/>
  <c r="DB992" i="1"/>
  <c r="CM992" i="1"/>
  <c r="DF992" i="1"/>
  <c r="CP992" i="1"/>
  <c r="DG992" i="1"/>
  <c r="CL992" i="1"/>
  <c r="DH992" i="1"/>
  <c r="CI992" i="1"/>
  <c r="DN992" i="1"/>
  <c r="DO992" i="1"/>
  <c r="DI992" i="1"/>
  <c r="DJ992" i="1"/>
  <c r="DK992" i="1"/>
  <c r="DL992" i="1"/>
  <c r="CZ993" i="1"/>
  <c r="DA993" i="1"/>
  <c r="DB993" i="1"/>
  <c r="CM993" i="1"/>
  <c r="DF993" i="1"/>
  <c r="CP993" i="1"/>
  <c r="DG993" i="1"/>
  <c r="CL993" i="1"/>
  <c r="DH993" i="1"/>
  <c r="CI993" i="1"/>
  <c r="DN993" i="1"/>
  <c r="DO993" i="1"/>
  <c r="DI993" i="1"/>
  <c r="DJ993" i="1"/>
  <c r="DK993" i="1"/>
  <c r="DL993" i="1"/>
  <c r="CZ994" i="1"/>
  <c r="DA994" i="1"/>
  <c r="DB994" i="1"/>
  <c r="CM994" i="1"/>
  <c r="DF994" i="1"/>
  <c r="CP994" i="1"/>
  <c r="DG994" i="1"/>
  <c r="CL994" i="1"/>
  <c r="DH994" i="1"/>
  <c r="CI994" i="1"/>
  <c r="DN994" i="1"/>
  <c r="DO994" i="1"/>
  <c r="DI994" i="1"/>
  <c r="DJ994" i="1"/>
  <c r="DK994" i="1"/>
  <c r="DL994" i="1"/>
  <c r="CZ995" i="1"/>
  <c r="DA995" i="1"/>
  <c r="DB995" i="1"/>
  <c r="CM995" i="1"/>
  <c r="DF995" i="1"/>
  <c r="CP995" i="1"/>
  <c r="DG995" i="1"/>
  <c r="CL995" i="1"/>
  <c r="DH995" i="1"/>
  <c r="CI995" i="1"/>
  <c r="DN995" i="1"/>
  <c r="DO995" i="1"/>
  <c r="DI995" i="1"/>
  <c r="DJ995" i="1"/>
  <c r="DK995" i="1"/>
  <c r="DL995" i="1"/>
  <c r="CZ996" i="1"/>
  <c r="DA996" i="1"/>
  <c r="DB996" i="1"/>
  <c r="CM996" i="1"/>
  <c r="DF996" i="1"/>
  <c r="CP996" i="1"/>
  <c r="DG996" i="1"/>
  <c r="CL996" i="1"/>
  <c r="DH996" i="1"/>
  <c r="CI996" i="1"/>
  <c r="DN996" i="1"/>
  <c r="DO996" i="1"/>
  <c r="DI996" i="1"/>
  <c r="DJ996" i="1"/>
  <c r="DK996" i="1"/>
  <c r="DL996" i="1"/>
  <c r="CZ997" i="1"/>
  <c r="DA997" i="1"/>
  <c r="DB997" i="1"/>
  <c r="CM997" i="1"/>
  <c r="DF997" i="1"/>
  <c r="CP997" i="1"/>
  <c r="DG997" i="1"/>
  <c r="CL997" i="1"/>
  <c r="DH997" i="1"/>
  <c r="CI997" i="1"/>
  <c r="DN997" i="1"/>
  <c r="DO997" i="1"/>
  <c r="DI997" i="1"/>
  <c r="DJ997" i="1"/>
  <c r="DK997" i="1"/>
  <c r="DL997" i="1"/>
  <c r="CZ998" i="1"/>
  <c r="DA998" i="1"/>
  <c r="DB998" i="1"/>
  <c r="CM998" i="1"/>
  <c r="DF998" i="1"/>
  <c r="CP998" i="1"/>
  <c r="DG998" i="1"/>
  <c r="CL998" i="1"/>
  <c r="DH998" i="1"/>
  <c r="CI998" i="1"/>
  <c r="DN998" i="1"/>
  <c r="DO998" i="1"/>
  <c r="DI998" i="1"/>
  <c r="DJ998" i="1"/>
  <c r="DK998" i="1"/>
  <c r="DL998" i="1"/>
  <c r="CZ999" i="1"/>
  <c r="DA999" i="1"/>
  <c r="DB999" i="1"/>
  <c r="CM999" i="1"/>
  <c r="DF999" i="1"/>
  <c r="CP999" i="1"/>
  <c r="DG999" i="1"/>
  <c r="CL999" i="1"/>
  <c r="DH999" i="1"/>
  <c r="CI999" i="1"/>
  <c r="DN999" i="1"/>
  <c r="DO999" i="1"/>
  <c r="DI999" i="1"/>
  <c r="DJ999" i="1"/>
  <c r="DK999" i="1"/>
  <c r="DL999" i="1"/>
  <c r="CZ1000" i="1"/>
  <c r="DA1000" i="1"/>
  <c r="DB1000" i="1"/>
  <c r="CM1000" i="1"/>
  <c r="DF1000" i="1"/>
  <c r="CP1000" i="1"/>
  <c r="DG1000" i="1"/>
  <c r="CL1000" i="1"/>
  <c r="DH1000" i="1"/>
  <c r="CI1000" i="1"/>
  <c r="DN1000" i="1"/>
  <c r="DO1000" i="1"/>
  <c r="DI1000" i="1"/>
  <c r="DJ1000" i="1"/>
  <c r="DK1000" i="1"/>
  <c r="DL1000" i="1"/>
  <c r="CZ1001" i="1"/>
  <c r="DA1001" i="1"/>
  <c r="DB1001" i="1"/>
  <c r="CM1001" i="1"/>
  <c r="DF1001" i="1"/>
  <c r="CP1001" i="1"/>
  <c r="DG1001" i="1"/>
  <c r="CL1001" i="1"/>
  <c r="DH1001" i="1"/>
  <c r="CI1001" i="1"/>
  <c r="DN1001" i="1"/>
  <c r="DO1001" i="1"/>
  <c r="DI1001" i="1"/>
  <c r="DJ1001" i="1"/>
  <c r="DK1001" i="1"/>
  <c r="DL1001" i="1"/>
  <c r="CZ1002" i="1"/>
  <c r="DA1002" i="1"/>
  <c r="DB1002" i="1"/>
  <c r="CM1002" i="1"/>
  <c r="DF1002" i="1"/>
  <c r="CP1002" i="1"/>
  <c r="DG1002" i="1"/>
  <c r="CL1002" i="1"/>
  <c r="DH1002" i="1"/>
  <c r="CI1002" i="1"/>
  <c r="DN1002" i="1"/>
  <c r="DO1002" i="1"/>
  <c r="DI1002" i="1"/>
  <c r="DJ1002" i="1"/>
  <c r="DK1002" i="1"/>
  <c r="DL1002" i="1"/>
  <c r="CZ1003" i="1"/>
  <c r="DA1003" i="1"/>
  <c r="DB1003" i="1"/>
  <c r="CM1003" i="1"/>
  <c r="DF1003" i="1"/>
  <c r="CP1003" i="1"/>
  <c r="DG1003" i="1"/>
  <c r="CL1003" i="1"/>
  <c r="DH1003" i="1"/>
  <c r="CI1003" i="1"/>
  <c r="DN1003" i="1"/>
  <c r="DO1003" i="1"/>
  <c r="DI1003" i="1"/>
  <c r="DJ1003" i="1"/>
  <c r="DK1003" i="1"/>
  <c r="DL1003" i="1"/>
  <c r="CZ1004" i="1"/>
  <c r="DA1004" i="1"/>
  <c r="DB1004" i="1"/>
  <c r="CM1004" i="1"/>
  <c r="DF1004" i="1"/>
  <c r="CP1004" i="1"/>
  <c r="DG1004" i="1"/>
  <c r="CL1004" i="1"/>
  <c r="DH1004" i="1"/>
  <c r="CI1004" i="1"/>
  <c r="DN1004" i="1"/>
  <c r="DO1004" i="1"/>
  <c r="DI1004" i="1"/>
  <c r="DJ1004" i="1"/>
  <c r="DK1004" i="1"/>
  <c r="DL1004" i="1"/>
  <c r="CZ1005" i="1"/>
  <c r="DA1005" i="1"/>
  <c r="DB1005" i="1"/>
  <c r="CM1005" i="1"/>
  <c r="DF1005" i="1"/>
  <c r="CP1005" i="1"/>
  <c r="DG1005" i="1"/>
  <c r="CL1005" i="1"/>
  <c r="DH1005" i="1"/>
  <c r="CI1005" i="1"/>
  <c r="DN1005" i="1"/>
  <c r="DO1005" i="1"/>
  <c r="DI1005" i="1"/>
  <c r="DJ1005" i="1"/>
  <c r="DK1005" i="1"/>
  <c r="DL1005" i="1"/>
  <c r="CZ1006" i="1"/>
  <c r="DA1006" i="1"/>
  <c r="DB1006" i="1"/>
  <c r="CM1006" i="1"/>
  <c r="DF1006" i="1"/>
  <c r="CP1006" i="1"/>
  <c r="DG1006" i="1"/>
  <c r="CL1006" i="1"/>
  <c r="DH1006" i="1"/>
  <c r="CI1006" i="1"/>
  <c r="DN1006" i="1"/>
  <c r="DO1006" i="1"/>
  <c r="DI1006" i="1"/>
  <c r="DJ1006" i="1"/>
  <c r="DK1006" i="1"/>
  <c r="DL1006" i="1"/>
  <c r="CZ1007" i="1"/>
  <c r="DA1007" i="1"/>
  <c r="DB1007" i="1"/>
  <c r="CM1007" i="1"/>
  <c r="DF1007" i="1"/>
  <c r="CP1007" i="1"/>
  <c r="DG1007" i="1"/>
  <c r="CL1007" i="1"/>
  <c r="DH1007" i="1"/>
  <c r="CI1007" i="1"/>
  <c r="DN1007" i="1"/>
  <c r="DO1007" i="1"/>
  <c r="DI1007" i="1"/>
  <c r="DJ1007" i="1"/>
  <c r="DK1007" i="1"/>
  <c r="DL1007" i="1"/>
  <c r="CZ1008" i="1"/>
  <c r="DA1008" i="1"/>
  <c r="DB1008" i="1"/>
  <c r="CM1008" i="1"/>
  <c r="DF1008" i="1"/>
  <c r="CP1008" i="1"/>
  <c r="DG1008" i="1"/>
  <c r="CL1008" i="1"/>
  <c r="DH1008" i="1"/>
  <c r="CI1008" i="1"/>
  <c r="DN1008" i="1"/>
  <c r="DO1008" i="1"/>
  <c r="DI1008" i="1"/>
  <c r="DJ1008" i="1"/>
  <c r="DK1008" i="1"/>
  <c r="DL1008" i="1"/>
  <c r="CZ1009" i="1"/>
  <c r="DA1009" i="1"/>
  <c r="DB1009" i="1"/>
  <c r="CM1009" i="1"/>
  <c r="DF1009" i="1"/>
  <c r="CP1009" i="1"/>
  <c r="DG1009" i="1"/>
  <c r="CL1009" i="1"/>
  <c r="DH1009" i="1"/>
  <c r="CI1009" i="1"/>
  <c r="DN1009" i="1"/>
  <c r="DO1009" i="1"/>
  <c r="DI1009" i="1"/>
  <c r="DJ1009" i="1"/>
  <c r="DK1009" i="1"/>
  <c r="DL1009" i="1"/>
  <c r="CZ1010" i="1"/>
  <c r="DA1010" i="1"/>
  <c r="DB1010" i="1"/>
  <c r="CM1010" i="1"/>
  <c r="DF1010" i="1"/>
  <c r="CP1010" i="1"/>
  <c r="DG1010" i="1"/>
  <c r="CL1010" i="1"/>
  <c r="DH1010" i="1"/>
  <c r="CI1010" i="1"/>
  <c r="DN1010" i="1"/>
  <c r="DO1010" i="1"/>
  <c r="DI1010" i="1"/>
  <c r="DJ1010" i="1"/>
  <c r="DK1010" i="1"/>
  <c r="DL1010" i="1"/>
  <c r="CZ1011" i="1"/>
  <c r="DA1011" i="1"/>
  <c r="DB1011" i="1"/>
  <c r="CM1011" i="1"/>
  <c r="DF1011" i="1"/>
  <c r="CP1011" i="1"/>
  <c r="DG1011" i="1"/>
  <c r="CL1011" i="1"/>
  <c r="DH1011" i="1"/>
  <c r="CI1011" i="1"/>
  <c r="DN1011" i="1"/>
  <c r="DO1011" i="1"/>
  <c r="DI1011" i="1"/>
  <c r="DJ1011" i="1"/>
  <c r="DK1011" i="1"/>
  <c r="DL1011" i="1"/>
  <c r="CZ1012" i="1"/>
  <c r="DA1012" i="1"/>
  <c r="DB1012" i="1"/>
  <c r="CM1012" i="1"/>
  <c r="DF1012" i="1"/>
  <c r="CP1012" i="1"/>
  <c r="DG1012" i="1"/>
  <c r="CL1012" i="1"/>
  <c r="DH1012" i="1"/>
  <c r="CI1012" i="1"/>
  <c r="DN1012" i="1"/>
  <c r="DO1012" i="1"/>
  <c r="DI1012" i="1"/>
  <c r="DJ1012" i="1"/>
  <c r="DK1012" i="1"/>
  <c r="DL1012" i="1"/>
  <c r="CZ1013" i="1"/>
  <c r="DA1013" i="1"/>
  <c r="DB1013" i="1"/>
  <c r="CM1013" i="1"/>
  <c r="DF1013" i="1"/>
  <c r="CP1013" i="1"/>
  <c r="DG1013" i="1"/>
  <c r="CL1013" i="1"/>
  <c r="DH1013" i="1"/>
  <c r="CI1013" i="1"/>
  <c r="DN1013" i="1"/>
  <c r="DO1013" i="1"/>
  <c r="DI1013" i="1"/>
  <c r="DJ1013" i="1"/>
  <c r="DK1013" i="1"/>
  <c r="DL1013" i="1"/>
  <c r="CZ1014" i="1"/>
  <c r="DA1014" i="1"/>
  <c r="DB1014" i="1"/>
  <c r="CM1014" i="1"/>
  <c r="DF1014" i="1"/>
  <c r="CP1014" i="1"/>
  <c r="DG1014" i="1"/>
  <c r="CL1014" i="1"/>
  <c r="DH1014" i="1"/>
  <c r="CI1014" i="1"/>
  <c r="DN1014" i="1"/>
  <c r="DO1014" i="1"/>
  <c r="DI1014" i="1"/>
  <c r="DJ1014" i="1"/>
  <c r="DK1014" i="1"/>
  <c r="DL1014" i="1"/>
  <c r="CZ1015" i="1"/>
  <c r="DA1015" i="1"/>
  <c r="DB1015" i="1"/>
  <c r="CM1015" i="1"/>
  <c r="DF1015" i="1"/>
  <c r="CP1015" i="1"/>
  <c r="DG1015" i="1"/>
  <c r="CL1015" i="1"/>
  <c r="DH1015" i="1"/>
  <c r="CI1015" i="1"/>
  <c r="DN1015" i="1"/>
  <c r="DO1015" i="1"/>
  <c r="DI1015" i="1"/>
  <c r="DJ1015" i="1"/>
  <c r="DK1015" i="1"/>
  <c r="DL1015" i="1"/>
  <c r="CZ1016" i="1"/>
  <c r="DA1016" i="1"/>
  <c r="DB1016" i="1"/>
  <c r="CM1016" i="1"/>
  <c r="DF1016" i="1"/>
  <c r="CP1016" i="1"/>
  <c r="DG1016" i="1"/>
  <c r="CL1016" i="1"/>
  <c r="DH1016" i="1"/>
  <c r="CI1016" i="1"/>
  <c r="DN1016" i="1"/>
  <c r="DO1016" i="1"/>
  <c r="DI1016" i="1"/>
  <c r="DJ1016" i="1"/>
  <c r="DK1016" i="1"/>
  <c r="DL1016" i="1"/>
  <c r="CZ1017" i="1"/>
  <c r="DA1017" i="1"/>
  <c r="DB1017" i="1"/>
  <c r="CM1017" i="1"/>
  <c r="DF1017" i="1"/>
  <c r="CP1017" i="1"/>
  <c r="DG1017" i="1"/>
  <c r="CL1017" i="1"/>
  <c r="DH1017" i="1"/>
  <c r="CI1017" i="1"/>
  <c r="DN1017" i="1"/>
  <c r="DO1017" i="1"/>
  <c r="DI1017" i="1"/>
  <c r="DJ1017" i="1"/>
  <c r="DK1017" i="1"/>
  <c r="DL1017" i="1"/>
  <c r="CZ1018" i="1"/>
  <c r="DA1018" i="1"/>
  <c r="DB1018" i="1"/>
  <c r="CM1018" i="1"/>
  <c r="DF1018" i="1"/>
  <c r="CP1018" i="1"/>
  <c r="DG1018" i="1"/>
  <c r="CL1018" i="1"/>
  <c r="DH1018" i="1"/>
  <c r="CI1018" i="1"/>
  <c r="DN1018" i="1"/>
  <c r="DO1018" i="1"/>
  <c r="DI1018" i="1"/>
  <c r="DJ1018" i="1"/>
  <c r="DK1018" i="1"/>
  <c r="DL1018" i="1"/>
  <c r="CZ1019" i="1"/>
  <c r="DA1019" i="1"/>
  <c r="DB1019" i="1"/>
  <c r="CM1019" i="1"/>
  <c r="DF1019" i="1"/>
  <c r="CP1019" i="1"/>
  <c r="DG1019" i="1"/>
  <c r="CL1019" i="1"/>
  <c r="DH1019" i="1"/>
  <c r="CI1019" i="1"/>
  <c r="DN1019" i="1"/>
  <c r="DO1019" i="1"/>
  <c r="DI1019" i="1"/>
  <c r="DJ1019" i="1"/>
  <c r="DK1019" i="1"/>
  <c r="DL1019" i="1"/>
  <c r="CZ1020" i="1"/>
  <c r="DA1020" i="1"/>
  <c r="DB1020" i="1"/>
  <c r="CM1020" i="1"/>
  <c r="DF1020" i="1"/>
  <c r="CP1020" i="1"/>
  <c r="DG1020" i="1"/>
  <c r="CL1020" i="1"/>
  <c r="DH1020" i="1"/>
  <c r="CI1020" i="1"/>
  <c r="DN1020" i="1"/>
  <c r="DO1020" i="1"/>
  <c r="DI1020" i="1"/>
  <c r="DJ1020" i="1"/>
  <c r="DK1020" i="1"/>
  <c r="DL1020" i="1"/>
  <c r="CZ1021" i="1"/>
  <c r="DA1021" i="1"/>
  <c r="DB1021" i="1"/>
  <c r="CM1021" i="1"/>
  <c r="DF1021" i="1"/>
  <c r="CP1021" i="1"/>
  <c r="DG1021" i="1"/>
  <c r="CL1021" i="1"/>
  <c r="DH1021" i="1"/>
  <c r="CI1021" i="1"/>
  <c r="DN1021" i="1"/>
  <c r="DO1021" i="1"/>
  <c r="DI1021" i="1"/>
  <c r="DJ1021" i="1"/>
  <c r="DK1021" i="1"/>
  <c r="DL1021" i="1"/>
  <c r="CZ1022" i="1"/>
  <c r="DA1022" i="1"/>
  <c r="DB1022" i="1"/>
  <c r="CM1022" i="1"/>
  <c r="DF1022" i="1"/>
  <c r="CP1022" i="1"/>
  <c r="DG1022" i="1"/>
  <c r="CL1022" i="1"/>
  <c r="DH1022" i="1"/>
  <c r="CI1022" i="1"/>
  <c r="DN1022" i="1"/>
  <c r="DO1022" i="1"/>
  <c r="DI1022" i="1"/>
  <c r="DJ1022" i="1"/>
  <c r="DK1022" i="1"/>
  <c r="DL1022" i="1"/>
  <c r="CZ1023" i="1"/>
  <c r="DA1023" i="1"/>
  <c r="DB1023" i="1"/>
  <c r="CM1023" i="1"/>
  <c r="DF1023" i="1"/>
  <c r="CP1023" i="1"/>
  <c r="DG1023" i="1"/>
  <c r="CL1023" i="1"/>
  <c r="DH1023" i="1"/>
  <c r="CI1023" i="1"/>
  <c r="DN1023" i="1"/>
  <c r="DO1023" i="1"/>
  <c r="DI1023" i="1"/>
  <c r="DJ1023" i="1"/>
  <c r="DK1023" i="1"/>
  <c r="DL1023" i="1"/>
  <c r="CZ1024" i="1"/>
  <c r="DA1024" i="1"/>
  <c r="DB1024" i="1"/>
  <c r="CM1024" i="1"/>
  <c r="DF1024" i="1"/>
  <c r="CP1024" i="1"/>
  <c r="DG1024" i="1"/>
  <c r="CL1024" i="1"/>
  <c r="DH1024" i="1"/>
  <c r="CI1024" i="1"/>
  <c r="DN1024" i="1"/>
  <c r="DO1024" i="1"/>
  <c r="DI1024" i="1"/>
  <c r="DJ1024" i="1"/>
  <c r="DK1024" i="1"/>
  <c r="DL1024" i="1"/>
  <c r="CZ1025" i="1"/>
  <c r="DA1025" i="1"/>
  <c r="DB1025" i="1"/>
  <c r="CM1025" i="1"/>
  <c r="DF1025" i="1"/>
  <c r="CP1025" i="1"/>
  <c r="DG1025" i="1"/>
  <c r="CL1025" i="1"/>
  <c r="DH1025" i="1"/>
  <c r="CI1025" i="1"/>
  <c r="DN1025" i="1"/>
  <c r="DO1025" i="1"/>
  <c r="DI1025" i="1"/>
  <c r="DJ1025" i="1"/>
  <c r="DK1025" i="1"/>
  <c r="DL1025" i="1"/>
  <c r="CZ1026" i="1"/>
  <c r="DA1026" i="1"/>
  <c r="DB1026" i="1"/>
  <c r="CM1026" i="1"/>
  <c r="DF1026" i="1"/>
  <c r="CP1026" i="1"/>
  <c r="DG1026" i="1"/>
  <c r="CL1026" i="1"/>
  <c r="DH1026" i="1"/>
  <c r="CI1026" i="1"/>
  <c r="DN1026" i="1"/>
  <c r="DO1026" i="1"/>
  <c r="DI1026" i="1"/>
  <c r="DJ1026" i="1"/>
  <c r="DK1026" i="1"/>
  <c r="DL1026" i="1"/>
  <c r="CZ1027" i="1"/>
  <c r="DA1027" i="1"/>
  <c r="DB1027" i="1"/>
  <c r="CM1027" i="1"/>
  <c r="DF1027" i="1"/>
  <c r="CP1027" i="1"/>
  <c r="DG1027" i="1"/>
  <c r="CL1027" i="1"/>
  <c r="DH1027" i="1"/>
  <c r="CI1027" i="1"/>
  <c r="DN1027" i="1"/>
  <c r="DO1027" i="1"/>
  <c r="DI1027" i="1"/>
  <c r="DJ1027" i="1"/>
  <c r="DK1027" i="1"/>
  <c r="DL1027" i="1"/>
  <c r="CZ1028" i="1"/>
  <c r="DA1028" i="1"/>
  <c r="DB1028" i="1"/>
  <c r="CM1028" i="1"/>
  <c r="DF1028" i="1"/>
  <c r="CP1028" i="1"/>
  <c r="DG1028" i="1"/>
  <c r="CL1028" i="1"/>
  <c r="DH1028" i="1"/>
  <c r="CI1028" i="1"/>
  <c r="DN1028" i="1"/>
  <c r="DO1028" i="1"/>
  <c r="DI1028" i="1"/>
  <c r="DJ1028" i="1"/>
  <c r="DK1028" i="1"/>
  <c r="DL1028" i="1"/>
  <c r="CZ1029" i="1"/>
  <c r="DA1029" i="1"/>
  <c r="DB1029" i="1"/>
  <c r="CM1029" i="1"/>
  <c r="DF1029" i="1"/>
  <c r="CP1029" i="1"/>
  <c r="DG1029" i="1"/>
  <c r="CL1029" i="1"/>
  <c r="DH1029" i="1"/>
  <c r="CI1029" i="1"/>
  <c r="DN1029" i="1"/>
  <c r="DO1029" i="1"/>
  <c r="DI1029" i="1"/>
  <c r="DJ1029" i="1"/>
  <c r="DK1029" i="1"/>
  <c r="DL1029" i="1"/>
  <c r="CZ1030" i="1"/>
  <c r="DA1030" i="1"/>
  <c r="DB1030" i="1"/>
  <c r="CM1030" i="1"/>
  <c r="DF1030" i="1"/>
  <c r="CP1030" i="1"/>
  <c r="DG1030" i="1"/>
  <c r="CL1030" i="1"/>
  <c r="DH1030" i="1"/>
  <c r="CI1030" i="1"/>
  <c r="DN1030" i="1"/>
  <c r="DO1030" i="1"/>
  <c r="DI1030" i="1"/>
  <c r="DJ1030" i="1"/>
  <c r="DK1030" i="1"/>
  <c r="DL1030" i="1"/>
  <c r="CZ1031" i="1"/>
  <c r="DA1031" i="1"/>
  <c r="DB1031" i="1"/>
  <c r="CM1031" i="1"/>
  <c r="DF1031" i="1"/>
  <c r="CP1031" i="1"/>
  <c r="DG1031" i="1"/>
  <c r="CL1031" i="1"/>
  <c r="DH1031" i="1"/>
  <c r="CI1031" i="1"/>
  <c r="DN1031" i="1"/>
  <c r="DO1031" i="1"/>
  <c r="DI1031" i="1"/>
  <c r="DJ1031" i="1"/>
  <c r="DK1031" i="1"/>
  <c r="DL1031" i="1"/>
  <c r="CZ1032" i="1"/>
  <c r="DA1032" i="1"/>
  <c r="DB1032" i="1"/>
  <c r="CM1032" i="1"/>
  <c r="DF1032" i="1"/>
  <c r="CP1032" i="1"/>
  <c r="DG1032" i="1"/>
  <c r="CL1032" i="1"/>
  <c r="DH1032" i="1"/>
  <c r="CI1032" i="1"/>
  <c r="DN1032" i="1"/>
  <c r="DO1032" i="1"/>
  <c r="DI1032" i="1"/>
  <c r="DJ1032" i="1"/>
  <c r="DK1032" i="1"/>
  <c r="DL1032" i="1"/>
  <c r="CZ1033" i="1"/>
  <c r="DA1033" i="1"/>
  <c r="DB1033" i="1"/>
  <c r="CM1033" i="1"/>
  <c r="DF1033" i="1"/>
  <c r="CP1033" i="1"/>
  <c r="DG1033" i="1"/>
  <c r="CL1033" i="1"/>
  <c r="DH1033" i="1"/>
  <c r="CI1033" i="1"/>
  <c r="DN1033" i="1"/>
  <c r="DO1033" i="1"/>
  <c r="DI1033" i="1"/>
  <c r="DJ1033" i="1"/>
  <c r="DK1033" i="1"/>
  <c r="DL1033" i="1"/>
  <c r="CZ1034" i="1"/>
  <c r="DA1034" i="1"/>
  <c r="DB1034" i="1"/>
  <c r="CM1034" i="1"/>
  <c r="DF1034" i="1"/>
  <c r="CP1034" i="1"/>
  <c r="DG1034" i="1"/>
  <c r="CL1034" i="1"/>
  <c r="DH1034" i="1"/>
  <c r="CI1034" i="1"/>
  <c r="DN1034" i="1"/>
  <c r="DO1034" i="1"/>
  <c r="DI1034" i="1"/>
  <c r="DJ1034" i="1"/>
  <c r="DK1034" i="1"/>
  <c r="DL1034" i="1"/>
  <c r="CZ1035" i="1"/>
  <c r="DA1035" i="1"/>
  <c r="DB1035" i="1"/>
  <c r="CM1035" i="1"/>
  <c r="DF1035" i="1"/>
  <c r="CP1035" i="1"/>
  <c r="DG1035" i="1"/>
  <c r="CL1035" i="1"/>
  <c r="DH1035" i="1"/>
  <c r="CI1035" i="1"/>
  <c r="DN1035" i="1"/>
  <c r="DO1035" i="1"/>
  <c r="DI1035" i="1"/>
  <c r="DJ1035" i="1"/>
  <c r="DK1035" i="1"/>
  <c r="DL1035" i="1"/>
  <c r="CZ1036" i="1"/>
  <c r="DA1036" i="1"/>
  <c r="DB1036" i="1"/>
  <c r="CM1036" i="1"/>
  <c r="DF1036" i="1"/>
  <c r="CP1036" i="1"/>
  <c r="DG1036" i="1"/>
  <c r="CL1036" i="1"/>
  <c r="DH1036" i="1"/>
  <c r="CI1036" i="1"/>
  <c r="DN1036" i="1"/>
  <c r="DO1036" i="1"/>
  <c r="DI1036" i="1"/>
  <c r="DJ1036" i="1"/>
  <c r="DK1036" i="1"/>
  <c r="DL1036" i="1"/>
  <c r="CZ1037" i="1"/>
  <c r="DA1037" i="1"/>
  <c r="DB1037" i="1"/>
  <c r="CM1037" i="1"/>
  <c r="DF1037" i="1"/>
  <c r="CP1037" i="1"/>
  <c r="DG1037" i="1"/>
  <c r="CL1037" i="1"/>
  <c r="DH1037" i="1"/>
  <c r="CI1037" i="1"/>
  <c r="DN1037" i="1"/>
  <c r="DO1037" i="1"/>
  <c r="DI1037" i="1"/>
  <c r="DJ1037" i="1"/>
  <c r="DK1037" i="1"/>
  <c r="DL1037" i="1"/>
  <c r="CZ1038" i="1"/>
  <c r="DA1038" i="1"/>
  <c r="DB1038" i="1"/>
  <c r="CM1038" i="1"/>
  <c r="DF1038" i="1"/>
  <c r="CP1038" i="1"/>
  <c r="DG1038" i="1"/>
  <c r="CL1038" i="1"/>
  <c r="DH1038" i="1"/>
  <c r="CI1038" i="1"/>
  <c r="DN1038" i="1"/>
  <c r="DO1038" i="1"/>
  <c r="DI1038" i="1"/>
  <c r="DJ1038" i="1"/>
  <c r="DK1038" i="1"/>
  <c r="DL1038" i="1"/>
  <c r="CZ1039" i="1"/>
  <c r="DA1039" i="1"/>
  <c r="DB1039" i="1"/>
  <c r="CM1039" i="1"/>
  <c r="DF1039" i="1"/>
  <c r="CP1039" i="1"/>
  <c r="DG1039" i="1"/>
  <c r="CL1039" i="1"/>
  <c r="DH1039" i="1"/>
  <c r="CI1039" i="1"/>
  <c r="DN1039" i="1"/>
  <c r="DO1039" i="1"/>
  <c r="DI1039" i="1"/>
  <c r="DJ1039" i="1"/>
  <c r="DK1039" i="1"/>
  <c r="DL1039" i="1"/>
  <c r="CZ1040" i="1"/>
  <c r="DA1040" i="1"/>
  <c r="DB1040" i="1"/>
  <c r="CM1040" i="1"/>
  <c r="DF1040" i="1"/>
  <c r="CP1040" i="1"/>
  <c r="DG1040" i="1"/>
  <c r="CL1040" i="1"/>
  <c r="DH1040" i="1"/>
  <c r="CI1040" i="1"/>
  <c r="DN1040" i="1"/>
  <c r="DO1040" i="1"/>
  <c r="DI1040" i="1"/>
  <c r="DJ1040" i="1"/>
  <c r="DK1040" i="1"/>
  <c r="DL1040" i="1"/>
  <c r="CZ1041" i="1"/>
  <c r="DA1041" i="1"/>
  <c r="DB1041" i="1"/>
  <c r="CM1041" i="1"/>
  <c r="DF1041" i="1"/>
  <c r="CP1041" i="1"/>
  <c r="DG1041" i="1"/>
  <c r="CL1041" i="1"/>
  <c r="DH1041" i="1"/>
  <c r="CI1041" i="1"/>
  <c r="DN1041" i="1"/>
  <c r="DO1041" i="1"/>
  <c r="DI1041" i="1"/>
  <c r="DJ1041" i="1"/>
  <c r="DK1041" i="1"/>
  <c r="DL1041" i="1"/>
  <c r="CZ1042" i="1"/>
  <c r="DA1042" i="1"/>
  <c r="DB1042" i="1"/>
  <c r="CM1042" i="1"/>
  <c r="DF1042" i="1"/>
  <c r="CP1042" i="1"/>
  <c r="DG1042" i="1"/>
  <c r="CL1042" i="1"/>
  <c r="DH1042" i="1"/>
  <c r="CI1042" i="1"/>
  <c r="DN1042" i="1"/>
  <c r="DO1042" i="1"/>
  <c r="DI1042" i="1"/>
  <c r="DJ1042" i="1"/>
  <c r="DK1042" i="1"/>
  <c r="DL1042" i="1"/>
  <c r="CZ1043" i="1"/>
  <c r="DA1043" i="1"/>
  <c r="DB1043" i="1"/>
  <c r="CM1043" i="1"/>
  <c r="DF1043" i="1"/>
  <c r="CP1043" i="1"/>
  <c r="DG1043" i="1"/>
  <c r="CL1043" i="1"/>
  <c r="DH1043" i="1"/>
  <c r="CI1043" i="1"/>
  <c r="DN1043" i="1"/>
  <c r="DO1043" i="1"/>
  <c r="DI1043" i="1"/>
  <c r="DJ1043" i="1"/>
  <c r="DK1043" i="1"/>
  <c r="DL1043" i="1"/>
  <c r="CZ1044" i="1"/>
  <c r="DA1044" i="1"/>
  <c r="DB1044" i="1"/>
  <c r="CM1044" i="1"/>
  <c r="DF1044" i="1"/>
  <c r="CP1044" i="1"/>
  <c r="DG1044" i="1"/>
  <c r="CL1044" i="1"/>
  <c r="DH1044" i="1"/>
  <c r="CI1044" i="1"/>
  <c r="DN1044" i="1"/>
  <c r="DO1044" i="1"/>
  <c r="DI1044" i="1"/>
  <c r="DJ1044" i="1"/>
  <c r="DK1044" i="1"/>
  <c r="DL1044" i="1"/>
  <c r="CZ1045" i="1"/>
  <c r="DA1045" i="1"/>
  <c r="DB1045" i="1"/>
  <c r="CM1045" i="1"/>
  <c r="DF1045" i="1"/>
  <c r="CP1045" i="1"/>
  <c r="DG1045" i="1"/>
  <c r="CL1045" i="1"/>
  <c r="DH1045" i="1"/>
  <c r="CI1045" i="1"/>
  <c r="DN1045" i="1"/>
  <c r="DO1045" i="1"/>
  <c r="DI1045" i="1"/>
  <c r="DJ1045" i="1"/>
  <c r="DK1045" i="1"/>
  <c r="DL1045" i="1"/>
  <c r="CZ1046" i="1"/>
  <c r="DA1046" i="1"/>
  <c r="DB1046" i="1"/>
  <c r="CM1046" i="1"/>
  <c r="DF1046" i="1"/>
  <c r="CP1046" i="1"/>
  <c r="DG1046" i="1"/>
  <c r="CL1046" i="1"/>
  <c r="DH1046" i="1"/>
  <c r="CI1046" i="1"/>
  <c r="DN1046" i="1"/>
  <c r="DO1046" i="1"/>
  <c r="DI1046" i="1"/>
  <c r="DJ1046" i="1"/>
  <c r="DK1046" i="1"/>
  <c r="DL1046" i="1"/>
  <c r="CZ1047" i="1"/>
  <c r="DA1047" i="1"/>
  <c r="DB1047" i="1"/>
  <c r="CM1047" i="1"/>
  <c r="DF1047" i="1"/>
  <c r="CP1047" i="1"/>
  <c r="DG1047" i="1"/>
  <c r="CL1047" i="1"/>
  <c r="DH1047" i="1"/>
  <c r="CI1047" i="1"/>
  <c r="DN1047" i="1"/>
  <c r="DO1047" i="1"/>
  <c r="DI1047" i="1"/>
  <c r="DJ1047" i="1"/>
  <c r="DK1047" i="1"/>
  <c r="DL1047" i="1"/>
  <c r="CZ1048" i="1"/>
  <c r="DA1048" i="1"/>
  <c r="DB1048" i="1"/>
  <c r="CM1048" i="1"/>
  <c r="DF1048" i="1"/>
  <c r="CP1048" i="1"/>
  <c r="DG1048" i="1"/>
  <c r="CL1048" i="1"/>
  <c r="DH1048" i="1"/>
  <c r="CI1048" i="1"/>
  <c r="DN1048" i="1"/>
  <c r="DO1048" i="1"/>
  <c r="DI1048" i="1"/>
  <c r="DJ1048" i="1"/>
  <c r="DK1048" i="1"/>
  <c r="DL1048" i="1"/>
  <c r="CZ1049" i="1"/>
  <c r="DA1049" i="1"/>
  <c r="DB1049" i="1"/>
  <c r="CM1049" i="1"/>
  <c r="DF1049" i="1"/>
  <c r="CP1049" i="1"/>
  <c r="DG1049" i="1"/>
  <c r="CL1049" i="1"/>
  <c r="DH1049" i="1"/>
  <c r="CI1049" i="1"/>
  <c r="DN1049" i="1"/>
  <c r="DO1049" i="1"/>
  <c r="DI1049" i="1"/>
  <c r="DJ1049" i="1"/>
  <c r="DK1049" i="1"/>
  <c r="DL1049" i="1"/>
  <c r="CZ1050" i="1"/>
  <c r="DA1050" i="1"/>
  <c r="DB1050" i="1"/>
  <c r="CM1050" i="1"/>
  <c r="DF1050" i="1"/>
  <c r="CP1050" i="1"/>
  <c r="DG1050" i="1"/>
  <c r="CL1050" i="1"/>
  <c r="DH1050" i="1"/>
  <c r="CI1050" i="1"/>
  <c r="DN1050" i="1"/>
  <c r="DO1050" i="1"/>
  <c r="DI1050" i="1"/>
  <c r="DJ1050" i="1"/>
  <c r="DK1050" i="1"/>
  <c r="DL1050" i="1"/>
  <c r="CZ1051" i="1"/>
  <c r="DA1051" i="1"/>
  <c r="DB1051" i="1"/>
  <c r="CM1051" i="1"/>
  <c r="DF1051" i="1"/>
  <c r="CP1051" i="1"/>
  <c r="DG1051" i="1"/>
  <c r="CL1051" i="1"/>
  <c r="DH1051" i="1"/>
  <c r="CI1051" i="1"/>
  <c r="DN1051" i="1"/>
  <c r="DO1051" i="1"/>
  <c r="DI1051" i="1"/>
  <c r="DJ1051" i="1"/>
  <c r="DK1051" i="1"/>
  <c r="DL1051" i="1"/>
  <c r="CZ1052" i="1"/>
  <c r="DA1052" i="1"/>
  <c r="DB1052" i="1"/>
  <c r="CM1052" i="1"/>
  <c r="DF1052" i="1"/>
  <c r="CP1052" i="1"/>
  <c r="DG1052" i="1"/>
  <c r="CL1052" i="1"/>
  <c r="DH1052" i="1"/>
  <c r="CI1052" i="1"/>
  <c r="DN1052" i="1"/>
  <c r="DO1052" i="1"/>
  <c r="DI1052" i="1"/>
  <c r="DJ1052" i="1"/>
  <c r="DK1052" i="1"/>
  <c r="DL1052" i="1"/>
  <c r="CZ1053" i="1"/>
  <c r="DA1053" i="1"/>
  <c r="DB1053" i="1"/>
  <c r="CM1053" i="1"/>
  <c r="DF1053" i="1"/>
  <c r="CP1053" i="1"/>
  <c r="DG1053" i="1"/>
  <c r="CL1053" i="1"/>
  <c r="DH1053" i="1"/>
  <c r="CI1053" i="1"/>
  <c r="DN1053" i="1"/>
  <c r="DO1053" i="1"/>
  <c r="DI1053" i="1"/>
  <c r="DJ1053" i="1"/>
  <c r="DK1053" i="1"/>
  <c r="DL1053" i="1"/>
  <c r="CZ1054" i="1"/>
  <c r="DA1054" i="1"/>
  <c r="DB1054" i="1"/>
  <c r="CM1054" i="1"/>
  <c r="DF1054" i="1"/>
  <c r="CP1054" i="1"/>
  <c r="DG1054" i="1"/>
  <c r="CL1054" i="1"/>
  <c r="DH1054" i="1"/>
  <c r="CI1054" i="1"/>
  <c r="DN1054" i="1"/>
  <c r="DO1054" i="1"/>
  <c r="DI1054" i="1"/>
  <c r="DJ1054" i="1"/>
  <c r="DK1054" i="1"/>
  <c r="DL1054" i="1"/>
  <c r="CZ1055" i="1"/>
  <c r="DA1055" i="1"/>
  <c r="DB1055" i="1"/>
  <c r="CM1055" i="1"/>
  <c r="DF1055" i="1"/>
  <c r="CP1055" i="1"/>
  <c r="DG1055" i="1"/>
  <c r="CL1055" i="1"/>
  <c r="DH1055" i="1"/>
  <c r="CI1055" i="1"/>
  <c r="DN1055" i="1"/>
  <c r="DO1055" i="1"/>
  <c r="DI1055" i="1"/>
  <c r="DJ1055" i="1"/>
  <c r="DK1055" i="1"/>
  <c r="DL1055" i="1"/>
  <c r="CZ1056" i="1"/>
  <c r="DA1056" i="1"/>
  <c r="DB1056" i="1"/>
  <c r="CM1056" i="1"/>
  <c r="DF1056" i="1"/>
  <c r="CP1056" i="1"/>
  <c r="DG1056" i="1"/>
  <c r="CL1056" i="1"/>
  <c r="DH1056" i="1"/>
  <c r="CI1056" i="1"/>
  <c r="DN1056" i="1"/>
  <c r="DO1056" i="1"/>
  <c r="DI1056" i="1"/>
  <c r="DJ1056" i="1"/>
  <c r="DK1056" i="1"/>
  <c r="DL1056" i="1"/>
  <c r="CZ1057" i="1"/>
  <c r="DA1057" i="1"/>
  <c r="DB1057" i="1"/>
  <c r="CM1057" i="1"/>
  <c r="DF1057" i="1"/>
  <c r="CP1057" i="1"/>
  <c r="DG1057" i="1"/>
  <c r="CL1057" i="1"/>
  <c r="DH1057" i="1"/>
  <c r="CI1057" i="1"/>
  <c r="DN1057" i="1"/>
  <c r="DO1057" i="1"/>
  <c r="DI1057" i="1"/>
  <c r="DJ1057" i="1"/>
  <c r="DK1057" i="1"/>
  <c r="DL1057" i="1"/>
  <c r="CZ1058" i="1"/>
  <c r="DA1058" i="1"/>
  <c r="DB1058" i="1"/>
  <c r="CM1058" i="1"/>
  <c r="DF1058" i="1"/>
  <c r="CP1058" i="1"/>
  <c r="DG1058" i="1"/>
  <c r="CL1058" i="1"/>
  <c r="DH1058" i="1"/>
  <c r="CI1058" i="1"/>
  <c r="DN1058" i="1"/>
  <c r="DO1058" i="1"/>
  <c r="DI1058" i="1"/>
  <c r="DJ1058" i="1"/>
  <c r="DK1058" i="1"/>
  <c r="DL1058" i="1"/>
  <c r="CZ1059" i="1"/>
  <c r="DA1059" i="1"/>
  <c r="DB1059" i="1"/>
  <c r="CM1059" i="1"/>
  <c r="DF1059" i="1"/>
  <c r="CP1059" i="1"/>
  <c r="DG1059" i="1"/>
  <c r="CL1059" i="1"/>
  <c r="DH1059" i="1"/>
  <c r="CI1059" i="1"/>
  <c r="DN1059" i="1"/>
  <c r="DO1059" i="1"/>
  <c r="DI1059" i="1"/>
  <c r="DJ1059" i="1"/>
  <c r="DK1059" i="1"/>
  <c r="DL1059" i="1"/>
  <c r="CZ1060" i="1"/>
  <c r="DA1060" i="1"/>
  <c r="DB1060" i="1"/>
  <c r="CM1060" i="1"/>
  <c r="DF1060" i="1"/>
  <c r="CP1060" i="1"/>
  <c r="DG1060" i="1"/>
  <c r="CL1060" i="1"/>
  <c r="DH1060" i="1"/>
  <c r="CI1060" i="1"/>
  <c r="DN1060" i="1"/>
  <c r="DO1060" i="1"/>
  <c r="DI1060" i="1"/>
  <c r="DJ1060" i="1"/>
  <c r="DK1060" i="1"/>
  <c r="DL1060" i="1"/>
  <c r="CZ1061" i="1"/>
  <c r="DA1061" i="1"/>
  <c r="DB1061" i="1"/>
  <c r="CM1061" i="1"/>
  <c r="DF1061" i="1"/>
  <c r="CP1061" i="1"/>
  <c r="DG1061" i="1"/>
  <c r="CL1061" i="1"/>
  <c r="DH1061" i="1"/>
  <c r="CI1061" i="1"/>
  <c r="DN1061" i="1"/>
  <c r="DO1061" i="1"/>
  <c r="DI1061" i="1"/>
  <c r="DJ1061" i="1"/>
  <c r="DK1061" i="1"/>
  <c r="DL1061" i="1"/>
  <c r="CZ1062" i="1"/>
  <c r="DA1062" i="1"/>
  <c r="DB1062" i="1"/>
  <c r="CM1062" i="1"/>
  <c r="DF1062" i="1"/>
  <c r="CP1062" i="1"/>
  <c r="DG1062" i="1"/>
  <c r="CL1062" i="1"/>
  <c r="DH1062" i="1"/>
  <c r="CI1062" i="1"/>
  <c r="DN1062" i="1"/>
  <c r="DO1062" i="1"/>
  <c r="DI1062" i="1"/>
  <c r="DJ1062" i="1"/>
  <c r="DK1062" i="1"/>
  <c r="DL1062" i="1"/>
  <c r="CZ1063" i="1"/>
  <c r="DA1063" i="1"/>
  <c r="DB1063" i="1"/>
  <c r="CM1063" i="1"/>
  <c r="DF1063" i="1"/>
  <c r="CP1063" i="1"/>
  <c r="DG1063" i="1"/>
  <c r="CL1063" i="1"/>
  <c r="DH1063" i="1"/>
  <c r="CI1063" i="1"/>
  <c r="DN1063" i="1"/>
  <c r="DO1063" i="1"/>
  <c r="DI1063" i="1"/>
  <c r="DJ1063" i="1"/>
  <c r="DK1063" i="1"/>
  <c r="DL1063" i="1"/>
  <c r="CZ1064" i="1"/>
  <c r="DA1064" i="1"/>
  <c r="DB1064" i="1"/>
  <c r="CM1064" i="1"/>
  <c r="DF1064" i="1"/>
  <c r="CP1064" i="1"/>
  <c r="DG1064" i="1"/>
  <c r="CL1064" i="1"/>
  <c r="DH1064" i="1"/>
  <c r="CI1064" i="1"/>
  <c r="DN1064" i="1"/>
  <c r="DO1064" i="1"/>
  <c r="DI1064" i="1"/>
  <c r="DJ1064" i="1"/>
  <c r="DK1064" i="1"/>
  <c r="DL1064" i="1"/>
  <c r="CZ1065" i="1"/>
  <c r="DA1065" i="1"/>
  <c r="DB1065" i="1"/>
  <c r="CM1065" i="1"/>
  <c r="DF1065" i="1"/>
  <c r="CP1065" i="1"/>
  <c r="DG1065" i="1"/>
  <c r="CL1065" i="1"/>
  <c r="DH1065" i="1"/>
  <c r="CI1065" i="1"/>
  <c r="DN1065" i="1"/>
  <c r="DO1065" i="1"/>
  <c r="DI1065" i="1"/>
  <c r="DJ1065" i="1"/>
  <c r="DK1065" i="1"/>
  <c r="DL1065" i="1"/>
  <c r="CZ1066" i="1"/>
  <c r="DA1066" i="1"/>
  <c r="DB1066" i="1"/>
  <c r="CM1066" i="1"/>
  <c r="DF1066" i="1"/>
  <c r="CP1066" i="1"/>
  <c r="DG1066" i="1"/>
  <c r="CL1066" i="1"/>
  <c r="DH1066" i="1"/>
  <c r="CI1066" i="1"/>
  <c r="DN1066" i="1"/>
  <c r="DO1066" i="1"/>
  <c r="DI1066" i="1"/>
  <c r="DJ1066" i="1"/>
  <c r="DK1066" i="1"/>
  <c r="DL1066" i="1"/>
  <c r="CZ1067" i="1"/>
  <c r="DA1067" i="1"/>
  <c r="DB1067" i="1"/>
  <c r="CM1067" i="1"/>
  <c r="DF1067" i="1"/>
  <c r="CP1067" i="1"/>
  <c r="DG1067" i="1"/>
  <c r="CL1067" i="1"/>
  <c r="DH1067" i="1"/>
  <c r="CI1067" i="1"/>
  <c r="DN1067" i="1"/>
  <c r="DO1067" i="1"/>
  <c r="DI1067" i="1"/>
  <c r="DJ1067" i="1"/>
  <c r="DK1067" i="1"/>
  <c r="DL1067" i="1"/>
  <c r="CZ1068" i="1"/>
  <c r="DA1068" i="1"/>
  <c r="DB1068" i="1"/>
  <c r="CM1068" i="1"/>
  <c r="DF1068" i="1"/>
  <c r="CP1068" i="1"/>
  <c r="DG1068" i="1"/>
  <c r="CL1068" i="1"/>
  <c r="DH1068" i="1"/>
  <c r="CI1068" i="1"/>
  <c r="DN1068" i="1"/>
  <c r="DO1068" i="1"/>
  <c r="DI1068" i="1"/>
  <c r="DJ1068" i="1"/>
  <c r="DK1068" i="1"/>
  <c r="DL1068" i="1"/>
  <c r="CZ1069" i="1"/>
  <c r="DA1069" i="1"/>
  <c r="DB1069" i="1"/>
  <c r="CM1069" i="1"/>
  <c r="DF1069" i="1"/>
  <c r="CP1069" i="1"/>
  <c r="DG1069" i="1"/>
  <c r="CL1069" i="1"/>
  <c r="DH1069" i="1"/>
  <c r="CI1069" i="1"/>
  <c r="DN1069" i="1"/>
  <c r="DO1069" i="1"/>
  <c r="DI1069" i="1"/>
  <c r="DJ1069" i="1"/>
  <c r="DK1069" i="1"/>
  <c r="DL1069" i="1"/>
  <c r="CZ1070" i="1"/>
  <c r="DA1070" i="1"/>
  <c r="DB1070" i="1"/>
  <c r="CM1070" i="1"/>
  <c r="DF1070" i="1"/>
  <c r="CP1070" i="1"/>
  <c r="DG1070" i="1"/>
  <c r="CL1070" i="1"/>
  <c r="DH1070" i="1"/>
  <c r="CI1070" i="1"/>
  <c r="DN1070" i="1"/>
  <c r="DO1070" i="1"/>
  <c r="DI1070" i="1"/>
  <c r="DJ1070" i="1"/>
  <c r="DK1070" i="1"/>
  <c r="DL1070" i="1"/>
  <c r="CZ1071" i="1"/>
  <c r="DA1071" i="1"/>
  <c r="DB1071" i="1"/>
  <c r="CM1071" i="1"/>
  <c r="DF1071" i="1"/>
  <c r="CP1071" i="1"/>
  <c r="DG1071" i="1"/>
  <c r="CL1071" i="1"/>
  <c r="DH1071" i="1"/>
  <c r="CI1071" i="1"/>
  <c r="DN1071" i="1"/>
  <c r="DO1071" i="1"/>
  <c r="DI1071" i="1"/>
  <c r="DJ1071" i="1"/>
  <c r="DK1071" i="1"/>
  <c r="DL1071" i="1"/>
  <c r="CZ1072" i="1"/>
  <c r="DA1072" i="1"/>
  <c r="DB1072" i="1"/>
  <c r="CM1072" i="1"/>
  <c r="DF1072" i="1"/>
  <c r="CP1072" i="1"/>
  <c r="DG1072" i="1"/>
  <c r="CL1072" i="1"/>
  <c r="DH1072" i="1"/>
  <c r="CI1072" i="1"/>
  <c r="DN1072" i="1"/>
  <c r="DO1072" i="1"/>
  <c r="DI1072" i="1"/>
  <c r="DJ1072" i="1"/>
  <c r="DK1072" i="1"/>
  <c r="DL1072" i="1"/>
  <c r="CZ1073" i="1"/>
  <c r="DA1073" i="1"/>
  <c r="DB1073" i="1"/>
  <c r="CM1073" i="1"/>
  <c r="DF1073" i="1"/>
  <c r="CP1073" i="1"/>
  <c r="DG1073" i="1"/>
  <c r="CL1073" i="1"/>
  <c r="DH1073" i="1"/>
  <c r="CI1073" i="1"/>
  <c r="DN1073" i="1"/>
  <c r="DO1073" i="1"/>
  <c r="DI1073" i="1"/>
  <c r="DJ1073" i="1"/>
  <c r="DK1073" i="1"/>
  <c r="DL1073" i="1"/>
  <c r="CZ1074" i="1"/>
  <c r="DA1074" i="1"/>
  <c r="DB1074" i="1"/>
  <c r="CM1074" i="1"/>
  <c r="DF1074" i="1"/>
  <c r="CP1074" i="1"/>
  <c r="DG1074" i="1"/>
  <c r="CL1074" i="1"/>
  <c r="DH1074" i="1"/>
  <c r="CI1074" i="1"/>
  <c r="DN1074" i="1"/>
  <c r="DO1074" i="1"/>
  <c r="DI1074" i="1"/>
  <c r="DJ1074" i="1"/>
  <c r="DK1074" i="1"/>
  <c r="DL1074" i="1"/>
  <c r="CZ1075" i="1"/>
  <c r="DA1075" i="1"/>
  <c r="DB1075" i="1"/>
  <c r="CM1075" i="1"/>
  <c r="DF1075" i="1"/>
  <c r="CP1075" i="1"/>
  <c r="DG1075" i="1"/>
  <c r="CL1075" i="1"/>
  <c r="DH1075" i="1"/>
  <c r="CI1075" i="1"/>
  <c r="DN1075" i="1"/>
  <c r="DO1075" i="1"/>
  <c r="DI1075" i="1"/>
  <c r="DJ1075" i="1"/>
  <c r="DK1075" i="1"/>
  <c r="DL1075" i="1"/>
  <c r="CZ1076" i="1"/>
  <c r="DA1076" i="1"/>
  <c r="DB1076" i="1"/>
  <c r="CM1076" i="1"/>
  <c r="DF1076" i="1"/>
  <c r="CP1076" i="1"/>
  <c r="DG1076" i="1"/>
  <c r="CL1076" i="1"/>
  <c r="DH1076" i="1"/>
  <c r="CI1076" i="1"/>
  <c r="DN1076" i="1"/>
  <c r="DO1076" i="1"/>
  <c r="DI1076" i="1"/>
  <c r="DJ1076" i="1"/>
  <c r="DK1076" i="1"/>
  <c r="DL1076" i="1"/>
  <c r="CZ1077" i="1"/>
  <c r="DA1077" i="1"/>
  <c r="DB1077" i="1"/>
  <c r="CM1077" i="1"/>
  <c r="DF1077" i="1"/>
  <c r="CP1077" i="1"/>
  <c r="DG1077" i="1"/>
  <c r="CL1077" i="1"/>
  <c r="DH1077" i="1"/>
  <c r="CI1077" i="1"/>
  <c r="DN1077" i="1"/>
  <c r="DO1077" i="1"/>
  <c r="DI1077" i="1"/>
  <c r="DJ1077" i="1"/>
  <c r="DK1077" i="1"/>
  <c r="DL1077" i="1"/>
  <c r="CZ1078" i="1"/>
  <c r="DA1078" i="1"/>
  <c r="DB1078" i="1"/>
  <c r="CM1078" i="1"/>
  <c r="DF1078" i="1"/>
  <c r="CP1078" i="1"/>
  <c r="DG1078" i="1"/>
  <c r="CL1078" i="1"/>
  <c r="DH1078" i="1"/>
  <c r="CI1078" i="1"/>
  <c r="DN1078" i="1"/>
  <c r="DO1078" i="1"/>
  <c r="DI1078" i="1"/>
  <c r="DJ1078" i="1"/>
  <c r="DK1078" i="1"/>
  <c r="DL1078" i="1"/>
  <c r="CZ1079" i="1"/>
  <c r="DA1079" i="1"/>
  <c r="DB1079" i="1"/>
  <c r="CM1079" i="1"/>
  <c r="DF1079" i="1"/>
  <c r="CP1079" i="1"/>
  <c r="DG1079" i="1"/>
  <c r="CL1079" i="1"/>
  <c r="DH1079" i="1"/>
  <c r="CI1079" i="1"/>
  <c r="DN1079" i="1"/>
  <c r="DO1079" i="1"/>
  <c r="DI1079" i="1"/>
  <c r="DJ1079" i="1"/>
  <c r="DK1079" i="1"/>
  <c r="DL1079" i="1"/>
  <c r="CZ1080" i="1"/>
  <c r="DA1080" i="1"/>
  <c r="DB1080" i="1"/>
  <c r="CM1080" i="1"/>
  <c r="DF1080" i="1"/>
  <c r="CP1080" i="1"/>
  <c r="DG1080" i="1"/>
  <c r="CL1080" i="1"/>
  <c r="DH1080" i="1"/>
  <c r="CI1080" i="1"/>
  <c r="DN1080" i="1"/>
  <c r="DO1080" i="1"/>
  <c r="DI1080" i="1"/>
  <c r="DJ1080" i="1"/>
  <c r="DK1080" i="1"/>
  <c r="DL1080" i="1"/>
  <c r="CZ1081" i="1"/>
  <c r="DA1081" i="1"/>
  <c r="DB1081" i="1"/>
  <c r="CM1081" i="1"/>
  <c r="DF1081" i="1"/>
  <c r="CP1081" i="1"/>
  <c r="DG1081" i="1"/>
  <c r="CL1081" i="1"/>
  <c r="DH1081" i="1"/>
  <c r="CI1081" i="1"/>
  <c r="DN1081" i="1"/>
  <c r="DO1081" i="1"/>
  <c r="DI1081" i="1"/>
  <c r="DJ1081" i="1"/>
  <c r="DK1081" i="1"/>
  <c r="DL1081" i="1"/>
  <c r="CZ1082" i="1"/>
  <c r="DA1082" i="1"/>
  <c r="DB1082" i="1"/>
  <c r="CM1082" i="1"/>
  <c r="DF1082" i="1"/>
  <c r="CP1082" i="1"/>
  <c r="DG1082" i="1"/>
  <c r="CL1082" i="1"/>
  <c r="DH1082" i="1"/>
  <c r="CI1082" i="1"/>
  <c r="DN1082" i="1"/>
  <c r="DO1082" i="1"/>
  <c r="DI1082" i="1"/>
  <c r="DJ1082" i="1"/>
  <c r="DK1082" i="1"/>
  <c r="DL1082" i="1"/>
  <c r="CZ1083" i="1"/>
  <c r="DA1083" i="1"/>
  <c r="DB1083" i="1"/>
  <c r="CM1083" i="1"/>
  <c r="DF1083" i="1"/>
  <c r="CP1083" i="1"/>
  <c r="DG1083" i="1"/>
  <c r="CL1083" i="1"/>
  <c r="DH1083" i="1"/>
  <c r="CI1083" i="1"/>
  <c r="DN1083" i="1"/>
  <c r="DO1083" i="1"/>
  <c r="DI1083" i="1"/>
  <c r="DJ1083" i="1"/>
  <c r="DK1083" i="1"/>
  <c r="DL1083" i="1"/>
  <c r="CZ1084" i="1"/>
  <c r="DA1084" i="1"/>
  <c r="DB1084" i="1"/>
  <c r="CM1084" i="1"/>
  <c r="DF1084" i="1"/>
  <c r="CP1084" i="1"/>
  <c r="DG1084" i="1"/>
  <c r="CL1084" i="1"/>
  <c r="DH1084" i="1"/>
  <c r="CI1084" i="1"/>
  <c r="DN1084" i="1"/>
  <c r="DO1084" i="1"/>
  <c r="DI1084" i="1"/>
  <c r="DJ1084" i="1"/>
  <c r="DK1084" i="1"/>
  <c r="DL1084" i="1"/>
  <c r="CZ1085" i="1"/>
  <c r="DA1085" i="1"/>
  <c r="DB1085" i="1"/>
  <c r="CM1085" i="1"/>
  <c r="DF1085" i="1"/>
  <c r="CP1085" i="1"/>
  <c r="DG1085" i="1"/>
  <c r="CL1085" i="1"/>
  <c r="DH1085" i="1"/>
  <c r="CI1085" i="1"/>
  <c r="DN1085" i="1"/>
  <c r="DO1085" i="1"/>
  <c r="DI1085" i="1"/>
  <c r="DJ1085" i="1"/>
  <c r="DK1085" i="1"/>
  <c r="DL1085" i="1"/>
  <c r="CZ1086" i="1"/>
  <c r="DA1086" i="1"/>
  <c r="DB1086" i="1"/>
  <c r="CM1086" i="1"/>
  <c r="DF1086" i="1"/>
  <c r="CP1086" i="1"/>
  <c r="DG1086" i="1"/>
  <c r="CL1086" i="1"/>
  <c r="DH1086" i="1"/>
  <c r="CI1086" i="1"/>
  <c r="DN1086" i="1"/>
  <c r="DO1086" i="1"/>
  <c r="DI1086" i="1"/>
  <c r="DJ1086" i="1"/>
  <c r="DK1086" i="1"/>
  <c r="DL1086" i="1"/>
  <c r="CZ1087" i="1"/>
  <c r="DA1087" i="1"/>
  <c r="DB1087" i="1"/>
  <c r="CM1087" i="1"/>
  <c r="DF1087" i="1"/>
  <c r="CP1087" i="1"/>
  <c r="DG1087" i="1"/>
  <c r="CL1087" i="1"/>
  <c r="DH1087" i="1"/>
  <c r="CI1087" i="1"/>
  <c r="DN1087" i="1"/>
  <c r="DO1087" i="1"/>
  <c r="DI1087" i="1"/>
  <c r="DJ1087" i="1"/>
  <c r="DK1087" i="1"/>
  <c r="DL1087" i="1"/>
  <c r="CZ1088" i="1"/>
  <c r="DA1088" i="1"/>
  <c r="DB1088" i="1"/>
  <c r="CM1088" i="1"/>
  <c r="DF1088" i="1"/>
  <c r="CP1088" i="1"/>
  <c r="DG1088" i="1"/>
  <c r="CL1088" i="1"/>
  <c r="DH1088" i="1"/>
  <c r="CI1088" i="1"/>
  <c r="DN1088" i="1"/>
  <c r="DO1088" i="1"/>
  <c r="DI1088" i="1"/>
  <c r="DJ1088" i="1"/>
  <c r="DK1088" i="1"/>
  <c r="DL1088" i="1"/>
  <c r="CZ1089" i="1"/>
  <c r="DA1089" i="1"/>
  <c r="DB1089" i="1"/>
  <c r="CM1089" i="1"/>
  <c r="DF1089" i="1"/>
  <c r="CP1089" i="1"/>
  <c r="DG1089" i="1"/>
  <c r="CL1089" i="1"/>
  <c r="DH1089" i="1"/>
  <c r="CI1089" i="1"/>
  <c r="DN1089" i="1"/>
  <c r="DO1089" i="1"/>
  <c r="DI1089" i="1"/>
  <c r="DJ1089" i="1"/>
  <c r="DK1089" i="1"/>
  <c r="DL1089" i="1"/>
  <c r="CZ1090" i="1"/>
  <c r="DA1090" i="1"/>
  <c r="DB1090" i="1"/>
  <c r="CM1090" i="1"/>
  <c r="DF1090" i="1"/>
  <c r="CP1090" i="1"/>
  <c r="DG1090" i="1"/>
  <c r="CL1090" i="1"/>
  <c r="DH1090" i="1"/>
  <c r="CI1090" i="1"/>
  <c r="DN1090" i="1"/>
  <c r="DO1090" i="1"/>
  <c r="DI1090" i="1"/>
  <c r="DJ1090" i="1"/>
  <c r="DK1090" i="1"/>
  <c r="DL1090" i="1"/>
  <c r="CZ1091" i="1"/>
  <c r="DA1091" i="1"/>
  <c r="DB1091" i="1"/>
  <c r="CM1091" i="1"/>
  <c r="DF1091" i="1"/>
  <c r="CP1091" i="1"/>
  <c r="DG1091" i="1"/>
  <c r="CL1091" i="1"/>
  <c r="DH1091" i="1"/>
  <c r="CI1091" i="1"/>
  <c r="DN1091" i="1"/>
  <c r="DO1091" i="1"/>
  <c r="DI1091" i="1"/>
  <c r="DJ1091" i="1"/>
  <c r="DK1091" i="1"/>
  <c r="DL1091" i="1"/>
  <c r="CZ1092" i="1"/>
  <c r="DA1092" i="1"/>
  <c r="DB1092" i="1"/>
  <c r="CM1092" i="1"/>
  <c r="DF1092" i="1"/>
  <c r="CP1092" i="1"/>
  <c r="DG1092" i="1"/>
  <c r="CL1092" i="1"/>
  <c r="DH1092" i="1"/>
  <c r="CI1092" i="1"/>
  <c r="DN1092" i="1"/>
  <c r="DO1092" i="1"/>
  <c r="DI1092" i="1"/>
  <c r="DJ1092" i="1"/>
  <c r="DK1092" i="1"/>
  <c r="DL1092" i="1"/>
  <c r="CZ1093" i="1"/>
  <c r="DA1093" i="1"/>
  <c r="DB1093" i="1"/>
  <c r="CM1093" i="1"/>
  <c r="DF1093" i="1"/>
  <c r="CP1093" i="1"/>
  <c r="DG1093" i="1"/>
  <c r="CL1093" i="1"/>
  <c r="DH1093" i="1"/>
  <c r="CI1093" i="1"/>
  <c r="DN1093" i="1"/>
  <c r="DO1093" i="1"/>
  <c r="DI1093" i="1"/>
  <c r="DJ1093" i="1"/>
  <c r="DK1093" i="1"/>
  <c r="DL1093" i="1"/>
  <c r="CZ1094" i="1"/>
  <c r="DA1094" i="1"/>
  <c r="DB1094" i="1"/>
  <c r="CM1094" i="1"/>
  <c r="DF1094" i="1"/>
  <c r="CP1094" i="1"/>
  <c r="DG1094" i="1"/>
  <c r="CL1094" i="1"/>
  <c r="DH1094" i="1"/>
  <c r="CI1094" i="1"/>
  <c r="DN1094" i="1"/>
  <c r="DO1094" i="1"/>
  <c r="DI1094" i="1"/>
  <c r="DJ1094" i="1"/>
  <c r="DK1094" i="1"/>
  <c r="DL1094" i="1"/>
  <c r="CZ1095" i="1"/>
  <c r="DA1095" i="1"/>
  <c r="DB1095" i="1"/>
  <c r="CM1095" i="1"/>
  <c r="DF1095" i="1"/>
  <c r="CP1095" i="1"/>
  <c r="DG1095" i="1"/>
  <c r="CL1095" i="1"/>
  <c r="DH1095" i="1"/>
  <c r="CI1095" i="1"/>
  <c r="DN1095" i="1"/>
  <c r="DO1095" i="1"/>
  <c r="DI1095" i="1"/>
  <c r="DJ1095" i="1"/>
  <c r="DK1095" i="1"/>
  <c r="DL1095" i="1"/>
  <c r="CZ1096" i="1"/>
  <c r="DA1096" i="1"/>
  <c r="DB1096" i="1"/>
  <c r="CM1096" i="1"/>
  <c r="DF1096" i="1"/>
  <c r="CP1096" i="1"/>
  <c r="DG1096" i="1"/>
  <c r="CL1096" i="1"/>
  <c r="DH1096" i="1"/>
  <c r="CI1096" i="1"/>
  <c r="DN1096" i="1"/>
  <c r="DO1096" i="1"/>
  <c r="DI1096" i="1"/>
  <c r="DJ1096" i="1"/>
  <c r="DK1096" i="1"/>
  <c r="DL1096" i="1"/>
  <c r="CZ1097" i="1"/>
  <c r="DA1097" i="1"/>
  <c r="DB1097" i="1"/>
  <c r="CM1097" i="1"/>
  <c r="DF1097" i="1"/>
  <c r="CP1097" i="1"/>
  <c r="DG1097" i="1"/>
  <c r="CL1097" i="1"/>
  <c r="DH1097" i="1"/>
  <c r="CI1097" i="1"/>
  <c r="DN1097" i="1"/>
  <c r="DO1097" i="1"/>
  <c r="DI1097" i="1"/>
  <c r="DJ1097" i="1"/>
  <c r="DK1097" i="1"/>
  <c r="DL1097" i="1"/>
  <c r="CZ1098" i="1"/>
  <c r="DA1098" i="1"/>
  <c r="DB1098" i="1"/>
  <c r="CM1098" i="1"/>
  <c r="DF1098" i="1"/>
  <c r="CP1098" i="1"/>
  <c r="DG1098" i="1"/>
  <c r="CL1098" i="1"/>
  <c r="DH1098" i="1"/>
  <c r="CI1098" i="1"/>
  <c r="DN1098" i="1"/>
  <c r="DO1098" i="1"/>
  <c r="DI1098" i="1"/>
  <c r="DJ1098" i="1"/>
  <c r="DK1098" i="1"/>
  <c r="DL1098" i="1"/>
  <c r="CZ1099" i="1"/>
  <c r="DA1099" i="1"/>
  <c r="DB1099" i="1"/>
  <c r="CM1099" i="1"/>
  <c r="DF1099" i="1"/>
  <c r="CP1099" i="1"/>
  <c r="DG1099" i="1"/>
  <c r="CL1099" i="1"/>
  <c r="DH1099" i="1"/>
  <c r="CI1099" i="1"/>
  <c r="DN1099" i="1"/>
  <c r="DO1099" i="1"/>
  <c r="DI1099" i="1"/>
  <c r="DJ1099" i="1"/>
  <c r="DK1099" i="1"/>
  <c r="DL1099" i="1"/>
  <c r="CZ1100" i="1"/>
  <c r="DA1100" i="1"/>
  <c r="DB1100" i="1"/>
  <c r="CM1100" i="1"/>
  <c r="DF1100" i="1"/>
  <c r="CP1100" i="1"/>
  <c r="DG1100" i="1"/>
  <c r="CL1100" i="1"/>
  <c r="DH1100" i="1"/>
  <c r="CI1100" i="1"/>
  <c r="DN1100" i="1"/>
  <c r="DO1100" i="1"/>
  <c r="DI1100" i="1"/>
  <c r="DJ1100" i="1"/>
  <c r="DK1100" i="1"/>
  <c r="DL1100" i="1"/>
  <c r="CZ1101" i="1"/>
  <c r="DA1101" i="1"/>
  <c r="DB1101" i="1"/>
  <c r="CM1101" i="1"/>
  <c r="DF1101" i="1"/>
  <c r="CP1101" i="1"/>
  <c r="DG1101" i="1"/>
  <c r="CL1101" i="1"/>
  <c r="DH1101" i="1"/>
  <c r="CI1101" i="1"/>
  <c r="DN1101" i="1"/>
  <c r="DO1101" i="1"/>
  <c r="DI1101" i="1"/>
  <c r="DJ1101" i="1"/>
  <c r="DK1101" i="1"/>
  <c r="DL1101" i="1"/>
  <c r="CZ1102" i="1"/>
  <c r="DA1102" i="1"/>
  <c r="DB1102" i="1"/>
  <c r="CM1102" i="1"/>
  <c r="DF1102" i="1"/>
  <c r="CP1102" i="1"/>
  <c r="DG1102" i="1"/>
  <c r="CL1102" i="1"/>
  <c r="DH1102" i="1"/>
  <c r="CI1102" i="1"/>
  <c r="DN1102" i="1"/>
  <c r="DO1102" i="1"/>
  <c r="DI1102" i="1"/>
  <c r="DJ1102" i="1"/>
  <c r="DK1102" i="1"/>
  <c r="DL1102" i="1"/>
  <c r="CZ1103" i="1"/>
  <c r="DA1103" i="1"/>
  <c r="DB1103" i="1"/>
  <c r="CM1103" i="1"/>
  <c r="DF1103" i="1"/>
  <c r="CP1103" i="1"/>
  <c r="DG1103" i="1"/>
  <c r="CL1103" i="1"/>
  <c r="DH1103" i="1"/>
  <c r="CI1103" i="1"/>
  <c r="DN1103" i="1"/>
  <c r="DO1103" i="1"/>
  <c r="DI1103" i="1"/>
  <c r="DJ1103" i="1"/>
  <c r="DK1103" i="1"/>
  <c r="DL1103" i="1"/>
  <c r="CZ1104" i="1"/>
  <c r="DA1104" i="1"/>
  <c r="DB1104" i="1"/>
  <c r="CM1104" i="1"/>
  <c r="DF1104" i="1"/>
  <c r="CP1104" i="1"/>
  <c r="DG1104" i="1"/>
  <c r="CL1104" i="1"/>
  <c r="DH1104" i="1"/>
  <c r="CI1104" i="1"/>
  <c r="DN1104" i="1"/>
  <c r="DO1104" i="1"/>
  <c r="DI1104" i="1"/>
  <c r="DJ1104" i="1"/>
  <c r="DK1104" i="1"/>
  <c r="DL1104" i="1"/>
  <c r="CZ1105" i="1"/>
  <c r="DA1105" i="1"/>
  <c r="DB1105" i="1"/>
  <c r="CM1105" i="1"/>
  <c r="DF1105" i="1"/>
  <c r="CP1105" i="1"/>
  <c r="DG1105" i="1"/>
  <c r="CL1105" i="1"/>
  <c r="DH1105" i="1"/>
  <c r="CI1105" i="1"/>
  <c r="DN1105" i="1"/>
  <c r="DO1105" i="1"/>
  <c r="DI1105" i="1"/>
  <c r="DJ1105" i="1"/>
  <c r="DK1105" i="1"/>
  <c r="DL1105" i="1"/>
  <c r="CZ1106" i="1"/>
  <c r="DA1106" i="1"/>
  <c r="DB1106" i="1"/>
  <c r="CM1106" i="1"/>
  <c r="DF1106" i="1"/>
  <c r="CP1106" i="1"/>
  <c r="DG1106" i="1"/>
  <c r="CL1106" i="1"/>
  <c r="DH1106" i="1"/>
  <c r="CI1106" i="1"/>
  <c r="DN1106" i="1"/>
  <c r="DO1106" i="1"/>
  <c r="DI1106" i="1"/>
  <c r="DJ1106" i="1"/>
  <c r="DK1106" i="1"/>
  <c r="DL1106" i="1"/>
  <c r="CZ1107" i="1"/>
  <c r="DA1107" i="1"/>
  <c r="DB1107" i="1"/>
  <c r="CM1107" i="1"/>
  <c r="DF1107" i="1"/>
  <c r="CP1107" i="1"/>
  <c r="DG1107" i="1"/>
  <c r="CL1107" i="1"/>
  <c r="DH1107" i="1"/>
  <c r="CI1107" i="1"/>
  <c r="DN1107" i="1"/>
  <c r="DO1107" i="1"/>
  <c r="DI1107" i="1"/>
  <c r="DJ1107" i="1"/>
  <c r="DK1107" i="1"/>
  <c r="DL1107" i="1"/>
  <c r="CZ1108" i="1"/>
  <c r="DA1108" i="1"/>
  <c r="DB1108" i="1"/>
  <c r="CM1108" i="1"/>
  <c r="DF1108" i="1"/>
  <c r="CP1108" i="1"/>
  <c r="DG1108" i="1"/>
  <c r="CL1108" i="1"/>
  <c r="DH1108" i="1"/>
  <c r="CI1108" i="1"/>
  <c r="DN1108" i="1"/>
  <c r="DO1108" i="1"/>
  <c r="DI1108" i="1"/>
  <c r="DJ1108" i="1"/>
  <c r="DK1108" i="1"/>
  <c r="DL1108" i="1"/>
  <c r="CZ1109" i="1"/>
  <c r="DA1109" i="1"/>
  <c r="DB1109" i="1"/>
  <c r="CM1109" i="1"/>
  <c r="DF1109" i="1"/>
  <c r="CP1109" i="1"/>
  <c r="DG1109" i="1"/>
  <c r="CL1109" i="1"/>
  <c r="DH1109" i="1"/>
  <c r="CI1109" i="1"/>
  <c r="DN1109" i="1"/>
  <c r="DO1109" i="1"/>
  <c r="DI1109" i="1"/>
  <c r="DJ1109" i="1"/>
  <c r="DK1109" i="1"/>
  <c r="DL1109" i="1"/>
  <c r="CZ1110" i="1"/>
  <c r="DA1110" i="1"/>
  <c r="DB1110" i="1"/>
  <c r="CM1110" i="1"/>
  <c r="DF1110" i="1"/>
  <c r="CP1110" i="1"/>
  <c r="DG1110" i="1"/>
  <c r="CL1110" i="1"/>
  <c r="DH1110" i="1"/>
  <c r="CI1110" i="1"/>
  <c r="DN1110" i="1"/>
  <c r="DO1110" i="1"/>
  <c r="DI1110" i="1"/>
  <c r="DJ1110" i="1"/>
  <c r="DK1110" i="1"/>
  <c r="DL1110" i="1"/>
  <c r="CZ1111" i="1"/>
  <c r="DA1111" i="1"/>
  <c r="DB1111" i="1"/>
  <c r="CM1111" i="1"/>
  <c r="DF1111" i="1"/>
  <c r="CP1111" i="1"/>
  <c r="DG1111" i="1"/>
  <c r="CL1111" i="1"/>
  <c r="DH1111" i="1"/>
  <c r="CI1111" i="1"/>
  <c r="DN1111" i="1"/>
  <c r="DO1111" i="1"/>
  <c r="DI1111" i="1"/>
  <c r="DJ1111" i="1"/>
  <c r="DK1111" i="1"/>
  <c r="DL1111" i="1"/>
  <c r="CZ1112" i="1"/>
  <c r="DA1112" i="1"/>
  <c r="DB1112" i="1"/>
  <c r="CM1112" i="1"/>
  <c r="DF1112" i="1"/>
  <c r="CP1112" i="1"/>
  <c r="DG1112" i="1"/>
  <c r="CL1112" i="1"/>
  <c r="DH1112" i="1"/>
  <c r="CI1112" i="1"/>
  <c r="DN1112" i="1"/>
  <c r="DO1112" i="1"/>
  <c r="DI1112" i="1"/>
  <c r="DJ1112" i="1"/>
  <c r="DK1112" i="1"/>
  <c r="DL1112" i="1"/>
  <c r="CZ1113" i="1"/>
  <c r="DA1113" i="1"/>
  <c r="DB1113" i="1"/>
  <c r="CM1113" i="1"/>
  <c r="DF1113" i="1"/>
  <c r="CP1113" i="1"/>
  <c r="DG1113" i="1"/>
  <c r="CL1113" i="1"/>
  <c r="DH1113" i="1"/>
  <c r="CI1113" i="1"/>
  <c r="DN1113" i="1"/>
  <c r="DO1113" i="1"/>
  <c r="DI1113" i="1"/>
  <c r="DJ1113" i="1"/>
  <c r="DK1113" i="1"/>
  <c r="DL1113" i="1"/>
  <c r="CZ1114" i="1"/>
  <c r="DA1114" i="1"/>
  <c r="DB1114" i="1"/>
  <c r="CM1114" i="1"/>
  <c r="DF1114" i="1"/>
  <c r="CP1114" i="1"/>
  <c r="DG1114" i="1"/>
  <c r="CL1114" i="1"/>
  <c r="DH1114" i="1"/>
  <c r="CI1114" i="1"/>
  <c r="DN1114" i="1"/>
  <c r="DO1114" i="1"/>
  <c r="DI1114" i="1"/>
  <c r="DJ1114" i="1"/>
  <c r="DK1114" i="1"/>
  <c r="DL1114" i="1"/>
  <c r="CZ1115" i="1"/>
  <c r="DA1115" i="1"/>
  <c r="DB1115" i="1"/>
  <c r="CM1115" i="1"/>
  <c r="DF1115" i="1"/>
  <c r="CP1115" i="1"/>
  <c r="DG1115" i="1"/>
  <c r="CL1115" i="1"/>
  <c r="DH1115" i="1"/>
  <c r="CI1115" i="1"/>
  <c r="DN1115" i="1"/>
  <c r="DO1115" i="1"/>
  <c r="DI1115" i="1"/>
  <c r="DJ1115" i="1"/>
  <c r="DK1115" i="1"/>
  <c r="DL1115" i="1"/>
  <c r="CZ1116" i="1"/>
  <c r="DA1116" i="1"/>
  <c r="DB1116" i="1"/>
  <c r="CM1116" i="1"/>
  <c r="DF1116" i="1"/>
  <c r="CP1116" i="1"/>
  <c r="DG1116" i="1"/>
  <c r="CL1116" i="1"/>
  <c r="DH1116" i="1"/>
  <c r="CI1116" i="1"/>
  <c r="DN1116" i="1"/>
  <c r="DO1116" i="1"/>
  <c r="DI1116" i="1"/>
  <c r="DJ1116" i="1"/>
  <c r="DK1116" i="1"/>
  <c r="DL1116" i="1"/>
  <c r="CZ1117" i="1"/>
  <c r="DA1117" i="1"/>
  <c r="DB1117" i="1"/>
  <c r="CM1117" i="1"/>
  <c r="DF1117" i="1"/>
  <c r="CP1117" i="1"/>
  <c r="DG1117" i="1"/>
  <c r="CL1117" i="1"/>
  <c r="DH1117" i="1"/>
  <c r="CI1117" i="1"/>
  <c r="DN1117" i="1"/>
  <c r="DO1117" i="1"/>
  <c r="DI1117" i="1"/>
  <c r="DJ1117" i="1"/>
  <c r="DK1117" i="1"/>
  <c r="DL1117" i="1"/>
  <c r="CZ1118" i="1"/>
  <c r="DA1118" i="1"/>
  <c r="DB1118" i="1"/>
  <c r="CM1118" i="1"/>
  <c r="DF1118" i="1"/>
  <c r="CP1118" i="1"/>
  <c r="DG1118" i="1"/>
  <c r="CL1118" i="1"/>
  <c r="DH1118" i="1"/>
  <c r="CI1118" i="1"/>
  <c r="DN1118" i="1"/>
  <c r="DO1118" i="1"/>
  <c r="DI1118" i="1"/>
  <c r="DJ1118" i="1"/>
  <c r="DK1118" i="1"/>
  <c r="DL1118" i="1"/>
  <c r="CZ1119" i="1"/>
  <c r="DA1119" i="1"/>
  <c r="DB1119" i="1"/>
  <c r="CM1119" i="1"/>
  <c r="DF1119" i="1"/>
  <c r="CP1119" i="1"/>
  <c r="DG1119" i="1"/>
  <c r="CL1119" i="1"/>
  <c r="DH1119" i="1"/>
  <c r="CI1119" i="1"/>
  <c r="DN1119" i="1"/>
  <c r="DO1119" i="1"/>
  <c r="DI1119" i="1"/>
  <c r="DJ1119" i="1"/>
  <c r="DK1119" i="1"/>
  <c r="DL1119" i="1"/>
  <c r="CZ1120" i="1"/>
  <c r="DA1120" i="1"/>
  <c r="DB1120" i="1"/>
  <c r="CM1120" i="1"/>
  <c r="DF1120" i="1"/>
  <c r="CP1120" i="1"/>
  <c r="DG1120" i="1"/>
  <c r="CL1120" i="1"/>
  <c r="DH1120" i="1"/>
  <c r="CI1120" i="1"/>
  <c r="DN1120" i="1"/>
  <c r="DO1120" i="1"/>
  <c r="DI1120" i="1"/>
  <c r="DJ1120" i="1"/>
  <c r="DK1120" i="1"/>
  <c r="DL1120" i="1"/>
  <c r="CZ1121" i="1"/>
  <c r="DA1121" i="1"/>
  <c r="DB1121" i="1"/>
  <c r="CM1121" i="1"/>
  <c r="DF1121" i="1"/>
  <c r="CP1121" i="1"/>
  <c r="DG1121" i="1"/>
  <c r="CL1121" i="1"/>
  <c r="DH1121" i="1"/>
  <c r="CI1121" i="1"/>
  <c r="DN1121" i="1"/>
  <c r="DO1121" i="1"/>
  <c r="DI1121" i="1"/>
  <c r="DJ1121" i="1"/>
  <c r="DK1121" i="1"/>
  <c r="DL1121" i="1"/>
  <c r="CZ1122" i="1"/>
  <c r="DA1122" i="1"/>
  <c r="DB1122" i="1"/>
  <c r="CM1122" i="1"/>
  <c r="DF1122" i="1"/>
  <c r="CP1122" i="1"/>
  <c r="DG1122" i="1"/>
  <c r="CL1122" i="1"/>
  <c r="DH1122" i="1"/>
  <c r="CI1122" i="1"/>
  <c r="DN1122" i="1"/>
  <c r="DO1122" i="1"/>
  <c r="DI1122" i="1"/>
  <c r="DJ1122" i="1"/>
  <c r="DK1122" i="1"/>
  <c r="DL1122" i="1"/>
  <c r="CZ1123" i="1"/>
  <c r="DA1123" i="1"/>
  <c r="DB1123" i="1"/>
  <c r="CM1123" i="1"/>
  <c r="DF1123" i="1"/>
  <c r="CP1123" i="1"/>
  <c r="DG1123" i="1"/>
  <c r="CL1123" i="1"/>
  <c r="DH1123" i="1"/>
  <c r="CI1123" i="1"/>
  <c r="DN1123" i="1"/>
  <c r="DO1123" i="1"/>
  <c r="DI1123" i="1"/>
  <c r="DJ1123" i="1"/>
  <c r="DK1123" i="1"/>
  <c r="DL1123" i="1"/>
  <c r="CZ1124" i="1"/>
  <c r="DA1124" i="1"/>
  <c r="DB1124" i="1"/>
  <c r="CM1124" i="1"/>
  <c r="DF1124" i="1"/>
  <c r="CP1124" i="1"/>
  <c r="DG1124" i="1"/>
  <c r="CL1124" i="1"/>
  <c r="DH1124" i="1"/>
  <c r="CI1124" i="1"/>
  <c r="DN1124" i="1"/>
  <c r="DO1124" i="1"/>
  <c r="DI1124" i="1"/>
  <c r="DJ1124" i="1"/>
  <c r="DK1124" i="1"/>
  <c r="DL1124" i="1"/>
  <c r="CZ1125" i="1"/>
  <c r="DA1125" i="1"/>
  <c r="DB1125" i="1"/>
  <c r="CM1125" i="1"/>
  <c r="DF1125" i="1"/>
  <c r="CP1125" i="1"/>
  <c r="DG1125" i="1"/>
  <c r="CL1125" i="1"/>
  <c r="DH1125" i="1"/>
  <c r="CI1125" i="1"/>
  <c r="DN1125" i="1"/>
  <c r="DO1125" i="1"/>
  <c r="DI1125" i="1"/>
  <c r="DJ1125" i="1"/>
  <c r="DK1125" i="1"/>
  <c r="DL1125" i="1"/>
  <c r="CZ1126" i="1"/>
  <c r="DA1126" i="1"/>
  <c r="DB1126" i="1"/>
  <c r="CM1126" i="1"/>
  <c r="DF1126" i="1"/>
  <c r="CP1126" i="1"/>
  <c r="DG1126" i="1"/>
  <c r="CL1126" i="1"/>
  <c r="DH1126" i="1"/>
  <c r="CI1126" i="1"/>
  <c r="DN1126" i="1"/>
  <c r="DO1126" i="1"/>
  <c r="DI1126" i="1"/>
  <c r="DJ1126" i="1"/>
  <c r="DK1126" i="1"/>
  <c r="DL1126" i="1"/>
  <c r="CZ1127" i="1"/>
  <c r="DA1127" i="1"/>
  <c r="DB1127" i="1"/>
  <c r="CM1127" i="1"/>
  <c r="DF1127" i="1"/>
  <c r="CP1127" i="1"/>
  <c r="DG1127" i="1"/>
  <c r="CL1127" i="1"/>
  <c r="DH1127" i="1"/>
  <c r="CI1127" i="1"/>
  <c r="DN1127" i="1"/>
  <c r="DO1127" i="1"/>
  <c r="DI1127" i="1"/>
  <c r="DJ1127" i="1"/>
  <c r="DK1127" i="1"/>
  <c r="DL1127" i="1"/>
  <c r="CZ1128" i="1"/>
  <c r="DA1128" i="1"/>
  <c r="DB1128" i="1"/>
  <c r="CM1128" i="1"/>
  <c r="DF1128" i="1"/>
  <c r="CP1128" i="1"/>
  <c r="DG1128" i="1"/>
  <c r="CL1128" i="1"/>
  <c r="DH1128" i="1"/>
  <c r="CI1128" i="1"/>
  <c r="DN1128" i="1"/>
  <c r="DO1128" i="1"/>
  <c r="DI1128" i="1"/>
  <c r="DJ1128" i="1"/>
  <c r="DK1128" i="1"/>
  <c r="DL1128" i="1"/>
  <c r="CZ1129" i="1"/>
  <c r="DA1129" i="1"/>
  <c r="DB1129" i="1"/>
  <c r="CM1129" i="1"/>
  <c r="DF1129" i="1"/>
  <c r="CP1129" i="1"/>
  <c r="DG1129" i="1"/>
  <c r="CL1129" i="1"/>
  <c r="DH1129" i="1"/>
  <c r="CI1129" i="1"/>
  <c r="DN1129" i="1"/>
  <c r="DO1129" i="1"/>
  <c r="DI1129" i="1"/>
  <c r="DJ1129" i="1"/>
  <c r="DK1129" i="1"/>
  <c r="DL1129" i="1"/>
  <c r="CZ1130" i="1"/>
  <c r="DA1130" i="1"/>
  <c r="DB1130" i="1"/>
  <c r="CM1130" i="1"/>
  <c r="DF1130" i="1"/>
  <c r="CP1130" i="1"/>
  <c r="DG1130" i="1"/>
  <c r="CL1130" i="1"/>
  <c r="DH1130" i="1"/>
  <c r="CI1130" i="1"/>
  <c r="DN1130" i="1"/>
  <c r="DO1130" i="1"/>
  <c r="DI1130" i="1"/>
  <c r="DJ1130" i="1"/>
  <c r="DK1130" i="1"/>
  <c r="DL1130" i="1"/>
  <c r="CZ1131" i="1"/>
  <c r="DA1131" i="1"/>
  <c r="DB1131" i="1"/>
  <c r="CM1131" i="1"/>
  <c r="DF1131" i="1"/>
  <c r="CP1131" i="1"/>
  <c r="DG1131" i="1"/>
  <c r="CL1131" i="1"/>
  <c r="DH1131" i="1"/>
  <c r="CI1131" i="1"/>
  <c r="DN1131" i="1"/>
  <c r="DO1131" i="1"/>
  <c r="DI1131" i="1"/>
  <c r="DJ1131" i="1"/>
  <c r="DK1131" i="1"/>
  <c r="DL1131" i="1"/>
  <c r="CZ1132" i="1"/>
  <c r="DA1132" i="1"/>
  <c r="DB1132" i="1"/>
  <c r="CM1132" i="1"/>
  <c r="DF1132" i="1"/>
  <c r="CP1132" i="1"/>
  <c r="DG1132" i="1"/>
  <c r="CL1132" i="1"/>
  <c r="DH1132" i="1"/>
  <c r="CI1132" i="1"/>
  <c r="DN1132" i="1"/>
  <c r="DO1132" i="1"/>
  <c r="DI1132" i="1"/>
  <c r="DJ1132" i="1"/>
  <c r="DK1132" i="1"/>
  <c r="DL1132" i="1"/>
  <c r="CZ1133" i="1"/>
  <c r="DA1133" i="1"/>
  <c r="DB1133" i="1"/>
  <c r="CM1133" i="1"/>
  <c r="DF1133" i="1"/>
  <c r="CP1133" i="1"/>
  <c r="DG1133" i="1"/>
  <c r="CL1133" i="1"/>
  <c r="DH1133" i="1"/>
  <c r="CI1133" i="1"/>
  <c r="DN1133" i="1"/>
  <c r="DO1133" i="1"/>
  <c r="DI1133" i="1"/>
  <c r="DJ1133" i="1"/>
  <c r="DK1133" i="1"/>
  <c r="DL1133" i="1"/>
  <c r="CZ1134" i="1"/>
  <c r="DA1134" i="1"/>
  <c r="DB1134" i="1"/>
  <c r="CM1134" i="1"/>
  <c r="DF1134" i="1"/>
  <c r="CP1134" i="1"/>
  <c r="DG1134" i="1"/>
  <c r="CL1134" i="1"/>
  <c r="DH1134" i="1"/>
  <c r="CI1134" i="1"/>
  <c r="DN1134" i="1"/>
  <c r="DO1134" i="1"/>
  <c r="DI1134" i="1"/>
  <c r="DJ1134" i="1"/>
  <c r="DK1134" i="1"/>
  <c r="DL1134" i="1"/>
  <c r="CZ1135" i="1"/>
  <c r="DA1135" i="1"/>
  <c r="DB1135" i="1"/>
  <c r="CM1135" i="1"/>
  <c r="DF1135" i="1"/>
  <c r="CP1135" i="1"/>
  <c r="DG1135" i="1"/>
  <c r="CL1135" i="1"/>
  <c r="DH1135" i="1"/>
  <c r="CI1135" i="1"/>
  <c r="DN1135" i="1"/>
  <c r="DO1135" i="1"/>
  <c r="DI1135" i="1"/>
  <c r="DJ1135" i="1"/>
  <c r="DK1135" i="1"/>
  <c r="DL1135" i="1"/>
  <c r="CZ1136" i="1"/>
  <c r="DA1136" i="1"/>
  <c r="DB1136" i="1"/>
  <c r="CM1136" i="1"/>
  <c r="DF1136" i="1"/>
  <c r="CP1136" i="1"/>
  <c r="DG1136" i="1"/>
  <c r="CL1136" i="1"/>
  <c r="DH1136" i="1"/>
  <c r="CI1136" i="1"/>
  <c r="DN1136" i="1"/>
  <c r="DO1136" i="1"/>
  <c r="DI1136" i="1"/>
  <c r="DJ1136" i="1"/>
  <c r="DK1136" i="1"/>
  <c r="DL1136" i="1"/>
  <c r="CZ1137" i="1"/>
  <c r="DA1137" i="1"/>
  <c r="DB1137" i="1"/>
  <c r="CM1137" i="1"/>
  <c r="DF1137" i="1"/>
  <c r="CP1137" i="1"/>
  <c r="DG1137" i="1"/>
  <c r="CL1137" i="1"/>
  <c r="DH1137" i="1"/>
  <c r="CI1137" i="1"/>
  <c r="DN1137" i="1"/>
  <c r="DO1137" i="1"/>
  <c r="DI1137" i="1"/>
  <c r="DJ1137" i="1"/>
  <c r="DK1137" i="1"/>
  <c r="DL1137" i="1"/>
  <c r="CZ1138" i="1"/>
  <c r="DA1138" i="1"/>
  <c r="DB1138" i="1"/>
  <c r="CM1138" i="1"/>
  <c r="DF1138" i="1"/>
  <c r="CP1138" i="1"/>
  <c r="DG1138" i="1"/>
  <c r="CL1138" i="1"/>
  <c r="DH1138" i="1"/>
  <c r="CI1138" i="1"/>
  <c r="DN1138" i="1"/>
  <c r="DO1138" i="1"/>
  <c r="DI1138" i="1"/>
  <c r="DJ1138" i="1"/>
  <c r="DK1138" i="1"/>
  <c r="DL1138" i="1"/>
  <c r="CZ1139" i="1"/>
  <c r="DA1139" i="1"/>
  <c r="DB1139" i="1"/>
  <c r="CM1139" i="1"/>
  <c r="DF1139" i="1"/>
  <c r="CP1139" i="1"/>
  <c r="DG1139" i="1"/>
  <c r="CL1139" i="1"/>
  <c r="DH1139" i="1"/>
  <c r="CI1139" i="1"/>
  <c r="DN1139" i="1"/>
  <c r="DO1139" i="1"/>
  <c r="DI1139" i="1"/>
  <c r="DJ1139" i="1"/>
  <c r="DK1139" i="1"/>
  <c r="DL1139" i="1"/>
  <c r="CZ1140" i="1"/>
  <c r="DA1140" i="1"/>
  <c r="DB1140" i="1"/>
  <c r="CM1140" i="1"/>
  <c r="DF1140" i="1"/>
  <c r="CP1140" i="1"/>
  <c r="DG1140" i="1"/>
  <c r="CL1140" i="1"/>
  <c r="DH1140" i="1"/>
  <c r="CI1140" i="1"/>
  <c r="DN1140" i="1"/>
  <c r="DO1140" i="1"/>
  <c r="DI1140" i="1"/>
  <c r="DJ1140" i="1"/>
  <c r="DK1140" i="1"/>
  <c r="DL1140" i="1"/>
  <c r="CZ1141" i="1"/>
  <c r="DA1141" i="1"/>
  <c r="DB1141" i="1"/>
  <c r="CM1141" i="1"/>
  <c r="DF1141" i="1"/>
  <c r="CP1141" i="1"/>
  <c r="DG1141" i="1"/>
  <c r="CL1141" i="1"/>
  <c r="DH1141" i="1"/>
  <c r="CI1141" i="1"/>
  <c r="DN1141" i="1"/>
  <c r="DO1141" i="1"/>
  <c r="DI1141" i="1"/>
  <c r="DJ1141" i="1"/>
  <c r="DK1141" i="1"/>
  <c r="DL1141" i="1"/>
  <c r="CZ1142" i="1"/>
  <c r="DA1142" i="1"/>
  <c r="DB1142" i="1"/>
  <c r="CM1142" i="1"/>
  <c r="DF1142" i="1"/>
  <c r="CP1142" i="1"/>
  <c r="DG1142" i="1"/>
  <c r="CL1142" i="1"/>
  <c r="DH1142" i="1"/>
  <c r="CI1142" i="1"/>
  <c r="DN1142" i="1"/>
  <c r="DO1142" i="1"/>
  <c r="DI1142" i="1"/>
  <c r="DJ1142" i="1"/>
  <c r="DK1142" i="1"/>
  <c r="DL1142" i="1"/>
  <c r="CZ1143" i="1"/>
  <c r="DA1143" i="1"/>
  <c r="DB1143" i="1"/>
  <c r="CM1143" i="1"/>
  <c r="DF1143" i="1"/>
  <c r="CP1143" i="1"/>
  <c r="DG1143" i="1"/>
  <c r="CL1143" i="1"/>
  <c r="DH1143" i="1"/>
  <c r="CI1143" i="1"/>
  <c r="DN1143" i="1"/>
  <c r="DO1143" i="1"/>
  <c r="DI1143" i="1"/>
  <c r="DJ1143" i="1"/>
  <c r="DK1143" i="1"/>
  <c r="DL1143" i="1"/>
  <c r="CZ1144" i="1"/>
  <c r="DA1144" i="1"/>
  <c r="DB1144" i="1"/>
  <c r="CM1144" i="1"/>
  <c r="DF1144" i="1"/>
  <c r="CP1144" i="1"/>
  <c r="DG1144" i="1"/>
  <c r="CL1144" i="1"/>
  <c r="DH1144" i="1"/>
  <c r="CI1144" i="1"/>
  <c r="DN1144" i="1"/>
  <c r="DO1144" i="1"/>
  <c r="DI1144" i="1"/>
  <c r="DJ1144" i="1"/>
  <c r="DK1144" i="1"/>
  <c r="DL1144" i="1"/>
  <c r="CZ1145" i="1"/>
  <c r="DA1145" i="1"/>
  <c r="DB1145" i="1"/>
  <c r="CM1145" i="1"/>
  <c r="DF1145" i="1"/>
  <c r="CP1145" i="1"/>
  <c r="DG1145" i="1"/>
  <c r="CL1145" i="1"/>
  <c r="DH1145" i="1"/>
  <c r="CI1145" i="1"/>
  <c r="DN1145" i="1"/>
  <c r="DO1145" i="1"/>
  <c r="DI1145" i="1"/>
  <c r="DJ1145" i="1"/>
  <c r="DK1145" i="1"/>
  <c r="DL1145" i="1"/>
  <c r="CZ1146" i="1"/>
  <c r="DA1146" i="1"/>
  <c r="DB1146" i="1"/>
  <c r="CM1146" i="1"/>
  <c r="DF1146" i="1"/>
  <c r="CP1146" i="1"/>
  <c r="DG1146" i="1"/>
  <c r="CL1146" i="1"/>
  <c r="DH1146" i="1"/>
  <c r="CI1146" i="1"/>
  <c r="DN1146" i="1"/>
  <c r="DO1146" i="1"/>
  <c r="DI1146" i="1"/>
  <c r="DJ1146" i="1"/>
  <c r="DK1146" i="1"/>
  <c r="DL1146" i="1"/>
  <c r="CZ1147" i="1"/>
  <c r="DA1147" i="1"/>
  <c r="DB1147" i="1"/>
  <c r="CM1147" i="1"/>
  <c r="DF1147" i="1"/>
  <c r="CP1147" i="1"/>
  <c r="DG1147" i="1"/>
  <c r="CL1147" i="1"/>
  <c r="DH1147" i="1"/>
  <c r="CI1147" i="1"/>
  <c r="DN1147" i="1"/>
  <c r="DO1147" i="1"/>
  <c r="DI1147" i="1"/>
  <c r="DJ1147" i="1"/>
  <c r="DK1147" i="1"/>
  <c r="DL1147" i="1"/>
  <c r="CZ1148" i="1"/>
  <c r="DA1148" i="1"/>
  <c r="DB1148" i="1"/>
  <c r="CM1148" i="1"/>
  <c r="DF1148" i="1"/>
  <c r="CP1148" i="1"/>
  <c r="DG1148" i="1"/>
  <c r="CL1148" i="1"/>
  <c r="DH1148" i="1"/>
  <c r="CI1148" i="1"/>
  <c r="DN1148" i="1"/>
  <c r="DO1148" i="1"/>
  <c r="DI1148" i="1"/>
  <c r="DJ1148" i="1"/>
  <c r="DK1148" i="1"/>
  <c r="DL1148" i="1"/>
  <c r="CZ1149" i="1"/>
  <c r="DA1149" i="1"/>
  <c r="DB1149" i="1"/>
  <c r="CM1149" i="1"/>
  <c r="DF1149" i="1"/>
  <c r="CP1149" i="1"/>
  <c r="DG1149" i="1"/>
  <c r="CL1149" i="1"/>
  <c r="DH1149" i="1"/>
  <c r="CI1149" i="1"/>
  <c r="DN1149" i="1"/>
  <c r="DO1149" i="1"/>
  <c r="DI1149" i="1"/>
  <c r="DJ1149" i="1"/>
  <c r="DK1149" i="1"/>
  <c r="DL1149" i="1"/>
  <c r="CZ1150" i="1"/>
  <c r="DA1150" i="1"/>
  <c r="DB1150" i="1"/>
  <c r="CM1150" i="1"/>
  <c r="DF1150" i="1"/>
  <c r="CP1150" i="1"/>
  <c r="DG1150" i="1"/>
  <c r="CL1150" i="1"/>
  <c r="DH1150" i="1"/>
  <c r="CI1150" i="1"/>
  <c r="DN1150" i="1"/>
  <c r="DO1150" i="1"/>
  <c r="DI1150" i="1"/>
  <c r="DJ1150" i="1"/>
  <c r="DK1150" i="1"/>
  <c r="DL1150" i="1"/>
  <c r="CZ1151" i="1"/>
  <c r="DA1151" i="1"/>
  <c r="DB1151" i="1"/>
  <c r="CM1151" i="1"/>
  <c r="DF1151" i="1"/>
  <c r="CP1151" i="1"/>
  <c r="DG1151" i="1"/>
  <c r="CL1151" i="1"/>
  <c r="DH1151" i="1"/>
  <c r="CI1151" i="1"/>
  <c r="DN1151" i="1"/>
  <c r="DO1151" i="1"/>
  <c r="DI1151" i="1"/>
  <c r="DJ1151" i="1"/>
  <c r="DK1151" i="1"/>
  <c r="DL1151" i="1"/>
  <c r="CZ1152" i="1"/>
  <c r="DA1152" i="1"/>
  <c r="DB1152" i="1"/>
  <c r="CM1152" i="1"/>
  <c r="DF1152" i="1"/>
  <c r="CP1152" i="1"/>
  <c r="DG1152" i="1"/>
  <c r="CL1152" i="1"/>
  <c r="DH1152" i="1"/>
  <c r="CI1152" i="1"/>
  <c r="DN1152" i="1"/>
  <c r="DO1152" i="1"/>
  <c r="DI1152" i="1"/>
  <c r="DJ1152" i="1"/>
  <c r="DK1152" i="1"/>
  <c r="DL1152" i="1"/>
  <c r="CZ1153" i="1"/>
  <c r="DA1153" i="1"/>
  <c r="DB1153" i="1"/>
  <c r="CM1153" i="1"/>
  <c r="DF1153" i="1"/>
  <c r="CP1153" i="1"/>
  <c r="DG1153" i="1"/>
  <c r="CL1153" i="1"/>
  <c r="DH1153" i="1"/>
  <c r="CI1153" i="1"/>
  <c r="DN1153" i="1"/>
  <c r="DO1153" i="1"/>
  <c r="DI1153" i="1"/>
  <c r="DJ1153" i="1"/>
  <c r="DK1153" i="1"/>
  <c r="DL1153" i="1"/>
  <c r="CZ1154" i="1"/>
  <c r="DA1154" i="1"/>
  <c r="DB1154" i="1"/>
  <c r="CM1154" i="1"/>
  <c r="DF1154" i="1"/>
  <c r="CP1154" i="1"/>
  <c r="DG1154" i="1"/>
  <c r="CL1154" i="1"/>
  <c r="DH1154" i="1"/>
  <c r="CI1154" i="1"/>
  <c r="DN1154" i="1"/>
  <c r="DO1154" i="1"/>
  <c r="DI1154" i="1"/>
  <c r="DJ1154" i="1"/>
  <c r="DK1154" i="1"/>
  <c r="DL1154" i="1"/>
  <c r="CZ1155" i="1"/>
  <c r="DA1155" i="1"/>
  <c r="DB1155" i="1"/>
  <c r="CM1155" i="1"/>
  <c r="DF1155" i="1"/>
  <c r="CP1155" i="1"/>
  <c r="DG1155" i="1"/>
  <c r="CL1155" i="1"/>
  <c r="DH1155" i="1"/>
  <c r="CI1155" i="1"/>
  <c r="DN1155" i="1"/>
  <c r="DO1155" i="1"/>
  <c r="DI1155" i="1"/>
  <c r="DJ1155" i="1"/>
  <c r="DK1155" i="1"/>
  <c r="DL1155" i="1"/>
  <c r="CZ1156" i="1"/>
  <c r="DA1156" i="1"/>
  <c r="DB1156" i="1"/>
  <c r="CM1156" i="1"/>
  <c r="DF1156" i="1"/>
  <c r="CP1156" i="1"/>
  <c r="DG1156" i="1"/>
  <c r="CL1156" i="1"/>
  <c r="DH1156" i="1"/>
  <c r="CI1156" i="1"/>
  <c r="DN1156" i="1"/>
  <c r="DO1156" i="1"/>
  <c r="DI1156" i="1"/>
  <c r="DJ1156" i="1"/>
  <c r="DK1156" i="1"/>
  <c r="DL1156" i="1"/>
  <c r="CZ1157" i="1"/>
  <c r="DA1157" i="1"/>
  <c r="DB1157" i="1"/>
  <c r="CM1157" i="1"/>
  <c r="DF1157" i="1"/>
  <c r="CP1157" i="1"/>
  <c r="DG1157" i="1"/>
  <c r="CL1157" i="1"/>
  <c r="DH1157" i="1"/>
  <c r="CI1157" i="1"/>
  <c r="DN1157" i="1"/>
  <c r="DO1157" i="1"/>
  <c r="DI1157" i="1"/>
  <c r="DJ1157" i="1"/>
  <c r="DK1157" i="1"/>
  <c r="DL1157" i="1"/>
  <c r="CZ1158" i="1"/>
  <c r="DA1158" i="1"/>
  <c r="DB1158" i="1"/>
  <c r="CM1158" i="1"/>
  <c r="DF1158" i="1"/>
  <c r="CP1158" i="1"/>
  <c r="DG1158" i="1"/>
  <c r="CL1158" i="1"/>
  <c r="DH1158" i="1"/>
  <c r="CI1158" i="1"/>
  <c r="DN1158" i="1"/>
  <c r="DO1158" i="1"/>
  <c r="DI1158" i="1"/>
  <c r="DJ1158" i="1"/>
  <c r="DK1158" i="1"/>
  <c r="DL1158" i="1"/>
  <c r="CZ1159" i="1"/>
  <c r="DA1159" i="1"/>
  <c r="DB1159" i="1"/>
  <c r="CM1159" i="1"/>
  <c r="DF1159" i="1"/>
  <c r="CP1159" i="1"/>
  <c r="DG1159" i="1"/>
  <c r="CL1159" i="1"/>
  <c r="DH1159" i="1"/>
  <c r="CI1159" i="1"/>
  <c r="DN1159" i="1"/>
  <c r="DO1159" i="1"/>
  <c r="DI1159" i="1"/>
  <c r="DJ1159" i="1"/>
  <c r="DK1159" i="1"/>
  <c r="DL1159" i="1"/>
  <c r="CZ1160" i="1"/>
  <c r="DA1160" i="1"/>
  <c r="DB1160" i="1"/>
  <c r="CM1160" i="1"/>
  <c r="DF1160" i="1"/>
  <c r="CP1160" i="1"/>
  <c r="DG1160" i="1"/>
  <c r="CL1160" i="1"/>
  <c r="DH1160" i="1"/>
  <c r="CI1160" i="1"/>
  <c r="DN1160" i="1"/>
  <c r="DO1160" i="1"/>
  <c r="DI1160" i="1"/>
  <c r="DJ1160" i="1"/>
  <c r="DK1160" i="1"/>
  <c r="DL1160" i="1"/>
  <c r="CZ1161" i="1"/>
  <c r="DA1161" i="1"/>
  <c r="DB1161" i="1"/>
  <c r="CM1161" i="1"/>
  <c r="DF1161" i="1"/>
  <c r="CP1161" i="1"/>
  <c r="DG1161" i="1"/>
  <c r="CL1161" i="1"/>
  <c r="DH1161" i="1"/>
  <c r="CI1161" i="1"/>
  <c r="DN1161" i="1"/>
  <c r="DO1161" i="1"/>
  <c r="DI1161" i="1"/>
  <c r="DJ1161" i="1"/>
  <c r="DK1161" i="1"/>
  <c r="DL1161" i="1"/>
  <c r="CZ1162" i="1"/>
  <c r="DA1162" i="1"/>
  <c r="DB1162" i="1"/>
  <c r="CM1162" i="1"/>
  <c r="DF1162" i="1"/>
  <c r="CP1162" i="1"/>
  <c r="DG1162" i="1"/>
  <c r="CL1162" i="1"/>
  <c r="DH1162" i="1"/>
  <c r="CI1162" i="1"/>
  <c r="DN1162" i="1"/>
  <c r="DO1162" i="1"/>
  <c r="DI1162" i="1"/>
  <c r="DJ1162" i="1"/>
  <c r="DK1162" i="1"/>
  <c r="DL1162" i="1"/>
  <c r="CZ1163" i="1"/>
  <c r="DA1163" i="1"/>
  <c r="DB1163" i="1"/>
  <c r="CM1163" i="1"/>
  <c r="DF1163" i="1"/>
  <c r="CP1163" i="1"/>
  <c r="DG1163" i="1"/>
  <c r="CL1163" i="1"/>
  <c r="DH1163" i="1"/>
  <c r="CI1163" i="1"/>
  <c r="DN1163" i="1"/>
  <c r="DO1163" i="1"/>
  <c r="DI1163" i="1"/>
  <c r="DJ1163" i="1"/>
  <c r="DK1163" i="1"/>
  <c r="DL1163" i="1"/>
  <c r="CZ1164" i="1"/>
  <c r="DA1164" i="1"/>
  <c r="DB1164" i="1"/>
  <c r="CM1164" i="1"/>
  <c r="DF1164" i="1"/>
  <c r="CP1164" i="1"/>
  <c r="DG1164" i="1"/>
  <c r="CL1164" i="1"/>
  <c r="DH1164" i="1"/>
  <c r="CI1164" i="1"/>
  <c r="DN1164" i="1"/>
  <c r="DO1164" i="1"/>
  <c r="DI1164" i="1"/>
  <c r="DJ1164" i="1"/>
  <c r="DK1164" i="1"/>
  <c r="DL1164" i="1"/>
  <c r="CZ1165" i="1"/>
  <c r="DA1165" i="1"/>
  <c r="DB1165" i="1"/>
  <c r="CM1165" i="1"/>
  <c r="DF1165" i="1"/>
  <c r="CP1165" i="1"/>
  <c r="DG1165" i="1"/>
  <c r="CL1165" i="1"/>
  <c r="DH1165" i="1"/>
  <c r="CI1165" i="1"/>
  <c r="DN1165" i="1"/>
  <c r="DO1165" i="1"/>
  <c r="DI1165" i="1"/>
  <c r="DJ1165" i="1"/>
  <c r="DK1165" i="1"/>
  <c r="DL1165" i="1"/>
  <c r="CZ1166" i="1"/>
  <c r="DA1166" i="1"/>
  <c r="DB1166" i="1"/>
  <c r="CM1166" i="1"/>
  <c r="DF1166" i="1"/>
  <c r="CP1166" i="1"/>
  <c r="DG1166" i="1"/>
  <c r="CL1166" i="1"/>
  <c r="DH1166" i="1"/>
  <c r="CI1166" i="1"/>
  <c r="DN1166" i="1"/>
  <c r="DO1166" i="1"/>
  <c r="DI1166" i="1"/>
  <c r="DJ1166" i="1"/>
  <c r="DK1166" i="1"/>
  <c r="DL1166" i="1"/>
  <c r="CZ1167" i="1"/>
  <c r="DA1167" i="1"/>
  <c r="DB1167" i="1"/>
  <c r="CM1167" i="1"/>
  <c r="DF1167" i="1"/>
  <c r="CP1167" i="1"/>
  <c r="DG1167" i="1"/>
  <c r="CL1167" i="1"/>
  <c r="DH1167" i="1"/>
  <c r="CI1167" i="1"/>
  <c r="DN1167" i="1"/>
  <c r="DO1167" i="1"/>
  <c r="DI1167" i="1"/>
  <c r="DJ1167" i="1"/>
  <c r="DK1167" i="1"/>
  <c r="DL1167" i="1"/>
  <c r="CZ1168" i="1"/>
  <c r="DA1168" i="1"/>
  <c r="DB1168" i="1"/>
  <c r="CM1168" i="1"/>
  <c r="DF1168" i="1"/>
  <c r="CP1168" i="1"/>
  <c r="DG1168" i="1"/>
  <c r="CL1168" i="1"/>
  <c r="DH1168" i="1"/>
  <c r="CI1168" i="1"/>
  <c r="DN1168" i="1"/>
  <c r="DO1168" i="1"/>
  <c r="DI1168" i="1"/>
  <c r="DJ1168" i="1"/>
  <c r="DK1168" i="1"/>
  <c r="DL1168" i="1"/>
  <c r="CZ1169" i="1"/>
  <c r="DA1169" i="1"/>
  <c r="DB1169" i="1"/>
  <c r="CM1169" i="1"/>
  <c r="DF1169" i="1"/>
  <c r="CP1169" i="1"/>
  <c r="DG1169" i="1"/>
  <c r="CL1169" i="1"/>
  <c r="DH1169" i="1"/>
  <c r="CI1169" i="1"/>
  <c r="DN1169" i="1"/>
  <c r="DO1169" i="1"/>
  <c r="DI1169" i="1"/>
  <c r="DJ1169" i="1"/>
  <c r="DK1169" i="1"/>
  <c r="DL1169" i="1"/>
  <c r="CZ1170" i="1"/>
  <c r="DA1170" i="1"/>
  <c r="DB1170" i="1"/>
  <c r="CM1170" i="1"/>
  <c r="DF1170" i="1"/>
  <c r="CP1170" i="1"/>
  <c r="DG1170" i="1"/>
  <c r="CL1170" i="1"/>
  <c r="DH1170" i="1"/>
  <c r="CI1170" i="1"/>
  <c r="DN1170" i="1"/>
  <c r="DO1170" i="1"/>
  <c r="DI1170" i="1"/>
  <c r="DJ1170" i="1"/>
  <c r="DK1170" i="1"/>
  <c r="DL1170" i="1"/>
  <c r="CZ1171" i="1"/>
  <c r="DA1171" i="1"/>
  <c r="DB1171" i="1"/>
  <c r="CM1171" i="1"/>
  <c r="DF1171" i="1"/>
  <c r="CP1171" i="1"/>
  <c r="DG1171" i="1"/>
  <c r="CL1171" i="1"/>
  <c r="DH1171" i="1"/>
  <c r="CI1171" i="1"/>
  <c r="DN1171" i="1"/>
  <c r="DO1171" i="1"/>
  <c r="DI1171" i="1"/>
  <c r="DJ1171" i="1"/>
  <c r="DK1171" i="1"/>
  <c r="DL1171" i="1"/>
  <c r="CZ1172" i="1"/>
  <c r="DA1172" i="1"/>
  <c r="DB1172" i="1"/>
  <c r="CM1172" i="1"/>
  <c r="DF1172" i="1"/>
  <c r="CP1172" i="1"/>
  <c r="DG1172" i="1"/>
  <c r="CL1172" i="1"/>
  <c r="DH1172" i="1"/>
  <c r="CI1172" i="1"/>
  <c r="DN1172" i="1"/>
  <c r="DO1172" i="1"/>
  <c r="DI1172" i="1"/>
  <c r="DJ1172" i="1"/>
  <c r="DK1172" i="1"/>
  <c r="DL1172" i="1"/>
  <c r="CZ1173" i="1"/>
  <c r="DA1173" i="1"/>
  <c r="DB1173" i="1"/>
  <c r="CM1173" i="1"/>
  <c r="DF1173" i="1"/>
  <c r="CP1173" i="1"/>
  <c r="DG1173" i="1"/>
  <c r="CL1173" i="1"/>
  <c r="DH1173" i="1"/>
  <c r="CI1173" i="1"/>
  <c r="DN1173" i="1"/>
  <c r="DO1173" i="1"/>
  <c r="DI1173" i="1"/>
  <c r="DJ1173" i="1"/>
  <c r="DK1173" i="1"/>
  <c r="DL1173" i="1"/>
  <c r="CZ1174" i="1"/>
  <c r="DA1174" i="1"/>
  <c r="DB1174" i="1"/>
  <c r="CM1174" i="1"/>
  <c r="DF1174" i="1"/>
  <c r="CP1174" i="1"/>
  <c r="DG1174" i="1"/>
  <c r="CL1174" i="1"/>
  <c r="DH1174" i="1"/>
  <c r="CI1174" i="1"/>
  <c r="DN1174" i="1"/>
  <c r="DO1174" i="1"/>
  <c r="DI1174" i="1"/>
  <c r="DJ1174" i="1"/>
  <c r="DK1174" i="1"/>
  <c r="DL1174" i="1"/>
  <c r="CZ1175" i="1"/>
  <c r="DA1175" i="1"/>
  <c r="DB1175" i="1"/>
  <c r="CM1175" i="1"/>
  <c r="DF1175" i="1"/>
  <c r="CP1175" i="1"/>
  <c r="DG1175" i="1"/>
  <c r="CL1175" i="1"/>
  <c r="DH1175" i="1"/>
  <c r="CI1175" i="1"/>
  <c r="DN1175" i="1"/>
  <c r="DO1175" i="1"/>
  <c r="DI1175" i="1"/>
  <c r="DJ1175" i="1"/>
  <c r="DK1175" i="1"/>
  <c r="DL1175" i="1"/>
  <c r="CZ1176" i="1"/>
  <c r="DA1176" i="1"/>
  <c r="DB1176" i="1"/>
  <c r="CM1176" i="1"/>
  <c r="DF1176" i="1"/>
  <c r="CP1176" i="1"/>
  <c r="DG1176" i="1"/>
  <c r="CL1176" i="1"/>
  <c r="DH1176" i="1"/>
  <c r="CI1176" i="1"/>
  <c r="DN1176" i="1"/>
  <c r="DO1176" i="1"/>
  <c r="DI1176" i="1"/>
  <c r="DJ1176" i="1"/>
  <c r="DK1176" i="1"/>
  <c r="DL1176" i="1"/>
  <c r="CZ1177" i="1"/>
  <c r="DA1177" i="1"/>
  <c r="DB1177" i="1"/>
  <c r="CM1177" i="1"/>
  <c r="DF1177" i="1"/>
  <c r="CP1177" i="1"/>
  <c r="DG1177" i="1"/>
  <c r="CL1177" i="1"/>
  <c r="DH1177" i="1"/>
  <c r="CI1177" i="1"/>
  <c r="DN1177" i="1"/>
  <c r="DO1177" i="1"/>
  <c r="DI1177" i="1"/>
  <c r="DJ1177" i="1"/>
  <c r="DK1177" i="1"/>
  <c r="DL1177" i="1"/>
  <c r="CZ1178" i="1"/>
  <c r="DA1178" i="1"/>
  <c r="DB1178" i="1"/>
  <c r="CM1178" i="1"/>
  <c r="DF1178" i="1"/>
  <c r="CP1178" i="1"/>
  <c r="DG1178" i="1"/>
  <c r="CL1178" i="1"/>
  <c r="DH1178" i="1"/>
  <c r="CI1178" i="1"/>
  <c r="DN1178" i="1"/>
  <c r="DO1178" i="1"/>
  <c r="DI1178" i="1"/>
  <c r="DJ1178" i="1"/>
  <c r="DK1178" i="1"/>
  <c r="DL1178" i="1"/>
  <c r="CZ1179" i="1"/>
  <c r="DA1179" i="1"/>
  <c r="DB1179" i="1"/>
  <c r="CM1179" i="1"/>
  <c r="DF1179" i="1"/>
  <c r="CP1179" i="1"/>
  <c r="DG1179" i="1"/>
  <c r="CL1179" i="1"/>
  <c r="DH1179" i="1"/>
  <c r="CI1179" i="1"/>
  <c r="DN1179" i="1"/>
  <c r="DO1179" i="1"/>
  <c r="DI1179" i="1"/>
  <c r="DJ1179" i="1"/>
  <c r="DK1179" i="1"/>
  <c r="DL1179" i="1"/>
  <c r="CZ1180" i="1"/>
  <c r="DA1180" i="1"/>
  <c r="DB1180" i="1"/>
  <c r="CM1180" i="1"/>
  <c r="DF1180" i="1"/>
  <c r="CP1180" i="1"/>
  <c r="DG1180" i="1"/>
  <c r="CL1180" i="1"/>
  <c r="DH1180" i="1"/>
  <c r="CI1180" i="1"/>
  <c r="DN1180" i="1"/>
  <c r="DO1180" i="1"/>
  <c r="DI1180" i="1"/>
  <c r="DJ1180" i="1"/>
  <c r="DK1180" i="1"/>
  <c r="DL1180" i="1"/>
  <c r="CZ1181" i="1"/>
  <c r="DA1181" i="1"/>
  <c r="DB1181" i="1"/>
  <c r="CM1181" i="1"/>
  <c r="DF1181" i="1"/>
  <c r="CP1181" i="1"/>
  <c r="DG1181" i="1"/>
  <c r="CL1181" i="1"/>
  <c r="DH1181" i="1"/>
  <c r="CI1181" i="1"/>
  <c r="DN1181" i="1"/>
  <c r="DO1181" i="1"/>
  <c r="DI1181" i="1"/>
  <c r="DJ1181" i="1"/>
  <c r="DK1181" i="1"/>
  <c r="DL1181" i="1"/>
  <c r="CZ1182" i="1"/>
  <c r="DA1182" i="1"/>
  <c r="DB1182" i="1"/>
  <c r="CM1182" i="1"/>
  <c r="DF1182" i="1"/>
  <c r="CP1182" i="1"/>
  <c r="DG1182" i="1"/>
  <c r="CL1182" i="1"/>
  <c r="DH1182" i="1"/>
  <c r="CI1182" i="1"/>
  <c r="DN1182" i="1"/>
  <c r="DO1182" i="1"/>
  <c r="DI1182" i="1"/>
  <c r="DJ1182" i="1"/>
  <c r="DK1182" i="1"/>
  <c r="DL1182" i="1"/>
  <c r="CZ1183" i="1"/>
  <c r="DA1183" i="1"/>
  <c r="DB1183" i="1"/>
  <c r="CM1183" i="1"/>
  <c r="DF1183" i="1"/>
  <c r="CP1183" i="1"/>
  <c r="DG1183" i="1"/>
  <c r="CL1183" i="1"/>
  <c r="DH1183" i="1"/>
  <c r="CI1183" i="1"/>
  <c r="DN1183" i="1"/>
  <c r="DO1183" i="1"/>
  <c r="DI1183" i="1"/>
  <c r="DJ1183" i="1"/>
  <c r="DK1183" i="1"/>
  <c r="DL1183" i="1"/>
  <c r="CZ1184" i="1"/>
  <c r="DA1184" i="1"/>
  <c r="DB1184" i="1"/>
  <c r="CM1184" i="1"/>
  <c r="DF1184" i="1"/>
  <c r="CP1184" i="1"/>
  <c r="DG1184" i="1"/>
  <c r="CL1184" i="1"/>
  <c r="DH1184" i="1"/>
  <c r="CI1184" i="1"/>
  <c r="DN1184" i="1"/>
  <c r="DO1184" i="1"/>
  <c r="DI1184" i="1"/>
  <c r="DJ1184" i="1"/>
  <c r="DK1184" i="1"/>
  <c r="DL1184" i="1"/>
  <c r="CZ1185" i="1"/>
  <c r="DA1185" i="1"/>
  <c r="DB1185" i="1"/>
  <c r="CM1185" i="1"/>
  <c r="DF1185" i="1"/>
  <c r="CP1185" i="1"/>
  <c r="DG1185" i="1"/>
  <c r="CL1185" i="1"/>
  <c r="DH1185" i="1"/>
  <c r="CI1185" i="1"/>
  <c r="DN1185" i="1"/>
  <c r="DO1185" i="1"/>
  <c r="DI1185" i="1"/>
  <c r="DJ1185" i="1"/>
  <c r="DK1185" i="1"/>
  <c r="DL1185" i="1"/>
  <c r="CZ1186" i="1"/>
  <c r="DA1186" i="1"/>
  <c r="DB1186" i="1"/>
  <c r="CM1186" i="1"/>
  <c r="DF1186" i="1"/>
  <c r="CP1186" i="1"/>
  <c r="DG1186" i="1"/>
  <c r="CL1186" i="1"/>
  <c r="DH1186" i="1"/>
  <c r="CI1186" i="1"/>
  <c r="DN1186" i="1"/>
  <c r="DO1186" i="1"/>
  <c r="DI1186" i="1"/>
  <c r="DJ1186" i="1"/>
  <c r="DK1186" i="1"/>
  <c r="DL1186" i="1"/>
  <c r="CZ1187" i="1"/>
  <c r="DA1187" i="1"/>
  <c r="DB1187" i="1"/>
  <c r="CM1187" i="1"/>
  <c r="DF1187" i="1"/>
  <c r="CP1187" i="1"/>
  <c r="DG1187" i="1"/>
  <c r="CL1187" i="1"/>
  <c r="DH1187" i="1"/>
  <c r="CI1187" i="1"/>
  <c r="DN1187" i="1"/>
  <c r="DO1187" i="1"/>
  <c r="DI1187" i="1"/>
  <c r="DJ1187" i="1"/>
  <c r="DK1187" i="1"/>
  <c r="DL1187" i="1"/>
  <c r="CZ1188" i="1"/>
  <c r="DA1188" i="1"/>
  <c r="DB1188" i="1"/>
  <c r="CM1188" i="1"/>
  <c r="DF1188" i="1"/>
  <c r="CP1188" i="1"/>
  <c r="DG1188" i="1"/>
  <c r="CL1188" i="1"/>
  <c r="DH1188" i="1"/>
  <c r="CI1188" i="1"/>
  <c r="DN1188" i="1"/>
  <c r="DO1188" i="1"/>
  <c r="DI1188" i="1"/>
  <c r="DJ1188" i="1"/>
  <c r="DK1188" i="1"/>
  <c r="DL1188" i="1"/>
  <c r="CZ1189" i="1"/>
  <c r="DA1189" i="1"/>
  <c r="DB1189" i="1"/>
  <c r="CM1189" i="1"/>
  <c r="DF1189" i="1"/>
  <c r="CP1189" i="1"/>
  <c r="DG1189" i="1"/>
  <c r="CL1189" i="1"/>
  <c r="DH1189" i="1"/>
  <c r="CI1189" i="1"/>
  <c r="DN1189" i="1"/>
  <c r="DO1189" i="1"/>
  <c r="DI1189" i="1"/>
  <c r="DJ1189" i="1"/>
  <c r="DK1189" i="1"/>
  <c r="DL1189" i="1"/>
  <c r="CZ1190" i="1"/>
  <c r="DA1190" i="1"/>
  <c r="DB1190" i="1"/>
  <c r="CM1190" i="1"/>
  <c r="DF1190" i="1"/>
  <c r="CP1190" i="1"/>
  <c r="DG1190" i="1"/>
  <c r="CL1190" i="1"/>
  <c r="DH1190" i="1"/>
  <c r="CI1190" i="1"/>
  <c r="DN1190" i="1"/>
  <c r="DO1190" i="1"/>
  <c r="DI1190" i="1"/>
  <c r="DJ1190" i="1"/>
  <c r="DK1190" i="1"/>
  <c r="DL1190" i="1"/>
  <c r="CZ1191" i="1"/>
  <c r="DA1191" i="1"/>
  <c r="DB1191" i="1"/>
  <c r="CM1191" i="1"/>
  <c r="DF1191" i="1"/>
  <c r="CP1191" i="1"/>
  <c r="DG1191" i="1"/>
  <c r="CL1191" i="1"/>
  <c r="DH1191" i="1"/>
  <c r="CI1191" i="1"/>
  <c r="DN1191" i="1"/>
  <c r="DO1191" i="1"/>
  <c r="DI1191" i="1"/>
  <c r="DJ1191" i="1"/>
  <c r="DK1191" i="1"/>
  <c r="DL1191" i="1"/>
  <c r="CZ1192" i="1"/>
  <c r="DA1192" i="1"/>
  <c r="DB1192" i="1"/>
  <c r="CM1192" i="1"/>
  <c r="DF1192" i="1"/>
  <c r="CP1192" i="1"/>
  <c r="DG1192" i="1"/>
  <c r="CL1192" i="1"/>
  <c r="DH1192" i="1"/>
  <c r="CI1192" i="1"/>
  <c r="DN1192" i="1"/>
  <c r="DO1192" i="1"/>
  <c r="DI1192" i="1"/>
  <c r="DJ1192" i="1"/>
  <c r="DK1192" i="1"/>
  <c r="DL1192" i="1"/>
  <c r="CZ1193" i="1"/>
  <c r="DA1193" i="1"/>
  <c r="DB1193" i="1"/>
  <c r="CM1193" i="1"/>
  <c r="DF1193" i="1"/>
  <c r="CP1193" i="1"/>
  <c r="DG1193" i="1"/>
  <c r="CL1193" i="1"/>
  <c r="DH1193" i="1"/>
  <c r="CI1193" i="1"/>
  <c r="DN1193" i="1"/>
  <c r="DO1193" i="1"/>
  <c r="DI1193" i="1"/>
  <c r="DJ1193" i="1"/>
  <c r="DK1193" i="1"/>
  <c r="DL1193" i="1"/>
  <c r="CZ1194" i="1"/>
  <c r="DA1194" i="1"/>
  <c r="DB1194" i="1"/>
  <c r="CM1194" i="1"/>
  <c r="DF1194" i="1"/>
  <c r="CP1194" i="1"/>
  <c r="DG1194" i="1"/>
  <c r="CL1194" i="1"/>
  <c r="DH1194" i="1"/>
  <c r="CI1194" i="1"/>
  <c r="DN1194" i="1"/>
  <c r="DO1194" i="1"/>
  <c r="DI1194" i="1"/>
  <c r="DJ1194" i="1"/>
  <c r="DK1194" i="1"/>
  <c r="DL1194" i="1"/>
  <c r="CZ1195" i="1"/>
  <c r="DA1195" i="1"/>
  <c r="DB1195" i="1"/>
  <c r="CM1195" i="1"/>
  <c r="DF1195" i="1"/>
  <c r="CP1195" i="1"/>
  <c r="DG1195" i="1"/>
  <c r="CL1195" i="1"/>
  <c r="DH1195" i="1"/>
  <c r="CI1195" i="1"/>
  <c r="DN1195" i="1"/>
  <c r="DO1195" i="1"/>
  <c r="DI1195" i="1"/>
  <c r="DJ1195" i="1"/>
  <c r="DK1195" i="1"/>
  <c r="DL1195" i="1"/>
  <c r="CZ1196" i="1"/>
  <c r="DA1196" i="1"/>
  <c r="DB1196" i="1"/>
  <c r="CM1196" i="1"/>
  <c r="DF1196" i="1"/>
  <c r="CP1196" i="1"/>
  <c r="DG1196" i="1"/>
  <c r="CL1196" i="1"/>
  <c r="DH1196" i="1"/>
  <c r="CI1196" i="1"/>
  <c r="DN1196" i="1"/>
  <c r="DO1196" i="1"/>
  <c r="DI1196" i="1"/>
  <c r="DJ1196" i="1"/>
  <c r="DK1196" i="1"/>
  <c r="DL1196" i="1"/>
  <c r="CZ1197" i="1"/>
  <c r="DA1197" i="1"/>
  <c r="DB1197" i="1"/>
  <c r="CM1197" i="1"/>
  <c r="DF1197" i="1"/>
  <c r="CP1197" i="1"/>
  <c r="DG1197" i="1"/>
  <c r="CL1197" i="1"/>
  <c r="DH1197" i="1"/>
  <c r="CI1197" i="1"/>
  <c r="DN1197" i="1"/>
  <c r="DO1197" i="1"/>
  <c r="DI1197" i="1"/>
  <c r="DJ1197" i="1"/>
  <c r="DK1197" i="1"/>
  <c r="DL1197" i="1"/>
  <c r="CZ1198" i="1"/>
  <c r="DA1198" i="1"/>
  <c r="DB1198" i="1"/>
  <c r="CM1198" i="1"/>
  <c r="DF1198" i="1"/>
  <c r="CP1198" i="1"/>
  <c r="DG1198" i="1"/>
  <c r="CL1198" i="1"/>
  <c r="DH1198" i="1"/>
  <c r="CI1198" i="1"/>
  <c r="DN1198" i="1"/>
  <c r="DO1198" i="1"/>
  <c r="DI1198" i="1"/>
  <c r="DJ1198" i="1"/>
  <c r="DK1198" i="1"/>
  <c r="DL1198" i="1"/>
  <c r="CZ1199" i="1"/>
  <c r="DA1199" i="1"/>
  <c r="DB1199" i="1"/>
  <c r="CM1199" i="1"/>
  <c r="DF1199" i="1"/>
  <c r="CP1199" i="1"/>
  <c r="DG1199" i="1"/>
  <c r="CL1199" i="1"/>
  <c r="DH1199" i="1"/>
  <c r="CI1199" i="1"/>
  <c r="DN1199" i="1"/>
  <c r="DO1199" i="1"/>
  <c r="DI1199" i="1"/>
  <c r="DJ1199" i="1"/>
  <c r="DK1199" i="1"/>
  <c r="DL1199" i="1"/>
  <c r="CZ1200" i="1"/>
  <c r="DA1200" i="1"/>
  <c r="DB1200" i="1"/>
  <c r="CM1200" i="1"/>
  <c r="DF1200" i="1"/>
  <c r="CP1200" i="1"/>
  <c r="DG1200" i="1"/>
  <c r="CL1200" i="1"/>
  <c r="DH1200" i="1"/>
  <c r="CI1200" i="1"/>
  <c r="DN1200" i="1"/>
  <c r="DO1200" i="1"/>
  <c r="DI1200" i="1"/>
  <c r="DJ1200" i="1"/>
  <c r="DK1200" i="1"/>
  <c r="DL1200" i="1"/>
  <c r="CZ1201" i="1"/>
  <c r="DA1201" i="1"/>
  <c r="DB1201" i="1"/>
  <c r="CM1201" i="1"/>
  <c r="DF1201" i="1"/>
  <c r="CP1201" i="1"/>
  <c r="DG1201" i="1"/>
  <c r="CL1201" i="1"/>
  <c r="DH1201" i="1"/>
  <c r="CI1201" i="1"/>
  <c r="DN1201" i="1"/>
  <c r="DO1201" i="1"/>
  <c r="DI1201" i="1"/>
  <c r="DJ1201" i="1"/>
  <c r="DK1201" i="1"/>
  <c r="DL1201" i="1"/>
  <c r="CZ1202" i="1"/>
  <c r="DA1202" i="1"/>
  <c r="DB1202" i="1"/>
  <c r="CM1202" i="1"/>
  <c r="DF1202" i="1"/>
  <c r="CP1202" i="1"/>
  <c r="DG1202" i="1"/>
  <c r="CL1202" i="1"/>
  <c r="DH1202" i="1"/>
  <c r="CI1202" i="1"/>
  <c r="DN1202" i="1"/>
  <c r="DO1202" i="1"/>
  <c r="DI1202" i="1"/>
  <c r="DJ1202" i="1"/>
  <c r="DK1202" i="1"/>
  <c r="DL1202" i="1"/>
  <c r="CZ1203" i="1"/>
  <c r="DA1203" i="1"/>
  <c r="DB1203" i="1"/>
  <c r="CM1203" i="1"/>
  <c r="DF1203" i="1"/>
  <c r="CP1203" i="1"/>
  <c r="DG1203" i="1"/>
  <c r="CL1203" i="1"/>
  <c r="DH1203" i="1"/>
  <c r="CI1203" i="1"/>
  <c r="DN1203" i="1"/>
  <c r="DO1203" i="1"/>
  <c r="DI1203" i="1"/>
  <c r="DJ1203" i="1"/>
  <c r="DK1203" i="1"/>
  <c r="DL1203" i="1"/>
  <c r="CZ1204" i="1"/>
  <c r="DA1204" i="1"/>
  <c r="DB1204" i="1"/>
  <c r="CM1204" i="1"/>
  <c r="DF1204" i="1"/>
  <c r="CP1204" i="1"/>
  <c r="DG1204" i="1"/>
  <c r="CL1204" i="1"/>
  <c r="DH1204" i="1"/>
  <c r="CI1204" i="1"/>
  <c r="DN1204" i="1"/>
  <c r="DO1204" i="1"/>
  <c r="DI1204" i="1"/>
  <c r="DJ1204" i="1"/>
  <c r="DK1204" i="1"/>
  <c r="DL1204" i="1"/>
  <c r="CZ1205" i="1"/>
  <c r="DA1205" i="1"/>
  <c r="DB1205" i="1"/>
  <c r="CM1205" i="1"/>
  <c r="DF1205" i="1"/>
  <c r="CP1205" i="1"/>
  <c r="DG1205" i="1"/>
  <c r="CL1205" i="1"/>
  <c r="DH1205" i="1"/>
  <c r="CI1205" i="1"/>
  <c r="DN1205" i="1"/>
  <c r="DO1205" i="1"/>
  <c r="DI1205" i="1"/>
  <c r="DJ1205" i="1"/>
  <c r="DK1205" i="1"/>
  <c r="DL1205" i="1"/>
  <c r="CZ1206" i="1"/>
  <c r="DA1206" i="1"/>
  <c r="DB1206" i="1"/>
  <c r="CM1206" i="1"/>
  <c r="DF1206" i="1"/>
  <c r="CP1206" i="1"/>
  <c r="DG1206" i="1"/>
  <c r="CL1206" i="1"/>
  <c r="DH1206" i="1"/>
  <c r="CI1206" i="1"/>
  <c r="DN1206" i="1"/>
  <c r="DO1206" i="1"/>
  <c r="DI1206" i="1"/>
  <c r="DJ1206" i="1"/>
  <c r="DK1206" i="1"/>
  <c r="DL1206" i="1"/>
  <c r="CZ1207" i="1"/>
  <c r="DA1207" i="1"/>
  <c r="DB1207" i="1"/>
  <c r="CM1207" i="1"/>
  <c r="DF1207" i="1"/>
  <c r="CP1207" i="1"/>
  <c r="DG1207" i="1"/>
  <c r="CL1207" i="1"/>
  <c r="DH1207" i="1"/>
  <c r="CI1207" i="1"/>
  <c r="DN1207" i="1"/>
  <c r="DO1207" i="1"/>
  <c r="DI1207" i="1"/>
  <c r="DJ1207" i="1"/>
  <c r="DK1207" i="1"/>
  <c r="DL1207" i="1"/>
  <c r="CZ1208" i="1"/>
  <c r="DA1208" i="1"/>
  <c r="DB1208" i="1"/>
  <c r="CM1208" i="1"/>
  <c r="DF1208" i="1"/>
  <c r="CP1208" i="1"/>
  <c r="DG1208" i="1"/>
  <c r="CL1208" i="1"/>
  <c r="DH1208" i="1"/>
  <c r="CI1208" i="1"/>
  <c r="DN1208" i="1"/>
  <c r="DO1208" i="1"/>
  <c r="DI1208" i="1"/>
  <c r="DJ1208" i="1"/>
  <c r="DK1208" i="1"/>
  <c r="DL1208" i="1"/>
  <c r="CZ1209" i="1"/>
  <c r="DA1209" i="1"/>
  <c r="DB1209" i="1"/>
  <c r="CM1209" i="1"/>
  <c r="DF1209" i="1"/>
  <c r="CP1209" i="1"/>
  <c r="DG1209" i="1"/>
  <c r="CL1209" i="1"/>
  <c r="DH1209" i="1"/>
  <c r="CI1209" i="1"/>
  <c r="DN1209" i="1"/>
  <c r="DO1209" i="1"/>
  <c r="DI1209" i="1"/>
  <c r="DJ1209" i="1"/>
  <c r="DK1209" i="1"/>
  <c r="DL1209" i="1"/>
  <c r="CZ1210" i="1"/>
  <c r="DA1210" i="1"/>
  <c r="DB1210" i="1"/>
  <c r="CM1210" i="1"/>
  <c r="DF1210" i="1"/>
  <c r="CP1210" i="1"/>
  <c r="DG1210" i="1"/>
  <c r="CL1210" i="1"/>
  <c r="DH1210" i="1"/>
  <c r="CI1210" i="1"/>
  <c r="DN1210" i="1"/>
  <c r="DO1210" i="1"/>
  <c r="DI1210" i="1"/>
  <c r="DJ1210" i="1"/>
  <c r="DK1210" i="1"/>
  <c r="DL1210" i="1"/>
  <c r="CZ1211" i="1"/>
  <c r="DA1211" i="1"/>
  <c r="DB1211" i="1"/>
  <c r="CM1211" i="1"/>
  <c r="DF1211" i="1"/>
  <c r="CP1211" i="1"/>
  <c r="DG1211" i="1"/>
  <c r="CL1211" i="1"/>
  <c r="DH1211" i="1"/>
  <c r="CI1211" i="1"/>
  <c r="DN1211" i="1"/>
  <c r="DO1211" i="1"/>
  <c r="DI1211" i="1"/>
  <c r="DJ1211" i="1"/>
  <c r="DK1211" i="1"/>
  <c r="DL1211" i="1"/>
  <c r="CZ1212" i="1"/>
  <c r="DA1212" i="1"/>
  <c r="DB1212" i="1"/>
  <c r="CM1212" i="1"/>
  <c r="DF1212" i="1"/>
  <c r="CP1212" i="1"/>
  <c r="DG1212" i="1"/>
  <c r="CL1212" i="1"/>
  <c r="DH1212" i="1"/>
  <c r="CI1212" i="1"/>
  <c r="DN1212" i="1"/>
  <c r="DO1212" i="1"/>
  <c r="DI1212" i="1"/>
  <c r="DJ1212" i="1"/>
  <c r="DK1212" i="1"/>
  <c r="DL1212" i="1"/>
  <c r="CZ1213" i="1"/>
  <c r="DA1213" i="1"/>
  <c r="DB1213" i="1"/>
  <c r="CM1213" i="1"/>
  <c r="DF1213" i="1"/>
  <c r="CP1213" i="1"/>
  <c r="DG1213" i="1"/>
  <c r="CL1213" i="1"/>
  <c r="DH1213" i="1"/>
  <c r="CI1213" i="1"/>
  <c r="DN1213" i="1"/>
  <c r="DO1213" i="1"/>
  <c r="DI1213" i="1"/>
  <c r="DJ1213" i="1"/>
  <c r="DK1213" i="1"/>
  <c r="DL1213" i="1"/>
  <c r="CZ1214" i="1"/>
  <c r="DA1214" i="1"/>
  <c r="DB1214" i="1"/>
  <c r="CM1214" i="1"/>
  <c r="DF1214" i="1"/>
  <c r="CP1214" i="1"/>
  <c r="DG1214" i="1"/>
  <c r="CL1214" i="1"/>
  <c r="DH1214" i="1"/>
  <c r="CI1214" i="1"/>
  <c r="DN1214" i="1"/>
  <c r="DO1214" i="1"/>
  <c r="DI1214" i="1"/>
  <c r="DJ1214" i="1"/>
  <c r="DK1214" i="1"/>
  <c r="DL1214" i="1"/>
  <c r="CZ1215" i="1"/>
  <c r="DA1215" i="1"/>
  <c r="DB1215" i="1"/>
  <c r="CM1215" i="1"/>
  <c r="DF1215" i="1"/>
  <c r="CP1215" i="1"/>
  <c r="DG1215" i="1"/>
  <c r="CL1215" i="1"/>
  <c r="DH1215" i="1"/>
  <c r="CI1215" i="1"/>
  <c r="DN1215" i="1"/>
  <c r="DO1215" i="1"/>
  <c r="DI1215" i="1"/>
  <c r="DJ1215" i="1"/>
  <c r="DK1215" i="1"/>
  <c r="DL1215" i="1"/>
  <c r="CZ1216" i="1"/>
  <c r="DA1216" i="1"/>
  <c r="DB1216" i="1"/>
  <c r="CM1216" i="1"/>
  <c r="DF1216" i="1"/>
  <c r="CP1216" i="1"/>
  <c r="DG1216" i="1"/>
  <c r="CL1216" i="1"/>
  <c r="DH1216" i="1"/>
  <c r="CI1216" i="1"/>
  <c r="DN1216" i="1"/>
  <c r="DO1216" i="1"/>
  <c r="DI1216" i="1"/>
  <c r="DJ1216" i="1"/>
  <c r="DK1216" i="1"/>
  <c r="DL1216" i="1"/>
  <c r="CZ1217" i="1"/>
  <c r="DA1217" i="1"/>
  <c r="DB1217" i="1"/>
  <c r="CM1217" i="1"/>
  <c r="DF1217" i="1"/>
  <c r="CP1217" i="1"/>
  <c r="DG1217" i="1"/>
  <c r="CL1217" i="1"/>
  <c r="DH1217" i="1"/>
  <c r="CI1217" i="1"/>
  <c r="DN1217" i="1"/>
  <c r="DO1217" i="1"/>
  <c r="DI1217" i="1"/>
  <c r="DJ1217" i="1"/>
  <c r="DK1217" i="1"/>
  <c r="DL1217" i="1"/>
  <c r="CZ1218" i="1"/>
  <c r="DA1218" i="1"/>
  <c r="DB1218" i="1"/>
  <c r="CM1218" i="1"/>
  <c r="DF1218" i="1"/>
  <c r="CP1218" i="1"/>
  <c r="DG1218" i="1"/>
  <c r="CL1218" i="1"/>
  <c r="DH1218" i="1"/>
  <c r="CI1218" i="1"/>
  <c r="DN1218" i="1"/>
  <c r="DO1218" i="1"/>
  <c r="DI1218" i="1"/>
  <c r="DJ1218" i="1"/>
  <c r="DK1218" i="1"/>
  <c r="DL1218" i="1"/>
  <c r="CZ1219" i="1"/>
  <c r="DA1219" i="1"/>
  <c r="DB1219" i="1"/>
  <c r="CM1219" i="1"/>
  <c r="DF1219" i="1"/>
  <c r="CP1219" i="1"/>
  <c r="DG1219" i="1"/>
  <c r="CL1219" i="1"/>
  <c r="DH1219" i="1"/>
  <c r="CI1219" i="1"/>
  <c r="DN1219" i="1"/>
  <c r="DO1219" i="1"/>
  <c r="DI1219" i="1"/>
  <c r="DJ1219" i="1"/>
  <c r="DK1219" i="1"/>
  <c r="DL1219" i="1"/>
  <c r="CZ1220" i="1"/>
  <c r="DA1220" i="1"/>
  <c r="DB1220" i="1"/>
  <c r="CM1220" i="1"/>
  <c r="DF1220" i="1"/>
  <c r="CP1220" i="1"/>
  <c r="DG1220" i="1"/>
  <c r="CL1220" i="1"/>
  <c r="DH1220" i="1"/>
  <c r="CI1220" i="1"/>
  <c r="DN1220" i="1"/>
  <c r="DO1220" i="1"/>
  <c r="DI1220" i="1"/>
  <c r="DJ1220" i="1"/>
  <c r="DK1220" i="1"/>
  <c r="DL1220" i="1"/>
  <c r="CZ1221" i="1"/>
  <c r="DA1221" i="1"/>
  <c r="DB1221" i="1"/>
  <c r="CM1221" i="1"/>
  <c r="DF1221" i="1"/>
  <c r="CP1221" i="1"/>
  <c r="DG1221" i="1"/>
  <c r="CL1221" i="1"/>
  <c r="DH1221" i="1"/>
  <c r="CI1221" i="1"/>
  <c r="DN1221" i="1"/>
  <c r="DO1221" i="1"/>
  <c r="DI1221" i="1"/>
  <c r="DJ1221" i="1"/>
  <c r="DK1221" i="1"/>
  <c r="DL1221" i="1"/>
  <c r="CZ1222" i="1"/>
  <c r="DA1222" i="1"/>
  <c r="DB1222" i="1"/>
  <c r="CM1222" i="1"/>
  <c r="DF1222" i="1"/>
  <c r="CP1222" i="1"/>
  <c r="DG1222" i="1"/>
  <c r="CL1222" i="1"/>
  <c r="DH1222" i="1"/>
  <c r="CI1222" i="1"/>
  <c r="DN1222" i="1"/>
  <c r="DO1222" i="1"/>
  <c r="DI1222" i="1"/>
  <c r="DJ1222" i="1"/>
  <c r="DK1222" i="1"/>
  <c r="DL1222" i="1"/>
  <c r="CZ1223" i="1"/>
  <c r="DA1223" i="1"/>
  <c r="DB1223" i="1"/>
  <c r="CM1223" i="1"/>
  <c r="DF1223" i="1"/>
  <c r="CP1223" i="1"/>
  <c r="DG1223" i="1"/>
  <c r="CL1223" i="1"/>
  <c r="DH1223" i="1"/>
  <c r="CI1223" i="1"/>
  <c r="DN1223" i="1"/>
  <c r="DO1223" i="1"/>
  <c r="DI1223" i="1"/>
  <c r="DJ1223" i="1"/>
  <c r="DK1223" i="1"/>
  <c r="DL1223" i="1"/>
  <c r="CZ1224" i="1"/>
  <c r="DA1224" i="1"/>
  <c r="DB1224" i="1"/>
  <c r="CM1224" i="1"/>
  <c r="DF1224" i="1"/>
  <c r="CP1224" i="1"/>
  <c r="DG1224" i="1"/>
  <c r="CL1224" i="1"/>
  <c r="DH1224" i="1"/>
  <c r="CI1224" i="1"/>
  <c r="DN1224" i="1"/>
  <c r="DO1224" i="1"/>
  <c r="DI1224" i="1"/>
  <c r="DJ1224" i="1"/>
  <c r="DK1224" i="1"/>
  <c r="DL1224" i="1"/>
  <c r="CZ1225" i="1"/>
  <c r="DA1225" i="1"/>
  <c r="DB1225" i="1"/>
  <c r="CM1225" i="1"/>
  <c r="DF1225" i="1"/>
  <c r="CP1225" i="1"/>
  <c r="DG1225" i="1"/>
  <c r="CL1225" i="1"/>
  <c r="DH1225" i="1"/>
  <c r="CI1225" i="1"/>
  <c r="DN1225" i="1"/>
  <c r="DO1225" i="1"/>
  <c r="DI1225" i="1"/>
  <c r="DJ1225" i="1"/>
  <c r="DK1225" i="1"/>
  <c r="DL1225" i="1"/>
  <c r="CZ1226" i="1"/>
  <c r="DA1226" i="1"/>
  <c r="DB1226" i="1"/>
  <c r="CM1226" i="1"/>
  <c r="DF1226" i="1"/>
  <c r="CP1226" i="1"/>
  <c r="DG1226" i="1"/>
  <c r="CL1226" i="1"/>
  <c r="DH1226" i="1"/>
  <c r="CI1226" i="1"/>
  <c r="DN1226" i="1"/>
  <c r="DO1226" i="1"/>
  <c r="DI1226" i="1"/>
  <c r="DJ1226" i="1"/>
  <c r="DK1226" i="1"/>
  <c r="DL1226" i="1"/>
  <c r="CZ1227" i="1"/>
  <c r="DA1227" i="1"/>
  <c r="DB1227" i="1"/>
  <c r="CM1227" i="1"/>
  <c r="DF1227" i="1"/>
  <c r="CP1227" i="1"/>
  <c r="DG1227" i="1"/>
  <c r="CL1227" i="1"/>
  <c r="DH1227" i="1"/>
  <c r="CI1227" i="1"/>
  <c r="DN1227" i="1"/>
  <c r="DO1227" i="1"/>
  <c r="DI1227" i="1"/>
  <c r="DJ1227" i="1"/>
  <c r="DK1227" i="1"/>
  <c r="DL1227" i="1"/>
  <c r="CZ1228" i="1"/>
  <c r="DA1228" i="1"/>
  <c r="DB1228" i="1"/>
  <c r="CM1228" i="1"/>
  <c r="DF1228" i="1"/>
  <c r="CP1228" i="1"/>
  <c r="DG1228" i="1"/>
  <c r="CL1228" i="1"/>
  <c r="DH1228" i="1"/>
  <c r="CI1228" i="1"/>
  <c r="DN1228" i="1"/>
  <c r="DO1228" i="1"/>
  <c r="DI1228" i="1"/>
  <c r="DJ1228" i="1"/>
  <c r="DK1228" i="1"/>
  <c r="DL1228" i="1"/>
  <c r="CZ1229" i="1"/>
  <c r="DA1229" i="1"/>
  <c r="DB1229" i="1"/>
  <c r="CM1229" i="1"/>
  <c r="DF1229" i="1"/>
  <c r="CP1229" i="1"/>
  <c r="DG1229" i="1"/>
  <c r="CL1229" i="1"/>
  <c r="DH1229" i="1"/>
  <c r="CI1229" i="1"/>
  <c r="DN1229" i="1"/>
  <c r="DO1229" i="1"/>
  <c r="DI1229" i="1"/>
  <c r="DJ1229" i="1"/>
  <c r="DK1229" i="1"/>
  <c r="DL1229" i="1"/>
  <c r="CZ1230" i="1"/>
  <c r="DA1230" i="1"/>
  <c r="DB1230" i="1"/>
  <c r="CM1230" i="1"/>
  <c r="DF1230" i="1"/>
  <c r="CP1230" i="1"/>
  <c r="DG1230" i="1"/>
  <c r="CL1230" i="1"/>
  <c r="DH1230" i="1"/>
  <c r="CI1230" i="1"/>
  <c r="DN1230" i="1"/>
  <c r="DO1230" i="1"/>
  <c r="DI1230" i="1"/>
  <c r="DJ1230" i="1"/>
  <c r="DK1230" i="1"/>
  <c r="DL1230" i="1"/>
  <c r="CZ1231" i="1"/>
  <c r="DA1231" i="1"/>
  <c r="DB1231" i="1"/>
  <c r="CM1231" i="1"/>
  <c r="DF1231" i="1"/>
  <c r="CP1231" i="1"/>
  <c r="DG1231" i="1"/>
  <c r="CL1231" i="1"/>
  <c r="DH1231" i="1"/>
  <c r="CI1231" i="1"/>
  <c r="DN1231" i="1"/>
  <c r="DO1231" i="1"/>
  <c r="DI1231" i="1"/>
  <c r="DJ1231" i="1"/>
  <c r="DK1231" i="1"/>
  <c r="DL1231" i="1"/>
  <c r="CZ1232" i="1"/>
  <c r="DA1232" i="1"/>
  <c r="DB1232" i="1"/>
  <c r="CM1232" i="1"/>
  <c r="DF1232" i="1"/>
  <c r="CP1232" i="1"/>
  <c r="DG1232" i="1"/>
  <c r="CL1232" i="1"/>
  <c r="DH1232" i="1"/>
  <c r="CI1232" i="1"/>
  <c r="DN1232" i="1"/>
  <c r="DO1232" i="1"/>
  <c r="DI1232" i="1"/>
  <c r="DJ1232" i="1"/>
  <c r="DK1232" i="1"/>
  <c r="DL1232" i="1"/>
  <c r="CZ1233" i="1"/>
  <c r="DA1233" i="1"/>
  <c r="DB1233" i="1"/>
  <c r="CM1233" i="1"/>
  <c r="DF1233" i="1"/>
  <c r="CP1233" i="1"/>
  <c r="DG1233" i="1"/>
  <c r="CL1233" i="1"/>
  <c r="DH1233" i="1"/>
  <c r="CI1233" i="1"/>
  <c r="DN1233" i="1"/>
  <c r="DO1233" i="1"/>
  <c r="DI1233" i="1"/>
  <c r="DJ1233" i="1"/>
  <c r="DK1233" i="1"/>
  <c r="DL1233" i="1"/>
  <c r="CZ1234" i="1"/>
  <c r="DA1234" i="1"/>
  <c r="DB1234" i="1"/>
  <c r="CM1234" i="1"/>
  <c r="DF1234" i="1"/>
  <c r="CP1234" i="1"/>
  <c r="DG1234" i="1"/>
  <c r="CL1234" i="1"/>
  <c r="DH1234" i="1"/>
  <c r="CI1234" i="1"/>
  <c r="DN1234" i="1"/>
  <c r="DO1234" i="1"/>
  <c r="DI1234" i="1"/>
  <c r="DJ1234" i="1"/>
  <c r="DK1234" i="1"/>
  <c r="DL1234" i="1"/>
  <c r="CZ1235" i="1"/>
  <c r="DA1235" i="1"/>
  <c r="DB1235" i="1"/>
  <c r="CM1235" i="1"/>
  <c r="DF1235" i="1"/>
  <c r="CP1235" i="1"/>
  <c r="DG1235" i="1"/>
  <c r="CL1235" i="1"/>
  <c r="DH1235" i="1"/>
  <c r="CI1235" i="1"/>
  <c r="DN1235" i="1"/>
  <c r="DO1235" i="1"/>
  <c r="DI1235" i="1"/>
  <c r="DJ1235" i="1"/>
  <c r="DK1235" i="1"/>
  <c r="DL1235" i="1"/>
  <c r="CZ1236" i="1"/>
  <c r="DA1236" i="1"/>
  <c r="DB1236" i="1"/>
  <c r="CM1236" i="1"/>
  <c r="DF1236" i="1"/>
  <c r="CP1236" i="1"/>
  <c r="DG1236" i="1"/>
  <c r="CL1236" i="1"/>
  <c r="DH1236" i="1"/>
  <c r="CI1236" i="1"/>
  <c r="DN1236" i="1"/>
  <c r="DO1236" i="1"/>
  <c r="DI1236" i="1"/>
  <c r="DJ1236" i="1"/>
  <c r="DK1236" i="1"/>
  <c r="DL1236" i="1"/>
  <c r="CZ1237" i="1"/>
  <c r="DA1237" i="1"/>
  <c r="DB1237" i="1"/>
  <c r="CM1237" i="1"/>
  <c r="DF1237" i="1"/>
  <c r="CP1237" i="1"/>
  <c r="DG1237" i="1"/>
  <c r="CL1237" i="1"/>
  <c r="DH1237" i="1"/>
  <c r="CI1237" i="1"/>
  <c r="DN1237" i="1"/>
  <c r="DO1237" i="1"/>
  <c r="DI1237" i="1"/>
  <c r="DJ1237" i="1"/>
  <c r="DK1237" i="1"/>
  <c r="DL1237" i="1"/>
  <c r="CZ1238" i="1"/>
  <c r="DA1238" i="1"/>
  <c r="DB1238" i="1"/>
  <c r="CM1238" i="1"/>
  <c r="DF1238" i="1"/>
  <c r="CP1238" i="1"/>
  <c r="DG1238" i="1"/>
  <c r="CL1238" i="1"/>
  <c r="DH1238" i="1"/>
  <c r="CI1238" i="1"/>
  <c r="DN1238" i="1"/>
  <c r="DO1238" i="1"/>
  <c r="DI1238" i="1"/>
  <c r="DJ1238" i="1"/>
  <c r="DK1238" i="1"/>
  <c r="DL1238" i="1"/>
  <c r="CZ1239" i="1"/>
  <c r="DA1239" i="1"/>
  <c r="DB1239" i="1"/>
  <c r="CM1239" i="1"/>
  <c r="DF1239" i="1"/>
  <c r="CP1239" i="1"/>
  <c r="DG1239" i="1"/>
  <c r="CL1239" i="1"/>
  <c r="DH1239" i="1"/>
  <c r="CI1239" i="1"/>
  <c r="DN1239" i="1"/>
  <c r="DO1239" i="1"/>
  <c r="DI1239" i="1"/>
  <c r="DJ1239" i="1"/>
  <c r="DK1239" i="1"/>
  <c r="DL1239" i="1"/>
  <c r="CZ1240" i="1"/>
  <c r="DA1240" i="1"/>
  <c r="DB1240" i="1"/>
  <c r="CM1240" i="1"/>
  <c r="DF1240" i="1"/>
  <c r="CP1240" i="1"/>
  <c r="DG1240" i="1"/>
  <c r="CL1240" i="1"/>
  <c r="DH1240" i="1"/>
  <c r="CI1240" i="1"/>
  <c r="DN1240" i="1"/>
  <c r="DO1240" i="1"/>
  <c r="DI1240" i="1"/>
  <c r="DJ1240" i="1"/>
  <c r="DK1240" i="1"/>
  <c r="DL1240" i="1"/>
  <c r="CZ1241" i="1"/>
  <c r="DA1241" i="1"/>
  <c r="DB1241" i="1"/>
  <c r="CM1241" i="1"/>
  <c r="DF1241" i="1"/>
  <c r="CP1241" i="1"/>
  <c r="DG1241" i="1"/>
  <c r="CL1241" i="1"/>
  <c r="DH1241" i="1"/>
  <c r="CI1241" i="1"/>
  <c r="DN1241" i="1"/>
  <c r="DO1241" i="1"/>
  <c r="DI1241" i="1"/>
  <c r="DJ1241" i="1"/>
  <c r="DK1241" i="1"/>
  <c r="DL1241" i="1"/>
  <c r="CZ1242" i="1"/>
  <c r="DA1242" i="1"/>
  <c r="DB1242" i="1"/>
  <c r="CM1242" i="1"/>
  <c r="DF1242" i="1"/>
  <c r="CP1242" i="1"/>
  <c r="DG1242" i="1"/>
  <c r="CL1242" i="1"/>
  <c r="DH1242" i="1"/>
  <c r="CI1242" i="1"/>
  <c r="DN1242" i="1"/>
  <c r="DO1242" i="1"/>
  <c r="DI1242" i="1"/>
  <c r="DJ1242" i="1"/>
  <c r="DK1242" i="1"/>
  <c r="DL1242" i="1"/>
  <c r="CZ1243" i="1"/>
  <c r="DA1243" i="1"/>
  <c r="DB1243" i="1"/>
  <c r="CM1243" i="1"/>
  <c r="DF1243" i="1"/>
  <c r="CP1243" i="1"/>
  <c r="DG1243" i="1"/>
  <c r="CL1243" i="1"/>
  <c r="DH1243" i="1"/>
  <c r="CI1243" i="1"/>
  <c r="DN1243" i="1"/>
  <c r="DO1243" i="1"/>
  <c r="DI1243" i="1"/>
  <c r="DJ1243" i="1"/>
  <c r="DK1243" i="1"/>
  <c r="DL1243" i="1"/>
  <c r="CZ1244" i="1"/>
  <c r="DA1244" i="1"/>
  <c r="DB1244" i="1"/>
  <c r="CM1244" i="1"/>
  <c r="DF1244" i="1"/>
  <c r="CP1244" i="1"/>
  <c r="DG1244" i="1"/>
  <c r="CL1244" i="1"/>
  <c r="DH1244" i="1"/>
  <c r="CI1244" i="1"/>
  <c r="DN1244" i="1"/>
  <c r="DO1244" i="1"/>
  <c r="DI1244" i="1"/>
  <c r="DJ1244" i="1"/>
  <c r="DK1244" i="1"/>
  <c r="DL1244" i="1"/>
  <c r="CZ1245" i="1"/>
  <c r="DA1245" i="1"/>
  <c r="DB1245" i="1"/>
  <c r="CM1245" i="1"/>
  <c r="DF1245" i="1"/>
  <c r="CP1245" i="1"/>
  <c r="DG1245" i="1"/>
  <c r="CL1245" i="1"/>
  <c r="DH1245" i="1"/>
  <c r="CI1245" i="1"/>
  <c r="DN1245" i="1"/>
  <c r="DO1245" i="1"/>
  <c r="DI1245" i="1"/>
  <c r="DJ1245" i="1"/>
  <c r="DK1245" i="1"/>
  <c r="DL1245" i="1"/>
  <c r="CZ1246" i="1"/>
  <c r="DA1246" i="1"/>
  <c r="DB1246" i="1"/>
  <c r="CM1246" i="1"/>
  <c r="DF1246" i="1"/>
  <c r="CP1246" i="1"/>
  <c r="DG1246" i="1"/>
  <c r="CL1246" i="1"/>
  <c r="DH1246" i="1"/>
  <c r="CI1246" i="1"/>
  <c r="DN1246" i="1"/>
  <c r="DO1246" i="1"/>
  <c r="DI1246" i="1"/>
  <c r="DJ1246" i="1"/>
  <c r="DK1246" i="1"/>
  <c r="DL1246" i="1"/>
  <c r="CZ1247" i="1"/>
  <c r="DA1247" i="1"/>
  <c r="DB1247" i="1"/>
  <c r="CM1247" i="1"/>
  <c r="DF1247" i="1"/>
  <c r="CP1247" i="1"/>
  <c r="DG1247" i="1"/>
  <c r="CL1247" i="1"/>
  <c r="DH1247" i="1"/>
  <c r="CI1247" i="1"/>
  <c r="DN1247" i="1"/>
  <c r="DO1247" i="1"/>
  <c r="DI1247" i="1"/>
  <c r="DJ1247" i="1"/>
  <c r="DK1247" i="1"/>
  <c r="DL1247" i="1"/>
  <c r="CZ1248" i="1"/>
  <c r="DA1248" i="1"/>
  <c r="DB1248" i="1"/>
  <c r="CM1248" i="1"/>
  <c r="DF1248" i="1"/>
  <c r="CP1248" i="1"/>
  <c r="DG1248" i="1"/>
  <c r="CL1248" i="1"/>
  <c r="DH1248" i="1"/>
  <c r="CI1248" i="1"/>
  <c r="DN1248" i="1"/>
  <c r="DO1248" i="1"/>
  <c r="DI1248" i="1"/>
  <c r="DJ1248" i="1"/>
  <c r="DK1248" i="1"/>
  <c r="DL1248" i="1"/>
  <c r="CZ1249" i="1"/>
  <c r="DA1249" i="1"/>
  <c r="DB1249" i="1"/>
  <c r="CM1249" i="1"/>
  <c r="DF1249" i="1"/>
  <c r="CP1249" i="1"/>
  <c r="DG1249" i="1"/>
  <c r="CL1249" i="1"/>
  <c r="DH1249" i="1"/>
  <c r="CI1249" i="1"/>
  <c r="DN1249" i="1"/>
  <c r="DO1249" i="1"/>
  <c r="DI1249" i="1"/>
  <c r="DJ1249" i="1"/>
  <c r="DK1249" i="1"/>
  <c r="DL1249" i="1"/>
  <c r="CZ1250" i="1"/>
  <c r="DA1250" i="1"/>
  <c r="DB1250" i="1"/>
  <c r="CM1250" i="1"/>
  <c r="DF1250" i="1"/>
  <c r="CP1250" i="1"/>
  <c r="DG1250" i="1"/>
  <c r="CL1250" i="1"/>
  <c r="DH1250" i="1"/>
  <c r="CI1250" i="1"/>
  <c r="DN1250" i="1"/>
  <c r="DO1250" i="1"/>
  <c r="DI1250" i="1"/>
  <c r="DJ1250" i="1"/>
  <c r="DK1250" i="1"/>
  <c r="DL1250" i="1"/>
  <c r="CZ1251" i="1"/>
  <c r="DA1251" i="1"/>
  <c r="DB1251" i="1"/>
  <c r="CM1251" i="1"/>
  <c r="DF1251" i="1"/>
  <c r="CP1251" i="1"/>
  <c r="DG1251" i="1"/>
  <c r="CL1251" i="1"/>
  <c r="DH1251" i="1"/>
  <c r="CI1251" i="1"/>
  <c r="DN1251" i="1"/>
  <c r="DO1251" i="1"/>
  <c r="DI1251" i="1"/>
  <c r="DJ1251" i="1"/>
  <c r="DK1251" i="1"/>
  <c r="DL1251" i="1"/>
  <c r="CZ1252" i="1"/>
  <c r="DA1252" i="1"/>
  <c r="DB1252" i="1"/>
  <c r="CM1252" i="1"/>
  <c r="DF1252" i="1"/>
  <c r="CP1252" i="1"/>
  <c r="DG1252" i="1"/>
  <c r="CL1252" i="1"/>
  <c r="DH1252" i="1"/>
  <c r="CI1252" i="1"/>
  <c r="DN1252" i="1"/>
  <c r="DO1252" i="1"/>
  <c r="DI1252" i="1"/>
  <c r="DJ1252" i="1"/>
  <c r="DK1252" i="1"/>
  <c r="DL1252" i="1"/>
  <c r="CZ1253" i="1"/>
  <c r="DA1253" i="1"/>
  <c r="DB1253" i="1"/>
  <c r="CM1253" i="1"/>
  <c r="DF1253" i="1"/>
  <c r="CP1253" i="1"/>
  <c r="DG1253" i="1"/>
  <c r="CL1253" i="1"/>
  <c r="DH1253" i="1"/>
  <c r="CI1253" i="1"/>
  <c r="DN1253" i="1"/>
  <c r="DO1253" i="1"/>
  <c r="DI1253" i="1"/>
  <c r="DJ1253" i="1"/>
  <c r="DK1253" i="1"/>
  <c r="DL1253" i="1"/>
  <c r="CZ1254" i="1"/>
  <c r="DA1254" i="1"/>
  <c r="DB1254" i="1"/>
  <c r="CM1254" i="1"/>
  <c r="DF1254" i="1"/>
  <c r="CP1254" i="1"/>
  <c r="DG1254" i="1"/>
  <c r="CL1254" i="1"/>
  <c r="DH1254" i="1"/>
  <c r="CI1254" i="1"/>
  <c r="DN1254" i="1"/>
  <c r="DO1254" i="1"/>
  <c r="DI1254" i="1"/>
  <c r="DJ1254" i="1"/>
  <c r="DK1254" i="1"/>
  <c r="DL1254" i="1"/>
  <c r="CZ1255" i="1"/>
  <c r="DA1255" i="1"/>
  <c r="DB1255" i="1"/>
  <c r="CM1255" i="1"/>
  <c r="DF1255" i="1"/>
  <c r="CP1255" i="1"/>
  <c r="DG1255" i="1"/>
  <c r="CL1255" i="1"/>
  <c r="DH1255" i="1"/>
  <c r="CI1255" i="1"/>
  <c r="DN1255" i="1"/>
  <c r="DO1255" i="1"/>
  <c r="DI1255" i="1"/>
  <c r="DJ1255" i="1"/>
  <c r="DK1255" i="1"/>
  <c r="DL1255" i="1"/>
  <c r="CZ1256" i="1"/>
  <c r="DA1256" i="1"/>
  <c r="DB1256" i="1"/>
  <c r="CM1256" i="1"/>
  <c r="DF1256" i="1"/>
  <c r="CP1256" i="1"/>
  <c r="DG1256" i="1"/>
  <c r="CL1256" i="1"/>
  <c r="DH1256" i="1"/>
  <c r="CI1256" i="1"/>
  <c r="DN1256" i="1"/>
  <c r="DO1256" i="1"/>
  <c r="DI1256" i="1"/>
  <c r="DJ1256" i="1"/>
  <c r="DK1256" i="1"/>
  <c r="DL1256" i="1"/>
  <c r="CZ1257" i="1"/>
  <c r="DA1257" i="1"/>
  <c r="DB1257" i="1"/>
  <c r="CM1257" i="1"/>
  <c r="DF1257" i="1"/>
  <c r="CP1257" i="1"/>
  <c r="DG1257" i="1"/>
  <c r="CL1257" i="1"/>
  <c r="DH1257" i="1"/>
  <c r="CI1257" i="1"/>
  <c r="DN1257" i="1"/>
  <c r="DO1257" i="1"/>
  <c r="DI1257" i="1"/>
  <c r="DJ1257" i="1"/>
  <c r="DK1257" i="1"/>
  <c r="DL1257" i="1"/>
  <c r="CZ1258" i="1"/>
  <c r="DA1258" i="1"/>
  <c r="DB1258" i="1"/>
  <c r="CM1258" i="1"/>
  <c r="DF1258" i="1"/>
  <c r="CP1258" i="1"/>
  <c r="DG1258" i="1"/>
  <c r="CL1258" i="1"/>
  <c r="DH1258" i="1"/>
  <c r="CI1258" i="1"/>
  <c r="DN1258" i="1"/>
  <c r="DO1258" i="1"/>
  <c r="DI1258" i="1"/>
  <c r="DJ1258" i="1"/>
  <c r="DK1258" i="1"/>
  <c r="DL1258" i="1"/>
  <c r="CZ1259" i="1"/>
  <c r="DA1259" i="1"/>
  <c r="DB1259" i="1"/>
  <c r="CM1259" i="1"/>
  <c r="DF1259" i="1"/>
  <c r="CP1259" i="1"/>
  <c r="DG1259" i="1"/>
  <c r="CL1259" i="1"/>
  <c r="DH1259" i="1"/>
  <c r="CI1259" i="1"/>
  <c r="DN1259" i="1"/>
  <c r="DO1259" i="1"/>
  <c r="DI1259" i="1"/>
  <c r="DJ1259" i="1"/>
  <c r="DK1259" i="1"/>
  <c r="DL1259" i="1"/>
  <c r="CZ1260" i="1"/>
  <c r="DA1260" i="1"/>
  <c r="DB1260" i="1"/>
  <c r="CM1260" i="1"/>
  <c r="DF1260" i="1"/>
  <c r="CP1260" i="1"/>
  <c r="DG1260" i="1"/>
  <c r="CL1260" i="1"/>
  <c r="DH1260" i="1"/>
  <c r="CI1260" i="1"/>
  <c r="DN1260" i="1"/>
  <c r="DO1260" i="1"/>
  <c r="DI1260" i="1"/>
  <c r="DJ1260" i="1"/>
  <c r="DK1260" i="1"/>
  <c r="DL1260" i="1"/>
  <c r="CZ1261" i="1"/>
  <c r="DA1261" i="1"/>
  <c r="DB1261" i="1"/>
  <c r="CM1261" i="1"/>
  <c r="DF1261" i="1"/>
  <c r="CP1261" i="1"/>
  <c r="DG1261" i="1"/>
  <c r="CL1261" i="1"/>
  <c r="DH1261" i="1"/>
  <c r="CI1261" i="1"/>
  <c r="DN1261" i="1"/>
  <c r="DO1261" i="1"/>
  <c r="DI1261" i="1"/>
  <c r="DJ1261" i="1"/>
  <c r="DK1261" i="1"/>
  <c r="DL1261" i="1"/>
  <c r="CZ1262" i="1"/>
  <c r="DA1262" i="1"/>
  <c r="DB1262" i="1"/>
  <c r="CM1262" i="1"/>
  <c r="DF1262" i="1"/>
  <c r="CP1262" i="1"/>
  <c r="DG1262" i="1"/>
  <c r="CL1262" i="1"/>
  <c r="DH1262" i="1"/>
  <c r="CI1262" i="1"/>
  <c r="DN1262" i="1"/>
  <c r="DO1262" i="1"/>
  <c r="DI1262" i="1"/>
  <c r="DJ1262" i="1"/>
  <c r="DK1262" i="1"/>
  <c r="DL1262" i="1"/>
  <c r="CZ1263" i="1"/>
  <c r="DA1263" i="1"/>
  <c r="DB1263" i="1"/>
  <c r="CM1263" i="1"/>
  <c r="DF1263" i="1"/>
  <c r="CP1263" i="1"/>
  <c r="DG1263" i="1"/>
  <c r="CL1263" i="1"/>
  <c r="DH1263" i="1"/>
  <c r="CI1263" i="1"/>
  <c r="DN1263" i="1"/>
  <c r="DO1263" i="1"/>
  <c r="DI1263" i="1"/>
  <c r="DJ1263" i="1"/>
  <c r="DK1263" i="1"/>
  <c r="DL1263" i="1"/>
  <c r="CZ1264" i="1"/>
  <c r="DA1264" i="1"/>
  <c r="DB1264" i="1"/>
  <c r="CM1264" i="1"/>
  <c r="DF1264" i="1"/>
  <c r="CP1264" i="1"/>
  <c r="DG1264" i="1"/>
  <c r="CL1264" i="1"/>
  <c r="DH1264" i="1"/>
  <c r="CI1264" i="1"/>
  <c r="DN1264" i="1"/>
  <c r="DO1264" i="1"/>
  <c r="DI1264" i="1"/>
  <c r="DJ1264" i="1"/>
  <c r="DK1264" i="1"/>
  <c r="DL1264" i="1"/>
  <c r="CZ1265" i="1"/>
  <c r="DA1265" i="1"/>
  <c r="DB1265" i="1"/>
  <c r="CM1265" i="1"/>
  <c r="DF1265" i="1"/>
  <c r="CP1265" i="1"/>
  <c r="DG1265" i="1"/>
  <c r="CL1265" i="1"/>
  <c r="DH1265" i="1"/>
  <c r="CI1265" i="1"/>
  <c r="DN1265" i="1"/>
  <c r="DO1265" i="1"/>
  <c r="DI1265" i="1"/>
  <c r="DJ1265" i="1"/>
  <c r="DK1265" i="1"/>
  <c r="DL1265" i="1"/>
  <c r="CZ1266" i="1"/>
  <c r="DA1266" i="1"/>
  <c r="DB1266" i="1"/>
  <c r="CM1266" i="1"/>
  <c r="DF1266" i="1"/>
  <c r="CP1266" i="1"/>
  <c r="DG1266" i="1"/>
  <c r="CL1266" i="1"/>
  <c r="DH1266" i="1"/>
  <c r="CI1266" i="1"/>
  <c r="DN1266" i="1"/>
  <c r="DO1266" i="1"/>
  <c r="DI1266" i="1"/>
  <c r="DJ1266" i="1"/>
  <c r="DK1266" i="1"/>
  <c r="DL1266" i="1"/>
  <c r="CZ1267" i="1"/>
  <c r="DA1267" i="1"/>
  <c r="DB1267" i="1"/>
  <c r="CM1267" i="1"/>
  <c r="DF1267" i="1"/>
  <c r="CP1267" i="1"/>
  <c r="DG1267" i="1"/>
  <c r="CL1267" i="1"/>
  <c r="DH1267" i="1"/>
  <c r="CI1267" i="1"/>
  <c r="DN1267" i="1"/>
  <c r="DO1267" i="1"/>
  <c r="DI1267" i="1"/>
  <c r="DJ1267" i="1"/>
  <c r="DK1267" i="1"/>
  <c r="DL1267" i="1"/>
  <c r="CZ1268" i="1"/>
  <c r="DA1268" i="1"/>
  <c r="DB1268" i="1"/>
  <c r="CM1268" i="1"/>
  <c r="DF1268" i="1"/>
  <c r="CP1268" i="1"/>
  <c r="DG1268" i="1"/>
  <c r="CL1268" i="1"/>
  <c r="DH1268" i="1"/>
  <c r="CI1268" i="1"/>
  <c r="DN1268" i="1"/>
  <c r="DO1268" i="1"/>
  <c r="DI1268" i="1"/>
  <c r="DJ1268" i="1"/>
  <c r="DK1268" i="1"/>
  <c r="DL1268" i="1"/>
  <c r="CZ1269" i="1"/>
  <c r="DA1269" i="1"/>
  <c r="DB1269" i="1"/>
  <c r="CM1269" i="1"/>
  <c r="DF1269" i="1"/>
  <c r="CP1269" i="1"/>
  <c r="DG1269" i="1"/>
  <c r="CL1269" i="1"/>
  <c r="DH1269" i="1"/>
  <c r="CI1269" i="1"/>
  <c r="DN1269" i="1"/>
  <c r="DO1269" i="1"/>
  <c r="DI1269" i="1"/>
  <c r="DJ1269" i="1"/>
  <c r="DK1269" i="1"/>
  <c r="DL1269" i="1"/>
  <c r="CZ1270" i="1"/>
  <c r="DA1270" i="1"/>
  <c r="DB1270" i="1"/>
  <c r="CM1270" i="1"/>
  <c r="DF1270" i="1"/>
  <c r="CP1270" i="1"/>
  <c r="DG1270" i="1"/>
  <c r="CL1270" i="1"/>
  <c r="DH1270" i="1"/>
  <c r="CI1270" i="1"/>
  <c r="DN1270" i="1"/>
  <c r="DO1270" i="1"/>
  <c r="DI1270" i="1"/>
  <c r="DJ1270" i="1"/>
  <c r="DK1270" i="1"/>
  <c r="DL1270" i="1"/>
  <c r="CZ1271" i="1"/>
  <c r="DA1271" i="1"/>
  <c r="DB1271" i="1"/>
  <c r="CM1271" i="1"/>
  <c r="DF1271" i="1"/>
  <c r="CP1271" i="1"/>
  <c r="DG1271" i="1"/>
  <c r="CL1271" i="1"/>
  <c r="DH1271" i="1"/>
  <c r="CI1271" i="1"/>
  <c r="DN1271" i="1"/>
  <c r="DO1271" i="1"/>
  <c r="DI1271" i="1"/>
  <c r="DJ1271" i="1"/>
  <c r="DK1271" i="1"/>
  <c r="DL1271" i="1"/>
  <c r="CZ1272" i="1"/>
  <c r="DA1272" i="1"/>
  <c r="DB1272" i="1"/>
  <c r="CM1272" i="1"/>
  <c r="DF1272" i="1"/>
  <c r="CP1272" i="1"/>
  <c r="DG1272" i="1"/>
  <c r="CL1272" i="1"/>
  <c r="DH1272" i="1"/>
  <c r="CI1272" i="1"/>
  <c r="DN1272" i="1"/>
  <c r="DO1272" i="1"/>
  <c r="DI1272" i="1"/>
  <c r="DJ1272" i="1"/>
  <c r="DK1272" i="1"/>
  <c r="DL1272" i="1"/>
  <c r="CZ1273" i="1"/>
  <c r="DA1273" i="1"/>
  <c r="DB1273" i="1"/>
  <c r="CM1273" i="1"/>
  <c r="DF1273" i="1"/>
  <c r="CP1273" i="1"/>
  <c r="DG1273" i="1"/>
  <c r="CL1273" i="1"/>
  <c r="DH1273" i="1"/>
  <c r="CI1273" i="1"/>
  <c r="DN1273" i="1"/>
  <c r="DO1273" i="1"/>
  <c r="DI1273" i="1"/>
  <c r="DJ1273" i="1"/>
  <c r="DK1273" i="1"/>
  <c r="DL1273" i="1"/>
  <c r="CZ1274" i="1"/>
  <c r="DA1274" i="1"/>
  <c r="DB1274" i="1"/>
  <c r="CM1274" i="1"/>
  <c r="DF1274" i="1"/>
  <c r="CP1274" i="1"/>
  <c r="DG1274" i="1"/>
  <c r="CL1274" i="1"/>
  <c r="DH1274" i="1"/>
  <c r="CI1274" i="1"/>
  <c r="DN1274" i="1"/>
  <c r="DO1274" i="1"/>
  <c r="DI1274" i="1"/>
  <c r="DJ1274" i="1"/>
  <c r="DK1274" i="1"/>
  <c r="DL1274" i="1"/>
  <c r="CZ1275" i="1"/>
  <c r="DA1275" i="1"/>
  <c r="DB1275" i="1"/>
  <c r="CM1275" i="1"/>
  <c r="DF1275" i="1"/>
  <c r="CP1275" i="1"/>
  <c r="DG1275" i="1"/>
  <c r="CL1275" i="1"/>
  <c r="DH1275" i="1"/>
  <c r="CI1275" i="1"/>
  <c r="DN1275" i="1"/>
  <c r="DO1275" i="1"/>
  <c r="DI1275" i="1"/>
  <c r="DJ1275" i="1"/>
  <c r="DK1275" i="1"/>
  <c r="DL1275" i="1"/>
  <c r="CZ1276" i="1"/>
  <c r="DA1276" i="1"/>
  <c r="DB1276" i="1"/>
  <c r="CM1276" i="1"/>
  <c r="DF1276" i="1"/>
  <c r="CP1276" i="1"/>
  <c r="DG1276" i="1"/>
  <c r="CL1276" i="1"/>
  <c r="DH1276" i="1"/>
  <c r="CI1276" i="1"/>
  <c r="DN1276" i="1"/>
  <c r="DO1276" i="1"/>
  <c r="DI1276" i="1"/>
  <c r="DJ1276" i="1"/>
  <c r="DK1276" i="1"/>
  <c r="DL1276" i="1"/>
  <c r="CZ1277" i="1"/>
  <c r="DA1277" i="1"/>
  <c r="DB1277" i="1"/>
  <c r="CM1277" i="1"/>
  <c r="DF1277" i="1"/>
  <c r="CP1277" i="1"/>
  <c r="DG1277" i="1"/>
  <c r="CL1277" i="1"/>
  <c r="DH1277" i="1"/>
  <c r="CI1277" i="1"/>
  <c r="DN1277" i="1"/>
  <c r="DO1277" i="1"/>
  <c r="DI1277" i="1"/>
  <c r="DJ1277" i="1"/>
  <c r="DK1277" i="1"/>
  <c r="DL1277" i="1"/>
  <c r="CZ1278" i="1"/>
  <c r="DA1278" i="1"/>
  <c r="DB1278" i="1"/>
  <c r="CM1278" i="1"/>
  <c r="DF1278" i="1"/>
  <c r="CP1278" i="1"/>
  <c r="DG1278" i="1"/>
  <c r="CL1278" i="1"/>
  <c r="DH1278" i="1"/>
  <c r="CI1278" i="1"/>
  <c r="DN1278" i="1"/>
  <c r="DO1278" i="1"/>
  <c r="DI1278" i="1"/>
  <c r="DJ1278" i="1"/>
  <c r="DK1278" i="1"/>
  <c r="DL1278" i="1"/>
  <c r="CZ1279" i="1"/>
  <c r="DA1279" i="1"/>
  <c r="DB1279" i="1"/>
  <c r="CM1279" i="1"/>
  <c r="DF1279" i="1"/>
  <c r="CP1279" i="1"/>
  <c r="DG1279" i="1"/>
  <c r="CL1279" i="1"/>
  <c r="DH1279" i="1"/>
  <c r="CI1279" i="1"/>
  <c r="DN1279" i="1"/>
  <c r="DO1279" i="1"/>
  <c r="DI1279" i="1"/>
  <c r="DJ1279" i="1"/>
  <c r="DK1279" i="1"/>
  <c r="DL1279" i="1"/>
  <c r="CZ1280" i="1"/>
  <c r="DA1280" i="1"/>
  <c r="DB1280" i="1"/>
  <c r="CM1280" i="1"/>
  <c r="DF1280" i="1"/>
  <c r="CP1280" i="1"/>
  <c r="DG1280" i="1"/>
  <c r="CL1280" i="1"/>
  <c r="DH1280" i="1"/>
  <c r="CI1280" i="1"/>
  <c r="DN1280" i="1"/>
  <c r="DO1280" i="1"/>
  <c r="DI1280" i="1"/>
  <c r="DJ1280" i="1"/>
  <c r="DK1280" i="1"/>
  <c r="DL1280" i="1"/>
  <c r="CZ1281" i="1"/>
  <c r="DA1281" i="1"/>
  <c r="DB1281" i="1"/>
  <c r="CM1281" i="1"/>
  <c r="DF1281" i="1"/>
  <c r="CP1281" i="1"/>
  <c r="DG1281" i="1"/>
  <c r="CL1281" i="1"/>
  <c r="DH1281" i="1"/>
  <c r="CI1281" i="1"/>
  <c r="DN1281" i="1"/>
  <c r="DO1281" i="1"/>
  <c r="DI1281" i="1"/>
  <c r="DJ1281" i="1"/>
  <c r="DK1281" i="1"/>
  <c r="DL1281" i="1"/>
  <c r="CZ1282" i="1"/>
  <c r="DA1282" i="1"/>
  <c r="DB1282" i="1"/>
  <c r="CM1282" i="1"/>
  <c r="DF1282" i="1"/>
  <c r="CP1282" i="1"/>
  <c r="DG1282" i="1"/>
  <c r="CL1282" i="1"/>
  <c r="DH1282" i="1"/>
  <c r="CI1282" i="1"/>
  <c r="DN1282" i="1"/>
  <c r="DO1282" i="1"/>
  <c r="DI1282" i="1"/>
  <c r="DJ1282" i="1"/>
  <c r="DK1282" i="1"/>
  <c r="DL1282" i="1"/>
  <c r="CZ1283" i="1"/>
  <c r="DA1283" i="1"/>
  <c r="DB1283" i="1"/>
  <c r="CM1283" i="1"/>
  <c r="DF1283" i="1"/>
  <c r="CP1283" i="1"/>
  <c r="DG1283" i="1"/>
  <c r="CL1283" i="1"/>
  <c r="DH1283" i="1"/>
  <c r="CI1283" i="1"/>
  <c r="DN1283" i="1"/>
  <c r="DO1283" i="1"/>
  <c r="DI1283" i="1"/>
  <c r="DJ1283" i="1"/>
  <c r="DK1283" i="1"/>
  <c r="DL1283" i="1"/>
  <c r="CZ1284" i="1"/>
  <c r="DA1284" i="1"/>
  <c r="DB1284" i="1"/>
  <c r="CM1284" i="1"/>
  <c r="DF1284" i="1"/>
  <c r="CP1284" i="1"/>
  <c r="DG1284" i="1"/>
  <c r="CL1284" i="1"/>
  <c r="DH1284" i="1"/>
  <c r="CI1284" i="1"/>
  <c r="DN1284" i="1"/>
  <c r="DO1284" i="1"/>
  <c r="DI1284" i="1"/>
  <c r="DJ1284" i="1"/>
  <c r="DK1284" i="1"/>
  <c r="DL1284" i="1"/>
  <c r="CZ1285" i="1"/>
  <c r="DA1285" i="1"/>
  <c r="DB1285" i="1"/>
  <c r="CM1285" i="1"/>
  <c r="DF1285" i="1"/>
  <c r="CP1285" i="1"/>
  <c r="DG1285" i="1"/>
  <c r="CL1285" i="1"/>
  <c r="DH1285" i="1"/>
  <c r="CI1285" i="1"/>
  <c r="DN1285" i="1"/>
  <c r="DO1285" i="1"/>
  <c r="DI1285" i="1"/>
  <c r="DJ1285" i="1"/>
  <c r="DK1285" i="1"/>
  <c r="DL1285" i="1"/>
  <c r="CZ1286" i="1"/>
  <c r="DA1286" i="1"/>
  <c r="DB1286" i="1"/>
  <c r="CM1286" i="1"/>
  <c r="DF1286" i="1"/>
  <c r="CP1286" i="1"/>
  <c r="DG1286" i="1"/>
  <c r="CL1286" i="1"/>
  <c r="DH1286" i="1"/>
  <c r="CI1286" i="1"/>
  <c r="DN1286" i="1"/>
  <c r="DO1286" i="1"/>
  <c r="DI1286" i="1"/>
  <c r="DJ1286" i="1"/>
  <c r="DK1286" i="1"/>
  <c r="DL1286" i="1"/>
  <c r="CZ1287" i="1"/>
  <c r="DA1287" i="1"/>
  <c r="DB1287" i="1"/>
  <c r="CM1287" i="1"/>
  <c r="DF1287" i="1"/>
  <c r="CP1287" i="1"/>
  <c r="DG1287" i="1"/>
  <c r="CL1287" i="1"/>
  <c r="DH1287" i="1"/>
  <c r="CI1287" i="1"/>
  <c r="DN1287" i="1"/>
  <c r="DO1287" i="1"/>
  <c r="DI1287" i="1"/>
  <c r="DJ1287" i="1"/>
  <c r="DK1287" i="1"/>
  <c r="DL1287" i="1"/>
  <c r="CZ1288" i="1"/>
  <c r="DA1288" i="1"/>
  <c r="DB1288" i="1"/>
  <c r="CM1288" i="1"/>
  <c r="DF1288" i="1"/>
  <c r="CP1288" i="1"/>
  <c r="DG1288" i="1"/>
  <c r="CL1288" i="1"/>
  <c r="DH1288" i="1"/>
  <c r="CI1288" i="1"/>
  <c r="DN1288" i="1"/>
  <c r="DO1288" i="1"/>
  <c r="DI1288" i="1"/>
  <c r="DJ1288" i="1"/>
  <c r="DK1288" i="1"/>
  <c r="DL1288" i="1"/>
  <c r="CZ1289" i="1"/>
  <c r="DA1289" i="1"/>
  <c r="DB1289" i="1"/>
  <c r="CM1289" i="1"/>
  <c r="DF1289" i="1"/>
  <c r="CP1289" i="1"/>
  <c r="DG1289" i="1"/>
  <c r="CL1289" i="1"/>
  <c r="DH1289" i="1"/>
  <c r="CI1289" i="1"/>
  <c r="DN1289" i="1"/>
  <c r="DO1289" i="1"/>
  <c r="DI1289" i="1"/>
  <c r="DJ1289" i="1"/>
  <c r="DK1289" i="1"/>
  <c r="DL1289" i="1"/>
  <c r="CZ1290" i="1"/>
  <c r="DA1290" i="1"/>
  <c r="DB1290" i="1"/>
  <c r="CM1290" i="1"/>
  <c r="DF1290" i="1"/>
  <c r="CP1290" i="1"/>
  <c r="DG1290" i="1"/>
  <c r="CL1290" i="1"/>
  <c r="DH1290" i="1"/>
  <c r="CI1290" i="1"/>
  <c r="DN1290" i="1"/>
  <c r="DO1290" i="1"/>
  <c r="DI1290" i="1"/>
  <c r="DJ1290" i="1"/>
  <c r="DK1290" i="1"/>
  <c r="DL1290" i="1"/>
  <c r="CZ1291" i="1"/>
  <c r="DA1291" i="1"/>
  <c r="DB1291" i="1"/>
  <c r="CM1291" i="1"/>
  <c r="DF1291" i="1"/>
  <c r="CP1291" i="1"/>
  <c r="DG1291" i="1"/>
  <c r="CL1291" i="1"/>
  <c r="DH1291" i="1"/>
  <c r="CI1291" i="1"/>
  <c r="DN1291" i="1"/>
  <c r="DO1291" i="1"/>
  <c r="DI1291" i="1"/>
  <c r="DJ1291" i="1"/>
  <c r="DK1291" i="1"/>
  <c r="DL1291" i="1"/>
  <c r="CZ1292" i="1"/>
  <c r="DA1292" i="1"/>
  <c r="DB1292" i="1"/>
  <c r="CM1292" i="1"/>
  <c r="DF1292" i="1"/>
  <c r="CP1292" i="1"/>
  <c r="DG1292" i="1"/>
  <c r="CL1292" i="1"/>
  <c r="DH1292" i="1"/>
  <c r="CI1292" i="1"/>
  <c r="DN1292" i="1"/>
  <c r="DO1292" i="1"/>
  <c r="DI1292" i="1"/>
  <c r="DJ1292" i="1"/>
  <c r="DK1292" i="1"/>
  <c r="DL1292" i="1"/>
  <c r="CZ1293" i="1"/>
  <c r="DA1293" i="1"/>
  <c r="DB1293" i="1"/>
  <c r="CM1293" i="1"/>
  <c r="DF1293" i="1"/>
  <c r="CP1293" i="1"/>
  <c r="DG1293" i="1"/>
  <c r="CL1293" i="1"/>
  <c r="DH1293" i="1"/>
  <c r="CI1293" i="1"/>
  <c r="DN1293" i="1"/>
  <c r="DO1293" i="1"/>
  <c r="DI1293" i="1"/>
  <c r="DJ1293" i="1"/>
  <c r="DK1293" i="1"/>
  <c r="DL1293" i="1"/>
  <c r="CZ1294" i="1"/>
  <c r="DA1294" i="1"/>
  <c r="DB1294" i="1"/>
  <c r="CM1294" i="1"/>
  <c r="DF1294" i="1"/>
  <c r="CP1294" i="1"/>
  <c r="DG1294" i="1"/>
  <c r="CL1294" i="1"/>
  <c r="DH1294" i="1"/>
  <c r="CI1294" i="1"/>
  <c r="DN1294" i="1"/>
  <c r="DO1294" i="1"/>
  <c r="DI1294" i="1"/>
  <c r="DJ1294" i="1"/>
  <c r="DK1294" i="1"/>
  <c r="DL1294" i="1"/>
  <c r="CZ1295" i="1"/>
  <c r="DA1295" i="1"/>
  <c r="DB1295" i="1"/>
  <c r="CM1295" i="1"/>
  <c r="DF1295" i="1"/>
  <c r="CP1295" i="1"/>
  <c r="DG1295" i="1"/>
  <c r="CL1295" i="1"/>
  <c r="DH1295" i="1"/>
  <c r="CI1295" i="1"/>
  <c r="DN1295" i="1"/>
  <c r="DO1295" i="1"/>
  <c r="DI1295" i="1"/>
  <c r="DJ1295" i="1"/>
  <c r="DK1295" i="1"/>
  <c r="DL1295" i="1"/>
  <c r="CZ1296" i="1"/>
  <c r="DA1296" i="1"/>
  <c r="DB1296" i="1"/>
  <c r="CM1296" i="1"/>
  <c r="DF1296" i="1"/>
  <c r="CP1296" i="1"/>
  <c r="DG1296" i="1"/>
  <c r="CL1296" i="1"/>
  <c r="DH1296" i="1"/>
  <c r="CI1296" i="1"/>
  <c r="DN1296" i="1"/>
  <c r="DO1296" i="1"/>
  <c r="DI1296" i="1"/>
  <c r="DJ1296" i="1"/>
  <c r="DK1296" i="1"/>
  <c r="DL1296" i="1"/>
  <c r="CZ1297" i="1"/>
  <c r="DA1297" i="1"/>
  <c r="DB1297" i="1"/>
  <c r="CM1297" i="1"/>
  <c r="DF1297" i="1"/>
  <c r="CP1297" i="1"/>
  <c r="DG1297" i="1"/>
  <c r="CL1297" i="1"/>
  <c r="DH1297" i="1"/>
  <c r="CI1297" i="1"/>
  <c r="DN1297" i="1"/>
  <c r="DO1297" i="1"/>
  <c r="DI1297" i="1"/>
  <c r="DJ1297" i="1"/>
  <c r="DK1297" i="1"/>
  <c r="DL1297" i="1"/>
  <c r="CZ1298" i="1"/>
  <c r="DA1298" i="1"/>
  <c r="DB1298" i="1"/>
  <c r="CM1298" i="1"/>
  <c r="DF1298" i="1"/>
  <c r="CP1298" i="1"/>
  <c r="DG1298" i="1"/>
  <c r="CL1298" i="1"/>
  <c r="DH1298" i="1"/>
  <c r="CI1298" i="1"/>
  <c r="DN1298" i="1"/>
  <c r="DO1298" i="1"/>
  <c r="DI1298" i="1"/>
  <c r="DJ1298" i="1"/>
  <c r="DK1298" i="1"/>
  <c r="DL1298" i="1"/>
  <c r="CZ1299" i="1"/>
  <c r="DA1299" i="1"/>
  <c r="DB1299" i="1"/>
  <c r="CM1299" i="1"/>
  <c r="DF1299" i="1"/>
  <c r="CP1299" i="1"/>
  <c r="DG1299" i="1"/>
  <c r="CL1299" i="1"/>
  <c r="DH1299" i="1"/>
  <c r="CI1299" i="1"/>
  <c r="DN1299" i="1"/>
  <c r="DO1299" i="1"/>
  <c r="DI1299" i="1"/>
  <c r="DJ1299" i="1"/>
  <c r="DK1299" i="1"/>
  <c r="DL1299" i="1"/>
  <c r="CZ1300" i="1"/>
  <c r="DA1300" i="1"/>
  <c r="DB1300" i="1"/>
  <c r="CM1300" i="1"/>
  <c r="DF1300" i="1"/>
  <c r="CP1300" i="1"/>
  <c r="DG1300" i="1"/>
  <c r="CL1300" i="1"/>
  <c r="DH1300" i="1"/>
  <c r="CI1300" i="1"/>
  <c r="DN1300" i="1"/>
  <c r="DO1300" i="1"/>
  <c r="DI1300" i="1"/>
  <c r="DJ1300" i="1"/>
  <c r="DK1300" i="1"/>
  <c r="DL1300" i="1"/>
  <c r="CZ1301" i="1"/>
  <c r="DA1301" i="1"/>
  <c r="DB1301" i="1"/>
  <c r="CM1301" i="1"/>
  <c r="DF1301" i="1"/>
  <c r="CP1301" i="1"/>
  <c r="DG1301" i="1"/>
  <c r="CL1301" i="1"/>
  <c r="DH1301" i="1"/>
  <c r="CI1301" i="1"/>
  <c r="DN1301" i="1"/>
  <c r="DO1301" i="1"/>
  <c r="DI1301" i="1"/>
  <c r="DJ1301" i="1"/>
  <c r="DK1301" i="1"/>
  <c r="DL1301" i="1"/>
  <c r="CZ1302" i="1"/>
  <c r="DA1302" i="1"/>
  <c r="DB1302" i="1"/>
  <c r="CM1302" i="1"/>
  <c r="DF1302" i="1"/>
  <c r="CP1302" i="1"/>
  <c r="DG1302" i="1"/>
  <c r="CL1302" i="1"/>
  <c r="DH1302" i="1"/>
  <c r="CI1302" i="1"/>
  <c r="DN1302" i="1"/>
  <c r="DO1302" i="1"/>
  <c r="DI1302" i="1"/>
  <c r="DJ1302" i="1"/>
  <c r="DK1302" i="1"/>
  <c r="DL1302" i="1"/>
  <c r="CZ1303" i="1"/>
  <c r="DA1303" i="1"/>
  <c r="DB1303" i="1"/>
  <c r="CM1303" i="1"/>
  <c r="DF1303" i="1"/>
  <c r="CP1303" i="1"/>
  <c r="DG1303" i="1"/>
  <c r="CL1303" i="1"/>
  <c r="DH1303" i="1"/>
  <c r="CI1303" i="1"/>
  <c r="DN1303" i="1"/>
  <c r="DO1303" i="1"/>
  <c r="DI1303" i="1"/>
  <c r="DJ1303" i="1"/>
  <c r="DK1303" i="1"/>
  <c r="DL1303" i="1"/>
  <c r="CZ1304" i="1"/>
  <c r="DA1304" i="1"/>
  <c r="DB1304" i="1"/>
  <c r="CM1304" i="1"/>
  <c r="DF1304" i="1"/>
  <c r="CP1304" i="1"/>
  <c r="DG1304" i="1"/>
  <c r="CL1304" i="1"/>
  <c r="DH1304" i="1"/>
  <c r="CI1304" i="1"/>
  <c r="DN1304" i="1"/>
  <c r="DO1304" i="1"/>
  <c r="DI1304" i="1"/>
  <c r="DJ1304" i="1"/>
  <c r="DK1304" i="1"/>
  <c r="DL1304" i="1"/>
  <c r="CZ1305" i="1"/>
  <c r="DA1305" i="1"/>
  <c r="DB1305" i="1"/>
  <c r="CM1305" i="1"/>
  <c r="DF1305" i="1"/>
  <c r="CP1305" i="1"/>
  <c r="DG1305" i="1"/>
  <c r="CL1305" i="1"/>
  <c r="DH1305" i="1"/>
  <c r="CI1305" i="1"/>
  <c r="DN1305" i="1"/>
  <c r="DO1305" i="1"/>
  <c r="DI1305" i="1"/>
  <c r="DJ1305" i="1"/>
  <c r="DK1305" i="1"/>
  <c r="DL1305" i="1"/>
  <c r="CZ1306" i="1"/>
  <c r="DA1306" i="1"/>
  <c r="DB1306" i="1"/>
  <c r="CM1306" i="1"/>
  <c r="DF1306" i="1"/>
  <c r="CP1306" i="1"/>
  <c r="DG1306" i="1"/>
  <c r="CL1306" i="1"/>
  <c r="DH1306" i="1"/>
  <c r="CI1306" i="1"/>
  <c r="DN1306" i="1"/>
  <c r="DO1306" i="1"/>
  <c r="DI1306" i="1"/>
  <c r="DJ1306" i="1"/>
  <c r="DK1306" i="1"/>
  <c r="DL1306" i="1"/>
  <c r="CZ1307" i="1"/>
  <c r="DA1307" i="1"/>
  <c r="DB1307" i="1"/>
  <c r="CM1307" i="1"/>
  <c r="DF1307" i="1"/>
  <c r="CP1307" i="1"/>
  <c r="DG1307" i="1"/>
  <c r="CL1307" i="1"/>
  <c r="DH1307" i="1"/>
  <c r="CI1307" i="1"/>
  <c r="DN1307" i="1"/>
  <c r="DO1307" i="1"/>
  <c r="DI1307" i="1"/>
  <c r="DJ1307" i="1"/>
  <c r="DK1307" i="1"/>
  <c r="DL1307" i="1"/>
  <c r="CZ1308" i="1"/>
  <c r="DA1308" i="1"/>
  <c r="DB1308" i="1"/>
  <c r="CM1308" i="1"/>
  <c r="DF1308" i="1"/>
  <c r="CP1308" i="1"/>
  <c r="DG1308" i="1"/>
  <c r="CL1308" i="1"/>
  <c r="DH1308" i="1"/>
  <c r="CI1308" i="1"/>
  <c r="DN1308" i="1"/>
  <c r="DO1308" i="1"/>
  <c r="DI1308" i="1"/>
  <c r="DJ1308" i="1"/>
  <c r="DK1308" i="1"/>
  <c r="DL1308" i="1"/>
  <c r="CZ1309" i="1"/>
  <c r="DA1309" i="1"/>
  <c r="DB1309" i="1"/>
  <c r="CM1309" i="1"/>
  <c r="DF1309" i="1"/>
  <c r="CP1309" i="1"/>
  <c r="DG1309" i="1"/>
  <c r="CL1309" i="1"/>
  <c r="DH1309" i="1"/>
  <c r="CI1309" i="1"/>
  <c r="DN1309" i="1"/>
  <c r="DO1309" i="1"/>
  <c r="DI1309" i="1"/>
  <c r="DJ1309" i="1"/>
  <c r="DK1309" i="1"/>
  <c r="DL1309" i="1"/>
  <c r="DM199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335" i="1"/>
  <c r="DM336" i="1"/>
  <c r="DM337" i="1"/>
  <c r="DM338" i="1"/>
  <c r="DM339" i="1"/>
  <c r="DM340" i="1"/>
  <c r="DM341" i="1"/>
  <c r="DM342" i="1"/>
  <c r="DM343" i="1"/>
  <c r="DM344" i="1"/>
  <c r="DM345" i="1"/>
  <c r="DM346" i="1"/>
  <c r="DM347" i="1"/>
  <c r="DM348" i="1"/>
  <c r="DM349" i="1"/>
  <c r="DM350" i="1"/>
  <c r="DM351" i="1"/>
  <c r="DM352" i="1"/>
  <c r="DM353" i="1"/>
  <c r="DM354" i="1"/>
  <c r="DM355" i="1"/>
  <c r="DM356" i="1"/>
  <c r="DM357" i="1"/>
  <c r="DM358" i="1"/>
  <c r="DM359" i="1"/>
  <c r="DM360" i="1"/>
  <c r="DM361" i="1"/>
  <c r="DM362" i="1"/>
  <c r="DM363" i="1"/>
  <c r="DM364" i="1"/>
  <c r="DM365" i="1"/>
  <c r="DM366" i="1"/>
  <c r="DM367" i="1"/>
  <c r="DM368" i="1"/>
  <c r="DM369" i="1"/>
  <c r="DM370" i="1"/>
  <c r="DM371" i="1"/>
  <c r="DM372" i="1"/>
  <c r="DM373" i="1"/>
  <c r="DM374" i="1"/>
  <c r="DM375" i="1"/>
  <c r="DM376" i="1"/>
  <c r="DM377" i="1"/>
  <c r="DM378" i="1"/>
  <c r="DM379" i="1"/>
  <c r="DM380" i="1"/>
  <c r="DM381" i="1"/>
  <c r="DM382" i="1"/>
  <c r="DM383" i="1"/>
  <c r="DM384" i="1"/>
  <c r="DM385" i="1"/>
  <c r="DM386" i="1"/>
  <c r="DM387" i="1"/>
  <c r="DM388" i="1"/>
  <c r="DM389" i="1"/>
  <c r="DM390" i="1"/>
  <c r="DM391" i="1"/>
  <c r="DM392" i="1"/>
  <c r="DM393" i="1"/>
  <c r="DM394" i="1"/>
  <c r="DM395" i="1"/>
  <c r="DM396" i="1"/>
  <c r="DM397" i="1"/>
  <c r="DM398" i="1"/>
  <c r="DM399" i="1"/>
  <c r="DM400" i="1"/>
  <c r="DM401" i="1"/>
  <c r="DM402" i="1"/>
  <c r="DM403" i="1"/>
  <c r="DM404" i="1"/>
  <c r="DM405" i="1"/>
  <c r="DM406" i="1"/>
  <c r="DM407" i="1"/>
  <c r="DM408" i="1"/>
  <c r="DM409" i="1"/>
  <c r="DM410" i="1"/>
  <c r="DM411" i="1"/>
  <c r="DM412" i="1"/>
  <c r="DM413" i="1"/>
  <c r="DM414" i="1"/>
  <c r="DM415" i="1"/>
  <c r="DM416" i="1"/>
  <c r="DM417" i="1"/>
  <c r="DM418" i="1"/>
  <c r="DM419" i="1"/>
  <c r="DM420" i="1"/>
  <c r="DM421" i="1"/>
  <c r="DM422" i="1"/>
  <c r="DM423" i="1"/>
  <c r="DM424" i="1"/>
  <c r="DM425" i="1"/>
  <c r="DM426" i="1"/>
  <c r="DM427" i="1"/>
  <c r="DM428" i="1"/>
  <c r="DM429" i="1"/>
  <c r="DM430" i="1"/>
  <c r="DM431" i="1"/>
  <c r="DM432" i="1"/>
  <c r="DM433" i="1"/>
  <c r="DM434" i="1"/>
  <c r="DM435" i="1"/>
  <c r="DM436" i="1"/>
  <c r="DM437" i="1"/>
  <c r="DM438" i="1"/>
  <c r="DM439" i="1"/>
  <c r="DM440" i="1"/>
  <c r="DM441" i="1"/>
  <c r="DM442" i="1"/>
  <c r="DM443" i="1"/>
  <c r="DM444" i="1"/>
  <c r="DM445" i="1"/>
  <c r="DM446" i="1"/>
  <c r="DM447" i="1"/>
  <c r="DM448" i="1"/>
  <c r="DM449" i="1"/>
  <c r="DM450" i="1"/>
  <c r="DM451" i="1"/>
  <c r="DM452" i="1"/>
  <c r="DM453" i="1"/>
  <c r="DM454" i="1"/>
  <c r="DM455" i="1"/>
  <c r="DM456" i="1"/>
  <c r="DM457" i="1"/>
  <c r="DM458" i="1"/>
  <c r="DM459" i="1"/>
  <c r="DM460" i="1"/>
  <c r="DM461" i="1"/>
  <c r="DM462" i="1"/>
  <c r="DM463" i="1"/>
  <c r="DM464" i="1"/>
  <c r="DM465" i="1"/>
  <c r="DM466" i="1"/>
  <c r="DM467" i="1"/>
  <c r="DM468" i="1"/>
  <c r="DM469" i="1"/>
  <c r="DM470" i="1"/>
  <c r="DM471" i="1"/>
  <c r="DM472" i="1"/>
  <c r="DM473" i="1"/>
  <c r="DM474" i="1"/>
  <c r="DM475" i="1"/>
  <c r="DM476" i="1"/>
  <c r="DM477" i="1"/>
  <c r="DM478" i="1"/>
  <c r="DM479" i="1"/>
  <c r="DM480" i="1"/>
  <c r="DM481" i="1"/>
  <c r="DM482" i="1"/>
  <c r="DM483" i="1"/>
  <c r="DM484" i="1"/>
  <c r="DM485" i="1"/>
  <c r="DM486" i="1"/>
  <c r="DM487" i="1"/>
  <c r="DM488" i="1"/>
  <c r="DM489" i="1"/>
  <c r="DM490" i="1"/>
  <c r="DM491" i="1"/>
  <c r="DM492" i="1"/>
  <c r="DM493" i="1"/>
  <c r="DM494" i="1"/>
  <c r="DM495" i="1"/>
  <c r="DM496" i="1"/>
  <c r="DM497" i="1"/>
  <c r="DM498" i="1"/>
  <c r="DM499" i="1"/>
  <c r="DM500" i="1"/>
  <c r="DM501" i="1"/>
  <c r="DM502" i="1"/>
  <c r="DM503" i="1"/>
  <c r="DM504" i="1"/>
  <c r="DM505" i="1"/>
  <c r="DM506" i="1"/>
  <c r="DM507" i="1"/>
  <c r="DM508" i="1"/>
  <c r="DM509" i="1"/>
  <c r="DM510" i="1"/>
  <c r="DM511" i="1"/>
  <c r="DM512" i="1"/>
  <c r="DM513" i="1"/>
  <c r="DM514" i="1"/>
  <c r="DM515" i="1"/>
  <c r="DM516" i="1"/>
  <c r="DM517" i="1"/>
  <c r="DM518" i="1"/>
  <c r="DM519" i="1"/>
  <c r="DM520" i="1"/>
  <c r="DM521" i="1"/>
  <c r="DM522" i="1"/>
  <c r="DM523" i="1"/>
  <c r="DM524" i="1"/>
  <c r="DM525" i="1"/>
  <c r="DM526" i="1"/>
  <c r="DM527" i="1"/>
  <c r="DM528" i="1"/>
  <c r="DM529" i="1"/>
  <c r="DM530" i="1"/>
  <c r="DM531" i="1"/>
  <c r="DM532" i="1"/>
  <c r="DM533" i="1"/>
  <c r="DM534" i="1"/>
  <c r="DM535" i="1"/>
  <c r="DM536" i="1"/>
  <c r="DM537" i="1"/>
  <c r="DM538" i="1"/>
  <c r="DM539" i="1"/>
  <c r="DM540" i="1"/>
  <c r="DM541" i="1"/>
  <c r="DM542" i="1"/>
  <c r="DM543" i="1"/>
  <c r="DM544" i="1"/>
  <c r="DM545" i="1"/>
  <c r="DM546" i="1"/>
  <c r="DM547" i="1"/>
  <c r="DM548" i="1"/>
  <c r="DM549" i="1"/>
  <c r="DM550" i="1"/>
  <c r="DM551" i="1"/>
  <c r="DM552" i="1"/>
  <c r="DM553" i="1"/>
  <c r="DM554" i="1"/>
  <c r="DM555" i="1"/>
  <c r="DM556" i="1"/>
  <c r="DM557" i="1"/>
  <c r="DM558" i="1"/>
  <c r="DM559" i="1"/>
  <c r="DM560" i="1"/>
  <c r="DM561" i="1"/>
  <c r="DM562" i="1"/>
  <c r="DM563" i="1"/>
  <c r="DM564" i="1"/>
  <c r="DM565" i="1"/>
  <c r="DM566" i="1"/>
  <c r="DM567" i="1"/>
  <c r="DM568" i="1"/>
  <c r="DM569" i="1"/>
  <c r="DM570" i="1"/>
  <c r="DM571" i="1"/>
  <c r="DM572" i="1"/>
  <c r="DM573" i="1"/>
  <c r="DM574" i="1"/>
  <c r="DM575" i="1"/>
  <c r="DM576" i="1"/>
  <c r="DM577" i="1"/>
  <c r="DM578" i="1"/>
  <c r="DM579" i="1"/>
  <c r="DM580" i="1"/>
  <c r="DM581" i="1"/>
  <c r="DM582" i="1"/>
  <c r="DM583" i="1"/>
  <c r="DM584" i="1"/>
  <c r="DM585" i="1"/>
  <c r="DM586" i="1"/>
  <c r="DM587" i="1"/>
  <c r="DM588" i="1"/>
  <c r="DM589" i="1"/>
  <c r="DM590" i="1"/>
  <c r="DM591" i="1"/>
  <c r="DM592" i="1"/>
  <c r="DM593" i="1"/>
  <c r="DM594" i="1"/>
  <c r="DM595" i="1"/>
  <c r="DM596" i="1"/>
  <c r="DM597" i="1"/>
  <c r="DM598" i="1"/>
  <c r="DM599" i="1"/>
  <c r="DM600" i="1"/>
  <c r="DM601" i="1"/>
  <c r="DM602" i="1"/>
  <c r="DM603" i="1"/>
  <c r="DM604" i="1"/>
  <c r="DM605" i="1"/>
  <c r="DM606" i="1"/>
  <c r="DM607" i="1"/>
  <c r="DM608" i="1"/>
  <c r="DM609" i="1"/>
  <c r="DM610" i="1"/>
  <c r="DM611" i="1"/>
  <c r="DM612" i="1"/>
  <c r="DM613" i="1"/>
  <c r="DM614" i="1"/>
  <c r="DM615" i="1"/>
  <c r="DM616" i="1"/>
  <c r="DM617" i="1"/>
  <c r="DM618" i="1"/>
  <c r="DM619" i="1"/>
  <c r="DM620" i="1"/>
  <c r="DM621" i="1"/>
  <c r="DM622" i="1"/>
  <c r="DM623" i="1"/>
  <c r="DM624" i="1"/>
  <c r="DM625" i="1"/>
  <c r="DM626" i="1"/>
  <c r="DM627" i="1"/>
  <c r="DM628" i="1"/>
  <c r="DM629" i="1"/>
  <c r="DM630" i="1"/>
  <c r="DM631" i="1"/>
  <c r="DM632" i="1"/>
  <c r="DM633" i="1"/>
  <c r="DM634" i="1"/>
  <c r="DM635" i="1"/>
  <c r="DM636" i="1"/>
  <c r="DM637" i="1"/>
  <c r="DM638" i="1"/>
  <c r="DM639" i="1"/>
  <c r="DM640" i="1"/>
  <c r="DM641" i="1"/>
  <c r="DM642" i="1"/>
  <c r="DM643" i="1"/>
  <c r="DM644" i="1"/>
  <c r="DM645" i="1"/>
  <c r="DM646" i="1"/>
  <c r="DM647" i="1"/>
  <c r="DM648" i="1"/>
  <c r="DM649" i="1"/>
  <c r="DM650" i="1"/>
  <c r="DM651" i="1"/>
  <c r="DM652" i="1"/>
  <c r="DM653" i="1"/>
  <c r="DM654" i="1"/>
  <c r="DM655" i="1"/>
  <c r="DM656" i="1"/>
  <c r="DM657" i="1"/>
  <c r="DM658" i="1"/>
  <c r="DM659" i="1"/>
  <c r="DM660" i="1"/>
  <c r="DM661" i="1"/>
  <c r="DM662" i="1"/>
  <c r="DM663" i="1"/>
  <c r="DM664" i="1"/>
  <c r="DM665" i="1"/>
  <c r="DM666" i="1"/>
  <c r="DM667" i="1"/>
  <c r="DM668" i="1"/>
  <c r="DM669" i="1"/>
  <c r="DM670" i="1"/>
  <c r="DM671" i="1"/>
  <c r="DM672" i="1"/>
  <c r="DM673" i="1"/>
  <c r="DM674" i="1"/>
  <c r="DM675" i="1"/>
  <c r="DM676" i="1"/>
  <c r="DM677" i="1"/>
  <c r="DM678" i="1"/>
  <c r="DM679" i="1"/>
  <c r="DM680" i="1"/>
  <c r="DM681" i="1"/>
  <c r="DM682" i="1"/>
  <c r="DM683" i="1"/>
  <c r="DM684" i="1"/>
  <c r="DM685" i="1"/>
  <c r="DM686" i="1"/>
  <c r="DM687" i="1"/>
  <c r="DM688" i="1"/>
  <c r="DM689" i="1"/>
  <c r="DM690" i="1"/>
  <c r="DM691" i="1"/>
  <c r="DM692" i="1"/>
  <c r="DM693" i="1"/>
  <c r="DM694" i="1"/>
  <c r="DM695" i="1"/>
  <c r="DM696" i="1"/>
  <c r="DM697" i="1"/>
  <c r="DM698" i="1"/>
  <c r="DM699" i="1"/>
  <c r="DM700" i="1"/>
  <c r="DM701" i="1"/>
  <c r="DM702" i="1"/>
  <c r="DM703" i="1"/>
  <c r="DM704" i="1"/>
  <c r="DM705" i="1"/>
  <c r="DM706" i="1"/>
  <c r="DM707" i="1"/>
  <c r="DM708" i="1"/>
  <c r="DM709" i="1"/>
  <c r="DM710" i="1"/>
  <c r="DM711" i="1"/>
  <c r="DM712" i="1"/>
  <c r="DM713" i="1"/>
  <c r="DM714" i="1"/>
  <c r="DM715" i="1"/>
  <c r="DM716" i="1"/>
  <c r="DM717" i="1"/>
  <c r="DM718" i="1"/>
  <c r="DM719" i="1"/>
  <c r="DM720" i="1"/>
  <c r="DM721" i="1"/>
  <c r="DM722" i="1"/>
  <c r="DM723" i="1"/>
  <c r="DM724" i="1"/>
  <c r="DM725" i="1"/>
  <c r="DM726" i="1"/>
  <c r="DM727" i="1"/>
  <c r="DM728" i="1"/>
  <c r="DM729" i="1"/>
  <c r="DM730" i="1"/>
  <c r="DM731" i="1"/>
  <c r="DM732" i="1"/>
  <c r="DM733" i="1"/>
  <c r="DM734" i="1"/>
  <c r="DM735" i="1"/>
  <c r="DM736" i="1"/>
  <c r="DM737" i="1"/>
  <c r="DM738" i="1"/>
  <c r="DM739" i="1"/>
  <c r="DM740" i="1"/>
  <c r="DM741" i="1"/>
  <c r="DM742" i="1"/>
  <c r="DM743" i="1"/>
  <c r="DM744" i="1"/>
  <c r="DM745" i="1"/>
  <c r="DM746" i="1"/>
  <c r="DM747" i="1"/>
  <c r="DM748" i="1"/>
  <c r="DM749" i="1"/>
  <c r="DM750" i="1"/>
  <c r="DM751" i="1"/>
  <c r="DM752" i="1"/>
  <c r="DM753" i="1"/>
  <c r="DM754" i="1"/>
  <c r="DM755" i="1"/>
  <c r="DM756" i="1"/>
  <c r="DM757" i="1"/>
  <c r="DM758" i="1"/>
  <c r="DM759" i="1"/>
  <c r="DM760" i="1"/>
  <c r="DM761" i="1"/>
  <c r="DM762" i="1"/>
  <c r="DM763" i="1"/>
  <c r="DM764" i="1"/>
  <c r="DM765" i="1"/>
  <c r="DM766" i="1"/>
  <c r="DM767" i="1"/>
  <c r="DM768" i="1"/>
  <c r="DM769" i="1"/>
  <c r="DM770" i="1"/>
  <c r="DM771" i="1"/>
  <c r="DM772" i="1"/>
  <c r="DM773" i="1"/>
  <c r="DM774" i="1"/>
  <c r="DM775" i="1"/>
  <c r="DM776" i="1"/>
  <c r="DM777" i="1"/>
  <c r="DM778" i="1"/>
  <c r="DM779" i="1"/>
  <c r="DM780" i="1"/>
  <c r="DM781" i="1"/>
  <c r="DM782" i="1"/>
  <c r="DM783" i="1"/>
  <c r="DM784" i="1"/>
  <c r="DM785" i="1"/>
  <c r="DM786" i="1"/>
  <c r="DM787" i="1"/>
  <c r="DM788" i="1"/>
  <c r="DM789" i="1"/>
  <c r="DM790" i="1"/>
  <c r="DM791" i="1"/>
  <c r="DM792" i="1"/>
  <c r="DM793" i="1"/>
  <c r="DM794" i="1"/>
  <c r="DM795" i="1"/>
  <c r="DM796" i="1"/>
  <c r="DM797" i="1"/>
  <c r="DM798" i="1"/>
  <c r="DM799" i="1"/>
  <c r="DM800" i="1"/>
  <c r="DM801" i="1"/>
  <c r="DM802" i="1"/>
  <c r="DM803" i="1"/>
  <c r="DM804" i="1"/>
  <c r="DM805" i="1"/>
  <c r="DM806" i="1"/>
  <c r="DM807" i="1"/>
  <c r="DM808" i="1"/>
  <c r="DM809" i="1"/>
  <c r="DM810" i="1"/>
  <c r="DM811" i="1"/>
  <c r="DM812" i="1"/>
  <c r="DM813" i="1"/>
  <c r="DM814" i="1"/>
  <c r="DM815" i="1"/>
  <c r="DM816" i="1"/>
  <c r="DM817" i="1"/>
  <c r="DM818" i="1"/>
  <c r="DM819" i="1"/>
  <c r="DM820" i="1"/>
  <c r="DM821" i="1"/>
  <c r="DM822" i="1"/>
  <c r="DM823" i="1"/>
  <c r="DM824" i="1"/>
  <c r="DM825" i="1"/>
  <c r="DM826" i="1"/>
  <c r="DM827" i="1"/>
  <c r="DM828" i="1"/>
  <c r="DM829" i="1"/>
  <c r="DM830" i="1"/>
  <c r="DM831" i="1"/>
  <c r="DM832" i="1"/>
  <c r="DM833" i="1"/>
  <c r="DM834" i="1"/>
  <c r="DM835" i="1"/>
  <c r="DM836" i="1"/>
  <c r="DM837" i="1"/>
  <c r="DM838" i="1"/>
  <c r="DM839" i="1"/>
  <c r="DM840" i="1"/>
  <c r="DM841" i="1"/>
  <c r="DM842" i="1"/>
  <c r="DM843" i="1"/>
  <c r="DM844" i="1"/>
  <c r="DM845" i="1"/>
  <c r="DM846" i="1"/>
  <c r="DM847" i="1"/>
  <c r="DM848" i="1"/>
  <c r="DM849" i="1"/>
  <c r="DM850" i="1"/>
  <c r="DM851" i="1"/>
  <c r="DM852" i="1"/>
  <c r="DM853" i="1"/>
  <c r="DM854" i="1"/>
  <c r="DM855" i="1"/>
  <c r="DM856" i="1"/>
  <c r="DM857" i="1"/>
  <c r="DM858" i="1"/>
  <c r="DM859" i="1"/>
  <c r="DM860" i="1"/>
  <c r="DM861" i="1"/>
  <c r="DM862" i="1"/>
  <c r="DM863" i="1"/>
  <c r="DM864" i="1"/>
  <c r="DM865" i="1"/>
  <c r="DM866" i="1"/>
  <c r="DM867" i="1"/>
  <c r="DM868" i="1"/>
  <c r="DM869" i="1"/>
  <c r="DM870" i="1"/>
  <c r="DM871" i="1"/>
  <c r="DM872" i="1"/>
  <c r="DM873" i="1"/>
  <c r="DM874" i="1"/>
  <c r="DM875" i="1"/>
  <c r="DM876" i="1"/>
  <c r="DM877" i="1"/>
  <c r="DM878" i="1"/>
  <c r="DM879" i="1"/>
  <c r="DM880" i="1"/>
  <c r="DM881" i="1"/>
  <c r="DM882" i="1"/>
  <c r="DM883" i="1"/>
  <c r="DM884" i="1"/>
  <c r="DM885" i="1"/>
  <c r="DM886" i="1"/>
  <c r="DM887" i="1"/>
  <c r="DM888" i="1"/>
  <c r="DM889" i="1"/>
  <c r="DM890" i="1"/>
  <c r="DM891" i="1"/>
  <c r="DM892" i="1"/>
  <c r="DM893" i="1"/>
  <c r="DM894" i="1"/>
  <c r="DM895" i="1"/>
  <c r="DM896" i="1"/>
  <c r="DM897" i="1"/>
  <c r="DM898" i="1"/>
  <c r="DM899" i="1"/>
  <c r="DM900" i="1"/>
  <c r="DM901" i="1"/>
  <c r="DM902" i="1"/>
  <c r="DM903" i="1"/>
  <c r="DM904" i="1"/>
  <c r="DM905" i="1"/>
  <c r="DM906" i="1"/>
  <c r="DM907" i="1"/>
  <c r="DM908" i="1"/>
  <c r="DM909" i="1"/>
  <c r="DM910" i="1"/>
  <c r="DM911" i="1"/>
  <c r="DM912" i="1"/>
  <c r="DM913" i="1"/>
  <c r="DM914" i="1"/>
  <c r="DM915" i="1"/>
  <c r="DM916" i="1"/>
  <c r="DM917" i="1"/>
  <c r="DM918" i="1"/>
  <c r="DM919" i="1"/>
  <c r="DM920" i="1"/>
  <c r="DM921" i="1"/>
  <c r="DM922" i="1"/>
  <c r="DM923" i="1"/>
  <c r="DM924" i="1"/>
  <c r="DM925" i="1"/>
  <c r="DM926" i="1"/>
  <c r="DM927" i="1"/>
  <c r="DM928" i="1"/>
  <c r="DM929" i="1"/>
  <c r="DM930" i="1"/>
  <c r="DM931" i="1"/>
  <c r="DM932" i="1"/>
  <c r="DM933" i="1"/>
  <c r="DM934" i="1"/>
  <c r="DM935" i="1"/>
  <c r="DM936" i="1"/>
  <c r="DM937" i="1"/>
  <c r="DM938" i="1"/>
  <c r="DM939" i="1"/>
  <c r="DM940" i="1"/>
  <c r="DM941" i="1"/>
  <c r="DM942" i="1"/>
  <c r="DM943" i="1"/>
  <c r="DM944" i="1"/>
  <c r="DM945" i="1"/>
  <c r="DM946" i="1"/>
  <c r="DM947" i="1"/>
  <c r="DM948" i="1"/>
  <c r="DM949" i="1"/>
  <c r="DM950" i="1"/>
  <c r="DM951" i="1"/>
  <c r="DM952" i="1"/>
  <c r="DM953" i="1"/>
  <c r="DM954" i="1"/>
  <c r="DM955" i="1"/>
  <c r="DM956" i="1"/>
  <c r="DM957" i="1"/>
  <c r="DM958" i="1"/>
  <c r="DM959" i="1"/>
  <c r="DM960" i="1"/>
  <c r="DM961" i="1"/>
  <c r="DM962" i="1"/>
  <c r="DM963" i="1"/>
  <c r="DM964" i="1"/>
  <c r="DM965" i="1"/>
  <c r="DM966" i="1"/>
  <c r="DM967" i="1"/>
  <c r="DM968" i="1"/>
  <c r="DM969" i="1"/>
  <c r="DM970" i="1"/>
  <c r="DM971" i="1"/>
  <c r="DM972" i="1"/>
  <c r="DM973" i="1"/>
  <c r="DM974" i="1"/>
  <c r="DM975" i="1"/>
  <c r="DM976" i="1"/>
  <c r="DM977" i="1"/>
  <c r="DM978" i="1"/>
  <c r="DM979" i="1"/>
  <c r="DM980" i="1"/>
  <c r="DM981" i="1"/>
  <c r="DM982" i="1"/>
  <c r="DM983" i="1"/>
  <c r="DM984" i="1"/>
  <c r="DM985" i="1"/>
  <c r="DM986" i="1"/>
  <c r="DM987" i="1"/>
  <c r="DM988" i="1"/>
  <c r="DM989" i="1"/>
  <c r="DM990" i="1"/>
  <c r="DM991" i="1"/>
  <c r="DM992" i="1"/>
  <c r="DM993" i="1"/>
  <c r="DM994" i="1"/>
  <c r="DM995" i="1"/>
  <c r="DM996" i="1"/>
  <c r="DM997" i="1"/>
  <c r="DM998" i="1"/>
  <c r="DM999" i="1"/>
  <c r="DM1000" i="1"/>
  <c r="DM1001" i="1"/>
  <c r="DM1002" i="1"/>
  <c r="DM1003" i="1"/>
  <c r="DM1004" i="1"/>
  <c r="DM1005" i="1"/>
  <c r="DM1006" i="1"/>
  <c r="DM1007" i="1"/>
  <c r="DM1008" i="1"/>
  <c r="DM1009" i="1"/>
  <c r="DM1010" i="1"/>
  <c r="DM1011" i="1"/>
  <c r="DM1012" i="1"/>
  <c r="DM1013" i="1"/>
  <c r="DM1014" i="1"/>
  <c r="DM1015" i="1"/>
  <c r="DM1016" i="1"/>
  <c r="DM1017" i="1"/>
  <c r="DM1018" i="1"/>
  <c r="DM1019" i="1"/>
  <c r="DM1020" i="1"/>
  <c r="DM1021" i="1"/>
  <c r="DM1022" i="1"/>
  <c r="DM1023" i="1"/>
  <c r="DM1024" i="1"/>
  <c r="DM1025" i="1"/>
  <c r="DM1026" i="1"/>
  <c r="DM1027" i="1"/>
  <c r="DM1028" i="1"/>
  <c r="DM1029" i="1"/>
  <c r="DM1030" i="1"/>
  <c r="DM1031" i="1"/>
  <c r="DM1032" i="1"/>
  <c r="DM1033" i="1"/>
  <c r="DM1034" i="1"/>
  <c r="DM1035" i="1"/>
  <c r="DM1036" i="1"/>
  <c r="DM1037" i="1"/>
  <c r="DM1038" i="1"/>
  <c r="DM1039" i="1"/>
  <c r="DM1040" i="1"/>
  <c r="DM1041" i="1"/>
  <c r="DM1042" i="1"/>
  <c r="DM1043" i="1"/>
  <c r="DM1044" i="1"/>
  <c r="DM1045" i="1"/>
  <c r="DM1046" i="1"/>
  <c r="DM1047" i="1"/>
  <c r="DM1048" i="1"/>
  <c r="DM1049" i="1"/>
  <c r="DM1050" i="1"/>
  <c r="DM1051" i="1"/>
  <c r="DM1052" i="1"/>
  <c r="DM1053" i="1"/>
  <c r="DM1054" i="1"/>
  <c r="DM1055" i="1"/>
  <c r="DM1056" i="1"/>
  <c r="DM1057" i="1"/>
  <c r="DM1058" i="1"/>
  <c r="DM1059" i="1"/>
  <c r="DM1060" i="1"/>
  <c r="DM1061" i="1"/>
  <c r="DM1062" i="1"/>
  <c r="DM1063" i="1"/>
  <c r="DM1064" i="1"/>
  <c r="DM1065" i="1"/>
  <c r="DM1066" i="1"/>
  <c r="DM1067" i="1"/>
  <c r="DM1068" i="1"/>
  <c r="DM1069" i="1"/>
  <c r="DM1070" i="1"/>
  <c r="DM1071" i="1"/>
  <c r="DM1072" i="1"/>
  <c r="DM1073" i="1"/>
  <c r="DM1074" i="1"/>
  <c r="DM1075" i="1"/>
  <c r="DM1076" i="1"/>
  <c r="DM1077" i="1"/>
  <c r="DM1078" i="1"/>
  <c r="DM1079" i="1"/>
  <c r="DM1080" i="1"/>
  <c r="DM1081" i="1"/>
  <c r="DM1082" i="1"/>
  <c r="DM1083" i="1"/>
  <c r="DM1084" i="1"/>
  <c r="DM1085" i="1"/>
  <c r="DM1086" i="1"/>
  <c r="DM1087" i="1"/>
  <c r="DM1088" i="1"/>
  <c r="DM1089" i="1"/>
  <c r="DM1090" i="1"/>
  <c r="DM1091" i="1"/>
  <c r="DM1092" i="1"/>
  <c r="DM1093" i="1"/>
  <c r="DM1094" i="1"/>
  <c r="DM1095" i="1"/>
  <c r="DM1096" i="1"/>
  <c r="DM1097" i="1"/>
  <c r="DM1098" i="1"/>
  <c r="DM1099" i="1"/>
  <c r="DM1100" i="1"/>
  <c r="DM1101" i="1"/>
  <c r="DM1102" i="1"/>
  <c r="DM1103" i="1"/>
  <c r="DM1104" i="1"/>
  <c r="DM1105" i="1"/>
  <c r="DM1106" i="1"/>
  <c r="DM1107" i="1"/>
  <c r="DM1108" i="1"/>
  <c r="DM1109" i="1"/>
  <c r="DM1110" i="1"/>
  <c r="DM1111" i="1"/>
  <c r="DM1112" i="1"/>
  <c r="DM1113" i="1"/>
  <c r="DM1114" i="1"/>
  <c r="DM1115" i="1"/>
  <c r="DM1116" i="1"/>
  <c r="DM1117" i="1"/>
  <c r="DM1118" i="1"/>
  <c r="DM1119" i="1"/>
  <c r="DM1120" i="1"/>
  <c r="DM1121" i="1"/>
  <c r="DM1122" i="1"/>
  <c r="DM1123" i="1"/>
  <c r="DM1124" i="1"/>
  <c r="DM1125" i="1"/>
  <c r="DM1126" i="1"/>
  <c r="DM1127" i="1"/>
  <c r="DM1128" i="1"/>
  <c r="DM1129" i="1"/>
  <c r="DM1130" i="1"/>
  <c r="DM1131" i="1"/>
  <c r="DM1132" i="1"/>
  <c r="DM1133" i="1"/>
  <c r="DM1134" i="1"/>
  <c r="DM1135" i="1"/>
  <c r="DM1136" i="1"/>
  <c r="DM1137" i="1"/>
  <c r="DM1138" i="1"/>
  <c r="DM1139" i="1"/>
  <c r="DM1140" i="1"/>
  <c r="DM1141" i="1"/>
  <c r="DM1142" i="1"/>
  <c r="DM1143" i="1"/>
  <c r="DM1144" i="1"/>
  <c r="DM1145" i="1"/>
  <c r="DM1146" i="1"/>
  <c r="DM1147" i="1"/>
  <c r="DM1148" i="1"/>
  <c r="DM1149" i="1"/>
  <c r="DM1150" i="1"/>
  <c r="DM1151" i="1"/>
  <c r="DM1152" i="1"/>
  <c r="DM1153" i="1"/>
  <c r="DM1154" i="1"/>
  <c r="DM1155" i="1"/>
  <c r="DM1156" i="1"/>
  <c r="DM1157" i="1"/>
  <c r="DM1158" i="1"/>
  <c r="DM1159" i="1"/>
  <c r="DM1160" i="1"/>
  <c r="DM1161" i="1"/>
  <c r="DM1162" i="1"/>
  <c r="DM1163" i="1"/>
  <c r="DM1164" i="1"/>
  <c r="DM1165" i="1"/>
  <c r="DM1166" i="1"/>
  <c r="DM1167" i="1"/>
  <c r="DM1168" i="1"/>
  <c r="DM1169" i="1"/>
  <c r="DM1170" i="1"/>
  <c r="DM1171" i="1"/>
  <c r="DM1172" i="1"/>
  <c r="DM1173" i="1"/>
  <c r="DM1174" i="1"/>
  <c r="DM1175" i="1"/>
  <c r="DM1176" i="1"/>
  <c r="DM1177" i="1"/>
  <c r="DM1178" i="1"/>
  <c r="DM1179" i="1"/>
  <c r="DM1180" i="1"/>
  <c r="DM1181" i="1"/>
  <c r="DM1182" i="1"/>
  <c r="DM1183" i="1"/>
  <c r="DM1184" i="1"/>
  <c r="DM1185" i="1"/>
  <c r="DM1186" i="1"/>
  <c r="DM1187" i="1"/>
  <c r="DM1188" i="1"/>
  <c r="DM1189" i="1"/>
  <c r="DM1190" i="1"/>
  <c r="DM1191" i="1"/>
  <c r="DM1192" i="1"/>
  <c r="DM1193" i="1"/>
  <c r="DM1194" i="1"/>
  <c r="DM1195" i="1"/>
  <c r="DM1196" i="1"/>
  <c r="DM1197" i="1"/>
  <c r="DM1198" i="1"/>
  <c r="DM1199" i="1"/>
  <c r="DM1200" i="1"/>
  <c r="DM1201" i="1"/>
  <c r="DM1202" i="1"/>
  <c r="DM1203" i="1"/>
  <c r="DM1204" i="1"/>
  <c r="DM1205" i="1"/>
  <c r="DM1206" i="1"/>
  <c r="DM1207" i="1"/>
  <c r="DM1208" i="1"/>
  <c r="DM1209" i="1"/>
  <c r="DM1210" i="1"/>
  <c r="DM1211" i="1"/>
  <c r="DM1212" i="1"/>
  <c r="DM1213" i="1"/>
  <c r="DM1214" i="1"/>
  <c r="DM1215" i="1"/>
  <c r="DM1216" i="1"/>
  <c r="DM1217" i="1"/>
  <c r="DM1218" i="1"/>
  <c r="DM1219" i="1"/>
  <c r="DM1220" i="1"/>
  <c r="DM1221" i="1"/>
  <c r="DM1222" i="1"/>
  <c r="DM1223" i="1"/>
  <c r="DM1224" i="1"/>
  <c r="DM1225" i="1"/>
  <c r="DM1226" i="1"/>
  <c r="DM1227" i="1"/>
  <c r="DM1228" i="1"/>
  <c r="DM1229" i="1"/>
  <c r="DM1230" i="1"/>
  <c r="DM1231" i="1"/>
  <c r="DM1232" i="1"/>
  <c r="DM1233" i="1"/>
  <c r="DM1234" i="1"/>
  <c r="DM1235" i="1"/>
  <c r="DM1236" i="1"/>
  <c r="DM1237" i="1"/>
  <c r="DM1238" i="1"/>
  <c r="DM1239" i="1"/>
  <c r="DM1240" i="1"/>
  <c r="DM1241" i="1"/>
  <c r="DM1242" i="1"/>
  <c r="DM1243" i="1"/>
  <c r="DM1244" i="1"/>
  <c r="DM1245" i="1"/>
  <c r="DM1246" i="1"/>
  <c r="DM1247" i="1"/>
  <c r="DM1248" i="1"/>
  <c r="DM1249" i="1"/>
  <c r="DM1250" i="1"/>
  <c r="DM1251" i="1"/>
  <c r="DM1252" i="1"/>
  <c r="DM1253" i="1"/>
  <c r="DM1254" i="1"/>
  <c r="DM1255" i="1"/>
  <c r="DM1256" i="1"/>
  <c r="DM1257" i="1"/>
  <c r="DM1258" i="1"/>
  <c r="DM1259" i="1"/>
  <c r="DM1260" i="1"/>
  <c r="DM1261" i="1"/>
  <c r="DM1262" i="1"/>
  <c r="DM1263" i="1"/>
  <c r="DM1264" i="1"/>
  <c r="DM1265" i="1"/>
  <c r="DM1266" i="1"/>
  <c r="DM1267" i="1"/>
  <c r="DM1268" i="1"/>
  <c r="DM1269" i="1"/>
  <c r="DM1270" i="1"/>
  <c r="DM1271" i="1"/>
  <c r="DM1272" i="1"/>
  <c r="DM1273" i="1"/>
  <c r="DM1274" i="1"/>
  <c r="DM1275" i="1"/>
  <c r="DM1276" i="1"/>
  <c r="DM1277" i="1"/>
  <c r="DM1278" i="1"/>
  <c r="DM1279" i="1"/>
  <c r="DM1280" i="1"/>
  <c r="DM1281" i="1"/>
  <c r="DM1282" i="1"/>
  <c r="DM1283" i="1"/>
  <c r="DM1284" i="1"/>
  <c r="DM1285" i="1"/>
  <c r="DM1286" i="1"/>
  <c r="DM1287" i="1"/>
  <c r="DM1288" i="1"/>
  <c r="DM1289" i="1"/>
  <c r="DM1290" i="1"/>
  <c r="DM1291" i="1"/>
  <c r="DM1292" i="1"/>
  <c r="DM1293" i="1"/>
  <c r="DM1294" i="1"/>
  <c r="DM1295" i="1"/>
  <c r="DM1296" i="1"/>
  <c r="DM1297" i="1"/>
  <c r="DM1298" i="1"/>
  <c r="DM1299" i="1"/>
  <c r="DM1300" i="1"/>
  <c r="DM1301" i="1"/>
  <c r="DM1302" i="1"/>
  <c r="DM1303" i="1"/>
  <c r="DM1304" i="1"/>
  <c r="DM1305" i="1"/>
  <c r="DM1306" i="1"/>
  <c r="DM1307" i="1"/>
  <c r="DM1308" i="1"/>
  <c r="DM1309" i="1"/>
  <c r="CQ8" i="1"/>
  <c r="CQ9" i="1"/>
  <c r="CQ10" i="1"/>
  <c r="DC10" i="1"/>
  <c r="DC9" i="1"/>
  <c r="DC8" i="1"/>
  <c r="DD8" i="1"/>
  <c r="DD9" i="1"/>
  <c r="DD10" i="1"/>
  <c r="CQ11" i="1"/>
  <c r="CQ12" i="1"/>
  <c r="CQ13" i="1"/>
  <c r="CQ14" i="1"/>
  <c r="CQ15" i="1"/>
  <c r="DC15" i="1"/>
  <c r="DC14" i="1"/>
  <c r="DC13" i="1"/>
  <c r="DC12" i="1"/>
  <c r="DC11" i="1"/>
  <c r="DD11" i="1"/>
  <c r="DD12" i="1"/>
  <c r="DD13" i="1"/>
  <c r="DD14" i="1"/>
  <c r="DD15" i="1"/>
  <c r="CQ16" i="1"/>
  <c r="CQ17" i="1"/>
  <c r="CQ18" i="1"/>
  <c r="CQ19" i="1"/>
  <c r="CQ20" i="1"/>
  <c r="CQ21" i="1"/>
  <c r="DC21" i="1"/>
  <c r="DC20" i="1"/>
  <c r="DC19" i="1"/>
  <c r="DC18" i="1"/>
  <c r="DC17" i="1"/>
  <c r="DD17" i="1"/>
  <c r="DD18" i="1"/>
  <c r="DD19" i="1"/>
  <c r="DD20" i="1"/>
  <c r="DD21" i="1"/>
  <c r="CQ22" i="1"/>
  <c r="CQ23" i="1"/>
  <c r="CQ24" i="1"/>
  <c r="CQ25" i="1"/>
  <c r="CQ26" i="1"/>
  <c r="CQ27" i="1"/>
  <c r="CQ28" i="1"/>
  <c r="DC28" i="1"/>
  <c r="DC27" i="1"/>
  <c r="DC26" i="1"/>
  <c r="DC25" i="1"/>
  <c r="DC24" i="1"/>
  <c r="DC23" i="1"/>
  <c r="DD23" i="1"/>
  <c r="DD24" i="1"/>
  <c r="DD25" i="1"/>
  <c r="DD26" i="1"/>
  <c r="DD27" i="1"/>
  <c r="DD28" i="1"/>
  <c r="CQ29" i="1"/>
  <c r="CQ30" i="1"/>
  <c r="CQ31" i="1"/>
  <c r="CQ32" i="1"/>
  <c r="CQ33" i="1"/>
  <c r="CQ34" i="1"/>
  <c r="CQ35" i="1"/>
  <c r="DC35" i="1"/>
  <c r="DC34" i="1"/>
  <c r="DC33" i="1"/>
  <c r="DC32" i="1"/>
  <c r="DC31" i="1"/>
  <c r="DC30" i="1"/>
  <c r="DC29" i="1"/>
  <c r="DD29" i="1"/>
  <c r="DD30" i="1"/>
  <c r="DD31" i="1"/>
  <c r="DD32" i="1"/>
  <c r="DD33" i="1"/>
  <c r="DD34" i="1"/>
  <c r="DD35" i="1"/>
  <c r="CQ36" i="1"/>
  <c r="CQ37" i="1"/>
  <c r="CQ38" i="1"/>
  <c r="CQ39" i="1"/>
  <c r="CQ40" i="1"/>
  <c r="CQ41" i="1"/>
  <c r="DC41" i="1"/>
  <c r="DC40" i="1"/>
  <c r="DC39" i="1"/>
  <c r="DC38" i="1"/>
  <c r="DC37" i="1"/>
  <c r="DC36" i="1"/>
  <c r="DD36" i="1"/>
  <c r="DD37" i="1"/>
  <c r="DD38" i="1"/>
  <c r="DD39" i="1"/>
  <c r="DD40" i="1"/>
  <c r="DD41" i="1"/>
  <c r="CQ42" i="1"/>
  <c r="CQ43" i="1"/>
  <c r="CQ44" i="1"/>
  <c r="CQ45" i="1"/>
  <c r="DC45" i="1"/>
  <c r="DC44" i="1"/>
  <c r="DC43" i="1"/>
  <c r="DD43" i="1"/>
  <c r="DD44" i="1"/>
  <c r="DD45" i="1"/>
  <c r="CQ46" i="1"/>
  <c r="CQ47" i="1"/>
  <c r="CQ48" i="1"/>
  <c r="CQ49" i="1"/>
  <c r="CQ50" i="1"/>
  <c r="CQ51" i="1"/>
  <c r="CQ52" i="1"/>
  <c r="CQ53" i="1"/>
  <c r="CQ54" i="1"/>
  <c r="DC54" i="1"/>
  <c r="DC53" i="1"/>
  <c r="DC52" i="1"/>
  <c r="DC51" i="1"/>
  <c r="DC50" i="1"/>
  <c r="DC49" i="1"/>
  <c r="DC48" i="1"/>
  <c r="DC47" i="1"/>
  <c r="DD47" i="1"/>
  <c r="DD48" i="1"/>
  <c r="DD49" i="1"/>
  <c r="DD50" i="1"/>
  <c r="DD51" i="1"/>
  <c r="DD52" i="1"/>
  <c r="DD53" i="1"/>
  <c r="DD54" i="1"/>
  <c r="CQ55" i="1"/>
  <c r="CQ56" i="1"/>
  <c r="CQ57" i="1"/>
  <c r="CQ58" i="1"/>
  <c r="CQ59" i="1"/>
  <c r="CQ60" i="1"/>
  <c r="DC60" i="1"/>
  <c r="DC59" i="1"/>
  <c r="DC58" i="1"/>
  <c r="DC57" i="1"/>
  <c r="DC56" i="1"/>
  <c r="DD56" i="1"/>
  <c r="DD57" i="1"/>
  <c r="DD58" i="1"/>
  <c r="DD59" i="1"/>
  <c r="DD60" i="1"/>
  <c r="CQ61" i="1"/>
  <c r="CQ62" i="1"/>
  <c r="CQ63" i="1"/>
  <c r="CQ64" i="1"/>
  <c r="CQ65" i="1"/>
  <c r="DC65" i="1"/>
  <c r="DC64" i="1"/>
  <c r="DC63" i="1"/>
  <c r="DC62" i="1"/>
  <c r="DD62" i="1"/>
  <c r="DD63" i="1"/>
  <c r="DD64" i="1"/>
  <c r="DD65" i="1"/>
  <c r="CQ66" i="1"/>
  <c r="CQ67" i="1"/>
  <c r="CQ68" i="1"/>
  <c r="CQ69" i="1"/>
  <c r="DC69" i="1"/>
  <c r="DC68" i="1"/>
  <c r="DC67" i="1"/>
  <c r="DD67" i="1"/>
  <c r="DD68" i="1"/>
  <c r="DD69" i="1"/>
  <c r="CQ70" i="1"/>
  <c r="CQ71" i="1"/>
  <c r="CQ72" i="1"/>
  <c r="CQ73" i="1"/>
  <c r="DC73" i="1"/>
  <c r="DC72" i="1"/>
  <c r="DC71" i="1"/>
  <c r="DC70" i="1"/>
  <c r="DD70" i="1"/>
  <c r="DD71" i="1"/>
  <c r="DD72" i="1"/>
  <c r="DD73" i="1"/>
  <c r="CQ74" i="1"/>
  <c r="CQ75" i="1"/>
  <c r="CQ76" i="1"/>
  <c r="DC76" i="1"/>
  <c r="DC75" i="1"/>
  <c r="DD75" i="1"/>
  <c r="DD76" i="1"/>
  <c r="CQ77" i="1"/>
  <c r="CQ78" i="1"/>
  <c r="CQ79" i="1"/>
  <c r="CQ80" i="1"/>
  <c r="CQ81" i="1"/>
  <c r="DC81" i="1"/>
  <c r="DC80" i="1"/>
  <c r="DC79" i="1"/>
  <c r="DC78" i="1"/>
  <c r="DC77" i="1"/>
  <c r="DD77" i="1"/>
  <c r="DD78" i="1"/>
  <c r="DD79" i="1"/>
  <c r="DD80" i="1"/>
  <c r="DD81" i="1"/>
  <c r="CQ82" i="1"/>
  <c r="CQ83" i="1"/>
  <c r="CQ84" i="1"/>
  <c r="DC84" i="1"/>
  <c r="DC83" i="1"/>
  <c r="DC82" i="1"/>
  <c r="DD82" i="1"/>
  <c r="DD83" i="1"/>
  <c r="DD84" i="1"/>
  <c r="CQ85" i="1"/>
  <c r="CQ86" i="1"/>
  <c r="CQ87" i="1"/>
  <c r="DC87" i="1"/>
  <c r="DC86" i="1"/>
  <c r="DC85" i="1"/>
  <c r="DD85" i="1"/>
  <c r="DD86" i="1"/>
  <c r="DD87" i="1"/>
  <c r="CQ88" i="1"/>
  <c r="CQ89" i="1"/>
  <c r="DC89" i="1"/>
  <c r="DC88" i="1"/>
  <c r="DD88" i="1"/>
  <c r="DD89" i="1"/>
  <c r="CQ90" i="1"/>
  <c r="CQ91" i="1"/>
  <c r="CQ92" i="1"/>
  <c r="CQ93" i="1"/>
  <c r="CQ94" i="1"/>
  <c r="DC94" i="1"/>
  <c r="DC93" i="1"/>
  <c r="DC92" i="1"/>
  <c r="DC91" i="1"/>
  <c r="DC90" i="1"/>
  <c r="DD90" i="1"/>
  <c r="DD91" i="1"/>
  <c r="DD92" i="1"/>
  <c r="DD93" i="1"/>
  <c r="DD94" i="1"/>
  <c r="CQ95" i="1"/>
  <c r="DC95" i="1"/>
  <c r="DD95" i="1"/>
  <c r="CQ96" i="1"/>
  <c r="CQ97" i="1"/>
  <c r="CQ98" i="1"/>
  <c r="CQ99" i="1"/>
  <c r="CQ100" i="1"/>
  <c r="CQ101" i="1"/>
  <c r="CQ102" i="1"/>
  <c r="DC102" i="1"/>
  <c r="DC101" i="1"/>
  <c r="DC100" i="1"/>
  <c r="DC99" i="1"/>
  <c r="DC98" i="1"/>
  <c r="DC97" i="1"/>
  <c r="DD97" i="1"/>
  <c r="DD98" i="1"/>
  <c r="DD99" i="1"/>
  <c r="DD100" i="1"/>
  <c r="DD101" i="1"/>
  <c r="DD102" i="1"/>
  <c r="CQ103" i="1"/>
  <c r="CQ104" i="1"/>
  <c r="CQ105" i="1"/>
  <c r="CQ106" i="1"/>
  <c r="CQ107" i="1"/>
  <c r="CQ108" i="1"/>
  <c r="DC108" i="1"/>
  <c r="DC107" i="1"/>
  <c r="DC106" i="1"/>
  <c r="DC105" i="1"/>
  <c r="DC104" i="1"/>
  <c r="DD104" i="1"/>
  <c r="DD105" i="1"/>
  <c r="DD106" i="1"/>
  <c r="DD107" i="1"/>
  <c r="DD108" i="1"/>
  <c r="CQ109" i="1"/>
  <c r="CQ110" i="1"/>
  <c r="DC110" i="1"/>
  <c r="DD110" i="1"/>
  <c r="DC111" i="1"/>
  <c r="CQ111" i="1"/>
  <c r="DD111" i="1"/>
  <c r="DC112" i="1"/>
  <c r="CQ112" i="1"/>
  <c r="DD112" i="1"/>
  <c r="DC113" i="1"/>
  <c r="CQ113" i="1"/>
  <c r="DD113" i="1"/>
  <c r="DC114" i="1"/>
  <c r="CQ114" i="1"/>
  <c r="DD114" i="1"/>
  <c r="CQ115" i="1"/>
  <c r="CQ116" i="1"/>
  <c r="CQ117" i="1"/>
  <c r="DC117" i="1"/>
  <c r="DC116" i="1"/>
  <c r="DC115" i="1"/>
  <c r="DD115" i="1"/>
  <c r="DD116" i="1"/>
  <c r="DD117" i="1"/>
  <c r="CQ118" i="1"/>
  <c r="CQ119" i="1"/>
  <c r="CQ120" i="1"/>
  <c r="CQ121" i="1"/>
  <c r="CQ122" i="1"/>
  <c r="CQ123" i="1"/>
  <c r="DC123" i="1"/>
  <c r="DC122" i="1"/>
  <c r="DC121" i="1"/>
  <c r="DC120" i="1"/>
  <c r="DC119" i="1"/>
  <c r="DD119" i="1"/>
  <c r="DD120" i="1"/>
  <c r="DD121" i="1"/>
  <c r="DD122" i="1"/>
  <c r="DD123" i="1"/>
  <c r="CQ124" i="1"/>
  <c r="CQ125" i="1"/>
  <c r="CQ126" i="1"/>
  <c r="CQ127" i="1"/>
  <c r="CQ128" i="1"/>
  <c r="CQ129" i="1"/>
  <c r="CQ130" i="1"/>
  <c r="DC130" i="1"/>
  <c r="DC129" i="1"/>
  <c r="DC128" i="1"/>
  <c r="DC127" i="1"/>
  <c r="DC126" i="1"/>
  <c r="DC125" i="1"/>
  <c r="DC124" i="1"/>
  <c r="DD124" i="1"/>
  <c r="DD125" i="1"/>
  <c r="DD126" i="1"/>
  <c r="DD127" i="1"/>
  <c r="DD128" i="1"/>
  <c r="DD129" i="1"/>
  <c r="DD130" i="1"/>
  <c r="CQ131" i="1"/>
  <c r="CQ132" i="1"/>
  <c r="CQ133" i="1"/>
  <c r="DC133" i="1"/>
  <c r="DC132" i="1"/>
  <c r="DD132" i="1"/>
  <c r="DD133" i="1"/>
  <c r="CQ134" i="1"/>
  <c r="CQ135" i="1"/>
  <c r="CQ136" i="1"/>
  <c r="CQ137" i="1"/>
  <c r="CQ138" i="1"/>
  <c r="CQ139" i="1"/>
  <c r="CQ140" i="1"/>
  <c r="DC140" i="1"/>
  <c r="DC139" i="1"/>
  <c r="DC138" i="1"/>
  <c r="DC137" i="1"/>
  <c r="DC136" i="1"/>
  <c r="DC135" i="1"/>
  <c r="DD135" i="1"/>
  <c r="DD136" i="1"/>
  <c r="DD137" i="1"/>
  <c r="DD138" i="1"/>
  <c r="DD139" i="1"/>
  <c r="DD140" i="1"/>
  <c r="CQ141" i="1"/>
  <c r="CQ142" i="1"/>
  <c r="CQ143" i="1"/>
  <c r="CQ144" i="1"/>
  <c r="CQ145" i="1"/>
  <c r="CQ146" i="1"/>
  <c r="CQ147" i="1"/>
  <c r="CQ148" i="1"/>
  <c r="DC148" i="1"/>
  <c r="DC147" i="1"/>
  <c r="DC146" i="1"/>
  <c r="DC145" i="1"/>
  <c r="DC144" i="1"/>
  <c r="DC143" i="1"/>
  <c r="DC142" i="1"/>
  <c r="DD142" i="1"/>
  <c r="DD143" i="1"/>
  <c r="DD144" i="1"/>
  <c r="DD145" i="1"/>
  <c r="DD146" i="1"/>
  <c r="DD147" i="1"/>
  <c r="DD148" i="1"/>
  <c r="CQ149" i="1"/>
  <c r="CQ150" i="1"/>
  <c r="CQ151" i="1"/>
  <c r="CQ152" i="1"/>
  <c r="CQ153" i="1"/>
  <c r="CQ154" i="1"/>
  <c r="DC154" i="1"/>
  <c r="DC153" i="1"/>
  <c r="DC152" i="1"/>
  <c r="DC151" i="1"/>
  <c r="DC150" i="1"/>
  <c r="DC149" i="1"/>
  <c r="DD149" i="1"/>
  <c r="DD150" i="1"/>
  <c r="DD151" i="1"/>
  <c r="DD152" i="1"/>
  <c r="DD153" i="1"/>
  <c r="DD154" i="1"/>
  <c r="CQ155" i="1"/>
  <c r="CQ156" i="1"/>
  <c r="CQ157" i="1"/>
  <c r="CQ158" i="1"/>
  <c r="CQ159" i="1"/>
  <c r="CQ160" i="1"/>
  <c r="CQ161" i="1"/>
  <c r="DC161" i="1"/>
  <c r="DC160" i="1"/>
  <c r="DC159" i="1"/>
  <c r="DC158" i="1"/>
  <c r="DC157" i="1"/>
  <c r="DC156" i="1"/>
  <c r="DD156" i="1"/>
  <c r="DD157" i="1"/>
  <c r="DD158" i="1"/>
  <c r="DD159" i="1"/>
  <c r="DD160" i="1"/>
  <c r="DD161" i="1"/>
  <c r="CQ162" i="1"/>
  <c r="CQ163" i="1"/>
  <c r="CQ164" i="1"/>
  <c r="CQ165" i="1"/>
  <c r="CQ166" i="1"/>
  <c r="CQ167" i="1"/>
  <c r="DC167" i="1"/>
  <c r="DC166" i="1"/>
  <c r="DC165" i="1"/>
  <c r="DC164" i="1"/>
  <c r="DC163" i="1"/>
  <c r="DC162" i="1"/>
  <c r="DD162" i="1"/>
  <c r="DD163" i="1"/>
  <c r="DD164" i="1"/>
  <c r="DD165" i="1"/>
  <c r="DD166" i="1"/>
  <c r="DD167" i="1"/>
  <c r="CQ168" i="1"/>
  <c r="CQ169" i="1"/>
  <c r="CQ170" i="1"/>
  <c r="CQ171" i="1"/>
  <c r="CQ172" i="1"/>
  <c r="CQ173" i="1"/>
  <c r="CQ174" i="1"/>
  <c r="CQ175" i="1"/>
  <c r="DC175" i="1"/>
  <c r="DC174" i="1"/>
  <c r="DC173" i="1"/>
  <c r="DC172" i="1"/>
  <c r="DC171" i="1"/>
  <c r="DC170" i="1"/>
  <c r="DC169" i="1"/>
  <c r="DC168" i="1"/>
  <c r="DD168" i="1"/>
  <c r="DD169" i="1"/>
  <c r="DD170" i="1"/>
  <c r="DD171" i="1"/>
  <c r="DD172" i="1"/>
  <c r="DD173" i="1"/>
  <c r="DD174" i="1"/>
  <c r="DD175" i="1"/>
  <c r="CQ176" i="1"/>
  <c r="CQ177" i="1"/>
  <c r="CQ178" i="1"/>
  <c r="CQ179" i="1"/>
  <c r="DC179" i="1"/>
  <c r="DC178" i="1"/>
  <c r="DC177" i="1"/>
  <c r="DC176" i="1"/>
  <c r="DD176" i="1"/>
  <c r="DD177" i="1"/>
  <c r="DD178" i="1"/>
  <c r="DD179" i="1"/>
  <c r="CQ180" i="1"/>
  <c r="CQ181" i="1"/>
  <c r="CQ182" i="1"/>
  <c r="DC182" i="1"/>
  <c r="DC181" i="1"/>
  <c r="DC180" i="1"/>
  <c r="DD180" i="1"/>
  <c r="DD181" i="1"/>
  <c r="DD182" i="1"/>
  <c r="CQ183" i="1"/>
  <c r="CQ184" i="1"/>
  <c r="CQ185" i="1"/>
  <c r="DC185" i="1"/>
  <c r="DC184" i="1"/>
  <c r="DD184" i="1"/>
  <c r="DD185" i="1"/>
  <c r="CQ186" i="1"/>
  <c r="CQ187" i="1"/>
  <c r="DC187" i="1"/>
  <c r="DC186" i="1"/>
  <c r="DD186" i="1"/>
  <c r="DD187" i="1"/>
  <c r="CQ188" i="1"/>
  <c r="DC188" i="1"/>
  <c r="DD188" i="1"/>
  <c r="CQ189" i="1"/>
  <c r="DC189" i="1"/>
  <c r="DD189" i="1"/>
  <c r="CQ190" i="1"/>
  <c r="DC190" i="1"/>
  <c r="DD190" i="1"/>
  <c r="CQ191" i="1"/>
  <c r="DC191" i="1"/>
  <c r="DD191" i="1"/>
  <c r="CQ192" i="1"/>
  <c r="CQ193" i="1"/>
  <c r="DC193" i="1"/>
  <c r="DC192" i="1"/>
  <c r="DD192" i="1"/>
  <c r="DD193" i="1"/>
  <c r="CQ194" i="1"/>
  <c r="CQ195" i="1"/>
  <c r="CQ196" i="1"/>
  <c r="CQ197" i="1"/>
  <c r="CQ198" i="1"/>
  <c r="DC198" i="1"/>
  <c r="DC197" i="1"/>
  <c r="DC196" i="1"/>
  <c r="DC195" i="1"/>
  <c r="DC194" i="1"/>
  <c r="DD194" i="1"/>
  <c r="DD195" i="1"/>
  <c r="DD196" i="1"/>
  <c r="DD197" i="1"/>
  <c r="DD198" i="1"/>
  <c r="CQ199" i="1"/>
  <c r="CQ200" i="1"/>
  <c r="CQ201" i="1"/>
  <c r="CQ202" i="1"/>
  <c r="CQ203" i="1"/>
  <c r="CQ204" i="1"/>
  <c r="CQ205" i="1"/>
  <c r="CQ206" i="1"/>
  <c r="CQ207" i="1"/>
  <c r="DC207" i="1"/>
  <c r="DC206" i="1"/>
  <c r="DC205" i="1"/>
  <c r="DC204" i="1"/>
  <c r="DC203" i="1"/>
  <c r="DC202" i="1"/>
  <c r="DC201" i="1"/>
  <c r="DC200" i="1"/>
  <c r="DD200" i="1"/>
  <c r="DD201" i="1"/>
  <c r="DD202" i="1"/>
  <c r="DD203" i="1"/>
  <c r="DD204" i="1"/>
  <c r="DD205" i="1"/>
  <c r="DD206" i="1"/>
  <c r="DD207" i="1"/>
  <c r="CQ208" i="1"/>
  <c r="CQ209" i="1"/>
  <c r="CQ210" i="1"/>
  <c r="CQ211" i="1"/>
  <c r="CQ212" i="1"/>
  <c r="CQ213" i="1"/>
  <c r="CQ214" i="1"/>
  <c r="CQ215" i="1"/>
  <c r="CQ216" i="1"/>
  <c r="DC216" i="1"/>
  <c r="DC215" i="1"/>
  <c r="DC214" i="1"/>
  <c r="DC213" i="1"/>
  <c r="DC212" i="1"/>
  <c r="DC211" i="1"/>
  <c r="DC210" i="1"/>
  <c r="DC209" i="1"/>
  <c r="DD209" i="1"/>
  <c r="DD210" i="1"/>
  <c r="DD211" i="1"/>
  <c r="DD212" i="1"/>
  <c r="DD213" i="1"/>
  <c r="DD214" i="1"/>
  <c r="DD215" i="1"/>
  <c r="DD216" i="1"/>
  <c r="CQ217" i="1"/>
  <c r="CQ218" i="1"/>
  <c r="CQ219" i="1"/>
  <c r="CQ220" i="1"/>
  <c r="CQ221" i="1"/>
  <c r="CQ222" i="1"/>
  <c r="CQ223" i="1"/>
  <c r="CQ224" i="1"/>
  <c r="CQ225" i="1"/>
  <c r="DC225" i="1"/>
  <c r="DC224" i="1"/>
  <c r="DC223" i="1"/>
  <c r="DC222" i="1"/>
  <c r="DC221" i="1"/>
  <c r="DC220" i="1"/>
  <c r="DC219" i="1"/>
  <c r="DC218" i="1"/>
  <c r="DD218" i="1"/>
  <c r="DD219" i="1"/>
  <c r="DD220" i="1"/>
  <c r="DD221" i="1"/>
  <c r="DD222" i="1"/>
  <c r="DD223" i="1"/>
  <c r="DD224" i="1"/>
  <c r="DD225" i="1"/>
  <c r="CQ226" i="1"/>
  <c r="CQ227" i="1"/>
  <c r="CQ228" i="1"/>
  <c r="CQ229" i="1"/>
  <c r="CQ230" i="1"/>
  <c r="CQ231" i="1"/>
  <c r="CQ232" i="1"/>
  <c r="CQ233" i="1"/>
  <c r="DC233" i="1"/>
  <c r="DC232" i="1"/>
  <c r="DC231" i="1"/>
  <c r="DC230" i="1"/>
  <c r="DC229" i="1"/>
  <c r="DC228" i="1"/>
  <c r="DC227" i="1"/>
  <c r="DD227" i="1"/>
  <c r="DD228" i="1"/>
  <c r="DD229" i="1"/>
  <c r="DD230" i="1"/>
  <c r="DD231" i="1"/>
  <c r="DD232" i="1"/>
  <c r="DD233" i="1"/>
  <c r="DC234" i="1"/>
  <c r="CQ234" i="1"/>
  <c r="DD234" i="1"/>
  <c r="DC235" i="1"/>
  <c r="CQ235" i="1"/>
  <c r="DD235" i="1"/>
  <c r="DC236" i="1"/>
  <c r="CQ236" i="1"/>
  <c r="DD236" i="1"/>
  <c r="DC237" i="1"/>
  <c r="CQ237" i="1"/>
  <c r="DD237" i="1"/>
  <c r="CQ238" i="1"/>
  <c r="CQ239" i="1"/>
  <c r="CQ240" i="1"/>
  <c r="CQ241" i="1"/>
  <c r="DC241" i="1"/>
  <c r="DC240" i="1"/>
  <c r="DC239" i="1"/>
  <c r="DC238" i="1"/>
  <c r="DD238" i="1"/>
  <c r="DD239" i="1"/>
  <c r="DD240" i="1"/>
  <c r="DD241" i="1"/>
  <c r="CQ242" i="1"/>
  <c r="CQ243" i="1"/>
  <c r="CQ244" i="1"/>
  <c r="CQ245" i="1"/>
  <c r="CQ246" i="1"/>
  <c r="CQ247" i="1"/>
  <c r="CQ248" i="1"/>
  <c r="CQ249" i="1"/>
  <c r="CQ250" i="1"/>
  <c r="DC250" i="1"/>
  <c r="DC249" i="1"/>
  <c r="DC248" i="1"/>
  <c r="DC247" i="1"/>
  <c r="DC246" i="1"/>
  <c r="DC245" i="1"/>
  <c r="DC244" i="1"/>
  <c r="DC243" i="1"/>
  <c r="DD243" i="1"/>
  <c r="DD244" i="1"/>
  <c r="DD245" i="1"/>
  <c r="DD246" i="1"/>
  <c r="DD247" i="1"/>
  <c r="DD248" i="1"/>
  <c r="DD249" i="1"/>
  <c r="DD250" i="1"/>
  <c r="CQ251" i="1"/>
  <c r="CQ252" i="1"/>
  <c r="CQ253" i="1"/>
  <c r="CQ254" i="1"/>
  <c r="CQ255" i="1"/>
  <c r="CQ256" i="1"/>
  <c r="CQ257" i="1"/>
  <c r="CQ258" i="1"/>
  <c r="CQ259" i="1"/>
  <c r="DC259" i="1"/>
  <c r="DC258" i="1"/>
  <c r="DC257" i="1"/>
  <c r="DC256" i="1"/>
  <c r="DC255" i="1"/>
  <c r="DC254" i="1"/>
  <c r="DC253" i="1"/>
  <c r="DC252" i="1"/>
  <c r="DD252" i="1"/>
  <c r="DD253" i="1"/>
  <c r="DD254" i="1"/>
  <c r="DD255" i="1"/>
  <c r="DD256" i="1"/>
  <c r="DD257" i="1"/>
  <c r="DD258" i="1"/>
  <c r="DD259" i="1"/>
  <c r="CQ260" i="1"/>
  <c r="CQ261" i="1"/>
  <c r="CQ262" i="1"/>
  <c r="CQ263" i="1"/>
  <c r="CQ264" i="1"/>
  <c r="CQ265" i="1"/>
  <c r="CQ266" i="1"/>
  <c r="CQ267" i="1"/>
  <c r="CQ268" i="1"/>
  <c r="DC268" i="1"/>
  <c r="DC267" i="1"/>
  <c r="DC266" i="1"/>
  <c r="DC265" i="1"/>
  <c r="DC264" i="1"/>
  <c r="DC263" i="1"/>
  <c r="DC262" i="1"/>
  <c r="DC261" i="1"/>
  <c r="DD261" i="1"/>
  <c r="DD262" i="1"/>
  <c r="DD263" i="1"/>
  <c r="DD264" i="1"/>
  <c r="DD265" i="1"/>
  <c r="DD266" i="1"/>
  <c r="DD267" i="1"/>
  <c r="DD268" i="1"/>
  <c r="CQ269" i="1"/>
  <c r="CQ270" i="1"/>
  <c r="CQ271" i="1"/>
  <c r="CQ272" i="1"/>
  <c r="CQ273" i="1"/>
  <c r="CQ274" i="1"/>
  <c r="CQ275" i="1"/>
  <c r="CQ276" i="1"/>
  <c r="CQ277" i="1"/>
  <c r="DC277" i="1"/>
  <c r="DC276" i="1"/>
  <c r="DC275" i="1"/>
  <c r="DC274" i="1"/>
  <c r="DC273" i="1"/>
  <c r="DC272" i="1"/>
  <c r="DC271" i="1"/>
  <c r="DC270" i="1"/>
  <c r="DD270" i="1"/>
  <c r="DD271" i="1"/>
  <c r="DD272" i="1"/>
  <c r="DD273" i="1"/>
  <c r="DD274" i="1"/>
  <c r="DD275" i="1"/>
  <c r="DD276" i="1"/>
  <c r="DD277" i="1"/>
  <c r="CQ278" i="1"/>
  <c r="CQ279" i="1"/>
  <c r="CQ280" i="1"/>
  <c r="CQ281" i="1"/>
  <c r="CQ282" i="1"/>
  <c r="CQ283" i="1"/>
  <c r="CQ284" i="1"/>
  <c r="CQ285" i="1"/>
  <c r="CQ286" i="1"/>
  <c r="DC286" i="1"/>
  <c r="DC285" i="1"/>
  <c r="DC284" i="1"/>
  <c r="DC283" i="1"/>
  <c r="DC282" i="1"/>
  <c r="DC281" i="1"/>
  <c r="DC280" i="1"/>
  <c r="DC279" i="1"/>
  <c r="DD279" i="1"/>
  <c r="DD280" i="1"/>
  <c r="DD281" i="1"/>
  <c r="DD282" i="1"/>
  <c r="DD283" i="1"/>
  <c r="DD284" i="1"/>
  <c r="DD285" i="1"/>
  <c r="DD286" i="1"/>
  <c r="CQ287" i="1"/>
  <c r="CQ288" i="1"/>
  <c r="CQ289" i="1"/>
  <c r="CQ290" i="1"/>
  <c r="CQ291" i="1"/>
  <c r="CQ292" i="1"/>
  <c r="CQ293" i="1"/>
  <c r="CQ294" i="1"/>
  <c r="CQ295" i="1"/>
  <c r="DC295" i="1"/>
  <c r="DC294" i="1"/>
  <c r="DC293" i="1"/>
  <c r="DC292" i="1"/>
  <c r="DC291" i="1"/>
  <c r="DC290" i="1"/>
  <c r="DC289" i="1"/>
  <c r="DC288" i="1"/>
  <c r="DD288" i="1"/>
  <c r="DD289" i="1"/>
  <c r="DD290" i="1"/>
  <c r="DD291" i="1"/>
  <c r="DD292" i="1"/>
  <c r="DD293" i="1"/>
  <c r="DD294" i="1"/>
  <c r="DD295" i="1"/>
  <c r="CQ296" i="1"/>
  <c r="CQ297" i="1"/>
  <c r="CQ298" i="1"/>
  <c r="CQ299" i="1"/>
  <c r="CQ300" i="1"/>
  <c r="CQ301" i="1"/>
  <c r="CQ302" i="1"/>
  <c r="CQ303" i="1"/>
  <c r="CQ304" i="1"/>
  <c r="DC304" i="1"/>
  <c r="DC303" i="1"/>
  <c r="DC302" i="1"/>
  <c r="DC301" i="1"/>
  <c r="DC300" i="1"/>
  <c r="DC299" i="1"/>
  <c r="DC298" i="1"/>
  <c r="DC297" i="1"/>
  <c r="DD297" i="1"/>
  <c r="DD298" i="1"/>
  <c r="DD299" i="1"/>
  <c r="DD300" i="1"/>
  <c r="DD301" i="1"/>
  <c r="DD302" i="1"/>
  <c r="DD303" i="1"/>
  <c r="DD304" i="1"/>
  <c r="CQ305" i="1"/>
  <c r="CQ306" i="1"/>
  <c r="CQ307" i="1"/>
  <c r="CQ308" i="1"/>
  <c r="CQ309" i="1"/>
  <c r="CQ310" i="1"/>
  <c r="CQ311" i="1"/>
  <c r="CQ312" i="1"/>
  <c r="CQ313" i="1"/>
  <c r="DC313" i="1"/>
  <c r="DC312" i="1"/>
  <c r="DC311" i="1"/>
  <c r="DC310" i="1"/>
  <c r="DC309" i="1"/>
  <c r="DC308" i="1"/>
  <c r="DC307" i="1"/>
  <c r="DC306" i="1"/>
  <c r="DD306" i="1"/>
  <c r="DD307" i="1"/>
  <c r="DD308" i="1"/>
  <c r="DD309" i="1"/>
  <c r="DD310" i="1"/>
  <c r="DD311" i="1"/>
  <c r="DD312" i="1"/>
  <c r="DD313" i="1"/>
  <c r="CQ314" i="1"/>
  <c r="CQ315" i="1"/>
  <c r="CQ316" i="1"/>
  <c r="CQ317" i="1"/>
  <c r="CQ318" i="1"/>
  <c r="CQ319" i="1"/>
  <c r="CQ320" i="1"/>
  <c r="CQ321" i="1"/>
  <c r="CQ322" i="1"/>
  <c r="DC322" i="1"/>
  <c r="DC321" i="1"/>
  <c r="DC320" i="1"/>
  <c r="DC319" i="1"/>
  <c r="DC318" i="1"/>
  <c r="DC317" i="1"/>
  <c r="DC316" i="1"/>
  <c r="DC315" i="1"/>
  <c r="DD315" i="1"/>
  <c r="DD316" i="1"/>
  <c r="DD317" i="1"/>
  <c r="DD318" i="1"/>
  <c r="DD319" i="1"/>
  <c r="DD320" i="1"/>
  <c r="DD321" i="1"/>
  <c r="DD322" i="1"/>
  <c r="CQ323" i="1"/>
  <c r="CQ324" i="1"/>
  <c r="CQ325" i="1"/>
  <c r="CQ326" i="1"/>
  <c r="CQ327" i="1"/>
  <c r="CQ328" i="1"/>
  <c r="CQ329" i="1"/>
  <c r="CQ330" i="1"/>
  <c r="CQ331" i="1"/>
  <c r="DC331" i="1"/>
  <c r="DC330" i="1"/>
  <c r="DC329" i="1"/>
  <c r="DC328" i="1"/>
  <c r="DC327" i="1"/>
  <c r="DC326" i="1"/>
  <c r="DC325" i="1"/>
  <c r="DC324" i="1"/>
  <c r="DD324" i="1"/>
  <c r="DD325" i="1"/>
  <c r="DD326" i="1"/>
  <c r="DD327" i="1"/>
  <c r="DD328" i="1"/>
  <c r="DD329" i="1"/>
  <c r="DD330" i="1"/>
  <c r="DD331" i="1"/>
  <c r="CQ332" i="1"/>
  <c r="CQ333" i="1"/>
  <c r="CQ334" i="1"/>
  <c r="CQ335" i="1"/>
  <c r="CQ336" i="1"/>
  <c r="CQ337" i="1"/>
  <c r="CQ338" i="1"/>
  <c r="CQ339" i="1"/>
  <c r="CQ340" i="1"/>
  <c r="DC340" i="1"/>
  <c r="DC339" i="1"/>
  <c r="DC338" i="1"/>
  <c r="DC337" i="1"/>
  <c r="DC336" i="1"/>
  <c r="DC335" i="1"/>
  <c r="DC334" i="1"/>
  <c r="DC333" i="1"/>
  <c r="DD333" i="1"/>
  <c r="DD334" i="1"/>
  <c r="DD335" i="1"/>
  <c r="DD336" i="1"/>
  <c r="DD337" i="1"/>
  <c r="DD338" i="1"/>
  <c r="DD339" i="1"/>
  <c r="DD340" i="1"/>
  <c r="CQ341" i="1"/>
  <c r="CQ342" i="1"/>
  <c r="CQ343" i="1"/>
  <c r="DC343" i="1"/>
  <c r="DC342" i="1"/>
  <c r="DD342" i="1"/>
  <c r="DD343" i="1"/>
  <c r="CQ344" i="1"/>
  <c r="CQ345" i="1"/>
  <c r="DC345" i="1"/>
  <c r="DC344" i="1"/>
  <c r="DD344" i="1"/>
  <c r="DD345" i="1"/>
  <c r="CQ346" i="1"/>
  <c r="CQ347" i="1"/>
  <c r="CQ348" i="1"/>
  <c r="CQ349" i="1"/>
  <c r="CQ350" i="1"/>
  <c r="CQ351" i="1"/>
  <c r="CQ352" i="1"/>
  <c r="CQ353" i="1"/>
  <c r="CQ354" i="1"/>
  <c r="DC354" i="1"/>
  <c r="DC353" i="1"/>
  <c r="DC352" i="1"/>
  <c r="DC351" i="1"/>
  <c r="DC350" i="1"/>
  <c r="DC349" i="1"/>
  <c r="DC348" i="1"/>
  <c r="DC347" i="1"/>
  <c r="DD347" i="1"/>
  <c r="DD348" i="1"/>
  <c r="DD349" i="1"/>
  <c r="DD350" i="1"/>
  <c r="DD351" i="1"/>
  <c r="DD352" i="1"/>
  <c r="DD353" i="1"/>
  <c r="DD354" i="1"/>
  <c r="CQ355" i="1"/>
  <c r="CQ356" i="1"/>
  <c r="CQ357" i="1"/>
  <c r="CQ358" i="1"/>
  <c r="CQ359" i="1"/>
  <c r="CQ360" i="1"/>
  <c r="CQ361" i="1"/>
  <c r="CQ362" i="1"/>
  <c r="CQ363" i="1"/>
  <c r="DC363" i="1"/>
  <c r="DC362" i="1"/>
  <c r="DC361" i="1"/>
  <c r="DC360" i="1"/>
  <c r="DC359" i="1"/>
  <c r="DC358" i="1"/>
  <c r="DC357" i="1"/>
  <c r="DC356" i="1"/>
  <c r="DD356" i="1"/>
  <c r="DD357" i="1"/>
  <c r="DD358" i="1"/>
  <c r="DD359" i="1"/>
  <c r="DD360" i="1"/>
  <c r="DD361" i="1"/>
  <c r="DD362" i="1"/>
  <c r="DD363" i="1"/>
  <c r="CQ364" i="1"/>
  <c r="CQ365" i="1"/>
  <c r="CQ366" i="1"/>
  <c r="CQ367" i="1"/>
  <c r="CQ368" i="1"/>
  <c r="CQ369" i="1"/>
  <c r="CQ370" i="1"/>
  <c r="CQ371" i="1"/>
  <c r="CQ372" i="1"/>
  <c r="DC372" i="1"/>
  <c r="DC371" i="1"/>
  <c r="DC370" i="1"/>
  <c r="DC369" i="1"/>
  <c r="DC368" i="1"/>
  <c r="DC367" i="1"/>
  <c r="DC366" i="1"/>
  <c r="DC365" i="1"/>
  <c r="DD365" i="1"/>
  <c r="DD366" i="1"/>
  <c r="DD367" i="1"/>
  <c r="DD368" i="1"/>
  <c r="DD369" i="1"/>
  <c r="DD370" i="1"/>
  <c r="DD371" i="1"/>
  <c r="DD372" i="1"/>
  <c r="CQ373" i="1"/>
  <c r="CQ374" i="1"/>
  <c r="CQ375" i="1"/>
  <c r="CQ376" i="1"/>
  <c r="CQ377" i="1"/>
  <c r="CQ378" i="1"/>
  <c r="CQ379" i="1"/>
  <c r="CQ380" i="1"/>
  <c r="CQ381" i="1"/>
  <c r="DC381" i="1"/>
  <c r="DC380" i="1"/>
  <c r="DC379" i="1"/>
  <c r="DC378" i="1"/>
  <c r="DC377" i="1"/>
  <c r="DC376" i="1"/>
  <c r="DC375" i="1"/>
  <c r="DC374" i="1"/>
  <c r="DD374" i="1"/>
  <c r="DD375" i="1"/>
  <c r="DD376" i="1"/>
  <c r="DD377" i="1"/>
  <c r="DD378" i="1"/>
  <c r="DD379" i="1"/>
  <c r="DD380" i="1"/>
  <c r="DD381" i="1"/>
  <c r="CQ382" i="1"/>
  <c r="CQ383" i="1"/>
  <c r="CQ384" i="1"/>
  <c r="CQ385" i="1"/>
  <c r="CQ386" i="1"/>
  <c r="CQ387" i="1"/>
  <c r="CQ388" i="1"/>
  <c r="CQ389" i="1"/>
  <c r="CQ390" i="1"/>
  <c r="DC390" i="1"/>
  <c r="DC389" i="1"/>
  <c r="DC388" i="1"/>
  <c r="DC387" i="1"/>
  <c r="DC386" i="1"/>
  <c r="DC385" i="1"/>
  <c r="DC384" i="1"/>
  <c r="DC383" i="1"/>
  <c r="DD383" i="1"/>
  <c r="DD384" i="1"/>
  <c r="DD385" i="1"/>
  <c r="DD386" i="1"/>
  <c r="DD387" i="1"/>
  <c r="DD388" i="1"/>
  <c r="DD389" i="1"/>
  <c r="DD390" i="1"/>
  <c r="CQ391" i="1"/>
  <c r="CQ392" i="1"/>
  <c r="CQ393" i="1"/>
  <c r="CQ394" i="1"/>
  <c r="CQ395" i="1"/>
  <c r="CQ396" i="1"/>
  <c r="CQ397" i="1"/>
  <c r="CQ398" i="1"/>
  <c r="CQ399" i="1"/>
  <c r="DC399" i="1"/>
  <c r="DC398" i="1"/>
  <c r="DC397" i="1"/>
  <c r="DC396" i="1"/>
  <c r="DC395" i="1"/>
  <c r="DC394" i="1"/>
  <c r="DC393" i="1"/>
  <c r="DC392" i="1"/>
  <c r="DD392" i="1"/>
  <c r="DD393" i="1"/>
  <c r="DD394" i="1"/>
  <c r="DD395" i="1"/>
  <c r="DD396" i="1"/>
  <c r="DD397" i="1"/>
  <c r="DD398" i="1"/>
  <c r="DD399" i="1"/>
  <c r="CQ400" i="1"/>
  <c r="CQ401" i="1"/>
  <c r="CQ402" i="1"/>
  <c r="CQ403" i="1"/>
  <c r="CQ404" i="1"/>
  <c r="CQ405" i="1"/>
  <c r="CQ406" i="1"/>
  <c r="CQ407" i="1"/>
  <c r="CQ408" i="1"/>
  <c r="DC408" i="1"/>
  <c r="DC407" i="1"/>
  <c r="DC406" i="1"/>
  <c r="DC405" i="1"/>
  <c r="DC404" i="1"/>
  <c r="DC403" i="1"/>
  <c r="DC402" i="1"/>
  <c r="DC401" i="1"/>
  <c r="DD401" i="1"/>
  <c r="DD402" i="1"/>
  <c r="DD403" i="1"/>
  <c r="DD404" i="1"/>
  <c r="DD405" i="1"/>
  <c r="DD406" i="1"/>
  <c r="DD407" i="1"/>
  <c r="DD408" i="1"/>
  <c r="CQ409" i="1"/>
  <c r="CQ410" i="1"/>
  <c r="CQ411" i="1"/>
  <c r="CQ412" i="1"/>
  <c r="CQ413" i="1"/>
  <c r="CQ414" i="1"/>
  <c r="CQ415" i="1"/>
  <c r="CQ416" i="1"/>
  <c r="CQ417" i="1"/>
  <c r="DC417" i="1"/>
  <c r="DC416" i="1"/>
  <c r="DC415" i="1"/>
  <c r="DC414" i="1"/>
  <c r="DC413" i="1"/>
  <c r="DC412" i="1"/>
  <c r="DC411" i="1"/>
  <c r="DC410" i="1"/>
  <c r="DD410" i="1"/>
  <c r="DD411" i="1"/>
  <c r="DD412" i="1"/>
  <c r="DD413" i="1"/>
  <c r="DD414" i="1"/>
  <c r="DD415" i="1"/>
  <c r="DD416" i="1"/>
  <c r="DD417" i="1"/>
  <c r="CQ418" i="1"/>
  <c r="CQ419" i="1"/>
  <c r="CQ420" i="1"/>
  <c r="CQ421" i="1"/>
  <c r="CQ422" i="1"/>
  <c r="CQ423" i="1"/>
  <c r="CQ424" i="1"/>
  <c r="CQ425" i="1"/>
  <c r="CQ426" i="1"/>
  <c r="DC426" i="1"/>
  <c r="DC425" i="1"/>
  <c r="DC424" i="1"/>
  <c r="DC423" i="1"/>
  <c r="DC422" i="1"/>
  <c r="DC421" i="1"/>
  <c r="DC420" i="1"/>
  <c r="DC419" i="1"/>
  <c r="DD419" i="1"/>
  <c r="DD420" i="1"/>
  <c r="DD421" i="1"/>
  <c r="DD422" i="1"/>
  <c r="DD423" i="1"/>
  <c r="DD424" i="1"/>
  <c r="DD425" i="1"/>
  <c r="DD426" i="1"/>
  <c r="CQ427" i="1"/>
  <c r="CQ428" i="1"/>
  <c r="CQ429" i="1"/>
  <c r="CQ430" i="1"/>
  <c r="CQ431" i="1"/>
  <c r="CQ432" i="1"/>
  <c r="CQ433" i="1"/>
  <c r="CQ434" i="1"/>
  <c r="CQ435" i="1"/>
  <c r="DC435" i="1"/>
  <c r="DC434" i="1"/>
  <c r="DC433" i="1"/>
  <c r="DC432" i="1"/>
  <c r="DC431" i="1"/>
  <c r="DC430" i="1"/>
  <c r="DC429" i="1"/>
  <c r="DC428" i="1"/>
  <c r="DD428" i="1"/>
  <c r="DD429" i="1"/>
  <c r="DD430" i="1"/>
  <c r="DD431" i="1"/>
  <c r="DD432" i="1"/>
  <c r="DD433" i="1"/>
  <c r="DD434" i="1"/>
  <c r="DD435" i="1"/>
  <c r="CQ436" i="1"/>
  <c r="CQ437" i="1"/>
  <c r="CQ438" i="1"/>
  <c r="CQ439" i="1"/>
  <c r="CQ440" i="1"/>
  <c r="CQ441" i="1"/>
  <c r="CQ442" i="1"/>
  <c r="CQ443" i="1"/>
  <c r="DC443" i="1"/>
  <c r="DC442" i="1"/>
  <c r="DC441" i="1"/>
  <c r="DC440" i="1"/>
  <c r="DC439" i="1"/>
  <c r="DC438" i="1"/>
  <c r="DC437" i="1"/>
  <c r="DD437" i="1"/>
  <c r="DD438" i="1"/>
  <c r="DD439" i="1"/>
  <c r="DD440" i="1"/>
  <c r="DD441" i="1"/>
  <c r="DD442" i="1"/>
  <c r="DD443" i="1"/>
  <c r="CQ444" i="1"/>
  <c r="CQ445" i="1"/>
  <c r="CQ446" i="1"/>
  <c r="CQ447" i="1"/>
  <c r="DC447" i="1"/>
  <c r="DC446" i="1"/>
  <c r="DC445" i="1"/>
  <c r="DC444" i="1"/>
  <c r="DD444" i="1"/>
  <c r="DD445" i="1"/>
  <c r="DD446" i="1"/>
  <c r="DD447" i="1"/>
  <c r="CQ448" i="1"/>
  <c r="CQ449" i="1"/>
  <c r="CQ450" i="1"/>
  <c r="CQ451" i="1"/>
  <c r="CQ452" i="1"/>
  <c r="CQ453" i="1"/>
  <c r="CQ454" i="1"/>
  <c r="CQ455" i="1"/>
  <c r="CQ456" i="1"/>
  <c r="DC456" i="1"/>
  <c r="DC455" i="1"/>
  <c r="DC454" i="1"/>
  <c r="DC453" i="1"/>
  <c r="DC452" i="1"/>
  <c r="DC451" i="1"/>
  <c r="DC450" i="1"/>
  <c r="DC449" i="1"/>
  <c r="DD449" i="1"/>
  <c r="DD450" i="1"/>
  <c r="DD451" i="1"/>
  <c r="DD452" i="1"/>
  <c r="DD453" i="1"/>
  <c r="DD454" i="1"/>
  <c r="DD455" i="1"/>
  <c r="DD456" i="1"/>
  <c r="CQ457" i="1"/>
  <c r="CQ458" i="1"/>
  <c r="CQ459" i="1"/>
  <c r="CQ460" i="1"/>
  <c r="CQ461" i="1"/>
  <c r="CQ462" i="1"/>
  <c r="CQ463" i="1"/>
  <c r="CQ464" i="1"/>
  <c r="CQ465" i="1"/>
  <c r="DC465" i="1"/>
  <c r="DC464" i="1"/>
  <c r="DC463" i="1"/>
  <c r="DC462" i="1"/>
  <c r="DC461" i="1"/>
  <c r="DC460" i="1"/>
  <c r="DC459" i="1"/>
  <c r="DC458" i="1"/>
  <c r="DD458" i="1"/>
  <c r="DD459" i="1"/>
  <c r="DD460" i="1"/>
  <c r="DD461" i="1"/>
  <c r="DD462" i="1"/>
  <c r="DD463" i="1"/>
  <c r="DD464" i="1"/>
  <c r="DD465" i="1"/>
  <c r="CQ466" i="1"/>
  <c r="CQ467" i="1"/>
  <c r="CQ468" i="1"/>
  <c r="CQ469" i="1"/>
  <c r="CQ470" i="1"/>
  <c r="CQ471" i="1"/>
  <c r="CQ472" i="1"/>
  <c r="CQ473" i="1"/>
  <c r="CQ474" i="1"/>
  <c r="DC474" i="1"/>
  <c r="DC473" i="1"/>
  <c r="DC472" i="1"/>
  <c r="DC471" i="1"/>
  <c r="DC470" i="1"/>
  <c r="DC469" i="1"/>
  <c r="DC468" i="1"/>
  <c r="DC467" i="1"/>
  <c r="DD467" i="1"/>
  <c r="DD468" i="1"/>
  <c r="DD469" i="1"/>
  <c r="DD470" i="1"/>
  <c r="DD471" i="1"/>
  <c r="DD472" i="1"/>
  <c r="DD473" i="1"/>
  <c r="DD474" i="1"/>
  <c r="CQ475" i="1"/>
  <c r="CQ476" i="1"/>
  <c r="CQ477" i="1"/>
  <c r="CQ478" i="1"/>
  <c r="CQ479" i="1"/>
  <c r="CQ480" i="1"/>
  <c r="CQ481" i="1"/>
  <c r="CQ482" i="1"/>
  <c r="CQ483" i="1"/>
  <c r="DC483" i="1"/>
  <c r="DC482" i="1"/>
  <c r="DC481" i="1"/>
  <c r="DC480" i="1"/>
  <c r="DC479" i="1"/>
  <c r="DC478" i="1"/>
  <c r="DC477" i="1"/>
  <c r="DC476" i="1"/>
  <c r="DD476" i="1"/>
  <c r="DD477" i="1"/>
  <c r="DD478" i="1"/>
  <c r="DD479" i="1"/>
  <c r="DD480" i="1"/>
  <c r="DD481" i="1"/>
  <c r="DD482" i="1"/>
  <c r="DD483" i="1"/>
  <c r="CQ484" i="1"/>
  <c r="CQ485" i="1"/>
  <c r="CQ486" i="1"/>
  <c r="CQ487" i="1"/>
  <c r="CQ488" i="1"/>
  <c r="CQ489" i="1"/>
  <c r="CQ490" i="1"/>
  <c r="DC490" i="1"/>
  <c r="DC489" i="1"/>
  <c r="DC488" i="1"/>
  <c r="DC487" i="1"/>
  <c r="DC486" i="1"/>
  <c r="DC485" i="1"/>
  <c r="DD485" i="1"/>
  <c r="DD486" i="1"/>
  <c r="DD487" i="1"/>
  <c r="DD488" i="1"/>
  <c r="DD489" i="1"/>
  <c r="DD490" i="1"/>
  <c r="CQ491" i="1"/>
  <c r="CQ492" i="1"/>
  <c r="CQ493" i="1"/>
  <c r="CQ494" i="1"/>
  <c r="CQ495" i="1"/>
  <c r="CQ496" i="1"/>
  <c r="CQ497" i="1"/>
  <c r="DC497" i="1"/>
  <c r="DC496" i="1"/>
  <c r="DC495" i="1"/>
  <c r="DC494" i="1"/>
  <c r="DC493" i="1"/>
  <c r="DC492" i="1"/>
  <c r="DD492" i="1"/>
  <c r="DD493" i="1"/>
  <c r="DD494" i="1"/>
  <c r="DD495" i="1"/>
  <c r="DD496" i="1"/>
  <c r="DD497" i="1"/>
  <c r="CQ498" i="1"/>
  <c r="CQ499" i="1"/>
  <c r="CQ500" i="1"/>
  <c r="CQ501" i="1"/>
  <c r="CQ502" i="1"/>
  <c r="CQ503" i="1"/>
  <c r="CQ504" i="1"/>
  <c r="CQ505" i="1"/>
  <c r="CQ506" i="1"/>
  <c r="DC506" i="1"/>
  <c r="DC505" i="1"/>
  <c r="DC504" i="1"/>
  <c r="DC503" i="1"/>
  <c r="DC502" i="1"/>
  <c r="DC501" i="1"/>
  <c r="DC500" i="1"/>
  <c r="DC499" i="1"/>
  <c r="DD499" i="1"/>
  <c r="DD500" i="1"/>
  <c r="DD501" i="1"/>
  <c r="DD502" i="1"/>
  <c r="DD503" i="1"/>
  <c r="DD504" i="1"/>
  <c r="DD505" i="1"/>
  <c r="DD506" i="1"/>
  <c r="CQ507" i="1"/>
  <c r="CQ508" i="1"/>
  <c r="CQ509" i="1"/>
  <c r="CQ510" i="1"/>
  <c r="CQ511" i="1"/>
  <c r="CQ512" i="1"/>
  <c r="CQ513" i="1"/>
  <c r="CQ514" i="1"/>
  <c r="CQ515" i="1"/>
  <c r="DC515" i="1"/>
  <c r="DC514" i="1"/>
  <c r="DC513" i="1"/>
  <c r="DC512" i="1"/>
  <c r="DC511" i="1"/>
  <c r="DC510" i="1"/>
  <c r="DC509" i="1"/>
  <c r="DC508" i="1"/>
  <c r="DD508" i="1"/>
  <c r="DD509" i="1"/>
  <c r="DD510" i="1"/>
  <c r="DD511" i="1"/>
  <c r="DD512" i="1"/>
  <c r="DD513" i="1"/>
  <c r="DD514" i="1"/>
  <c r="DD515" i="1"/>
  <c r="CQ516" i="1"/>
  <c r="CQ517" i="1"/>
  <c r="CQ518" i="1"/>
  <c r="CQ519" i="1"/>
  <c r="CQ520" i="1"/>
  <c r="CQ521" i="1"/>
  <c r="CQ522" i="1"/>
  <c r="CQ523" i="1"/>
  <c r="CQ524" i="1"/>
  <c r="DC524" i="1"/>
  <c r="DC523" i="1"/>
  <c r="DC522" i="1"/>
  <c r="DC521" i="1"/>
  <c r="DC520" i="1"/>
  <c r="DC519" i="1"/>
  <c r="DC518" i="1"/>
  <c r="DC517" i="1"/>
  <c r="DD517" i="1"/>
  <c r="DD518" i="1"/>
  <c r="DD519" i="1"/>
  <c r="DD520" i="1"/>
  <c r="DD521" i="1"/>
  <c r="DD522" i="1"/>
  <c r="DD523" i="1"/>
  <c r="DD524" i="1"/>
  <c r="CQ525" i="1"/>
  <c r="CQ526" i="1"/>
  <c r="CQ527" i="1"/>
  <c r="CQ528" i="1"/>
  <c r="CQ529" i="1"/>
  <c r="DC529" i="1"/>
  <c r="DC528" i="1"/>
  <c r="DC527" i="1"/>
  <c r="DC526" i="1"/>
  <c r="DD526" i="1"/>
  <c r="DD527" i="1"/>
  <c r="DD528" i="1"/>
  <c r="DD529" i="1"/>
  <c r="CQ530" i="1"/>
  <c r="DC530" i="1"/>
  <c r="DD530" i="1"/>
  <c r="CQ531" i="1"/>
  <c r="CQ532" i="1"/>
  <c r="CQ533" i="1"/>
  <c r="CQ534" i="1"/>
  <c r="CQ535" i="1"/>
  <c r="CQ536" i="1"/>
  <c r="CQ537" i="1"/>
  <c r="CQ538" i="1"/>
  <c r="CQ539" i="1"/>
  <c r="DC539" i="1"/>
  <c r="DC538" i="1"/>
  <c r="DC537" i="1"/>
  <c r="DC536" i="1"/>
  <c r="DC535" i="1"/>
  <c r="DC534" i="1"/>
  <c r="DC533" i="1"/>
  <c r="DC532" i="1"/>
  <c r="DD532" i="1"/>
  <c r="DD533" i="1"/>
  <c r="DD534" i="1"/>
  <c r="DD535" i="1"/>
  <c r="DD536" i="1"/>
  <c r="DD537" i="1"/>
  <c r="DD538" i="1"/>
  <c r="DD539" i="1"/>
  <c r="CQ540" i="1"/>
  <c r="CQ541" i="1"/>
  <c r="CQ542" i="1"/>
  <c r="CQ543" i="1"/>
  <c r="CQ544" i="1"/>
  <c r="CQ545" i="1"/>
  <c r="CQ546" i="1"/>
  <c r="CQ547" i="1"/>
  <c r="CQ548" i="1"/>
  <c r="DC548" i="1"/>
  <c r="DC547" i="1"/>
  <c r="DC546" i="1"/>
  <c r="DC545" i="1"/>
  <c r="DC544" i="1"/>
  <c r="DC543" i="1"/>
  <c r="DC542" i="1"/>
  <c r="DC541" i="1"/>
  <c r="DD541" i="1"/>
  <c r="DD542" i="1"/>
  <c r="DD543" i="1"/>
  <c r="DD544" i="1"/>
  <c r="DD545" i="1"/>
  <c r="DD546" i="1"/>
  <c r="DD547" i="1"/>
  <c r="DD548" i="1"/>
  <c r="CQ549" i="1"/>
  <c r="CQ550" i="1"/>
  <c r="CQ551" i="1"/>
  <c r="CQ552" i="1"/>
  <c r="CQ553" i="1"/>
  <c r="CQ554" i="1"/>
  <c r="CQ555" i="1"/>
  <c r="CQ556" i="1"/>
  <c r="CQ557" i="1"/>
  <c r="DC557" i="1"/>
  <c r="DC556" i="1"/>
  <c r="DC555" i="1"/>
  <c r="DC554" i="1"/>
  <c r="DC553" i="1"/>
  <c r="DC552" i="1"/>
  <c r="DC551" i="1"/>
  <c r="DC550" i="1"/>
  <c r="DD550" i="1"/>
  <c r="DD551" i="1"/>
  <c r="DD552" i="1"/>
  <c r="DD553" i="1"/>
  <c r="DD554" i="1"/>
  <c r="DD555" i="1"/>
  <c r="DD556" i="1"/>
  <c r="DD557" i="1"/>
  <c r="CQ558" i="1"/>
  <c r="CQ559" i="1"/>
  <c r="CQ560" i="1"/>
  <c r="CQ561" i="1"/>
  <c r="CQ562" i="1"/>
  <c r="CQ563" i="1"/>
  <c r="CQ564" i="1"/>
  <c r="CQ565" i="1"/>
  <c r="CQ566" i="1"/>
  <c r="DC566" i="1"/>
  <c r="DC565" i="1"/>
  <c r="DC564" i="1"/>
  <c r="DC563" i="1"/>
  <c r="DC562" i="1"/>
  <c r="DC561" i="1"/>
  <c r="DC560" i="1"/>
  <c r="DC559" i="1"/>
  <c r="DD559" i="1"/>
  <c r="DD560" i="1"/>
  <c r="DD561" i="1"/>
  <c r="DD562" i="1"/>
  <c r="DD563" i="1"/>
  <c r="DD564" i="1"/>
  <c r="DD565" i="1"/>
  <c r="DD566" i="1"/>
  <c r="CQ567" i="1"/>
  <c r="CQ568" i="1"/>
  <c r="CQ569" i="1"/>
  <c r="CQ570" i="1"/>
  <c r="CQ571" i="1"/>
  <c r="CQ572" i="1"/>
  <c r="CQ573" i="1"/>
  <c r="CQ574" i="1"/>
  <c r="CQ575" i="1"/>
  <c r="DC575" i="1"/>
  <c r="DC574" i="1"/>
  <c r="DC573" i="1"/>
  <c r="DC572" i="1"/>
  <c r="DC571" i="1"/>
  <c r="DC570" i="1"/>
  <c r="DC569" i="1"/>
  <c r="DC568" i="1"/>
  <c r="DD568" i="1"/>
  <c r="DD569" i="1"/>
  <c r="DD570" i="1"/>
  <c r="DD571" i="1"/>
  <c r="DD572" i="1"/>
  <c r="DD573" i="1"/>
  <c r="DD574" i="1"/>
  <c r="DD575" i="1"/>
  <c r="CQ576" i="1"/>
  <c r="CQ577" i="1"/>
  <c r="CQ578" i="1"/>
  <c r="CQ579" i="1"/>
  <c r="CQ580" i="1"/>
  <c r="CQ581" i="1"/>
  <c r="CQ582" i="1"/>
  <c r="CQ583" i="1"/>
  <c r="CQ584" i="1"/>
  <c r="DC584" i="1"/>
  <c r="DC583" i="1"/>
  <c r="DC582" i="1"/>
  <c r="DC581" i="1"/>
  <c r="DC580" i="1"/>
  <c r="DC579" i="1"/>
  <c r="DC578" i="1"/>
  <c r="DC577" i="1"/>
  <c r="DD577" i="1"/>
  <c r="DD578" i="1"/>
  <c r="DD579" i="1"/>
  <c r="DD580" i="1"/>
  <c r="DD581" i="1"/>
  <c r="DD582" i="1"/>
  <c r="DD583" i="1"/>
  <c r="DD584" i="1"/>
  <c r="CQ585" i="1"/>
  <c r="CQ586" i="1"/>
  <c r="CQ587" i="1"/>
  <c r="CQ588" i="1"/>
  <c r="CQ589" i="1"/>
  <c r="CQ590" i="1"/>
  <c r="CQ591" i="1"/>
  <c r="CQ592" i="1"/>
  <c r="CQ593" i="1"/>
  <c r="DC593" i="1"/>
  <c r="DC592" i="1"/>
  <c r="DC591" i="1"/>
  <c r="DC590" i="1"/>
  <c r="DC589" i="1"/>
  <c r="DC588" i="1"/>
  <c r="DC587" i="1"/>
  <c r="DC586" i="1"/>
  <c r="DD586" i="1"/>
  <c r="DD587" i="1"/>
  <c r="DD588" i="1"/>
  <c r="DD589" i="1"/>
  <c r="DD590" i="1"/>
  <c r="DD591" i="1"/>
  <c r="DD592" i="1"/>
  <c r="DD593" i="1"/>
  <c r="CQ594" i="1"/>
  <c r="CQ595" i="1"/>
  <c r="CQ596" i="1"/>
  <c r="CQ597" i="1"/>
  <c r="CQ598" i="1"/>
  <c r="CQ599" i="1"/>
  <c r="CQ600" i="1"/>
  <c r="CQ601" i="1"/>
  <c r="CQ602" i="1"/>
  <c r="DC602" i="1"/>
  <c r="DC601" i="1"/>
  <c r="DC600" i="1"/>
  <c r="DC599" i="1"/>
  <c r="DC598" i="1"/>
  <c r="DC597" i="1"/>
  <c r="DC596" i="1"/>
  <c r="DC595" i="1"/>
  <c r="DD595" i="1"/>
  <c r="DD596" i="1"/>
  <c r="DD597" i="1"/>
  <c r="DD598" i="1"/>
  <c r="DD599" i="1"/>
  <c r="DD600" i="1"/>
  <c r="DD601" i="1"/>
  <c r="DD602" i="1"/>
  <c r="CQ603" i="1"/>
  <c r="CQ604" i="1"/>
  <c r="CQ605" i="1"/>
  <c r="CQ606" i="1"/>
  <c r="CQ607" i="1"/>
  <c r="CQ608" i="1"/>
  <c r="CQ609" i="1"/>
  <c r="CQ610" i="1"/>
  <c r="CQ611" i="1"/>
  <c r="DC611" i="1"/>
  <c r="DC610" i="1"/>
  <c r="DC609" i="1"/>
  <c r="DC608" i="1"/>
  <c r="DC607" i="1"/>
  <c r="DC606" i="1"/>
  <c r="DC605" i="1"/>
  <c r="DC604" i="1"/>
  <c r="DD604" i="1"/>
  <c r="DD605" i="1"/>
  <c r="DD606" i="1"/>
  <c r="DD607" i="1"/>
  <c r="DD608" i="1"/>
  <c r="DD609" i="1"/>
  <c r="DD610" i="1"/>
  <c r="DD611" i="1"/>
  <c r="CQ612" i="1"/>
  <c r="CQ613" i="1"/>
  <c r="CQ614" i="1"/>
  <c r="CQ615" i="1"/>
  <c r="CQ616" i="1"/>
  <c r="CQ617" i="1"/>
  <c r="CQ618" i="1"/>
  <c r="CQ619" i="1"/>
  <c r="CQ620" i="1"/>
  <c r="DC620" i="1"/>
  <c r="DC619" i="1"/>
  <c r="DC618" i="1"/>
  <c r="DC617" i="1"/>
  <c r="DC616" i="1"/>
  <c r="DC615" i="1"/>
  <c r="DC614" i="1"/>
  <c r="DC613" i="1"/>
  <c r="DD613" i="1"/>
  <c r="DD614" i="1"/>
  <c r="DD615" i="1"/>
  <c r="DD616" i="1"/>
  <c r="DD617" i="1"/>
  <c r="DD618" i="1"/>
  <c r="DD619" i="1"/>
  <c r="DD620" i="1"/>
  <c r="CQ621" i="1"/>
  <c r="CQ622" i="1"/>
  <c r="CQ623" i="1"/>
  <c r="CQ624" i="1"/>
  <c r="CQ625" i="1"/>
  <c r="CQ626" i="1"/>
  <c r="CQ627" i="1"/>
  <c r="CQ628" i="1"/>
  <c r="CQ629" i="1"/>
  <c r="DC629" i="1"/>
  <c r="DC628" i="1"/>
  <c r="DC627" i="1"/>
  <c r="DC626" i="1"/>
  <c r="DC625" i="1"/>
  <c r="DC624" i="1"/>
  <c r="DC623" i="1"/>
  <c r="DC622" i="1"/>
  <c r="DD622" i="1"/>
  <c r="DD623" i="1"/>
  <c r="DD624" i="1"/>
  <c r="DD625" i="1"/>
  <c r="DD626" i="1"/>
  <c r="DD627" i="1"/>
  <c r="DD628" i="1"/>
  <c r="DD629" i="1"/>
  <c r="CQ630" i="1"/>
  <c r="CQ631" i="1"/>
  <c r="CQ632" i="1"/>
  <c r="CQ633" i="1"/>
  <c r="CQ634" i="1"/>
  <c r="CQ635" i="1"/>
  <c r="CQ636" i="1"/>
  <c r="CQ637" i="1"/>
  <c r="CQ638" i="1"/>
  <c r="DC638" i="1"/>
  <c r="DC637" i="1"/>
  <c r="DC636" i="1"/>
  <c r="DC635" i="1"/>
  <c r="DC634" i="1"/>
  <c r="DC633" i="1"/>
  <c r="DC632" i="1"/>
  <c r="DC631" i="1"/>
  <c r="DD631" i="1"/>
  <c r="DD632" i="1"/>
  <c r="DD633" i="1"/>
  <c r="DD634" i="1"/>
  <c r="DD635" i="1"/>
  <c r="DD636" i="1"/>
  <c r="DD637" i="1"/>
  <c r="DD638" i="1"/>
  <c r="CQ639" i="1"/>
  <c r="CQ640" i="1"/>
  <c r="CQ641" i="1"/>
  <c r="CQ642" i="1"/>
  <c r="CQ643" i="1"/>
  <c r="CQ644" i="1"/>
  <c r="CQ645" i="1"/>
  <c r="CQ646" i="1"/>
  <c r="CQ647" i="1"/>
  <c r="DC647" i="1"/>
  <c r="DC646" i="1"/>
  <c r="DC645" i="1"/>
  <c r="DC644" i="1"/>
  <c r="DC643" i="1"/>
  <c r="DC642" i="1"/>
  <c r="DC641" i="1"/>
  <c r="DC640" i="1"/>
  <c r="DD640" i="1"/>
  <c r="DD641" i="1"/>
  <c r="DD642" i="1"/>
  <c r="DD643" i="1"/>
  <c r="DD644" i="1"/>
  <c r="DD645" i="1"/>
  <c r="DD646" i="1"/>
  <c r="DD647" i="1"/>
  <c r="CQ648" i="1"/>
  <c r="CQ649" i="1"/>
  <c r="CQ650" i="1"/>
  <c r="CQ651" i="1"/>
  <c r="CQ652" i="1"/>
  <c r="CQ653" i="1"/>
  <c r="CQ654" i="1"/>
  <c r="CQ655" i="1"/>
  <c r="DC655" i="1"/>
  <c r="DC654" i="1"/>
  <c r="DC653" i="1"/>
  <c r="DC652" i="1"/>
  <c r="DC651" i="1"/>
  <c r="DC650" i="1"/>
  <c r="DC649" i="1"/>
  <c r="DD649" i="1"/>
  <c r="DD650" i="1"/>
  <c r="DD651" i="1"/>
  <c r="DD652" i="1"/>
  <c r="DD653" i="1"/>
  <c r="DD654" i="1"/>
  <c r="DD655" i="1"/>
  <c r="CQ656" i="1"/>
  <c r="CQ657" i="1"/>
  <c r="CQ658" i="1"/>
  <c r="CQ659" i="1"/>
  <c r="CQ660" i="1"/>
  <c r="CQ661" i="1"/>
  <c r="CQ662" i="1"/>
  <c r="CQ663" i="1"/>
  <c r="CQ664" i="1"/>
  <c r="DC664" i="1"/>
  <c r="DC663" i="1"/>
  <c r="DC662" i="1"/>
  <c r="DC661" i="1"/>
  <c r="DC660" i="1"/>
  <c r="DC659" i="1"/>
  <c r="DC658" i="1"/>
  <c r="DC657" i="1"/>
  <c r="DD657" i="1"/>
  <c r="DD658" i="1"/>
  <c r="DD659" i="1"/>
  <c r="DD660" i="1"/>
  <c r="DD661" i="1"/>
  <c r="DD662" i="1"/>
  <c r="DD663" i="1"/>
  <c r="DD664" i="1"/>
  <c r="CQ665" i="1"/>
  <c r="CQ666" i="1"/>
  <c r="CQ667" i="1"/>
  <c r="CQ668" i="1"/>
  <c r="CQ669" i="1"/>
  <c r="CQ670" i="1"/>
  <c r="CQ671" i="1"/>
  <c r="CQ672" i="1"/>
  <c r="CQ673" i="1"/>
  <c r="DC673" i="1"/>
  <c r="DC672" i="1"/>
  <c r="DC671" i="1"/>
  <c r="DC670" i="1"/>
  <c r="DC669" i="1"/>
  <c r="DC668" i="1"/>
  <c r="DC667" i="1"/>
  <c r="DC666" i="1"/>
  <c r="DD666" i="1"/>
  <c r="DD667" i="1"/>
  <c r="DD668" i="1"/>
  <c r="DD669" i="1"/>
  <c r="DD670" i="1"/>
  <c r="DD671" i="1"/>
  <c r="DD672" i="1"/>
  <c r="DD673" i="1"/>
  <c r="CQ674" i="1"/>
  <c r="CQ675" i="1"/>
  <c r="CQ676" i="1"/>
  <c r="CQ677" i="1"/>
  <c r="CQ678" i="1"/>
  <c r="CQ679" i="1"/>
  <c r="CQ680" i="1"/>
  <c r="CQ681" i="1"/>
  <c r="CQ682" i="1"/>
  <c r="DC682" i="1"/>
  <c r="DC681" i="1"/>
  <c r="DC680" i="1"/>
  <c r="DC679" i="1"/>
  <c r="DC678" i="1"/>
  <c r="DC677" i="1"/>
  <c r="DC676" i="1"/>
  <c r="DC675" i="1"/>
  <c r="DD675" i="1"/>
  <c r="DD676" i="1"/>
  <c r="DD677" i="1"/>
  <c r="DD678" i="1"/>
  <c r="DD679" i="1"/>
  <c r="DD680" i="1"/>
  <c r="DD681" i="1"/>
  <c r="DD682" i="1"/>
  <c r="CQ683" i="1"/>
  <c r="CQ684" i="1"/>
  <c r="CQ685" i="1"/>
  <c r="CQ686" i="1"/>
  <c r="CQ687" i="1"/>
  <c r="CQ688" i="1"/>
  <c r="DC688" i="1"/>
  <c r="DC687" i="1"/>
  <c r="DC686" i="1"/>
  <c r="DC685" i="1"/>
  <c r="DC684" i="1"/>
  <c r="DD684" i="1"/>
  <c r="DD685" i="1"/>
  <c r="DD686" i="1"/>
  <c r="DD687" i="1"/>
  <c r="DD688" i="1"/>
  <c r="DC689" i="1"/>
  <c r="CQ689" i="1"/>
  <c r="DD689" i="1"/>
  <c r="CQ690" i="1"/>
  <c r="CQ691" i="1"/>
  <c r="DC691" i="1"/>
  <c r="DC690" i="1"/>
  <c r="DD690" i="1"/>
  <c r="DD691" i="1"/>
  <c r="CQ692" i="1"/>
  <c r="CQ693" i="1"/>
  <c r="CQ694" i="1"/>
  <c r="DC694" i="1"/>
  <c r="DC693" i="1"/>
  <c r="DD693" i="1"/>
  <c r="DD694" i="1"/>
  <c r="CQ695" i="1"/>
  <c r="CQ696" i="1"/>
  <c r="CQ697" i="1"/>
  <c r="DC697" i="1"/>
  <c r="DC696" i="1"/>
  <c r="DC695" i="1"/>
  <c r="DD695" i="1"/>
  <c r="DD696" i="1"/>
  <c r="DD697" i="1"/>
  <c r="CQ698" i="1"/>
  <c r="CQ699" i="1"/>
  <c r="CQ700" i="1"/>
  <c r="DC700" i="1"/>
  <c r="DC699" i="1"/>
  <c r="DC698" i="1"/>
  <c r="DD698" i="1"/>
  <c r="DD699" i="1"/>
  <c r="DD700" i="1"/>
  <c r="CQ701" i="1"/>
  <c r="CQ702" i="1"/>
  <c r="CQ703" i="1"/>
  <c r="DC703" i="1"/>
  <c r="DC702" i="1"/>
  <c r="DC701" i="1"/>
  <c r="DD701" i="1"/>
  <c r="DD702" i="1"/>
  <c r="DD703" i="1"/>
  <c r="CQ704" i="1"/>
  <c r="CQ705" i="1"/>
  <c r="CQ706" i="1"/>
  <c r="CQ707" i="1"/>
  <c r="CQ708" i="1"/>
  <c r="DC708" i="1"/>
  <c r="DC707" i="1"/>
  <c r="DC706" i="1"/>
  <c r="DC705" i="1"/>
  <c r="DC704" i="1"/>
  <c r="DD704" i="1"/>
  <c r="DD705" i="1"/>
  <c r="DD706" i="1"/>
  <c r="DD707" i="1"/>
  <c r="DD708" i="1"/>
  <c r="CQ709" i="1"/>
  <c r="CQ710" i="1"/>
  <c r="CQ711" i="1"/>
  <c r="CQ712" i="1"/>
  <c r="CQ713" i="1"/>
  <c r="CQ714" i="1"/>
  <c r="CQ715" i="1"/>
  <c r="CQ716" i="1"/>
  <c r="DC716" i="1"/>
  <c r="DC715" i="1"/>
  <c r="DC714" i="1"/>
  <c r="DC713" i="1"/>
  <c r="DC712" i="1"/>
  <c r="DC711" i="1"/>
  <c r="DC710" i="1"/>
  <c r="DD710" i="1"/>
  <c r="DD711" i="1"/>
  <c r="DD712" i="1"/>
  <c r="DD713" i="1"/>
  <c r="DD714" i="1"/>
  <c r="DD715" i="1"/>
  <c r="DD716" i="1"/>
  <c r="CQ717" i="1"/>
  <c r="CQ718" i="1"/>
  <c r="CQ719" i="1"/>
  <c r="CQ720" i="1"/>
  <c r="CQ721" i="1"/>
  <c r="CQ722" i="1"/>
  <c r="CQ723" i="1"/>
  <c r="CQ724" i="1"/>
  <c r="DC724" i="1"/>
  <c r="DC723" i="1"/>
  <c r="DC722" i="1"/>
  <c r="DC721" i="1"/>
  <c r="DC720" i="1"/>
  <c r="DC719" i="1"/>
  <c r="DC718" i="1"/>
  <c r="DD718" i="1"/>
  <c r="DD719" i="1"/>
  <c r="DD720" i="1"/>
  <c r="DD721" i="1"/>
  <c r="DD722" i="1"/>
  <c r="DD723" i="1"/>
  <c r="DD724" i="1"/>
  <c r="CQ725" i="1"/>
  <c r="DC725" i="1"/>
  <c r="DD725" i="1"/>
  <c r="CQ726" i="1"/>
  <c r="CQ727" i="1"/>
  <c r="CQ728" i="1"/>
  <c r="CQ729" i="1"/>
  <c r="CQ730" i="1"/>
  <c r="CQ731" i="1"/>
  <c r="CQ732" i="1"/>
  <c r="CQ733" i="1"/>
  <c r="CQ734" i="1"/>
  <c r="DC734" i="1"/>
  <c r="DC733" i="1"/>
  <c r="DC732" i="1"/>
  <c r="DC731" i="1"/>
  <c r="DC730" i="1"/>
  <c r="DC729" i="1"/>
  <c r="DC728" i="1"/>
  <c r="DC727" i="1"/>
  <c r="DD727" i="1"/>
  <c r="DD728" i="1"/>
  <c r="DD729" i="1"/>
  <c r="DD730" i="1"/>
  <c r="DD731" i="1"/>
  <c r="DD732" i="1"/>
  <c r="DD733" i="1"/>
  <c r="DD734" i="1"/>
  <c r="CQ735" i="1"/>
  <c r="CQ736" i="1"/>
  <c r="CQ737" i="1"/>
  <c r="CQ738" i="1"/>
  <c r="CQ739" i="1"/>
  <c r="CQ740" i="1"/>
  <c r="CQ741" i="1"/>
  <c r="CQ742" i="1"/>
  <c r="CQ743" i="1"/>
  <c r="DC743" i="1"/>
  <c r="DC742" i="1"/>
  <c r="DC741" i="1"/>
  <c r="DC740" i="1"/>
  <c r="DC739" i="1"/>
  <c r="DC738" i="1"/>
  <c r="DC737" i="1"/>
  <c r="DC736" i="1"/>
  <c r="DD736" i="1"/>
  <c r="DD737" i="1"/>
  <c r="DD738" i="1"/>
  <c r="DD739" i="1"/>
  <c r="DD740" i="1"/>
  <c r="DD741" i="1"/>
  <c r="DD742" i="1"/>
  <c r="DD743" i="1"/>
  <c r="CQ744" i="1"/>
  <c r="CQ745" i="1"/>
  <c r="CQ746" i="1"/>
  <c r="CQ747" i="1"/>
  <c r="CQ748" i="1"/>
  <c r="CQ749" i="1"/>
  <c r="CQ750" i="1"/>
  <c r="CQ751" i="1"/>
  <c r="CQ752" i="1"/>
  <c r="DC752" i="1"/>
  <c r="DC751" i="1"/>
  <c r="DC750" i="1"/>
  <c r="DC749" i="1"/>
  <c r="DC748" i="1"/>
  <c r="DC747" i="1"/>
  <c r="DC746" i="1"/>
  <c r="DC745" i="1"/>
  <c r="DD745" i="1"/>
  <c r="DD746" i="1"/>
  <c r="DD747" i="1"/>
  <c r="DD748" i="1"/>
  <c r="DD749" i="1"/>
  <c r="DD750" i="1"/>
  <c r="DD751" i="1"/>
  <c r="DD752" i="1"/>
  <c r="CQ753" i="1"/>
  <c r="CQ754" i="1"/>
  <c r="CQ755" i="1"/>
  <c r="CQ756" i="1"/>
  <c r="CQ757" i="1"/>
  <c r="CQ758" i="1"/>
  <c r="CQ759" i="1"/>
  <c r="CQ760" i="1"/>
  <c r="CQ761" i="1"/>
  <c r="DC761" i="1"/>
  <c r="DC760" i="1"/>
  <c r="DC759" i="1"/>
  <c r="DC758" i="1"/>
  <c r="DC757" i="1"/>
  <c r="DC756" i="1"/>
  <c r="DC755" i="1"/>
  <c r="DC754" i="1"/>
  <c r="DD754" i="1"/>
  <c r="DD755" i="1"/>
  <c r="DD756" i="1"/>
  <c r="DD757" i="1"/>
  <c r="DD758" i="1"/>
  <c r="DD759" i="1"/>
  <c r="DD760" i="1"/>
  <c r="DD761" i="1"/>
  <c r="CQ762" i="1"/>
  <c r="CQ763" i="1"/>
  <c r="CQ764" i="1"/>
  <c r="CQ765" i="1"/>
  <c r="CQ766" i="1"/>
  <c r="CQ767" i="1"/>
  <c r="CQ768" i="1"/>
  <c r="CQ769" i="1"/>
  <c r="CQ770" i="1"/>
  <c r="DC770" i="1"/>
  <c r="DC769" i="1"/>
  <c r="DC768" i="1"/>
  <c r="DC767" i="1"/>
  <c r="DC766" i="1"/>
  <c r="DC765" i="1"/>
  <c r="DC764" i="1"/>
  <c r="DC763" i="1"/>
  <c r="DD763" i="1"/>
  <c r="DD764" i="1"/>
  <c r="DD765" i="1"/>
  <c r="DD766" i="1"/>
  <c r="DD767" i="1"/>
  <c r="DD768" i="1"/>
  <c r="DD769" i="1"/>
  <c r="DD770" i="1"/>
  <c r="CQ771" i="1"/>
  <c r="CQ772" i="1"/>
  <c r="CQ773" i="1"/>
  <c r="CQ774" i="1"/>
  <c r="CQ775" i="1"/>
  <c r="CQ776" i="1"/>
  <c r="CQ777" i="1"/>
  <c r="CQ778" i="1"/>
  <c r="CQ779" i="1"/>
  <c r="DC779" i="1"/>
  <c r="DC778" i="1"/>
  <c r="DC777" i="1"/>
  <c r="DC776" i="1"/>
  <c r="DC775" i="1"/>
  <c r="DC774" i="1"/>
  <c r="DC773" i="1"/>
  <c r="DC772" i="1"/>
  <c r="DD772" i="1"/>
  <c r="DD773" i="1"/>
  <c r="DD774" i="1"/>
  <c r="DD775" i="1"/>
  <c r="DD776" i="1"/>
  <c r="DD777" i="1"/>
  <c r="DD778" i="1"/>
  <c r="DD779" i="1"/>
  <c r="CQ780" i="1"/>
  <c r="CQ781" i="1"/>
  <c r="CQ782" i="1"/>
  <c r="CQ783" i="1"/>
  <c r="CQ784" i="1"/>
  <c r="DC784" i="1"/>
  <c r="DC783" i="1"/>
  <c r="DC782" i="1"/>
  <c r="DC781" i="1"/>
  <c r="DD781" i="1"/>
  <c r="DD782" i="1"/>
  <c r="DD783" i="1"/>
  <c r="DD784" i="1"/>
  <c r="CQ785" i="1"/>
  <c r="CQ786" i="1"/>
  <c r="DC786" i="1"/>
  <c r="DD786" i="1"/>
  <c r="CQ787" i="1"/>
  <c r="DC787" i="1"/>
  <c r="DD787" i="1"/>
  <c r="CQ788" i="1"/>
  <c r="CQ789" i="1"/>
  <c r="CQ790" i="1"/>
  <c r="CQ791" i="1"/>
  <c r="CQ792" i="1"/>
  <c r="CQ793" i="1"/>
  <c r="CQ794" i="1"/>
  <c r="CQ795" i="1"/>
  <c r="CQ796" i="1"/>
  <c r="DC796" i="1"/>
  <c r="DC795" i="1"/>
  <c r="DC794" i="1"/>
  <c r="DC793" i="1"/>
  <c r="DC792" i="1"/>
  <c r="DC791" i="1"/>
  <c r="DC790" i="1"/>
  <c r="DC789" i="1"/>
  <c r="DD789" i="1"/>
  <c r="DD790" i="1"/>
  <c r="DD791" i="1"/>
  <c r="DD792" i="1"/>
  <c r="DD793" i="1"/>
  <c r="DD794" i="1"/>
  <c r="DD795" i="1"/>
  <c r="DD796" i="1"/>
  <c r="CQ797" i="1"/>
  <c r="CQ798" i="1"/>
  <c r="CQ799" i="1"/>
  <c r="CQ800" i="1"/>
  <c r="CQ801" i="1"/>
  <c r="CQ802" i="1"/>
  <c r="CQ803" i="1"/>
  <c r="CQ804" i="1"/>
  <c r="CQ805" i="1"/>
  <c r="DC805" i="1"/>
  <c r="DC804" i="1"/>
  <c r="DC803" i="1"/>
  <c r="DC802" i="1"/>
  <c r="DC801" i="1"/>
  <c r="DC800" i="1"/>
  <c r="DC799" i="1"/>
  <c r="DC798" i="1"/>
  <c r="DD798" i="1"/>
  <c r="DD799" i="1"/>
  <c r="DD800" i="1"/>
  <c r="DD801" i="1"/>
  <c r="DD802" i="1"/>
  <c r="DD803" i="1"/>
  <c r="DD804" i="1"/>
  <c r="DD805" i="1"/>
  <c r="CQ806" i="1"/>
  <c r="CQ807" i="1"/>
  <c r="CQ808" i="1"/>
  <c r="CQ809" i="1"/>
  <c r="CQ810" i="1"/>
  <c r="CQ811" i="1"/>
  <c r="CQ812" i="1"/>
  <c r="CQ813" i="1"/>
  <c r="DC813" i="1"/>
  <c r="DC812" i="1"/>
  <c r="DC811" i="1"/>
  <c r="DC810" i="1"/>
  <c r="DC809" i="1"/>
  <c r="DC808" i="1"/>
  <c r="DC807" i="1"/>
  <c r="DD807" i="1"/>
  <c r="DD808" i="1"/>
  <c r="DD809" i="1"/>
  <c r="DD810" i="1"/>
  <c r="DD811" i="1"/>
  <c r="DD812" i="1"/>
  <c r="DD813" i="1"/>
  <c r="CQ814" i="1"/>
  <c r="CQ815" i="1"/>
  <c r="CQ816" i="1"/>
  <c r="CQ817" i="1"/>
  <c r="CQ818" i="1"/>
  <c r="CQ819" i="1"/>
  <c r="CQ820" i="1"/>
  <c r="CQ821" i="1"/>
  <c r="DC821" i="1"/>
  <c r="DC820" i="1"/>
  <c r="DC819" i="1"/>
  <c r="DC818" i="1"/>
  <c r="DC817" i="1"/>
  <c r="DC816" i="1"/>
  <c r="DC815" i="1"/>
  <c r="DD815" i="1"/>
  <c r="DD816" i="1"/>
  <c r="DD817" i="1"/>
  <c r="DD818" i="1"/>
  <c r="DD819" i="1"/>
  <c r="DD820" i="1"/>
  <c r="DD821" i="1"/>
  <c r="CQ822" i="1"/>
  <c r="CQ823" i="1"/>
  <c r="CQ824" i="1"/>
  <c r="CQ825" i="1"/>
  <c r="CQ826" i="1"/>
  <c r="CQ827" i="1"/>
  <c r="CQ828" i="1"/>
  <c r="CQ829" i="1"/>
  <c r="DC829" i="1"/>
  <c r="DC828" i="1"/>
  <c r="DC827" i="1"/>
  <c r="DC826" i="1"/>
  <c r="DC825" i="1"/>
  <c r="DC824" i="1"/>
  <c r="DC823" i="1"/>
  <c r="DD823" i="1"/>
  <c r="DD824" i="1"/>
  <c r="DD825" i="1"/>
  <c r="DD826" i="1"/>
  <c r="DD827" i="1"/>
  <c r="DD828" i="1"/>
  <c r="DD829" i="1"/>
  <c r="CQ830" i="1"/>
  <c r="CQ831" i="1"/>
  <c r="CQ832" i="1"/>
  <c r="CQ833" i="1"/>
  <c r="CQ834" i="1"/>
  <c r="CQ835" i="1"/>
  <c r="CQ836" i="1"/>
  <c r="CQ837" i="1"/>
  <c r="CQ838" i="1"/>
  <c r="DC838" i="1"/>
  <c r="DC837" i="1"/>
  <c r="DC836" i="1"/>
  <c r="DC835" i="1"/>
  <c r="DC834" i="1"/>
  <c r="DC833" i="1"/>
  <c r="DC832" i="1"/>
  <c r="DC831" i="1"/>
  <c r="DD831" i="1"/>
  <c r="DD832" i="1"/>
  <c r="DD833" i="1"/>
  <c r="DD834" i="1"/>
  <c r="DD835" i="1"/>
  <c r="DD836" i="1"/>
  <c r="DD837" i="1"/>
  <c r="DD838" i="1"/>
  <c r="CQ839" i="1"/>
  <c r="CQ840" i="1"/>
  <c r="CQ841" i="1"/>
  <c r="CQ842" i="1"/>
  <c r="CQ843" i="1"/>
  <c r="CQ844" i="1"/>
  <c r="CQ845" i="1"/>
  <c r="CQ846" i="1"/>
  <c r="CQ847" i="1"/>
  <c r="DC847" i="1"/>
  <c r="DC846" i="1"/>
  <c r="DC845" i="1"/>
  <c r="DC844" i="1"/>
  <c r="DC843" i="1"/>
  <c r="DC842" i="1"/>
  <c r="DC841" i="1"/>
  <c r="DC840" i="1"/>
  <c r="DD840" i="1"/>
  <c r="DD841" i="1"/>
  <c r="DD842" i="1"/>
  <c r="DD843" i="1"/>
  <c r="DD844" i="1"/>
  <c r="DD845" i="1"/>
  <c r="DD846" i="1"/>
  <c r="DD847" i="1"/>
  <c r="CQ848" i="1"/>
  <c r="CQ849" i="1"/>
  <c r="CQ850" i="1"/>
  <c r="CQ851" i="1"/>
  <c r="CQ852" i="1"/>
  <c r="CQ853" i="1"/>
  <c r="CQ854" i="1"/>
  <c r="CQ855" i="1"/>
  <c r="CQ856" i="1"/>
  <c r="DC856" i="1"/>
  <c r="DC855" i="1"/>
  <c r="DC854" i="1"/>
  <c r="DC853" i="1"/>
  <c r="DC852" i="1"/>
  <c r="DC851" i="1"/>
  <c r="DC850" i="1"/>
  <c r="DC849" i="1"/>
  <c r="DD849" i="1"/>
  <c r="DD850" i="1"/>
  <c r="DD851" i="1"/>
  <c r="DD852" i="1"/>
  <c r="DD853" i="1"/>
  <c r="DD854" i="1"/>
  <c r="DD855" i="1"/>
  <c r="DD856" i="1"/>
  <c r="CQ857" i="1"/>
  <c r="CQ858" i="1"/>
  <c r="CQ859" i="1"/>
  <c r="CQ860" i="1"/>
  <c r="CQ861" i="1"/>
  <c r="CQ862" i="1"/>
  <c r="CQ863" i="1"/>
  <c r="CQ864" i="1"/>
  <c r="CQ865" i="1"/>
  <c r="DC865" i="1"/>
  <c r="DC864" i="1"/>
  <c r="DC863" i="1"/>
  <c r="DC862" i="1"/>
  <c r="DC861" i="1"/>
  <c r="DC860" i="1"/>
  <c r="DC859" i="1"/>
  <c r="DC858" i="1"/>
  <c r="DD858" i="1"/>
  <c r="DD859" i="1"/>
  <c r="DD860" i="1"/>
  <c r="DD861" i="1"/>
  <c r="DD862" i="1"/>
  <c r="DD863" i="1"/>
  <c r="DD864" i="1"/>
  <c r="DD865" i="1"/>
  <c r="CQ866" i="1"/>
  <c r="CQ867" i="1"/>
  <c r="CQ868" i="1"/>
  <c r="CQ869" i="1"/>
  <c r="CQ870" i="1"/>
  <c r="CQ871" i="1"/>
  <c r="CQ872" i="1"/>
  <c r="CQ873" i="1"/>
  <c r="CQ874" i="1"/>
  <c r="DC874" i="1"/>
  <c r="DC873" i="1"/>
  <c r="DC872" i="1"/>
  <c r="DC871" i="1"/>
  <c r="DC870" i="1"/>
  <c r="DC869" i="1"/>
  <c r="DC868" i="1"/>
  <c r="DC867" i="1"/>
  <c r="DD867" i="1"/>
  <c r="DD868" i="1"/>
  <c r="DD869" i="1"/>
  <c r="DD870" i="1"/>
  <c r="DD871" i="1"/>
  <c r="DD872" i="1"/>
  <c r="DD873" i="1"/>
  <c r="DD874" i="1"/>
  <c r="CQ875" i="1"/>
  <c r="CQ876" i="1"/>
  <c r="CQ877" i="1"/>
  <c r="CQ878" i="1"/>
  <c r="CQ879" i="1"/>
  <c r="CQ880" i="1"/>
  <c r="CQ881" i="1"/>
  <c r="CQ882" i="1"/>
  <c r="CQ883" i="1"/>
  <c r="DC883" i="1"/>
  <c r="DC882" i="1"/>
  <c r="DC881" i="1"/>
  <c r="DC880" i="1"/>
  <c r="DC879" i="1"/>
  <c r="DC878" i="1"/>
  <c r="DC877" i="1"/>
  <c r="DC876" i="1"/>
  <c r="DD876" i="1"/>
  <c r="DD877" i="1"/>
  <c r="DD878" i="1"/>
  <c r="DD879" i="1"/>
  <c r="DD880" i="1"/>
  <c r="DD881" i="1"/>
  <c r="DD882" i="1"/>
  <c r="DD883" i="1"/>
  <c r="CQ884" i="1"/>
  <c r="CQ885" i="1"/>
  <c r="CQ886" i="1"/>
  <c r="CQ887" i="1"/>
  <c r="CQ888" i="1"/>
  <c r="CQ889" i="1"/>
  <c r="CQ890" i="1"/>
  <c r="CQ891" i="1"/>
  <c r="CQ892" i="1"/>
  <c r="DC892" i="1"/>
  <c r="DC891" i="1"/>
  <c r="DC890" i="1"/>
  <c r="DC889" i="1"/>
  <c r="DC888" i="1"/>
  <c r="DC887" i="1"/>
  <c r="DC886" i="1"/>
  <c r="DC885" i="1"/>
  <c r="DD885" i="1"/>
  <c r="DD886" i="1"/>
  <c r="DD887" i="1"/>
  <c r="DD888" i="1"/>
  <c r="DD889" i="1"/>
  <c r="DD890" i="1"/>
  <c r="DD891" i="1"/>
  <c r="DD892" i="1"/>
  <c r="CQ893" i="1"/>
  <c r="CQ894" i="1"/>
  <c r="CQ895" i="1"/>
  <c r="DC895" i="1"/>
  <c r="DC894" i="1"/>
  <c r="DD894" i="1"/>
  <c r="DD895" i="1"/>
  <c r="CQ896" i="1"/>
  <c r="CQ897" i="1"/>
  <c r="CQ898" i="1"/>
  <c r="CQ899" i="1"/>
  <c r="CQ900" i="1"/>
  <c r="DC900" i="1"/>
  <c r="DC899" i="1"/>
  <c r="DC898" i="1"/>
  <c r="DC897" i="1"/>
  <c r="DC896" i="1"/>
  <c r="DD896" i="1"/>
  <c r="DD897" i="1"/>
  <c r="DD898" i="1"/>
  <c r="DD899" i="1"/>
  <c r="DD900" i="1"/>
  <c r="CQ901" i="1"/>
  <c r="CQ902" i="1"/>
  <c r="CQ903" i="1"/>
  <c r="CQ904" i="1"/>
  <c r="CQ905" i="1"/>
  <c r="CQ906" i="1"/>
  <c r="CQ907" i="1"/>
  <c r="CQ908" i="1"/>
  <c r="CQ909" i="1"/>
  <c r="DC909" i="1"/>
  <c r="DC908" i="1"/>
  <c r="DC907" i="1"/>
  <c r="DC906" i="1"/>
  <c r="DC905" i="1"/>
  <c r="DC904" i="1"/>
  <c r="DC903" i="1"/>
  <c r="DC902" i="1"/>
  <c r="DD902" i="1"/>
  <c r="DD903" i="1"/>
  <c r="DD904" i="1"/>
  <c r="DD905" i="1"/>
  <c r="DD906" i="1"/>
  <c r="DD907" i="1"/>
  <c r="DD908" i="1"/>
  <c r="DD909" i="1"/>
  <c r="CQ910" i="1"/>
  <c r="CQ911" i="1"/>
  <c r="CQ912" i="1"/>
  <c r="CQ913" i="1"/>
  <c r="CQ914" i="1"/>
  <c r="CQ915" i="1"/>
  <c r="CQ916" i="1"/>
  <c r="CQ917" i="1"/>
  <c r="CQ918" i="1"/>
  <c r="DC918" i="1"/>
  <c r="DC917" i="1"/>
  <c r="DC916" i="1"/>
  <c r="DC915" i="1"/>
  <c r="DC914" i="1"/>
  <c r="DC913" i="1"/>
  <c r="DC912" i="1"/>
  <c r="DC911" i="1"/>
  <c r="DD911" i="1"/>
  <c r="DD912" i="1"/>
  <c r="DD913" i="1"/>
  <c r="DD914" i="1"/>
  <c r="DD915" i="1"/>
  <c r="DD916" i="1"/>
  <c r="DD917" i="1"/>
  <c r="DD918" i="1"/>
  <c r="CQ919" i="1"/>
  <c r="CQ920" i="1"/>
  <c r="CQ921" i="1"/>
  <c r="CQ922" i="1"/>
  <c r="CQ923" i="1"/>
  <c r="CQ924" i="1"/>
  <c r="CQ925" i="1"/>
  <c r="CQ926" i="1"/>
  <c r="DC926" i="1"/>
  <c r="DC925" i="1"/>
  <c r="DC924" i="1"/>
  <c r="DC923" i="1"/>
  <c r="DC922" i="1"/>
  <c r="DC921" i="1"/>
  <c r="DC920" i="1"/>
  <c r="DD920" i="1"/>
  <c r="DD921" i="1"/>
  <c r="DD922" i="1"/>
  <c r="DD923" i="1"/>
  <c r="DD924" i="1"/>
  <c r="DD925" i="1"/>
  <c r="DD926" i="1"/>
  <c r="CQ927" i="1"/>
  <c r="CQ928" i="1"/>
  <c r="CQ929" i="1"/>
  <c r="CQ930" i="1"/>
  <c r="CQ931" i="1"/>
  <c r="CQ932" i="1"/>
  <c r="CQ933" i="1"/>
  <c r="DC933" i="1"/>
  <c r="DC932" i="1"/>
  <c r="DC931" i="1"/>
  <c r="DC930" i="1"/>
  <c r="DC929" i="1"/>
  <c r="DC928" i="1"/>
  <c r="DD928" i="1"/>
  <c r="DD929" i="1"/>
  <c r="DD930" i="1"/>
  <c r="DD931" i="1"/>
  <c r="DD932" i="1"/>
  <c r="DD933" i="1"/>
  <c r="CQ934" i="1"/>
  <c r="CQ935" i="1"/>
  <c r="CQ936" i="1"/>
  <c r="CQ937" i="1"/>
  <c r="CQ938" i="1"/>
  <c r="CQ939" i="1"/>
  <c r="CQ940" i="1"/>
  <c r="CQ941" i="1"/>
  <c r="CQ942" i="1"/>
  <c r="DC942" i="1"/>
  <c r="DC941" i="1"/>
  <c r="DC940" i="1"/>
  <c r="DC939" i="1"/>
  <c r="DC938" i="1"/>
  <c r="DC937" i="1"/>
  <c r="DC936" i="1"/>
  <c r="DC935" i="1"/>
  <c r="DD935" i="1"/>
  <c r="DD936" i="1"/>
  <c r="DD937" i="1"/>
  <c r="DD938" i="1"/>
  <c r="DD939" i="1"/>
  <c r="DD940" i="1"/>
  <c r="DD941" i="1"/>
  <c r="DD942" i="1"/>
  <c r="CQ943" i="1"/>
  <c r="CQ944" i="1"/>
  <c r="CQ945" i="1"/>
  <c r="CQ946" i="1"/>
  <c r="CQ947" i="1"/>
  <c r="CQ948" i="1"/>
  <c r="CQ949" i="1"/>
  <c r="DC949" i="1"/>
  <c r="DC948" i="1"/>
  <c r="DC947" i="1"/>
  <c r="DC946" i="1"/>
  <c r="DC945" i="1"/>
  <c r="DC944" i="1"/>
  <c r="DC943" i="1"/>
  <c r="DD943" i="1"/>
  <c r="DD944" i="1"/>
  <c r="DD945" i="1"/>
  <c r="DD946" i="1"/>
  <c r="DD947" i="1"/>
  <c r="DD948" i="1"/>
  <c r="DD949" i="1"/>
  <c r="CQ950" i="1"/>
  <c r="CQ951" i="1"/>
  <c r="CQ952" i="1"/>
  <c r="DC952" i="1"/>
  <c r="DC951" i="1"/>
  <c r="DD951" i="1"/>
  <c r="DD952" i="1"/>
  <c r="CQ953" i="1"/>
  <c r="CQ954" i="1"/>
  <c r="CQ955" i="1"/>
  <c r="CQ956" i="1"/>
  <c r="CQ957" i="1"/>
  <c r="CQ958" i="1"/>
  <c r="CQ959" i="1"/>
  <c r="CQ960" i="1"/>
  <c r="DC960" i="1"/>
  <c r="DC959" i="1"/>
  <c r="DC958" i="1"/>
  <c r="DC957" i="1"/>
  <c r="DC956" i="1"/>
  <c r="DC955" i="1"/>
  <c r="DC954" i="1"/>
  <c r="DD954" i="1"/>
  <c r="DD955" i="1"/>
  <c r="DD956" i="1"/>
  <c r="DD957" i="1"/>
  <c r="DD958" i="1"/>
  <c r="DD959" i="1"/>
  <c r="DD960" i="1"/>
  <c r="CQ961" i="1"/>
  <c r="CQ962" i="1"/>
  <c r="CQ963" i="1"/>
  <c r="CQ964" i="1"/>
  <c r="CQ965" i="1"/>
  <c r="CQ966" i="1"/>
  <c r="CQ967" i="1"/>
  <c r="DC967" i="1"/>
  <c r="DC966" i="1"/>
  <c r="DC965" i="1"/>
  <c r="DC964" i="1"/>
  <c r="DC963" i="1"/>
  <c r="DC962" i="1"/>
  <c r="DD962" i="1"/>
  <c r="DD963" i="1"/>
  <c r="DD964" i="1"/>
  <c r="DD965" i="1"/>
  <c r="DD966" i="1"/>
  <c r="DD967" i="1"/>
  <c r="CQ968" i="1"/>
  <c r="CQ969" i="1"/>
  <c r="CQ970" i="1"/>
  <c r="CQ971" i="1"/>
  <c r="DC971" i="1"/>
  <c r="DC970" i="1"/>
  <c r="DD970" i="1"/>
  <c r="DD971" i="1"/>
  <c r="CQ972" i="1"/>
  <c r="CQ973" i="1"/>
  <c r="CQ974" i="1"/>
  <c r="CQ975" i="1"/>
  <c r="CQ976" i="1"/>
  <c r="CQ977" i="1"/>
  <c r="DC977" i="1"/>
  <c r="DC976" i="1"/>
  <c r="DC975" i="1"/>
  <c r="DC974" i="1"/>
  <c r="DC973" i="1"/>
  <c r="DC972" i="1"/>
  <c r="DD972" i="1"/>
  <c r="DD973" i="1"/>
  <c r="DD974" i="1"/>
  <c r="DD975" i="1"/>
  <c r="DD976" i="1"/>
  <c r="DD977" i="1"/>
  <c r="CQ978" i="1"/>
  <c r="CQ979" i="1"/>
  <c r="DC979" i="1"/>
  <c r="DD979" i="1"/>
  <c r="CQ980" i="1"/>
  <c r="CQ981" i="1"/>
  <c r="CQ982" i="1"/>
  <c r="DC982" i="1"/>
  <c r="DC981" i="1"/>
  <c r="DC980" i="1"/>
  <c r="DD980" i="1"/>
  <c r="DD981" i="1"/>
  <c r="DD982" i="1"/>
  <c r="CQ983" i="1"/>
  <c r="CQ984" i="1"/>
  <c r="CQ985" i="1"/>
  <c r="CQ986" i="1"/>
  <c r="CQ987" i="1"/>
  <c r="CQ988" i="1"/>
  <c r="CQ989" i="1"/>
  <c r="CQ990" i="1"/>
  <c r="DC990" i="1"/>
  <c r="DC989" i="1"/>
  <c r="DC988" i="1"/>
  <c r="DC987" i="1"/>
  <c r="DC986" i="1"/>
  <c r="DC985" i="1"/>
  <c r="DC984" i="1"/>
  <c r="DD984" i="1"/>
  <c r="DD985" i="1"/>
  <c r="DD986" i="1"/>
  <c r="DD987" i="1"/>
  <c r="DD988" i="1"/>
  <c r="DD989" i="1"/>
  <c r="DD990" i="1"/>
  <c r="CQ991" i="1"/>
  <c r="CQ992" i="1"/>
  <c r="CQ993" i="1"/>
  <c r="CQ994" i="1"/>
  <c r="CQ995" i="1"/>
  <c r="DC995" i="1"/>
  <c r="DC994" i="1"/>
  <c r="DC993" i="1"/>
  <c r="DC992" i="1"/>
  <c r="DD992" i="1"/>
  <c r="DD993" i="1"/>
  <c r="DD994" i="1"/>
  <c r="DD995" i="1"/>
  <c r="CQ996" i="1"/>
  <c r="CQ997" i="1"/>
  <c r="DC997" i="1"/>
  <c r="DC996" i="1"/>
  <c r="DD996" i="1"/>
  <c r="DD997" i="1"/>
  <c r="CQ998" i="1"/>
  <c r="CQ999" i="1"/>
  <c r="CQ1000" i="1"/>
  <c r="CQ1001" i="1"/>
  <c r="CQ1002" i="1"/>
  <c r="DC1002" i="1"/>
  <c r="DC1001" i="1"/>
  <c r="DC1000" i="1"/>
  <c r="DC999" i="1"/>
  <c r="DD999" i="1"/>
  <c r="DD1000" i="1"/>
  <c r="DD1001" i="1"/>
  <c r="DD1002" i="1"/>
  <c r="CQ1003" i="1"/>
  <c r="CQ1004" i="1"/>
  <c r="CQ1005" i="1"/>
  <c r="DC1005" i="1"/>
  <c r="DC1004" i="1"/>
  <c r="DD1004" i="1"/>
  <c r="DD1005" i="1"/>
  <c r="CQ1006" i="1"/>
  <c r="CQ1007" i="1"/>
  <c r="CQ1008" i="1"/>
  <c r="DC1008" i="1"/>
  <c r="DC1007" i="1"/>
  <c r="DC1006" i="1"/>
  <c r="DD1006" i="1"/>
  <c r="DD1007" i="1"/>
  <c r="DD1008" i="1"/>
  <c r="CQ1009" i="1"/>
  <c r="CQ1010" i="1"/>
  <c r="CQ1011" i="1"/>
  <c r="CQ1012" i="1"/>
  <c r="DC1012" i="1"/>
  <c r="DC1011" i="1"/>
  <c r="DC1010" i="1"/>
  <c r="DC1009" i="1"/>
  <c r="DD1009" i="1"/>
  <c r="DD1010" i="1"/>
  <c r="DD1011" i="1"/>
  <c r="DD1012" i="1"/>
  <c r="CQ1013" i="1"/>
  <c r="CQ1014" i="1"/>
  <c r="CQ1015" i="1"/>
  <c r="CQ1016" i="1"/>
  <c r="CQ1017" i="1"/>
  <c r="CQ1018" i="1"/>
  <c r="DC1018" i="1"/>
  <c r="DC1017" i="1"/>
  <c r="DC1016" i="1"/>
  <c r="DC1015" i="1"/>
  <c r="DC1014" i="1"/>
  <c r="DD1014" i="1"/>
  <c r="DD1015" i="1"/>
  <c r="DD1016" i="1"/>
  <c r="DD1017" i="1"/>
  <c r="DD1018" i="1"/>
  <c r="CQ1019" i="1"/>
  <c r="CQ1020" i="1"/>
  <c r="DC1020" i="1"/>
  <c r="DC1019" i="1"/>
  <c r="DD1019" i="1"/>
  <c r="DD1020" i="1"/>
  <c r="CQ1021" i="1"/>
  <c r="CQ1022" i="1"/>
  <c r="DC1022" i="1"/>
  <c r="DD1022" i="1"/>
  <c r="CQ1023" i="1"/>
  <c r="CQ1024" i="1"/>
  <c r="CQ1025" i="1"/>
  <c r="CQ1026" i="1"/>
  <c r="CQ1027" i="1"/>
  <c r="DC1027" i="1"/>
  <c r="DC1026" i="1"/>
  <c r="DC1025" i="1"/>
  <c r="DC1024" i="1"/>
  <c r="DD1024" i="1"/>
  <c r="DD1025" i="1"/>
  <c r="DD1026" i="1"/>
  <c r="DD1027" i="1"/>
  <c r="CQ1028" i="1"/>
  <c r="DC1028" i="1"/>
  <c r="DD1028" i="1"/>
  <c r="CQ1029" i="1"/>
  <c r="CQ1030" i="1"/>
  <c r="DC1030" i="1"/>
  <c r="DC1029" i="1"/>
  <c r="DD1029" i="1"/>
  <c r="DD1030" i="1"/>
  <c r="CQ1031" i="1"/>
  <c r="CQ1032" i="1"/>
  <c r="CQ1033" i="1"/>
  <c r="CQ1034" i="1"/>
  <c r="CQ1035" i="1"/>
  <c r="CQ1036" i="1"/>
  <c r="DC1036" i="1"/>
  <c r="DC1035" i="1"/>
  <c r="DC1034" i="1"/>
  <c r="DC1033" i="1"/>
  <c r="DC1032" i="1"/>
  <c r="DC1031" i="1"/>
  <c r="DD1031" i="1"/>
  <c r="DD1032" i="1"/>
  <c r="DD1033" i="1"/>
  <c r="DD1034" i="1"/>
  <c r="DD1035" i="1"/>
  <c r="DD1036" i="1"/>
  <c r="CQ1037" i="1"/>
  <c r="CQ1038" i="1"/>
  <c r="DC1038" i="1"/>
  <c r="DD1038" i="1"/>
  <c r="CQ1039" i="1"/>
  <c r="CQ1040" i="1"/>
  <c r="CQ1041" i="1"/>
  <c r="DC1041" i="1"/>
  <c r="DC1040" i="1"/>
  <c r="DC1039" i="1"/>
  <c r="DD1039" i="1"/>
  <c r="DD1040" i="1"/>
  <c r="DD1041" i="1"/>
  <c r="CQ1042" i="1"/>
  <c r="DC1042" i="1"/>
  <c r="DD1042" i="1"/>
  <c r="CQ1043" i="1"/>
  <c r="CQ1044" i="1"/>
  <c r="CQ1045" i="1"/>
  <c r="CQ1046" i="1"/>
  <c r="CQ1047" i="1"/>
  <c r="CQ1048" i="1"/>
  <c r="DC1048" i="1"/>
  <c r="DC1047" i="1"/>
  <c r="DC1046" i="1"/>
  <c r="DC1045" i="1"/>
  <c r="DC1044" i="1"/>
  <c r="DD1044" i="1"/>
  <c r="DD1045" i="1"/>
  <c r="DD1046" i="1"/>
  <c r="DD1047" i="1"/>
  <c r="DD1048" i="1"/>
  <c r="CQ1049" i="1"/>
  <c r="CQ1050" i="1"/>
  <c r="DC1050" i="1"/>
  <c r="DD1050" i="1"/>
  <c r="CQ1051" i="1"/>
  <c r="CQ1052" i="1"/>
  <c r="CQ1053" i="1"/>
  <c r="CQ1054" i="1"/>
  <c r="DC1054" i="1"/>
  <c r="DC1053" i="1"/>
  <c r="DC1052" i="1"/>
  <c r="DC1051" i="1"/>
  <c r="DD1051" i="1"/>
  <c r="DD1052" i="1"/>
  <c r="DD1053" i="1"/>
  <c r="DD1054" i="1"/>
  <c r="CQ1055" i="1"/>
  <c r="CQ1056" i="1"/>
  <c r="DC1056" i="1"/>
  <c r="DD1056" i="1"/>
  <c r="CQ1057" i="1"/>
  <c r="CQ1058" i="1"/>
  <c r="CQ1059" i="1"/>
  <c r="DC1059" i="1"/>
  <c r="DC1058" i="1"/>
  <c r="DD1058" i="1"/>
  <c r="DD1059" i="1"/>
  <c r="CQ1060" i="1"/>
  <c r="CQ1061" i="1"/>
  <c r="CQ1062" i="1"/>
  <c r="CQ1063" i="1"/>
  <c r="CQ1064" i="1"/>
  <c r="CQ1065" i="1"/>
  <c r="DC1065" i="1"/>
  <c r="DC1064" i="1"/>
  <c r="DC1063" i="1"/>
  <c r="DC1062" i="1"/>
  <c r="DC1061" i="1"/>
  <c r="DC1060" i="1"/>
  <c r="DD1060" i="1"/>
  <c r="DD1061" i="1"/>
  <c r="DD1062" i="1"/>
  <c r="DD1063" i="1"/>
  <c r="DD1064" i="1"/>
  <c r="DD1065" i="1"/>
  <c r="CQ1066" i="1"/>
  <c r="CQ1067" i="1"/>
  <c r="CQ1068" i="1"/>
  <c r="CQ1069" i="1"/>
  <c r="CQ1070" i="1"/>
  <c r="CQ1071" i="1"/>
  <c r="CQ1072" i="1"/>
  <c r="CQ1073" i="1"/>
  <c r="CQ1074" i="1"/>
  <c r="DC1074" i="1"/>
  <c r="DC1073" i="1"/>
  <c r="DC1072" i="1"/>
  <c r="DC1071" i="1"/>
  <c r="DC1070" i="1"/>
  <c r="DC1069" i="1"/>
  <c r="DC1068" i="1"/>
  <c r="DC1067" i="1"/>
  <c r="DD1067" i="1"/>
  <c r="DD1068" i="1"/>
  <c r="DD1069" i="1"/>
  <c r="DD1070" i="1"/>
  <c r="DD1071" i="1"/>
  <c r="DD1072" i="1"/>
  <c r="DD1073" i="1"/>
  <c r="DD1074" i="1"/>
  <c r="CQ1075" i="1"/>
  <c r="CQ1076" i="1"/>
  <c r="CQ1077" i="1"/>
  <c r="CQ1078" i="1"/>
  <c r="CQ1079" i="1"/>
  <c r="CQ1080" i="1"/>
  <c r="CQ1081" i="1"/>
  <c r="CQ1082" i="1"/>
  <c r="DC1082" i="1"/>
  <c r="DC1081" i="1"/>
  <c r="DC1080" i="1"/>
  <c r="DC1079" i="1"/>
  <c r="DC1078" i="1"/>
  <c r="DC1077" i="1"/>
  <c r="DC1076" i="1"/>
  <c r="DD1076" i="1"/>
  <c r="DD1077" i="1"/>
  <c r="DD1078" i="1"/>
  <c r="DD1079" i="1"/>
  <c r="DD1080" i="1"/>
  <c r="DD1081" i="1"/>
  <c r="DD1082" i="1"/>
  <c r="CQ1083" i="1"/>
  <c r="CQ1084" i="1"/>
  <c r="CQ1085" i="1"/>
  <c r="CQ1086" i="1"/>
  <c r="CQ1087" i="1"/>
  <c r="CQ1088" i="1"/>
  <c r="CQ1089" i="1"/>
  <c r="CQ1090" i="1"/>
  <c r="DC1090" i="1"/>
  <c r="DC1089" i="1"/>
  <c r="DC1088" i="1"/>
  <c r="DC1087" i="1"/>
  <c r="DC1086" i="1"/>
  <c r="DC1085" i="1"/>
  <c r="DC1084" i="1"/>
  <c r="DD1084" i="1"/>
  <c r="DD1085" i="1"/>
  <c r="DD1086" i="1"/>
  <c r="DD1087" i="1"/>
  <c r="DD1088" i="1"/>
  <c r="DD1089" i="1"/>
  <c r="DD1090" i="1"/>
  <c r="CQ1091" i="1"/>
  <c r="CQ1092" i="1"/>
  <c r="CQ1093" i="1"/>
  <c r="CQ1094" i="1"/>
  <c r="CQ1095" i="1"/>
  <c r="CQ1096" i="1"/>
  <c r="CQ1097" i="1"/>
  <c r="CQ1098" i="1"/>
  <c r="CQ1099" i="1"/>
  <c r="DC1099" i="1"/>
  <c r="DC1098" i="1"/>
  <c r="DC1097" i="1"/>
  <c r="DC1096" i="1"/>
  <c r="DC1095" i="1"/>
  <c r="DC1094" i="1"/>
  <c r="DC1093" i="1"/>
  <c r="DC1092" i="1"/>
  <c r="DD1092" i="1"/>
  <c r="DD1093" i="1"/>
  <c r="DD1094" i="1"/>
  <c r="DD1095" i="1"/>
  <c r="DD1096" i="1"/>
  <c r="DD1097" i="1"/>
  <c r="DD1098" i="1"/>
  <c r="DD1099" i="1"/>
  <c r="CQ1100" i="1"/>
  <c r="CQ1101" i="1"/>
  <c r="CQ1102" i="1"/>
  <c r="CQ1103" i="1"/>
  <c r="CQ1104" i="1"/>
  <c r="CQ1105" i="1"/>
  <c r="CQ1106" i="1"/>
  <c r="CQ1107" i="1"/>
  <c r="CQ1108" i="1"/>
  <c r="DC1108" i="1"/>
  <c r="DC1107" i="1"/>
  <c r="DC1106" i="1"/>
  <c r="DC1105" i="1"/>
  <c r="DC1104" i="1"/>
  <c r="DC1103" i="1"/>
  <c r="DC1102" i="1"/>
  <c r="DC1101" i="1"/>
  <c r="DD1101" i="1"/>
  <c r="DD1102" i="1"/>
  <c r="DD1103" i="1"/>
  <c r="DD1104" i="1"/>
  <c r="DD1105" i="1"/>
  <c r="DD1106" i="1"/>
  <c r="DD1107" i="1"/>
  <c r="DD1108" i="1"/>
  <c r="CQ1109" i="1"/>
  <c r="CQ1110" i="1"/>
  <c r="CQ1111" i="1"/>
  <c r="CQ1112" i="1"/>
  <c r="CQ1113" i="1"/>
  <c r="CQ1114" i="1"/>
  <c r="CQ1115" i="1"/>
  <c r="CQ1116" i="1"/>
  <c r="CQ1117" i="1"/>
  <c r="DC1117" i="1"/>
  <c r="DC1116" i="1"/>
  <c r="DC1115" i="1"/>
  <c r="DC1114" i="1"/>
  <c r="DC1113" i="1"/>
  <c r="DC1112" i="1"/>
  <c r="DC1111" i="1"/>
  <c r="DC1110" i="1"/>
  <c r="DD1110" i="1"/>
  <c r="DD1111" i="1"/>
  <c r="DD1112" i="1"/>
  <c r="DD1113" i="1"/>
  <c r="DD1114" i="1"/>
  <c r="DD1115" i="1"/>
  <c r="DD1116" i="1"/>
  <c r="DD1117" i="1"/>
  <c r="CQ1118" i="1"/>
  <c r="CQ1119" i="1"/>
  <c r="CQ1120" i="1"/>
  <c r="CQ1121" i="1"/>
  <c r="CQ1122" i="1"/>
  <c r="CQ1123" i="1"/>
  <c r="CQ1124" i="1"/>
  <c r="CQ1125" i="1"/>
  <c r="CQ1126" i="1"/>
  <c r="DC1126" i="1"/>
  <c r="DC1125" i="1"/>
  <c r="DC1124" i="1"/>
  <c r="DC1123" i="1"/>
  <c r="DC1122" i="1"/>
  <c r="DC1121" i="1"/>
  <c r="DC1120" i="1"/>
  <c r="DC1119" i="1"/>
  <c r="DD1119" i="1"/>
  <c r="DD1120" i="1"/>
  <c r="DD1121" i="1"/>
  <c r="DD1122" i="1"/>
  <c r="DD1123" i="1"/>
  <c r="DD1124" i="1"/>
  <c r="DD1125" i="1"/>
  <c r="DD1126" i="1"/>
  <c r="CQ1127" i="1"/>
  <c r="CQ1128" i="1"/>
  <c r="CQ1129" i="1"/>
  <c r="CQ1130" i="1"/>
  <c r="CQ1131" i="1"/>
  <c r="CQ1132" i="1"/>
  <c r="CQ1133" i="1"/>
  <c r="CQ1134" i="1"/>
  <c r="DC1134" i="1"/>
  <c r="DC1133" i="1"/>
  <c r="DC1132" i="1"/>
  <c r="DC1131" i="1"/>
  <c r="DC1130" i="1"/>
  <c r="DC1129" i="1"/>
  <c r="DC1128" i="1"/>
  <c r="DD1128" i="1"/>
  <c r="DD1129" i="1"/>
  <c r="DD1130" i="1"/>
  <c r="DD1131" i="1"/>
  <c r="DD1132" i="1"/>
  <c r="DD1133" i="1"/>
  <c r="DD1134" i="1"/>
  <c r="CQ1135" i="1"/>
  <c r="CQ1136" i="1"/>
  <c r="DC1136" i="1"/>
  <c r="DD1136" i="1"/>
  <c r="CQ1137" i="1"/>
  <c r="CQ1138" i="1"/>
  <c r="CQ1139" i="1"/>
  <c r="CQ1140" i="1"/>
  <c r="CQ1141" i="1"/>
  <c r="CQ1142" i="1"/>
  <c r="DC1142" i="1"/>
  <c r="DC1141" i="1"/>
  <c r="DC1140" i="1"/>
  <c r="DC1139" i="1"/>
  <c r="DC1138" i="1"/>
  <c r="DC1137" i="1"/>
  <c r="DD1137" i="1"/>
  <c r="DD1138" i="1"/>
  <c r="DD1139" i="1"/>
  <c r="DD1140" i="1"/>
  <c r="DD1141" i="1"/>
  <c r="DD1142" i="1"/>
  <c r="CQ1143" i="1"/>
  <c r="CQ1144" i="1"/>
  <c r="CQ1145" i="1"/>
  <c r="CQ1146" i="1"/>
  <c r="CQ1147" i="1"/>
  <c r="CQ1148" i="1"/>
  <c r="CQ1149" i="1"/>
  <c r="CQ1150" i="1"/>
  <c r="CQ1151" i="1"/>
  <c r="DC1151" i="1"/>
  <c r="DC1150" i="1"/>
  <c r="DC1149" i="1"/>
  <c r="DC1148" i="1"/>
  <c r="DC1147" i="1"/>
  <c r="DC1146" i="1"/>
  <c r="DC1145" i="1"/>
  <c r="DC1144" i="1"/>
  <c r="DD1144" i="1"/>
  <c r="DD1145" i="1"/>
  <c r="DD1146" i="1"/>
  <c r="DD1147" i="1"/>
  <c r="DD1148" i="1"/>
  <c r="DD1149" i="1"/>
  <c r="DD1150" i="1"/>
  <c r="DD1151" i="1"/>
  <c r="CQ1152" i="1"/>
  <c r="CQ1153" i="1"/>
  <c r="CQ1154" i="1"/>
  <c r="CQ1155" i="1"/>
  <c r="CQ1156" i="1"/>
  <c r="CQ1157" i="1"/>
  <c r="CQ1158" i="1"/>
  <c r="CQ1159" i="1"/>
  <c r="CQ1160" i="1"/>
  <c r="DC1160" i="1"/>
  <c r="DC1159" i="1"/>
  <c r="DC1158" i="1"/>
  <c r="DC1157" i="1"/>
  <c r="DC1156" i="1"/>
  <c r="DC1155" i="1"/>
  <c r="DC1154" i="1"/>
  <c r="DC1153" i="1"/>
  <c r="DD1153" i="1"/>
  <c r="DD1154" i="1"/>
  <c r="DD1155" i="1"/>
  <c r="DD1156" i="1"/>
  <c r="DD1157" i="1"/>
  <c r="DD1158" i="1"/>
  <c r="DD1159" i="1"/>
  <c r="DD1160" i="1"/>
  <c r="CQ1161" i="1"/>
  <c r="CQ1162" i="1"/>
  <c r="CQ1163" i="1"/>
  <c r="CQ1164" i="1"/>
  <c r="CQ1165" i="1"/>
  <c r="CQ1166" i="1"/>
  <c r="CQ1167" i="1"/>
  <c r="CQ1168" i="1"/>
  <c r="CQ1169" i="1"/>
  <c r="DC1169" i="1"/>
  <c r="DC1168" i="1"/>
  <c r="DC1167" i="1"/>
  <c r="DC1166" i="1"/>
  <c r="DC1165" i="1"/>
  <c r="DC1164" i="1"/>
  <c r="DC1163" i="1"/>
  <c r="DC1162" i="1"/>
  <c r="DD1162" i="1"/>
  <c r="DD1163" i="1"/>
  <c r="DD1164" i="1"/>
  <c r="DD1165" i="1"/>
  <c r="DD1166" i="1"/>
  <c r="DD1167" i="1"/>
  <c r="DD1168" i="1"/>
  <c r="DD1169" i="1"/>
  <c r="CQ1170" i="1"/>
  <c r="CQ1171" i="1"/>
  <c r="CQ1172" i="1"/>
  <c r="CQ1173" i="1"/>
  <c r="CQ1174" i="1"/>
  <c r="CQ1175" i="1"/>
  <c r="CQ1176" i="1"/>
  <c r="CQ1177" i="1"/>
  <c r="CQ1178" i="1"/>
  <c r="DC1178" i="1"/>
  <c r="DC1177" i="1"/>
  <c r="DC1176" i="1"/>
  <c r="DC1175" i="1"/>
  <c r="DC1174" i="1"/>
  <c r="DC1173" i="1"/>
  <c r="DC1172" i="1"/>
  <c r="DC1171" i="1"/>
  <c r="DD1171" i="1"/>
  <c r="DD1172" i="1"/>
  <c r="DD1173" i="1"/>
  <c r="DD1174" i="1"/>
  <c r="DD1175" i="1"/>
  <c r="DD1176" i="1"/>
  <c r="DD1177" i="1"/>
  <c r="DD1178" i="1"/>
  <c r="CQ1179" i="1"/>
  <c r="CQ1180" i="1"/>
  <c r="CQ1181" i="1"/>
  <c r="CQ1182" i="1"/>
  <c r="CQ1183" i="1"/>
  <c r="CQ1184" i="1"/>
  <c r="CQ1185" i="1"/>
  <c r="CQ1186" i="1"/>
  <c r="CQ1187" i="1"/>
  <c r="DC1187" i="1"/>
  <c r="DC1186" i="1"/>
  <c r="DC1185" i="1"/>
  <c r="DC1184" i="1"/>
  <c r="DC1183" i="1"/>
  <c r="DC1182" i="1"/>
  <c r="DC1181" i="1"/>
  <c r="DC1180" i="1"/>
  <c r="DD1180" i="1"/>
  <c r="DD1181" i="1"/>
  <c r="DD1182" i="1"/>
  <c r="DD1183" i="1"/>
  <c r="DD1184" i="1"/>
  <c r="DD1185" i="1"/>
  <c r="DD1186" i="1"/>
  <c r="DD1187" i="1"/>
  <c r="CQ1188" i="1"/>
  <c r="CQ1189" i="1"/>
  <c r="CQ1190" i="1"/>
  <c r="CQ1191" i="1"/>
  <c r="CQ1192" i="1"/>
  <c r="CQ1193" i="1"/>
  <c r="CQ1194" i="1"/>
  <c r="CQ1195" i="1"/>
  <c r="CQ1196" i="1"/>
  <c r="DC1196" i="1"/>
  <c r="DC1195" i="1"/>
  <c r="DC1194" i="1"/>
  <c r="DC1193" i="1"/>
  <c r="DC1192" i="1"/>
  <c r="DC1191" i="1"/>
  <c r="DC1190" i="1"/>
  <c r="DC1189" i="1"/>
  <c r="DD1189" i="1"/>
  <c r="DD1190" i="1"/>
  <c r="DD1191" i="1"/>
  <c r="DD1192" i="1"/>
  <c r="DD1193" i="1"/>
  <c r="DD1194" i="1"/>
  <c r="DD1195" i="1"/>
  <c r="DD1196" i="1"/>
  <c r="CQ1197" i="1"/>
  <c r="CQ1198" i="1"/>
  <c r="CQ1199" i="1"/>
  <c r="CQ1200" i="1"/>
  <c r="CQ1201" i="1"/>
  <c r="CQ1202" i="1"/>
  <c r="DC1202" i="1"/>
  <c r="DC1201" i="1"/>
  <c r="DC1200" i="1"/>
  <c r="DC1199" i="1"/>
  <c r="DC1198" i="1"/>
  <c r="DC1197" i="1"/>
  <c r="DD1197" i="1"/>
  <c r="DD1198" i="1"/>
  <c r="DD1199" i="1"/>
  <c r="DD1200" i="1"/>
  <c r="DD1201" i="1"/>
  <c r="DD1202" i="1"/>
  <c r="CQ1203" i="1"/>
  <c r="CQ1204" i="1"/>
  <c r="CQ1205" i="1"/>
  <c r="CQ1206" i="1"/>
  <c r="CQ1207" i="1"/>
  <c r="CQ1208" i="1"/>
  <c r="CQ1209" i="1"/>
  <c r="CQ1210" i="1"/>
  <c r="CQ1211" i="1"/>
  <c r="DC1211" i="1"/>
  <c r="DC1210" i="1"/>
  <c r="DC1209" i="1"/>
  <c r="DC1208" i="1"/>
  <c r="DC1207" i="1"/>
  <c r="DC1206" i="1"/>
  <c r="DC1205" i="1"/>
  <c r="DC1204" i="1"/>
  <c r="DD1204" i="1"/>
  <c r="DD1205" i="1"/>
  <c r="DD1206" i="1"/>
  <c r="DD1207" i="1"/>
  <c r="DD1208" i="1"/>
  <c r="DD1209" i="1"/>
  <c r="DD1210" i="1"/>
  <c r="DD1211" i="1"/>
  <c r="CQ1212" i="1"/>
  <c r="CQ1213" i="1"/>
  <c r="CQ1214" i="1"/>
  <c r="CQ1215" i="1"/>
  <c r="DC1215" i="1"/>
  <c r="DC1214" i="1"/>
  <c r="DC1213" i="1"/>
  <c r="DD1213" i="1"/>
  <c r="DD1214" i="1"/>
  <c r="DD1215" i="1"/>
  <c r="CQ1216" i="1"/>
  <c r="CQ1217" i="1"/>
  <c r="CQ1218" i="1"/>
  <c r="CQ1219" i="1"/>
  <c r="CQ1220" i="1"/>
  <c r="CQ1221" i="1"/>
  <c r="CQ1222" i="1"/>
  <c r="CQ1223" i="1"/>
  <c r="DC1223" i="1"/>
  <c r="DC1222" i="1"/>
  <c r="DC1221" i="1"/>
  <c r="DC1220" i="1"/>
  <c r="DC1219" i="1"/>
  <c r="DC1218" i="1"/>
  <c r="DC1217" i="1"/>
  <c r="DC1216" i="1"/>
  <c r="DD1216" i="1"/>
  <c r="DD1217" i="1"/>
  <c r="DD1218" i="1"/>
  <c r="DD1219" i="1"/>
  <c r="DD1220" i="1"/>
  <c r="DD1221" i="1"/>
  <c r="DD1222" i="1"/>
  <c r="DD1223" i="1"/>
  <c r="CQ1224" i="1"/>
  <c r="CQ1225" i="1"/>
  <c r="CQ1226" i="1"/>
  <c r="CQ1227" i="1"/>
  <c r="CQ1228" i="1"/>
  <c r="CQ1229" i="1"/>
  <c r="CQ1230" i="1"/>
  <c r="CQ1231" i="1"/>
  <c r="CQ1232" i="1"/>
  <c r="DC1232" i="1"/>
  <c r="DC1231" i="1"/>
  <c r="DC1230" i="1"/>
  <c r="DC1229" i="1"/>
  <c r="DC1228" i="1"/>
  <c r="DC1227" i="1"/>
  <c r="DC1226" i="1"/>
  <c r="DC1225" i="1"/>
  <c r="DD1225" i="1"/>
  <c r="DD1226" i="1"/>
  <c r="DD1227" i="1"/>
  <c r="DD1228" i="1"/>
  <c r="DD1229" i="1"/>
  <c r="DD1230" i="1"/>
  <c r="DD1231" i="1"/>
  <c r="DD1232" i="1"/>
  <c r="CQ1233" i="1"/>
  <c r="CQ1234" i="1"/>
  <c r="CQ1235" i="1"/>
  <c r="CQ1236" i="1"/>
  <c r="CQ1237" i="1"/>
  <c r="CQ1238" i="1"/>
  <c r="CQ1239" i="1"/>
  <c r="CQ1240" i="1"/>
  <c r="CQ1241" i="1"/>
  <c r="DC1241" i="1"/>
  <c r="DC1240" i="1"/>
  <c r="DC1239" i="1"/>
  <c r="DC1238" i="1"/>
  <c r="DC1237" i="1"/>
  <c r="DC1236" i="1"/>
  <c r="DC1235" i="1"/>
  <c r="DC1234" i="1"/>
  <c r="DD1234" i="1"/>
  <c r="DD1235" i="1"/>
  <c r="DD1236" i="1"/>
  <c r="DD1237" i="1"/>
  <c r="DD1238" i="1"/>
  <c r="DD1239" i="1"/>
  <c r="DD1240" i="1"/>
  <c r="DD1241" i="1"/>
  <c r="CQ1242" i="1"/>
  <c r="CQ1243" i="1"/>
  <c r="CQ1244" i="1"/>
  <c r="CQ1245" i="1"/>
  <c r="CQ1246" i="1"/>
  <c r="CQ1247" i="1"/>
  <c r="CQ1248" i="1"/>
  <c r="CQ1249" i="1"/>
  <c r="CQ1250" i="1"/>
  <c r="DC1250" i="1"/>
  <c r="DC1249" i="1"/>
  <c r="DC1248" i="1"/>
  <c r="DC1247" i="1"/>
  <c r="DC1246" i="1"/>
  <c r="DC1245" i="1"/>
  <c r="DC1244" i="1"/>
  <c r="DC1243" i="1"/>
  <c r="DD1243" i="1"/>
  <c r="DD1244" i="1"/>
  <c r="DD1245" i="1"/>
  <c r="DD1246" i="1"/>
  <c r="DD1247" i="1"/>
  <c r="DD1248" i="1"/>
  <c r="DD1249" i="1"/>
  <c r="DD1250" i="1"/>
  <c r="CQ1251" i="1"/>
  <c r="CQ1252" i="1"/>
  <c r="CQ1253" i="1"/>
  <c r="CQ1254" i="1"/>
  <c r="CQ1255" i="1"/>
  <c r="DC1255" i="1"/>
  <c r="DC1254" i="1"/>
  <c r="DC1253" i="1"/>
  <c r="DC1252" i="1"/>
  <c r="DD1252" i="1"/>
  <c r="DD1253" i="1"/>
  <c r="DD1254" i="1"/>
  <c r="DD1255" i="1"/>
  <c r="CQ1256" i="1"/>
  <c r="DC1256" i="1"/>
  <c r="DD1256" i="1"/>
  <c r="CQ1257" i="1"/>
  <c r="CQ1258" i="1"/>
  <c r="DC1258" i="1"/>
  <c r="DD1258" i="1"/>
  <c r="CQ1259" i="1"/>
  <c r="DC1259" i="1"/>
  <c r="DD1259" i="1"/>
  <c r="CQ1260" i="1"/>
  <c r="CQ1261" i="1"/>
  <c r="DC1261" i="1"/>
  <c r="DC1260" i="1"/>
  <c r="DD1260" i="1"/>
  <c r="DD1261" i="1"/>
  <c r="CQ1262" i="1"/>
  <c r="DC1262" i="1"/>
  <c r="DD1262" i="1"/>
  <c r="CQ1263" i="1"/>
  <c r="CQ1264" i="1"/>
  <c r="DC1264" i="1"/>
  <c r="DC1263" i="1"/>
  <c r="DD1263" i="1"/>
  <c r="DD1264" i="1"/>
  <c r="CQ1265" i="1"/>
  <c r="DC1265" i="1"/>
  <c r="DD1265" i="1"/>
  <c r="CQ1266" i="1"/>
  <c r="CQ1267" i="1"/>
  <c r="CQ1268" i="1"/>
  <c r="CQ1269" i="1"/>
  <c r="CQ1270" i="1"/>
  <c r="DC1270" i="1"/>
  <c r="DC1269" i="1"/>
  <c r="DC1268" i="1"/>
  <c r="DC1267" i="1"/>
  <c r="DC1266" i="1"/>
  <c r="DD1266" i="1"/>
  <c r="DD1267" i="1"/>
  <c r="DD1268" i="1"/>
  <c r="DD1269" i="1"/>
  <c r="DD1270" i="1"/>
  <c r="CQ1271" i="1"/>
  <c r="CQ1272" i="1"/>
  <c r="CQ1273" i="1"/>
  <c r="DC1273" i="1"/>
  <c r="DC1272" i="1"/>
  <c r="DC1271" i="1"/>
  <c r="DD1271" i="1"/>
  <c r="DD1272" i="1"/>
  <c r="DD1273" i="1"/>
  <c r="CQ1274" i="1"/>
  <c r="DC1274" i="1"/>
  <c r="DD1274" i="1"/>
  <c r="CQ1275" i="1"/>
  <c r="DC1275" i="1"/>
  <c r="DD1275" i="1"/>
  <c r="CQ1276" i="1"/>
  <c r="CQ1277" i="1"/>
  <c r="DC1277" i="1"/>
  <c r="DC1276" i="1"/>
  <c r="DD1276" i="1"/>
  <c r="DD1277" i="1"/>
  <c r="CQ1278" i="1"/>
  <c r="CQ1279" i="1"/>
  <c r="CQ1280" i="1"/>
  <c r="DC1280" i="1"/>
  <c r="DC1279" i="1"/>
  <c r="DD1279" i="1"/>
  <c r="DD1280" i="1"/>
  <c r="CQ1281" i="1"/>
  <c r="DC1281" i="1"/>
  <c r="DD1281" i="1"/>
  <c r="CQ1282" i="1"/>
  <c r="CQ1283" i="1"/>
  <c r="CQ1284" i="1"/>
  <c r="DC1284" i="1"/>
  <c r="DC1283" i="1"/>
  <c r="DD1283" i="1"/>
  <c r="DD1284" i="1"/>
  <c r="CQ1285" i="1"/>
  <c r="CQ1286" i="1"/>
  <c r="CQ1287" i="1"/>
  <c r="CQ1288" i="1"/>
  <c r="DC1288" i="1"/>
  <c r="DC1287" i="1"/>
  <c r="DC1286" i="1"/>
  <c r="DC1285" i="1"/>
  <c r="DD1285" i="1"/>
  <c r="DD1286" i="1"/>
  <c r="DD1287" i="1"/>
  <c r="DD1288" i="1"/>
  <c r="CQ1289" i="1"/>
  <c r="CQ1290" i="1"/>
  <c r="CQ1291" i="1"/>
  <c r="CQ1292" i="1"/>
  <c r="DC1292" i="1"/>
  <c r="DC1291" i="1"/>
  <c r="DC1290" i="1"/>
  <c r="DD1290" i="1"/>
  <c r="DD1291" i="1"/>
  <c r="DD1292" i="1"/>
  <c r="CQ1293" i="1"/>
  <c r="CQ1294" i="1"/>
  <c r="CQ1295" i="1"/>
  <c r="DC1295" i="1"/>
  <c r="DC1294" i="1"/>
  <c r="DC1293" i="1"/>
  <c r="DD1293" i="1"/>
  <c r="DD1294" i="1"/>
  <c r="DD1295" i="1"/>
  <c r="CQ1296" i="1"/>
  <c r="CQ1297" i="1"/>
  <c r="CQ1298" i="1"/>
  <c r="CQ1299" i="1"/>
  <c r="DC1299" i="1"/>
  <c r="DC1298" i="1"/>
  <c r="DC1297" i="1"/>
  <c r="DD1297" i="1"/>
  <c r="DD1298" i="1"/>
  <c r="DD1299" i="1"/>
  <c r="CQ1300" i="1"/>
  <c r="DC1300" i="1"/>
  <c r="DD1300" i="1"/>
  <c r="CQ1301" i="1"/>
  <c r="DC1301" i="1"/>
  <c r="DD1301" i="1"/>
  <c r="CQ1302" i="1"/>
  <c r="CQ1303" i="1"/>
  <c r="DC1303" i="1"/>
  <c r="DC1302" i="1"/>
  <c r="DD1302" i="1"/>
  <c r="DD1303" i="1"/>
  <c r="CQ1304" i="1"/>
  <c r="DC1304" i="1"/>
  <c r="DD1304" i="1"/>
  <c r="CQ1305" i="1"/>
  <c r="CQ1306" i="1"/>
  <c r="CQ1307" i="1"/>
  <c r="CQ1308" i="1"/>
  <c r="CQ1309" i="1"/>
  <c r="DC1309" i="1"/>
  <c r="DC1308" i="1"/>
  <c r="DC1307" i="1"/>
  <c r="DC1306" i="1"/>
  <c r="DC1305" i="1"/>
  <c r="DD1305" i="1"/>
  <c r="DD1306" i="1"/>
  <c r="DD1307" i="1"/>
  <c r="DD1308" i="1"/>
  <c r="DD1309" i="1"/>
  <c r="CN8" i="1"/>
  <c r="CO8" i="1"/>
  <c r="CN9" i="1"/>
  <c r="CO9" i="1"/>
  <c r="CN10" i="1"/>
  <c r="CO10" i="1"/>
  <c r="CN11" i="1"/>
  <c r="CO11" i="1"/>
  <c r="CN12" i="1"/>
  <c r="CO12" i="1"/>
  <c r="CN13" i="1"/>
  <c r="CO13" i="1"/>
  <c r="CN14" i="1"/>
  <c r="CO14" i="1"/>
  <c r="CN15" i="1"/>
  <c r="CO15" i="1"/>
  <c r="CN16" i="1"/>
  <c r="CO16" i="1"/>
  <c r="CN17" i="1"/>
  <c r="CO17" i="1"/>
  <c r="CN18" i="1"/>
  <c r="CO18" i="1"/>
  <c r="CN19" i="1"/>
  <c r="CO19" i="1"/>
  <c r="CN20" i="1"/>
  <c r="CO20" i="1"/>
  <c r="CN21" i="1"/>
  <c r="CO21" i="1"/>
  <c r="CN22" i="1"/>
  <c r="CO22" i="1"/>
  <c r="CN23" i="1"/>
  <c r="CO23" i="1"/>
  <c r="CN24" i="1"/>
  <c r="CO24" i="1"/>
  <c r="CN25" i="1"/>
  <c r="CO25" i="1"/>
  <c r="CN26" i="1"/>
  <c r="CO26" i="1"/>
  <c r="CN27" i="1"/>
  <c r="CO27" i="1"/>
  <c r="CN28" i="1"/>
  <c r="CO28" i="1"/>
  <c r="CN29" i="1"/>
  <c r="CO29" i="1"/>
  <c r="CN30" i="1"/>
  <c r="CO30" i="1"/>
  <c r="CN31" i="1"/>
  <c r="CO31" i="1"/>
  <c r="CN32" i="1"/>
  <c r="CO32" i="1"/>
  <c r="CN33" i="1"/>
  <c r="CO33" i="1"/>
  <c r="CN34" i="1"/>
  <c r="CO34" i="1"/>
  <c r="CN35" i="1"/>
  <c r="CO35" i="1"/>
  <c r="CN36" i="1"/>
  <c r="CO36" i="1"/>
  <c r="CN37" i="1"/>
  <c r="CO37" i="1"/>
  <c r="CN38" i="1"/>
  <c r="CO38" i="1"/>
  <c r="CN39" i="1"/>
  <c r="CO39" i="1"/>
  <c r="CN40" i="1"/>
  <c r="CO40" i="1"/>
  <c r="CN41" i="1"/>
  <c r="CO41" i="1"/>
  <c r="CN42" i="1"/>
  <c r="CO42" i="1"/>
  <c r="CN43" i="1"/>
  <c r="CO43" i="1"/>
  <c r="CN44" i="1"/>
  <c r="CO44" i="1"/>
  <c r="CN45" i="1"/>
  <c r="CO45" i="1"/>
  <c r="CN46" i="1"/>
  <c r="CO46" i="1"/>
  <c r="CN47" i="1"/>
  <c r="CO47" i="1"/>
  <c r="CN48" i="1"/>
  <c r="CO48" i="1"/>
  <c r="CN49" i="1"/>
  <c r="CO49" i="1"/>
  <c r="CN50" i="1"/>
  <c r="CO50" i="1"/>
  <c r="CN51" i="1"/>
  <c r="CO51" i="1"/>
  <c r="CN52" i="1"/>
  <c r="CO52" i="1"/>
  <c r="CN53" i="1"/>
  <c r="CO53" i="1"/>
  <c r="CN54" i="1"/>
  <c r="CO54" i="1"/>
  <c r="CN55" i="1"/>
  <c r="CO55" i="1"/>
  <c r="CN56" i="1"/>
  <c r="CO56" i="1"/>
  <c r="CN57" i="1"/>
  <c r="CO57" i="1"/>
  <c r="CN58" i="1"/>
  <c r="CO58" i="1"/>
  <c r="CN59" i="1"/>
  <c r="CO59" i="1"/>
  <c r="CN60" i="1"/>
  <c r="CO60" i="1"/>
  <c r="CN61" i="1"/>
  <c r="CO61" i="1"/>
  <c r="CN62" i="1"/>
  <c r="CO62" i="1"/>
  <c r="CN63" i="1"/>
  <c r="CO63" i="1"/>
  <c r="CN64" i="1"/>
  <c r="CO64" i="1"/>
  <c r="CN65" i="1"/>
  <c r="CO65" i="1"/>
  <c r="CN66" i="1"/>
  <c r="CO66" i="1"/>
  <c r="CN67" i="1"/>
  <c r="CO67" i="1"/>
  <c r="CN68" i="1"/>
  <c r="CO68" i="1"/>
  <c r="CN69" i="1"/>
  <c r="CO69" i="1"/>
  <c r="CN70" i="1"/>
  <c r="CO70" i="1"/>
  <c r="CN71" i="1"/>
  <c r="CO71" i="1"/>
  <c r="CN72" i="1"/>
  <c r="CO72" i="1"/>
  <c r="CN73" i="1"/>
  <c r="CO73" i="1"/>
  <c r="CN74" i="1"/>
  <c r="CO74" i="1"/>
  <c r="CN75" i="1"/>
  <c r="CO75" i="1"/>
  <c r="CN76" i="1"/>
  <c r="CO76" i="1"/>
  <c r="CN77" i="1"/>
  <c r="CO77" i="1"/>
  <c r="CN78" i="1"/>
  <c r="CO78" i="1"/>
  <c r="CN79" i="1"/>
  <c r="CO79" i="1"/>
  <c r="CN80" i="1"/>
  <c r="CO80" i="1"/>
  <c r="CN81" i="1"/>
  <c r="CO81" i="1"/>
  <c r="CN82" i="1"/>
  <c r="CO82" i="1"/>
  <c r="CN83" i="1"/>
  <c r="CO83" i="1"/>
  <c r="CN84" i="1"/>
  <c r="CO84" i="1"/>
  <c r="CN85" i="1"/>
  <c r="CO85" i="1"/>
  <c r="CN86" i="1"/>
  <c r="CO86" i="1"/>
  <c r="CN87" i="1"/>
  <c r="CO87" i="1"/>
  <c r="CN88" i="1"/>
  <c r="CO88" i="1"/>
  <c r="CN89" i="1"/>
  <c r="CO89" i="1"/>
  <c r="CN90" i="1"/>
  <c r="CO90" i="1"/>
  <c r="CN91" i="1"/>
  <c r="CO91" i="1"/>
  <c r="CN92" i="1"/>
  <c r="CO92" i="1"/>
  <c r="CN93" i="1"/>
  <c r="CO93" i="1"/>
  <c r="CN94" i="1"/>
  <c r="CO94" i="1"/>
  <c r="CN95" i="1"/>
  <c r="CO95" i="1"/>
  <c r="CN96" i="1"/>
  <c r="CO96" i="1"/>
  <c r="CN97" i="1"/>
  <c r="CO97" i="1"/>
  <c r="CN98" i="1"/>
  <c r="CO98" i="1"/>
  <c r="CV4" i="1"/>
  <c r="CV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V2" i="1"/>
  <c r="CV1" i="1"/>
  <c r="CT2" i="1"/>
  <c r="CT1" i="1"/>
  <c r="E8" i="5"/>
  <c r="E9" i="5"/>
  <c r="F23" i="5"/>
  <c r="E23" i="5"/>
  <c r="D13" i="5"/>
  <c r="D3" i="5"/>
  <c r="J4" i="5"/>
  <c r="J3" i="5"/>
  <c r="V5" i="1"/>
  <c r="F4" i="5"/>
  <c r="V4" i="1"/>
  <c r="F3" i="5"/>
  <c r="C2" i="1"/>
  <c r="CS4" i="1"/>
  <c r="B2" i="5"/>
  <c r="CU5" i="1"/>
  <c r="CU4" i="1"/>
  <c r="CW5" i="1"/>
  <c r="CW4" i="1"/>
  <c r="CX4" i="1"/>
  <c r="CT4" i="1"/>
  <c r="CT5" i="1"/>
  <c r="D2" i="4"/>
  <c r="E2" i="4"/>
  <c r="G9" i="4"/>
  <c r="I2" i="4"/>
  <c r="G6" i="4"/>
  <c r="C5" i="4"/>
  <c r="C6" i="4"/>
  <c r="C7" i="4"/>
  <c r="C8" i="4"/>
  <c r="C9" i="4"/>
  <c r="C2" i="4"/>
  <c r="CR4" i="1"/>
  <c r="CR5" i="1"/>
  <c r="CZ2" i="1"/>
  <c r="EM4" i="1"/>
  <c r="EM3" i="1"/>
  <c r="H6" i="4"/>
  <c r="G7" i="4"/>
  <c r="H8" i="4"/>
  <c r="G5" i="4"/>
  <c r="H9" i="4"/>
  <c r="CM5" i="1"/>
  <c r="G4" i="5"/>
  <c r="H7" i="4"/>
  <c r="F5" i="4"/>
  <c r="F7" i="4"/>
  <c r="I7" i="4"/>
  <c r="F9" i="4"/>
  <c r="F6" i="4"/>
  <c r="F8" i="4"/>
  <c r="CX5" i="1"/>
  <c r="CO5" i="1"/>
  <c r="H4" i="5"/>
  <c r="DG4" i="1"/>
  <c r="DG5" i="1"/>
  <c r="B6" i="5"/>
  <c r="CZ4" i="1"/>
  <c r="CZ5" i="1"/>
  <c r="B3" i="5"/>
  <c r="J7" i="4"/>
  <c r="K7" i="4"/>
  <c r="CP5" i="1"/>
  <c r="I4" i="5"/>
  <c r="DF4" i="1"/>
  <c r="DF5" i="1"/>
  <c r="B7" i="5"/>
  <c r="CP4" i="1"/>
  <c r="I3" i="5"/>
  <c r="CN4" i="1"/>
  <c r="CM4" i="1"/>
  <c r="G3" i="5"/>
  <c r="I6" i="4"/>
  <c r="J6" i="4"/>
  <c r="K6" i="4"/>
  <c r="I5" i="4"/>
  <c r="J5" i="4"/>
  <c r="K5" i="4"/>
  <c r="I9" i="4"/>
  <c r="M2" i="4"/>
  <c r="CN5" i="1"/>
  <c r="CO4" i="1"/>
  <c r="H3" i="5"/>
  <c r="G8" i="4"/>
  <c r="I8" i="4"/>
  <c r="H5" i="4"/>
  <c r="J9" i="4"/>
  <c r="K9" i="4"/>
  <c r="DS9" i="1"/>
  <c r="DS18" i="1"/>
  <c r="DS57" i="1"/>
  <c r="DS81" i="1"/>
  <c r="DS103" i="1"/>
  <c r="DS133" i="1"/>
  <c r="DS142" i="1"/>
  <c r="DS178" i="1"/>
  <c r="DS191" i="1"/>
  <c r="DS192" i="1"/>
  <c r="DS195" i="1"/>
  <c r="DS211" i="1"/>
  <c r="DS262" i="1"/>
  <c r="DS278" i="1"/>
  <c r="DS294" i="1"/>
  <c r="DS326" i="1"/>
  <c r="DS342" i="1"/>
  <c r="DS355" i="1"/>
  <c r="DS393" i="1"/>
  <c r="DS409" i="1"/>
  <c r="DS425" i="1"/>
  <c r="DS455" i="1"/>
  <c r="DS471" i="1"/>
  <c r="DS499" i="1"/>
  <c r="DS515" i="1"/>
  <c r="DS533" i="1"/>
  <c r="DS549" i="1"/>
  <c r="DS565" i="1"/>
  <c r="DS597" i="1"/>
  <c r="DS613" i="1"/>
  <c r="DS629" i="1"/>
  <c r="DS660" i="1"/>
  <c r="DS676" i="1"/>
  <c r="DS712" i="1"/>
  <c r="DS754" i="1"/>
  <c r="DS770" i="1"/>
  <c r="DS792" i="1"/>
  <c r="DS822" i="1"/>
  <c r="DS837" i="1"/>
  <c r="DS853" i="1"/>
  <c r="DS885" i="1"/>
  <c r="DS911" i="1"/>
  <c r="DS940" i="1"/>
  <c r="DS969" i="1"/>
  <c r="DS976" i="1"/>
  <c r="DS981" i="1"/>
  <c r="DS999" i="1"/>
  <c r="DS1010" i="1"/>
  <c r="DS1022" i="1"/>
  <c r="DS1033" i="1"/>
  <c r="DS1040" i="1"/>
  <c r="DS1058" i="1"/>
  <c r="DS1071" i="1"/>
  <c r="DS1086" i="1"/>
  <c r="DS1101" i="1"/>
  <c r="DS1117" i="1"/>
  <c r="DS1132" i="1"/>
  <c r="DS1138" i="1"/>
  <c r="DS1154" i="1"/>
  <c r="DS1170" i="1"/>
  <c r="DS1186" i="1"/>
  <c r="DS1210" i="1"/>
  <c r="DS1223" i="1"/>
  <c r="DS1239" i="1"/>
  <c r="DS1255" i="1"/>
  <c r="DS1265" i="1"/>
  <c r="DS1273" i="1"/>
  <c r="DS1298" i="1"/>
  <c r="DS17" i="1"/>
  <c r="DS33" i="1"/>
  <c r="DS44" i="1"/>
  <c r="DS66" i="1"/>
  <c r="DS80" i="1"/>
  <c r="DS86" i="1"/>
  <c r="DS101" i="1"/>
  <c r="DS120" i="1"/>
  <c r="DS131" i="1"/>
  <c r="DS140" i="1"/>
  <c r="DS152" i="1"/>
  <c r="DS164" i="1"/>
  <c r="DS176" i="1"/>
  <c r="DS208" i="1"/>
  <c r="DS224" i="1"/>
  <c r="DS243" i="1"/>
  <c r="DS259" i="1"/>
  <c r="DS275" i="1"/>
  <c r="DS291" i="1"/>
  <c r="DS307" i="1"/>
  <c r="DS323" i="1"/>
  <c r="DS339" i="1"/>
  <c r="DS352" i="1"/>
  <c r="DS374" i="1"/>
  <c r="DS390" i="1"/>
  <c r="DS406" i="1"/>
  <c r="DS422" i="1"/>
  <c r="DS438" i="1"/>
  <c r="DS452" i="1"/>
  <c r="DS468" i="1"/>
  <c r="DS484" i="1"/>
  <c r="DS496" i="1"/>
  <c r="DS512" i="1"/>
  <c r="DS528" i="1"/>
  <c r="DS530" i="1"/>
  <c r="DS546" i="1"/>
  <c r="DS562" i="1"/>
  <c r="DS578" i="1"/>
  <c r="DS594" i="1"/>
  <c r="DS610" i="1"/>
  <c r="DS626" i="1"/>
  <c r="DS642" i="1"/>
  <c r="DS657" i="1"/>
  <c r="DS673" i="1"/>
  <c r="DS697" i="1"/>
  <c r="DS702" i="1"/>
  <c r="DS709" i="1"/>
  <c r="DS724" i="1"/>
  <c r="DS735" i="1"/>
  <c r="DS751" i="1"/>
  <c r="DS767" i="1"/>
  <c r="DS783" i="1"/>
  <c r="DS789" i="1"/>
  <c r="DS805" i="1"/>
  <c r="DS819" i="1"/>
  <c r="DS834" i="1"/>
  <c r="DS850" i="1"/>
  <c r="DS866" i="1"/>
  <c r="DS882" i="1"/>
  <c r="DS908" i="1"/>
  <c r="DS924" i="1"/>
  <c r="DS937" i="1"/>
  <c r="DS960" i="1"/>
  <c r="DS975" i="1"/>
  <c r="DS991" i="1"/>
  <c r="DS1020" i="1"/>
  <c r="DS1068" i="1"/>
  <c r="DS1083" i="1"/>
  <c r="DS1098" i="1"/>
  <c r="DS1114" i="1"/>
  <c r="DS1129" i="1"/>
  <c r="DS1151" i="1"/>
  <c r="DS1167" i="1"/>
  <c r="DS1183" i="1"/>
  <c r="DS1207" i="1"/>
  <c r="DS1220" i="1"/>
  <c r="DS1236" i="1"/>
  <c r="DS1252" i="1"/>
  <c r="DS1271" i="1"/>
  <c r="DS1280" i="1"/>
  <c r="DS1291" i="1"/>
  <c r="DS1296" i="1"/>
  <c r="DS14" i="1"/>
  <c r="DS26" i="1"/>
  <c r="DS30" i="1"/>
  <c r="DS54" i="1"/>
  <c r="DS99" i="1"/>
  <c r="DS117" i="1"/>
  <c r="DS128" i="1"/>
  <c r="DS137" i="1"/>
  <c r="DS174" i="1"/>
  <c r="DS182" i="1"/>
  <c r="DS186" i="1"/>
  <c r="DS205" i="1"/>
  <c r="DS221" i="1"/>
  <c r="DS240" i="1"/>
  <c r="DS256" i="1"/>
  <c r="DS272" i="1"/>
  <c r="DS288" i="1"/>
  <c r="DS304" i="1"/>
  <c r="DS320" i="1"/>
  <c r="DS336" i="1"/>
  <c r="DS349" i="1"/>
  <c r="DS371" i="1"/>
  <c r="DS387" i="1"/>
  <c r="DS403" i="1"/>
  <c r="DS419" i="1"/>
  <c r="DS435" i="1"/>
  <c r="DS449" i="1"/>
  <c r="DS465" i="1"/>
  <c r="DS481" i="1"/>
  <c r="DS509" i="1"/>
  <c r="DS525" i="1"/>
  <c r="DS543" i="1"/>
  <c r="DS559" i="1"/>
  <c r="DS575" i="1"/>
  <c r="DS591" i="1"/>
  <c r="DS607" i="1"/>
  <c r="DS623" i="1"/>
  <c r="DS639" i="1"/>
  <c r="DS654" i="1"/>
  <c r="DS670" i="1"/>
  <c r="DS686" i="1"/>
  <c r="DS721" i="1"/>
  <c r="DS732" i="1"/>
  <c r="DS748" i="1"/>
  <c r="DS764" i="1"/>
  <c r="DS780" i="1"/>
  <c r="DS786" i="1"/>
  <c r="DS802" i="1"/>
  <c r="DS816" i="1"/>
  <c r="DS831" i="1"/>
  <c r="DS847" i="1"/>
  <c r="DS863" i="1"/>
  <c r="DS879" i="1"/>
  <c r="DS905" i="1"/>
  <c r="DS921" i="1"/>
  <c r="DS934" i="1"/>
  <c r="DS948" i="1"/>
  <c r="DS957" i="1"/>
  <c r="DS972" i="1"/>
  <c r="DS989" i="1"/>
  <c r="DS1017" i="1"/>
  <c r="DS1026" i="1"/>
  <c r="DS1030" i="1"/>
  <c r="DS1055" i="1"/>
  <c r="DS1065" i="1"/>
  <c r="DS1081" i="1"/>
  <c r="DS1095" i="1"/>
  <c r="DS1111" i="1"/>
  <c r="DS1127" i="1"/>
  <c r="DS1148" i="1"/>
  <c r="DS1164" i="1"/>
  <c r="DS1180" i="1"/>
  <c r="DS1196" i="1"/>
  <c r="DS1204" i="1"/>
  <c r="DS1217" i="1"/>
  <c r="DS1233" i="1"/>
  <c r="DS1249" i="1"/>
  <c r="DS1275" i="1"/>
  <c r="DS1279" i="1"/>
  <c r="DS1295" i="1"/>
  <c r="DS12" i="1"/>
  <c r="DS40" i="1"/>
  <c r="DS51" i="1"/>
  <c r="DS63" i="1"/>
  <c r="DS70" i="1"/>
  <c r="DS91" i="1"/>
  <c r="DS96" i="1"/>
  <c r="DS108" i="1"/>
  <c r="DS114" i="1"/>
  <c r="DS125" i="1"/>
  <c r="DS148" i="1"/>
  <c r="DS160" i="1"/>
  <c r="DS171" i="1"/>
  <c r="DS202" i="1"/>
  <c r="DS218" i="1"/>
  <c r="DS237" i="1"/>
  <c r="DS253" i="1"/>
  <c r="DS269" i="1"/>
  <c r="DS285" i="1"/>
  <c r="DS301" i="1"/>
  <c r="DS317" i="1"/>
  <c r="DS333" i="1"/>
  <c r="DS346" i="1"/>
  <c r="DS362" i="1"/>
  <c r="DS368" i="1"/>
  <c r="DS384" i="1"/>
  <c r="DS400" i="1"/>
  <c r="DS416" i="1"/>
  <c r="DS432" i="1"/>
  <c r="DS446" i="1"/>
  <c r="DS462" i="1"/>
  <c r="DS478" i="1"/>
  <c r="DS492" i="1"/>
  <c r="DS506" i="1"/>
  <c r="DS522" i="1"/>
  <c r="DS540" i="1"/>
  <c r="DS556" i="1"/>
  <c r="DS572" i="1"/>
  <c r="DS588" i="1"/>
  <c r="DS604" i="1"/>
  <c r="DS620" i="1"/>
  <c r="DS636" i="1"/>
  <c r="DS651" i="1"/>
  <c r="DS667" i="1"/>
  <c r="DS683" i="1"/>
  <c r="DS694" i="1"/>
  <c r="DS704" i="1"/>
  <c r="DS718" i="1"/>
  <c r="DS729" i="1"/>
  <c r="DS745" i="1"/>
  <c r="DS761" i="1"/>
  <c r="DS777" i="1"/>
  <c r="DS785" i="1"/>
  <c r="DS799" i="1"/>
  <c r="DS814" i="1"/>
  <c r="DS828" i="1"/>
  <c r="DS844" i="1"/>
  <c r="DS860" i="1"/>
  <c r="DS876" i="1"/>
  <c r="DS892" i="1"/>
  <c r="DS902" i="1"/>
  <c r="DS918" i="1"/>
  <c r="DS933" i="1"/>
  <c r="DS945" i="1"/>
  <c r="DS968" i="1"/>
  <c r="DS986" i="1"/>
  <c r="DS1008" i="1"/>
  <c r="DS1015" i="1"/>
  <c r="DS1023" i="1"/>
  <c r="DS1048" i="1"/>
  <c r="DS1053" i="1"/>
  <c r="DS1062" i="1"/>
  <c r="DS1078" i="1"/>
  <c r="DS1092" i="1"/>
  <c r="DS1108" i="1"/>
  <c r="DS1124" i="1"/>
  <c r="DS1145" i="1"/>
  <c r="DS1161" i="1"/>
  <c r="DS1177" i="1"/>
  <c r="DS1193" i="1"/>
  <c r="DS1201" i="1"/>
  <c r="DS1230" i="1"/>
  <c r="DS1246" i="1"/>
  <c r="DS1257" i="1"/>
  <c r="DS1258" i="1"/>
  <c r="DS1270" i="1"/>
  <c r="DS1278" i="1"/>
  <c r="DS1287" i="1"/>
  <c r="DS1300" i="1"/>
  <c r="DS1309" i="1"/>
  <c r="DS21" i="1"/>
  <c r="DS48" i="1"/>
  <c r="DS61" i="1"/>
  <c r="DS107" i="1"/>
  <c r="DS111" i="1"/>
  <c r="DS145" i="1"/>
  <c r="DS168" i="1"/>
  <c r="DS199" i="1"/>
  <c r="DS215" i="1"/>
  <c r="DS231" i="1"/>
  <c r="DS234" i="1"/>
  <c r="DS250" i="1"/>
  <c r="DS266" i="1"/>
  <c r="DS282" i="1"/>
  <c r="DS298" i="1"/>
  <c r="DS314" i="1"/>
  <c r="DS330" i="1"/>
  <c r="DS359" i="1"/>
  <c r="DS365" i="1"/>
  <c r="DS381" i="1"/>
  <c r="DS397" i="1"/>
  <c r="DS413" i="1"/>
  <c r="DS429" i="1"/>
  <c r="DS459" i="1"/>
  <c r="DS475" i="1"/>
  <c r="DS489" i="1"/>
  <c r="DS503" i="1"/>
  <c r="DS519" i="1"/>
  <c r="DS537" i="1"/>
  <c r="DS553" i="1"/>
  <c r="DS569" i="1"/>
  <c r="DS585" i="1"/>
  <c r="DS601" i="1"/>
  <c r="DS617" i="1"/>
  <c r="DS633" i="1"/>
  <c r="DS664" i="1"/>
  <c r="DS680" i="1"/>
  <c r="DS692" i="1"/>
  <c r="DS700" i="1"/>
  <c r="DS715" i="1"/>
  <c r="DS726" i="1"/>
  <c r="DS742" i="1"/>
  <c r="DS758" i="1"/>
  <c r="DS774" i="1"/>
  <c r="DS796" i="1"/>
  <c r="DS812" i="1"/>
  <c r="DS825" i="1"/>
  <c r="DS841" i="1"/>
  <c r="DS857" i="1"/>
  <c r="DS873" i="1"/>
  <c r="DS889" i="1"/>
  <c r="DS899" i="1"/>
  <c r="DS915" i="1"/>
  <c r="DS930" i="1"/>
  <c r="DS983" i="1"/>
  <c r="DS995" i="1"/>
  <c r="DS1000" i="1"/>
  <c r="DS1029" i="1"/>
  <c r="DS1037" i="1"/>
  <c r="DS1052" i="1"/>
  <c r="DS1075" i="1"/>
  <c r="DS1090" i="1"/>
  <c r="DS1105" i="1"/>
  <c r="DS1121" i="1"/>
  <c r="DS1136" i="1"/>
  <c r="DS1142" i="1"/>
  <c r="DS1158" i="1"/>
  <c r="DS1174" i="1"/>
  <c r="DS1190" i="1"/>
  <c r="DS1198" i="1"/>
  <c r="DS1214" i="1"/>
  <c r="DS1227" i="1"/>
  <c r="DS1243" i="1"/>
  <c r="DS1259" i="1"/>
  <c r="DS1268" i="1"/>
  <c r="DS1285" i="1"/>
  <c r="DS1306" i="1"/>
  <c r="DS19" i="1"/>
  <c r="DS36" i="1"/>
  <c r="DS58" i="1"/>
  <c r="DS67" i="1"/>
  <c r="DS75" i="1"/>
  <c r="DS104" i="1"/>
  <c r="DS122" i="1"/>
  <c r="DS155" i="1"/>
  <c r="DS167" i="1"/>
  <c r="DS193" i="1"/>
  <c r="DS196" i="1"/>
  <c r="DS212" i="1"/>
  <c r="DS228" i="1"/>
  <c r="DS247" i="1"/>
  <c r="DS263" i="1"/>
  <c r="DS279" i="1"/>
  <c r="DS295" i="1"/>
  <c r="DS311" i="1"/>
  <c r="DS327" i="1"/>
  <c r="DS343" i="1"/>
  <c r="DS356" i="1"/>
  <c r="DS378" i="1"/>
  <c r="DS394" i="1"/>
  <c r="DS410" i="1"/>
  <c r="DS426" i="1"/>
  <c r="DS442" i="1"/>
  <c r="DS456" i="1"/>
  <c r="DS472" i="1"/>
  <c r="DS500" i="1"/>
  <c r="DS516" i="1"/>
  <c r="DS534" i="1"/>
  <c r="DS550" i="1"/>
  <c r="DS566" i="1"/>
  <c r="DS582" i="1"/>
  <c r="DS598" i="1"/>
  <c r="DS614" i="1"/>
  <c r="DS630" i="1"/>
  <c r="DS646" i="1"/>
  <c r="DS661" i="1"/>
  <c r="DS677" i="1"/>
  <c r="DS690" i="1"/>
  <c r="DS698" i="1"/>
  <c r="DS739" i="1"/>
  <c r="DS755" i="1"/>
  <c r="DS771" i="1"/>
  <c r="DS793" i="1"/>
  <c r="DS809" i="1"/>
  <c r="DS823" i="1"/>
  <c r="DS838" i="1"/>
  <c r="DS854" i="1"/>
  <c r="DS870" i="1"/>
  <c r="DS886" i="1"/>
  <c r="DS896" i="1"/>
  <c r="DS912" i="1"/>
  <c r="DS927" i="1"/>
  <c r="DS941" i="1"/>
  <c r="DS963" i="1"/>
  <c r="DS977" i="1"/>
  <c r="DS982" i="1"/>
  <c r="DS994" i="1"/>
  <c r="DS1011" i="1"/>
  <c r="DS1034" i="1"/>
  <c r="DS1044" i="1"/>
  <c r="DS1056" i="1"/>
  <c r="DS1072" i="1"/>
  <c r="DS1087" i="1"/>
  <c r="DS1102" i="1"/>
  <c r="DS1118" i="1"/>
  <c r="DS1133" i="1"/>
  <c r="DS1139" i="1"/>
  <c r="DS1155" i="1"/>
  <c r="DS1171" i="1"/>
  <c r="DS1187" i="1"/>
  <c r="DS1211" i="1"/>
  <c r="DS1224" i="1"/>
  <c r="DS1240" i="1"/>
  <c r="DS1284" i="1"/>
  <c r="DS1299" i="1"/>
  <c r="DS34" i="1"/>
  <c r="DS56" i="1"/>
  <c r="DS73" i="1"/>
  <c r="DS153" i="1"/>
  <c r="DS177" i="1"/>
  <c r="DS183" i="1"/>
  <c r="DS189" i="1"/>
  <c r="DS209" i="1"/>
  <c r="DS225" i="1"/>
  <c r="DS244" i="1"/>
  <c r="DS260" i="1"/>
  <c r="DS276" i="1"/>
  <c r="DS292" i="1"/>
  <c r="DS308" i="1"/>
  <c r="DS324" i="1"/>
  <c r="DS340" i="1"/>
  <c r="DS353" i="1"/>
  <c r="DS375" i="1"/>
  <c r="DS391" i="1"/>
  <c r="DS407" i="1"/>
  <c r="DS423" i="1"/>
  <c r="DS439" i="1"/>
  <c r="DS453" i="1"/>
  <c r="DS469" i="1"/>
  <c r="DS485" i="1"/>
  <c r="DS497" i="1"/>
  <c r="DS513" i="1"/>
  <c r="DS529" i="1"/>
  <c r="DS531" i="1"/>
  <c r="DS547" i="1"/>
  <c r="DS563" i="1"/>
  <c r="DS579" i="1"/>
  <c r="DS595" i="1"/>
  <c r="DS611" i="1"/>
  <c r="DS627" i="1"/>
  <c r="DS643" i="1"/>
  <c r="DS658" i="1"/>
  <c r="DS674" i="1"/>
  <c r="DS710" i="1"/>
  <c r="DS736" i="1"/>
  <c r="DS752" i="1"/>
  <c r="DS768" i="1"/>
  <c r="DS784" i="1"/>
  <c r="DS790" i="1"/>
  <c r="DS806" i="1"/>
  <c r="DS820" i="1"/>
  <c r="DS835" i="1"/>
  <c r="DS851" i="1"/>
  <c r="DS867" i="1"/>
  <c r="DS883" i="1"/>
  <c r="DS909" i="1"/>
  <c r="DS925" i="1"/>
  <c r="DS938" i="1"/>
  <c r="DS961" i="1"/>
  <c r="DS992" i="1"/>
  <c r="DS997" i="1"/>
  <c r="DS1021" i="1"/>
  <c r="DS1031" i="1"/>
  <c r="DS1039" i="1"/>
  <c r="DS1069" i="1"/>
  <c r="DS1084" i="1"/>
  <c r="DS1099" i="1"/>
  <c r="DS1115" i="1"/>
  <c r="DS1130" i="1"/>
  <c r="DS1152" i="1"/>
  <c r="DS1168" i="1"/>
  <c r="DS1184" i="1"/>
  <c r="DS1208" i="1"/>
  <c r="DS1221" i="1"/>
  <c r="DS1237" i="1"/>
  <c r="DS1253" i="1"/>
  <c r="DS1272" i="1"/>
  <c r="DS1297" i="1"/>
  <c r="DS15" i="1"/>
  <c r="DS27" i="1"/>
  <c r="DS31" i="1"/>
  <c r="DS43" i="1"/>
  <c r="DS55" i="1"/>
  <c r="DS64" i="1"/>
  <c r="DS78" i="1"/>
  <c r="DS85" i="1"/>
  <c r="DS93" i="1"/>
  <c r="DS100" i="1"/>
  <c r="DS110" i="1"/>
  <c r="DS118" i="1"/>
  <c r="DS129" i="1"/>
  <c r="DS138" i="1"/>
  <c r="DS150" i="1"/>
  <c r="DS162" i="1"/>
  <c r="DS175" i="1"/>
  <c r="DS187" i="1"/>
  <c r="DS206" i="1"/>
  <c r="DS222" i="1"/>
  <c r="DS241" i="1"/>
  <c r="DS257" i="1"/>
  <c r="DS273" i="1"/>
  <c r="DS289" i="1"/>
  <c r="DS305" i="1"/>
  <c r="DS321" i="1"/>
  <c r="DS337" i="1"/>
  <c r="DS350" i="1"/>
  <c r="DS372" i="1"/>
  <c r="DS388" i="1"/>
  <c r="DS404" i="1"/>
  <c r="DS420" i="1"/>
  <c r="DS436" i="1"/>
  <c r="DS450" i="1"/>
  <c r="DS466" i="1"/>
  <c r="DS482" i="1"/>
  <c r="DS494" i="1"/>
  <c r="DS510" i="1"/>
  <c r="DS526" i="1"/>
  <c r="DS544" i="1"/>
  <c r="DS560" i="1"/>
  <c r="DS576" i="1"/>
  <c r="DS592" i="1"/>
  <c r="DS608" i="1"/>
  <c r="DS624" i="1"/>
  <c r="DS640" i="1"/>
  <c r="DS655" i="1"/>
  <c r="DS671" i="1"/>
  <c r="DS687" i="1"/>
  <c r="DS695" i="1"/>
  <c r="DS707" i="1"/>
  <c r="DS722" i="1"/>
  <c r="DS733" i="1"/>
  <c r="DS749" i="1"/>
  <c r="DS765" i="1"/>
  <c r="DS781" i="1"/>
  <c r="DS787" i="1"/>
  <c r="DS803" i="1"/>
  <c r="DS817" i="1"/>
  <c r="DS832" i="1"/>
  <c r="DS848" i="1"/>
  <c r="DS864" i="1"/>
  <c r="DS880" i="1"/>
  <c r="DS906" i="1"/>
  <c r="DS922" i="1"/>
  <c r="DS935" i="1"/>
  <c r="DS949" i="1"/>
  <c r="DS958" i="1"/>
  <c r="DS973" i="1"/>
  <c r="DS990" i="1"/>
  <c r="DS1004" i="1"/>
  <c r="DS1018" i="1"/>
  <c r="DS1038" i="1"/>
  <c r="DS1042" i="1"/>
  <c r="DS1066" i="1"/>
  <c r="DS1096" i="1"/>
  <c r="DS1112" i="1"/>
  <c r="DS1149" i="1"/>
  <c r="DS1165" i="1"/>
  <c r="DS1181" i="1"/>
  <c r="DS1205" i="1"/>
  <c r="DS1218" i="1"/>
  <c r="DS1234" i="1"/>
  <c r="DS1250" i="1"/>
  <c r="DS1283" i="1"/>
  <c r="DS1289" i="1"/>
  <c r="DH4" i="1"/>
  <c r="DH5" i="1"/>
  <c r="DS24" i="1"/>
  <c r="DS41" i="1"/>
  <c r="DS52" i="1"/>
  <c r="DS71" i="1"/>
  <c r="DS83" i="1"/>
  <c r="DS97" i="1"/>
  <c r="DS115" i="1"/>
  <c r="DS126" i="1"/>
  <c r="DS135" i="1"/>
  <c r="DS172" i="1"/>
  <c r="DS188" i="1"/>
  <c r="DS203" i="1"/>
  <c r="DS219" i="1"/>
  <c r="DS238" i="1"/>
  <c r="DS254" i="1"/>
  <c r="DS270" i="1"/>
  <c r="DS286" i="1"/>
  <c r="DS302" i="1"/>
  <c r="DS318" i="1"/>
  <c r="DS334" i="1"/>
  <c r="DS347" i="1"/>
  <c r="DS363" i="1"/>
  <c r="DS369" i="1"/>
  <c r="DS385" i="1"/>
  <c r="DS401" i="1"/>
  <c r="DS417" i="1"/>
  <c r="DS433" i="1"/>
  <c r="DS447" i="1"/>
  <c r="DS463" i="1"/>
  <c r="DS479" i="1"/>
  <c r="DS493" i="1"/>
  <c r="DS507" i="1"/>
  <c r="DS523" i="1"/>
  <c r="DS541" i="1"/>
  <c r="DS557" i="1"/>
  <c r="DS573" i="1"/>
  <c r="DS589" i="1"/>
  <c r="DS605" i="1"/>
  <c r="DS621" i="1"/>
  <c r="DS637" i="1"/>
  <c r="DS652" i="1"/>
  <c r="DS668" i="1"/>
  <c r="DS684" i="1"/>
  <c r="DS705" i="1"/>
  <c r="DS719" i="1"/>
  <c r="DS730" i="1"/>
  <c r="DS746" i="1"/>
  <c r="DS762" i="1"/>
  <c r="DS778" i="1"/>
  <c r="DS800" i="1"/>
  <c r="DS829" i="1"/>
  <c r="DS845" i="1"/>
  <c r="DS861" i="1"/>
  <c r="DS877" i="1"/>
  <c r="DS893" i="1"/>
  <c r="DS903" i="1"/>
  <c r="DS919" i="1"/>
  <c r="DS946" i="1"/>
  <c r="DS955" i="1"/>
  <c r="DS971" i="1"/>
  <c r="DS987" i="1"/>
  <c r="DS996" i="1"/>
  <c r="DS1003" i="1"/>
  <c r="DS1016" i="1"/>
  <c r="DS1024" i="1"/>
  <c r="DS1049" i="1"/>
  <c r="DS1054" i="1"/>
  <c r="DS1063" i="1"/>
  <c r="DS1079" i="1"/>
  <c r="DS1093" i="1"/>
  <c r="DS1109" i="1"/>
  <c r="DS1125" i="1"/>
  <c r="DS1146" i="1"/>
  <c r="DS1162" i="1"/>
  <c r="DS1178" i="1"/>
  <c r="DS1194" i="1"/>
  <c r="DS1202" i="1"/>
  <c r="DS1231" i="1"/>
  <c r="DS1247" i="1"/>
  <c r="DS1263" i="1"/>
  <c r="DS1288" i="1"/>
  <c r="DS1293" i="1"/>
  <c r="DS22" i="1"/>
  <c r="DS49" i="1"/>
  <c r="DS82" i="1"/>
  <c r="DS112" i="1"/>
  <c r="DS124" i="1"/>
  <c r="DS146" i="1"/>
  <c r="DS158" i="1"/>
  <c r="DS169" i="1"/>
  <c r="DS200" i="1"/>
  <c r="DS216" i="1"/>
  <c r="DS232" i="1"/>
  <c r="DS235" i="1"/>
  <c r="DS251" i="1"/>
  <c r="DS267" i="1"/>
  <c r="DS283" i="1"/>
  <c r="DS299" i="1"/>
  <c r="DS315" i="1"/>
  <c r="DS331" i="1"/>
  <c r="DS344" i="1"/>
  <c r="DS360" i="1"/>
  <c r="DS366" i="1"/>
  <c r="DS382" i="1"/>
  <c r="DS398" i="1"/>
  <c r="DS414" i="1"/>
  <c r="DS430" i="1"/>
  <c r="DS444" i="1"/>
  <c r="DS460" i="1"/>
  <c r="DS476" i="1"/>
  <c r="DS490" i="1"/>
  <c r="DS504" i="1"/>
  <c r="DS520" i="1"/>
  <c r="DS538" i="1"/>
  <c r="DS554" i="1"/>
  <c r="DS570" i="1"/>
  <c r="DS586" i="1"/>
  <c r="DS602" i="1"/>
  <c r="DS618" i="1"/>
  <c r="DS634" i="1"/>
  <c r="DS649" i="1"/>
  <c r="DS665" i="1"/>
  <c r="DS681" i="1"/>
  <c r="DS716" i="1"/>
  <c r="DS727" i="1"/>
  <c r="DS743" i="1"/>
  <c r="DS759" i="1"/>
  <c r="DS775" i="1"/>
  <c r="DS797" i="1"/>
  <c r="DS813" i="1"/>
  <c r="DS826" i="1"/>
  <c r="DS842" i="1"/>
  <c r="DS858" i="1"/>
  <c r="DS874" i="1"/>
  <c r="DS890" i="1"/>
  <c r="DS895" i="1"/>
  <c r="DS900" i="1"/>
  <c r="DS916" i="1"/>
  <c r="DS931" i="1"/>
  <c r="DS943" i="1"/>
  <c r="DS953" i="1"/>
  <c r="DS966" i="1"/>
  <c r="DS984" i="1"/>
  <c r="DS1001" i="1"/>
  <c r="DS1041" i="1"/>
  <c r="DS1046" i="1"/>
  <c r="DS1060" i="1"/>
  <c r="DS1076" i="1"/>
  <c r="DS1106" i="1"/>
  <c r="DS1122" i="1"/>
  <c r="DS1143" i="1"/>
  <c r="DS1159" i="1"/>
  <c r="DS1175" i="1"/>
  <c r="DS1191" i="1"/>
  <c r="DS1199" i="1"/>
  <c r="DS1228" i="1"/>
  <c r="DS1244" i="1"/>
  <c r="DS1262" i="1"/>
  <c r="DS1269" i="1"/>
  <c r="DS1276" i="1"/>
  <c r="DS1286" i="1"/>
  <c r="DS1307" i="1"/>
  <c r="DS10" i="1"/>
  <c r="DS37" i="1"/>
  <c r="DS46" i="1"/>
  <c r="DS59" i="1"/>
  <c r="DS68" i="1"/>
  <c r="DS105" i="1"/>
  <c r="DS143" i="1"/>
  <c r="DS156" i="1"/>
  <c r="DS197" i="1"/>
  <c r="DS213" i="1"/>
  <c r="DS229" i="1"/>
  <c r="DS248" i="1"/>
  <c r="DS264" i="1"/>
  <c r="DS280" i="1"/>
  <c r="DS296" i="1"/>
  <c r="DS312" i="1"/>
  <c r="DS328" i="1"/>
  <c r="DS357" i="1"/>
  <c r="DS379" i="1"/>
  <c r="DS395" i="1"/>
  <c r="DS411" i="1"/>
  <c r="DS427" i="1"/>
  <c r="DS443" i="1"/>
  <c r="DS457" i="1"/>
  <c r="DS473" i="1"/>
  <c r="DS501" i="1"/>
  <c r="DS517" i="1"/>
  <c r="DS535" i="1"/>
  <c r="DS551" i="1"/>
  <c r="DS567" i="1"/>
  <c r="DS583" i="1"/>
  <c r="DS599" i="1"/>
  <c r="DS615" i="1"/>
  <c r="DS631" i="1"/>
  <c r="DS647" i="1"/>
  <c r="DS662" i="1"/>
  <c r="DS678" i="1"/>
  <c r="DS691" i="1"/>
  <c r="DS713" i="1"/>
  <c r="DS740" i="1"/>
  <c r="DS756" i="1"/>
  <c r="DS772" i="1"/>
  <c r="DS794" i="1"/>
  <c r="DS810" i="1"/>
  <c r="DS839" i="1"/>
  <c r="DS855" i="1"/>
  <c r="DS871" i="1"/>
  <c r="DS887" i="1"/>
  <c r="DS897" i="1"/>
  <c r="DS913" i="1"/>
  <c r="DS928" i="1"/>
  <c r="DS942" i="1"/>
  <c r="DS952" i="1"/>
  <c r="DS964" i="1"/>
  <c r="DS970" i="1"/>
  <c r="DS978" i="1"/>
  <c r="DS1012" i="1"/>
  <c r="DS1035" i="1"/>
  <c r="DS1045" i="1"/>
  <c r="DS1073" i="1"/>
  <c r="DS1088" i="1"/>
  <c r="DS1103" i="1"/>
  <c r="DS1119" i="1"/>
  <c r="DS1134" i="1"/>
  <c r="DS1140" i="1"/>
  <c r="DS1156" i="1"/>
  <c r="DS1172" i="1"/>
  <c r="DS1188" i="1"/>
  <c r="DS1212" i="1"/>
  <c r="DS1225" i="1"/>
  <c r="DS1241" i="1"/>
  <c r="DS1261" i="1"/>
  <c r="DS1266" i="1"/>
  <c r="DS1274" i="1"/>
  <c r="DS8" i="1"/>
  <c r="DS35" i="1"/>
  <c r="DS45" i="1"/>
  <c r="DS74" i="1"/>
  <c r="DS87" i="1"/>
  <c r="DS88" i="1"/>
  <c r="DS102" i="1"/>
  <c r="DS121" i="1"/>
  <c r="DS132" i="1"/>
  <c r="DS141" i="1"/>
  <c r="DS154" i="1"/>
  <c r="DS165" i="1"/>
  <c r="DS184" i="1"/>
  <c r="DS190" i="1"/>
  <c r="DS194" i="1"/>
  <c r="DS210" i="1"/>
  <c r="DS226" i="1"/>
  <c r="DS245" i="1"/>
  <c r="DS261" i="1"/>
  <c r="DS277" i="1"/>
  <c r="DS293" i="1"/>
  <c r="DS309" i="1"/>
  <c r="DS325" i="1"/>
  <c r="DS341" i="1"/>
  <c r="DS354" i="1"/>
  <c r="DS376" i="1"/>
  <c r="DS392" i="1"/>
  <c r="DS408" i="1"/>
  <c r="DS424" i="1"/>
  <c r="DS440" i="1"/>
  <c r="DS454" i="1"/>
  <c r="DS470" i="1"/>
  <c r="DS486" i="1"/>
  <c r="DS498" i="1"/>
  <c r="DS514" i="1"/>
  <c r="DS532" i="1"/>
  <c r="DS548" i="1"/>
  <c r="DS564" i="1"/>
  <c r="DS580" i="1"/>
  <c r="DS596" i="1"/>
  <c r="DS612" i="1"/>
  <c r="DS628" i="1"/>
  <c r="DS644" i="1"/>
  <c r="DS659" i="1"/>
  <c r="DS675" i="1"/>
  <c r="DS703" i="1"/>
  <c r="DS711" i="1"/>
  <c r="DS737" i="1"/>
  <c r="DS753" i="1"/>
  <c r="DS769" i="1"/>
  <c r="DS791" i="1"/>
  <c r="DS807" i="1"/>
  <c r="DS821" i="1"/>
  <c r="DS836" i="1"/>
  <c r="DS852" i="1"/>
  <c r="DS868" i="1"/>
  <c r="DS884" i="1"/>
  <c r="DS910" i="1"/>
  <c r="DS926" i="1"/>
  <c r="DS939" i="1"/>
  <c r="DS951" i="1"/>
  <c r="DS962" i="1"/>
  <c r="DS980" i="1"/>
  <c r="DS993" i="1"/>
  <c r="DS998" i="1"/>
  <c r="DS1032" i="1"/>
  <c r="DS1043" i="1"/>
  <c r="DS1070" i="1"/>
  <c r="DS1085" i="1"/>
  <c r="DS1100" i="1"/>
  <c r="DS1116" i="1"/>
  <c r="DS1131" i="1"/>
  <c r="DS1137" i="1"/>
  <c r="DS1153" i="1"/>
  <c r="DS1169" i="1"/>
  <c r="DS1185" i="1"/>
  <c r="DS1209" i="1"/>
  <c r="DS1222" i="1"/>
  <c r="DS1238" i="1"/>
  <c r="DS1254" i="1"/>
  <c r="DS1292" i="1"/>
  <c r="DS1304" i="1"/>
  <c r="DS16" i="1"/>
  <c r="DS28" i="1"/>
  <c r="DS32" i="1"/>
  <c r="DS65" i="1"/>
  <c r="DS79" i="1"/>
  <c r="DS94" i="1"/>
  <c r="DS119" i="1"/>
  <c r="DS130" i="1"/>
  <c r="DS139" i="1"/>
  <c r="DS151" i="1"/>
  <c r="DS163" i="1"/>
  <c r="DS207" i="1"/>
  <c r="DS223" i="1"/>
  <c r="DS242" i="1"/>
  <c r="DS258" i="1"/>
  <c r="DS274" i="1"/>
  <c r="DS290" i="1"/>
  <c r="DS306" i="1"/>
  <c r="DS322" i="1"/>
  <c r="DS338" i="1"/>
  <c r="DS351" i="1"/>
  <c r="DS373" i="1"/>
  <c r="DS389" i="1"/>
  <c r="DS405" i="1"/>
  <c r="DS421" i="1"/>
  <c r="DS437" i="1"/>
  <c r="DS451" i="1"/>
  <c r="DS467" i="1"/>
  <c r="DS483" i="1"/>
  <c r="DS495" i="1"/>
  <c r="DS511" i="1"/>
  <c r="DS527" i="1"/>
  <c r="DS545" i="1"/>
  <c r="DS561" i="1"/>
  <c r="DS577" i="1"/>
  <c r="DS593" i="1"/>
  <c r="DS609" i="1"/>
  <c r="DS625" i="1"/>
  <c r="DS641" i="1"/>
  <c r="DS656" i="1"/>
  <c r="DS672" i="1"/>
  <c r="DS688" i="1"/>
  <c r="DS689" i="1"/>
  <c r="DS696" i="1"/>
  <c r="DS701" i="1"/>
  <c r="DS708" i="1"/>
  <c r="DS723" i="1"/>
  <c r="DS734" i="1"/>
  <c r="DS750" i="1"/>
  <c r="DS766" i="1"/>
  <c r="DS782" i="1"/>
  <c r="DS788" i="1"/>
  <c r="DS804" i="1"/>
  <c r="DS818" i="1"/>
  <c r="DS833" i="1"/>
  <c r="DS849" i="1"/>
  <c r="DS865" i="1"/>
  <c r="DS881" i="1"/>
  <c r="DS907" i="1"/>
  <c r="DS923" i="1"/>
  <c r="DS936" i="1"/>
  <c r="DS950" i="1"/>
  <c r="DS959" i="1"/>
  <c r="DS974" i="1"/>
  <c r="DS1005" i="1"/>
  <c r="DS1009" i="1"/>
  <c r="DS1019" i="1"/>
  <c r="DS1027" i="1"/>
  <c r="DS1028" i="1"/>
  <c r="DS1057" i="1"/>
  <c r="DS1067" i="1"/>
  <c r="DS1082" i="1"/>
  <c r="DS1097" i="1"/>
  <c r="DS1113" i="1"/>
  <c r="DS1128" i="1"/>
  <c r="DS1150" i="1"/>
  <c r="DS1166" i="1"/>
  <c r="DS1182" i="1"/>
  <c r="DS1206" i="1"/>
  <c r="DS1219" i="1"/>
  <c r="DS1235" i="1"/>
  <c r="DS1251" i="1"/>
  <c r="DS1260" i="1"/>
  <c r="DS1264" i="1"/>
  <c r="DS1290" i="1"/>
  <c r="DS1303" i="1"/>
  <c r="DS13" i="1"/>
  <c r="DS25" i="1"/>
  <c r="DS29" i="1"/>
  <c r="DS42" i="1"/>
  <c r="DS53" i="1"/>
  <c r="DS72" i="1"/>
  <c r="DS77" i="1"/>
  <c r="DS84" i="1"/>
  <c r="DS92" i="1"/>
  <c r="DS98" i="1"/>
  <c r="DS109" i="1"/>
  <c r="DS116" i="1"/>
  <c r="DS127" i="1"/>
  <c r="DS136" i="1"/>
  <c r="DS149" i="1"/>
  <c r="DS161" i="1"/>
  <c r="DS173" i="1"/>
  <c r="DS181" i="1"/>
  <c r="DS204" i="1"/>
  <c r="DS220" i="1"/>
  <c r="DS239" i="1"/>
  <c r="DS255" i="1"/>
  <c r="DS271" i="1"/>
  <c r="DS287" i="1"/>
  <c r="DS303" i="1"/>
  <c r="DS319" i="1"/>
  <c r="DS335" i="1"/>
  <c r="DS348" i="1"/>
  <c r="DS370" i="1"/>
  <c r="DS386" i="1"/>
  <c r="DS402" i="1"/>
  <c r="DS418" i="1"/>
  <c r="DS434" i="1"/>
  <c r="DS448" i="1"/>
  <c r="DS464" i="1"/>
  <c r="DS480" i="1"/>
  <c r="DS508" i="1"/>
  <c r="DS524" i="1"/>
  <c r="DS542" i="1"/>
  <c r="DS558" i="1"/>
  <c r="DS574" i="1"/>
  <c r="DS590" i="1"/>
  <c r="DS606" i="1"/>
  <c r="DS622" i="1"/>
  <c r="DS638" i="1"/>
  <c r="DS653" i="1"/>
  <c r="DS669" i="1"/>
  <c r="DS685" i="1"/>
  <c r="DS706" i="1"/>
  <c r="DS720" i="1"/>
  <c r="DS731" i="1"/>
  <c r="DS747" i="1"/>
  <c r="DS763" i="1"/>
  <c r="DS779" i="1"/>
  <c r="DS801" i="1"/>
  <c r="DS815" i="1"/>
  <c r="DS830" i="1"/>
  <c r="DS846" i="1"/>
  <c r="DS862" i="1"/>
  <c r="DS878" i="1"/>
  <c r="DS904" i="1"/>
  <c r="DS920" i="1"/>
  <c r="DS947" i="1"/>
  <c r="DS956" i="1"/>
  <c r="DS988" i="1"/>
  <c r="DS1025" i="1"/>
  <c r="DS1050" i="1"/>
  <c r="DS1064" i="1"/>
  <c r="DS1080" i="1"/>
  <c r="DS1094" i="1"/>
  <c r="DS1110" i="1"/>
  <c r="DS1126" i="1"/>
  <c r="DS1147" i="1"/>
  <c r="DS1163" i="1"/>
  <c r="DS1179" i="1"/>
  <c r="DS1195" i="1"/>
  <c r="DS1203" i="1"/>
  <c r="DS1216" i="1"/>
  <c r="DS1232" i="1"/>
  <c r="DS1248" i="1"/>
  <c r="DS1282" i="1"/>
  <c r="DS1294" i="1"/>
  <c r="DS1302" i="1"/>
  <c r="DS11" i="1"/>
  <c r="DS23" i="1"/>
  <c r="DS39" i="1"/>
  <c r="DS50" i="1"/>
  <c r="DS62" i="1"/>
  <c r="DS76" i="1"/>
  <c r="DS90" i="1"/>
  <c r="DS95" i="1"/>
  <c r="DS113" i="1"/>
  <c r="DS134" i="1"/>
  <c r="DS147" i="1"/>
  <c r="DS159" i="1"/>
  <c r="DS170" i="1"/>
  <c r="DS180" i="1"/>
  <c r="DS185" i="1"/>
  <c r="DS201" i="1"/>
  <c r="DS217" i="1"/>
  <c r="DS233" i="1"/>
  <c r="DS236" i="1"/>
  <c r="DS252" i="1"/>
  <c r="DS268" i="1"/>
  <c r="DS284" i="1"/>
  <c r="DS300" i="1"/>
  <c r="DS316" i="1"/>
  <c r="DS332" i="1"/>
  <c r="DS345" i="1"/>
  <c r="DS361" i="1"/>
  <c r="DS367" i="1"/>
  <c r="DS383" i="1"/>
  <c r="DS399" i="1"/>
  <c r="DS415" i="1"/>
  <c r="DS431" i="1"/>
  <c r="DS445" i="1"/>
  <c r="DS461" i="1"/>
  <c r="DS477" i="1"/>
  <c r="DS491" i="1"/>
  <c r="DS505" i="1"/>
  <c r="DS521" i="1"/>
  <c r="DS539" i="1"/>
  <c r="DS555" i="1"/>
  <c r="DS571" i="1"/>
  <c r="DS587" i="1"/>
  <c r="DS603" i="1"/>
  <c r="DS619" i="1"/>
  <c r="DS635" i="1"/>
  <c r="DS650" i="1"/>
  <c r="DS666" i="1"/>
  <c r="DS682" i="1"/>
  <c r="DS693" i="1"/>
  <c r="DS717" i="1"/>
  <c r="DS728" i="1"/>
  <c r="DS744" i="1"/>
  <c r="DS760" i="1"/>
  <c r="DS776" i="1"/>
  <c r="DS798" i="1"/>
  <c r="DS827" i="1"/>
  <c r="DS843" i="1"/>
  <c r="DS859" i="1"/>
  <c r="DS875" i="1"/>
  <c r="DS891" i="1"/>
  <c r="DS901" i="1"/>
  <c r="DS917" i="1"/>
  <c r="DS932" i="1"/>
  <c r="DS944" i="1"/>
  <c r="DS954" i="1"/>
  <c r="DS967" i="1"/>
  <c r="DS985" i="1"/>
  <c r="DS1002" i="1"/>
  <c r="DS1007" i="1"/>
  <c r="DS1014" i="1"/>
  <c r="DS1047" i="1"/>
  <c r="DS1061" i="1"/>
  <c r="DS1077" i="1"/>
  <c r="DS1091" i="1"/>
  <c r="DS1107" i="1"/>
  <c r="DS1123" i="1"/>
  <c r="DS1144" i="1"/>
  <c r="DS1160" i="1"/>
  <c r="DS1176" i="1"/>
  <c r="DS1192" i="1"/>
  <c r="DS1200" i="1"/>
  <c r="DS1215" i="1"/>
  <c r="DS1229" i="1"/>
  <c r="DS1245" i="1"/>
  <c r="DS1256" i="1"/>
  <c r="DS1277" i="1"/>
  <c r="DS1281" i="1"/>
  <c r="DS1301" i="1"/>
  <c r="DS1308" i="1"/>
  <c r="DS20" i="1"/>
  <c r="DS38" i="1"/>
  <c r="DS47" i="1"/>
  <c r="DS60" i="1"/>
  <c r="DS69" i="1"/>
  <c r="DS89" i="1"/>
  <c r="DS106" i="1"/>
  <c r="DS123" i="1"/>
  <c r="DS144" i="1"/>
  <c r="DS157" i="1"/>
  <c r="DS179" i="1"/>
  <c r="DS198" i="1"/>
  <c r="DS214" i="1"/>
  <c r="DS230" i="1"/>
  <c r="DS249" i="1"/>
  <c r="DS265" i="1"/>
  <c r="DS281" i="1"/>
  <c r="DS297" i="1"/>
  <c r="DS313" i="1"/>
  <c r="DS329" i="1"/>
  <c r="DS358" i="1"/>
  <c r="DS364" i="1"/>
  <c r="DS380" i="1"/>
  <c r="DS396" i="1"/>
  <c r="DS412" i="1"/>
  <c r="DS428" i="1"/>
  <c r="DS458" i="1"/>
  <c r="DS474" i="1"/>
  <c r="DS488" i="1"/>
  <c r="DS502" i="1"/>
  <c r="DS518" i="1"/>
  <c r="DS536" i="1"/>
  <c r="DS552" i="1"/>
  <c r="DS568" i="1"/>
  <c r="DS584" i="1"/>
  <c r="DS600" i="1"/>
  <c r="DS616" i="1"/>
  <c r="DS632" i="1"/>
  <c r="DS648" i="1"/>
  <c r="DS663" i="1"/>
  <c r="DS679" i="1"/>
  <c r="DS699" i="1"/>
  <c r="DS714" i="1"/>
  <c r="DS725" i="1"/>
  <c r="DS741" i="1"/>
  <c r="DS757" i="1"/>
  <c r="DS773" i="1"/>
  <c r="DS795" i="1"/>
  <c r="DS811" i="1"/>
  <c r="DS824" i="1"/>
  <c r="DS840" i="1"/>
  <c r="DS856" i="1"/>
  <c r="DS872" i="1"/>
  <c r="DS888" i="1"/>
  <c r="DS894" i="1"/>
  <c r="DS898" i="1"/>
  <c r="DS914" i="1"/>
  <c r="DS929" i="1"/>
  <c r="DS965" i="1"/>
  <c r="DS979" i="1"/>
  <c r="DS1006" i="1"/>
  <c r="DS1013" i="1"/>
  <c r="DS1036" i="1"/>
  <c r="DS1051" i="1"/>
  <c r="DS1059" i="1"/>
  <c r="DS1074" i="1"/>
  <c r="DS1089" i="1"/>
  <c r="DS1104" i="1"/>
  <c r="DS1120" i="1"/>
  <c r="DS1135" i="1"/>
  <c r="DS1141" i="1"/>
  <c r="DS1157" i="1"/>
  <c r="DS1173" i="1"/>
  <c r="DS1189" i="1"/>
  <c r="DS1197" i="1"/>
  <c r="DS1213" i="1"/>
  <c r="DS1226" i="1"/>
  <c r="DS1242" i="1"/>
  <c r="DS1267" i="1"/>
  <c r="DS1305" i="1"/>
  <c r="DS869" i="1"/>
  <c r="DS808" i="1"/>
  <c r="DS738" i="1"/>
  <c r="DS581" i="1"/>
  <c r="DS487" i="1"/>
  <c r="DS441" i="1"/>
  <c r="DS246" i="1"/>
  <c r="DS166" i="1"/>
  <c r="DS645" i="1"/>
  <c r="DS377" i="1"/>
  <c r="DS310" i="1"/>
  <c r="DS227" i="1"/>
  <c r="DQ685" i="1"/>
  <c r="DQ686" i="1"/>
  <c r="N2" i="4"/>
  <c r="J8" i="4"/>
  <c r="K8" i="4"/>
  <c r="DQ99" i="1"/>
  <c r="DQ98" i="1"/>
  <c r="DK4" i="1"/>
  <c r="DK5" i="1"/>
  <c r="DJ4" i="1"/>
  <c r="DJ5" i="1"/>
  <c r="DI4" i="1"/>
  <c r="DI5" i="1"/>
  <c r="B8" i="5"/>
  <c r="DQ687" i="1"/>
  <c r="DB4" i="1"/>
  <c r="DB5" i="1"/>
  <c r="B4" i="5"/>
  <c r="DR99" i="1"/>
  <c r="DP99" i="1"/>
  <c r="DR686" i="1"/>
  <c r="DP686" i="1"/>
  <c r="DR687" i="1"/>
  <c r="DP687" i="1"/>
  <c r="DR685" i="1"/>
  <c r="DP685" i="1"/>
  <c r="DR98" i="1"/>
  <c r="DP98" i="1"/>
  <c r="DQ688" i="1"/>
  <c r="DQ100" i="1"/>
  <c r="DR688" i="1"/>
  <c r="DP688" i="1"/>
  <c r="DR100" i="1"/>
  <c r="DP100" i="1"/>
  <c r="DQ101" i="1"/>
  <c r="DR101" i="1"/>
  <c r="DP101" i="1"/>
  <c r="DQ102" i="1"/>
  <c r="DR102" i="1"/>
  <c r="DP102" i="1"/>
  <c r="DQ103" i="1"/>
  <c r="DR103" i="1"/>
  <c r="DP103" i="1"/>
  <c r="DQ104" i="1"/>
  <c r="DQ105" i="1"/>
  <c r="DR104" i="1"/>
  <c r="DP104" i="1"/>
  <c r="DR105" i="1"/>
  <c r="DP105" i="1"/>
  <c r="DQ106" i="1"/>
  <c r="DR106" i="1"/>
  <c r="DP106" i="1"/>
  <c r="DQ107" i="1"/>
  <c r="DR107" i="1"/>
  <c r="DP107" i="1"/>
  <c r="DQ108" i="1"/>
  <c r="DR108" i="1"/>
  <c r="DP108" i="1"/>
  <c r="DQ109" i="1"/>
  <c r="DR109" i="1"/>
  <c r="DP109" i="1"/>
  <c r="DQ110" i="1"/>
  <c r="DR110" i="1"/>
  <c r="DP110" i="1"/>
  <c r="DQ234" i="1"/>
  <c r="DQ111" i="1"/>
  <c r="DR234" i="1"/>
  <c r="DP234" i="1"/>
  <c r="DQ235" i="1"/>
  <c r="DR111" i="1"/>
  <c r="DP111" i="1"/>
  <c r="DQ112" i="1"/>
  <c r="DP235" i="1"/>
  <c r="DR235" i="1"/>
  <c r="DQ236" i="1"/>
  <c r="DR112" i="1"/>
  <c r="DP112" i="1"/>
  <c r="DQ113" i="1"/>
  <c r="DQ237" i="1"/>
  <c r="DR236" i="1"/>
  <c r="DP236" i="1"/>
  <c r="DQ114" i="1"/>
  <c r="DR113" i="1"/>
  <c r="DP113" i="1"/>
  <c r="DP237" i="1"/>
  <c r="DR237" i="1"/>
  <c r="DQ238" i="1"/>
  <c r="DR114" i="1"/>
  <c r="DP114" i="1"/>
  <c r="DQ115" i="1"/>
  <c r="DQ239" i="1"/>
  <c r="DR238" i="1"/>
  <c r="DP238" i="1"/>
  <c r="DR115" i="1"/>
  <c r="DP115" i="1"/>
  <c r="DQ116" i="1"/>
  <c r="DP239" i="1"/>
  <c r="DR239" i="1"/>
  <c r="DQ240" i="1"/>
  <c r="DR116" i="1"/>
  <c r="DP116" i="1"/>
  <c r="DQ117" i="1"/>
  <c r="DR240" i="1"/>
  <c r="DP240" i="1"/>
  <c r="DQ241" i="1"/>
  <c r="DQ118" i="1"/>
  <c r="DR117" i="1"/>
  <c r="DP117" i="1"/>
  <c r="DR241" i="1"/>
  <c r="DP241" i="1"/>
  <c r="DQ242" i="1"/>
  <c r="DQ119" i="1"/>
  <c r="DR118" i="1"/>
  <c r="DP118" i="1"/>
  <c r="DR242" i="1"/>
  <c r="DP242" i="1"/>
  <c r="DQ243" i="1"/>
  <c r="DR119" i="1"/>
  <c r="DP119" i="1"/>
  <c r="DQ120" i="1"/>
  <c r="DR243" i="1"/>
  <c r="DP243" i="1"/>
  <c r="DQ244" i="1"/>
  <c r="DR120" i="1"/>
  <c r="DP120" i="1"/>
  <c r="DR244" i="1"/>
  <c r="DP244" i="1"/>
  <c r="DQ245" i="1"/>
  <c r="DQ121" i="1"/>
  <c r="DR245" i="1"/>
  <c r="DP245" i="1"/>
  <c r="DQ246" i="1"/>
  <c r="DR121" i="1"/>
  <c r="DP121" i="1"/>
  <c r="DR246" i="1"/>
  <c r="DP246" i="1"/>
  <c r="DQ247" i="1"/>
  <c r="DQ122" i="1"/>
  <c r="DR247" i="1"/>
  <c r="DP247" i="1"/>
  <c r="DQ248" i="1"/>
  <c r="DR122" i="1"/>
  <c r="DP122" i="1"/>
  <c r="DQ249" i="1"/>
  <c r="DR248" i="1"/>
  <c r="DP248" i="1"/>
  <c r="DQ123" i="1"/>
  <c r="DQ250" i="1"/>
  <c r="DR249" i="1"/>
  <c r="DP249" i="1"/>
  <c r="DR123" i="1"/>
  <c r="DP123" i="1"/>
  <c r="DR250" i="1"/>
  <c r="DP250" i="1"/>
  <c r="DQ251" i="1"/>
  <c r="DQ124" i="1"/>
  <c r="DR251" i="1"/>
  <c r="DP251" i="1"/>
  <c r="DQ252" i="1"/>
  <c r="DR124" i="1"/>
  <c r="DP124" i="1"/>
  <c r="DQ253" i="1"/>
  <c r="DR252" i="1"/>
  <c r="DP252" i="1"/>
  <c r="DQ125" i="1"/>
  <c r="DQ254" i="1"/>
  <c r="DR253" i="1"/>
  <c r="DP253" i="1"/>
  <c r="DQ126" i="1"/>
  <c r="DR125" i="1"/>
  <c r="DP125" i="1"/>
  <c r="DR254" i="1"/>
  <c r="DP254" i="1"/>
  <c r="DQ255" i="1"/>
  <c r="DR126" i="1"/>
  <c r="DP126" i="1"/>
  <c r="DQ127" i="1"/>
  <c r="DQ256" i="1"/>
  <c r="DR255" i="1"/>
  <c r="DP255" i="1"/>
  <c r="DR127" i="1"/>
  <c r="DP127" i="1"/>
  <c r="DQ128" i="1"/>
  <c r="DR256" i="1"/>
  <c r="DP256" i="1"/>
  <c r="DQ257" i="1"/>
  <c r="DR128" i="1"/>
  <c r="DP128" i="1"/>
  <c r="DQ129" i="1"/>
  <c r="DR257" i="1"/>
  <c r="DP257" i="1"/>
  <c r="DQ258" i="1"/>
  <c r="DR129" i="1"/>
  <c r="DP129" i="1"/>
  <c r="DQ130" i="1"/>
  <c r="DR258" i="1"/>
  <c r="DP258" i="1"/>
  <c r="DQ259" i="1"/>
  <c r="DR130" i="1"/>
  <c r="DP130" i="1"/>
  <c r="DQ131" i="1"/>
  <c r="DR259" i="1"/>
  <c r="DP259" i="1"/>
  <c r="DQ260" i="1"/>
  <c r="DR131" i="1"/>
  <c r="DP131" i="1"/>
  <c r="DR260" i="1"/>
  <c r="DP260" i="1"/>
  <c r="DQ261" i="1"/>
  <c r="DQ132" i="1"/>
  <c r="DQ262" i="1"/>
  <c r="DR261" i="1"/>
  <c r="DP261" i="1"/>
  <c r="DR132" i="1"/>
  <c r="DP132" i="1"/>
  <c r="DQ133" i="1"/>
  <c r="DR262" i="1"/>
  <c r="DP262" i="1"/>
  <c r="DQ263" i="1"/>
  <c r="DR133" i="1"/>
  <c r="DP133" i="1"/>
  <c r="DR263" i="1"/>
  <c r="DP263" i="1"/>
  <c r="DQ264" i="1"/>
  <c r="DR264" i="1"/>
  <c r="DP264" i="1"/>
  <c r="DQ265" i="1"/>
  <c r="DR265" i="1"/>
  <c r="DP265" i="1"/>
  <c r="DQ266" i="1"/>
  <c r="DP266" i="1"/>
  <c r="DR266" i="1"/>
  <c r="DQ267" i="1"/>
  <c r="DP267" i="1"/>
  <c r="DR267" i="1"/>
  <c r="DQ268" i="1"/>
  <c r="DQ134" i="1"/>
  <c r="DQ269" i="1"/>
  <c r="DP268" i="1"/>
  <c r="DR268" i="1"/>
  <c r="DR134" i="1"/>
  <c r="DP134" i="1"/>
  <c r="DR269" i="1"/>
  <c r="DP269" i="1"/>
  <c r="DQ270" i="1"/>
  <c r="DQ135" i="1"/>
  <c r="DQ271" i="1"/>
  <c r="DP270" i="1"/>
  <c r="DR270" i="1"/>
  <c r="DR135" i="1"/>
  <c r="DP135" i="1"/>
  <c r="DQ136" i="1"/>
  <c r="DQ272" i="1"/>
  <c r="DR271" i="1"/>
  <c r="DP271" i="1"/>
  <c r="DR136" i="1"/>
  <c r="DP136" i="1"/>
  <c r="DQ137" i="1"/>
  <c r="DR272" i="1"/>
  <c r="DP272" i="1"/>
  <c r="DQ273" i="1"/>
  <c r="DR137" i="1"/>
  <c r="DP137" i="1"/>
  <c r="DQ138" i="1"/>
  <c r="DQ274" i="1"/>
  <c r="DR273" i="1"/>
  <c r="DP273" i="1"/>
  <c r="DQ139" i="1"/>
  <c r="DR138" i="1"/>
  <c r="DP138" i="1"/>
  <c r="DQ344" i="1"/>
  <c r="DR274" i="1"/>
  <c r="DP274" i="1"/>
  <c r="DQ275" i="1"/>
  <c r="DQ140" i="1"/>
  <c r="DR139" i="1"/>
  <c r="DP139" i="1"/>
  <c r="DR344" i="1"/>
  <c r="DP344" i="1"/>
  <c r="DQ276" i="1"/>
  <c r="DQ345" i="1"/>
  <c r="DR275" i="1"/>
  <c r="DP275" i="1"/>
  <c r="DR140" i="1"/>
  <c r="DP140" i="1"/>
  <c r="DP345" i="1"/>
  <c r="DR345" i="1"/>
  <c r="DQ277" i="1"/>
  <c r="DR276" i="1"/>
  <c r="DP276" i="1"/>
  <c r="DQ346" i="1"/>
  <c r="DQ141" i="1"/>
  <c r="DQ278" i="1"/>
  <c r="DQ347" i="1"/>
  <c r="DR346" i="1"/>
  <c r="DP346" i="1"/>
  <c r="DP277" i="1"/>
  <c r="DR277" i="1"/>
  <c r="DQ142" i="1"/>
  <c r="DR141" i="1"/>
  <c r="DP141" i="1"/>
  <c r="DR347" i="1"/>
  <c r="DP347" i="1"/>
  <c r="DQ348" i="1"/>
  <c r="DR278" i="1"/>
  <c r="DP278" i="1"/>
  <c r="DQ279" i="1"/>
  <c r="DR142" i="1"/>
  <c r="DP142" i="1"/>
  <c r="DP279" i="1"/>
  <c r="DR279" i="1"/>
  <c r="DQ280" i="1"/>
  <c r="DQ349" i="1"/>
  <c r="DR348" i="1"/>
  <c r="DP348" i="1"/>
  <c r="DQ143" i="1"/>
  <c r="DQ281" i="1"/>
  <c r="DP349" i="1"/>
  <c r="DR349" i="1"/>
  <c r="DQ350" i="1"/>
  <c r="DP280" i="1"/>
  <c r="DR280" i="1"/>
  <c r="DR143" i="1"/>
  <c r="DP143" i="1"/>
  <c r="DQ144" i="1"/>
  <c r="DR350" i="1"/>
  <c r="DP350" i="1"/>
  <c r="DQ282" i="1"/>
  <c r="DQ351" i="1"/>
  <c r="DR281" i="1"/>
  <c r="DP281" i="1"/>
  <c r="DR144" i="1"/>
  <c r="DP144" i="1"/>
  <c r="DQ145" i="1"/>
  <c r="DP351" i="1"/>
  <c r="DR351" i="1"/>
  <c r="DQ283" i="1"/>
  <c r="DP282" i="1"/>
  <c r="DR282" i="1"/>
  <c r="DQ352" i="1"/>
  <c r="DQ146" i="1"/>
  <c r="DR145" i="1"/>
  <c r="DP145" i="1"/>
  <c r="DR352" i="1"/>
  <c r="DP352" i="1"/>
  <c r="DQ353" i="1"/>
  <c r="DQ284" i="1"/>
  <c r="DR283" i="1"/>
  <c r="DP283" i="1"/>
  <c r="DR146" i="1"/>
  <c r="DP146" i="1"/>
  <c r="DQ147" i="1"/>
  <c r="DR284" i="1"/>
  <c r="DP284" i="1"/>
  <c r="DP353" i="1"/>
  <c r="DR353" i="1"/>
  <c r="DQ285" i="1"/>
  <c r="DQ354" i="1"/>
  <c r="DQ148" i="1"/>
  <c r="DR147" i="1"/>
  <c r="DP147" i="1"/>
  <c r="DP285" i="1"/>
  <c r="DR285" i="1"/>
  <c r="DR354" i="1"/>
  <c r="DP354" i="1"/>
  <c r="DQ355" i="1"/>
  <c r="DQ286" i="1"/>
  <c r="DR148" i="1"/>
  <c r="DP148" i="1"/>
  <c r="DR286" i="1"/>
  <c r="DP286" i="1"/>
  <c r="DR355" i="1"/>
  <c r="DP355" i="1"/>
  <c r="DQ356" i="1"/>
  <c r="DQ287" i="1"/>
  <c r="DQ149" i="1"/>
  <c r="DR287" i="1"/>
  <c r="DP287" i="1"/>
  <c r="DR356" i="1"/>
  <c r="DP356" i="1"/>
  <c r="DQ288" i="1"/>
  <c r="DQ357" i="1"/>
  <c r="DR149" i="1"/>
  <c r="DP149" i="1"/>
  <c r="DR288" i="1"/>
  <c r="DP288" i="1"/>
  <c r="DQ358" i="1"/>
  <c r="DR357" i="1"/>
  <c r="DP357" i="1"/>
  <c r="DQ289" i="1"/>
  <c r="DQ150" i="1"/>
  <c r="DR289" i="1"/>
  <c r="DP289" i="1"/>
  <c r="DR358" i="1"/>
  <c r="DP358" i="1"/>
  <c r="DQ359" i="1"/>
  <c r="DQ290" i="1"/>
  <c r="DQ151" i="1"/>
  <c r="DR150" i="1"/>
  <c r="DP150" i="1"/>
  <c r="DR290" i="1"/>
  <c r="DP290" i="1"/>
  <c r="DR359" i="1"/>
  <c r="DP359" i="1"/>
  <c r="DQ291" i="1"/>
  <c r="DQ360" i="1"/>
  <c r="DQ152" i="1"/>
  <c r="DR151" i="1"/>
  <c r="DP151" i="1"/>
  <c r="DP360" i="1"/>
  <c r="DR360" i="1"/>
  <c r="DR291" i="1"/>
  <c r="DP291" i="1"/>
  <c r="DQ292" i="1"/>
  <c r="DQ361" i="1"/>
  <c r="DR152" i="1"/>
  <c r="DP152" i="1"/>
  <c r="DQ153" i="1"/>
  <c r="DR292" i="1"/>
  <c r="DP292" i="1"/>
  <c r="DR361" i="1"/>
  <c r="DP361" i="1"/>
  <c r="DQ362" i="1"/>
  <c r="DQ293" i="1"/>
  <c r="DR153" i="1"/>
  <c r="DP153" i="1"/>
  <c r="DQ154" i="1"/>
  <c r="DR293" i="1"/>
  <c r="DP293" i="1"/>
  <c r="DR362" i="1"/>
  <c r="DP362" i="1"/>
  <c r="DQ294" i="1"/>
  <c r="DQ363" i="1"/>
  <c r="DR154" i="1"/>
  <c r="DP154" i="1"/>
  <c r="DR363" i="1"/>
  <c r="DP363" i="1"/>
  <c r="DP294" i="1"/>
  <c r="DR294" i="1"/>
  <c r="DQ295" i="1"/>
  <c r="DQ155" i="1"/>
  <c r="DR295" i="1"/>
  <c r="DP295" i="1"/>
  <c r="DQ296" i="1"/>
  <c r="DR155" i="1"/>
  <c r="DP155" i="1"/>
  <c r="DQ156" i="1"/>
  <c r="DR296" i="1"/>
  <c r="DP296" i="1"/>
  <c r="DQ297" i="1"/>
  <c r="DR156" i="1"/>
  <c r="DP156" i="1"/>
  <c r="DQ157" i="1"/>
  <c r="DR297" i="1"/>
  <c r="DP297" i="1"/>
  <c r="DQ298" i="1"/>
  <c r="DR157" i="1"/>
  <c r="DP157" i="1"/>
  <c r="DR298" i="1"/>
  <c r="DP298" i="1"/>
  <c r="DQ299" i="1"/>
  <c r="DQ158" i="1"/>
  <c r="DR299" i="1"/>
  <c r="DP299" i="1"/>
  <c r="DQ300" i="1"/>
  <c r="DR158" i="1"/>
  <c r="DP158" i="1"/>
  <c r="DQ159" i="1"/>
  <c r="DQ301" i="1"/>
  <c r="DR300" i="1"/>
  <c r="DP300" i="1"/>
  <c r="DR159" i="1"/>
  <c r="DP159" i="1"/>
  <c r="DQ160" i="1"/>
  <c r="DR301" i="1"/>
  <c r="DP301" i="1"/>
  <c r="DQ302" i="1"/>
  <c r="DR160" i="1"/>
  <c r="DP160" i="1"/>
  <c r="DR302" i="1"/>
  <c r="DP302" i="1"/>
  <c r="DQ303" i="1"/>
  <c r="DQ161" i="1"/>
  <c r="DQ304" i="1"/>
  <c r="DR303" i="1"/>
  <c r="DP303" i="1"/>
  <c r="DR161" i="1"/>
  <c r="DP161" i="1"/>
  <c r="DR304" i="1"/>
  <c r="DP304" i="1"/>
  <c r="DQ305" i="1"/>
  <c r="DQ162" i="1"/>
  <c r="DR305" i="1"/>
  <c r="DP305" i="1"/>
  <c r="DQ306" i="1"/>
  <c r="DR162" i="1"/>
  <c r="DP162" i="1"/>
  <c r="DQ163" i="1"/>
  <c r="DR306" i="1"/>
  <c r="DP306" i="1"/>
  <c r="DQ307" i="1"/>
  <c r="DQ164" i="1"/>
  <c r="DR163" i="1"/>
  <c r="DP163" i="1"/>
  <c r="DR307" i="1"/>
  <c r="DP307" i="1"/>
  <c r="DQ308" i="1"/>
  <c r="DR164" i="1"/>
  <c r="DP164" i="1"/>
  <c r="DQ309" i="1"/>
  <c r="DR308" i="1"/>
  <c r="DP308" i="1"/>
  <c r="DQ165" i="1"/>
  <c r="DR309" i="1"/>
  <c r="DP309" i="1"/>
  <c r="DQ191" i="1"/>
  <c r="DQ310" i="1"/>
  <c r="DQ166" i="1"/>
  <c r="DR165" i="1"/>
  <c r="DP165" i="1"/>
  <c r="DR191" i="1"/>
  <c r="DP191" i="1"/>
  <c r="DR310" i="1"/>
  <c r="DP310" i="1"/>
  <c r="DQ311" i="1"/>
  <c r="DR166" i="1"/>
  <c r="DP166" i="1"/>
  <c r="DQ167" i="1"/>
  <c r="DR311" i="1"/>
  <c r="DP311" i="1"/>
  <c r="DQ312" i="1"/>
  <c r="DR167" i="1"/>
  <c r="DP167" i="1"/>
  <c r="DQ313" i="1"/>
  <c r="DR312" i="1"/>
  <c r="DP312" i="1"/>
  <c r="DR313" i="1"/>
  <c r="DP313" i="1"/>
  <c r="DQ314" i="1"/>
  <c r="DQ168" i="1"/>
  <c r="DQ315" i="1"/>
  <c r="DR314" i="1"/>
  <c r="DP314" i="1"/>
  <c r="DR168" i="1"/>
  <c r="DP168" i="1"/>
  <c r="DQ169" i="1"/>
  <c r="DR315" i="1"/>
  <c r="DP315" i="1"/>
  <c r="DQ316" i="1"/>
  <c r="DR169" i="1"/>
  <c r="DP169" i="1"/>
  <c r="DQ170" i="1"/>
  <c r="DP316" i="1"/>
  <c r="DR316" i="1"/>
  <c r="DQ317" i="1"/>
  <c r="DQ171" i="1"/>
  <c r="DR170" i="1"/>
  <c r="DP170" i="1"/>
  <c r="DP317" i="1"/>
  <c r="DR317" i="1"/>
  <c r="DQ318" i="1"/>
  <c r="DQ172" i="1"/>
  <c r="DR171" i="1"/>
  <c r="DP171" i="1"/>
  <c r="DR318" i="1"/>
  <c r="DP318" i="1"/>
  <c r="DQ319" i="1"/>
  <c r="DQ173" i="1"/>
  <c r="DR172" i="1"/>
  <c r="DP172" i="1"/>
  <c r="DR319" i="1"/>
  <c r="DP319" i="1"/>
  <c r="DQ320" i="1"/>
  <c r="DQ174" i="1"/>
  <c r="DR173" i="1"/>
  <c r="DP173" i="1"/>
  <c r="DR320" i="1"/>
  <c r="DP320" i="1"/>
  <c r="DQ321" i="1"/>
  <c r="DQ175" i="1"/>
  <c r="DR174" i="1"/>
  <c r="DP174" i="1"/>
  <c r="DR321" i="1"/>
  <c r="DP321" i="1"/>
  <c r="DQ322" i="1"/>
  <c r="DR175" i="1"/>
  <c r="DP175" i="1"/>
  <c r="DQ323" i="1"/>
  <c r="DR322" i="1"/>
  <c r="DP322" i="1"/>
  <c r="DQ176" i="1"/>
  <c r="DR323" i="1"/>
  <c r="DP323" i="1"/>
  <c r="DQ324" i="1"/>
  <c r="DR176" i="1"/>
  <c r="DP176" i="1"/>
  <c r="DQ177" i="1"/>
  <c r="DP324" i="1"/>
  <c r="DR324" i="1"/>
  <c r="DQ325" i="1"/>
  <c r="DR177" i="1"/>
  <c r="DP177" i="1"/>
  <c r="DQ192" i="1"/>
  <c r="DQ326" i="1"/>
  <c r="DR325" i="1"/>
  <c r="DP325" i="1"/>
  <c r="DQ178" i="1"/>
  <c r="DQ193" i="1"/>
  <c r="DR326" i="1"/>
  <c r="DP326" i="1"/>
  <c r="DR192" i="1"/>
  <c r="DP192" i="1"/>
  <c r="DQ327" i="1"/>
  <c r="DR178" i="1"/>
  <c r="DP178" i="1"/>
  <c r="DR193" i="1"/>
  <c r="DP193" i="1"/>
  <c r="DQ328" i="1"/>
  <c r="DP327" i="1"/>
  <c r="DR327" i="1"/>
  <c r="DR328" i="1"/>
  <c r="DP328" i="1"/>
  <c r="DQ329" i="1"/>
  <c r="DQ179" i="1"/>
  <c r="DR329" i="1"/>
  <c r="DP329" i="1"/>
  <c r="DQ330" i="1"/>
  <c r="DR179" i="1"/>
  <c r="DP179" i="1"/>
  <c r="DP330" i="1"/>
  <c r="DR330" i="1"/>
  <c r="DQ331" i="1"/>
  <c r="DP331" i="1"/>
  <c r="DR331" i="1"/>
  <c r="DQ332" i="1"/>
  <c r="DQ180" i="1"/>
  <c r="DQ333" i="1"/>
  <c r="DP332" i="1"/>
  <c r="DR332" i="1"/>
  <c r="DR180" i="1"/>
  <c r="DP180" i="1"/>
  <c r="DR333" i="1"/>
  <c r="DP333" i="1"/>
  <c r="DQ334" i="1"/>
  <c r="DR334" i="1"/>
  <c r="DP334" i="1"/>
  <c r="DQ335" i="1"/>
  <c r="DQ181" i="1"/>
  <c r="DQ336" i="1"/>
  <c r="DP335" i="1"/>
  <c r="DR335" i="1"/>
  <c r="DQ182" i="1"/>
  <c r="DR181" i="1"/>
  <c r="DP181" i="1"/>
  <c r="DR336" i="1"/>
  <c r="DP336" i="1"/>
  <c r="DQ337" i="1"/>
  <c r="DR182" i="1"/>
  <c r="DP182" i="1"/>
  <c r="DP337" i="1"/>
  <c r="DR337" i="1"/>
  <c r="DQ338" i="1"/>
  <c r="DR338" i="1"/>
  <c r="DP338" i="1"/>
  <c r="DQ339" i="1"/>
  <c r="DR339" i="1"/>
  <c r="DP339" i="1"/>
  <c r="DQ340" i="1"/>
  <c r="DQ183" i="1"/>
  <c r="DP340" i="1"/>
  <c r="DR340" i="1"/>
  <c r="DQ341" i="1"/>
  <c r="DR183" i="1"/>
  <c r="DP183" i="1"/>
  <c r="DQ184" i="1"/>
  <c r="DR341" i="1"/>
  <c r="DP341" i="1"/>
  <c r="DQ342" i="1"/>
  <c r="DR184" i="1"/>
  <c r="DP184" i="1"/>
  <c r="DQ343" i="1"/>
  <c r="DR342" i="1"/>
  <c r="DP342" i="1"/>
  <c r="DR343" i="1"/>
  <c r="DP343" i="1"/>
  <c r="DQ185" i="1"/>
  <c r="DR185" i="1"/>
  <c r="DP185" i="1"/>
  <c r="DQ186" i="1"/>
  <c r="DQ187" i="1"/>
  <c r="DR186" i="1"/>
  <c r="DP186" i="1"/>
  <c r="DR187" i="1"/>
  <c r="DP187" i="1"/>
  <c r="DQ444" i="1"/>
  <c r="DQ445" i="1"/>
  <c r="DR444" i="1"/>
  <c r="DP444" i="1"/>
  <c r="DQ446" i="1"/>
  <c r="DR445" i="1"/>
  <c r="DP445" i="1"/>
  <c r="DQ447" i="1"/>
  <c r="DR446" i="1"/>
  <c r="DP446" i="1"/>
  <c r="DR447" i="1"/>
  <c r="DP447" i="1"/>
  <c r="DQ448" i="1"/>
  <c r="DR448" i="1"/>
  <c r="DP448" i="1"/>
  <c r="DQ449" i="1"/>
  <c r="DR449" i="1"/>
  <c r="DP449" i="1"/>
  <c r="DQ450" i="1"/>
  <c r="DR450" i="1"/>
  <c r="DP450" i="1"/>
  <c r="DQ451" i="1"/>
  <c r="DR451" i="1"/>
  <c r="DP451" i="1"/>
  <c r="DQ452" i="1"/>
  <c r="DR452" i="1"/>
  <c r="DP452" i="1"/>
  <c r="DQ453" i="1"/>
  <c r="DR453" i="1"/>
  <c r="DP453" i="1"/>
  <c r="DQ454" i="1"/>
  <c r="DQ455" i="1"/>
  <c r="DR454" i="1"/>
  <c r="DP454" i="1"/>
  <c r="DQ456" i="1"/>
  <c r="DR455" i="1"/>
  <c r="DP455" i="1"/>
  <c r="DR456" i="1"/>
  <c r="DP456" i="1"/>
  <c r="DQ457" i="1"/>
  <c r="DR457" i="1"/>
  <c r="DP457" i="1"/>
  <c r="DQ458" i="1"/>
  <c r="DR458" i="1"/>
  <c r="DP458" i="1"/>
  <c r="DQ459" i="1"/>
  <c r="DR459" i="1"/>
  <c r="DP459" i="1"/>
  <c r="DQ460" i="1"/>
  <c r="DR460" i="1"/>
  <c r="DP460" i="1"/>
  <c r="DQ461" i="1"/>
  <c r="DQ462" i="1"/>
  <c r="DR461" i="1"/>
  <c r="DP461" i="1"/>
  <c r="DR462" i="1"/>
  <c r="DP462" i="1"/>
  <c r="DQ463" i="1"/>
  <c r="DR463" i="1"/>
  <c r="DP463" i="1"/>
  <c r="DQ464" i="1"/>
  <c r="DR464" i="1"/>
  <c r="DP464" i="1"/>
  <c r="DQ465" i="1"/>
  <c r="DQ466" i="1"/>
  <c r="DR465" i="1"/>
  <c r="DP465" i="1"/>
  <c r="DQ467" i="1"/>
  <c r="DR466" i="1"/>
  <c r="DP466" i="1"/>
  <c r="DR467" i="1"/>
  <c r="DP467" i="1"/>
  <c r="DQ468" i="1"/>
  <c r="DR468" i="1"/>
  <c r="DP468" i="1"/>
  <c r="DQ469" i="1"/>
  <c r="DQ470" i="1"/>
  <c r="DR469" i="1"/>
  <c r="DP469" i="1"/>
  <c r="DR470" i="1"/>
  <c r="DP470" i="1"/>
  <c r="DQ471" i="1"/>
  <c r="DR471" i="1"/>
  <c r="DP471" i="1"/>
  <c r="DQ472" i="1"/>
  <c r="DR472" i="1"/>
  <c r="DP472" i="1"/>
  <c r="DQ473" i="1"/>
  <c r="DQ474" i="1"/>
  <c r="DR473" i="1"/>
  <c r="DP473" i="1"/>
  <c r="DQ364" i="1"/>
  <c r="DR474" i="1"/>
  <c r="DP474" i="1"/>
  <c r="DQ475" i="1"/>
  <c r="DR364" i="1"/>
  <c r="DP364" i="1"/>
  <c r="DQ365" i="1"/>
  <c r="DR475" i="1"/>
  <c r="DP475" i="1"/>
  <c r="DQ476" i="1"/>
  <c r="DQ366" i="1"/>
  <c r="DR365" i="1"/>
  <c r="DP365" i="1"/>
  <c r="DQ477" i="1"/>
  <c r="DR476" i="1"/>
  <c r="DP476" i="1"/>
  <c r="DR366" i="1"/>
  <c r="DP366" i="1"/>
  <c r="DQ367" i="1"/>
  <c r="DR477" i="1"/>
  <c r="DP477" i="1"/>
  <c r="DQ478" i="1"/>
  <c r="DR367" i="1"/>
  <c r="DP367" i="1"/>
  <c r="DQ368" i="1"/>
  <c r="DQ479" i="1"/>
  <c r="DR478" i="1"/>
  <c r="DP478" i="1"/>
  <c r="DR368" i="1"/>
  <c r="DP368" i="1"/>
  <c r="DQ369" i="1"/>
  <c r="DR479" i="1"/>
  <c r="DP479" i="1"/>
  <c r="DQ480" i="1"/>
  <c r="DQ370" i="1"/>
  <c r="DR369" i="1"/>
  <c r="DP369" i="1"/>
  <c r="DR480" i="1"/>
  <c r="DP480" i="1"/>
  <c r="DQ481" i="1"/>
  <c r="DQ371" i="1"/>
  <c r="DR370" i="1"/>
  <c r="DP370" i="1"/>
  <c r="DQ482" i="1"/>
  <c r="DR481" i="1"/>
  <c r="DP481" i="1"/>
  <c r="DR371" i="1"/>
  <c r="DP371" i="1"/>
  <c r="DQ372" i="1"/>
  <c r="DR482" i="1"/>
  <c r="DP482" i="1"/>
  <c r="DQ483" i="1"/>
  <c r="DQ373" i="1"/>
  <c r="DR372" i="1"/>
  <c r="DP372" i="1"/>
  <c r="DQ484" i="1"/>
  <c r="DR483" i="1"/>
  <c r="DP483" i="1"/>
  <c r="DR373" i="1"/>
  <c r="DP373" i="1"/>
  <c r="DQ374" i="1"/>
  <c r="DQ485" i="1"/>
  <c r="DR484" i="1"/>
  <c r="DP484" i="1"/>
  <c r="DQ375" i="1"/>
  <c r="DR374" i="1"/>
  <c r="DP374" i="1"/>
  <c r="DQ486" i="1"/>
  <c r="DR485" i="1"/>
  <c r="DP485" i="1"/>
  <c r="DR375" i="1"/>
  <c r="DP375" i="1"/>
  <c r="DQ376" i="1"/>
  <c r="DQ487" i="1"/>
  <c r="DR486" i="1"/>
  <c r="DP486" i="1"/>
  <c r="DR376" i="1"/>
  <c r="DP376" i="1"/>
  <c r="DQ377" i="1"/>
  <c r="DR487" i="1"/>
  <c r="DP487" i="1"/>
  <c r="DR377" i="1"/>
  <c r="DP377" i="1"/>
  <c r="DQ378" i="1"/>
  <c r="DQ379" i="1"/>
  <c r="DR378" i="1"/>
  <c r="DP378" i="1"/>
  <c r="DQ488" i="1"/>
  <c r="DR379" i="1"/>
  <c r="DP379" i="1"/>
  <c r="DQ380" i="1"/>
  <c r="DR488" i="1"/>
  <c r="DP488" i="1"/>
  <c r="DQ489" i="1"/>
  <c r="DQ381" i="1"/>
  <c r="DP380" i="1"/>
  <c r="DR380" i="1"/>
  <c r="DR489" i="1"/>
  <c r="DP489" i="1"/>
  <c r="DQ490" i="1"/>
  <c r="DR381" i="1"/>
  <c r="DP381" i="1"/>
  <c r="DQ382" i="1"/>
  <c r="DR490" i="1"/>
  <c r="DP490" i="1"/>
  <c r="DQ491" i="1"/>
  <c r="DQ383" i="1"/>
  <c r="DR382" i="1"/>
  <c r="DP382" i="1"/>
  <c r="DQ492" i="1"/>
  <c r="DR491" i="1"/>
  <c r="DP491" i="1"/>
  <c r="DQ384" i="1"/>
  <c r="DR383" i="1"/>
  <c r="DP383" i="1"/>
  <c r="DQ493" i="1"/>
  <c r="DR492" i="1"/>
  <c r="DP492" i="1"/>
  <c r="DP384" i="1"/>
  <c r="DR384" i="1"/>
  <c r="DQ385" i="1"/>
  <c r="DR493" i="1"/>
  <c r="DP493" i="1"/>
  <c r="DQ386" i="1"/>
  <c r="DR385" i="1"/>
  <c r="DP385" i="1"/>
  <c r="DR386" i="1"/>
  <c r="DP386" i="1"/>
  <c r="DQ387" i="1"/>
  <c r="DQ494" i="1"/>
  <c r="DP387" i="1"/>
  <c r="DR387" i="1"/>
  <c r="DQ388" i="1"/>
  <c r="DR494" i="1"/>
  <c r="DP494" i="1"/>
  <c r="DQ495" i="1"/>
  <c r="DR388" i="1"/>
  <c r="DP388" i="1"/>
  <c r="DQ389" i="1"/>
  <c r="DQ496" i="1"/>
  <c r="DR495" i="1"/>
  <c r="DP495" i="1"/>
  <c r="DR389" i="1"/>
  <c r="DP389" i="1"/>
  <c r="DQ390" i="1"/>
  <c r="DQ497" i="1"/>
  <c r="DR496" i="1"/>
  <c r="DP496" i="1"/>
  <c r="DR390" i="1"/>
  <c r="DP390" i="1"/>
  <c r="DQ391" i="1"/>
  <c r="DR497" i="1"/>
  <c r="DP497" i="1"/>
  <c r="DQ498" i="1"/>
  <c r="DR391" i="1"/>
  <c r="DP391" i="1"/>
  <c r="DQ392" i="1"/>
  <c r="DQ499" i="1"/>
  <c r="DR498" i="1"/>
  <c r="DP498" i="1"/>
  <c r="DR392" i="1"/>
  <c r="DP392" i="1"/>
  <c r="DQ393" i="1"/>
  <c r="DQ500" i="1"/>
  <c r="DR499" i="1"/>
  <c r="DP499" i="1"/>
  <c r="DR393" i="1"/>
  <c r="DP393" i="1"/>
  <c r="DQ394" i="1"/>
  <c r="DQ501" i="1"/>
  <c r="DR500" i="1"/>
  <c r="DP500" i="1"/>
  <c r="DR394" i="1"/>
  <c r="DP394" i="1"/>
  <c r="DQ395" i="1"/>
  <c r="DR501" i="1"/>
  <c r="DP501" i="1"/>
  <c r="DQ502" i="1"/>
  <c r="DQ396" i="1"/>
  <c r="DR395" i="1"/>
  <c r="DP395" i="1"/>
  <c r="DR502" i="1"/>
  <c r="DP502" i="1"/>
  <c r="DQ503" i="1"/>
  <c r="DR396" i="1"/>
  <c r="DP396" i="1"/>
  <c r="DQ397" i="1"/>
  <c r="DR503" i="1"/>
  <c r="DP503" i="1"/>
  <c r="DQ504" i="1"/>
  <c r="DR397" i="1"/>
  <c r="DP397" i="1"/>
  <c r="DQ398" i="1"/>
  <c r="DQ505" i="1"/>
  <c r="DR504" i="1"/>
  <c r="DP504" i="1"/>
  <c r="DR398" i="1"/>
  <c r="DP398" i="1"/>
  <c r="DQ399" i="1"/>
  <c r="DQ506" i="1"/>
  <c r="DR505" i="1"/>
  <c r="DP505" i="1"/>
  <c r="DR399" i="1"/>
  <c r="DP399" i="1"/>
  <c r="DQ400" i="1"/>
  <c r="DR506" i="1"/>
  <c r="DP506" i="1"/>
  <c r="DQ507" i="1"/>
  <c r="DQ401" i="1"/>
  <c r="DR400" i="1"/>
  <c r="DP400" i="1"/>
  <c r="DR507" i="1"/>
  <c r="DP507" i="1"/>
  <c r="DQ508" i="1"/>
  <c r="DR401" i="1"/>
  <c r="DP401" i="1"/>
  <c r="DQ402" i="1"/>
  <c r="DR508" i="1"/>
  <c r="DP508" i="1"/>
  <c r="DQ509" i="1"/>
  <c r="DQ403" i="1"/>
  <c r="DR402" i="1"/>
  <c r="DP402" i="1"/>
  <c r="DQ510" i="1"/>
  <c r="DR509" i="1"/>
  <c r="DP509" i="1"/>
  <c r="DQ404" i="1"/>
  <c r="DR403" i="1"/>
  <c r="DP403" i="1"/>
  <c r="DQ511" i="1"/>
  <c r="DR510" i="1"/>
  <c r="DP510" i="1"/>
  <c r="DR404" i="1"/>
  <c r="DP404" i="1"/>
  <c r="DQ405" i="1"/>
  <c r="DR511" i="1"/>
  <c r="DP511" i="1"/>
  <c r="DQ512" i="1"/>
  <c r="DQ406" i="1"/>
  <c r="DR405" i="1"/>
  <c r="DP405" i="1"/>
  <c r="DQ513" i="1"/>
  <c r="DR512" i="1"/>
  <c r="DP512" i="1"/>
  <c r="DP406" i="1"/>
  <c r="DR406" i="1"/>
  <c r="DQ407" i="1"/>
  <c r="DR513" i="1"/>
  <c r="DP513" i="1"/>
  <c r="DQ514" i="1"/>
  <c r="DR407" i="1"/>
  <c r="DP407" i="1"/>
  <c r="DQ408" i="1"/>
  <c r="DR514" i="1"/>
  <c r="DP514" i="1"/>
  <c r="DQ515" i="1"/>
  <c r="DR408" i="1"/>
  <c r="DP408" i="1"/>
  <c r="DQ409" i="1"/>
  <c r="DR515" i="1"/>
  <c r="DP515" i="1"/>
  <c r="DQ516" i="1"/>
  <c r="DR409" i="1"/>
  <c r="DP409" i="1"/>
  <c r="DQ410" i="1"/>
  <c r="DR516" i="1"/>
  <c r="DP516" i="1"/>
  <c r="DQ517" i="1"/>
  <c r="DQ411" i="1"/>
  <c r="DR410" i="1"/>
  <c r="DP410" i="1"/>
  <c r="DR517" i="1"/>
  <c r="DP517" i="1"/>
  <c r="DQ518" i="1"/>
  <c r="DR411" i="1"/>
  <c r="DP411" i="1"/>
  <c r="DQ412" i="1"/>
  <c r="DQ519" i="1"/>
  <c r="DR518" i="1"/>
  <c r="DP518" i="1"/>
  <c r="DR412" i="1"/>
  <c r="DP412" i="1"/>
  <c r="DQ413" i="1"/>
  <c r="DR519" i="1"/>
  <c r="DP519" i="1"/>
  <c r="DQ520" i="1"/>
  <c r="DR413" i="1"/>
  <c r="DP413" i="1"/>
  <c r="DQ414" i="1"/>
  <c r="DQ521" i="1"/>
  <c r="DR520" i="1"/>
  <c r="DP520" i="1"/>
  <c r="DR414" i="1"/>
  <c r="DP414" i="1"/>
  <c r="DQ415" i="1"/>
  <c r="DQ522" i="1"/>
  <c r="DR521" i="1"/>
  <c r="DP521" i="1"/>
  <c r="DR415" i="1"/>
  <c r="DP415" i="1"/>
  <c r="DQ416" i="1"/>
  <c r="DR522" i="1"/>
  <c r="DP522" i="1"/>
  <c r="DQ523" i="1"/>
  <c r="DQ417" i="1"/>
  <c r="DP416" i="1"/>
  <c r="DR416" i="1"/>
  <c r="DR523" i="1"/>
  <c r="DP523" i="1"/>
  <c r="DQ524" i="1"/>
  <c r="DQ418" i="1"/>
  <c r="DR417" i="1"/>
  <c r="DP417" i="1"/>
  <c r="DQ525" i="1"/>
  <c r="DR524" i="1"/>
  <c r="DP524" i="1"/>
  <c r="DR418" i="1"/>
  <c r="DP418" i="1"/>
  <c r="DQ419" i="1"/>
  <c r="DQ526" i="1"/>
  <c r="DR525" i="1"/>
  <c r="DP525" i="1"/>
  <c r="DR419" i="1"/>
  <c r="DP419" i="1"/>
  <c r="DQ420" i="1"/>
  <c r="DR526" i="1"/>
  <c r="DP526" i="1"/>
  <c r="DQ527" i="1"/>
  <c r="DR420" i="1"/>
  <c r="DP420" i="1"/>
  <c r="DQ421" i="1"/>
  <c r="DR527" i="1"/>
  <c r="DP527" i="1"/>
  <c r="DQ528" i="1"/>
  <c r="DR421" i="1"/>
  <c r="DP421" i="1"/>
  <c r="DQ422" i="1"/>
  <c r="DR528" i="1"/>
  <c r="DP528" i="1"/>
  <c r="DQ529" i="1"/>
  <c r="DR422" i="1"/>
  <c r="DP422" i="1"/>
  <c r="DQ423" i="1"/>
  <c r="DR529" i="1"/>
  <c r="DP529" i="1"/>
  <c r="DR423" i="1"/>
  <c r="DP423" i="1"/>
  <c r="DQ424" i="1"/>
  <c r="DQ8" i="1"/>
  <c r="DP424" i="1"/>
  <c r="DR424" i="1"/>
  <c r="DQ425" i="1"/>
  <c r="DQ9" i="1"/>
  <c r="DR8" i="1"/>
  <c r="DP8" i="1"/>
  <c r="DQ426" i="1"/>
  <c r="DR425" i="1"/>
  <c r="DP425" i="1"/>
  <c r="DR9" i="1"/>
  <c r="DP9" i="1"/>
  <c r="DR426" i="1"/>
  <c r="DP426" i="1"/>
  <c r="DQ427" i="1"/>
  <c r="DQ10" i="1"/>
  <c r="DQ428" i="1"/>
  <c r="DR427" i="1"/>
  <c r="DP427" i="1"/>
  <c r="DR10" i="1"/>
  <c r="DP10" i="1"/>
  <c r="DP428" i="1"/>
  <c r="DR428" i="1"/>
  <c r="DQ429" i="1"/>
  <c r="DR429" i="1"/>
  <c r="DP429" i="1"/>
  <c r="DQ430" i="1"/>
  <c r="DQ431" i="1"/>
  <c r="DR430" i="1"/>
  <c r="DP430" i="1"/>
  <c r="DQ11" i="1"/>
  <c r="DR431" i="1"/>
  <c r="DP431" i="1"/>
  <c r="DQ432" i="1"/>
  <c r="DR11" i="1"/>
  <c r="DP11" i="1"/>
  <c r="DR432" i="1"/>
  <c r="DP432" i="1"/>
  <c r="DQ433" i="1"/>
  <c r="DQ12" i="1"/>
  <c r="DR12" i="1"/>
  <c r="DP12" i="1"/>
  <c r="DP433" i="1"/>
  <c r="DR433" i="1"/>
  <c r="DQ434" i="1"/>
  <c r="DQ13" i="1"/>
  <c r="DR434" i="1"/>
  <c r="DP434" i="1"/>
  <c r="DQ435" i="1"/>
  <c r="DR13" i="1"/>
  <c r="DP13" i="1"/>
  <c r="DR435" i="1"/>
  <c r="DP435" i="1"/>
  <c r="DQ436" i="1"/>
  <c r="DQ15" i="1"/>
  <c r="DR14" i="1"/>
  <c r="DP14" i="1"/>
  <c r="DQ14" i="1"/>
  <c r="DR436" i="1"/>
  <c r="DP436" i="1"/>
  <c r="DQ437" i="1"/>
  <c r="DR15" i="1"/>
  <c r="DP15" i="1"/>
  <c r="DQ438" i="1"/>
  <c r="DR437" i="1"/>
  <c r="DP437" i="1"/>
  <c r="DR16" i="1"/>
  <c r="DP16" i="1"/>
  <c r="DQ16" i="1"/>
  <c r="DQ17" i="1"/>
  <c r="DR438" i="1"/>
  <c r="DP438" i="1"/>
  <c r="DQ439" i="1"/>
  <c r="DR17" i="1"/>
  <c r="DP17" i="1"/>
  <c r="DQ440" i="1"/>
  <c r="DR439" i="1"/>
  <c r="DP439" i="1"/>
  <c r="DR440" i="1"/>
  <c r="DP440" i="1"/>
  <c r="DQ441" i="1"/>
  <c r="DQ18" i="1"/>
  <c r="DR441" i="1"/>
  <c r="DP441" i="1"/>
  <c r="DQ442" i="1"/>
  <c r="DR18" i="1"/>
  <c r="DP18" i="1"/>
  <c r="DQ19" i="1"/>
  <c r="DQ443" i="1"/>
  <c r="DP442" i="1"/>
  <c r="DR442" i="1"/>
  <c r="DR19" i="1"/>
  <c r="DP19" i="1"/>
  <c r="DR443" i="1"/>
  <c r="DP443" i="1"/>
  <c r="DQ20" i="1"/>
  <c r="DQ21" i="1"/>
  <c r="DR20" i="1"/>
  <c r="DP20" i="1"/>
  <c r="DR21" i="1"/>
  <c r="DP21" i="1"/>
  <c r="DR22" i="1"/>
  <c r="DP22" i="1"/>
  <c r="DQ23" i="1"/>
  <c r="DQ22" i="1"/>
  <c r="DR23" i="1"/>
  <c r="DP23" i="1"/>
  <c r="DQ24" i="1"/>
  <c r="DR24" i="1"/>
  <c r="DP24" i="1"/>
  <c r="DQ25" i="1"/>
  <c r="DQ26" i="1"/>
  <c r="DR25" i="1"/>
  <c r="DP25" i="1"/>
  <c r="DR26" i="1"/>
  <c r="DP26" i="1"/>
  <c r="DQ27" i="1"/>
  <c r="DR27" i="1"/>
  <c r="DP27" i="1"/>
  <c r="DQ28" i="1"/>
  <c r="DQ530" i="1"/>
  <c r="DR530" i="1"/>
  <c r="DP530" i="1"/>
  <c r="DR28" i="1"/>
  <c r="DP28" i="1"/>
  <c r="DQ531" i="1"/>
  <c r="DR531" i="1"/>
  <c r="DP531" i="1"/>
  <c r="DQ532" i="1"/>
  <c r="DR532" i="1"/>
  <c r="DP532" i="1"/>
  <c r="DQ533" i="1"/>
  <c r="DR533" i="1"/>
  <c r="DP533" i="1"/>
  <c r="DQ534" i="1"/>
  <c r="DQ535" i="1"/>
  <c r="DR534" i="1"/>
  <c r="DP534" i="1"/>
  <c r="DR535" i="1"/>
  <c r="DP535" i="1"/>
  <c r="DQ536" i="1"/>
  <c r="DQ537" i="1"/>
  <c r="DR536" i="1"/>
  <c r="DP536" i="1"/>
  <c r="DR537" i="1"/>
  <c r="DP537" i="1"/>
  <c r="DQ538" i="1"/>
  <c r="DQ539" i="1"/>
  <c r="DR538" i="1"/>
  <c r="DP538" i="1"/>
  <c r="DR539" i="1"/>
  <c r="DP539" i="1"/>
  <c r="DQ540" i="1"/>
  <c r="DR540" i="1"/>
  <c r="DP540" i="1"/>
  <c r="DQ541" i="1"/>
  <c r="DQ542" i="1"/>
  <c r="DR541" i="1"/>
  <c r="DP541" i="1"/>
  <c r="DQ543" i="1"/>
  <c r="DR542" i="1"/>
  <c r="DP542" i="1"/>
  <c r="DQ29" i="1"/>
  <c r="DQ544" i="1"/>
  <c r="DR29" i="1"/>
  <c r="DP29" i="1"/>
  <c r="DR543" i="1"/>
  <c r="DP543" i="1"/>
  <c r="DQ30" i="1"/>
  <c r="DR30" i="1"/>
  <c r="DP30" i="1"/>
  <c r="DQ31" i="1"/>
  <c r="DR544" i="1"/>
  <c r="DP544" i="1"/>
  <c r="DQ545" i="1"/>
  <c r="DR545" i="1"/>
  <c r="DP545" i="1"/>
  <c r="DQ546" i="1"/>
  <c r="DR31" i="1"/>
  <c r="DP31" i="1"/>
  <c r="DQ32" i="1"/>
  <c r="DR546" i="1"/>
  <c r="DP546" i="1"/>
  <c r="DQ33" i="1"/>
  <c r="DQ547" i="1"/>
  <c r="DR32" i="1"/>
  <c r="DP32" i="1"/>
  <c r="DR547" i="1"/>
  <c r="DP547" i="1"/>
  <c r="DQ548" i="1"/>
  <c r="DR33" i="1"/>
  <c r="DP33" i="1"/>
  <c r="DR548" i="1"/>
  <c r="DP548" i="1"/>
  <c r="DQ35" i="1"/>
  <c r="DQ549" i="1"/>
  <c r="DR34" i="1"/>
  <c r="DP34" i="1"/>
  <c r="DQ34" i="1"/>
  <c r="DR35" i="1"/>
  <c r="DP35" i="1"/>
  <c r="DQ550" i="1"/>
  <c r="DR549" i="1"/>
  <c r="DP549" i="1"/>
  <c r="DR550" i="1"/>
  <c r="DP550" i="1"/>
  <c r="DQ36" i="1"/>
  <c r="DQ551" i="1"/>
  <c r="DQ37" i="1"/>
  <c r="DQ552" i="1"/>
  <c r="DR36" i="1"/>
  <c r="DP36" i="1"/>
  <c r="DR551" i="1"/>
  <c r="DP551" i="1"/>
  <c r="DR552" i="1"/>
  <c r="DP552" i="1"/>
  <c r="DR37" i="1"/>
  <c r="DP37" i="1"/>
  <c r="DQ553" i="1"/>
  <c r="DQ38" i="1"/>
  <c r="DR38" i="1"/>
  <c r="DP38" i="1"/>
  <c r="DQ554" i="1"/>
  <c r="DR553" i="1"/>
  <c r="DP553" i="1"/>
  <c r="DR554" i="1"/>
  <c r="DP554" i="1"/>
  <c r="DQ555" i="1"/>
  <c r="DQ39" i="1"/>
  <c r="DR555" i="1"/>
  <c r="DP555" i="1"/>
  <c r="DQ556" i="1"/>
  <c r="DR39" i="1"/>
  <c r="DP39" i="1"/>
  <c r="DQ557" i="1"/>
  <c r="DR556" i="1"/>
  <c r="DP556" i="1"/>
  <c r="DQ40" i="1"/>
  <c r="DQ558" i="1"/>
  <c r="DR40" i="1"/>
  <c r="DP40" i="1"/>
  <c r="DR557" i="1"/>
  <c r="DP557" i="1"/>
  <c r="DQ41" i="1"/>
  <c r="DR41" i="1"/>
  <c r="DP41" i="1"/>
  <c r="DQ559" i="1"/>
  <c r="DQ42" i="1"/>
  <c r="DR558" i="1"/>
  <c r="DP558" i="1"/>
  <c r="DR559" i="1"/>
  <c r="DP559" i="1"/>
  <c r="DR42" i="1"/>
  <c r="DP42" i="1"/>
  <c r="DQ560" i="1"/>
  <c r="DR560" i="1"/>
  <c r="DP560" i="1"/>
  <c r="DQ561" i="1"/>
  <c r="DQ43" i="1"/>
  <c r="DR561" i="1"/>
  <c r="DP561" i="1"/>
  <c r="DR43" i="1"/>
  <c r="DP43" i="1"/>
  <c r="DQ562" i="1"/>
  <c r="DR562" i="1"/>
  <c r="DP562" i="1"/>
  <c r="DQ563" i="1"/>
  <c r="DQ44" i="1"/>
  <c r="DR44" i="1"/>
  <c r="DP44" i="1"/>
  <c r="DQ564" i="1"/>
  <c r="DR563" i="1"/>
  <c r="DP563" i="1"/>
  <c r="DR564" i="1"/>
  <c r="DP564" i="1"/>
  <c r="DQ565" i="1"/>
  <c r="DR45" i="1"/>
  <c r="DP45" i="1"/>
  <c r="DQ45" i="1"/>
  <c r="DR565" i="1"/>
  <c r="DP565" i="1"/>
  <c r="DQ566" i="1"/>
  <c r="DQ567" i="1"/>
  <c r="DR566" i="1"/>
  <c r="DP566" i="1"/>
  <c r="DQ568" i="1"/>
  <c r="DQ46" i="1"/>
  <c r="DR567" i="1"/>
  <c r="DP567" i="1"/>
  <c r="DR46" i="1"/>
  <c r="DP46" i="1"/>
  <c r="DQ569" i="1"/>
  <c r="DR568" i="1"/>
  <c r="DP568" i="1"/>
  <c r="DR569" i="1"/>
  <c r="DP569" i="1"/>
  <c r="DQ570" i="1"/>
  <c r="DQ48" i="1"/>
  <c r="DR47" i="1"/>
  <c r="DP47" i="1"/>
  <c r="DQ47" i="1"/>
  <c r="DR48" i="1"/>
  <c r="DP48" i="1"/>
  <c r="DR570" i="1"/>
  <c r="DP570" i="1"/>
  <c r="DQ571" i="1"/>
  <c r="DQ572" i="1"/>
  <c r="DR49" i="1"/>
  <c r="DP49" i="1"/>
  <c r="DQ50" i="1"/>
  <c r="DQ49" i="1"/>
  <c r="DR571" i="1"/>
  <c r="DP571" i="1"/>
  <c r="DQ573" i="1"/>
  <c r="DR50" i="1"/>
  <c r="DP50" i="1"/>
  <c r="DR572" i="1"/>
  <c r="DP572" i="1"/>
  <c r="DQ188" i="1"/>
  <c r="DQ52" i="1"/>
  <c r="DQ51" i="1"/>
  <c r="DR573" i="1"/>
  <c r="DP573" i="1"/>
  <c r="DR51" i="1"/>
  <c r="DP51" i="1"/>
  <c r="DQ574" i="1"/>
  <c r="DR188" i="1"/>
  <c r="DP188" i="1"/>
  <c r="DR574" i="1"/>
  <c r="DP574" i="1"/>
  <c r="DQ575" i="1"/>
  <c r="DR52" i="1"/>
  <c r="DP52" i="1"/>
  <c r="DR53" i="1"/>
  <c r="DP53" i="1"/>
  <c r="DR575" i="1"/>
  <c r="DP575" i="1"/>
  <c r="DQ576" i="1"/>
  <c r="DQ53" i="1"/>
  <c r="DQ54" i="1"/>
  <c r="DR54" i="1"/>
  <c r="DP54" i="1"/>
  <c r="DR576" i="1"/>
  <c r="DP576" i="1"/>
  <c r="DQ577" i="1"/>
  <c r="DQ55" i="1"/>
  <c r="DQ578" i="1"/>
  <c r="DR55" i="1"/>
  <c r="DP55" i="1"/>
  <c r="DR577" i="1"/>
  <c r="DP577" i="1"/>
  <c r="DQ579" i="1"/>
  <c r="DR578" i="1"/>
  <c r="DP578" i="1"/>
  <c r="DQ580" i="1"/>
  <c r="DR579" i="1"/>
  <c r="DP579" i="1"/>
  <c r="DR56" i="1"/>
  <c r="DP56" i="1"/>
  <c r="DQ56" i="1"/>
  <c r="DR580" i="1"/>
  <c r="DP580" i="1"/>
  <c r="DQ581" i="1"/>
  <c r="DR581" i="1"/>
  <c r="DP581" i="1"/>
  <c r="DQ582" i="1"/>
  <c r="DR582" i="1"/>
  <c r="DP582" i="1"/>
  <c r="DQ58" i="1"/>
  <c r="DR57" i="1"/>
  <c r="DP57" i="1"/>
  <c r="DQ583" i="1"/>
  <c r="DQ57" i="1"/>
  <c r="DR583" i="1"/>
  <c r="DP583" i="1"/>
  <c r="DQ584" i="1"/>
  <c r="DR58" i="1"/>
  <c r="DP58" i="1"/>
  <c r="DQ60" i="1"/>
  <c r="DQ585" i="1"/>
  <c r="DR59" i="1"/>
  <c r="DP59" i="1"/>
  <c r="DR584" i="1"/>
  <c r="DP584" i="1"/>
  <c r="DQ59" i="1"/>
  <c r="DQ61" i="1"/>
  <c r="DR60" i="1"/>
  <c r="DP60" i="1"/>
  <c r="DQ586" i="1"/>
  <c r="DR585" i="1"/>
  <c r="DP585" i="1"/>
  <c r="DQ587" i="1"/>
  <c r="DR61" i="1"/>
  <c r="DP61" i="1"/>
  <c r="DR586" i="1"/>
  <c r="DP586" i="1"/>
  <c r="DQ588" i="1"/>
  <c r="DR587" i="1"/>
  <c r="DP587" i="1"/>
  <c r="DQ63" i="1"/>
  <c r="DQ589" i="1"/>
  <c r="DR62" i="1"/>
  <c r="DP62" i="1"/>
  <c r="DQ62" i="1"/>
  <c r="DR588" i="1"/>
  <c r="DP588" i="1"/>
  <c r="DR589" i="1"/>
  <c r="DP589" i="1"/>
  <c r="DR63" i="1"/>
  <c r="DP63" i="1"/>
  <c r="DQ590" i="1"/>
  <c r="DQ194" i="1"/>
  <c r="DR590" i="1"/>
  <c r="DP590" i="1"/>
  <c r="DQ591" i="1"/>
  <c r="DR194" i="1"/>
  <c r="DP194" i="1"/>
  <c r="DQ195" i="1"/>
  <c r="DR591" i="1"/>
  <c r="DP591" i="1"/>
  <c r="DQ592" i="1"/>
  <c r="DP195" i="1"/>
  <c r="DR195" i="1"/>
  <c r="DQ196" i="1"/>
  <c r="DR592" i="1"/>
  <c r="DP592" i="1"/>
  <c r="DQ593" i="1"/>
  <c r="DQ197" i="1"/>
  <c r="DR196" i="1"/>
  <c r="DP196" i="1"/>
  <c r="DQ65" i="1"/>
  <c r="DR593" i="1"/>
  <c r="DP593" i="1"/>
  <c r="DR64" i="1"/>
  <c r="DP64" i="1"/>
  <c r="DQ594" i="1"/>
  <c r="DQ64" i="1"/>
  <c r="DR197" i="1"/>
  <c r="DP197" i="1"/>
  <c r="DQ198" i="1"/>
  <c r="DQ66" i="1"/>
  <c r="DR65" i="1"/>
  <c r="DP65" i="1"/>
  <c r="DQ595" i="1"/>
  <c r="DR594" i="1"/>
  <c r="DP594" i="1"/>
  <c r="DR198" i="1"/>
  <c r="DP198" i="1"/>
  <c r="DQ199" i="1"/>
  <c r="DR595" i="1"/>
  <c r="DP595" i="1"/>
  <c r="DQ596" i="1"/>
  <c r="DR66" i="1"/>
  <c r="DP66" i="1"/>
  <c r="DR199" i="1"/>
  <c r="DP199" i="1"/>
  <c r="DQ200" i="1"/>
  <c r="DQ597" i="1"/>
  <c r="DR596" i="1"/>
  <c r="DP596" i="1"/>
  <c r="DR200" i="1"/>
  <c r="DP200" i="1"/>
  <c r="DQ201" i="1"/>
  <c r="DQ598" i="1"/>
  <c r="DR597" i="1"/>
  <c r="DP597" i="1"/>
  <c r="DR201" i="1"/>
  <c r="DP201" i="1"/>
  <c r="DQ202" i="1"/>
  <c r="DQ599" i="1"/>
  <c r="DQ67" i="1"/>
  <c r="DR598" i="1"/>
  <c r="DP598" i="1"/>
  <c r="DP202" i="1"/>
  <c r="DR202" i="1"/>
  <c r="DQ203" i="1"/>
  <c r="DR599" i="1"/>
  <c r="DP599" i="1"/>
  <c r="DQ600" i="1"/>
  <c r="DQ68" i="1"/>
  <c r="DR67" i="1"/>
  <c r="DP67" i="1"/>
  <c r="DR203" i="1"/>
  <c r="DP203" i="1"/>
  <c r="DQ204" i="1"/>
  <c r="DR68" i="1"/>
  <c r="DP68" i="1"/>
  <c r="DR600" i="1"/>
  <c r="DP600" i="1"/>
  <c r="DQ69" i="1"/>
  <c r="DQ601" i="1"/>
  <c r="DR204" i="1"/>
  <c r="DP204" i="1"/>
  <c r="DQ205" i="1"/>
  <c r="DR69" i="1"/>
  <c r="DP69" i="1"/>
  <c r="DQ602" i="1"/>
  <c r="DR601" i="1"/>
  <c r="DP601" i="1"/>
  <c r="DQ206" i="1"/>
  <c r="DR205" i="1"/>
  <c r="DP205" i="1"/>
  <c r="DQ603" i="1"/>
  <c r="DR602" i="1"/>
  <c r="DP602" i="1"/>
  <c r="DQ207" i="1"/>
  <c r="DR206" i="1"/>
  <c r="DP206" i="1"/>
  <c r="DR603" i="1"/>
  <c r="DP603" i="1"/>
  <c r="DQ604" i="1"/>
  <c r="DQ208" i="1"/>
  <c r="DR207" i="1"/>
  <c r="DP207" i="1"/>
  <c r="DR604" i="1"/>
  <c r="DP604" i="1"/>
  <c r="DQ605" i="1"/>
  <c r="DQ70" i="1"/>
  <c r="DQ209" i="1"/>
  <c r="DR208" i="1"/>
  <c r="DP208" i="1"/>
  <c r="DQ606" i="1"/>
  <c r="DR70" i="1"/>
  <c r="DP70" i="1"/>
  <c r="DR605" i="1"/>
  <c r="DP605" i="1"/>
  <c r="DR209" i="1"/>
  <c r="DP209" i="1"/>
  <c r="DQ210" i="1"/>
  <c r="DQ71" i="1"/>
  <c r="DQ72" i="1"/>
  <c r="DR606" i="1"/>
  <c r="DP606" i="1"/>
  <c r="DQ607" i="1"/>
  <c r="DR71" i="1"/>
  <c r="DP71" i="1"/>
  <c r="DQ211" i="1"/>
  <c r="DR210" i="1"/>
  <c r="DP210" i="1"/>
  <c r="DQ608" i="1"/>
  <c r="DR607" i="1"/>
  <c r="DP607" i="1"/>
  <c r="DR72" i="1"/>
  <c r="DP72" i="1"/>
  <c r="DR211" i="1"/>
  <c r="DP211" i="1"/>
  <c r="DQ212" i="1"/>
  <c r="DR608" i="1"/>
  <c r="DP608" i="1"/>
  <c r="DQ609" i="1"/>
  <c r="DR212" i="1"/>
  <c r="DP212" i="1"/>
  <c r="DQ213" i="1"/>
  <c r="DR609" i="1"/>
  <c r="DP609" i="1"/>
  <c r="DQ610" i="1"/>
  <c r="DR213" i="1"/>
  <c r="DP213" i="1"/>
  <c r="DQ214" i="1"/>
  <c r="DR610" i="1"/>
  <c r="DP610" i="1"/>
  <c r="DQ611" i="1"/>
  <c r="DR214" i="1"/>
  <c r="DP214" i="1"/>
  <c r="DQ215" i="1"/>
  <c r="DR611" i="1"/>
  <c r="DP611" i="1"/>
  <c r="DQ73" i="1"/>
  <c r="DQ612" i="1"/>
  <c r="DR215" i="1"/>
  <c r="DP215" i="1"/>
  <c r="DQ216" i="1"/>
  <c r="DR612" i="1"/>
  <c r="DP612" i="1"/>
  <c r="DR73" i="1"/>
  <c r="DP73" i="1"/>
  <c r="DQ613" i="1"/>
  <c r="DR216" i="1"/>
  <c r="DP216" i="1"/>
  <c r="DQ217" i="1"/>
  <c r="DR613" i="1"/>
  <c r="DP613" i="1"/>
  <c r="DQ614" i="1"/>
  <c r="DR74" i="1"/>
  <c r="DP74" i="1"/>
  <c r="DQ74" i="1"/>
  <c r="DQ218" i="1"/>
  <c r="DR217" i="1"/>
  <c r="DP217" i="1"/>
  <c r="DQ615" i="1"/>
  <c r="DR614" i="1"/>
  <c r="DP614" i="1"/>
  <c r="DQ219" i="1"/>
  <c r="DR218" i="1"/>
  <c r="DP218" i="1"/>
  <c r="DQ616" i="1"/>
  <c r="DR615" i="1"/>
  <c r="DP615" i="1"/>
  <c r="DR75" i="1"/>
  <c r="DP75" i="1"/>
  <c r="DQ75" i="1"/>
  <c r="DR219" i="1"/>
  <c r="DP219" i="1"/>
  <c r="DQ220" i="1"/>
  <c r="DQ617" i="1"/>
  <c r="DR616" i="1"/>
  <c r="DP616" i="1"/>
  <c r="DR220" i="1"/>
  <c r="DP220" i="1"/>
  <c r="DQ221" i="1"/>
  <c r="DR617" i="1"/>
  <c r="DP617" i="1"/>
  <c r="DQ618" i="1"/>
  <c r="DR221" i="1"/>
  <c r="DP221" i="1"/>
  <c r="DQ222" i="1"/>
  <c r="DR618" i="1"/>
  <c r="DP618" i="1"/>
  <c r="DQ619" i="1"/>
  <c r="DQ223" i="1"/>
  <c r="DR222" i="1"/>
  <c r="DP222" i="1"/>
  <c r="DQ76" i="1"/>
  <c r="DQ620" i="1"/>
  <c r="DR619" i="1"/>
  <c r="DP619" i="1"/>
  <c r="DR223" i="1"/>
  <c r="DP223" i="1"/>
  <c r="DQ224" i="1"/>
  <c r="DR620" i="1"/>
  <c r="DP620" i="1"/>
  <c r="DQ621" i="1"/>
  <c r="DR76" i="1"/>
  <c r="DP76" i="1"/>
  <c r="DR224" i="1"/>
  <c r="DP224" i="1"/>
  <c r="DQ225" i="1"/>
  <c r="DR621" i="1"/>
  <c r="DP621" i="1"/>
  <c r="DQ622" i="1"/>
  <c r="DR225" i="1"/>
  <c r="DP225" i="1"/>
  <c r="DQ226" i="1"/>
  <c r="DQ623" i="1"/>
  <c r="DR622" i="1"/>
  <c r="DP622" i="1"/>
  <c r="DQ77" i="1"/>
  <c r="DR226" i="1"/>
  <c r="DP226" i="1"/>
  <c r="DQ227" i="1"/>
  <c r="DR77" i="1"/>
  <c r="DP77" i="1"/>
  <c r="DQ624" i="1"/>
  <c r="DR623" i="1"/>
  <c r="DP623" i="1"/>
  <c r="DQ228" i="1"/>
  <c r="DR227" i="1"/>
  <c r="DP227" i="1"/>
  <c r="DQ78" i="1"/>
  <c r="DR624" i="1"/>
  <c r="DP624" i="1"/>
  <c r="DQ625" i="1"/>
  <c r="DR228" i="1"/>
  <c r="DP228" i="1"/>
  <c r="DQ229" i="1"/>
  <c r="DR625" i="1"/>
  <c r="DP625" i="1"/>
  <c r="DQ626" i="1"/>
  <c r="DR78" i="1"/>
  <c r="DP78" i="1"/>
  <c r="DR229" i="1"/>
  <c r="DP229" i="1"/>
  <c r="DQ230" i="1"/>
  <c r="DQ79" i="1"/>
  <c r="DQ80" i="1"/>
  <c r="DQ627" i="1"/>
  <c r="DR626" i="1"/>
  <c r="DP626" i="1"/>
  <c r="DR79" i="1"/>
  <c r="DP79" i="1"/>
  <c r="DR230" i="1"/>
  <c r="DP230" i="1"/>
  <c r="DQ231" i="1"/>
  <c r="DQ628" i="1"/>
  <c r="DR80" i="1"/>
  <c r="DP80" i="1"/>
  <c r="DR627" i="1"/>
  <c r="DP627" i="1"/>
  <c r="DQ232" i="1"/>
  <c r="DP231" i="1"/>
  <c r="DR231" i="1"/>
  <c r="DR628" i="1"/>
  <c r="DP628" i="1"/>
  <c r="DQ629" i="1"/>
  <c r="DR232" i="1"/>
  <c r="DP232" i="1"/>
  <c r="DQ233" i="1"/>
  <c r="DR629" i="1"/>
  <c r="DP629" i="1"/>
  <c r="DQ630" i="1"/>
  <c r="DP233" i="1"/>
  <c r="DR233" i="1"/>
  <c r="DR81" i="1"/>
  <c r="DP81" i="1"/>
  <c r="DQ81" i="1"/>
  <c r="DR630" i="1"/>
  <c r="DP630" i="1"/>
  <c r="DQ631" i="1"/>
  <c r="DR631" i="1"/>
  <c r="DP631" i="1"/>
  <c r="DQ632" i="1"/>
  <c r="DR632" i="1"/>
  <c r="DP632" i="1"/>
  <c r="DQ633" i="1"/>
  <c r="DQ634" i="1"/>
  <c r="DR633" i="1"/>
  <c r="DP633" i="1"/>
  <c r="DQ82" i="1"/>
  <c r="DR634" i="1"/>
  <c r="DP634" i="1"/>
  <c r="DQ635" i="1"/>
  <c r="DR82" i="1"/>
  <c r="DP82" i="1"/>
  <c r="DQ636" i="1"/>
  <c r="DR635" i="1"/>
  <c r="DP635" i="1"/>
  <c r="DR636" i="1"/>
  <c r="DP636" i="1"/>
  <c r="DQ637" i="1"/>
  <c r="DQ638" i="1"/>
  <c r="DR637" i="1"/>
  <c r="DP637" i="1"/>
  <c r="DQ83" i="1"/>
  <c r="DQ639" i="1"/>
  <c r="DR638" i="1"/>
  <c r="DP638" i="1"/>
  <c r="DR83" i="1"/>
  <c r="DP83" i="1"/>
  <c r="DQ84" i="1"/>
  <c r="DQ640" i="1"/>
  <c r="DR84" i="1"/>
  <c r="DP84" i="1"/>
  <c r="DR639" i="1"/>
  <c r="DP639" i="1"/>
  <c r="DQ641" i="1"/>
  <c r="DR640" i="1"/>
  <c r="DP640" i="1"/>
  <c r="DQ85" i="1"/>
  <c r="DQ642" i="1"/>
  <c r="DR641" i="1"/>
  <c r="DP641" i="1"/>
  <c r="DR85" i="1"/>
  <c r="DP85" i="1"/>
  <c r="DR642" i="1"/>
  <c r="DP642" i="1"/>
  <c r="DQ643" i="1"/>
  <c r="DQ86" i="1"/>
  <c r="DQ644" i="1"/>
  <c r="DR643" i="1"/>
  <c r="DP643" i="1"/>
  <c r="DR86" i="1"/>
  <c r="DP86" i="1"/>
  <c r="DQ645" i="1"/>
  <c r="DR644" i="1"/>
  <c r="DP644" i="1"/>
  <c r="DQ87" i="1"/>
  <c r="DR87" i="1"/>
  <c r="DP87" i="1"/>
  <c r="DR645" i="1"/>
  <c r="DP645" i="1"/>
  <c r="DQ646" i="1"/>
  <c r="DR646" i="1"/>
  <c r="DP646" i="1"/>
  <c r="DQ647" i="1"/>
  <c r="DQ648" i="1"/>
  <c r="DR647" i="1"/>
  <c r="DP647" i="1"/>
  <c r="DR648" i="1"/>
  <c r="DP648" i="1"/>
  <c r="DQ649" i="1"/>
  <c r="DR649" i="1"/>
  <c r="DP649" i="1"/>
  <c r="DQ650" i="1"/>
  <c r="DQ651" i="1"/>
  <c r="DR650" i="1"/>
  <c r="DP650" i="1"/>
  <c r="DQ652" i="1"/>
  <c r="DR651" i="1"/>
  <c r="DP651" i="1"/>
  <c r="DQ653" i="1"/>
  <c r="DR652" i="1"/>
  <c r="DP652" i="1"/>
  <c r="DQ654" i="1"/>
  <c r="DR653" i="1"/>
  <c r="DP653" i="1"/>
  <c r="DQ655" i="1"/>
  <c r="DR654" i="1"/>
  <c r="DP654" i="1"/>
  <c r="DR655" i="1"/>
  <c r="DP655" i="1"/>
  <c r="DQ656" i="1"/>
  <c r="DR656" i="1"/>
  <c r="DP656" i="1"/>
  <c r="DQ657" i="1"/>
  <c r="DR657" i="1"/>
  <c r="DP657" i="1"/>
  <c r="DQ658" i="1"/>
  <c r="DQ189" i="1"/>
  <c r="DQ659" i="1"/>
  <c r="DR658" i="1"/>
  <c r="DP658" i="1"/>
  <c r="DP189" i="1"/>
  <c r="DR189" i="1"/>
  <c r="DR659" i="1"/>
  <c r="DP659" i="1"/>
  <c r="DQ660" i="1"/>
  <c r="DQ88" i="1"/>
  <c r="DQ661" i="1"/>
  <c r="DR660" i="1"/>
  <c r="DP660" i="1"/>
  <c r="DR88" i="1"/>
  <c r="DP88" i="1"/>
  <c r="DR661" i="1"/>
  <c r="DP661" i="1"/>
  <c r="DQ662" i="1"/>
  <c r="DR662" i="1"/>
  <c r="DP662" i="1"/>
  <c r="DQ663" i="1"/>
  <c r="DQ664" i="1"/>
  <c r="DR663" i="1"/>
  <c r="DP663" i="1"/>
  <c r="DR89" i="1"/>
  <c r="DP89" i="1"/>
  <c r="DQ89" i="1"/>
  <c r="DQ665" i="1"/>
  <c r="DR664" i="1"/>
  <c r="DP664" i="1"/>
  <c r="DQ666" i="1"/>
  <c r="DR665" i="1"/>
  <c r="DP665" i="1"/>
  <c r="DQ667" i="1"/>
  <c r="DR666" i="1"/>
  <c r="DP666" i="1"/>
  <c r="DQ90" i="1"/>
  <c r="DQ668" i="1"/>
  <c r="DQ91" i="1"/>
  <c r="DR667" i="1"/>
  <c r="DP667" i="1"/>
  <c r="DR90" i="1"/>
  <c r="DP90" i="1"/>
  <c r="DQ669" i="1"/>
  <c r="DR91" i="1"/>
  <c r="DP91" i="1"/>
  <c r="DR668" i="1"/>
  <c r="DP668" i="1"/>
  <c r="DQ92" i="1"/>
  <c r="DQ670" i="1"/>
  <c r="DR669" i="1"/>
  <c r="DP669" i="1"/>
  <c r="DR670" i="1"/>
  <c r="DP670" i="1"/>
  <c r="DQ671" i="1"/>
  <c r="DR92" i="1"/>
  <c r="DP92" i="1"/>
  <c r="DQ672" i="1"/>
  <c r="DQ93" i="1"/>
  <c r="DR671" i="1"/>
  <c r="DP671" i="1"/>
  <c r="DR93" i="1"/>
  <c r="DP93" i="1"/>
  <c r="DR672" i="1"/>
  <c r="DP672" i="1"/>
  <c r="DQ673" i="1"/>
  <c r="DR673" i="1"/>
  <c r="DP673" i="1"/>
  <c r="DR94" i="1"/>
  <c r="DP94" i="1"/>
  <c r="DQ94" i="1"/>
  <c r="DQ674" i="1"/>
  <c r="DQ675" i="1"/>
  <c r="DR674" i="1"/>
  <c r="DP674" i="1"/>
  <c r="DQ190" i="1"/>
  <c r="DR675" i="1"/>
  <c r="DP675" i="1"/>
  <c r="DQ676" i="1"/>
  <c r="DP190" i="1"/>
  <c r="DR190" i="1"/>
  <c r="DQ677" i="1"/>
  <c r="DR676" i="1"/>
  <c r="DP676" i="1"/>
  <c r="DQ678" i="1"/>
  <c r="DR677" i="1"/>
  <c r="DP677" i="1"/>
  <c r="DQ679" i="1"/>
  <c r="DR678" i="1"/>
  <c r="DP678" i="1"/>
  <c r="DQ680" i="1"/>
  <c r="DR679" i="1"/>
  <c r="DP679" i="1"/>
  <c r="DQ681" i="1"/>
  <c r="DR680" i="1"/>
  <c r="DP680" i="1"/>
  <c r="DR681" i="1"/>
  <c r="DP681" i="1"/>
  <c r="DQ682" i="1"/>
  <c r="DQ684" i="1"/>
  <c r="DQ683" i="1"/>
  <c r="DR682" i="1"/>
  <c r="DP682" i="1"/>
  <c r="DR684" i="1"/>
  <c r="DP684" i="1"/>
  <c r="DR95" i="1"/>
  <c r="DP95" i="1"/>
  <c r="DQ96" i="1"/>
  <c r="DQ95" i="1"/>
  <c r="DR683" i="1"/>
  <c r="DP683" i="1"/>
  <c r="DQ97" i="1"/>
  <c r="DR96" i="1"/>
  <c r="DP96" i="1"/>
  <c r="DR97" i="1"/>
  <c r="DP97" i="1"/>
  <c r="DQ1309" i="1"/>
  <c r="DQ1308" i="1"/>
  <c r="DR1309" i="1"/>
  <c r="DP1309" i="1"/>
  <c r="DQ1307" i="1"/>
  <c r="DR1308" i="1"/>
  <c r="DP1308" i="1"/>
  <c r="DQ1306" i="1"/>
  <c r="DR1307" i="1"/>
  <c r="DP1307" i="1"/>
  <c r="DR1306" i="1"/>
  <c r="DP1306" i="1"/>
  <c r="DQ1305" i="1"/>
  <c r="DR1305" i="1"/>
  <c r="DP1305" i="1"/>
  <c r="DQ895" i="1"/>
  <c r="DR895" i="1"/>
  <c r="DP895" i="1"/>
  <c r="DQ894" i="1"/>
  <c r="DR894" i="1"/>
  <c r="DP894" i="1"/>
  <c r="DQ893" i="1"/>
  <c r="DR893" i="1"/>
  <c r="DP893" i="1"/>
  <c r="DQ892" i="1"/>
  <c r="DR892" i="1"/>
  <c r="DP892" i="1"/>
  <c r="DQ891" i="1"/>
  <c r="DQ890" i="1"/>
  <c r="DR891" i="1"/>
  <c r="DP891" i="1"/>
  <c r="DQ889" i="1"/>
  <c r="DR890" i="1"/>
  <c r="DP890" i="1"/>
  <c r="DR889" i="1"/>
  <c r="DP889" i="1"/>
  <c r="DQ888" i="1"/>
  <c r="DR888" i="1"/>
  <c r="DP888" i="1"/>
  <c r="DQ887" i="1"/>
  <c r="DR887" i="1"/>
  <c r="DP887" i="1"/>
  <c r="DQ886" i="1"/>
  <c r="DQ885" i="1"/>
  <c r="DR886" i="1"/>
  <c r="DP886" i="1"/>
  <c r="DR885" i="1"/>
  <c r="DP885" i="1"/>
  <c r="DQ884" i="1"/>
  <c r="DR884" i="1"/>
  <c r="DP884" i="1"/>
  <c r="DQ883" i="1"/>
  <c r="DR883" i="1"/>
  <c r="DP883" i="1"/>
  <c r="DQ882" i="1"/>
  <c r="DQ881" i="1"/>
  <c r="DR882" i="1"/>
  <c r="DP882" i="1"/>
  <c r="DQ880" i="1"/>
  <c r="DR881" i="1"/>
  <c r="DP881" i="1"/>
  <c r="DQ879" i="1"/>
  <c r="DR880" i="1"/>
  <c r="DP880" i="1"/>
  <c r="DQ878" i="1"/>
  <c r="DR879" i="1"/>
  <c r="DP879" i="1"/>
  <c r="DR878" i="1"/>
  <c r="DP878" i="1"/>
  <c r="DQ877" i="1"/>
  <c r="DR877" i="1"/>
  <c r="DP877" i="1"/>
  <c r="DQ876" i="1"/>
  <c r="DR876" i="1"/>
  <c r="DP876" i="1"/>
  <c r="DQ875" i="1"/>
  <c r="DR875" i="1"/>
  <c r="DP875" i="1"/>
  <c r="DQ874" i="1"/>
  <c r="DR874" i="1"/>
  <c r="DP874" i="1"/>
  <c r="DQ873" i="1"/>
  <c r="DQ872" i="1"/>
  <c r="DR873" i="1"/>
  <c r="DP873" i="1"/>
  <c r="DQ871" i="1"/>
  <c r="DR872" i="1"/>
  <c r="DP872" i="1"/>
  <c r="DR871" i="1"/>
  <c r="DP871" i="1"/>
  <c r="DQ870" i="1"/>
  <c r="DQ869" i="1"/>
  <c r="DR870" i="1"/>
  <c r="DP870" i="1"/>
  <c r="DR869" i="1"/>
  <c r="DP869" i="1"/>
  <c r="DQ868" i="1"/>
  <c r="DQ867" i="1"/>
  <c r="DR868" i="1"/>
  <c r="DP868" i="1"/>
  <c r="DQ866" i="1"/>
  <c r="DR867" i="1"/>
  <c r="DP867" i="1"/>
  <c r="DQ865" i="1"/>
  <c r="DR866" i="1"/>
  <c r="DP866" i="1"/>
  <c r="DR865" i="1"/>
  <c r="DP865" i="1"/>
  <c r="DQ864" i="1"/>
  <c r="DQ863" i="1"/>
  <c r="DR864" i="1"/>
  <c r="DP864" i="1"/>
  <c r="DR863" i="1"/>
  <c r="DP863" i="1"/>
  <c r="DQ862" i="1"/>
  <c r="DR862" i="1"/>
  <c r="DP862" i="1"/>
  <c r="DQ861" i="1"/>
  <c r="DQ860" i="1"/>
  <c r="DR861" i="1"/>
  <c r="DP861" i="1"/>
  <c r="DQ859" i="1"/>
  <c r="DR860" i="1"/>
  <c r="DP860" i="1"/>
  <c r="DR859" i="1"/>
  <c r="DP859" i="1"/>
  <c r="DQ858" i="1"/>
  <c r="DQ857" i="1"/>
  <c r="DR858" i="1"/>
  <c r="DP858" i="1"/>
  <c r="DR857" i="1"/>
  <c r="DP857" i="1"/>
  <c r="DQ856" i="1"/>
  <c r="DR856" i="1"/>
  <c r="DP856" i="1"/>
  <c r="DQ855" i="1"/>
  <c r="DR855" i="1"/>
  <c r="DP855" i="1"/>
  <c r="DQ854" i="1"/>
  <c r="DR854" i="1"/>
  <c r="DP854" i="1"/>
  <c r="DQ853" i="1"/>
  <c r="DQ852" i="1"/>
  <c r="DR853" i="1"/>
  <c r="DP853" i="1"/>
  <c r="DQ851" i="1"/>
  <c r="DR852" i="1"/>
  <c r="DP852" i="1"/>
  <c r="DQ850" i="1"/>
  <c r="DR851" i="1"/>
  <c r="DP851" i="1"/>
  <c r="DQ849" i="1"/>
  <c r="DR850" i="1"/>
  <c r="DP850" i="1"/>
  <c r="DR849" i="1"/>
  <c r="DP849" i="1"/>
  <c r="DQ848" i="1"/>
  <c r="DR848" i="1"/>
  <c r="DP848" i="1"/>
  <c r="DQ847" i="1"/>
  <c r="DR847" i="1"/>
  <c r="DP847" i="1"/>
  <c r="DQ846" i="1"/>
  <c r="DR846" i="1"/>
  <c r="DP846" i="1"/>
  <c r="DQ845" i="1"/>
  <c r="DQ844" i="1"/>
  <c r="DR845" i="1"/>
  <c r="DP845" i="1"/>
  <c r="DQ843" i="1"/>
  <c r="DR844" i="1"/>
  <c r="DP844" i="1"/>
  <c r="DR843" i="1"/>
  <c r="DP843" i="1"/>
  <c r="DQ842" i="1"/>
  <c r="DQ841" i="1"/>
  <c r="DR842" i="1"/>
  <c r="DP842" i="1"/>
  <c r="DR841" i="1"/>
  <c r="DP841" i="1"/>
  <c r="DQ840" i="1"/>
  <c r="DQ839" i="1"/>
  <c r="DR840" i="1"/>
  <c r="DP840" i="1"/>
  <c r="DQ838" i="1"/>
  <c r="DR839" i="1"/>
  <c r="DP839" i="1"/>
  <c r="DR838" i="1"/>
  <c r="DP838" i="1"/>
  <c r="DQ837" i="1"/>
  <c r="DR837" i="1"/>
  <c r="DP837" i="1"/>
  <c r="DQ836" i="1"/>
  <c r="DR836" i="1"/>
  <c r="DP836" i="1"/>
  <c r="DQ835" i="1"/>
  <c r="DQ834" i="1"/>
  <c r="DR835" i="1"/>
  <c r="DP835" i="1"/>
  <c r="DR834" i="1"/>
  <c r="DP834" i="1"/>
  <c r="DQ833" i="1"/>
  <c r="DR833" i="1"/>
  <c r="DP833" i="1"/>
  <c r="DQ832" i="1"/>
  <c r="DQ831" i="1"/>
  <c r="DR832" i="1"/>
  <c r="DP832" i="1"/>
  <c r="DR831" i="1"/>
  <c r="DP831" i="1"/>
  <c r="DQ830" i="1"/>
  <c r="DR830" i="1"/>
  <c r="DP830" i="1"/>
  <c r="DQ829" i="1"/>
  <c r="DR829" i="1"/>
  <c r="DP829" i="1"/>
  <c r="DQ828" i="1"/>
  <c r="DR828" i="1"/>
  <c r="DP828" i="1"/>
  <c r="DQ827" i="1"/>
  <c r="DQ826" i="1"/>
  <c r="DR827" i="1"/>
  <c r="DP827" i="1"/>
  <c r="DR826" i="1"/>
  <c r="DP826" i="1"/>
  <c r="DQ825" i="1"/>
  <c r="DR825" i="1"/>
  <c r="DP825" i="1"/>
  <c r="DQ824" i="1"/>
  <c r="DR824" i="1"/>
  <c r="DP824" i="1"/>
  <c r="DQ823" i="1"/>
  <c r="DR823" i="1"/>
  <c r="DP823" i="1"/>
  <c r="DQ822" i="1"/>
  <c r="DQ821" i="1"/>
  <c r="DR822" i="1"/>
  <c r="DP822" i="1"/>
  <c r="DR821" i="1"/>
  <c r="DP821" i="1"/>
  <c r="DQ820" i="1"/>
  <c r="DR820" i="1"/>
  <c r="DP820" i="1"/>
  <c r="DQ819" i="1"/>
  <c r="DR819" i="1"/>
  <c r="DP819" i="1"/>
  <c r="DQ818" i="1"/>
  <c r="DR818" i="1"/>
  <c r="DP818" i="1"/>
  <c r="DQ817" i="1"/>
  <c r="DQ816" i="1"/>
  <c r="DR817" i="1"/>
  <c r="DP817" i="1"/>
  <c r="DQ815" i="1"/>
  <c r="DR816" i="1"/>
  <c r="DP816" i="1"/>
  <c r="DR815" i="1"/>
  <c r="DP815" i="1"/>
  <c r="DQ814" i="1"/>
  <c r="DR814" i="1"/>
  <c r="DP814" i="1"/>
  <c r="DQ813" i="1"/>
  <c r="DR813" i="1"/>
  <c r="DP813" i="1"/>
  <c r="DQ812" i="1"/>
  <c r="DQ811" i="1"/>
  <c r="DR812" i="1"/>
  <c r="DP812" i="1"/>
  <c r="DR811" i="1"/>
  <c r="DP811" i="1"/>
  <c r="DQ810" i="1"/>
  <c r="DR810" i="1"/>
  <c r="DP810" i="1"/>
  <c r="DQ809" i="1"/>
  <c r="DQ808" i="1"/>
  <c r="DR809" i="1"/>
  <c r="DP809" i="1"/>
  <c r="DQ807" i="1"/>
  <c r="DR808" i="1"/>
  <c r="DP808" i="1"/>
  <c r="DR807" i="1"/>
  <c r="DP807" i="1"/>
  <c r="DQ806" i="1"/>
  <c r="DR806" i="1"/>
  <c r="DP806" i="1"/>
  <c r="DQ805" i="1"/>
  <c r="DQ804" i="1"/>
  <c r="DR805" i="1"/>
  <c r="DP805" i="1"/>
  <c r="DQ803" i="1"/>
  <c r="DR804" i="1"/>
  <c r="DP804" i="1"/>
  <c r="DR803" i="1"/>
  <c r="DP803" i="1"/>
  <c r="DQ802" i="1"/>
  <c r="DR802" i="1"/>
  <c r="DP802" i="1"/>
  <c r="DQ801" i="1"/>
  <c r="DR801" i="1"/>
  <c r="DP801" i="1"/>
  <c r="DQ800" i="1"/>
  <c r="DR800" i="1"/>
  <c r="DP800" i="1"/>
  <c r="DQ799" i="1"/>
  <c r="DR799" i="1"/>
  <c r="DP799" i="1"/>
  <c r="DQ798" i="1"/>
  <c r="DQ797" i="1"/>
  <c r="DR798" i="1"/>
  <c r="DP798" i="1"/>
  <c r="DR797" i="1"/>
  <c r="DP797" i="1"/>
  <c r="DQ796" i="1"/>
  <c r="DR796" i="1"/>
  <c r="DP796" i="1"/>
  <c r="DQ795" i="1"/>
  <c r="DQ794" i="1"/>
  <c r="DR795" i="1"/>
  <c r="DP795" i="1"/>
  <c r="DQ793" i="1"/>
  <c r="DR794" i="1"/>
  <c r="DP794" i="1"/>
  <c r="DQ792" i="1"/>
  <c r="DR793" i="1"/>
  <c r="DP793" i="1"/>
  <c r="DR792" i="1"/>
  <c r="DP792" i="1"/>
  <c r="DQ791" i="1"/>
  <c r="DR791" i="1"/>
  <c r="DP791" i="1"/>
  <c r="DQ790" i="1"/>
  <c r="DQ789" i="1"/>
  <c r="DR790" i="1"/>
  <c r="DP790" i="1"/>
  <c r="DQ788" i="1"/>
  <c r="DR789" i="1"/>
  <c r="DP789" i="1"/>
  <c r="DQ787" i="1"/>
  <c r="DR788" i="1"/>
  <c r="DP788" i="1"/>
  <c r="DR787" i="1"/>
  <c r="DP787" i="1"/>
  <c r="DQ1304" i="1"/>
  <c r="DR1304" i="1"/>
  <c r="DP1304" i="1"/>
  <c r="DQ786" i="1"/>
  <c r="DR786" i="1"/>
  <c r="DP786" i="1"/>
  <c r="DQ785" i="1"/>
  <c r="DR785" i="1"/>
  <c r="DP785" i="1"/>
  <c r="DQ1303" i="1"/>
  <c r="DR1303" i="1"/>
  <c r="DP1303" i="1"/>
  <c r="DQ1302" i="1"/>
  <c r="DR1302" i="1"/>
  <c r="DP1302" i="1"/>
  <c r="DQ1301" i="1"/>
  <c r="DR1301" i="1"/>
  <c r="DP1301" i="1"/>
  <c r="DQ1300" i="1"/>
  <c r="DR1300" i="1"/>
  <c r="DP1300" i="1"/>
  <c r="DQ1299" i="1"/>
  <c r="DQ1298" i="1"/>
  <c r="DR1299" i="1"/>
  <c r="DP1299" i="1"/>
  <c r="DR1298" i="1"/>
  <c r="DP1298" i="1"/>
  <c r="DQ1297" i="1"/>
  <c r="DQ1296" i="1"/>
  <c r="DR1297" i="1"/>
  <c r="DP1297" i="1"/>
  <c r="DR1296" i="1"/>
  <c r="DP1296" i="1"/>
  <c r="DQ1295" i="1"/>
  <c r="DR1295" i="1"/>
  <c r="DP1295" i="1"/>
  <c r="DQ1294" i="1"/>
  <c r="DR1294" i="1"/>
  <c r="DP1294" i="1"/>
  <c r="DQ1293" i="1"/>
  <c r="DR1293" i="1"/>
  <c r="DP1293" i="1"/>
  <c r="DQ1292" i="1"/>
  <c r="DR1292" i="1"/>
  <c r="DP1292" i="1"/>
  <c r="DQ1291" i="1"/>
  <c r="DQ1290" i="1"/>
  <c r="DR1291" i="1"/>
  <c r="DP1291" i="1"/>
  <c r="DR1290" i="1"/>
  <c r="DP1290" i="1"/>
  <c r="DQ1289" i="1"/>
  <c r="DR1289" i="1"/>
  <c r="DP1289" i="1"/>
  <c r="DQ1288" i="1"/>
  <c r="DQ1287" i="1"/>
  <c r="DR1288" i="1"/>
  <c r="DP1288" i="1"/>
  <c r="DR1287" i="1"/>
  <c r="DP1287" i="1"/>
  <c r="DQ1286" i="1"/>
  <c r="DQ1285" i="1"/>
  <c r="DR1286" i="1"/>
  <c r="DP1286" i="1"/>
  <c r="DR1285" i="1"/>
  <c r="DP1285" i="1"/>
  <c r="DQ1284" i="1"/>
  <c r="DR1284" i="1"/>
  <c r="DP1284" i="1"/>
  <c r="DQ1283" i="1"/>
  <c r="DR1283" i="1"/>
  <c r="DP1283" i="1"/>
  <c r="DQ1282" i="1"/>
  <c r="DR1282" i="1"/>
  <c r="DP1282" i="1"/>
  <c r="DQ1281" i="1"/>
  <c r="DR1281" i="1"/>
  <c r="DP1281" i="1"/>
  <c r="DQ1280" i="1"/>
  <c r="DR1280" i="1"/>
  <c r="DP1280" i="1"/>
  <c r="DQ1279" i="1"/>
  <c r="DR1279" i="1"/>
  <c r="DP1279" i="1"/>
  <c r="DQ1278" i="1"/>
  <c r="DQ1277" i="1"/>
  <c r="DR1278" i="1"/>
  <c r="DP1278" i="1"/>
  <c r="DQ1276" i="1"/>
  <c r="DR1277" i="1"/>
  <c r="DP1277" i="1"/>
  <c r="DR1276" i="1"/>
  <c r="DP1276" i="1"/>
  <c r="DQ1275" i="1"/>
  <c r="DR1275" i="1"/>
  <c r="DP1275" i="1"/>
  <c r="DQ1274" i="1"/>
  <c r="DR1274" i="1"/>
  <c r="DP1274" i="1"/>
  <c r="DQ1273" i="1"/>
  <c r="DR1273" i="1"/>
  <c r="DP1273" i="1"/>
  <c r="DQ1272" i="1"/>
  <c r="DR1272" i="1"/>
  <c r="DP1272" i="1"/>
  <c r="DQ1271" i="1"/>
  <c r="DR1271" i="1"/>
  <c r="DP1271" i="1"/>
  <c r="DQ1270" i="1"/>
  <c r="DR1270" i="1"/>
  <c r="DP1270" i="1"/>
  <c r="DQ1269" i="1"/>
  <c r="DQ1268" i="1"/>
  <c r="DR1269" i="1"/>
  <c r="DP1269" i="1"/>
  <c r="DR1268" i="1"/>
  <c r="DP1268" i="1"/>
  <c r="DQ1267" i="1"/>
  <c r="DQ1266" i="1"/>
  <c r="DR1267" i="1"/>
  <c r="DP1267" i="1"/>
  <c r="DR1266" i="1"/>
  <c r="DP1266" i="1"/>
  <c r="DQ1265" i="1"/>
  <c r="DR1265" i="1"/>
  <c r="DP1265" i="1"/>
  <c r="DQ1264" i="1"/>
  <c r="DR1264" i="1"/>
  <c r="DP1264" i="1"/>
  <c r="DQ1263" i="1"/>
  <c r="DR1263" i="1"/>
  <c r="DP1263" i="1"/>
  <c r="DQ1262" i="1"/>
  <c r="DR1262" i="1"/>
  <c r="DP1262" i="1"/>
  <c r="DQ1261" i="1"/>
  <c r="DR1261" i="1"/>
  <c r="DP1261" i="1"/>
  <c r="DQ1260" i="1"/>
  <c r="DR1260" i="1"/>
  <c r="DP1260" i="1"/>
  <c r="DQ1259" i="1"/>
  <c r="DR1259" i="1"/>
  <c r="DP1259" i="1"/>
  <c r="DQ1258" i="1"/>
  <c r="DR1258" i="1"/>
  <c r="DP1258" i="1"/>
  <c r="DQ1257" i="1"/>
  <c r="DR1257" i="1"/>
  <c r="DP1257" i="1"/>
  <c r="DQ784" i="1"/>
  <c r="DR784" i="1"/>
  <c r="DP784" i="1"/>
  <c r="DQ783" i="1"/>
  <c r="DR783" i="1"/>
  <c r="DP783" i="1"/>
  <c r="DQ782" i="1"/>
  <c r="DR782" i="1"/>
  <c r="DP782" i="1"/>
  <c r="DQ781" i="1"/>
  <c r="DQ780" i="1"/>
  <c r="DR781" i="1"/>
  <c r="DP781" i="1"/>
  <c r="DR780" i="1"/>
  <c r="DP780" i="1"/>
  <c r="DQ779" i="1"/>
  <c r="DR779" i="1"/>
  <c r="DP779" i="1"/>
  <c r="DQ778" i="1"/>
  <c r="DQ777" i="1"/>
  <c r="DR778" i="1"/>
  <c r="DP778" i="1"/>
  <c r="DQ776" i="1"/>
  <c r="DR777" i="1"/>
  <c r="DP777" i="1"/>
  <c r="DR776" i="1"/>
  <c r="DP776" i="1"/>
  <c r="DQ775" i="1"/>
  <c r="DR775" i="1"/>
  <c r="DP775" i="1"/>
  <c r="DQ774" i="1"/>
  <c r="DR774" i="1"/>
  <c r="DP774" i="1"/>
  <c r="DQ773" i="1"/>
  <c r="DR773" i="1"/>
  <c r="DP773" i="1"/>
  <c r="DQ772" i="1"/>
  <c r="DR772" i="1"/>
  <c r="DP772" i="1"/>
  <c r="DQ771" i="1"/>
  <c r="DR771" i="1"/>
  <c r="DP771" i="1"/>
  <c r="DQ770" i="1"/>
  <c r="DQ769" i="1"/>
  <c r="DR770" i="1"/>
  <c r="DP770" i="1"/>
  <c r="DR769" i="1"/>
  <c r="DP769" i="1"/>
  <c r="DQ768" i="1"/>
  <c r="DR768" i="1"/>
  <c r="DP768" i="1"/>
  <c r="DQ767" i="1"/>
  <c r="DR767" i="1"/>
  <c r="DP767" i="1"/>
  <c r="DQ766" i="1"/>
  <c r="DR766" i="1"/>
  <c r="DP766" i="1"/>
  <c r="DQ765" i="1"/>
  <c r="DR765" i="1"/>
  <c r="DP765" i="1"/>
  <c r="DQ764" i="1"/>
  <c r="DQ763" i="1"/>
  <c r="DQ1256" i="1"/>
  <c r="DR764" i="1"/>
  <c r="DP764" i="1"/>
  <c r="DR763" i="1"/>
  <c r="DP763" i="1"/>
  <c r="DR1256" i="1"/>
  <c r="DP1256" i="1"/>
  <c r="DQ762" i="1"/>
  <c r="DR762" i="1"/>
  <c r="DP762" i="1"/>
  <c r="DQ761" i="1"/>
  <c r="DR761" i="1"/>
  <c r="DP761" i="1"/>
  <c r="DQ760" i="1"/>
  <c r="DR760" i="1"/>
  <c r="DP760" i="1"/>
  <c r="DQ759" i="1"/>
  <c r="DR759" i="1"/>
  <c r="DP759" i="1"/>
  <c r="DQ758" i="1"/>
  <c r="DR758" i="1"/>
  <c r="DP758" i="1"/>
  <c r="DQ757" i="1"/>
  <c r="DR757" i="1"/>
  <c r="DP757" i="1"/>
  <c r="DQ756" i="1"/>
  <c r="DR756" i="1"/>
  <c r="DP756" i="1"/>
  <c r="DQ755" i="1"/>
  <c r="DR755" i="1"/>
  <c r="DP755" i="1"/>
  <c r="DQ754" i="1"/>
  <c r="DQ753" i="1"/>
  <c r="DR754" i="1"/>
  <c r="DP754" i="1"/>
  <c r="DQ752" i="1"/>
  <c r="DR753" i="1"/>
  <c r="DP753" i="1"/>
  <c r="DR752" i="1"/>
  <c r="DP752" i="1"/>
  <c r="DQ751" i="1"/>
  <c r="DR751" i="1"/>
  <c r="DP751" i="1"/>
  <c r="DQ750" i="1"/>
  <c r="DR750" i="1"/>
  <c r="DP750" i="1"/>
  <c r="DQ749" i="1"/>
  <c r="DR749" i="1"/>
  <c r="DP749" i="1"/>
  <c r="DQ748" i="1"/>
  <c r="DR748" i="1"/>
  <c r="DP748" i="1"/>
  <c r="DQ747" i="1"/>
  <c r="DR747" i="1"/>
  <c r="DP747" i="1"/>
  <c r="DQ746" i="1"/>
  <c r="DR746" i="1"/>
  <c r="DP746" i="1"/>
  <c r="DQ745" i="1"/>
  <c r="DR745" i="1"/>
  <c r="DP745" i="1"/>
  <c r="DQ744" i="1"/>
  <c r="DQ743" i="1"/>
  <c r="DR744" i="1"/>
  <c r="DP744" i="1"/>
  <c r="DQ742" i="1"/>
  <c r="DR743" i="1"/>
  <c r="DP743" i="1"/>
  <c r="DQ741" i="1"/>
  <c r="DR742" i="1"/>
  <c r="DP742" i="1"/>
  <c r="DR741" i="1"/>
  <c r="DP741" i="1"/>
  <c r="DQ740" i="1"/>
  <c r="DR740" i="1"/>
  <c r="DP740" i="1"/>
  <c r="DQ739" i="1"/>
  <c r="DR739" i="1"/>
  <c r="DP739" i="1"/>
  <c r="DQ738" i="1"/>
  <c r="DQ737" i="1"/>
  <c r="DR738" i="1"/>
  <c r="DP738" i="1"/>
  <c r="DQ736" i="1"/>
  <c r="DR737" i="1"/>
  <c r="DP737" i="1"/>
  <c r="DR736" i="1"/>
  <c r="DP736" i="1"/>
  <c r="DQ735" i="1"/>
  <c r="DR735" i="1"/>
  <c r="DP735" i="1"/>
  <c r="DQ734" i="1"/>
  <c r="DR734" i="1"/>
  <c r="DP734" i="1"/>
  <c r="DQ733" i="1"/>
  <c r="DQ732" i="1"/>
  <c r="DR733" i="1"/>
  <c r="DP733" i="1"/>
  <c r="DR732" i="1"/>
  <c r="DP732" i="1"/>
  <c r="DQ731" i="1"/>
  <c r="DR731" i="1"/>
  <c r="DP731" i="1"/>
  <c r="DQ730" i="1"/>
  <c r="DR730" i="1"/>
  <c r="DP730" i="1"/>
  <c r="DQ729" i="1"/>
  <c r="DR729" i="1"/>
  <c r="DP729" i="1"/>
  <c r="DQ728" i="1"/>
  <c r="DR728" i="1"/>
  <c r="DP728" i="1"/>
  <c r="DQ727" i="1"/>
  <c r="DR727" i="1"/>
  <c r="DP727" i="1"/>
  <c r="DQ726" i="1"/>
  <c r="DR726" i="1"/>
  <c r="DP726" i="1"/>
  <c r="DQ725" i="1"/>
  <c r="DR725" i="1"/>
  <c r="DP725" i="1"/>
  <c r="DQ1255" i="1"/>
  <c r="DR1255" i="1"/>
  <c r="DP1255" i="1"/>
  <c r="DQ1254" i="1"/>
  <c r="DR1254" i="1"/>
  <c r="DP1254" i="1"/>
  <c r="DQ1253" i="1"/>
  <c r="DQ1252" i="1"/>
  <c r="DR1253" i="1"/>
  <c r="DP1253" i="1"/>
  <c r="DQ1251" i="1"/>
  <c r="DR1252" i="1"/>
  <c r="DP1252" i="1"/>
  <c r="DR1251" i="1"/>
  <c r="DP1251" i="1"/>
  <c r="DQ1250" i="1"/>
  <c r="DQ1249" i="1"/>
  <c r="DR1250" i="1"/>
  <c r="DP1250" i="1"/>
  <c r="DQ1248" i="1"/>
  <c r="DR1249" i="1"/>
  <c r="DP1249" i="1"/>
  <c r="DQ1247" i="1"/>
  <c r="DR1248" i="1"/>
  <c r="DP1248" i="1"/>
  <c r="DR1247" i="1"/>
  <c r="DP1247" i="1"/>
  <c r="DQ1246" i="1"/>
  <c r="DQ1245" i="1"/>
  <c r="DR1246" i="1"/>
  <c r="DP1246" i="1"/>
  <c r="DQ1244" i="1"/>
  <c r="DR1245" i="1"/>
  <c r="DP1245" i="1"/>
  <c r="DR1244" i="1"/>
  <c r="DP1244" i="1"/>
  <c r="DQ1243" i="1"/>
  <c r="DR1243" i="1"/>
  <c r="DP1243" i="1"/>
  <c r="DQ1242" i="1"/>
  <c r="DR1242" i="1"/>
  <c r="DP1242" i="1"/>
  <c r="DQ1241" i="1"/>
  <c r="DR1241" i="1"/>
  <c r="DP1241" i="1"/>
  <c r="DQ1240" i="1"/>
  <c r="DQ1239" i="1"/>
  <c r="DR1240" i="1"/>
  <c r="DP1240" i="1"/>
  <c r="DR1239" i="1"/>
  <c r="DP1239" i="1"/>
  <c r="DQ1238" i="1"/>
  <c r="DR1238" i="1"/>
  <c r="DP1238" i="1"/>
  <c r="DQ1237" i="1"/>
  <c r="DR1237" i="1"/>
  <c r="DP1237" i="1"/>
  <c r="DQ1236" i="1"/>
  <c r="DR1236" i="1"/>
  <c r="DP1236" i="1"/>
  <c r="DQ1235" i="1"/>
  <c r="DR1235" i="1"/>
  <c r="DP1235" i="1"/>
  <c r="DQ1234" i="1"/>
  <c r="DR1234" i="1"/>
  <c r="DP1234" i="1"/>
  <c r="DQ1233" i="1"/>
  <c r="DQ724" i="1"/>
  <c r="DR724" i="1"/>
  <c r="DP724" i="1"/>
  <c r="DQ723" i="1"/>
  <c r="DR1233" i="1"/>
  <c r="DP1233" i="1"/>
  <c r="DQ1232" i="1"/>
  <c r="DQ722" i="1"/>
  <c r="DR1232" i="1"/>
  <c r="DP1232" i="1"/>
  <c r="DR723" i="1"/>
  <c r="DP723" i="1"/>
  <c r="DQ1231" i="1"/>
  <c r="DR1231" i="1"/>
  <c r="DP1231" i="1"/>
  <c r="DQ721" i="1"/>
  <c r="DR722" i="1"/>
  <c r="DP722" i="1"/>
  <c r="DQ1230" i="1"/>
  <c r="DR1230" i="1"/>
  <c r="DP1230" i="1"/>
  <c r="DQ1229" i="1"/>
  <c r="DR721" i="1"/>
  <c r="DP721" i="1"/>
  <c r="DQ720" i="1"/>
  <c r="DQ1228" i="1"/>
  <c r="DR720" i="1"/>
  <c r="DP720" i="1"/>
  <c r="DR1229" i="1"/>
  <c r="DP1229" i="1"/>
  <c r="DQ719" i="1"/>
  <c r="DQ1227" i="1"/>
  <c r="DQ718" i="1"/>
  <c r="DR1228" i="1"/>
  <c r="DP1228" i="1"/>
  <c r="DR719" i="1"/>
  <c r="DP719" i="1"/>
  <c r="DQ717" i="1"/>
  <c r="DR1227" i="1"/>
  <c r="DP1227" i="1"/>
  <c r="DR718" i="1"/>
  <c r="DP718" i="1"/>
  <c r="DQ1226" i="1"/>
  <c r="DQ1225" i="1"/>
  <c r="DR717" i="1"/>
  <c r="DP717" i="1"/>
  <c r="DR1226" i="1"/>
  <c r="DP1226" i="1"/>
  <c r="DQ716" i="1"/>
  <c r="DQ1224" i="1"/>
  <c r="DR716" i="1"/>
  <c r="DP716" i="1"/>
  <c r="DR1225" i="1"/>
  <c r="DP1225" i="1"/>
  <c r="DQ715" i="1"/>
  <c r="DR715" i="1"/>
  <c r="DP715" i="1"/>
  <c r="DR1224" i="1"/>
  <c r="DP1224" i="1"/>
  <c r="DQ1223" i="1"/>
  <c r="DQ714" i="1"/>
  <c r="DR714" i="1"/>
  <c r="DP714" i="1"/>
  <c r="DR1223" i="1"/>
  <c r="DP1223" i="1"/>
  <c r="DQ713" i="1"/>
  <c r="DQ1222" i="1"/>
  <c r="DR1222" i="1"/>
  <c r="DP1222" i="1"/>
  <c r="DQ1221" i="1"/>
  <c r="DR713" i="1"/>
  <c r="DP713" i="1"/>
  <c r="DQ1220" i="1"/>
  <c r="DQ712" i="1"/>
  <c r="DR1221" i="1"/>
  <c r="DP1221" i="1"/>
  <c r="DR1220" i="1"/>
  <c r="DP1220" i="1"/>
  <c r="DQ711" i="1"/>
  <c r="DR712" i="1"/>
  <c r="DP712" i="1"/>
  <c r="DQ1219" i="1"/>
  <c r="DR1219" i="1"/>
  <c r="DP1219" i="1"/>
  <c r="DQ710" i="1"/>
  <c r="DR711" i="1"/>
  <c r="DP711" i="1"/>
  <c r="DQ1218" i="1"/>
  <c r="DR710" i="1"/>
  <c r="DP710" i="1"/>
  <c r="DR1218" i="1"/>
  <c r="DP1218" i="1"/>
  <c r="DQ1217" i="1"/>
  <c r="DQ709" i="1"/>
  <c r="DR1217" i="1"/>
  <c r="DP1217" i="1"/>
  <c r="DQ1216" i="1"/>
  <c r="DR709" i="1"/>
  <c r="DP709" i="1"/>
  <c r="DQ708" i="1"/>
  <c r="DR1216" i="1"/>
  <c r="DP1216" i="1"/>
  <c r="DR708" i="1"/>
  <c r="DP708" i="1"/>
  <c r="DQ707" i="1"/>
  <c r="DR707" i="1"/>
  <c r="DP707" i="1"/>
  <c r="DQ706" i="1"/>
  <c r="DR706" i="1"/>
  <c r="DP706" i="1"/>
  <c r="DQ705" i="1"/>
  <c r="DR705" i="1"/>
  <c r="DP705" i="1"/>
  <c r="DQ704" i="1"/>
  <c r="DR704" i="1"/>
  <c r="DP704" i="1"/>
  <c r="DQ703" i="1"/>
  <c r="DR703" i="1"/>
  <c r="DP703" i="1"/>
  <c r="DQ702" i="1"/>
  <c r="DR702" i="1"/>
  <c r="DP702" i="1"/>
  <c r="DQ701" i="1"/>
  <c r="DR701" i="1"/>
  <c r="DP701" i="1"/>
  <c r="DQ700" i="1"/>
  <c r="DR700" i="1"/>
  <c r="DP700" i="1"/>
  <c r="DQ699" i="1"/>
  <c r="DR699" i="1"/>
  <c r="DP699" i="1"/>
  <c r="DQ698" i="1"/>
  <c r="DR698" i="1"/>
  <c r="DP698" i="1"/>
  <c r="DQ697" i="1"/>
  <c r="DR697" i="1"/>
  <c r="DP697" i="1"/>
  <c r="DQ696" i="1"/>
  <c r="DQ695" i="1"/>
  <c r="DR696" i="1"/>
  <c r="DP696" i="1"/>
  <c r="DR695" i="1"/>
  <c r="DP695" i="1"/>
  <c r="DQ1215" i="1"/>
  <c r="DR1215" i="1"/>
  <c r="DP1215" i="1"/>
  <c r="DQ1214" i="1"/>
  <c r="DR1214" i="1"/>
  <c r="DP1214" i="1"/>
  <c r="DQ1213" i="1"/>
  <c r="DR1213" i="1"/>
  <c r="DP1213" i="1"/>
  <c r="DQ1212" i="1"/>
  <c r="DQ1211" i="1"/>
  <c r="DR1212" i="1"/>
  <c r="DP1212" i="1"/>
  <c r="DQ1210" i="1"/>
  <c r="DR1211" i="1"/>
  <c r="DP1211" i="1"/>
  <c r="DQ1209" i="1"/>
  <c r="DR1210" i="1"/>
  <c r="DP1210" i="1"/>
  <c r="DQ1208" i="1"/>
  <c r="DR1209" i="1"/>
  <c r="DP1209" i="1"/>
  <c r="DR1208" i="1"/>
  <c r="DP1208" i="1"/>
  <c r="DQ1207" i="1"/>
  <c r="DQ1206" i="1"/>
  <c r="DR1207" i="1"/>
  <c r="DP1207" i="1"/>
  <c r="DR1206" i="1"/>
  <c r="DP1206" i="1"/>
  <c r="DQ1205" i="1"/>
  <c r="DR1205" i="1"/>
  <c r="DP1205" i="1"/>
  <c r="DQ1204" i="1"/>
  <c r="DQ1203" i="1"/>
  <c r="DR1204" i="1"/>
  <c r="DP1204" i="1"/>
  <c r="DR1203" i="1"/>
  <c r="DP1203" i="1"/>
  <c r="DQ1202" i="1"/>
  <c r="DR1202" i="1"/>
  <c r="DP1202" i="1"/>
  <c r="DQ1201" i="1"/>
  <c r="DR1201" i="1"/>
  <c r="DP1201" i="1"/>
  <c r="DQ1200" i="1"/>
  <c r="DR1200" i="1"/>
  <c r="DP1200" i="1"/>
  <c r="DQ1199" i="1"/>
  <c r="DR1199" i="1"/>
  <c r="DP1199" i="1"/>
  <c r="DQ1198" i="1"/>
  <c r="DQ1197" i="1"/>
  <c r="DR1198" i="1"/>
  <c r="DP1198" i="1"/>
  <c r="DR1197" i="1"/>
  <c r="DP1197" i="1"/>
  <c r="DQ1196" i="1"/>
  <c r="DQ1195" i="1"/>
  <c r="DR1196" i="1"/>
  <c r="DP1196" i="1"/>
  <c r="DR1195" i="1"/>
  <c r="DP1195" i="1"/>
  <c r="DQ1194" i="1"/>
  <c r="DQ1193" i="1"/>
  <c r="DR1194" i="1"/>
  <c r="DP1194" i="1"/>
  <c r="DQ1192" i="1"/>
  <c r="DR1193" i="1"/>
  <c r="DP1193" i="1"/>
  <c r="DQ1191" i="1"/>
  <c r="DR1192" i="1"/>
  <c r="DP1192" i="1"/>
  <c r="DQ1190" i="1"/>
  <c r="DR1191" i="1"/>
  <c r="DP1191" i="1"/>
  <c r="DR1190" i="1"/>
  <c r="DP1190" i="1"/>
  <c r="DQ1189" i="1"/>
  <c r="DR1189" i="1"/>
  <c r="DP1189" i="1"/>
  <c r="DQ1188" i="1"/>
  <c r="DR1188" i="1"/>
  <c r="DP1188" i="1"/>
  <c r="DQ1187" i="1"/>
  <c r="DR1187" i="1"/>
  <c r="DP1187" i="1"/>
  <c r="DQ1186" i="1"/>
  <c r="DR1186" i="1"/>
  <c r="DP1186" i="1"/>
  <c r="DQ1185" i="1"/>
  <c r="DR1185" i="1"/>
  <c r="DP1185" i="1"/>
  <c r="DQ1184" i="1"/>
  <c r="DQ1183" i="1"/>
  <c r="DR1184" i="1"/>
  <c r="DP1184" i="1"/>
  <c r="DQ1182" i="1"/>
  <c r="DR1183" i="1"/>
  <c r="DP1183" i="1"/>
  <c r="DR1182" i="1"/>
  <c r="DP1182" i="1"/>
  <c r="DQ1181" i="1"/>
  <c r="DR1181" i="1"/>
  <c r="DP1181" i="1"/>
  <c r="DQ1180" i="1"/>
  <c r="DQ1179" i="1"/>
  <c r="DR1180" i="1"/>
  <c r="DP1180" i="1"/>
  <c r="DQ1178" i="1"/>
  <c r="DR1179" i="1"/>
  <c r="DP1179" i="1"/>
  <c r="DQ1177" i="1"/>
  <c r="DR1178" i="1"/>
  <c r="DP1178" i="1"/>
  <c r="DR1177" i="1"/>
  <c r="DP1177" i="1"/>
  <c r="DQ1176" i="1"/>
  <c r="DQ1175" i="1"/>
  <c r="DR1176" i="1"/>
  <c r="DP1176" i="1"/>
  <c r="DQ1174" i="1"/>
  <c r="DR1175" i="1"/>
  <c r="DP1175" i="1"/>
  <c r="DR1174" i="1"/>
  <c r="DP1174" i="1"/>
  <c r="DQ1173" i="1"/>
  <c r="DQ1172" i="1"/>
  <c r="DR1173" i="1"/>
  <c r="DP1173" i="1"/>
  <c r="DQ1171" i="1"/>
  <c r="DR1172" i="1"/>
  <c r="DP1172" i="1"/>
  <c r="DR1171" i="1"/>
  <c r="DP1171" i="1"/>
  <c r="DQ1170" i="1"/>
  <c r="DR1170" i="1"/>
  <c r="DP1170" i="1"/>
  <c r="DQ1169" i="1"/>
  <c r="DR1169" i="1"/>
  <c r="DP1169" i="1"/>
  <c r="DQ1168" i="1"/>
  <c r="DQ1167" i="1"/>
  <c r="DR1168" i="1"/>
  <c r="DP1168" i="1"/>
  <c r="DQ1166" i="1"/>
  <c r="DR1167" i="1"/>
  <c r="DP1167" i="1"/>
  <c r="DR1166" i="1"/>
  <c r="DP1166" i="1"/>
  <c r="DQ1165" i="1"/>
  <c r="DR1165" i="1"/>
  <c r="DP1165" i="1"/>
  <c r="DQ1164" i="1"/>
  <c r="DQ1163" i="1"/>
  <c r="DR1164" i="1"/>
  <c r="DP1164" i="1"/>
  <c r="DQ1162" i="1"/>
  <c r="DR1163" i="1"/>
  <c r="DP1163" i="1"/>
  <c r="DR1162" i="1"/>
  <c r="DP1162" i="1"/>
  <c r="DQ1161" i="1"/>
  <c r="DR1161" i="1"/>
  <c r="DP1161" i="1"/>
  <c r="DQ1160" i="1"/>
  <c r="DQ1159" i="1"/>
  <c r="DR1160" i="1"/>
  <c r="DP1160" i="1"/>
  <c r="DR1159" i="1"/>
  <c r="DP1159" i="1"/>
  <c r="DQ1158" i="1"/>
  <c r="DQ1157" i="1"/>
  <c r="DR1158" i="1"/>
  <c r="DP1158" i="1"/>
  <c r="DR1157" i="1"/>
  <c r="DP1157" i="1"/>
  <c r="DQ1156" i="1"/>
  <c r="DR1156" i="1"/>
  <c r="DP1156" i="1"/>
  <c r="DQ1155" i="1"/>
  <c r="DQ1154" i="1"/>
  <c r="DR1155" i="1"/>
  <c r="DP1155" i="1"/>
  <c r="DQ1153" i="1"/>
  <c r="DR1154" i="1"/>
  <c r="DP1154" i="1"/>
  <c r="DQ1152" i="1"/>
  <c r="DR1153" i="1"/>
  <c r="DP1153" i="1"/>
  <c r="DR1152" i="1"/>
  <c r="DP1152" i="1"/>
  <c r="DQ1151" i="1"/>
  <c r="DR1151" i="1"/>
  <c r="DP1151" i="1"/>
  <c r="DQ1150" i="1"/>
  <c r="DR1150" i="1"/>
  <c r="DP1150" i="1"/>
  <c r="DQ1149" i="1"/>
  <c r="DR1149" i="1"/>
  <c r="DP1149" i="1"/>
  <c r="DQ1148" i="1"/>
  <c r="DR1148" i="1"/>
  <c r="DP1148" i="1"/>
  <c r="DQ1147" i="1"/>
  <c r="DR1147" i="1"/>
  <c r="DP1147" i="1"/>
  <c r="DQ1146" i="1"/>
  <c r="DQ1145" i="1"/>
  <c r="DR1146" i="1"/>
  <c r="DP1146" i="1"/>
  <c r="DQ1144" i="1"/>
  <c r="DR1145" i="1"/>
  <c r="DP1145" i="1"/>
  <c r="DQ1143" i="1"/>
  <c r="DR1144" i="1"/>
  <c r="DP1144" i="1"/>
  <c r="DR1143" i="1"/>
  <c r="DP1143" i="1"/>
  <c r="DQ1142" i="1"/>
  <c r="DR1142" i="1"/>
  <c r="DP1142" i="1"/>
  <c r="DQ1141" i="1"/>
  <c r="DR1141" i="1"/>
  <c r="DP1141" i="1"/>
  <c r="DQ1140" i="1"/>
  <c r="DR1140" i="1"/>
  <c r="DP1140" i="1"/>
  <c r="DQ1139" i="1"/>
  <c r="DR1139" i="1"/>
  <c r="DP1139" i="1"/>
  <c r="DQ1138" i="1"/>
  <c r="DR1138" i="1"/>
  <c r="DP1138" i="1"/>
  <c r="DQ1137" i="1"/>
  <c r="DR1137" i="1"/>
  <c r="DP1137" i="1"/>
  <c r="DQ1136" i="1"/>
  <c r="DQ1135" i="1"/>
  <c r="DR1136" i="1"/>
  <c r="DP1136" i="1"/>
  <c r="DQ1134" i="1"/>
  <c r="DR1135" i="1"/>
  <c r="DP1135" i="1"/>
  <c r="DQ1133" i="1"/>
  <c r="DR1134" i="1"/>
  <c r="DP1134" i="1"/>
  <c r="DR1133" i="1"/>
  <c r="DP1133" i="1"/>
  <c r="DQ1132" i="1"/>
  <c r="DR1132" i="1"/>
  <c r="DP1132" i="1"/>
  <c r="DQ1131" i="1"/>
  <c r="DR1131" i="1"/>
  <c r="DP1131" i="1"/>
  <c r="DQ1130" i="1"/>
  <c r="DQ1129" i="1"/>
  <c r="DR1130" i="1"/>
  <c r="DP1130" i="1"/>
  <c r="DR1129" i="1"/>
  <c r="DP1129" i="1"/>
  <c r="DQ1128" i="1"/>
  <c r="DR1128" i="1"/>
  <c r="DP1128" i="1"/>
  <c r="DQ1127" i="1"/>
  <c r="DQ1126" i="1"/>
  <c r="DR1127" i="1"/>
  <c r="DP1127" i="1"/>
  <c r="DR1126" i="1"/>
  <c r="DP1126" i="1"/>
  <c r="DQ1125" i="1"/>
  <c r="DR1125" i="1"/>
  <c r="DP1125" i="1"/>
  <c r="DQ1124" i="1"/>
  <c r="DR1124" i="1"/>
  <c r="DP1124" i="1"/>
  <c r="DQ1123" i="1"/>
  <c r="DQ1122" i="1"/>
  <c r="DR1123" i="1"/>
  <c r="DP1123" i="1"/>
  <c r="DQ1121" i="1"/>
  <c r="DR1122" i="1"/>
  <c r="DP1122" i="1"/>
  <c r="DQ1120" i="1"/>
  <c r="DR1121" i="1"/>
  <c r="DP1121" i="1"/>
  <c r="DR1120" i="1"/>
  <c r="DP1120" i="1"/>
  <c r="DQ1119" i="1"/>
  <c r="DQ1118" i="1"/>
  <c r="DR1119" i="1"/>
  <c r="DP1119" i="1"/>
  <c r="DQ1117" i="1"/>
  <c r="DR1118" i="1"/>
  <c r="DP1118" i="1"/>
  <c r="DQ1116" i="1"/>
  <c r="DR1117" i="1"/>
  <c r="DP1117" i="1"/>
  <c r="DQ1115" i="1"/>
  <c r="DR1116" i="1"/>
  <c r="DP1116" i="1"/>
  <c r="DQ1114" i="1"/>
  <c r="DR1115" i="1"/>
  <c r="DP1115" i="1"/>
  <c r="DR1114" i="1"/>
  <c r="DP1114" i="1"/>
  <c r="DQ1113" i="1"/>
  <c r="DQ1112" i="1"/>
  <c r="DR1113" i="1"/>
  <c r="DP1113" i="1"/>
  <c r="DQ1111" i="1"/>
  <c r="DR1112" i="1"/>
  <c r="DP1112" i="1"/>
  <c r="DQ1110" i="1"/>
  <c r="DR1111" i="1"/>
  <c r="DP1111" i="1"/>
  <c r="DR1110" i="1"/>
  <c r="DP1110" i="1"/>
  <c r="DQ1109" i="1"/>
  <c r="DR1109" i="1"/>
  <c r="DP1109" i="1"/>
  <c r="DQ1108" i="1"/>
  <c r="DR1108" i="1"/>
  <c r="DP1108" i="1"/>
  <c r="DQ1107" i="1"/>
  <c r="DR1107" i="1"/>
  <c r="DP1107" i="1"/>
  <c r="DQ1106" i="1"/>
  <c r="DQ1105" i="1"/>
  <c r="DQ694" i="1"/>
  <c r="DR1106" i="1"/>
  <c r="DP1106" i="1"/>
  <c r="DR694" i="1"/>
  <c r="DP694" i="1"/>
  <c r="DR1105" i="1"/>
  <c r="DP1105" i="1"/>
  <c r="DQ693" i="1"/>
  <c r="DQ1104" i="1"/>
  <c r="DR693" i="1"/>
  <c r="DP693" i="1"/>
  <c r="DQ1103" i="1"/>
  <c r="DR1104" i="1"/>
  <c r="DP1104" i="1"/>
  <c r="DR1103" i="1"/>
  <c r="DP1103" i="1"/>
  <c r="DQ692" i="1"/>
  <c r="DQ1102" i="1"/>
  <c r="DR1102" i="1"/>
  <c r="DP1102" i="1"/>
  <c r="DR692" i="1"/>
  <c r="DP692" i="1"/>
  <c r="DQ1101" i="1"/>
  <c r="DQ1100" i="1"/>
  <c r="DQ691" i="1"/>
  <c r="DR1101" i="1"/>
  <c r="DP1101" i="1"/>
  <c r="DR1100" i="1"/>
  <c r="DP1100" i="1"/>
  <c r="DQ1099" i="1"/>
  <c r="DR691" i="1"/>
  <c r="DP691" i="1"/>
  <c r="DQ690" i="1"/>
  <c r="DQ1098" i="1"/>
  <c r="DR690" i="1"/>
  <c r="DP690" i="1"/>
  <c r="DR1099" i="1"/>
  <c r="DP1099" i="1"/>
  <c r="DQ1097" i="1"/>
  <c r="DR1098" i="1"/>
  <c r="DP1098" i="1"/>
  <c r="DR1097" i="1"/>
  <c r="DP1097" i="1"/>
  <c r="DQ1096" i="1"/>
  <c r="DR1096" i="1"/>
  <c r="DP1096" i="1"/>
  <c r="DQ1095" i="1"/>
  <c r="DR1095" i="1"/>
  <c r="DP1095" i="1"/>
  <c r="DQ1094" i="1"/>
  <c r="DR1094" i="1"/>
  <c r="DP1094" i="1"/>
  <c r="DQ1093" i="1"/>
  <c r="DQ1092" i="1"/>
  <c r="DR1093" i="1"/>
  <c r="DP1093" i="1"/>
  <c r="DQ1091" i="1"/>
  <c r="DR1092" i="1"/>
  <c r="DP1092" i="1"/>
  <c r="DR1091" i="1"/>
  <c r="DP1091" i="1"/>
  <c r="DQ1090" i="1"/>
  <c r="DQ1089" i="1"/>
  <c r="DR1090" i="1"/>
  <c r="DP1090" i="1"/>
  <c r="DQ1088" i="1"/>
  <c r="DR1089" i="1"/>
  <c r="DP1089" i="1"/>
  <c r="DQ1087" i="1"/>
  <c r="DR1088" i="1"/>
  <c r="DP1088" i="1"/>
  <c r="DR1087" i="1"/>
  <c r="DP1087" i="1"/>
  <c r="DQ1086" i="1"/>
  <c r="DR1086" i="1"/>
  <c r="DP1086" i="1"/>
  <c r="DQ1085" i="1"/>
  <c r="DR1085" i="1"/>
  <c r="DP1085" i="1"/>
  <c r="DQ1084" i="1"/>
  <c r="DQ1083" i="1"/>
  <c r="DR1084" i="1"/>
  <c r="DP1084" i="1"/>
  <c r="DR1083" i="1"/>
  <c r="DP1083" i="1"/>
  <c r="DQ1082" i="1"/>
  <c r="DR1082" i="1"/>
  <c r="DP1082" i="1"/>
  <c r="DQ1081" i="1"/>
  <c r="DQ1080" i="1"/>
  <c r="DR1081" i="1"/>
  <c r="DP1081" i="1"/>
  <c r="DQ689" i="1"/>
  <c r="DR689" i="1"/>
  <c r="DP689" i="1"/>
  <c r="DR1080" i="1"/>
  <c r="DP1080" i="1"/>
  <c r="DQ1079" i="1"/>
  <c r="DR1079" i="1"/>
  <c r="DP1079" i="1"/>
  <c r="DQ1078" i="1"/>
  <c r="DR1078" i="1"/>
  <c r="DP1078" i="1"/>
  <c r="DQ1077" i="1"/>
  <c r="DQ1076" i="1"/>
  <c r="DR1077" i="1"/>
  <c r="DP1077" i="1"/>
  <c r="DR1076" i="1"/>
  <c r="DP1076" i="1"/>
  <c r="DQ1075" i="1"/>
  <c r="DR1075" i="1"/>
  <c r="DP1075" i="1"/>
  <c r="DQ1074" i="1"/>
  <c r="DR1074" i="1"/>
  <c r="DP1074" i="1"/>
  <c r="DQ1073" i="1"/>
  <c r="DQ1072" i="1"/>
  <c r="DR1073" i="1"/>
  <c r="DP1073" i="1"/>
  <c r="DR1072" i="1"/>
  <c r="DP1072" i="1"/>
  <c r="DQ1071" i="1"/>
  <c r="DQ1070" i="1"/>
  <c r="DR1071" i="1"/>
  <c r="DP1071" i="1"/>
  <c r="DR1070" i="1"/>
  <c r="DP1070" i="1"/>
  <c r="DQ1069" i="1"/>
  <c r="DR1069" i="1"/>
  <c r="DP1069" i="1"/>
  <c r="DQ1068" i="1"/>
  <c r="DR1068" i="1"/>
  <c r="DP1068" i="1"/>
  <c r="DQ1067" i="1"/>
  <c r="DQ1066" i="1"/>
  <c r="DR1067" i="1"/>
  <c r="DP1067" i="1"/>
  <c r="DQ1065" i="1"/>
  <c r="DR1066" i="1"/>
  <c r="DP1066" i="1"/>
  <c r="DR1065" i="1"/>
  <c r="DP1065" i="1"/>
  <c r="DQ1064" i="1"/>
  <c r="DR1064" i="1"/>
  <c r="DP1064" i="1"/>
  <c r="DQ1063" i="1"/>
  <c r="DQ1062" i="1"/>
  <c r="DR1063" i="1"/>
  <c r="DP1063" i="1"/>
  <c r="DR1062" i="1"/>
  <c r="DP1062" i="1"/>
  <c r="DQ1061" i="1"/>
  <c r="DQ1060" i="1"/>
  <c r="DR1061" i="1"/>
  <c r="DP1061" i="1"/>
  <c r="DR1060" i="1"/>
  <c r="DP1060" i="1"/>
  <c r="DQ1059" i="1"/>
  <c r="DR1059" i="1"/>
  <c r="DP1059" i="1"/>
  <c r="DQ1058" i="1"/>
  <c r="DR1058" i="1"/>
  <c r="DP1058" i="1"/>
  <c r="DQ1057" i="1"/>
  <c r="DR1057" i="1"/>
  <c r="DP1057" i="1"/>
  <c r="DQ1056" i="1"/>
  <c r="DR1056" i="1"/>
  <c r="DP1056" i="1"/>
  <c r="DQ1055" i="1"/>
  <c r="DR1055" i="1"/>
  <c r="DP1055" i="1"/>
  <c r="DQ1054" i="1"/>
  <c r="DR1054" i="1"/>
  <c r="DP1054" i="1"/>
  <c r="DQ1053" i="1"/>
  <c r="DR1053" i="1"/>
  <c r="DP1053" i="1"/>
  <c r="DQ1052" i="1"/>
  <c r="DR1052" i="1"/>
  <c r="DP1052" i="1"/>
  <c r="DQ1051" i="1"/>
  <c r="DR1051" i="1"/>
  <c r="DP1051" i="1"/>
  <c r="DQ1050" i="1"/>
  <c r="DR1050" i="1"/>
  <c r="DP1050" i="1"/>
  <c r="DQ1049" i="1"/>
  <c r="DR1049" i="1"/>
  <c r="DP1049" i="1"/>
  <c r="DQ1048" i="1"/>
  <c r="DR1048" i="1"/>
  <c r="DP1048" i="1"/>
  <c r="DQ1047" i="1"/>
  <c r="DQ1046" i="1"/>
  <c r="DR1047" i="1"/>
  <c r="DP1047" i="1"/>
  <c r="DR1046" i="1"/>
  <c r="DP1046" i="1"/>
  <c r="DQ1045" i="1"/>
  <c r="DR1045" i="1"/>
  <c r="DP1045" i="1"/>
  <c r="DQ1044" i="1"/>
  <c r="DR1044" i="1"/>
  <c r="DP1044" i="1"/>
  <c r="DQ1043" i="1"/>
  <c r="DR1043" i="1"/>
  <c r="DP1043" i="1"/>
  <c r="DQ1042" i="1"/>
  <c r="DR1042" i="1"/>
  <c r="DP1042" i="1"/>
  <c r="DQ1041" i="1"/>
  <c r="DR1041" i="1"/>
  <c r="DP1041" i="1"/>
  <c r="DQ1040" i="1"/>
  <c r="DR1040" i="1"/>
  <c r="DP1040" i="1"/>
  <c r="DQ1039" i="1"/>
  <c r="DR1039" i="1"/>
  <c r="DP1039" i="1"/>
  <c r="DQ1038" i="1"/>
  <c r="DR1038" i="1"/>
  <c r="DP1038" i="1"/>
  <c r="DQ1037" i="1"/>
  <c r="DR1037" i="1"/>
  <c r="DP1037" i="1"/>
  <c r="DQ1036" i="1"/>
  <c r="DR1036" i="1"/>
  <c r="DP1036" i="1"/>
  <c r="DQ1035" i="1"/>
  <c r="DQ1034" i="1"/>
  <c r="DR1035" i="1"/>
  <c r="DP1035" i="1"/>
  <c r="DR1034" i="1"/>
  <c r="DP1034" i="1"/>
  <c r="DQ1033" i="1"/>
  <c r="DQ1032" i="1"/>
  <c r="DR1033" i="1"/>
  <c r="DP1033" i="1"/>
  <c r="DQ1031" i="1"/>
  <c r="DR1032" i="1"/>
  <c r="DP1032" i="1"/>
  <c r="DR1031" i="1"/>
  <c r="DP1031" i="1"/>
  <c r="DQ1030" i="1"/>
  <c r="DR1030" i="1"/>
  <c r="DP1030" i="1"/>
  <c r="DQ1029" i="1"/>
  <c r="DR1029" i="1"/>
  <c r="DP1029" i="1"/>
  <c r="DQ1028" i="1"/>
  <c r="DR1028" i="1"/>
  <c r="DP1028" i="1"/>
  <c r="DQ1027" i="1"/>
  <c r="DR1027" i="1"/>
  <c r="DP1027" i="1"/>
  <c r="DQ1026" i="1"/>
  <c r="DR1026" i="1"/>
  <c r="DP1026" i="1"/>
  <c r="DQ1025" i="1"/>
  <c r="DQ1024" i="1"/>
  <c r="DR1025" i="1"/>
  <c r="DP1025" i="1"/>
  <c r="DQ1023" i="1"/>
  <c r="DR1024" i="1"/>
  <c r="DP1024" i="1"/>
  <c r="DR1023" i="1"/>
  <c r="DP1023" i="1"/>
  <c r="DQ1022" i="1"/>
  <c r="DR1022" i="1"/>
  <c r="DP1022" i="1"/>
  <c r="DQ1021" i="1"/>
  <c r="DQ1020" i="1"/>
  <c r="DR1021" i="1"/>
  <c r="DP1021" i="1"/>
  <c r="DQ1019" i="1"/>
  <c r="DR1020" i="1"/>
  <c r="DP1020" i="1"/>
  <c r="DR1019" i="1"/>
  <c r="DP1019" i="1"/>
  <c r="DQ1018" i="1"/>
  <c r="DQ1017" i="1"/>
  <c r="DR1018" i="1"/>
  <c r="DP1018" i="1"/>
  <c r="DR1017" i="1"/>
  <c r="DP1017" i="1"/>
  <c r="DQ1016" i="1"/>
  <c r="DR1016" i="1"/>
  <c r="DP1016" i="1"/>
  <c r="DQ1015" i="1"/>
  <c r="DQ1014" i="1"/>
  <c r="DR1015" i="1"/>
  <c r="DP1015" i="1"/>
  <c r="DR1014" i="1"/>
  <c r="DP1014" i="1"/>
  <c r="DQ1013" i="1"/>
  <c r="DR1013" i="1"/>
  <c r="DP1013" i="1"/>
  <c r="DQ1012" i="1"/>
  <c r="DR1012" i="1"/>
  <c r="DP1012" i="1"/>
  <c r="DQ1011" i="1"/>
  <c r="DR1011" i="1"/>
  <c r="DP1011" i="1"/>
  <c r="DQ1010" i="1"/>
  <c r="DR1010" i="1"/>
  <c r="DP1010" i="1"/>
  <c r="DQ1009" i="1"/>
  <c r="DR1009" i="1"/>
  <c r="DP1009" i="1"/>
  <c r="DQ1008" i="1"/>
  <c r="DQ1007" i="1"/>
  <c r="DR1008" i="1"/>
  <c r="DP1008" i="1"/>
  <c r="DR1007" i="1"/>
  <c r="DP1007" i="1"/>
  <c r="DQ1006" i="1"/>
  <c r="DR1006" i="1"/>
  <c r="DP1006" i="1"/>
  <c r="DQ1005" i="1"/>
  <c r="DQ1004" i="1"/>
  <c r="DR1005" i="1"/>
  <c r="DP1005" i="1"/>
  <c r="DR1004" i="1"/>
  <c r="DP1004" i="1"/>
  <c r="DQ1003" i="1"/>
  <c r="DR1003" i="1"/>
  <c r="DP1003" i="1"/>
  <c r="DQ1002" i="1"/>
  <c r="DQ1001" i="1"/>
  <c r="DR1002" i="1"/>
  <c r="DP1002" i="1"/>
  <c r="DR1001" i="1"/>
  <c r="DP1001" i="1"/>
  <c r="DQ1000" i="1"/>
  <c r="DR1000" i="1"/>
  <c r="DP1000" i="1"/>
  <c r="DQ999" i="1"/>
  <c r="DQ998" i="1"/>
  <c r="DR999" i="1"/>
  <c r="DP999" i="1"/>
  <c r="DQ997" i="1"/>
  <c r="DR998" i="1"/>
  <c r="DP998" i="1"/>
  <c r="DR997" i="1"/>
  <c r="DP997" i="1"/>
  <c r="DQ996" i="1"/>
  <c r="DR996" i="1"/>
  <c r="DP996" i="1"/>
  <c r="DQ995" i="1"/>
  <c r="DR995" i="1"/>
  <c r="DP995" i="1"/>
  <c r="DQ994" i="1"/>
  <c r="DR994" i="1"/>
  <c r="DP994" i="1"/>
  <c r="DQ993" i="1"/>
  <c r="DQ992" i="1"/>
  <c r="DR993" i="1"/>
  <c r="DP993" i="1"/>
  <c r="DQ991" i="1"/>
  <c r="DR992" i="1"/>
  <c r="DP992" i="1"/>
  <c r="DR991" i="1"/>
  <c r="DP991" i="1"/>
  <c r="DQ990" i="1"/>
  <c r="DR990" i="1"/>
  <c r="DP990" i="1"/>
  <c r="DQ989" i="1"/>
  <c r="DQ988" i="1"/>
  <c r="DR989" i="1"/>
  <c r="DP989" i="1"/>
  <c r="DR988" i="1"/>
  <c r="DP988" i="1"/>
  <c r="DQ987" i="1"/>
  <c r="DR987" i="1"/>
  <c r="DP987" i="1"/>
  <c r="DQ986" i="1"/>
  <c r="DR986" i="1"/>
  <c r="DP986" i="1"/>
  <c r="DQ985" i="1"/>
  <c r="DR985" i="1"/>
  <c r="DP985" i="1"/>
  <c r="DQ984" i="1"/>
  <c r="DR984" i="1"/>
  <c r="DP984" i="1"/>
  <c r="DQ983" i="1"/>
  <c r="DR983" i="1"/>
  <c r="DP983" i="1"/>
  <c r="DQ982" i="1"/>
  <c r="DR982" i="1"/>
  <c r="DP982" i="1"/>
  <c r="DQ981" i="1"/>
  <c r="DQ980" i="1"/>
  <c r="DR981" i="1"/>
  <c r="DP981" i="1"/>
  <c r="DR980" i="1"/>
  <c r="DP980" i="1"/>
  <c r="DQ979" i="1"/>
  <c r="DR979" i="1"/>
  <c r="DP979" i="1"/>
  <c r="DQ978" i="1"/>
  <c r="DQ977" i="1"/>
  <c r="DR978" i="1"/>
  <c r="DP978" i="1"/>
  <c r="DR977" i="1"/>
  <c r="DP977" i="1"/>
  <c r="DQ976" i="1"/>
  <c r="DR976" i="1"/>
  <c r="DP976" i="1"/>
  <c r="DQ975" i="1"/>
  <c r="DR975" i="1"/>
  <c r="DP975" i="1"/>
  <c r="DQ974" i="1"/>
  <c r="DR974" i="1"/>
  <c r="DP974" i="1"/>
  <c r="DQ973" i="1"/>
  <c r="DR973" i="1"/>
  <c r="DP973" i="1"/>
  <c r="DQ972" i="1"/>
  <c r="DR972" i="1"/>
  <c r="DP972" i="1"/>
  <c r="DQ971" i="1"/>
  <c r="DR971" i="1"/>
  <c r="DP971" i="1"/>
  <c r="DQ970" i="1"/>
  <c r="DR970" i="1"/>
  <c r="DP970" i="1"/>
  <c r="DQ969" i="1"/>
  <c r="DR969" i="1"/>
  <c r="DP969" i="1"/>
  <c r="DQ968" i="1"/>
  <c r="DQ967" i="1"/>
  <c r="DR968" i="1"/>
  <c r="DP968" i="1"/>
  <c r="DR967" i="1"/>
  <c r="DP967" i="1"/>
  <c r="DQ966" i="1"/>
  <c r="DR966" i="1"/>
  <c r="DP966" i="1"/>
  <c r="DQ965" i="1"/>
  <c r="DR965" i="1"/>
  <c r="DP965" i="1"/>
  <c r="DQ964" i="1"/>
  <c r="DQ963" i="1"/>
  <c r="DR964" i="1"/>
  <c r="DP964" i="1"/>
  <c r="DR963" i="1"/>
  <c r="DP963" i="1"/>
  <c r="DQ962" i="1"/>
  <c r="DQ961" i="1"/>
  <c r="DR962" i="1"/>
  <c r="DP962" i="1"/>
  <c r="DR961" i="1"/>
  <c r="DP961" i="1"/>
  <c r="DQ960" i="1"/>
  <c r="DQ959" i="1"/>
  <c r="DR960" i="1"/>
  <c r="DP960" i="1"/>
  <c r="DQ958" i="1"/>
  <c r="DR959" i="1"/>
  <c r="DP959" i="1"/>
  <c r="DR958" i="1"/>
  <c r="DP958" i="1"/>
  <c r="DQ957" i="1"/>
  <c r="DR957" i="1"/>
  <c r="DP957" i="1"/>
  <c r="DQ956" i="1"/>
  <c r="DQ955" i="1"/>
  <c r="DR956" i="1"/>
  <c r="DP956" i="1"/>
  <c r="DR955" i="1"/>
  <c r="DP955" i="1"/>
  <c r="DQ954" i="1"/>
  <c r="DR954" i="1"/>
  <c r="DP954" i="1"/>
  <c r="DQ953" i="1"/>
  <c r="DR953" i="1"/>
  <c r="DP953" i="1"/>
  <c r="DQ952" i="1"/>
  <c r="DR952" i="1"/>
  <c r="DP952" i="1"/>
  <c r="DQ951" i="1"/>
  <c r="DR951" i="1"/>
  <c r="DP951" i="1"/>
  <c r="DQ950" i="1"/>
  <c r="DQ949" i="1"/>
  <c r="DR950" i="1"/>
  <c r="DP950" i="1"/>
  <c r="DR949" i="1"/>
  <c r="DP949" i="1"/>
  <c r="DQ948" i="1"/>
  <c r="DR948" i="1"/>
  <c r="DP948" i="1"/>
  <c r="DQ947" i="1"/>
  <c r="DQ946" i="1"/>
  <c r="DR947" i="1"/>
  <c r="DP947" i="1"/>
  <c r="DQ945" i="1"/>
  <c r="DR946" i="1"/>
  <c r="DP946" i="1"/>
  <c r="DR945" i="1"/>
  <c r="DP945" i="1"/>
  <c r="DQ944" i="1"/>
  <c r="DQ943" i="1"/>
  <c r="DR944" i="1"/>
  <c r="DP944" i="1"/>
  <c r="DR943" i="1"/>
  <c r="DP943" i="1"/>
  <c r="DQ942" i="1"/>
  <c r="DR942" i="1"/>
  <c r="DP942" i="1"/>
  <c r="DQ941" i="1"/>
  <c r="DR941" i="1"/>
  <c r="DP941" i="1"/>
  <c r="DQ940" i="1"/>
  <c r="DQ939" i="1"/>
  <c r="DR940" i="1"/>
  <c r="DP940" i="1"/>
  <c r="DQ938" i="1"/>
  <c r="DR939" i="1"/>
  <c r="DP939" i="1"/>
  <c r="DR938" i="1"/>
  <c r="DP938" i="1"/>
  <c r="DQ937" i="1"/>
  <c r="DR937" i="1"/>
  <c r="DP937" i="1"/>
  <c r="DQ936" i="1"/>
  <c r="DQ935" i="1"/>
  <c r="DR936" i="1"/>
  <c r="DP936" i="1"/>
  <c r="DQ934" i="1"/>
  <c r="DR935" i="1"/>
  <c r="DP935" i="1"/>
  <c r="DR934" i="1"/>
  <c r="DP934" i="1"/>
  <c r="DQ933" i="1"/>
  <c r="DQ932" i="1"/>
  <c r="DR933" i="1"/>
  <c r="DP933" i="1"/>
  <c r="DR932" i="1"/>
  <c r="DP932" i="1"/>
  <c r="DQ931" i="1"/>
  <c r="DQ930" i="1"/>
  <c r="DR931" i="1"/>
  <c r="DP931" i="1"/>
  <c r="DR930" i="1"/>
  <c r="DP930" i="1"/>
  <c r="DQ929" i="1"/>
  <c r="DQ928" i="1"/>
  <c r="DR929" i="1"/>
  <c r="DP929" i="1"/>
  <c r="DQ927" i="1"/>
  <c r="DR928" i="1"/>
  <c r="DP928" i="1"/>
  <c r="DR927" i="1"/>
  <c r="DP927" i="1"/>
  <c r="DQ926" i="1"/>
  <c r="DR926" i="1"/>
  <c r="DP926" i="1"/>
  <c r="DQ925" i="1"/>
  <c r="DQ924" i="1"/>
  <c r="DR925" i="1"/>
  <c r="DP925" i="1"/>
  <c r="DR924" i="1"/>
  <c r="DP924" i="1"/>
  <c r="DQ923" i="1"/>
  <c r="DQ922" i="1"/>
  <c r="DR923" i="1"/>
  <c r="DP923" i="1"/>
  <c r="DQ921" i="1"/>
  <c r="DR922" i="1"/>
  <c r="DP922" i="1"/>
  <c r="DQ920" i="1"/>
  <c r="DR921" i="1"/>
  <c r="DP921" i="1"/>
  <c r="DR920" i="1"/>
  <c r="DP920" i="1"/>
  <c r="DQ919" i="1"/>
  <c r="DR919" i="1"/>
  <c r="DP919" i="1"/>
  <c r="DQ918" i="1"/>
  <c r="DR918" i="1"/>
  <c r="DP918" i="1"/>
  <c r="DQ917" i="1"/>
  <c r="DQ916" i="1"/>
  <c r="DR917" i="1"/>
  <c r="DP917" i="1"/>
  <c r="DQ915" i="1"/>
  <c r="DR916" i="1"/>
  <c r="DP916" i="1"/>
  <c r="DQ914" i="1"/>
  <c r="DR915" i="1"/>
  <c r="DP915" i="1"/>
  <c r="DQ913" i="1"/>
  <c r="DR914" i="1"/>
  <c r="DP914" i="1"/>
  <c r="DQ912" i="1"/>
  <c r="DR913" i="1"/>
  <c r="DP913" i="1"/>
  <c r="DQ911" i="1"/>
  <c r="DR912" i="1"/>
  <c r="DP912" i="1"/>
  <c r="DQ910" i="1"/>
  <c r="DR911" i="1"/>
  <c r="DP911" i="1"/>
  <c r="DR910" i="1"/>
  <c r="DP910" i="1"/>
  <c r="DQ909" i="1"/>
  <c r="DQ908" i="1"/>
  <c r="DR909" i="1"/>
  <c r="DP909" i="1"/>
  <c r="DQ907" i="1"/>
  <c r="DR908" i="1"/>
  <c r="DP908" i="1"/>
  <c r="DR907" i="1"/>
  <c r="DP907" i="1"/>
  <c r="DQ906" i="1"/>
  <c r="DR906" i="1"/>
  <c r="DP906" i="1"/>
  <c r="DQ905" i="1"/>
  <c r="DR905" i="1"/>
  <c r="DP905" i="1"/>
  <c r="DQ904" i="1"/>
  <c r="DR904" i="1"/>
  <c r="DP904" i="1"/>
  <c r="DQ903" i="1"/>
  <c r="DR903" i="1"/>
  <c r="DP903" i="1"/>
  <c r="DQ902" i="1"/>
  <c r="DR902" i="1"/>
  <c r="DP902" i="1"/>
  <c r="DQ901" i="1"/>
  <c r="DR901" i="1"/>
  <c r="DP901" i="1"/>
  <c r="DQ900" i="1"/>
  <c r="DR900" i="1"/>
  <c r="DP900" i="1"/>
  <c r="DQ899" i="1"/>
  <c r="DR899" i="1"/>
  <c r="DP899" i="1"/>
  <c r="DQ898" i="1"/>
  <c r="DQ897" i="1"/>
  <c r="DR898" i="1"/>
  <c r="DP898" i="1"/>
  <c r="DQ896" i="1"/>
  <c r="DR897" i="1"/>
  <c r="DP897" i="1"/>
  <c r="DR896" i="1"/>
  <c r="DP896" i="1"/>
  <c r="DE4" i="1"/>
  <c r="DE5" i="1"/>
  <c r="B5" i="5"/>
  <c r="DM1" i="1"/>
  <c r="DL4" i="1"/>
  <c r="DL5" i="1"/>
  <c r="B9" i="5"/>
  <c r="DM2" i="1"/>
  <c r="DM4" i="1"/>
  <c r="DM5" i="1"/>
  <c r="B10" i="5"/>
  <c r="FK3" i="1"/>
  <c r="FJ3" i="1"/>
  <c r="ET4" i="1"/>
  <c r="EO3" i="1"/>
  <c r="FM3" i="1"/>
  <c r="FE4" i="1"/>
  <c r="FI3" i="1"/>
  <c r="FJ4" i="1"/>
  <c r="EN3" i="1"/>
  <c r="EZ3" i="1"/>
  <c r="FK4" i="1"/>
  <c r="EO4" i="1"/>
  <c r="EV4" i="1"/>
  <c r="FD4" i="1"/>
  <c r="FE3" i="1"/>
  <c r="FM4" i="1"/>
  <c r="FN3" i="1"/>
  <c r="EX4" i="1"/>
  <c r="FS3" i="1"/>
  <c r="ER3" i="1"/>
  <c r="EW4" i="1"/>
  <c r="FG3" i="1"/>
  <c r="FA4" i="1"/>
  <c r="FD3" i="1"/>
  <c r="FF3" i="1"/>
  <c r="FC4" i="1"/>
  <c r="FP4" i="1"/>
  <c r="EP3" i="1"/>
  <c r="FQ3" i="1"/>
  <c r="FH3" i="1"/>
  <c r="EQ3" i="1"/>
  <c r="FL4" i="1"/>
  <c r="FN4" i="1"/>
  <c r="EQ4" i="1"/>
  <c r="FG4" i="1"/>
  <c r="FB3" i="1"/>
  <c r="EU4" i="1"/>
  <c r="EW3" i="1"/>
  <c r="FB4" i="1"/>
  <c r="ES3" i="1"/>
  <c r="ER4" i="1"/>
  <c r="EV3" i="1"/>
  <c r="FC3" i="1"/>
  <c r="FP3" i="1"/>
  <c r="FQ4" i="1"/>
  <c r="FL3" i="1"/>
  <c r="FI4" i="1"/>
  <c r="EY3" i="1"/>
  <c r="FS4" i="1"/>
  <c r="EZ4" i="1"/>
  <c r="FH4" i="1"/>
  <c r="ET3" i="1"/>
  <c r="FR3" i="1"/>
  <c r="FO4" i="1"/>
  <c r="EU3" i="1"/>
  <c r="ES4" i="1"/>
  <c r="FO3" i="1"/>
  <c r="EN4" i="1"/>
  <c r="FA3" i="1"/>
  <c r="FR4" i="1"/>
  <c r="EY4" i="1"/>
  <c r="EX3" i="1"/>
  <c r="EP4" i="1"/>
  <c r="FF4" i="1"/>
  <c r="L13" i="5"/>
  <c r="K16" i="5"/>
  <c r="J13" i="5"/>
  <c r="M16" i="5"/>
  <c r="K13" i="5"/>
  <c r="H13" i="5"/>
  <c r="J16" i="5"/>
  <c r="I16" i="5"/>
  <c r="H16" i="5"/>
  <c r="G13" i="5"/>
  <c r="I13" i="5"/>
  <c r="G16" i="5"/>
  <c r="L16" i="5"/>
  <c r="M13" i="5"/>
  <c r="L14" i="5"/>
  <c r="L18" i="5"/>
  <c r="L23" i="5"/>
  <c r="L17" i="5"/>
  <c r="L15" i="5"/>
  <c r="L24" i="5"/>
  <c r="K23" i="5"/>
  <c r="K24" i="5"/>
  <c r="K17" i="5"/>
  <c r="K18" i="5"/>
  <c r="K15" i="5"/>
  <c r="K14" i="5"/>
  <c r="J17" i="5"/>
  <c r="J24" i="5"/>
  <c r="J18" i="5"/>
  <c r="J14" i="5"/>
  <c r="J23" i="5"/>
  <c r="J15" i="5"/>
  <c r="M17" i="5"/>
  <c r="M18" i="5"/>
  <c r="M23" i="5"/>
  <c r="M15" i="5"/>
  <c r="M24" i="5"/>
  <c r="M14" i="5"/>
  <c r="I15" i="5"/>
  <c r="I14" i="5"/>
  <c r="I17" i="5"/>
  <c r="I18" i="5"/>
  <c r="I23" i="5"/>
  <c r="I24" i="5"/>
  <c r="G24" i="5"/>
  <c r="G15" i="5"/>
  <c r="G14" i="5"/>
  <c r="G18" i="5"/>
  <c r="G17" i="5"/>
  <c r="G23" i="5"/>
  <c r="H23" i="5"/>
  <c r="H18" i="5"/>
  <c r="H17" i="5"/>
  <c r="H14" i="5"/>
  <c r="H15" i="5"/>
  <c r="H2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Duncan Halstead</author>
  </authors>
  <commentList>
    <comment ref="CR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Duncan Halstead:</t>
        </r>
        <r>
          <rPr>
            <sz val="9"/>
            <color indexed="81"/>
            <rFont val="Tahoma"/>
            <family val="2"/>
          </rPr>
          <t xml:space="preserve">
Default threshold is 85% of rated power</t>
        </r>
      </text>
    </comment>
    <comment ref="CR7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Duncan Halstead:</t>
        </r>
        <r>
          <rPr>
            <sz val="9"/>
            <color indexed="81"/>
            <rFont val="Tahoma"/>
            <family val="2"/>
          </rPr>
          <t xml:space="preserve">
"ON" = Turbines ON
"OFF" = Turbines OFF
"IND" = Mix of ON &amp; OFF</t>
        </r>
      </text>
    </comment>
    <comment ref="CS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Duncan Halstead:
</t>
        </r>
        <r>
          <rPr>
            <sz val="9"/>
            <color indexed="81"/>
            <rFont val="Tahoma"/>
            <family val="2"/>
          </rPr>
          <t>Turbine ON/OFF data verified with wind farm operational data</t>
        </r>
      </text>
    </comment>
    <comment ref="CX7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Duncan Halstead:</t>
        </r>
        <r>
          <rPr>
            <sz val="9"/>
            <color indexed="81"/>
            <rFont val="Tahoma"/>
            <family val="2"/>
          </rPr>
          <t xml:space="preserve">
Filter if ="YES"</t>
        </r>
      </text>
    </comment>
  </commentList>
</comments>
</file>

<file path=xl/sharedStrings.xml><?xml version="1.0" encoding="utf-8"?>
<sst xmlns="http://schemas.openxmlformats.org/spreadsheetml/2006/main" count="5813" uniqueCount="259">
  <si>
    <t>NO</t>
  </si>
  <si>
    <t>ON</t>
  </si>
  <si>
    <t>Turbine ONLY</t>
  </si>
  <si>
    <t>Standard Deviation</t>
  </si>
  <si>
    <t>Background (average)</t>
  </si>
  <si>
    <t>Background</t>
  </si>
  <si>
    <t>TON</t>
  </si>
  <si>
    <t>L90</t>
  </si>
  <si>
    <t>LAeq</t>
  </si>
  <si>
    <t>Time?</t>
  </si>
  <si>
    <t>Rain?</t>
  </si>
  <si>
    <t>Low Temp?</t>
  </si>
  <si>
    <t>Gust?</t>
  </si>
  <si>
    <t>Turbine ON/OFF</t>
  </si>
  <si>
    <t>Junk?</t>
  </si>
  <si>
    <t>Rain_Tot [mm]</t>
  </si>
  <si>
    <t>WSpd_Avg [m/s]</t>
  </si>
  <si>
    <t>TIMESTAMP</t>
  </si>
  <si>
    <t>Project</t>
  </si>
  <si>
    <t>Index</t>
  </si>
  <si>
    <t>dBA Sum</t>
  </si>
  <si>
    <t>Amb. Rain Gauge</t>
  </si>
  <si>
    <t>Amb. Pressure</t>
  </si>
  <si>
    <t>Amb. Humidity</t>
  </si>
  <si>
    <t>Amb. Temperature</t>
  </si>
  <si>
    <t>Wind Speed max</t>
  </si>
  <si>
    <t>Wind Speed min</t>
  </si>
  <si>
    <t>Wind Speed avg</t>
  </si>
  <si>
    <t>Wind Dir. max</t>
  </si>
  <si>
    <t>Wind Dir. min</t>
  </si>
  <si>
    <t>Wind Dir. avg</t>
  </si>
  <si>
    <t>LAF99.0</t>
  </si>
  <si>
    <t>LAF95.0</t>
  </si>
  <si>
    <t>LAF90.0</t>
  </si>
  <si>
    <t>LAF50.0</t>
  </si>
  <si>
    <t>LAF10.0</t>
  </si>
  <si>
    <t>LAF5.0</t>
  </si>
  <si>
    <t>LAF1.0</t>
  </si>
  <si>
    <t>Overload</t>
  </si>
  <si>
    <t>LZeq</t>
  </si>
  <si>
    <t>Elapsed Time</t>
  </si>
  <si>
    <t>Start Time</t>
  </si>
  <si>
    <t>Project Name</t>
  </si>
  <si>
    <t>Receptor</t>
  </si>
  <si>
    <t>Last Row with Data</t>
  </si>
  <si>
    <t>Wind Bin</t>
  </si>
  <si>
    <t>Comments</t>
  </si>
  <si>
    <t>Progress Background</t>
  </si>
  <si>
    <t>Progress Total</t>
  </si>
  <si>
    <t>YES</t>
  </si>
  <si>
    <t>OFF</t>
  </si>
  <si>
    <t>Site Notes:</t>
  </si>
  <si>
    <t>&lt;= total # of points filtered</t>
  </si>
  <si>
    <t>&lt;= % of points filtered</t>
  </si>
  <si>
    <t>Turbine ON + Background (average)</t>
  </si>
  <si>
    <t>Turbine ON Data points</t>
  </si>
  <si>
    <t>Background Data points</t>
  </si>
  <si>
    <t>MOECC Sound Level Limit</t>
  </si>
  <si>
    <t>Progress Turbine ON</t>
  </si>
  <si>
    <t>dBA</t>
  </si>
  <si>
    <t>Turbine ON</t>
  </si>
  <si>
    <t>WINDSPEED FOR GRAPH=&gt;</t>
  </si>
  <si>
    <t>Revision #</t>
  </si>
  <si>
    <t>Author</t>
  </si>
  <si>
    <t>Notes</t>
  </si>
  <si>
    <t>revision tracking started</t>
  </si>
  <si>
    <t>RJ,DH,AD,AM</t>
  </si>
  <si>
    <t>DH</t>
  </si>
  <si>
    <t>Date</t>
  </si>
  <si>
    <t>Overall (dBA)</t>
  </si>
  <si>
    <t>&lt;= FILTER: rain threshold, max total rain in 5 minutes</t>
  </si>
  <si>
    <t>&lt;= FILTER: max SPL</t>
  </si>
  <si>
    <t>&lt;= FILTER: min SPL</t>
  </si>
  <si>
    <t>&lt;= FILTER: max Leq-L90</t>
  </si>
  <si>
    <t>&lt;= minutes to discard before rain filter trigger</t>
  </si>
  <si>
    <t>&lt;= minutes to discard after rain filter trigger</t>
  </si>
  <si>
    <t>Turbine Power Verified?</t>
  </si>
  <si>
    <t>kW</t>
  </si>
  <si>
    <t>Useable Background Data?</t>
  </si>
  <si>
    <t>Diff X</t>
  </si>
  <si>
    <t>Diff Y</t>
  </si>
  <si>
    <t>Useable TON Data?</t>
  </si>
  <si>
    <t>spectral summary analysis added; 
summary table down to 0m/s; 
all filters reference filter table; 
max 48000 data points warning added; 
insert/delete cells no longer breaks summary sheet; 
formatting;</t>
  </si>
  <si>
    <t>added data columns for turbine power and yaw angle; 
added filter for downwind of nearest turbine and 85% power</t>
  </si>
  <si>
    <t>Turbines ON/OFF</t>
  </si>
  <si>
    <t>&lt;=UTM Easting [m]</t>
  </si>
  <si>
    <t>&lt;=UTM Northing [m]</t>
  </si>
  <si>
    <t>&lt;= max gust filter</t>
  </si>
  <si>
    <t>&lt;= min gust filter</t>
  </si>
  <si>
    <t>WDir_Avg [°]</t>
  </si>
  <si>
    <t>Humidity [%]</t>
  </si>
  <si>
    <t>Minimum =&gt;</t>
  </si>
  <si>
    <t>Maximum =&gt;</t>
  </si>
  <si>
    <t>Temperature [°C]</t>
  </si>
  <si>
    <t>added toggle for using downwind and power filters;
added UTM fields for receptor and nearest turbine for downwind calculation;
added columns for nacelle wind speed and rpm;
filter for gusting now adjustable;
formatting;</t>
  </si>
  <si>
    <t>Distance (m)</t>
  </si>
  <si>
    <t>fixed downwind filter to exclude points where no yaw data is available
added conditional format to indicate when downwind/power filters are turned off</t>
  </si>
  <si>
    <t>Max</t>
  </si>
  <si>
    <t>Min</t>
  </si>
  <si>
    <t xml:space="preserve">Turbine ID </t>
  </si>
  <si>
    <t>Predicted Partial Level</t>
  </si>
  <si>
    <t/>
  </si>
  <si>
    <t>Pressure (Pa)</t>
  </si>
  <si>
    <t>Turbine - Corrected</t>
  </si>
  <si>
    <t>Distance Correction</t>
  </si>
  <si>
    <t>3rd party Turbine impact</t>
  </si>
  <si>
    <t>HH Wind Speed (m/s)</t>
  </si>
  <si>
    <t>Yaw Angle (°)</t>
  </si>
  <si>
    <t>Power (kW)</t>
  </si>
  <si>
    <t>Speed (rpm)</t>
  </si>
  <si>
    <t>T Power &gt; Threshold?</t>
  </si>
  <si>
    <t>rain after?</t>
  </si>
  <si>
    <t>rain before?</t>
  </si>
  <si>
    <t>Leq-L90 &gt; Threshold?</t>
  </si>
  <si>
    <t>Max SPL Threshold?</t>
  </si>
  <si>
    <t>Min SPL Threshold?</t>
  </si>
  <si>
    <t>20</t>
  </si>
  <si>
    <t>25</t>
  </si>
  <si>
    <t>31.5</t>
  </si>
  <si>
    <t>40</t>
  </si>
  <si>
    <t>50</t>
  </si>
  <si>
    <t>63</t>
  </si>
  <si>
    <t>80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</si>
  <si>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</si>
  <si>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</si>
  <si>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</si>
  <si>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</si>
  <si>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</si>
  <si>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</si>
  <si>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</si>
  <si>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</si>
  <si>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</si>
  <si>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</si>
  <si>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</si>
  <si>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</si>
  <si>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</si>
  <si>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</si>
  <si>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</si>
  <si>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</si>
  <si>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</si>
  <si>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</si>
  <si>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</si>
  <si>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</si>
  <si>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</si>
  <si>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</si>
  <si>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</si>
  <si>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</si>
  <si>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20-u</t>
  </si>
  <si>
    <t>25-u</t>
  </si>
  <si>
    <t>31.5-u</t>
  </si>
  <si>
    <t>40-u</t>
  </si>
  <si>
    <t>50-u</t>
  </si>
  <si>
    <t>63-u</t>
  </si>
  <si>
    <t>80-u</t>
  </si>
  <si>
    <t>100-u</t>
  </si>
  <si>
    <t>125-u</t>
  </si>
  <si>
    <t>160-u</t>
  </si>
  <si>
    <t>200-u</t>
  </si>
  <si>
    <t>250-u</t>
  </si>
  <si>
    <t>315-u</t>
  </si>
  <si>
    <t>400-u</t>
  </si>
  <si>
    <t>500-u</t>
  </si>
  <si>
    <t>630-u</t>
  </si>
  <si>
    <t>800-u</t>
  </si>
  <si>
    <t>1000-u</t>
  </si>
  <si>
    <t>1250-u</t>
  </si>
  <si>
    <t>1600-u</t>
  </si>
  <si>
    <t>2000-u</t>
  </si>
  <si>
    <t>2500-u</t>
  </si>
  <si>
    <t>3150-u</t>
  </si>
  <si>
    <t>4000-u</t>
  </si>
  <si>
    <t>5000-u</t>
  </si>
  <si>
    <t>6300-u</t>
  </si>
  <si>
    <t>8000-u</t>
  </si>
  <si>
    <t>10000-u</t>
  </si>
  <si>
    <t>12500-u</t>
  </si>
  <si>
    <t>16000-u</t>
  </si>
  <si>
    <t>20000-u</t>
  </si>
  <si>
    <t>dBA Sum-u</t>
  </si>
  <si>
    <t>A-weighting=&gt;</t>
  </si>
  <si>
    <t>-</t>
  </si>
  <si>
    <t>removed named ranges and replaced referencing to structured table
added fields for "distance correction" and "third party turbine" impacts
changed summary table to calculate logarithmic averaged sound levels</t>
  </si>
  <si>
    <t>Relative Wind Direction</t>
  </si>
  <si>
    <t>&lt;=Aggregate Angle?</t>
  </si>
  <si>
    <t>  T1 </t>
  </si>
  <si>
    <t>  T2 </t>
  </si>
  <si>
    <t>  T3 alt </t>
  </si>
  <si>
    <t>  T4 </t>
  </si>
  <si>
    <t>  T5 alt </t>
  </si>
  <si>
    <t>Primary or Secondary Turbine?</t>
  </si>
  <si>
    <t>diffX</t>
  </si>
  <si>
    <t>diffY</t>
  </si>
  <si>
    <t>UTM x</t>
  </si>
  <si>
    <t>UTM y</t>
  </si>
  <si>
    <t>Angle To Receptor</t>
  </si>
  <si>
    <t>Downwind to Primary Turbine</t>
  </si>
  <si>
    <t>added wind direction filter to toggle for downwind or crosswind conditions
added aggregate downwind angle calculation</t>
  </si>
  <si>
    <t>DuncanH</t>
  </si>
  <si>
    <t>Downwind?</t>
  </si>
  <si>
    <t>Receptor  Angle to Primary</t>
  </si>
  <si>
    <t>https://www.ontario.ca/page/compliance-protocol-wind-turbine-noise#section-5</t>
  </si>
  <si>
    <t>SEE APPENDIX F11 OF COMPLIANCE PROTOCOL FOR CALCULATION DETAILS</t>
  </si>
  <si>
    <t>Manual Input!!! =&gt;</t>
  </si>
  <si>
    <t>Downwind angle range</t>
  </si>
  <si>
    <t>^^min agg angle^^</t>
  </si>
  <si>
    <t>^^max agg angle^^</t>
  </si>
  <si>
    <t>Wind Direction</t>
  </si>
  <si>
    <t>DuncanH, KohlC, AlexandraD</t>
  </si>
  <si>
    <t>changed default filter thresholds
changed drop down list references to deliminted lists</t>
  </si>
  <si>
    <t>&lt;= Wind Direction Filter?</t>
  </si>
  <si>
    <t>&lt;= Power Threshold Filter?</t>
  </si>
  <si>
    <t>&lt;= min data counts</t>
  </si>
  <si>
    <t>Data Excluded by Filter</t>
  </si>
  <si>
    <t>Turbine Power Threshold</t>
  </si>
  <si>
    <t>Rain</t>
  </si>
  <si>
    <t>Temperature</t>
  </si>
  <si>
    <t>Transient Contamination</t>
  </si>
  <si>
    <t>Total Excluded from Background</t>
  </si>
  <si>
    <t>Total Excluded from Turbine ON</t>
  </si>
  <si>
    <t>Wind Gust</t>
  </si>
  <si>
    <t>Receptor ID</t>
  </si>
  <si>
    <t>Minimum</t>
  </si>
  <si>
    <t>Maximum</t>
  </si>
  <si>
    <t>Atmospheric Pressure (hPa)</t>
  </si>
  <si>
    <t>Wind Speed (m/s)</t>
  </si>
  <si>
    <t>Relative Humidity (%)</t>
  </si>
  <si>
    <t>Temperature (°C)</t>
  </si>
  <si>
    <t>Hub-height Wind Speed (m/s)</t>
  </si>
  <si>
    <t>Period</t>
  </si>
  <si>
    <t>Measurement Parameter</t>
  </si>
  <si>
    <t>Number of Samples</t>
  </si>
  <si>
    <t>Average Laeq (dBA)</t>
  </si>
  <si>
    <t>Average LAeq (dBA)</t>
  </si>
  <si>
    <t>min TON data points</t>
  </si>
  <si>
    <t>min BG data points</t>
  </si>
  <si>
    <t>Percentage of data invalidated by filtering</t>
  </si>
  <si>
    <t>Audited Receptor</t>
  </si>
  <si>
    <t>Wind Speed Bin (10-meter height)</t>
  </si>
  <si>
    <t>Turbine-Only Sound Level</t>
  </si>
  <si>
    <t>Cumulative Noise Impact</t>
  </si>
  <si>
    <t>Assessment Table - Turbine-Only Noise Impact</t>
  </si>
  <si>
    <t>Average Measured Sound Pressure Levels at Monitoring Locations</t>
  </si>
  <si>
    <t>General Weather Conditions During Sound Monitoring Campaign</t>
  </si>
  <si>
    <t>added reporting worksheet that includes tables formatted for reporting
added "read-only" property to sheet template to prevent inadvertent overwriting
changed formatting in summary table, fixed conditional formatting throughout</t>
  </si>
  <si>
    <t>Downwind (°) =&gt;</t>
  </si>
  <si>
    <t>Distance (m) =&gt;</t>
  </si>
  <si>
    <t>Closest Turbine, ID =&gt;</t>
  </si>
  <si>
    <t>Rated Power Output =&gt;</t>
  </si>
  <si>
    <t>Power Output Threshold =&gt;</t>
  </si>
  <si>
    <t>BL-R34</t>
  </si>
  <si>
    <t>R-34</t>
  </si>
  <si>
    <t>BOW LAKE</t>
  </si>
  <si>
    <t>T36</t>
  </si>
  <si>
    <t>DW</t>
  </si>
  <si>
    <t>car</t>
  </si>
  <si>
    <t>tree noise</t>
  </si>
  <si>
    <t>birds</t>
  </si>
  <si>
    <t>MIX</t>
  </si>
  <si>
    <t>tree  noise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</si>
</sst>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409]d\-mmm\-yyyy;@"/>
    <numFmt numFmtId="165" formatCode="0.0"/>
    <numFmt numFmtId="166" formatCode="yyyy\ mmm\ dd\,\ hh:mm\ AM/PM"/>
    <numFmt numFmtId="167" formatCode="0.00000000000"/>
    <numFmt numFmtId="168" formatCode="m/d/yy\ h:mm;@"/>
    <numFmt numFmtId="169" formatCode="dd\-mmm\-yyyy"/>
    <numFmt numFmtId="171" formatCode="0.0000"/>
    <numFmt numFmtId="172" formatCode="0.0%"/>
  </numFmts>
  <fonts count="30" x14ac:knownFonts="1">
    <font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FF"/>
      <name val="Franklin Gothic Book"/>
      <family val="2"/>
    </font>
    <font>
      <b/>
      <sz val="10"/>
      <color theme="1"/>
      <name val="Franklin Gothic Book"/>
      <family val="2"/>
    </font>
    <font>
      <sz val="10"/>
      <name val="Franklin Gothic Book"/>
      <family val="2"/>
    </font>
    <font>
      <sz val="10"/>
      <color theme="0"/>
      <name val="Franklin Gothic Book"/>
      <family val="2"/>
    </font>
    <font>
      <b/>
      <sz val="9"/>
      <color theme="1"/>
      <name val="Franklin Gothic Book"/>
      <family val="2"/>
    </font>
    <font>
      <sz val="9"/>
      <color theme="1"/>
      <name val="Franklin Gothic Book"/>
      <family val="2"/>
    </font>
    <font>
      <sz val="10"/>
      <color rgb="FFFF0000"/>
      <name val="Franklin Gothic Book"/>
      <family val="2"/>
    </font>
    <font>
      <b/>
      <sz val="10"/>
      <color rgb="FF0000FF"/>
      <name val="Franklin Gothic Book"/>
      <family val="2"/>
    </font>
    <font>
      <b/>
      <sz val="10"/>
      <color theme="0"/>
      <name val="Franklin Gothic Book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0"/>
      <color rgb="FF5F6062"/>
      <name val="Franklin Gothic Book"/>
      <family val="2"/>
    </font>
    <font>
      <b/>
      <sz val="10"/>
      <color rgb="FF5F6062"/>
      <name val="Franklin Gothic Book"/>
      <family val="2"/>
    </font>
    <font>
      <b/>
      <sz val="10"/>
      <name val="Franklin Gothic Book"/>
      <family val="2"/>
    </font>
    <font>
      <b/>
      <sz val="10"/>
      <color rgb="FFFF0000"/>
      <name val="Franklin Gothic Book"/>
      <family val="2"/>
    </font>
    <font>
      <i/>
      <sz val="10"/>
      <color rgb="FF0000FF"/>
      <name val="Franklin Gothic Book"/>
      <family val="2"/>
    </font>
    <font>
      <sz val="10"/>
      <color theme="0" tint="-0.34998626667073579"/>
      <name val="Franklin Gothic Book"/>
      <family val="2"/>
    </font>
    <font>
      <u/>
      <sz val="10"/>
      <color theme="10"/>
      <name val="Franklin Gothic Book"/>
      <family val="2"/>
    </font>
    <font>
      <sz val="10"/>
      <color rgb="FF0000FF"/>
      <name val="Franklin Gothic Book"/>
      <family val="2"/>
    </font>
    <font>
      <i/>
      <sz val="10"/>
      <color rgb="FF0000FF"/>
      <name val="Franklin Gothic Book"/>
      <family val="2"/>
    </font>
    <font>
      <i/>
      <sz val="10"/>
      <color theme="1"/>
      <name val="Franklin Gothic Book"/>
      <family val="2"/>
    </font>
    <font>
      <sz val="10"/>
      <color rgb="FF0000FF"/>
      <name val="Franklin Gothic Book"/>
      <family val="2"/>
    </font>
    <font>
      <i/>
      <sz val="10"/>
      <color rgb="FF0000FF"/>
      <name val="Franklin Gothic Book"/>
      <family val="2"/>
    </font>
    <font>
      <sz val="8"/>
      <name val="Franklin Gothic Book"/>
      <family val="2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6CADD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5F6062"/>
        <bgColor indexed="64"/>
      </patternFill>
    </fill>
    <fill>
      <patternFill patternType="solid">
        <fgColor rgb="FFC8C9CA"/>
        <bgColor indexed="64"/>
      </patternFill>
    </fill>
    <fill>
      <patternFill patternType="solid">
        <fgColor rgb="FFB8CCE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/>
    <xf numFmtId="164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9" fontId="15" fillId="0" borderId="0" applyFont="0" applyFill="0" applyBorder="0" applyAlignment="0" applyProtection="0"/>
    <xf numFmtId="164" fontId="23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Protection="1">
      <protection locked="0"/>
    </xf>
    <xf numFmtId="0" fontId="0" fillId="0" borderId="0" xfId="0" applyNumberFormat="1" applyAlignment="1" applyProtection="1">
      <alignment horizontal="center"/>
      <protection locked="0"/>
    </xf>
    <xf numFmtId="0" fontId="0" fillId="0" borderId="0" xfId="0" applyNumberFormat="1" applyProtection="1">
      <protection locked="0"/>
    </xf>
    <xf numFmtId="0" fontId="3" fillId="0" borderId="0" xfId="0" applyNumberFormat="1" applyFont="1" applyAlignment="1" applyProtection="1">
      <alignment horizontal="center"/>
      <protection locked="0"/>
    </xf>
    <xf numFmtId="0" fontId="10" fillId="0" borderId="2" xfId="0" applyNumberFormat="1" applyFont="1" applyBorder="1" applyAlignment="1" applyProtection="1">
      <alignment horizontal="center" vertical="center"/>
      <protection locked="0"/>
    </xf>
    <xf numFmtId="0" fontId="11" fillId="0" borderId="0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NumberFormat="1" applyFont="1" applyAlignment="1" applyProtection="1">
      <alignment horizontal="center"/>
      <protection locked="0"/>
    </xf>
    <xf numFmtId="0" fontId="8" fillId="0" borderId="1" xfId="0" applyFont="1" applyBorder="1" applyAlignment="1" applyProtection="1">
      <alignment horizontal="center" vertical="center" wrapText="1"/>
      <protection locked="0"/>
    </xf>
    <xf numFmtId="0" fontId="8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6" fillId="3" borderId="0" xfId="0" applyNumberFormat="1" applyFont="1" applyFill="1" applyBorder="1" applyAlignment="1" applyProtection="1">
      <alignment horizontal="center" vertical="center" wrapText="1"/>
      <protection locked="0"/>
    </xf>
    <xf numFmtId="168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0" fontId="2" fillId="0" borderId="0" xfId="1" applyFont="1" applyAlignment="1" applyProtection="1">
      <alignment horizontal="center"/>
      <protection locked="0"/>
    </xf>
    <xf numFmtId="166" fontId="0" fillId="0" borderId="0" xfId="0" applyNumberFormat="1" applyAlignment="1" applyProtection="1">
      <alignment horizontal="center"/>
      <protection locked="0"/>
    </xf>
    <xf numFmtId="165" fontId="0" fillId="0" borderId="0" xfId="0" applyNumberFormat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4" fillId="0" borderId="0" xfId="0" applyNumberFormat="1" applyFont="1" applyAlignment="1" applyProtection="1">
      <alignment horizontal="center"/>
      <protection locked="0"/>
    </xf>
    <xf numFmtId="0" fontId="6" fillId="4" borderId="0" xfId="0" applyNumberFormat="1" applyFont="1" applyFill="1" applyAlignment="1" applyProtection="1">
      <alignment horizontal="center" vertical="center" wrapText="1"/>
      <protection locked="0"/>
    </xf>
    <xf numFmtId="0" fontId="0" fillId="0" borderId="4" xfId="0" applyNumberFormat="1" applyBorder="1" applyAlignment="1" applyProtection="1">
      <alignment horizontal="center"/>
      <protection locked="0"/>
    </xf>
    <xf numFmtId="0" fontId="0" fillId="0" borderId="5" xfId="0" applyNumberFormat="1" applyBorder="1" applyAlignment="1" applyProtection="1">
      <alignment horizontal="center"/>
      <protection locked="0"/>
    </xf>
    <xf numFmtId="165" fontId="4" fillId="0" borderId="0" xfId="0" applyNumberFormat="1" applyFont="1" applyAlignment="1" applyProtection="1">
      <alignment horizontal="center"/>
      <protection locked="0"/>
    </xf>
    <xf numFmtId="165" fontId="16" fillId="0" borderId="0" xfId="0" applyNumberFormat="1" applyFont="1" applyAlignment="1" applyProtection="1">
      <alignment horizontal="center"/>
      <protection locked="0"/>
    </xf>
    <xf numFmtId="0" fontId="16" fillId="0" borderId="0" xfId="0" applyFont="1" applyAlignment="1" applyProtection="1">
      <alignment horizontal="right"/>
      <protection locked="0"/>
    </xf>
    <xf numFmtId="1" fontId="0" fillId="0" borderId="0" xfId="0" applyNumberFormat="1" applyProtection="1">
      <protection locked="0"/>
    </xf>
    <xf numFmtId="0" fontId="11" fillId="5" borderId="2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Alignment="1" applyProtection="1">
      <alignment horizontal="left" vertical="center"/>
      <protection locked="0"/>
    </xf>
    <xf numFmtId="0" fontId="18" fillId="0" borderId="0" xfId="0" applyNumberFormat="1" applyFont="1" applyAlignment="1" applyProtection="1">
      <alignment horizontal="left" vertical="center"/>
      <protection locked="0"/>
    </xf>
    <xf numFmtId="167" fontId="4" fillId="0" borderId="0" xfId="0" applyNumberFormat="1" applyFont="1" applyAlignment="1" applyProtection="1">
      <alignment horizontal="center"/>
      <protection locked="0"/>
    </xf>
    <xf numFmtId="9" fontId="0" fillId="0" borderId="0" xfId="16" applyFont="1" applyBorder="1" applyAlignment="1" applyProtection="1">
      <alignment horizontal="center"/>
      <protection locked="0"/>
    </xf>
    <xf numFmtId="0" fontId="3" fillId="0" borderId="0" xfId="0" applyNumberFormat="1" applyFont="1" applyBorder="1" applyAlignment="1" applyProtection="1">
      <alignment horizontal="center"/>
      <protection locked="0"/>
    </xf>
    <xf numFmtId="166" fontId="7" fillId="6" borderId="6" xfId="0" applyNumberFormat="1" applyFont="1" applyFill="1" applyBorder="1" applyAlignment="1" applyProtection="1">
      <alignment horizontal="center" vertical="center"/>
      <protection locked="0"/>
    </xf>
    <xf numFmtId="166" fontId="7" fillId="6" borderId="7" xfId="0" applyNumberFormat="1" applyFont="1" applyFill="1" applyBorder="1" applyAlignment="1" applyProtection="1">
      <alignment horizontal="center" vertical="center"/>
      <protection locked="0"/>
    </xf>
    <xf numFmtId="0" fontId="7" fillId="6" borderId="6" xfId="0" applyNumberFormat="1" applyFont="1" applyFill="1" applyBorder="1" applyAlignment="1" applyProtection="1">
      <alignment horizontal="center" vertical="center" wrapText="1"/>
      <protection locked="0"/>
    </xf>
    <xf numFmtId="0" fontId="7" fillId="6" borderId="7" xfId="0" applyNumberFormat="1" applyFont="1" applyFill="1" applyBorder="1" applyAlignment="1" applyProtection="1">
      <alignment horizontal="center" vertical="center" wrapText="1"/>
      <protection locked="0"/>
    </xf>
    <xf numFmtId="0" fontId="7" fillId="6" borderId="8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6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7" xfId="0" applyFont="1" applyFill="1" applyBorder="1" applyAlignment="1" applyProtection="1">
      <alignment horizontal="center" vertical="center"/>
      <protection locked="0"/>
    </xf>
    <xf numFmtId="0" fontId="7" fillId="7" borderId="7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/>
    <xf numFmtId="0" fontId="0" fillId="0" borderId="0" xfId="0" applyNumberFormat="1" applyAlignment="1" applyProtection="1">
      <alignment horizontal="center" vertical="center"/>
      <protection locked="0"/>
    </xf>
    <xf numFmtId="0" fontId="5" fillId="0" borderId="0" xfId="0" applyNumberFormat="1" applyFont="1" applyProtection="1">
      <protection locked="0"/>
    </xf>
    <xf numFmtId="0" fontId="0" fillId="0" borderId="0" xfId="0" applyNumberFormat="1" applyBorder="1" applyAlignment="1" applyProtection="1">
      <alignment horizontal="center" vertical="center" wrapText="1"/>
      <protection locked="0"/>
    </xf>
    <xf numFmtId="0" fontId="9" fillId="0" borderId="0" xfId="0" applyNumberFormat="1" applyFont="1" applyAlignment="1" applyProtection="1">
      <alignment horizontal="right"/>
      <protection locked="0"/>
    </xf>
    <xf numFmtId="0" fontId="3" fillId="0" borderId="0" xfId="0" applyNumberFormat="1" applyFont="1" applyAlignment="1" applyProtection="1">
      <alignment horizontal="left"/>
      <protection locked="0"/>
    </xf>
    <xf numFmtId="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NumberFormat="1" applyFont="1" applyAlignment="1" applyProtection="1">
      <alignment horizontal="center"/>
      <protection locked="0"/>
    </xf>
    <xf numFmtId="1" fontId="5" fillId="0" borderId="0" xfId="0" applyNumberFormat="1" applyFont="1" applyAlignment="1" applyProtection="1">
      <alignment horizontal="center"/>
      <protection locked="0"/>
    </xf>
    <xf numFmtId="0" fontId="19" fillId="0" borderId="0" xfId="0" applyNumberFormat="1" applyFont="1" applyAlignment="1" applyProtection="1">
      <alignment horizontal="center"/>
      <protection locked="0"/>
    </xf>
    <xf numFmtId="9" fontId="0" fillId="0" borderId="10" xfId="16" applyFont="1" applyBorder="1" applyAlignment="1" applyProtection="1">
      <alignment horizontal="center"/>
      <protection locked="0"/>
    </xf>
    <xf numFmtId="9" fontId="0" fillId="0" borderId="11" xfId="16" applyFont="1" applyBorder="1" applyAlignment="1" applyProtection="1">
      <alignment horizontal="center"/>
      <protection locked="0"/>
    </xf>
    <xf numFmtId="165" fontId="0" fillId="0" borderId="0" xfId="0" applyNumberFormat="1" applyProtection="1">
      <protection locked="0"/>
    </xf>
    <xf numFmtId="0" fontId="3" fillId="0" borderId="0" xfId="0" applyNumberFormat="1" applyFont="1" applyAlignment="1" applyProtection="1">
      <alignment horizontal="right"/>
      <protection locked="0"/>
    </xf>
    <xf numFmtId="0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center" wrapText="1"/>
    </xf>
    <xf numFmtId="0" fontId="5" fillId="2" borderId="0" xfId="0" applyNumberFormat="1" applyFont="1" applyFill="1" applyAlignment="1" applyProtection="1">
      <alignment horizontal="center"/>
    </xf>
    <xf numFmtId="0" fontId="0" fillId="0" borderId="0" xfId="0" applyNumberFormat="1" applyAlignment="1" applyProtection="1">
      <alignment horizontal="left"/>
      <protection locked="0"/>
    </xf>
    <xf numFmtId="0" fontId="10" fillId="0" borderId="0" xfId="0" applyNumberFormat="1" applyFont="1" applyProtection="1">
      <protection locked="0"/>
    </xf>
    <xf numFmtId="0" fontId="0" fillId="0" borderId="4" xfId="0" applyNumberFormat="1" applyBorder="1" applyAlignment="1" applyProtection="1">
      <alignment horizontal="center" wrapText="1"/>
      <protection locked="0"/>
    </xf>
    <xf numFmtId="0" fontId="0" fillId="0" borderId="10" xfId="0" applyNumberFormat="1" applyBorder="1" applyAlignment="1" applyProtection="1">
      <alignment horizontal="center" wrapText="1"/>
      <protection locked="0"/>
    </xf>
    <xf numFmtId="0" fontId="0" fillId="0" borderId="4" xfId="0" applyNumberFormat="1" applyBorder="1" applyAlignment="1" applyProtection="1">
      <alignment horizontal="center" wrapText="1"/>
      <protection locked="0"/>
    </xf>
    <xf numFmtId="0" fontId="0" fillId="0" borderId="10" xfId="0" applyNumberFormat="1" applyBorder="1" applyAlignment="1" applyProtection="1">
      <alignment horizontal="center" wrapText="1"/>
      <protection locked="0"/>
    </xf>
    <xf numFmtId="0" fontId="17" fillId="0" borderId="0" xfId="0" applyNumberFormat="1" applyFont="1" applyAlignment="1" applyProtection="1">
      <alignment horizontal="right" vertical="center"/>
      <protection locked="0"/>
    </xf>
    <xf numFmtId="0" fontId="21" fillId="0" borderId="0" xfId="0" applyNumberFormat="1" applyFont="1" applyAlignment="1" applyProtection="1">
      <alignment horizontal="center"/>
      <protection locked="0"/>
    </xf>
    <xf numFmtId="165" fontId="3" fillId="0" borderId="0" xfId="0" applyNumberFormat="1" applyFont="1" applyAlignment="1" applyProtection="1">
      <alignment horizontal="center"/>
      <protection locked="0"/>
    </xf>
    <xf numFmtId="166" fontId="4" fillId="0" borderId="0" xfId="0" applyNumberFormat="1" applyFont="1" applyFill="1" applyBorder="1" applyAlignment="1" applyProtection="1">
      <alignment horizontal="right" vertical="center"/>
      <protection locked="0"/>
    </xf>
    <xf numFmtId="167" fontId="4" fillId="0" borderId="0" xfId="0" applyNumberFormat="1" applyFont="1" applyAlignment="1" applyProtection="1">
      <alignment horizontal="right"/>
      <protection locked="0"/>
    </xf>
    <xf numFmtId="0" fontId="0" fillId="0" borderId="0" xfId="0" applyNumberFormat="1" applyAlignment="1">
      <alignment wrapText="1"/>
    </xf>
    <xf numFmtId="2" fontId="0" fillId="0" borderId="0" xfId="0" applyNumberFormat="1"/>
    <xf numFmtId="0" fontId="4" fillId="3" borderId="8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right"/>
      <protection locked="0"/>
    </xf>
    <xf numFmtId="165" fontId="10" fillId="0" borderId="0" xfId="0" applyNumberFormat="1" applyFont="1" applyAlignment="1" applyProtection="1">
      <alignment horizontal="center"/>
      <protection locked="0"/>
    </xf>
    <xf numFmtId="0" fontId="0" fillId="0" borderId="0" xfId="0" applyNumberFormat="1" applyFill="1" applyProtection="1">
      <protection locked="0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 applyProtection="1">
      <alignment horizontal="right"/>
      <protection locked="0"/>
    </xf>
    <xf numFmtId="165" fontId="22" fillId="0" borderId="0" xfId="0" applyNumberFormat="1" applyFont="1" applyAlignment="1" applyProtection="1">
      <alignment horizontal="center"/>
      <protection locked="0"/>
    </xf>
    <xf numFmtId="0" fontId="0" fillId="0" borderId="3" xfId="0" applyNumberFormat="1" applyBorder="1" applyAlignment="1" applyProtection="1">
      <alignment horizontal="center" vertical="center" wrapText="1"/>
      <protection locked="0"/>
    </xf>
    <xf numFmtId="0" fontId="0" fillId="0" borderId="9" xfId="0" applyNumberFormat="1" applyBorder="1" applyAlignment="1" applyProtection="1">
      <alignment horizontal="center" vertical="center" wrapText="1"/>
      <protection locked="0"/>
    </xf>
    <xf numFmtId="0" fontId="3" fillId="0" borderId="0" xfId="0" quotePrefix="1" applyNumberFormat="1" applyFont="1" applyFill="1" applyBorder="1" applyAlignment="1" applyProtection="1">
      <alignment horizontal="left" vertical="center"/>
      <protection locked="0"/>
    </xf>
    <xf numFmtId="171" fontId="0" fillId="0" borderId="12" xfId="0" applyNumberFormat="1" applyBorder="1" applyProtection="1">
      <protection locked="0"/>
    </xf>
    <xf numFmtId="1" fontId="10" fillId="0" borderId="0" xfId="0" applyNumberFormat="1" applyFont="1" applyAlignment="1" applyProtection="1">
      <alignment horizontal="center"/>
      <protection locked="0"/>
    </xf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2" fontId="23" fillId="0" borderId="0" xfId="17" applyNumberFormat="1"/>
    <xf numFmtId="2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right" vertical="center" wrapText="1"/>
    </xf>
    <xf numFmtId="0" fontId="17" fillId="0" borderId="0" xfId="0" applyNumberFormat="1" applyFont="1" applyAlignment="1" applyProtection="1">
      <alignment horizontal="center" vertical="center"/>
      <protection locked="0"/>
    </xf>
    <xf numFmtId="2" fontId="9" fillId="0" borderId="0" xfId="0" applyNumberFormat="1" applyFont="1"/>
    <xf numFmtId="2" fontId="20" fillId="0" borderId="0" xfId="0" applyNumberFormat="1" applyFont="1" applyAlignment="1">
      <alignment vertical="center"/>
    </xf>
    <xf numFmtId="0" fontId="24" fillId="0" borderId="0" xfId="0" applyNumberFormat="1" applyFont="1" applyAlignment="1" applyProtection="1">
      <alignment horizontal="center"/>
      <protection locked="0"/>
    </xf>
    <xf numFmtId="165" fontId="24" fillId="0" borderId="0" xfId="0" applyNumberFormat="1" applyFont="1" applyAlignment="1" applyProtection="1">
      <alignment horizontal="center"/>
      <protection locked="0"/>
    </xf>
    <xf numFmtId="0" fontId="25" fillId="0" borderId="0" xfId="0" applyNumberFormat="1" applyFont="1" applyAlignment="1" applyProtection="1">
      <alignment horizontal="center"/>
      <protection locked="0"/>
    </xf>
    <xf numFmtId="0" fontId="10" fillId="0" borderId="0" xfId="0" applyNumberFormat="1" applyFont="1" applyFill="1" applyAlignment="1" applyProtection="1">
      <alignment horizontal="center"/>
      <protection locked="0"/>
    </xf>
    <xf numFmtId="9" fontId="0" fillId="0" borderId="0" xfId="0" applyNumberFormat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6" fillId="0" borderId="0" xfId="0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26" fillId="0" borderId="0" xfId="0" applyFont="1"/>
    <xf numFmtId="0" fontId="26" fillId="0" borderId="0" xfId="0" applyFont="1" applyAlignment="1">
      <alignment horizontal="left"/>
    </xf>
    <xf numFmtId="0" fontId="27" fillId="0" borderId="0" xfId="0" applyNumberFormat="1" applyFont="1" applyAlignment="1" applyProtection="1">
      <alignment horizontal="center"/>
      <protection locked="0"/>
    </xf>
    <xf numFmtId="0" fontId="28" fillId="0" borderId="0" xfId="0" applyNumberFormat="1" applyFont="1" applyAlignment="1" applyProtection="1">
      <alignment horizontal="center"/>
      <protection locked="0"/>
    </xf>
    <xf numFmtId="172" fontId="0" fillId="0" borderId="10" xfId="16" applyNumberFormat="1" applyFont="1" applyBorder="1" applyAlignment="1" applyProtection="1">
      <alignment horizontal="center"/>
      <protection locked="0"/>
    </xf>
    <xf numFmtId="0" fontId="0" fillId="0" borderId="4" xfId="0" applyNumberFormat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 applyProtection="1">
      <alignment horizontal="center" vertical="center" wrapText="1"/>
      <protection locked="0"/>
    </xf>
    <xf numFmtId="0" fontId="6" fillId="3" borderId="0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8">
    <cellStyle name="Hyperlink" xfId="17" builtinId="8"/>
    <cellStyle name="Normal" xfId="0" builtinId="0" customBuiltin="1"/>
    <cellStyle name="Normal 10" xfId="2" xr:uid="{00000000-0005-0000-0000-000002000000}"/>
    <cellStyle name="Normal 11" xfId="3" xr:uid="{00000000-0005-0000-0000-000003000000}"/>
    <cellStyle name="Normal 12" xfId="4" xr:uid="{00000000-0005-0000-0000-000004000000}"/>
    <cellStyle name="Normal 13" xfId="5" xr:uid="{00000000-0005-0000-0000-000005000000}"/>
    <cellStyle name="Normal 14" xfId="6" xr:uid="{00000000-0005-0000-0000-000006000000}"/>
    <cellStyle name="Normal 15" xfId="7" xr:uid="{00000000-0005-0000-0000-000007000000}"/>
    <cellStyle name="Normal 16" xfId="1" xr:uid="{00000000-0005-0000-0000-000008000000}"/>
    <cellStyle name="Normal 2" xfId="8" xr:uid="{00000000-0005-0000-0000-000009000000}"/>
    <cellStyle name="Normal 3" xfId="9" xr:uid="{00000000-0005-0000-0000-00000A000000}"/>
    <cellStyle name="Normal 4" xfId="10" xr:uid="{00000000-0005-0000-0000-00000B000000}"/>
    <cellStyle name="Normal 5" xfId="11" xr:uid="{00000000-0005-0000-0000-00000C000000}"/>
    <cellStyle name="Normal 6" xfId="12" xr:uid="{00000000-0005-0000-0000-00000D000000}"/>
    <cellStyle name="Normal 7" xfId="13" xr:uid="{00000000-0005-0000-0000-00000E000000}"/>
    <cellStyle name="Normal 8" xfId="14" xr:uid="{00000000-0005-0000-0000-00000F000000}"/>
    <cellStyle name="Normal 9" xfId="15" xr:uid="{00000000-0005-0000-0000-000010000000}"/>
    <cellStyle name="Percent" xfId="16" builtinId="5"/>
  </cellStyles>
  <dxfs count="155"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B050"/>
      </font>
    </dxf>
    <dxf>
      <font>
        <strike val="0"/>
        <color rgb="FF00B050"/>
      </font>
    </dxf>
    <dxf>
      <font>
        <strike/>
        <color theme="0" tint="-0.34998626667073579"/>
      </font>
    </dxf>
    <dxf>
      <font>
        <strike/>
        <color theme="0" tint="-0.34998626667073579"/>
      </font>
    </dxf>
    <dxf>
      <font>
        <b val="0"/>
        <i/>
        <color rgb="FF00B050"/>
      </font>
    </dxf>
    <dxf>
      <font>
        <b val="0"/>
        <i/>
        <color rgb="FFFFC000"/>
      </font>
    </dxf>
    <dxf>
      <font>
        <b val="0"/>
        <i/>
        <color rgb="FF7030A0"/>
      </font>
    </dxf>
    <dxf>
      <font>
        <b val="0"/>
        <i val="0"/>
        <color rgb="FFFF0000"/>
      </font>
    </dxf>
    <dxf>
      <font>
        <color rgb="FFFF0000"/>
      </font>
    </dxf>
    <dxf>
      <font>
        <color theme="0" tint="-0.34998626667073579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alignment horizontal="center" vertical="center" textRotation="0" wrapText="1" indent="0" justifyLastLine="0" shrinkToFit="0" readingOrder="0"/>
    </dxf>
    <dxf>
      <numFmt numFmtId="171" formatCode="0.0000"/>
      <border diagonalUp="0" diagonalDown="0">
        <left/>
        <right style="medium">
          <color indexed="64"/>
        </right>
        <vertical/>
      </border>
      <protection locked="0" hidden="0"/>
    </dxf>
    <dxf>
      <numFmt numFmtId="0" formatCode="General"/>
      <protection locked="0" hidden="0"/>
    </dxf>
    <dxf>
      <numFmt numFmtId="165" formatCode="0.0"/>
      <protection locked="0" hidden="0"/>
    </dxf>
    <dxf>
      <numFmt numFmtId="165" formatCode="0.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Franklin Gothic Book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Franklin Gothic Book"/>
        <scheme val="none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protection locked="1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0" formatCode="General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0" formatCode="General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165" formatCode="0.0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165" formatCode="0.0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165" formatCode="0.0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165" formatCode="0.0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0" formatCode="General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Franklin Gothic Book"/>
        <scheme val="none"/>
      </font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165" formatCode="0.0"/>
      <alignment horizontal="center" vertical="bottom" textRotation="0" wrapText="0" indent="0" justifyLastLine="0" shrinkToFit="0" readingOrder="0"/>
      <protection locked="0" hidden="0"/>
    </dxf>
    <dxf>
      <numFmt numFmtId="166" formatCode="yyyy\ mmm\ dd\,\ hh:mm\ AM/PM"/>
      <alignment horizontal="center" vertical="bottom" textRotation="0" wrapText="0" indent="0" justifyLastLine="0" shrinkToFit="0" readingOrder="0"/>
      <protection locked="0" hidden="0"/>
    </dxf>
    <dxf>
      <numFmt numFmtId="164" formatCode="[$-409]d\-mmm\-yyyy;@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protection locked="0" hidden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;@"/>
      <protection locked="0" hidden="0"/>
    </dxf>
    <dxf>
      <numFmt numFmtId="0" formatCode="General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Franklin Gothic Book"/>
        <scheme val="none"/>
      </font>
      <fill>
        <patternFill patternType="solid">
          <fgColor indexed="64"/>
          <bgColor rgb="FF6CADDF"/>
        </patternFill>
      </fill>
      <alignment horizontal="center" vertical="center" textRotation="0" wrapText="0" indent="0" justifyLastLine="0" shrinkToFit="0" readingOrder="0"/>
      <protection locked="0" hidden="0"/>
    </dxf>
  </dxfs>
  <tableStyles count="0" defaultTableStyle="TableStyleMedium9" defaultPivotStyle="PivotStyleLight16"/>
  <colors>
    <mruColors>
      <color rgb="FF0000FF"/>
      <color rgb="FFC8C9CA"/>
      <color rgb="FF6CADDF"/>
      <color rgb="FFB8CCE4"/>
      <color rgb="FF303B67"/>
      <color rgb="FF5F6062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patterson\AppData\Roaming\Microsoft\AddIns\AEL%20Functions-local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NC-NC data"/>
      <sheetName val="PNCvalue"/>
      <sheetName val="NCValue"/>
      <sheetName val="PNC"/>
      <sheetName val="NC"/>
      <sheetName val="STC"/>
      <sheetName val="IIC"/>
      <sheetName val="STCValue"/>
      <sheetName val="IICValue"/>
      <sheetName val="dBAsum"/>
      <sheetName val="Third Octave"/>
    </sheetNames>
    <definedNames>
      <definedName name="dbasum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RecData" displayName="RecData" ref="A7:DS1309" totalsRowShown="0" headerRowDxfId="154" dataDxfId="153">
  <autoFilter ref="A7:DS1309" xr:uid="{00000000-0009-0000-0100-000003000000}"/>
  <tableColumns count="123">
    <tableColumn id="1" xr3:uid="{00000000-0010-0000-0000-000001000000}" name="Project Name" dataDxfId="152"/>
    <tableColumn id="2" xr3:uid="{00000000-0010-0000-0000-000002000000}" name="Start Time" dataDxfId="151"/>
    <tableColumn id="3" xr3:uid="{00000000-0010-0000-0000-000003000000}" name="Elapsed Time" dataDxfId="150"/>
    <tableColumn id="4" xr3:uid="{00000000-0010-0000-0000-000004000000}" name="LAeq" dataDxfId="149"/>
    <tableColumn id="5" xr3:uid="{00000000-0010-0000-0000-000005000000}" name="LZeq" dataDxfId="148"/>
    <tableColumn id="6" xr3:uid="{00000000-0010-0000-0000-000006000000}" name="Overload" dataDxfId="147"/>
    <tableColumn id="7" xr3:uid="{00000000-0010-0000-0000-000007000000}" name="LAF1.0" dataDxfId="146"/>
    <tableColumn id="8" xr3:uid="{00000000-0010-0000-0000-000008000000}" name="LAF5.0" dataDxfId="145"/>
    <tableColumn id="9" xr3:uid="{00000000-0010-0000-0000-000009000000}" name="LAF10.0" dataDxfId="144"/>
    <tableColumn id="10" xr3:uid="{00000000-0010-0000-0000-00000A000000}" name="LAF50.0" dataDxfId="143"/>
    <tableColumn id="11" xr3:uid="{00000000-0010-0000-0000-00000B000000}" name="LAF90.0" dataDxfId="142"/>
    <tableColumn id="12" xr3:uid="{00000000-0010-0000-0000-00000C000000}" name="LAF95.0" dataDxfId="141"/>
    <tableColumn id="13" xr3:uid="{00000000-0010-0000-0000-00000D000000}" name="LAF99.0" dataDxfId="140"/>
    <tableColumn id="14" xr3:uid="{00000000-0010-0000-0000-00000E000000}" name="Wind Dir. avg" dataDxfId="139"/>
    <tableColumn id="15" xr3:uid="{00000000-0010-0000-0000-00000F000000}" name="Wind Dir. min" dataDxfId="138"/>
    <tableColumn id="16" xr3:uid="{00000000-0010-0000-0000-000010000000}" name="Wind Dir. max" dataDxfId="137"/>
    <tableColumn id="17" xr3:uid="{00000000-0010-0000-0000-000011000000}" name="Wind Speed avg" dataDxfId="136"/>
    <tableColumn id="18" xr3:uid="{00000000-0010-0000-0000-000012000000}" name="Wind Speed min" dataDxfId="135"/>
    <tableColumn id="19" xr3:uid="{00000000-0010-0000-0000-000013000000}" name="Wind Speed max" dataDxfId="134"/>
    <tableColumn id="20" xr3:uid="{00000000-0010-0000-0000-000014000000}" name="Amb. Temperature" dataDxfId="133"/>
    <tableColumn id="21" xr3:uid="{00000000-0010-0000-0000-000015000000}" name="Amb. Humidity" dataDxfId="132"/>
    <tableColumn id="22" xr3:uid="{00000000-0010-0000-0000-000016000000}" name="Amb. Pressure" dataDxfId="131"/>
    <tableColumn id="23" xr3:uid="{00000000-0010-0000-0000-000017000000}" name="Amb. Rain Gauge" dataDxfId="130"/>
    <tableColumn id="24" xr3:uid="{00000000-0010-0000-0000-000018000000}" name="20-u" dataDxfId="129"/>
    <tableColumn id="25" xr3:uid="{00000000-0010-0000-0000-000019000000}" name="25-u" dataDxfId="128"/>
    <tableColumn id="26" xr3:uid="{00000000-0010-0000-0000-00001A000000}" name="31.5-u" dataDxfId="127"/>
    <tableColumn id="27" xr3:uid="{00000000-0010-0000-0000-00001B000000}" name="40-u" dataDxfId="126"/>
    <tableColumn id="28" xr3:uid="{00000000-0010-0000-0000-00001C000000}" name="50-u" dataDxfId="125"/>
    <tableColumn id="29" xr3:uid="{00000000-0010-0000-0000-00001D000000}" name="63-u" dataDxfId="124"/>
    <tableColumn id="30" xr3:uid="{00000000-0010-0000-0000-00001E000000}" name="80-u" dataDxfId="123"/>
    <tableColumn id="31" xr3:uid="{00000000-0010-0000-0000-00001F000000}" name="100-u" dataDxfId="122"/>
    <tableColumn id="32" xr3:uid="{00000000-0010-0000-0000-000020000000}" name="125-u" dataDxfId="121"/>
    <tableColumn id="33" xr3:uid="{00000000-0010-0000-0000-000021000000}" name="160-u" dataDxfId="120"/>
    <tableColumn id="34" xr3:uid="{00000000-0010-0000-0000-000022000000}" name="200-u" dataDxfId="119"/>
    <tableColumn id="35" xr3:uid="{00000000-0010-0000-0000-000023000000}" name="250-u" dataDxfId="118"/>
    <tableColumn id="36" xr3:uid="{00000000-0010-0000-0000-000024000000}" name="315-u" dataDxfId="117"/>
    <tableColumn id="37" xr3:uid="{00000000-0010-0000-0000-000025000000}" name="400-u" dataDxfId="116"/>
    <tableColumn id="38" xr3:uid="{00000000-0010-0000-0000-000026000000}" name="500-u" dataDxfId="115"/>
    <tableColumn id="39" xr3:uid="{00000000-0010-0000-0000-000027000000}" name="630-u" dataDxfId="114"/>
    <tableColumn id="40" xr3:uid="{00000000-0010-0000-0000-000028000000}" name="800-u" dataDxfId="113"/>
    <tableColumn id="41" xr3:uid="{00000000-0010-0000-0000-000029000000}" name="1000-u" dataDxfId="112"/>
    <tableColumn id="42" xr3:uid="{00000000-0010-0000-0000-00002A000000}" name="1250-u" dataDxfId="111"/>
    <tableColumn id="43" xr3:uid="{00000000-0010-0000-0000-00002B000000}" name="1600-u" dataDxfId="110"/>
    <tableColumn id="44" xr3:uid="{00000000-0010-0000-0000-00002C000000}" name="2000-u" dataDxfId="109"/>
    <tableColumn id="45" xr3:uid="{00000000-0010-0000-0000-00002D000000}" name="2500-u" dataDxfId="108"/>
    <tableColumn id="46" xr3:uid="{00000000-0010-0000-0000-00002E000000}" name="3150-u" dataDxfId="107"/>
    <tableColumn id="47" xr3:uid="{00000000-0010-0000-0000-00002F000000}" name="4000-u" dataDxfId="106"/>
    <tableColumn id="48" xr3:uid="{00000000-0010-0000-0000-000030000000}" name="5000-u" dataDxfId="105"/>
    <tableColumn id="49" xr3:uid="{00000000-0010-0000-0000-000031000000}" name="6300-u" dataDxfId="104"/>
    <tableColumn id="50" xr3:uid="{00000000-0010-0000-0000-000032000000}" name="8000-u" dataDxfId="103"/>
    <tableColumn id="51" xr3:uid="{00000000-0010-0000-0000-000033000000}" name="10000-u" dataDxfId="102"/>
    <tableColumn id="52" xr3:uid="{00000000-0010-0000-0000-000034000000}" name="12500-u" dataDxfId="101"/>
    <tableColumn id="53" xr3:uid="{00000000-0010-0000-0000-000035000000}" name="16000-u" dataDxfId="100"/>
    <tableColumn id="54" xr3:uid="{00000000-0010-0000-0000-000036000000}" name="20000-u" dataDxfId="99"/>
    <tableColumn id="55" xr3:uid="{00000000-0010-0000-0000-000037000000}" name="dBA Sum-u" dataDxfId="98"/>
    <tableColumn id="56" xr3:uid="{00000000-0010-0000-0000-000038000000}" name="20" dataDxfId="97"/>
    <tableColumn id="57" xr3:uid="{00000000-0010-0000-0000-000039000000}" name="25" dataDxfId="96"/>
    <tableColumn id="58" xr3:uid="{00000000-0010-0000-0000-00003A000000}" name="31.5" dataDxfId="95"/>
    <tableColumn id="59" xr3:uid="{00000000-0010-0000-0000-00003B000000}" name="40" dataDxfId="94"/>
    <tableColumn id="60" xr3:uid="{00000000-0010-0000-0000-00003C000000}" name="50" dataDxfId="93"/>
    <tableColumn id="61" xr3:uid="{00000000-0010-0000-0000-00003D000000}" name="63" dataDxfId="92"/>
    <tableColumn id="62" xr3:uid="{00000000-0010-0000-0000-00003E000000}" name="80" dataDxfId="91"/>
    <tableColumn id="63" xr3:uid="{00000000-0010-0000-0000-00003F000000}" name="100" dataDxfId="90"/>
    <tableColumn id="64" xr3:uid="{00000000-0010-0000-0000-000040000000}" name="125" dataDxfId="89"/>
    <tableColumn id="65" xr3:uid="{00000000-0010-0000-0000-000041000000}" name="160" dataDxfId="88"/>
    <tableColumn id="66" xr3:uid="{00000000-0010-0000-0000-000042000000}" name="200" dataDxfId="87"/>
    <tableColumn id="67" xr3:uid="{00000000-0010-0000-0000-000043000000}" name="250" dataDxfId="86"/>
    <tableColumn id="68" xr3:uid="{00000000-0010-0000-0000-000044000000}" name="315" dataDxfId="85"/>
    <tableColumn id="69" xr3:uid="{00000000-0010-0000-0000-000045000000}" name="400" dataDxfId="84"/>
    <tableColumn id="70" xr3:uid="{00000000-0010-0000-0000-000046000000}" name="500" dataDxfId="83"/>
    <tableColumn id="71" xr3:uid="{00000000-0010-0000-0000-000047000000}" name="630" dataDxfId="82"/>
    <tableColumn id="72" xr3:uid="{00000000-0010-0000-0000-000048000000}" name="800" dataDxfId="81"/>
    <tableColumn id="73" xr3:uid="{00000000-0010-0000-0000-000049000000}" name="1000" dataDxfId="80"/>
    <tableColumn id="74" xr3:uid="{00000000-0010-0000-0000-00004A000000}" name="1250" dataDxfId="79"/>
    <tableColumn id="75" xr3:uid="{00000000-0010-0000-0000-00004B000000}" name="1600" dataDxfId="78"/>
    <tableColumn id="76" xr3:uid="{00000000-0010-0000-0000-00004C000000}" name="2000" dataDxfId="77"/>
    <tableColumn id="77" xr3:uid="{00000000-0010-0000-0000-00004D000000}" name="2500" dataDxfId="76"/>
    <tableColumn id="78" xr3:uid="{00000000-0010-0000-0000-00004E000000}" name="3150" dataDxfId="75"/>
    <tableColumn id="79" xr3:uid="{00000000-0010-0000-0000-00004F000000}" name="4000" dataDxfId="74"/>
    <tableColumn id="80" xr3:uid="{00000000-0010-0000-0000-000050000000}" name="5000" dataDxfId="73"/>
    <tableColumn id="81" xr3:uid="{00000000-0010-0000-0000-000051000000}" name="6300" dataDxfId="72"/>
    <tableColumn id="82" xr3:uid="{00000000-0010-0000-0000-000052000000}" name="8000" dataDxfId="71"/>
    <tableColumn id="83" xr3:uid="{00000000-0010-0000-0000-000053000000}" name="10000" dataDxfId="70"/>
    <tableColumn id="84" xr3:uid="{00000000-0010-0000-0000-000054000000}" name="12500" dataDxfId="69"/>
    <tableColumn id="85" xr3:uid="{00000000-0010-0000-0000-000055000000}" name="16000" dataDxfId="68"/>
    <tableColumn id="86" xr3:uid="{00000000-0010-0000-0000-000056000000}" name="20000" dataDxfId="67"/>
    <tableColumn id="87" xr3:uid="{00000000-0010-0000-0000-000057000000}" name="dBA Sum" dataDxfId="66">
      <calculatedColumnFormula>[1]!dbasum(RecData[[#This Row],[20]:[2000]],RecData[[#Headers],[20]:[2000]])</calculatedColumnFormula>
    </tableColumn>
    <tableColumn id="88" xr3:uid="{00000000-0010-0000-0000-000058000000}" name="Index" dataDxfId="65" dataCellStyle="Normal 16"/>
    <tableColumn id="89" xr3:uid="{00000000-0010-0000-0000-000059000000}" name="Project" dataDxfId="64"/>
    <tableColumn id="90" xr3:uid="{00000000-0010-0000-0000-00005A000000}" name="TIMESTAMP" dataDxfId="63">
      <calculatedColumnFormula>RecData[[#This Row],[Start Time]]</calculatedColumnFormula>
    </tableColumn>
    <tableColumn id="91" xr3:uid="{00000000-0010-0000-0000-00005B000000}" name="WSpd_Avg [m/s]" dataDxfId="62">
      <calculatedColumnFormula>RecData[[#This Row],[Wind Speed avg]]</calculatedColumnFormula>
    </tableColumn>
    <tableColumn id="92" xr3:uid="{00000000-0010-0000-0000-00005C000000}" name="WDir_Avg [°]" dataDxfId="61">
      <calculatedColumnFormula>RecData[[#This Row],[Wind Dir. avg]]</calculatedColumnFormula>
    </tableColumn>
    <tableColumn id="93" xr3:uid="{00000000-0010-0000-0000-00005D000000}" name="Humidity [%]" dataDxfId="60">
      <calculatedColumnFormula>RecData[[#This Row],[Amb. Humidity]]</calculatedColumnFormula>
    </tableColumn>
    <tableColumn id="94" xr3:uid="{00000000-0010-0000-0000-00005E000000}" name="Temperature [°C]" dataDxfId="59">
      <calculatedColumnFormula>RecData[[#This Row],[Amb. Temperature]]</calculatedColumnFormula>
    </tableColumn>
    <tableColumn id="95" xr3:uid="{00000000-0010-0000-0000-00005F000000}" name="Rain_Tot [mm]" dataDxfId="58">
      <calculatedColumnFormula>RecData[[#This Row],[Amb. Rain Gauge]]</calculatedColumnFormula>
    </tableColumn>
    <tableColumn id="96" xr3:uid="{00000000-0010-0000-0000-000060000000}" name="Turbines ON/OFF" dataDxfId="57"/>
    <tableColumn id="97" xr3:uid="{00000000-0010-0000-0000-000061000000}" name="Turbine Power Verified?" dataDxfId="56"/>
    <tableColumn id="98" xr3:uid="{00000000-0010-0000-0000-000062000000}" name="Power (kW)" dataDxfId="55"/>
    <tableColumn id="99" xr3:uid="{00000000-0010-0000-0000-000063000000}" name="Yaw Angle (°)" dataDxfId="54"/>
    <tableColumn id="100" xr3:uid="{00000000-0010-0000-0000-000064000000}" name="HH Wind Speed (m/s)" dataDxfId="53"/>
    <tableColumn id="101" xr3:uid="{00000000-0010-0000-0000-000065000000}" name="Speed (rpm)" dataDxfId="52"/>
    <tableColumn id="102" xr3:uid="{00000000-0010-0000-0000-000066000000}" name="Junk?" dataDxfId="51"/>
    <tableColumn id="103" xr3:uid="{00000000-0010-0000-0000-000067000000}" name="Comments" dataDxfId="50"/>
    <tableColumn id="104" xr3:uid="{00000000-0010-0000-0000-000068000000}" name="T Power &gt; Threshold?" dataDxfId="49">
      <calculatedColumnFormula>IF($DP$1="YES",IF(RecData[[#This Row],[Power (kW)]]&gt;=$CR$3, TRUE,FALSE),TRUE)</calculatedColumnFormula>
    </tableColumn>
    <tableColumn id="123" xr3:uid="{00000000-0010-0000-0000-00007B000000}" name="Relative Wind Direction" dataDxfId="48">
      <calculatedColumnFormula>MIN(MOD(180-ABS(ABS($DA$1-RecData[Yaw Angle (°)])-180),360),MOD(180-ABS(ABS($DB$1-RecData[Yaw Angle (°)])-180),360))</calculatedColumnFormula>
    </tableColumn>
    <tableColumn id="105" xr3:uid="{00000000-0010-0000-0000-000069000000}" name="Wind Direction" dataDxfId="47">
      <calculatedColumnFormula>IF($DP$2="None","None",IF(RecData[[#This Row],[Relative Wind Direction]]&lt;=45,"DW",IF(RecData[[#This Row],[Relative Wind Direction]]&lt;=135,"CW","UW")))</calculatedColumnFormula>
    </tableColumn>
    <tableColumn id="106" xr3:uid="{00000000-0010-0000-0000-00006A000000}" name="rain before?" dataDxfId="46">
      <calculatedColumnFormula>IF($CK8-$CL4&gt;1/24,$DC$8,IF(SUM($CQ4:$CQ8)&gt;$DS$1,$DS$5,DC9-1))</calculatedColumnFormula>
    </tableColumn>
    <tableColumn id="107" xr3:uid="{00000000-0010-0000-0000-00006B000000}" name="rain after?" dataDxfId="45">
      <calculatedColumnFormula>IF($CL9-$CK8&gt;1/24,$DD$8,IF(SUM($CQ4:$CQ8)&gt;$DS$1,$DS$6,DD7-1))</calculatedColumnFormula>
    </tableColumn>
    <tableColumn id="108" xr3:uid="{00000000-0010-0000-0000-00006C000000}" name="Rain?" dataDxfId="44"/>
    <tableColumn id="109" xr3:uid="{00000000-0010-0000-0000-00006D000000}" name="Gust?" dataDxfId="43">
      <calculatedColumnFormula>IF(OR(RecData[[#This Row],[WSpd_Avg '[m/s']]]-RecData[[#This Row],[Wind Speed min]]&gt;=$DF$3,RecData[[#This Row],[Wind Speed max]]-RecData[[#This Row],[WSpd_Avg '[m/s']]]&gt;=$DF$2),TRUE,FALSE)</calculatedColumnFormula>
    </tableColumn>
    <tableColumn id="110" xr3:uid="{00000000-0010-0000-0000-00006E000000}" name="Low Temp?" dataDxfId="42">
      <calculatedColumnFormula>RecData[[#This Row],[Temperature '[°C']]]&lt;=-20</calculatedColumnFormula>
    </tableColumn>
    <tableColumn id="111" xr3:uid="{00000000-0010-0000-0000-00006F000000}" name="Time?" dataDxfId="41">
      <calculatedColumnFormula>NOT(OR(MOD(RecData[[#This Row],[TIMESTAMP]],1)&gt;0.91632,MOD(RecData[[#This Row],[TIMESTAMP]],1)&lt;0.208681))</calculatedColumnFormula>
    </tableColumn>
    <tableColumn id="112" xr3:uid="{00000000-0010-0000-0000-000070000000}" name="Leq-L90 &gt; Threshold?" dataDxfId="40">
      <calculatedColumnFormula>RecData[[#This Row],[Overall (dBA)]]-RecData[[#This Row],[L90]]&gt;=$DS$4</calculatedColumnFormula>
    </tableColumn>
    <tableColumn id="113" xr3:uid="{00000000-0010-0000-0000-000071000000}" name="Max SPL Threshold?" dataDxfId="39">
      <calculatedColumnFormula>RecData[[#This Row],[Overall (dBA)]]&gt;$DS$2</calculatedColumnFormula>
    </tableColumn>
    <tableColumn id="114" xr3:uid="{00000000-0010-0000-0000-000072000000}" name="Min SPL Threshold?" dataDxfId="38">
      <calculatedColumnFormula>RecData[[#This Row],[Overall (dBA)]]&lt;$DS$3</calculatedColumnFormula>
    </tableColumn>
    <tableColumn id="115" xr3:uid="{00000000-0010-0000-0000-000073000000}" name="Useable TON Data?" dataDxfId="18">
      <calculatedColumnFormula>IF(AND(RecData[[#This Row],[Turbines ON/OFF]] = "ON", NOT(OR(RecData[[#This Row],[T Power &gt; Threshold?]]=FALSE,RecData[[#This Row],[Wind Direction]]&lt;&gt;$DP$2,RecData[[#This Row],[Junk?]]="YES",RecData[[#This Row],[Rain?]:[Min SPL Threshold?]]))),1,0)</calculatedColumnFormula>
    </tableColumn>
    <tableColumn id="116" xr3:uid="{00000000-0010-0000-0000-000074000000}" name="Useable Background Data?" dataDxfId="19">
      <calculatedColumnFormula>IF(AND(RecData[[#This Row],[Turbines ON/OFF]] = "OFF", NOT(OR(RecData[[#This Row],[Junk?]]="YES",RecData[[#This Row],[Gust?]],RecData[[#This Row],[Rain?]:[Min SPL Threshold?]]))),1,0)</calculatedColumnFormula>
    </tableColumn>
    <tableColumn id="117" xr3:uid="{00000000-0010-0000-0000-000075000000}" name="Overall (dBA)" dataDxfId="37">
      <calculatedColumnFormula>RecData[[#This Row],[dBA Sum]]</calculatedColumnFormula>
    </tableColumn>
    <tableColumn id="118" xr3:uid="{00000000-0010-0000-0000-000076000000}" name="L90" dataDxfId="36">
      <calculatedColumnFormula>RecData[[#This Row],[LAF90.0]]</calculatedColumnFormula>
    </tableColumn>
    <tableColumn id="119" xr3:uid="{00000000-0010-0000-0000-000077000000}" name="TON" dataDxfId="35">
      <calculatedColumnFormula>IF(AND(RecData[[#This Row],[Useable TON Data?]],RecData[[#This Row],[Turbines ON/OFF]]="ON"),RecData[[#This Row],[dBA Sum]],"")</calculatedColumnFormula>
    </tableColumn>
    <tableColumn id="120" xr3:uid="{00000000-0010-0000-0000-000078000000}" name="Background" dataDxfId="34">
      <calculatedColumnFormula>IF(AND(RecData[[#This Row],[Useable Background Data?]],RecData[[#This Row],[Turbines ON/OFF]]="OFF"),RecData[[#This Row],[dBA Sum]],"")</calculatedColumnFormula>
    </tableColumn>
    <tableColumn id="121" xr3:uid="{00000000-0010-0000-0000-000079000000}" name="Wind Bin" dataDxfId="33">
      <calculatedColumnFormula>IF(OR(RecData[[#This Row],[Useable TON Data?]],RecData[[#This Row],[Useable Background Data?]]),ROUND(RecData[[#This Row],[WSpd_Avg '[m/s']]],0),"")</calculatedColumnFormula>
    </tableColumn>
    <tableColumn id="122" xr3:uid="{00000000-0010-0000-0000-00007A000000}" name="Pressure (Pa)" dataDxfId="32">
      <calculatedColumnFormula>(0.00002)^2*(10^(RecData[[#This Row],[Overall (dBA)]]/10))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ggAngle" displayName="AggAngle" ref="A4:K9" totalsRowShown="0" headerRowDxfId="31">
  <autoFilter ref="A4:K9" xr:uid="{00000000-0009-0000-0100-000001000000}"/>
  <tableColumns count="11">
    <tableColumn id="1" xr3:uid="{00000000-0010-0000-0100-000001000000}" name="Turbine ID " dataDxfId="30"/>
    <tableColumn id="2" xr3:uid="{00000000-0010-0000-0100-000002000000}" name="Predicted Partial Level" dataDxfId="29"/>
    <tableColumn id="3" xr3:uid="{00000000-0010-0000-0100-000003000000}" name="Primary or Secondary Turbine?" dataDxfId="28">
      <calculatedColumnFormula>IF(AggAngle[[#This Row],[Predicted Partial Level]]=MAX(AggAngle[Predicted Partial Level]),"Primary",IF((MAX(AggAngle[Predicted Partial Level])-AggAngle[[#This Row],[Predicted Partial Level]])&lt;2,"Secondary","No"))</calculatedColumnFormula>
    </tableColumn>
    <tableColumn id="4" xr3:uid="{00000000-0010-0000-0100-000004000000}" name="UTM x" dataDxfId="27"/>
    <tableColumn id="5" xr3:uid="{00000000-0010-0000-0100-000005000000}" name="UTM y" dataDxfId="26"/>
    <tableColumn id="6" xr3:uid="{00000000-0010-0000-0100-000006000000}" name="diffX" dataDxfId="25">
      <calculatedColumnFormula>D5-D$2</calculatedColumnFormula>
    </tableColumn>
    <tableColumn id="7" xr3:uid="{00000000-0010-0000-0100-000007000000}" name="diffY" dataDxfId="24">
      <calculatedColumnFormula>E5-E$2</calculatedColumnFormula>
    </tableColumn>
    <tableColumn id="8" xr3:uid="{00000000-0010-0000-0100-000008000000}" name="Distance (m)" dataDxfId="23">
      <calculatedColumnFormula>SQRT((D5-D$2)^2+(E5-E$2)^2)</calculatedColumnFormula>
    </tableColumn>
    <tableColumn id="11" xr3:uid="{00000000-0010-0000-0100-00000B000000}" name="Angle To Receptor" dataDxfId="22">
      <calculatedColumnFormula>IF(AND(AggAngle[[#This Row],[diffX]]&gt;0,AggAngle[[#This Row],[diffY]]&gt;0),90-DEGREES(ATAN(AggAngle[[#This Row],[diffY]]/AggAngle[[#This Row],[diffX]])),IF(AND(AggAngle[[#This Row],[diffX]]&gt;0,AggAngle[[#This Row],[diffY]]&lt;0),90+ABS(DEGREES(ATAN(AggAngle[[#This Row],[diffY]]/AggAngle[[#This Row],[diffX]]))),IF(AND(AggAngle[[#This Row],[diffX]]&lt;0,AggAngle[[#This Row],[diffY]]&lt;0),270-DEGREES(ATAN(AggAngle[[#This Row],[diffY]]/AggAngle[[#This Row],[diffX]])),270+ABS((DEGREES(ATAN(AggAngle[[#This Row],[diffY]]/AggAngle[[#This Row],[diffX]])))))))</calculatedColumnFormula>
    </tableColumn>
    <tableColumn id="9" xr3:uid="{00000000-0010-0000-0100-000009000000}" name="Receptor  Angle to Primary" dataDxfId="21">
      <calculatedColumnFormula>MOD(180-ABS(ABS($I$2-AggAngle[[#This Row],[Angle To Receptor]])-180),360)</calculatedColumnFormula>
    </tableColumn>
    <tableColumn id="10" xr3:uid="{00000000-0010-0000-0100-00000A000000}" name="Downwind?" dataDxfId="20">
      <calculatedColumnFormula>IF(AND(NOT(AggAngle[[#This Row],[Primary or Secondary Turbine?]]="No"),AggAngle[[#This Row],[Receptor  Angle to Primary]]&lt;45),"YES","NO")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ntario.ca/page/compliance-protocol-wind-turbine-nois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opLeftCell="A2" workbookViewId="0">
      <selection activeCell="D11" sqref="D11"/>
    </sheetView>
  </sheetViews>
  <sheetFormatPr defaultColWidth="9" defaultRowHeight="13.5" x14ac:dyDescent="0.25"/>
  <cols>
    <col min="1" max="1" width="8.125" style="42" bestFit="1" customWidth="1"/>
    <col min="2" max="2" width="10.75" style="42" bestFit="1" customWidth="1"/>
    <col min="3" max="3" width="10.125" style="42" bestFit="1" customWidth="1"/>
    <col min="4" max="4" width="93.125" style="42" customWidth="1"/>
    <col min="5" max="16384" width="9" style="42"/>
  </cols>
  <sheetData>
    <row r="1" spans="1:4" x14ac:dyDescent="0.25">
      <c r="A1" s="42" t="s">
        <v>62</v>
      </c>
      <c r="B1" s="42" t="s">
        <v>68</v>
      </c>
      <c r="C1" s="42" t="s">
        <v>63</v>
      </c>
      <c r="D1" s="42" t="s">
        <v>64</v>
      </c>
    </row>
    <row r="2" spans="1:4" x14ac:dyDescent="0.25">
      <c r="A2" s="57">
        <v>0</v>
      </c>
      <c r="B2" s="58">
        <v>42309</v>
      </c>
      <c r="C2" s="57" t="s">
        <v>66</v>
      </c>
      <c r="D2" s="59" t="s">
        <v>65</v>
      </c>
    </row>
    <row r="3" spans="1:4" ht="81" x14ac:dyDescent="0.25">
      <c r="A3" s="57">
        <v>1</v>
      </c>
      <c r="B3" s="58">
        <v>42104</v>
      </c>
      <c r="C3" s="57" t="s">
        <v>67</v>
      </c>
      <c r="D3" s="60" t="s">
        <v>82</v>
      </c>
    </row>
    <row r="4" spans="1:4" ht="27" x14ac:dyDescent="0.25">
      <c r="A4" s="57">
        <v>2</v>
      </c>
      <c r="B4" s="58">
        <v>42495</v>
      </c>
      <c r="C4" s="57" t="s">
        <v>67</v>
      </c>
      <c r="D4" s="60" t="s">
        <v>83</v>
      </c>
    </row>
    <row r="5" spans="1:4" ht="67.5" x14ac:dyDescent="0.25">
      <c r="A5" s="57">
        <v>3</v>
      </c>
      <c r="B5" s="58">
        <v>42611</v>
      </c>
      <c r="C5" s="57" t="s">
        <v>67</v>
      </c>
      <c r="D5" s="60" t="s">
        <v>94</v>
      </c>
    </row>
    <row r="6" spans="1:4" ht="27" x14ac:dyDescent="0.25">
      <c r="A6" s="57">
        <v>4</v>
      </c>
      <c r="B6" s="58">
        <v>42667</v>
      </c>
      <c r="C6" s="57" t="s">
        <v>67</v>
      </c>
      <c r="D6" s="73" t="s">
        <v>96</v>
      </c>
    </row>
    <row r="7" spans="1:4" ht="40.5" x14ac:dyDescent="0.25">
      <c r="A7" s="57">
        <v>5</v>
      </c>
      <c r="B7" s="58">
        <v>42880</v>
      </c>
      <c r="C7" s="79" t="s">
        <v>197</v>
      </c>
      <c r="D7" s="60" t="s">
        <v>181</v>
      </c>
    </row>
    <row r="8" spans="1:4" ht="40.5" x14ac:dyDescent="0.25">
      <c r="A8" s="57">
        <v>6</v>
      </c>
      <c r="B8" s="58">
        <v>42907</v>
      </c>
      <c r="C8" s="79" t="s">
        <v>207</v>
      </c>
      <c r="D8" s="60" t="s">
        <v>196</v>
      </c>
    </row>
    <row r="9" spans="1:4" ht="27" x14ac:dyDescent="0.25">
      <c r="A9" s="57">
        <v>6.1</v>
      </c>
      <c r="B9" s="58">
        <v>43032</v>
      </c>
      <c r="C9" s="79" t="s">
        <v>197</v>
      </c>
      <c r="D9" s="73" t="s">
        <v>208</v>
      </c>
    </row>
    <row r="10" spans="1:4" ht="40.5" x14ac:dyDescent="0.25">
      <c r="A10" s="57">
        <v>7</v>
      </c>
      <c r="B10" s="58">
        <v>43125</v>
      </c>
      <c r="C10" s="79" t="s">
        <v>197</v>
      </c>
      <c r="D10" s="60" t="s">
        <v>243</v>
      </c>
    </row>
    <row r="11" spans="1:4" x14ac:dyDescent="0.25">
      <c r="A11" s="48"/>
    </row>
    <row r="12" spans="1:4" x14ac:dyDescent="0.25">
      <c r="A12" s="4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S1309"/>
  <sheetViews>
    <sheetView tabSelected="1" topLeftCell="CY1" zoomScale="70" zoomScaleNormal="70" workbookViewId="0">
      <pane ySplit="7" topLeftCell="A8" activePane="bottomLeft" state="frozen"/>
      <selection activeCell="CX1" sqref="CX1"/>
      <selection pane="bottomLeft" activeCell="DJ18" sqref="DJ18"/>
    </sheetView>
  </sheetViews>
  <sheetFormatPr defaultColWidth="9" defaultRowHeight="13.5" outlineLevelCol="1" x14ac:dyDescent="0.25"/>
  <cols>
    <col min="1" max="1" width="14.375" style="42" customWidth="1" outlineLevel="1"/>
    <col min="2" max="2" width="18" style="42" customWidth="1" outlineLevel="1"/>
    <col min="3" max="3" width="15" style="42" customWidth="1" outlineLevel="1"/>
    <col min="4" max="5" width="9.125" style="42" customWidth="1" outlineLevel="1"/>
    <col min="6" max="6" width="10.75" style="42" customWidth="1" outlineLevel="1"/>
    <col min="7" max="8" width="9.125" style="42" customWidth="1" outlineLevel="1"/>
    <col min="9" max="9" width="9.75" style="42" customWidth="1" outlineLevel="1"/>
    <col min="10" max="13" width="10" style="42" customWidth="1" outlineLevel="1"/>
    <col min="14" max="14" width="15" style="42" customWidth="1" outlineLevel="1"/>
    <col min="15" max="15" width="15.125" style="42" customWidth="1" outlineLevel="1"/>
    <col min="16" max="16" width="15.375" style="42" customWidth="1" outlineLevel="1"/>
    <col min="17" max="17" width="17.375" style="42" customWidth="1" outlineLevel="1"/>
    <col min="18" max="18" width="17.625" style="42" customWidth="1" outlineLevel="1"/>
    <col min="19" max="19" width="17.875" style="42" customWidth="1" outlineLevel="1"/>
    <col min="20" max="20" width="19.125" style="42" customWidth="1" outlineLevel="1"/>
    <col min="21" max="22" width="15.875" style="42" customWidth="1" outlineLevel="1"/>
    <col min="23" max="23" width="18.25" style="42" customWidth="1" outlineLevel="1"/>
    <col min="24" max="26" width="11" style="42" customWidth="1" outlineLevel="1"/>
    <col min="27" max="27" width="10.125" style="42" customWidth="1" outlineLevel="1"/>
    <col min="28" max="28" width="11.125" style="42" customWidth="1" outlineLevel="1"/>
    <col min="29" max="29" width="10" style="42" customWidth="1" outlineLevel="1"/>
    <col min="30" max="30" width="11" style="42" customWidth="1" outlineLevel="1"/>
    <col min="31" max="31" width="9.75" style="42" customWidth="1" outlineLevel="1"/>
    <col min="32" max="32" width="10.125" style="42" customWidth="1" outlineLevel="1"/>
    <col min="33" max="33" width="10" style="42" customWidth="1" outlineLevel="1"/>
    <col min="34" max="34" width="10.375" style="42" customWidth="1" outlineLevel="1"/>
    <col min="35" max="35" width="10.125" style="42" customWidth="1" outlineLevel="1"/>
    <col min="36" max="36" width="11.125" style="42" customWidth="1" outlineLevel="1"/>
    <col min="37" max="37" width="10.125" style="42" customWidth="1" outlineLevel="1"/>
    <col min="38" max="39" width="11.125" style="42" customWidth="1" outlineLevel="1"/>
    <col min="40" max="40" width="11" style="42" customWidth="1" outlineLevel="1"/>
    <col min="41" max="41" width="11.125" style="42" customWidth="1" outlineLevel="1"/>
    <col min="42" max="42" width="10" style="42" customWidth="1" outlineLevel="1"/>
    <col min="43" max="43" width="11.125" style="42" customWidth="1" outlineLevel="1"/>
    <col min="44" max="44" width="11" style="42" customWidth="1" outlineLevel="1"/>
    <col min="45" max="45" width="10.125" style="42" customWidth="1" outlineLevel="1"/>
    <col min="46" max="47" width="11.125" style="42" customWidth="1" outlineLevel="1"/>
    <col min="48" max="48" width="10.125" style="42" customWidth="1" outlineLevel="1"/>
    <col min="49" max="49" width="11" style="42" customWidth="1" outlineLevel="1"/>
    <col min="50" max="51" width="11.125" style="42" customWidth="1" outlineLevel="1"/>
    <col min="52" max="52" width="11" style="42" customWidth="1" outlineLevel="1"/>
    <col min="53" max="53" width="10.75" style="42" customWidth="1" outlineLevel="1"/>
    <col min="54" max="54" width="9.75" style="42" customWidth="1" outlineLevel="1"/>
    <col min="55" max="55" width="11.125" style="42" customWidth="1" outlineLevel="1"/>
    <col min="56" max="58" width="11" style="42" customWidth="1" outlineLevel="1"/>
    <col min="59" max="59" width="10.125" style="42" customWidth="1" outlineLevel="1"/>
    <col min="60" max="60" width="11.125" style="42" customWidth="1" outlineLevel="1"/>
    <col min="61" max="61" width="10" style="42" customWidth="1" outlineLevel="1"/>
    <col min="62" max="62" width="11" style="42" customWidth="1" outlineLevel="1"/>
    <col min="63" max="63" width="9.75" style="42" customWidth="1" outlineLevel="1"/>
    <col min="64" max="64" width="10.125" style="42" customWidth="1" outlineLevel="1"/>
    <col min="65" max="65" width="10" style="42" customWidth="1" outlineLevel="1"/>
    <col min="66" max="66" width="10.375" style="42" customWidth="1" outlineLevel="1"/>
    <col min="67" max="67" width="10.125" style="42" customWidth="1" outlineLevel="1"/>
    <col min="68" max="68" width="11.125" style="42" customWidth="1" outlineLevel="1"/>
    <col min="69" max="69" width="10.125" style="42" customWidth="1" outlineLevel="1"/>
    <col min="70" max="71" width="11.125" style="42" customWidth="1" outlineLevel="1"/>
    <col min="72" max="72" width="11" style="42" customWidth="1" outlineLevel="1"/>
    <col min="73" max="73" width="11.125" style="42" customWidth="1" outlineLevel="1"/>
    <col min="74" max="74" width="10" style="42" customWidth="1" outlineLevel="1"/>
    <col min="75" max="75" width="11.125" style="42" customWidth="1" outlineLevel="1"/>
    <col min="76" max="76" width="11" style="42" customWidth="1" outlineLevel="1"/>
    <col min="77" max="77" width="10.125" style="42" customWidth="1" outlineLevel="1"/>
    <col min="78" max="79" width="11.125" style="42" customWidth="1" outlineLevel="1"/>
    <col min="80" max="80" width="10.125" style="42" customWidth="1" outlineLevel="1"/>
    <col min="81" max="81" width="11" style="42" customWidth="1" outlineLevel="1"/>
    <col min="82" max="83" width="11.125" style="42" customWidth="1" outlineLevel="1"/>
    <col min="84" max="84" width="11" style="42" customWidth="1" outlineLevel="1"/>
    <col min="85" max="85" width="10.75" style="42" customWidth="1" outlineLevel="1"/>
    <col min="86" max="86" width="9.875" style="42" customWidth="1" outlineLevel="1"/>
    <col min="87" max="87" width="13.125" style="42" customWidth="1" outlineLevel="1"/>
    <col min="88" max="88" width="10.375" style="42" bestFit="1" customWidth="1"/>
    <col min="89" max="89" width="11.125" style="42" customWidth="1"/>
    <col min="90" max="90" width="25.75" style="42" bestFit="1" customWidth="1"/>
    <col min="91" max="91" width="13.375" style="42" customWidth="1"/>
    <col min="92" max="92" width="11" style="42" customWidth="1"/>
    <col min="93" max="93" width="10.125" style="42" customWidth="1"/>
    <col min="94" max="94" width="13.125" style="42" customWidth="1"/>
    <col min="95" max="95" width="11.125" style="42" customWidth="1"/>
    <col min="96" max="96" width="14.25" style="42" customWidth="1"/>
    <col min="97" max="97" width="16.375" style="42" customWidth="1"/>
    <col min="98" max="98" width="15.875" style="42" customWidth="1"/>
    <col min="99" max="99" width="12.875" style="42" customWidth="1"/>
    <col min="100" max="100" width="15.75" style="42" customWidth="1"/>
    <col min="101" max="101" width="13.875" style="42" customWidth="1"/>
    <col min="102" max="102" width="16.125" style="42" bestFit="1" customWidth="1"/>
    <col min="103" max="103" width="23.375" style="42" bestFit="1" customWidth="1"/>
    <col min="104" max="105" width="14.625" style="42" customWidth="1"/>
    <col min="106" max="106" width="14.875" style="42" customWidth="1"/>
    <col min="107" max="107" width="11" style="42" customWidth="1" outlineLevel="1"/>
    <col min="108" max="108" width="9.625" style="42" customWidth="1" outlineLevel="1"/>
    <col min="109" max="109" width="9" style="42"/>
    <col min="110" max="110" width="10.375" style="42" customWidth="1"/>
    <col min="111" max="111" width="12.875" style="42" customWidth="1"/>
    <col min="112" max="112" width="9" style="42" customWidth="1"/>
    <col min="113" max="113" width="16" style="42" customWidth="1"/>
    <col min="114" max="114" width="15.875" style="42" customWidth="1"/>
    <col min="115" max="115" width="16" style="42" customWidth="1"/>
    <col min="116" max="116" width="14" style="42" customWidth="1"/>
    <col min="117" max="117" width="13.375" style="42" customWidth="1"/>
    <col min="118" max="118" width="14.875" style="42" customWidth="1"/>
    <col min="119" max="119" width="9" style="42"/>
    <col min="120" max="120" width="10.125" style="42" customWidth="1"/>
    <col min="121" max="121" width="12.875" style="42" customWidth="1"/>
    <col min="122" max="122" width="10.375" style="42" bestFit="1" customWidth="1"/>
    <col min="123" max="123" width="14.625" style="42" customWidth="1"/>
    <col min="124" max="125" width="9" style="42"/>
    <col min="126" max="126" width="10.375" style="42" bestFit="1" customWidth="1"/>
    <col min="127" max="127" width="11.75" style="42" bestFit="1" customWidth="1"/>
    <col min="128" max="128" width="9.125" style="42" bestFit="1" customWidth="1"/>
    <col min="129" max="130" width="10" style="42" customWidth="1"/>
    <col min="131" max="131" width="9" style="42"/>
    <col min="132" max="132" width="9.125" style="42" bestFit="1" customWidth="1"/>
    <col min="133" max="133" width="9.125" style="42" customWidth="1"/>
    <col min="134" max="134" width="9" style="42" customWidth="1"/>
    <col min="135" max="135" width="5.375" style="42" customWidth="1"/>
    <col min="136" max="136" width="5.875" style="42" bestFit="1" customWidth="1"/>
    <col min="137" max="137" width="10.125" style="42" customWidth="1"/>
    <col min="138" max="138" width="10.625" style="42" customWidth="1"/>
    <col min="139" max="139" width="10.375" style="42" bestFit="1" customWidth="1"/>
    <col min="140" max="140" width="6.375" style="42" customWidth="1"/>
    <col min="141" max="141" width="9" style="42"/>
    <col min="142" max="142" width="10.125" style="42" bestFit="1" customWidth="1"/>
    <col min="143" max="143" width="9" style="42"/>
    <col min="144" max="144" width="10.375" style="42" bestFit="1" customWidth="1"/>
    <col min="145" max="145" width="9.125" style="42" bestFit="1" customWidth="1"/>
    <col min="146" max="146" width="10.375" style="42" bestFit="1" customWidth="1"/>
    <col min="147" max="175" width="9.125" style="42" bestFit="1" customWidth="1"/>
    <col min="176" max="16384" width="9" style="42"/>
  </cols>
  <sheetData>
    <row r="1" spans="1:175" s="3" customFormat="1" ht="12.75" customHeight="1" x14ac:dyDescent="0.25">
      <c r="CK1" s="27" t="s">
        <v>18</v>
      </c>
      <c r="CL1" s="5" t="s">
        <v>251</v>
      </c>
      <c r="CM1" s="63"/>
      <c r="CQ1" s="68" t="s">
        <v>246</v>
      </c>
      <c r="CR1" s="47" t="s">
        <v>252</v>
      </c>
      <c r="CT1" s="68" t="str">
        <f>$CR$1&amp;" X =&gt;"</f>
        <v>T36 X =&gt;</v>
      </c>
      <c r="CU1" s="47">
        <v>688772</v>
      </c>
      <c r="CV1" s="68" t="str">
        <f>$CL$2&amp;" X =&gt;"</f>
        <v>R-34 X =&gt;</v>
      </c>
      <c r="CW1" s="47">
        <v>688657</v>
      </c>
      <c r="CX1" s="28" t="s">
        <v>85</v>
      </c>
      <c r="CY1" s="68" t="s">
        <v>244</v>
      </c>
      <c r="CZ1" s="16">
        <f>IF(AND(DD1&gt;0,DD2&gt;0),90-DEGREES(ATAN(DD2/DD1)),IF(AND(DD1&gt;0,DD2&lt;0),90+ABS(DEGREES(ATAN(DD2/DD1))),IF(AND(DD1&lt;0,DD2&lt;0),270-DEGREES(ATAN(DD2/DD1)),270+ABS((DEGREES(ATAN(DD2/DD1)))))))</f>
        <v>7.5299267776875496</v>
      </c>
      <c r="DA1" s="16">
        <f>IF($DP$3="YES",'Agg. Angle'!M2,Main!$CZ$1)</f>
        <v>7.5299267776875496</v>
      </c>
      <c r="DB1" s="16">
        <f>IF($DP$3="YES",'Agg. Angle'!N2,Main!$CZ$1)</f>
        <v>7.5299267776875496</v>
      </c>
      <c r="DC1" s="68" t="s">
        <v>79</v>
      </c>
      <c r="DD1" s="28">
        <f>CU1-CW1</f>
        <v>115</v>
      </c>
      <c r="DM1" s="3">
        <f>1-(COUNTIF((RecData[TON]),"&gt;1")/10918)</f>
        <v>0.92562740428649937</v>
      </c>
      <c r="DP1" s="7" t="s">
        <v>49</v>
      </c>
      <c r="DQ1" s="28" t="s">
        <v>210</v>
      </c>
      <c r="DS1" s="7">
        <v>0.1</v>
      </c>
      <c r="DT1" s="28" t="s">
        <v>70</v>
      </c>
      <c r="EE1" s="42"/>
      <c r="EM1" s="2"/>
      <c r="EN1" s="80" t="s">
        <v>179</v>
      </c>
      <c r="EO1" s="81">
        <v>-50.39905008945226</v>
      </c>
      <c r="EP1" s="81">
        <v>-44.824887955100422</v>
      </c>
      <c r="EQ1" s="81">
        <v>-39.53325865323805</v>
      </c>
      <c r="ER1" s="81">
        <v>-34.543641162090239</v>
      </c>
      <c r="ES1" s="81">
        <v>-30.279372663957133</v>
      </c>
      <c r="ET1" s="81">
        <v>-26.227218280142097</v>
      </c>
      <c r="EU1" s="81">
        <v>-22.402059485890248</v>
      </c>
      <c r="EV1" s="81">
        <v>-19.149346943916839</v>
      </c>
      <c r="EW1" s="81">
        <v>-16.194045702060322</v>
      </c>
      <c r="EX1" s="81">
        <v>-13.248719161266365</v>
      </c>
      <c r="EY1" s="81">
        <v>-10.851446345468133</v>
      </c>
      <c r="EZ1" s="81">
        <v>-8.6792169276026243</v>
      </c>
      <c r="FA1" s="81">
        <v>-6.6481568814112393</v>
      </c>
      <c r="FB1" s="81">
        <v>-4.7782750792817126</v>
      </c>
      <c r="FC1" s="81">
        <v>-3.2521863997296805</v>
      </c>
      <c r="FD1" s="81">
        <v>-1.9128227153060209</v>
      </c>
      <c r="FE1" s="81">
        <v>-0.79896319511766478</v>
      </c>
      <c r="FF1" s="81">
        <v>-4.1946399207972718E-3</v>
      </c>
      <c r="FG1" s="81">
        <v>0.57198154597651296</v>
      </c>
      <c r="FH1" s="81">
        <v>0.98889750881866689</v>
      </c>
      <c r="FI1" s="81">
        <v>1.1975047045076792</v>
      </c>
      <c r="FJ1" s="81">
        <v>1.2669092455284954</v>
      </c>
      <c r="FK1" s="81">
        <v>1.1975863894361396</v>
      </c>
      <c r="FL1" s="81">
        <v>0.9600345153149874</v>
      </c>
      <c r="FM1" s="81">
        <v>0.55127039498154318</v>
      </c>
      <c r="FN1" s="81">
        <v>-0.11814595624971957</v>
      </c>
      <c r="FO1" s="81">
        <v>-1.1487020640787762</v>
      </c>
      <c r="FP1" s="81">
        <v>-2.492527466678979</v>
      </c>
      <c r="FQ1" s="81">
        <v>-4.2540133225673173</v>
      </c>
      <c r="FR1" s="81">
        <v>-6.7051068647135139</v>
      </c>
      <c r="FS1" s="81">
        <v>-9.3449580385751858</v>
      </c>
    </row>
    <row r="2" spans="1:175" s="3" customFormat="1" x14ac:dyDescent="0.25">
      <c r="B2" s="46" t="s">
        <v>44</v>
      </c>
      <c r="C2" s="2">
        <f>MATCH(9.9E+307,B:B,1)</f>
        <v>1309</v>
      </c>
      <c r="CK2" s="27" t="s">
        <v>43</v>
      </c>
      <c r="CL2" s="5" t="s">
        <v>250</v>
      </c>
      <c r="CM2" s="4"/>
      <c r="CN2" s="4"/>
      <c r="CQ2" s="68" t="s">
        <v>247</v>
      </c>
      <c r="CR2" s="47">
        <v>1620</v>
      </c>
      <c r="CS2" s="3" t="s">
        <v>77</v>
      </c>
      <c r="CT2" s="68" t="str">
        <f>$CR$1&amp;" Y =&gt;"</f>
        <v>T36 Y =&gt;</v>
      </c>
      <c r="CU2" s="47">
        <v>5228426</v>
      </c>
      <c r="CV2" s="68" t="str">
        <f>$CL$2&amp;" Y =&gt;"</f>
        <v>R-34 Y =&gt;</v>
      </c>
      <c r="CW2" s="47">
        <v>5227556</v>
      </c>
      <c r="CX2" s="28" t="s">
        <v>86</v>
      </c>
      <c r="CY2" s="68" t="s">
        <v>245</v>
      </c>
      <c r="CZ2" s="16">
        <f>SQRT((CU1-CW1)^2+(CU2-CW2)^2)</f>
        <v>877.56766120909447</v>
      </c>
      <c r="DA2" s="94" t="s">
        <v>204</v>
      </c>
      <c r="DB2" s="94" t="s">
        <v>205</v>
      </c>
      <c r="DC2" s="68" t="s">
        <v>80</v>
      </c>
      <c r="DD2" s="28">
        <f>CU2-CW2</f>
        <v>870</v>
      </c>
      <c r="DF2" s="7">
        <v>1.5</v>
      </c>
      <c r="DG2" s="28" t="s">
        <v>87</v>
      </c>
      <c r="DM2" s="3">
        <f>1-(COUNTIF((RecData[Background]),"&gt;1")/566)</f>
        <v>0.26325088339222613</v>
      </c>
      <c r="DP2" s="7" t="s">
        <v>253</v>
      </c>
      <c r="DQ2" s="28" t="s">
        <v>209</v>
      </c>
      <c r="DS2" s="7">
        <v>80</v>
      </c>
      <c r="DT2" s="28" t="s">
        <v>71</v>
      </c>
      <c r="EL2" s="56" t="s">
        <v>61</v>
      </c>
      <c r="EM2" s="100">
        <v>1</v>
      </c>
      <c r="EN2" s="52" t="s">
        <v>59</v>
      </c>
      <c r="EO2" s="52">
        <v>20</v>
      </c>
      <c r="EP2" s="52">
        <v>25</v>
      </c>
      <c r="EQ2" s="52">
        <v>31.5</v>
      </c>
      <c r="ER2" s="52">
        <v>40</v>
      </c>
      <c r="ES2" s="52">
        <v>50</v>
      </c>
      <c r="ET2" s="52">
        <v>63</v>
      </c>
      <c r="EU2" s="52">
        <v>80</v>
      </c>
      <c r="EV2" s="52">
        <v>100</v>
      </c>
      <c r="EW2" s="52">
        <v>125</v>
      </c>
      <c r="EX2" s="52">
        <v>160</v>
      </c>
      <c r="EY2" s="52">
        <v>200</v>
      </c>
      <c r="EZ2" s="52">
        <v>250</v>
      </c>
      <c r="FA2" s="52">
        <v>315</v>
      </c>
      <c r="FB2" s="52">
        <v>400</v>
      </c>
      <c r="FC2" s="52">
        <v>500</v>
      </c>
      <c r="FD2" s="52">
        <v>630</v>
      </c>
      <c r="FE2" s="52">
        <v>800</v>
      </c>
      <c r="FF2" s="52">
        <v>1000</v>
      </c>
      <c r="FG2" s="52">
        <v>1250</v>
      </c>
      <c r="FH2" s="52">
        <v>1600</v>
      </c>
      <c r="FI2" s="52">
        <v>2000</v>
      </c>
      <c r="FJ2" s="52">
        <v>2500</v>
      </c>
      <c r="FK2" s="52">
        <v>3150</v>
      </c>
      <c r="FL2" s="52">
        <v>4000</v>
      </c>
      <c r="FM2" s="52">
        <v>5000</v>
      </c>
      <c r="FN2" s="52">
        <v>6300</v>
      </c>
      <c r="FO2" s="52">
        <v>8000</v>
      </c>
      <c r="FP2" s="52">
        <v>10000</v>
      </c>
      <c r="FQ2" s="52">
        <v>12500</v>
      </c>
      <c r="FR2" s="52">
        <v>16000</v>
      </c>
      <c r="FS2" s="52">
        <v>20000</v>
      </c>
    </row>
    <row r="3" spans="1:175" s="3" customFormat="1" ht="14.25" thickBot="1" x14ac:dyDescent="0.3">
      <c r="CK3" s="27" t="s">
        <v>51</v>
      </c>
      <c r="CL3" s="84" t="s">
        <v>180</v>
      </c>
      <c r="CM3" s="47"/>
      <c r="CN3" s="47"/>
      <c r="CQ3" s="68" t="s">
        <v>248</v>
      </c>
      <c r="CR3" s="62">
        <f>CR2*0.85</f>
        <v>1377</v>
      </c>
      <c r="CS3" s="3" t="s">
        <v>77</v>
      </c>
      <c r="CT3" s="78"/>
      <c r="DF3" s="7">
        <v>1.5</v>
      </c>
      <c r="DG3" s="28" t="s">
        <v>88</v>
      </c>
      <c r="DP3" s="7" t="s">
        <v>0</v>
      </c>
      <c r="DQ3" s="28" t="s">
        <v>183</v>
      </c>
      <c r="DS3" s="7">
        <v>15</v>
      </c>
      <c r="DT3" s="28" t="s">
        <v>72</v>
      </c>
      <c r="EE3" s="42"/>
      <c r="EL3" s="44" t="s">
        <v>60</v>
      </c>
      <c r="EM3" s="50" t="e">
        <f>VLOOKUP($EM$2,#REF!,COLUMN(A:A),FALSE) &amp; " m/s"</f>
        <v>#REF!</v>
      </c>
      <c r="EN3" s="51" t="e">
        <f>VLOOKUP($EM$2,#REF!,COLUMN(B:B),FALSE)</f>
        <v>#REF!</v>
      </c>
      <c r="EO3" s="51" t="e">
        <f>VLOOKUP($EM$2,#REF!,COLUMN(C:C),FALSE)</f>
        <v>#REF!</v>
      </c>
      <c r="EP3" s="51" t="e">
        <f>VLOOKUP($EM$2,#REF!,COLUMN(D:D),FALSE)</f>
        <v>#REF!</v>
      </c>
      <c r="EQ3" s="51" t="e">
        <f>VLOOKUP($EM$2,#REF!,COLUMN(E:E),FALSE)</f>
        <v>#REF!</v>
      </c>
      <c r="ER3" s="51" t="e">
        <f>VLOOKUP($EM$2,#REF!,COLUMN(F:F),FALSE)</f>
        <v>#REF!</v>
      </c>
      <c r="ES3" s="51" t="e">
        <f>VLOOKUP($EM$2,#REF!,COLUMN(G:G),FALSE)</f>
        <v>#REF!</v>
      </c>
      <c r="ET3" s="51" t="e">
        <f>VLOOKUP($EM$2,#REF!,COLUMN(H:H),FALSE)</f>
        <v>#REF!</v>
      </c>
      <c r="EU3" s="51" t="e">
        <f>VLOOKUP($EM$2,#REF!,COLUMN(I:I),FALSE)</f>
        <v>#REF!</v>
      </c>
      <c r="EV3" s="51" t="e">
        <f>VLOOKUP($EM$2,#REF!,COLUMN(J:J),FALSE)</f>
        <v>#REF!</v>
      </c>
      <c r="EW3" s="51" t="e">
        <f>VLOOKUP($EM$2,#REF!,COLUMN(K:K),FALSE)</f>
        <v>#REF!</v>
      </c>
      <c r="EX3" s="51" t="e">
        <f>VLOOKUP($EM$2,#REF!,COLUMN(L:L),FALSE)</f>
        <v>#REF!</v>
      </c>
      <c r="EY3" s="51" t="e">
        <f>VLOOKUP($EM$2,#REF!,COLUMN(M:M),FALSE)</f>
        <v>#REF!</v>
      </c>
      <c r="EZ3" s="51" t="e">
        <f>VLOOKUP($EM$2,#REF!,COLUMN(N:N),FALSE)</f>
        <v>#REF!</v>
      </c>
      <c r="FA3" s="51" t="e">
        <f>VLOOKUP($EM$2,#REF!,COLUMN(O:O),FALSE)</f>
        <v>#REF!</v>
      </c>
      <c r="FB3" s="51" t="e">
        <f>VLOOKUP($EM$2,#REF!,COLUMN(P:P),FALSE)</f>
        <v>#REF!</v>
      </c>
      <c r="FC3" s="51" t="e">
        <f>VLOOKUP($EM$2,#REF!,COLUMN(Q:Q),FALSE)</f>
        <v>#REF!</v>
      </c>
      <c r="FD3" s="51" t="e">
        <f>VLOOKUP($EM$2,#REF!,COLUMN(R:R),FALSE)</f>
        <v>#REF!</v>
      </c>
      <c r="FE3" s="51" t="e">
        <f>VLOOKUP($EM$2,#REF!,COLUMN(S:S),FALSE)</f>
        <v>#REF!</v>
      </c>
      <c r="FF3" s="51" t="e">
        <f>VLOOKUP($EM$2,#REF!,COLUMN(T:T),FALSE)</f>
        <v>#REF!</v>
      </c>
      <c r="FG3" s="51" t="e">
        <f>VLOOKUP($EM$2,#REF!,COLUMN(U:U),FALSE)</f>
        <v>#REF!</v>
      </c>
      <c r="FH3" s="51" t="e">
        <f>VLOOKUP($EM$2,#REF!,COLUMN(V:V),FALSE)</f>
        <v>#REF!</v>
      </c>
      <c r="FI3" s="51" t="e">
        <f>VLOOKUP($EM$2,#REF!,COLUMN(W:W),FALSE)</f>
        <v>#REF!</v>
      </c>
      <c r="FJ3" s="51" t="e">
        <f>VLOOKUP($EM$2,#REF!,COLUMN(X:X),FALSE)</f>
        <v>#REF!</v>
      </c>
      <c r="FK3" s="51" t="e">
        <f>VLOOKUP($EM$2,#REF!,COLUMN(Y:Y),FALSE)</f>
        <v>#REF!</v>
      </c>
      <c r="FL3" s="51" t="e">
        <f>VLOOKUP($EM$2,#REF!,COLUMN(Z:Z),FALSE)</f>
        <v>#REF!</v>
      </c>
      <c r="FM3" s="51" t="e">
        <f>VLOOKUP($EM$2,#REF!,COLUMN(AA:AA),FALSE)</f>
        <v>#REF!</v>
      </c>
      <c r="FN3" s="51" t="e">
        <f>VLOOKUP($EM$2,#REF!,COLUMN(AB:AB),FALSE)</f>
        <v>#REF!</v>
      </c>
      <c r="FO3" s="51" t="e">
        <f>VLOOKUP($EM$2,#REF!,COLUMN(AC:AC),FALSE)</f>
        <v>#REF!</v>
      </c>
      <c r="FP3" s="51" t="e">
        <f>VLOOKUP($EM$2,#REF!,COLUMN(AD:AD),FALSE)</f>
        <v>#REF!</v>
      </c>
      <c r="FQ3" s="51" t="e">
        <f>VLOOKUP($EM$2,#REF!,COLUMN(AE:AE),FALSE)</f>
        <v>#REF!</v>
      </c>
      <c r="FR3" s="51" t="e">
        <f>VLOOKUP($EM$2,#REF!,COLUMN(AF:AF),FALSE)</f>
        <v>#REF!</v>
      </c>
      <c r="FS3" s="51" t="e">
        <f>VLOOKUP($EM$2,#REF!,COLUMN(AG:AG),FALSE)</f>
        <v>#REF!</v>
      </c>
    </row>
    <row r="4" spans="1:175" s="3" customFormat="1" ht="13.9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25"/>
      <c r="U4" s="26"/>
      <c r="V4" s="3">
        <f>MIN(RecData[Amb. Pressure])</f>
        <v>962.6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6"/>
      <c r="CL4" s="71" t="s">
        <v>91</v>
      </c>
      <c r="CM4" s="24">
        <f>MIN((RecData[WSpd_Avg '[m/s']]))</f>
        <v>0.05</v>
      </c>
      <c r="CN4" s="24">
        <f>MIN((RecData[WDir_Avg '[°']]))</f>
        <v>64.599999999999994</v>
      </c>
      <c r="CO4" s="24">
        <f>MIN((RecData[Humidity '[%']]))</f>
        <v>44.8</v>
      </c>
      <c r="CP4" s="24">
        <f>MIN((RecData[Temperature '[°C']]))</f>
        <v>2.9</v>
      </c>
      <c r="CQ4" s="1"/>
      <c r="CR4" s="82" t="str">
        <f>COUNTIF((RecData[Turbines ON/OFF]),"ON") &amp; " mins ON"</f>
        <v>873 mins ON</v>
      </c>
      <c r="CS4" s="112" t="str">
        <f>ROUND(COUNTIF((RecData[Turbine Power Verified?]),"YES")/($C$2-7),2)*100 &amp; "% verified"</f>
        <v>100% verified</v>
      </c>
      <c r="CT4" s="64" t="str">
        <f>"Max = " &amp; ROUND(MAX(RecData[Power (kW)]),0) &amp; " kW"</f>
        <v>Max = 1621 kW</v>
      </c>
      <c r="CU4" s="64" t="str">
        <f>"Max = " &amp; ROUND(MAX(RecData[Yaw Angle (°)]),0) &amp; "°"</f>
        <v>Max = 348°</v>
      </c>
      <c r="CV4" s="66" t="str">
        <f>"Max = " &amp; ROUND(MAX(RecData[HH Wind Speed (m/s)]),1) &amp; " m/s"</f>
        <v>Max = 13.9 m/s</v>
      </c>
      <c r="CW4" s="21" t="str">
        <f>"Max = " &amp; ROUND(MAX(RecData[Speed (rpm)]),0) &amp; " rpm"</f>
        <v>Max = 15 rpm</v>
      </c>
      <c r="CX4" s="21">
        <f>COUNTIF((RecData[Junk?]),"YES")</f>
        <v>73</v>
      </c>
      <c r="CY4" s="64"/>
      <c r="CZ4" s="21">
        <f>COUNTIF((RecData[T Power &gt; Threshold?]),FALSE)</f>
        <v>478</v>
      </c>
      <c r="DA4" s="21"/>
      <c r="DB4" s="21">
        <f>COUNTIF((RecData[Wind Direction]),"&lt;&gt;"&amp;DP2)</f>
        <v>429</v>
      </c>
      <c r="DC4" s="21"/>
      <c r="DD4" s="21"/>
      <c r="DE4" s="21">
        <f>COUNTIF((RecData[Rain?]),TRUE)</f>
        <v>0</v>
      </c>
      <c r="DF4" s="21">
        <f>COUNTIF((RecData[Gust?]),TRUE)</f>
        <v>2</v>
      </c>
      <c r="DG4" s="21">
        <f>COUNTIF((RecData[Low Temp?]),TRUE)</f>
        <v>0</v>
      </c>
      <c r="DH4" s="21">
        <f>COUNTIF((RecData[Time?]),TRUE)</f>
        <v>1</v>
      </c>
      <c r="DI4" s="21">
        <f>COUNTIF((RecData[Leq-L90 &gt; Threshold?]),TRUE)</f>
        <v>2</v>
      </c>
      <c r="DJ4" s="21">
        <f>COUNTIF((RecData[Max SPL Threshold?]),TRUE)</f>
        <v>0</v>
      </c>
      <c r="DK4" s="21">
        <f>COUNTIF((RecData[Min SPL Threshold?]),TRUE)</f>
        <v>0</v>
      </c>
      <c r="DL4" s="21">
        <f>COUNTIF((RecData[Useable TON Data?]),0)</f>
        <v>490</v>
      </c>
      <c r="DM4" s="22">
        <f>COUNTIF((RecData[Useable Background Data?]),"=0")</f>
        <v>885</v>
      </c>
      <c r="DN4" s="29" t="s">
        <v>52</v>
      </c>
      <c r="DO4" s="1"/>
      <c r="DS4" s="7">
        <v>6</v>
      </c>
      <c r="DT4" s="28" t="s">
        <v>73</v>
      </c>
      <c r="EE4" s="42"/>
      <c r="EL4" s="50" t="s">
        <v>5</v>
      </c>
      <c r="EM4" s="50" t="e">
        <f>VLOOKUP($EM$2,#REF!,COLUMN(A:A),FALSE) &amp; " m/s"</f>
        <v>#REF!</v>
      </c>
      <c r="EN4" s="51" t="e">
        <f>VLOOKUP($EM$2,#REF!,COLUMN(B:B),TRUE)</f>
        <v>#REF!</v>
      </c>
      <c r="EO4" s="51" t="e">
        <f>VLOOKUP($EM$2,#REF!,COLUMN(C:C),TRUE)</f>
        <v>#REF!</v>
      </c>
      <c r="EP4" s="51" t="e">
        <f>VLOOKUP($EM$2,#REF!,COLUMN(D:D),TRUE)</f>
        <v>#REF!</v>
      </c>
      <c r="EQ4" s="51" t="e">
        <f>VLOOKUP($EM$2,#REF!,COLUMN(E:E),TRUE)</f>
        <v>#REF!</v>
      </c>
      <c r="ER4" s="51" t="e">
        <f>VLOOKUP($EM$2,#REF!,COLUMN(F:F),TRUE)</f>
        <v>#REF!</v>
      </c>
      <c r="ES4" s="51" t="e">
        <f>VLOOKUP($EM$2,#REF!,COLUMN(G:G),TRUE)</f>
        <v>#REF!</v>
      </c>
      <c r="ET4" s="51" t="e">
        <f>VLOOKUP($EM$2,#REF!,COLUMN(H:H),TRUE)</f>
        <v>#REF!</v>
      </c>
      <c r="EU4" s="51" t="e">
        <f>VLOOKUP($EM$2,#REF!,COLUMN(I:I),TRUE)</f>
        <v>#REF!</v>
      </c>
      <c r="EV4" s="51" t="e">
        <f>VLOOKUP($EM$2,#REF!,COLUMN(J:J),TRUE)</f>
        <v>#REF!</v>
      </c>
      <c r="EW4" s="51" t="e">
        <f>VLOOKUP($EM$2,#REF!,COLUMN(K:K),TRUE)</f>
        <v>#REF!</v>
      </c>
      <c r="EX4" s="51" t="e">
        <f>VLOOKUP($EM$2,#REF!,COLUMN(L:L),TRUE)</f>
        <v>#REF!</v>
      </c>
      <c r="EY4" s="51" t="e">
        <f>VLOOKUP($EM$2,#REF!,COLUMN(M:M),TRUE)</f>
        <v>#REF!</v>
      </c>
      <c r="EZ4" s="51" t="e">
        <f>VLOOKUP($EM$2,#REF!,COLUMN(N:N),TRUE)</f>
        <v>#REF!</v>
      </c>
      <c r="FA4" s="51" t="e">
        <f>VLOOKUP($EM$2,#REF!,COLUMN(O:O),TRUE)</f>
        <v>#REF!</v>
      </c>
      <c r="FB4" s="51" t="e">
        <f>VLOOKUP($EM$2,#REF!,COLUMN(P:P),TRUE)</f>
        <v>#REF!</v>
      </c>
      <c r="FC4" s="51" t="e">
        <f>VLOOKUP($EM$2,#REF!,COLUMN(Q:Q),TRUE)</f>
        <v>#REF!</v>
      </c>
      <c r="FD4" s="51" t="e">
        <f>VLOOKUP($EM$2,#REF!,COLUMN(R:R),TRUE)</f>
        <v>#REF!</v>
      </c>
      <c r="FE4" s="51" t="e">
        <f>VLOOKUP($EM$2,#REF!,COLUMN(S:S),TRUE)</f>
        <v>#REF!</v>
      </c>
      <c r="FF4" s="51" t="e">
        <f>VLOOKUP($EM$2,#REF!,COLUMN(T:T),TRUE)</f>
        <v>#REF!</v>
      </c>
      <c r="FG4" s="51" t="e">
        <f>VLOOKUP($EM$2,#REF!,COLUMN(U:U),TRUE)</f>
        <v>#REF!</v>
      </c>
      <c r="FH4" s="51" t="e">
        <f>VLOOKUP($EM$2,#REF!,COLUMN(V:V),TRUE)</f>
        <v>#REF!</v>
      </c>
      <c r="FI4" s="51" t="e">
        <f>VLOOKUP($EM$2,#REF!,COLUMN(W:W),TRUE)</f>
        <v>#REF!</v>
      </c>
      <c r="FJ4" s="51" t="e">
        <f>VLOOKUP($EM$2,#REF!,COLUMN(X:X),TRUE)</f>
        <v>#REF!</v>
      </c>
      <c r="FK4" s="51" t="e">
        <f>VLOOKUP($EM$2,#REF!,COLUMN(Y:Y),TRUE)</f>
        <v>#REF!</v>
      </c>
      <c r="FL4" s="51" t="e">
        <f>VLOOKUP($EM$2,#REF!,COLUMN(Z:Z),TRUE)</f>
        <v>#REF!</v>
      </c>
      <c r="FM4" s="51" t="e">
        <f>VLOOKUP($EM$2,#REF!,COLUMN(AA:AA),TRUE)</f>
        <v>#REF!</v>
      </c>
      <c r="FN4" s="51" t="e">
        <f>VLOOKUP($EM$2,#REF!,COLUMN(AB:AB),TRUE)</f>
        <v>#REF!</v>
      </c>
      <c r="FO4" s="51" t="e">
        <f>VLOOKUP($EM$2,#REF!,COLUMN(AC:AC),TRUE)</f>
        <v>#REF!</v>
      </c>
      <c r="FP4" s="51" t="e">
        <f>VLOOKUP($EM$2,#REF!,COLUMN(AD:AD),TRUE)</f>
        <v>#REF!</v>
      </c>
      <c r="FQ4" s="51" t="e">
        <f>VLOOKUP($EM$2,#REF!,COLUMN(AE:AE),TRUE)</f>
        <v>#REF!</v>
      </c>
      <c r="FR4" s="51" t="e">
        <f>VLOOKUP($EM$2,#REF!,COLUMN(AF:AF),TRUE)</f>
        <v>#REF!</v>
      </c>
      <c r="FS4" s="51" t="e">
        <f>VLOOKUP($EM$2,#REF!,COLUMN(AG:AG),TRUE)</f>
        <v>#REF!</v>
      </c>
    </row>
    <row r="5" spans="1:175" s="3" customFormat="1" ht="14.2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25"/>
      <c r="U5" s="26"/>
      <c r="V5" s="3">
        <f>MAX(RecData[Amb. Pressure])</f>
        <v>979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6"/>
      <c r="CL5" s="72" t="s">
        <v>92</v>
      </c>
      <c r="CM5" s="23">
        <f>MAX((RecData[WSpd_Avg '[m/s']]))</f>
        <v>3.12</v>
      </c>
      <c r="CN5" s="23">
        <f>MAX((RecData[WDir_Avg '[°']]))</f>
        <v>333.1</v>
      </c>
      <c r="CO5" s="23">
        <f>MAX((RecData[Humidity '[%']]))</f>
        <v>94.7</v>
      </c>
      <c r="CP5" s="23">
        <f>MAX((RecData[Temperature '[°C']]))</f>
        <v>17.100000000000001</v>
      </c>
      <c r="CQ5" s="19"/>
      <c r="CR5" s="83" t="str">
        <f>COUNTIF((RecData[Turbines ON/OFF]),"OFF") &amp; " mins OFF"</f>
        <v>417 mins OFF</v>
      </c>
      <c r="CS5" s="113"/>
      <c r="CT5" s="65" t="str">
        <f>"Min = " &amp; ROUND(MIN(RecData[Power (kW)]),0) &amp; " kW"</f>
        <v>Min = -14 kW</v>
      </c>
      <c r="CU5" s="65" t="str">
        <f>"Min = " &amp; ROUND(MIN(RecData[Yaw Angle (°)]),0) &amp; "°"</f>
        <v>Min = 13°</v>
      </c>
      <c r="CV5" s="67" t="str">
        <f>"Min = " &amp; ROUND(MIN(RecData[HH Wind Speed (m/s)]),1) &amp; " m/s"</f>
        <v>Min = 0.4 m/s</v>
      </c>
      <c r="CW5" s="53" t="str">
        <f>"Min = " &amp; ROUND(MIN(RecData[Speed (rpm)]),0) &amp; " rpm"</f>
        <v>Min = 0 rpm</v>
      </c>
      <c r="CX5" s="53">
        <f t="shared" ref="CX5:DK5" si="0">CX4/($C$2-7)</f>
        <v>5.606758832565284E-2</v>
      </c>
      <c r="CY5" s="65"/>
      <c r="CZ5" s="53">
        <f t="shared" si="0"/>
        <v>0.36712749615975421</v>
      </c>
      <c r="DA5" s="53"/>
      <c r="DB5" s="53">
        <f t="shared" si="0"/>
        <v>0.3294930875576037</v>
      </c>
      <c r="DC5" s="53"/>
      <c r="DD5" s="53"/>
      <c r="DE5" s="53">
        <f t="shared" si="0"/>
        <v>0</v>
      </c>
      <c r="DF5" s="53">
        <f t="shared" si="0"/>
        <v>1.5360983102918587E-3</v>
      </c>
      <c r="DG5" s="53">
        <f t="shared" si="0"/>
        <v>0</v>
      </c>
      <c r="DH5" s="53">
        <f t="shared" si="0"/>
        <v>7.6804915514592934E-4</v>
      </c>
      <c r="DI5" s="111">
        <f t="shared" si="0"/>
        <v>1.5360983102918587E-3</v>
      </c>
      <c r="DJ5" s="53">
        <f t="shared" si="0"/>
        <v>0</v>
      </c>
      <c r="DK5" s="53">
        <f t="shared" si="0"/>
        <v>0</v>
      </c>
      <c r="DL5" s="53">
        <f>DL4/($C$2-7)</f>
        <v>0.37634408602150538</v>
      </c>
      <c r="DM5" s="54">
        <f>DM4/($C$2-7)</f>
        <v>0.67972350230414746</v>
      </c>
      <c r="DN5" s="29" t="s">
        <v>53</v>
      </c>
      <c r="DO5" s="1"/>
      <c r="DP5" s="1"/>
      <c r="DQ5" s="1"/>
      <c r="DR5" s="1"/>
      <c r="DS5" s="7">
        <v>60</v>
      </c>
      <c r="DT5" s="28" t="s">
        <v>74</v>
      </c>
      <c r="DV5" s="1"/>
      <c r="DX5" s="1"/>
      <c r="DY5" s="1"/>
      <c r="DZ5" s="1"/>
      <c r="EA5" s="1"/>
      <c r="EB5" s="76" t="s">
        <v>104</v>
      </c>
      <c r="EC5" s="77">
        <v>0</v>
      </c>
      <c r="ED5" s="1"/>
      <c r="EE5" s="42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</row>
    <row r="6" spans="1:175" s="3" customFormat="1" ht="14.2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25"/>
      <c r="U6" s="26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6"/>
      <c r="CL6" s="30"/>
      <c r="CM6" s="23"/>
      <c r="CN6" s="23"/>
      <c r="CO6" s="19"/>
      <c r="CP6" s="23"/>
      <c r="CQ6" s="19"/>
      <c r="CR6" s="45"/>
      <c r="CS6" s="31"/>
      <c r="CT6" s="31"/>
      <c r="CU6" s="31"/>
      <c r="CV6" s="31"/>
      <c r="CW6" s="31"/>
      <c r="CX6" s="31"/>
      <c r="CY6" s="32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29"/>
      <c r="DO6" s="1"/>
      <c r="DP6" s="1"/>
      <c r="DQ6" s="1"/>
      <c r="DR6" s="1"/>
      <c r="DS6" s="7">
        <v>60</v>
      </c>
      <c r="DT6" s="28" t="s">
        <v>75</v>
      </c>
      <c r="DV6" s="1"/>
      <c r="DX6" s="1"/>
      <c r="DY6" s="1"/>
      <c r="DZ6" s="1"/>
      <c r="EA6" s="1"/>
      <c r="EB6" s="76" t="s">
        <v>105</v>
      </c>
      <c r="EC6" s="7">
        <v>0</v>
      </c>
      <c r="ED6" s="1"/>
      <c r="EE6" s="42"/>
      <c r="EG6" s="86">
        <v>60</v>
      </c>
      <c r="EH6" s="86">
        <v>30</v>
      </c>
      <c r="EI6" s="28" t="s">
        <v>211</v>
      </c>
      <c r="EO6" s="55"/>
    </row>
    <row r="7" spans="1:175" s="43" customFormat="1" ht="41.25" thickBot="1" x14ac:dyDescent="0.3">
      <c r="A7" s="8" t="s">
        <v>42</v>
      </c>
      <c r="B7" s="8" t="s">
        <v>41</v>
      </c>
      <c r="C7" s="8" t="s">
        <v>40</v>
      </c>
      <c r="D7" s="8" t="s">
        <v>8</v>
      </c>
      <c r="E7" s="8" t="s">
        <v>39</v>
      </c>
      <c r="F7" s="8" t="s">
        <v>38</v>
      </c>
      <c r="G7" s="8" t="s">
        <v>37</v>
      </c>
      <c r="H7" s="8" t="s">
        <v>36</v>
      </c>
      <c r="I7" s="8" t="s">
        <v>35</v>
      </c>
      <c r="J7" s="8" t="s">
        <v>34</v>
      </c>
      <c r="K7" s="8" t="s">
        <v>33</v>
      </c>
      <c r="L7" s="8" t="s">
        <v>32</v>
      </c>
      <c r="M7" s="8" t="s">
        <v>31</v>
      </c>
      <c r="N7" s="8" t="s">
        <v>30</v>
      </c>
      <c r="O7" s="8" t="s">
        <v>29</v>
      </c>
      <c r="P7" s="8" t="s">
        <v>28</v>
      </c>
      <c r="Q7" s="8" t="s">
        <v>27</v>
      </c>
      <c r="R7" s="8" t="s">
        <v>26</v>
      </c>
      <c r="S7" s="8" t="s">
        <v>25</v>
      </c>
      <c r="T7" s="8" t="s">
        <v>24</v>
      </c>
      <c r="U7" s="8" t="s">
        <v>23</v>
      </c>
      <c r="V7" s="8" t="s">
        <v>22</v>
      </c>
      <c r="W7" s="8" t="s">
        <v>21</v>
      </c>
      <c r="X7" s="9" t="s">
        <v>147</v>
      </c>
      <c r="Y7" s="9" t="s">
        <v>148</v>
      </c>
      <c r="Z7" s="9" t="s">
        <v>149</v>
      </c>
      <c r="AA7" s="9" t="s">
        <v>150</v>
      </c>
      <c r="AB7" s="9" t="s">
        <v>151</v>
      </c>
      <c r="AC7" s="9" t="s">
        <v>152</v>
      </c>
      <c r="AD7" s="9" t="s">
        <v>153</v>
      </c>
      <c r="AE7" s="9" t="s">
        <v>154</v>
      </c>
      <c r="AF7" s="9" t="s">
        <v>155</v>
      </c>
      <c r="AG7" s="9" t="s">
        <v>156</v>
      </c>
      <c r="AH7" s="9" t="s">
        <v>157</v>
      </c>
      <c r="AI7" s="9" t="s">
        <v>158</v>
      </c>
      <c r="AJ7" s="9" t="s">
        <v>159</v>
      </c>
      <c r="AK7" s="9" t="s">
        <v>160</v>
      </c>
      <c r="AL7" s="9" t="s">
        <v>161</v>
      </c>
      <c r="AM7" s="9" t="s">
        <v>162</v>
      </c>
      <c r="AN7" s="9" t="s">
        <v>163</v>
      </c>
      <c r="AO7" s="9" t="s">
        <v>164</v>
      </c>
      <c r="AP7" s="9" t="s">
        <v>165</v>
      </c>
      <c r="AQ7" s="9" t="s">
        <v>166</v>
      </c>
      <c r="AR7" s="9" t="s">
        <v>167</v>
      </c>
      <c r="AS7" s="9" t="s">
        <v>168</v>
      </c>
      <c r="AT7" s="9" t="s">
        <v>169</v>
      </c>
      <c r="AU7" s="9" t="s">
        <v>170</v>
      </c>
      <c r="AV7" s="9" t="s">
        <v>171</v>
      </c>
      <c r="AW7" s="9" t="s">
        <v>172</v>
      </c>
      <c r="AX7" s="9" t="s">
        <v>173</v>
      </c>
      <c r="AY7" s="9" t="s">
        <v>174</v>
      </c>
      <c r="AZ7" s="9" t="s">
        <v>175</v>
      </c>
      <c r="BA7" s="9" t="s">
        <v>176</v>
      </c>
      <c r="BB7" s="9" t="s">
        <v>177</v>
      </c>
      <c r="BC7" s="9" t="s">
        <v>178</v>
      </c>
      <c r="BD7" s="9" t="s">
        <v>116</v>
      </c>
      <c r="BE7" s="9" t="s">
        <v>117</v>
      </c>
      <c r="BF7" s="9" t="s">
        <v>118</v>
      </c>
      <c r="BG7" s="9" t="s">
        <v>119</v>
      </c>
      <c r="BH7" s="9" t="s">
        <v>120</v>
      </c>
      <c r="BI7" s="9" t="s">
        <v>121</v>
      </c>
      <c r="BJ7" s="9" t="s">
        <v>122</v>
      </c>
      <c r="BK7" s="9" t="s">
        <v>123</v>
      </c>
      <c r="BL7" s="9" t="s">
        <v>124</v>
      </c>
      <c r="BM7" s="9" t="s">
        <v>125</v>
      </c>
      <c r="BN7" s="9" t="s">
        <v>126</v>
      </c>
      <c r="BO7" s="9" t="s">
        <v>127</v>
      </c>
      <c r="BP7" s="9" t="s">
        <v>128</v>
      </c>
      <c r="BQ7" s="9" t="s">
        <v>129</v>
      </c>
      <c r="BR7" s="9" t="s">
        <v>130</v>
      </c>
      <c r="BS7" s="9" t="s">
        <v>131</v>
      </c>
      <c r="BT7" s="9" t="s">
        <v>132</v>
      </c>
      <c r="BU7" s="9" t="s">
        <v>133</v>
      </c>
      <c r="BV7" s="9" t="s">
        <v>134</v>
      </c>
      <c r="BW7" s="9" t="s">
        <v>135</v>
      </c>
      <c r="BX7" s="9" t="s">
        <v>136</v>
      </c>
      <c r="BY7" s="9" t="s">
        <v>137</v>
      </c>
      <c r="BZ7" s="9" t="s">
        <v>138</v>
      </c>
      <c r="CA7" s="9" t="s">
        <v>139</v>
      </c>
      <c r="CB7" s="9" t="s">
        <v>140</v>
      </c>
      <c r="CC7" s="9" t="s">
        <v>141</v>
      </c>
      <c r="CD7" s="9" t="s">
        <v>142</v>
      </c>
      <c r="CE7" s="9" t="s">
        <v>143</v>
      </c>
      <c r="CF7" s="9" t="s">
        <v>144</v>
      </c>
      <c r="CG7" s="9" t="s">
        <v>145</v>
      </c>
      <c r="CH7" s="9" t="s">
        <v>146</v>
      </c>
      <c r="CI7" s="9" t="s">
        <v>20</v>
      </c>
      <c r="CJ7" s="33" t="s">
        <v>19</v>
      </c>
      <c r="CK7" s="34" t="s">
        <v>18</v>
      </c>
      <c r="CL7" s="34" t="s">
        <v>17</v>
      </c>
      <c r="CM7" s="35" t="s">
        <v>16</v>
      </c>
      <c r="CN7" s="36" t="s">
        <v>89</v>
      </c>
      <c r="CO7" s="36" t="s">
        <v>90</v>
      </c>
      <c r="CP7" s="36" t="s">
        <v>93</v>
      </c>
      <c r="CQ7" s="37" t="s">
        <v>15</v>
      </c>
      <c r="CR7" s="36" t="s">
        <v>84</v>
      </c>
      <c r="CS7" s="36" t="s">
        <v>76</v>
      </c>
      <c r="CT7" s="36" t="s">
        <v>108</v>
      </c>
      <c r="CU7" s="36" t="s">
        <v>107</v>
      </c>
      <c r="CV7" s="36" t="s">
        <v>106</v>
      </c>
      <c r="CW7" s="36" t="s">
        <v>109</v>
      </c>
      <c r="CX7" s="35" t="s">
        <v>14</v>
      </c>
      <c r="CY7" s="37" t="s">
        <v>46</v>
      </c>
      <c r="CZ7" s="41" t="s">
        <v>110</v>
      </c>
      <c r="DA7" s="41" t="s">
        <v>182</v>
      </c>
      <c r="DB7" s="41" t="s">
        <v>206</v>
      </c>
      <c r="DC7" s="41" t="s">
        <v>112</v>
      </c>
      <c r="DD7" s="41" t="s">
        <v>111</v>
      </c>
      <c r="DE7" s="41" t="s">
        <v>10</v>
      </c>
      <c r="DF7" s="41" t="s">
        <v>12</v>
      </c>
      <c r="DG7" s="41" t="s">
        <v>11</v>
      </c>
      <c r="DH7" s="41" t="s">
        <v>9</v>
      </c>
      <c r="DI7" s="41" t="s">
        <v>113</v>
      </c>
      <c r="DJ7" s="41" t="s">
        <v>114</v>
      </c>
      <c r="DK7" s="41" t="s">
        <v>115</v>
      </c>
      <c r="DL7" s="41" t="s">
        <v>81</v>
      </c>
      <c r="DM7" s="41" t="s">
        <v>78</v>
      </c>
      <c r="DN7" s="38" t="s">
        <v>69</v>
      </c>
      <c r="DO7" s="39" t="s">
        <v>7</v>
      </c>
      <c r="DP7" s="40" t="s">
        <v>6</v>
      </c>
      <c r="DQ7" s="40" t="s">
        <v>5</v>
      </c>
      <c r="DR7" s="40" t="s">
        <v>45</v>
      </c>
      <c r="DS7" s="75" t="s">
        <v>102</v>
      </c>
      <c r="DT7" s="10"/>
      <c r="DU7" s="11" t="s">
        <v>45</v>
      </c>
      <c r="DV7" s="11" t="s">
        <v>55</v>
      </c>
      <c r="DW7" s="11" t="s">
        <v>54</v>
      </c>
      <c r="DX7" s="11" t="s">
        <v>3</v>
      </c>
      <c r="DY7" s="11" t="s">
        <v>56</v>
      </c>
      <c r="DZ7" s="11" t="s">
        <v>4</v>
      </c>
      <c r="EA7" s="11" t="s">
        <v>3</v>
      </c>
      <c r="EB7" s="11" t="s">
        <v>2</v>
      </c>
      <c r="EC7" s="11" t="s">
        <v>103</v>
      </c>
      <c r="ED7" s="11" t="s">
        <v>57</v>
      </c>
      <c r="EE7" s="42"/>
      <c r="EG7" s="20" t="s">
        <v>58</v>
      </c>
      <c r="EH7" s="20" t="s">
        <v>47</v>
      </c>
      <c r="EI7" s="20" t="s">
        <v>48</v>
      </c>
      <c r="EL7" s="11" t="s">
        <v>13</v>
      </c>
      <c r="EM7" s="11" t="s">
        <v>45</v>
      </c>
      <c r="EN7" s="11" t="s">
        <v>59</v>
      </c>
      <c r="EO7" s="11">
        <v>20</v>
      </c>
      <c r="EP7" s="11">
        <v>25</v>
      </c>
      <c r="EQ7" s="11">
        <v>31.5</v>
      </c>
      <c r="ER7" s="11">
        <v>40</v>
      </c>
      <c r="ES7" s="11">
        <v>50</v>
      </c>
      <c r="ET7" s="11">
        <v>63</v>
      </c>
      <c r="EU7" s="11">
        <v>80</v>
      </c>
      <c r="EV7" s="11">
        <v>100</v>
      </c>
      <c r="EW7" s="11">
        <v>125</v>
      </c>
      <c r="EX7" s="11">
        <v>160</v>
      </c>
      <c r="EY7" s="11">
        <v>200</v>
      </c>
      <c r="EZ7" s="11">
        <v>250</v>
      </c>
      <c r="FA7" s="11">
        <v>315</v>
      </c>
      <c r="FB7" s="11">
        <v>400</v>
      </c>
      <c r="FC7" s="11">
        <v>500</v>
      </c>
      <c r="FD7" s="11">
        <v>630</v>
      </c>
      <c r="FE7" s="11">
        <v>800</v>
      </c>
      <c r="FF7" s="11">
        <v>1000</v>
      </c>
      <c r="FG7" s="11">
        <v>1250</v>
      </c>
      <c r="FH7" s="11">
        <v>1600</v>
      </c>
      <c r="FI7" s="11">
        <v>2000</v>
      </c>
      <c r="FJ7" s="11">
        <v>2500</v>
      </c>
      <c r="FK7" s="11">
        <v>3150</v>
      </c>
      <c r="FL7" s="11">
        <v>4000</v>
      </c>
      <c r="FM7" s="11">
        <v>5000</v>
      </c>
      <c r="FN7" s="11">
        <v>6300</v>
      </c>
      <c r="FO7" s="11">
        <v>8000</v>
      </c>
      <c r="FP7" s="11">
        <v>10000</v>
      </c>
      <c r="FQ7" s="11">
        <v>12500</v>
      </c>
      <c r="FR7" s="11">
        <v>16000</v>
      </c>
      <c r="FS7" s="11">
        <v>20000</v>
      </c>
    </row>
    <row r="8" spans="1:175" ht="15" x14ac:dyDescent="0.25">
      <c r="A8" s="3" t="s">
        <v>249</v>
      </c>
      <c r="B8" s="12">
        <v>43252.063194444447</v>
      </c>
      <c r="C8" s="3"/>
      <c r="D8" s="3">
        <v>43.1</v>
      </c>
      <c r="E8" s="3"/>
      <c r="F8" s="3"/>
      <c r="G8" s="3"/>
      <c r="H8" s="3"/>
      <c r="I8" s="3"/>
      <c r="J8" s="3"/>
      <c r="K8" s="3">
        <v>40.5</v>
      </c>
      <c r="L8" s="3"/>
      <c r="M8" s="3"/>
      <c r="N8" s="3">
        <v>161</v>
      </c>
      <c r="O8" s="3"/>
      <c r="P8" s="3"/>
      <c r="Q8" s="3">
        <v>0.81</v>
      </c>
      <c r="R8" s="3">
        <v>0.2</v>
      </c>
      <c r="S8" s="3">
        <v>1.8</v>
      </c>
      <c r="T8" s="3">
        <v>11.2</v>
      </c>
      <c r="U8" s="3">
        <v>94.7</v>
      </c>
      <c r="V8" s="3">
        <v>963.5</v>
      </c>
      <c r="W8" s="3">
        <v>0</v>
      </c>
      <c r="X8" s="3">
        <v>43.8</v>
      </c>
      <c r="Y8" s="3">
        <v>43.6</v>
      </c>
      <c r="Z8" s="3">
        <v>43.5</v>
      </c>
      <c r="AA8" s="3">
        <v>39.9</v>
      </c>
      <c r="AB8" s="3">
        <v>35.1</v>
      </c>
      <c r="AC8" s="3">
        <v>33.5</v>
      </c>
      <c r="AD8" s="3">
        <v>36.299999999999997</v>
      </c>
      <c r="AE8" s="3">
        <v>38.5</v>
      </c>
      <c r="AF8" s="3">
        <v>45</v>
      </c>
      <c r="AG8" s="3">
        <v>37.700000000000003</v>
      </c>
      <c r="AH8" s="3">
        <v>36.5</v>
      </c>
      <c r="AI8" s="3">
        <v>37.6</v>
      </c>
      <c r="AJ8" s="3">
        <v>35.4</v>
      </c>
      <c r="AK8" s="3">
        <v>33.799999999999997</v>
      </c>
      <c r="AL8" s="3">
        <v>30.9</v>
      </c>
      <c r="AM8" s="3">
        <v>29.5</v>
      </c>
      <c r="AN8" s="3">
        <v>28.1</v>
      </c>
      <c r="AO8" s="3">
        <v>25.8</v>
      </c>
      <c r="AP8" s="3">
        <v>24.1</v>
      </c>
      <c r="AQ8" s="3">
        <v>23.4</v>
      </c>
      <c r="AR8" s="3">
        <v>21.1</v>
      </c>
      <c r="AS8" s="3">
        <v>33</v>
      </c>
      <c r="AT8" s="3">
        <v>39.1</v>
      </c>
      <c r="AU8" s="3">
        <v>15.2</v>
      </c>
      <c r="AV8" s="3">
        <v>11.6</v>
      </c>
      <c r="AW8" s="3">
        <v>10.7</v>
      </c>
      <c r="AX8" s="3">
        <v>9.6</v>
      </c>
      <c r="AY8" s="3">
        <v>9.6</v>
      </c>
      <c r="AZ8" s="3">
        <v>0</v>
      </c>
      <c r="BA8" s="3">
        <v>0</v>
      </c>
      <c r="BB8" s="3">
        <v>0</v>
      </c>
      <c r="BC8" s="3">
        <v>43.038809339384954</v>
      </c>
      <c r="BD8" s="3">
        <v>43.861190660615051</v>
      </c>
      <c r="BE8" s="3">
        <v>43.661190660615048</v>
      </c>
      <c r="BF8" s="3">
        <v>42.321190660615045</v>
      </c>
      <c r="BG8" s="3">
        <v>39.047857327281719</v>
      </c>
      <c r="BH8" s="3">
        <v>34.387857327281722</v>
      </c>
      <c r="BI8" s="3">
        <v>33.201190660615055</v>
      </c>
      <c r="BJ8" s="3">
        <v>36.794523993948374</v>
      </c>
      <c r="BK8" s="3">
        <v>38.867857327281712</v>
      </c>
      <c r="BL8" s="3">
        <v>44.94119066061505</v>
      </c>
      <c r="BM8" s="3">
        <v>37.774523993948378</v>
      </c>
      <c r="BN8" s="3">
        <v>36.857857327281721</v>
      </c>
      <c r="BO8" s="3">
        <v>37.324523993948389</v>
      </c>
      <c r="BP8" s="3">
        <v>34.841190660615041</v>
      </c>
      <c r="BQ8" s="3">
        <v>33.657857327281704</v>
      </c>
      <c r="BR8" s="3">
        <v>31.08452399394838</v>
      </c>
      <c r="BS8" s="3">
        <v>29.487857327281716</v>
      </c>
      <c r="BT8" s="3">
        <v>28.284523993948383</v>
      </c>
      <c r="BU8" s="3">
        <v>25.951190660615055</v>
      </c>
      <c r="BV8" s="3">
        <v>23.96785732728172</v>
      </c>
      <c r="BW8" s="3">
        <v>23.801190660615049</v>
      </c>
      <c r="BX8" s="3">
        <v>21.421190660615054</v>
      </c>
      <c r="BY8" s="3">
        <v>33.141190660615052</v>
      </c>
      <c r="BZ8" s="3">
        <v>39.371190660615042</v>
      </c>
      <c r="CA8" s="3">
        <v>15.571190660615038</v>
      </c>
      <c r="CB8" s="3">
        <v>11.407857327281711</v>
      </c>
      <c r="CC8" s="3">
        <v>10.721190660615044</v>
      </c>
      <c r="CD8" s="3">
        <v>8.9278573272817141</v>
      </c>
      <c r="CE8" s="3">
        <v>9.1211906606150421</v>
      </c>
      <c r="CF8" s="3">
        <v>-0.86547600605162245</v>
      </c>
      <c r="CG8" s="3">
        <v>-1.3988093393849539</v>
      </c>
      <c r="CH8" s="3">
        <v>-2.4754760060516219</v>
      </c>
      <c r="CI8" s="13">
        <f>[1]!dbasum(RecData[[#This Row],[20]:[2000]],RecData[[#Headers],[20]:[2000]])</f>
        <v>38.216332007325384</v>
      </c>
      <c r="CJ8" s="14">
        <v>636</v>
      </c>
      <c r="CK8" s="15" t="s">
        <v>249</v>
      </c>
      <c r="CL8" s="15">
        <f>RecData[[#This Row],[Start Time]]</f>
        <v>43252.063194444447</v>
      </c>
      <c r="CM8" s="16">
        <f>RecData[[#This Row],[Wind Speed avg]]</f>
        <v>0.81</v>
      </c>
      <c r="CN8" s="16">
        <f>RecData[[#This Row],[Wind Dir. avg]]</f>
        <v>161</v>
      </c>
      <c r="CO8" s="16">
        <f>RecData[[#This Row],[Amb. Humidity]]</f>
        <v>94.7</v>
      </c>
      <c r="CP8" s="16">
        <f>RecData[[#This Row],[Amb. Temperature]]</f>
        <v>11.2</v>
      </c>
      <c r="CQ8" s="17">
        <f>RecData[[#This Row],[Amb. Rain Gauge]]</f>
        <v>0</v>
      </c>
      <c r="CR8" s="97" t="s">
        <v>1</v>
      </c>
      <c r="CS8" s="97" t="s">
        <v>49</v>
      </c>
      <c r="CT8" s="98">
        <v>1599.5507809999999</v>
      </c>
      <c r="CU8" s="98">
        <v>27.000228881835898</v>
      </c>
      <c r="CV8" s="98">
        <v>10.111472129821699</v>
      </c>
      <c r="CW8" s="98">
        <v>15.297793388366699</v>
      </c>
      <c r="CX8" s="97"/>
      <c r="CY8" s="99"/>
      <c r="CZ8" s="2" t="b">
        <f>IF($DP$1="YES",IF(RecData[[#This Row],[Power (kW)]]&gt;=$CR$3, TRUE,FALSE),TRUE)</f>
        <v>1</v>
      </c>
      <c r="DA8" s="16">
        <f>MIN(MOD(180-ABS(ABS($DA$1-RecData[Yaw Angle (°)])-180),360),MOD(180-ABS(ABS($DB$1-RecData[Yaw Angle (°)])-180),360))</f>
        <v>19.470302104148345</v>
      </c>
      <c r="DB8" s="2" t="str">
        <f>IF($DP$2="None","None",IF(RecData[[#This Row],[Relative Wind Direction]]&lt;=45,"DW",IF(RecData[[#This Row],[Relative Wind Direction]]&lt;=135,"CW","UW")))</f>
        <v>DW</v>
      </c>
      <c r="DC8" s="61" t="e">
        <f>IF($CL8-#REF!&gt;1/24,#REF!,IF(SUM($CQ8:$CQ8)&gt;$DS$1,$DS$5,DC9-1))</f>
        <v>#REF!</v>
      </c>
      <c r="DD8" s="61" t="e">
        <f>IF($CL9-$CL8&gt;1/24,#REF!,IF(SUM($CQ8:$CQ8)&gt;$DS$1,$DS$6,#REF!-1))</f>
        <v>#REF!</v>
      </c>
      <c r="DE8" s="18" t="b">
        <v>0</v>
      </c>
      <c r="DF8" s="2" t="b">
        <f>IF(OR(RecData[[#This Row],[WSpd_Avg '[m/s']]]-RecData[[#This Row],[Wind Speed min]]&gt;=$DF$3,RecData[[#This Row],[Wind Speed max]]-RecData[[#This Row],[WSpd_Avg '[m/s']]]&gt;=$DF$2),TRUE,FALSE)</f>
        <v>0</v>
      </c>
      <c r="DG8" s="2" t="b">
        <f>RecData[[#This Row],[Temperature '[°C']]]&lt;=-20</f>
        <v>0</v>
      </c>
      <c r="DH8" s="18" t="b">
        <f>NOT(OR(MOD(RecData[[#This Row],[TIMESTAMP]],1)&gt;0.91632,MOD(RecData[[#This Row],[TIMESTAMP]],1)&lt;0.208681))</f>
        <v>0</v>
      </c>
      <c r="DI8" s="18" t="b">
        <f>RecData[[#This Row],[Overall (dBA)]]-RecData[[#This Row],[L90]]&gt;=$DS$4</f>
        <v>0</v>
      </c>
      <c r="DJ8" s="18" t="b">
        <f>RecData[[#This Row],[Overall (dBA)]]&gt;$DS$2</f>
        <v>0</v>
      </c>
      <c r="DK8" s="18" t="b">
        <f>RecData[[#This Row],[Overall (dBA)]]&lt;$DS$3</f>
        <v>0</v>
      </c>
      <c r="DL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" s="2">
        <f>IF(AND(RecData[[#This Row],[Turbines ON/OFF]] = "OFF", NOT(OR(RecData[[#This Row],[Junk?]]="YES",RecData[[#This Row],[Gust?]],RecData[[#This Row],[Rain?]:[Min SPL Threshold?]]))),1,0)</f>
        <v>0</v>
      </c>
      <c r="DN8" s="16">
        <f>RecData[[#This Row],[dBA Sum]]</f>
        <v>38.216332007325384</v>
      </c>
      <c r="DO8" s="16">
        <f>RecData[[#This Row],[LAF90.0]]</f>
        <v>40.5</v>
      </c>
      <c r="DP8" s="55">
        <f>IF(AND(RecData[[#This Row],[Useable TON Data?]],RecData[[#This Row],[Turbines ON/OFF]]="ON"),RecData[[#This Row],[dBA Sum]],"")</f>
        <v>38.216332007325384</v>
      </c>
      <c r="DQ8" s="55" t="str">
        <f>IF(AND(RecData[[#This Row],[Useable Background Data?]],RecData[[#This Row],[Turbines ON/OFF]]="OFF"),RecData[[#This Row],[dBA Sum]],"")</f>
        <v/>
      </c>
      <c r="DR8" s="3">
        <f>IF(OR(RecData[[#This Row],[Useable TON Data?]],RecData[[#This Row],[Useable Background Data?]]),ROUND(RecData[[#This Row],[WSpd_Avg '[m/s']]],0),"")</f>
        <v>1</v>
      </c>
      <c r="DS8" s="85">
        <f>(0.00002)^2*(10^(RecData[[#This Row],[Overall (dBA)]]/10))</f>
        <v>2.6527308744577146E-6</v>
      </c>
    </row>
    <row r="9" spans="1:175" ht="15" x14ac:dyDescent="0.25">
      <c r="A9" s="3" t="s">
        <v>249</v>
      </c>
      <c r="B9" s="12">
        <v>43252.063888888893</v>
      </c>
      <c r="C9" s="3"/>
      <c r="D9" s="3">
        <v>43.7</v>
      </c>
      <c r="E9" s="3"/>
      <c r="F9" s="3"/>
      <c r="G9" s="3"/>
      <c r="H9" s="3"/>
      <c r="I9" s="3"/>
      <c r="J9" s="3"/>
      <c r="K9" s="3">
        <v>41.3</v>
      </c>
      <c r="L9" s="3"/>
      <c r="M9" s="3"/>
      <c r="N9" s="3">
        <v>170.3</v>
      </c>
      <c r="O9" s="3"/>
      <c r="P9" s="3"/>
      <c r="Q9" s="3">
        <v>0.82</v>
      </c>
      <c r="R9" s="3">
        <v>0.3</v>
      </c>
      <c r="S9" s="3">
        <v>2.2000000000000002</v>
      </c>
      <c r="T9" s="3">
        <v>11.1</v>
      </c>
      <c r="U9" s="3">
        <v>94.6</v>
      </c>
      <c r="V9" s="3">
        <v>963.5</v>
      </c>
      <c r="W9" s="3">
        <v>0</v>
      </c>
      <c r="X9" s="3">
        <v>44.7</v>
      </c>
      <c r="Y9" s="3">
        <v>43.7</v>
      </c>
      <c r="Z9" s="3">
        <v>43.1</v>
      </c>
      <c r="AA9" s="3">
        <v>39.6</v>
      </c>
      <c r="AB9" s="3">
        <v>34.799999999999997</v>
      </c>
      <c r="AC9" s="3">
        <v>34.5</v>
      </c>
      <c r="AD9" s="3">
        <v>38</v>
      </c>
      <c r="AE9" s="3">
        <v>40.299999999999997</v>
      </c>
      <c r="AF9" s="3">
        <v>40.6</v>
      </c>
      <c r="AG9" s="3">
        <v>36.5</v>
      </c>
      <c r="AH9" s="3">
        <v>37.5</v>
      </c>
      <c r="AI9" s="3">
        <v>36.6</v>
      </c>
      <c r="AJ9" s="3">
        <v>35.700000000000003</v>
      </c>
      <c r="AK9" s="3">
        <v>33.9</v>
      </c>
      <c r="AL9" s="3">
        <v>31.4</v>
      </c>
      <c r="AM9" s="3">
        <v>30.5</v>
      </c>
      <c r="AN9" s="3">
        <v>29.7</v>
      </c>
      <c r="AO9" s="3">
        <v>27.3</v>
      </c>
      <c r="AP9" s="3">
        <v>25.7</v>
      </c>
      <c r="AQ9" s="3">
        <v>24.9</v>
      </c>
      <c r="AR9" s="3">
        <v>22.7</v>
      </c>
      <c r="AS9" s="3">
        <v>32.9</v>
      </c>
      <c r="AT9" s="3">
        <v>40</v>
      </c>
      <c r="AU9" s="3">
        <v>17.5</v>
      </c>
      <c r="AV9" s="3">
        <v>15</v>
      </c>
      <c r="AW9" s="3">
        <v>13.8</v>
      </c>
      <c r="AX9" s="3">
        <v>11.3</v>
      </c>
      <c r="AY9" s="3">
        <v>10.6</v>
      </c>
      <c r="AZ9" s="3">
        <v>0</v>
      </c>
      <c r="BA9" s="3">
        <v>0</v>
      </c>
      <c r="BB9" s="3">
        <v>0</v>
      </c>
      <c r="BC9" s="3">
        <v>43.626612937155002</v>
      </c>
      <c r="BD9" s="3">
        <v>44.773387062845003</v>
      </c>
      <c r="BE9" s="3">
        <v>43.773387062845003</v>
      </c>
      <c r="BF9" s="3">
        <v>41.933387062845</v>
      </c>
      <c r="BG9" s="3">
        <v>38.760053729511668</v>
      </c>
      <c r="BH9" s="3">
        <v>34.100053729511657</v>
      </c>
      <c r="BI9" s="3">
        <v>34.213387062845001</v>
      </c>
      <c r="BJ9" s="3">
        <v>38.506720396178324</v>
      </c>
      <c r="BK9" s="3">
        <v>40.68005372951167</v>
      </c>
      <c r="BL9" s="3">
        <v>40.553387062845005</v>
      </c>
      <c r="BM9" s="3">
        <v>36.586720396178336</v>
      </c>
      <c r="BN9" s="3">
        <v>37.870053729511667</v>
      </c>
      <c r="BO9" s="3">
        <v>36.336720396178336</v>
      </c>
      <c r="BP9" s="3">
        <v>35.153387062844999</v>
      </c>
      <c r="BQ9" s="3">
        <v>33.770053729511659</v>
      </c>
      <c r="BR9" s="3">
        <v>31.596720396178327</v>
      </c>
      <c r="BS9" s="3">
        <v>30.500053729511663</v>
      </c>
      <c r="BT9" s="3">
        <v>29.896720396178338</v>
      </c>
      <c r="BU9" s="3">
        <v>27.463387062845001</v>
      </c>
      <c r="BV9" s="3">
        <v>25.580053729511675</v>
      </c>
      <c r="BW9" s="3">
        <v>25.313387062844996</v>
      </c>
      <c r="BX9" s="3">
        <v>23.033387062845009</v>
      </c>
      <c r="BY9" s="3">
        <v>33.053387062845005</v>
      </c>
      <c r="BZ9" s="3">
        <v>40.283387062844994</v>
      </c>
      <c r="CA9" s="3">
        <v>17.883387062844989</v>
      </c>
      <c r="CB9" s="3">
        <v>14.820053729511663</v>
      </c>
      <c r="CC9" s="3">
        <v>13.833387062844999</v>
      </c>
      <c r="CD9" s="3">
        <v>10.640053729511671</v>
      </c>
      <c r="CE9" s="3">
        <v>10.133387062845003</v>
      </c>
      <c r="CF9" s="3">
        <v>-0.85327960382166879</v>
      </c>
      <c r="CG9" s="3">
        <v>-1.3866129371550002</v>
      </c>
      <c r="CH9" s="3">
        <v>-2.4632796038216682</v>
      </c>
      <c r="CI9" s="13">
        <f>[1]!dbasum(RecData[[#This Row],[20]:[2000]],RecData[[#Headers],[20]:[2000]])</f>
        <v>38.544659082045698</v>
      </c>
      <c r="CJ9" s="14">
        <v>637</v>
      </c>
      <c r="CK9" s="15" t="s">
        <v>249</v>
      </c>
      <c r="CL9" s="15">
        <f>RecData[[#This Row],[Start Time]]</f>
        <v>43252.063888888893</v>
      </c>
      <c r="CM9" s="16">
        <f>RecData[[#This Row],[Wind Speed avg]]</f>
        <v>0.82</v>
      </c>
      <c r="CN9" s="16">
        <f>RecData[[#This Row],[Wind Dir. avg]]</f>
        <v>170.3</v>
      </c>
      <c r="CO9" s="16">
        <f>RecData[[#This Row],[Amb. Humidity]]</f>
        <v>94.6</v>
      </c>
      <c r="CP9" s="16">
        <f>RecData[[#This Row],[Amb. Temperature]]</f>
        <v>11.1</v>
      </c>
      <c r="CQ9" s="17">
        <f>RecData[[#This Row],[Amb. Rain Gauge]]</f>
        <v>0</v>
      </c>
      <c r="CR9" s="97" t="s">
        <v>1</v>
      </c>
      <c r="CS9" s="97" t="s">
        <v>49</v>
      </c>
      <c r="CT9" s="98">
        <v>1599.5507809999999</v>
      </c>
      <c r="CU9" s="98">
        <v>27.000228881835898</v>
      </c>
      <c r="CV9" s="98">
        <v>10.111472129821699</v>
      </c>
      <c r="CW9" s="98">
        <v>15.297793388366699</v>
      </c>
      <c r="CX9" s="97"/>
      <c r="CY9" s="99"/>
      <c r="CZ9" s="2" t="b">
        <f>IF($DP$1="YES",IF(RecData[[#This Row],[Power (kW)]]&gt;=$CR$3, TRUE,FALSE),TRUE)</f>
        <v>1</v>
      </c>
      <c r="DA9" s="16">
        <f>MIN(MOD(180-ABS(ABS($DA$1-RecData[Yaw Angle (°)])-180),360),MOD(180-ABS(ABS($DB$1-RecData[Yaw Angle (°)])-180),360))</f>
        <v>19.470302104148345</v>
      </c>
      <c r="DB9" s="2" t="str">
        <f>IF($DP$2="None","None",IF(RecData[[#This Row],[Relative Wind Direction]]&lt;=45,"DW",IF(RecData[[#This Row],[Relative Wind Direction]]&lt;=135,"CW","UW")))</f>
        <v>DW</v>
      </c>
      <c r="DC9" s="61" t="e">
        <f>IF($CL9-#REF!&gt;1/24,#REF!,IF(SUM($CQ8:$CQ9)&gt;$DS$1,$DS$5,#REF!-1))</f>
        <v>#REF!</v>
      </c>
      <c r="DD9" s="61" t="e">
        <f>IF(#REF!-$CL9&gt;1/24,#REF!,IF(SUM($CQ8:$CQ9)&gt;$DS$1,$DS$6,DD8-1))</f>
        <v>#REF!</v>
      </c>
      <c r="DE9" s="18" t="b">
        <v>0</v>
      </c>
      <c r="DF9" s="2" t="b">
        <f>IF(OR(RecData[[#This Row],[WSpd_Avg '[m/s']]]-RecData[[#This Row],[Wind Speed min]]&gt;=$DF$3,RecData[[#This Row],[Wind Speed max]]-RecData[[#This Row],[WSpd_Avg '[m/s']]]&gt;=$DF$2),TRUE,FALSE)</f>
        <v>0</v>
      </c>
      <c r="DG9" s="2" t="b">
        <f>RecData[[#This Row],[Temperature '[°C']]]&lt;=-20</f>
        <v>0</v>
      </c>
      <c r="DH9" s="18" t="b">
        <f>NOT(OR(MOD(RecData[[#This Row],[TIMESTAMP]],1)&gt;0.91632,MOD(RecData[[#This Row],[TIMESTAMP]],1)&lt;0.208681))</f>
        <v>0</v>
      </c>
      <c r="DI9" s="18" t="b">
        <f>RecData[[#This Row],[Overall (dBA)]]-RecData[[#This Row],[L90]]&gt;=$DS$4</f>
        <v>0</v>
      </c>
      <c r="DJ9" s="18" t="b">
        <f>RecData[[#This Row],[Overall (dBA)]]&gt;$DS$2</f>
        <v>0</v>
      </c>
      <c r="DK9" s="18" t="b">
        <f>RecData[[#This Row],[Overall (dBA)]]&lt;$DS$3</f>
        <v>0</v>
      </c>
      <c r="DL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" s="2">
        <f>IF(AND(RecData[[#This Row],[Turbines ON/OFF]] = "OFF", NOT(OR(RecData[[#This Row],[Junk?]]="YES",RecData[[#This Row],[Gust?]],RecData[[#This Row],[Rain?]:[Min SPL Threshold?]]))),1,0)</f>
        <v>0</v>
      </c>
      <c r="DN9" s="16">
        <f>RecData[[#This Row],[dBA Sum]]</f>
        <v>38.544659082045698</v>
      </c>
      <c r="DO9" s="16">
        <f>RecData[[#This Row],[LAF90.0]]</f>
        <v>41.3</v>
      </c>
      <c r="DP9" s="55">
        <f>IF(AND(RecData[[#This Row],[Useable TON Data?]],RecData[[#This Row],[Turbines ON/OFF]]="ON"),RecData[[#This Row],[dBA Sum]],"")</f>
        <v>38.544659082045698</v>
      </c>
      <c r="DQ9" s="55" t="str">
        <f>IF(AND(RecData[[#This Row],[Useable Background Data?]],RecData[[#This Row],[Turbines ON/OFF]]="OFF"),RecData[[#This Row],[dBA Sum]],"")</f>
        <v/>
      </c>
      <c r="DR9" s="3">
        <f>IF(OR(RecData[[#This Row],[Useable TON Data?]],RecData[[#This Row],[Useable Background Data?]]),ROUND(RecData[[#This Row],[WSpd_Avg '[m/s']]],0),"")</f>
        <v>1</v>
      </c>
      <c r="DS9" s="85">
        <f>(0.00002)^2*(10^(RecData[[#This Row],[Overall (dBA)]]/10))</f>
        <v>2.8610529769446532E-6</v>
      </c>
    </row>
    <row r="10" spans="1:175" ht="15" x14ac:dyDescent="0.25">
      <c r="A10" s="3" t="s">
        <v>249</v>
      </c>
      <c r="B10" s="12">
        <v>43252.06527777778</v>
      </c>
      <c r="C10" s="3"/>
      <c r="D10" s="3">
        <v>42.4</v>
      </c>
      <c r="E10" s="3"/>
      <c r="F10" s="3"/>
      <c r="G10" s="3"/>
      <c r="H10" s="3"/>
      <c r="I10" s="3"/>
      <c r="J10" s="3"/>
      <c r="K10" s="3">
        <v>40.200000000000003</v>
      </c>
      <c r="L10" s="3"/>
      <c r="M10" s="3"/>
      <c r="N10" s="3">
        <v>137.5</v>
      </c>
      <c r="O10" s="3"/>
      <c r="P10" s="3"/>
      <c r="Q10" s="3">
        <v>1.61</v>
      </c>
      <c r="R10" s="3">
        <v>0.3</v>
      </c>
      <c r="S10" s="3">
        <v>2.5</v>
      </c>
      <c r="T10" s="3">
        <v>10.9</v>
      </c>
      <c r="U10" s="3">
        <v>93.8</v>
      </c>
      <c r="V10" s="3">
        <v>963.5</v>
      </c>
      <c r="W10" s="3">
        <v>0</v>
      </c>
      <c r="X10" s="3">
        <v>44.5</v>
      </c>
      <c r="Y10" s="3">
        <v>45.9</v>
      </c>
      <c r="Z10" s="3">
        <v>44.6</v>
      </c>
      <c r="AA10" s="3">
        <v>40.5</v>
      </c>
      <c r="AB10" s="3">
        <v>36.799999999999997</v>
      </c>
      <c r="AC10" s="3">
        <v>34.299999999999997</v>
      </c>
      <c r="AD10" s="3">
        <v>38.9</v>
      </c>
      <c r="AE10" s="3">
        <v>41.5</v>
      </c>
      <c r="AF10" s="3">
        <v>44.4</v>
      </c>
      <c r="AG10" s="3">
        <v>37.6</v>
      </c>
      <c r="AH10" s="3">
        <v>36.700000000000003</v>
      </c>
      <c r="AI10" s="3">
        <v>36.799999999999997</v>
      </c>
      <c r="AJ10" s="3">
        <v>35.799999999999997</v>
      </c>
      <c r="AK10" s="3">
        <v>34.299999999999997</v>
      </c>
      <c r="AL10" s="3">
        <v>32</v>
      </c>
      <c r="AM10" s="3">
        <v>31.5</v>
      </c>
      <c r="AN10" s="3">
        <v>30.7</v>
      </c>
      <c r="AO10" s="3">
        <v>28.5</v>
      </c>
      <c r="AP10" s="3">
        <v>26.9</v>
      </c>
      <c r="AQ10" s="3">
        <v>25.7</v>
      </c>
      <c r="AR10" s="3">
        <v>23.5</v>
      </c>
      <c r="AS10" s="3">
        <v>31</v>
      </c>
      <c r="AT10" s="3">
        <v>37.299999999999997</v>
      </c>
      <c r="AU10" s="3">
        <v>16.899999999999999</v>
      </c>
      <c r="AV10" s="3">
        <v>14.1</v>
      </c>
      <c r="AW10" s="3">
        <v>12.3</v>
      </c>
      <c r="AX10" s="3">
        <v>10.3</v>
      </c>
      <c r="AY10" s="3">
        <v>9.9</v>
      </c>
      <c r="AZ10" s="3">
        <v>0</v>
      </c>
      <c r="BA10" s="3">
        <v>0</v>
      </c>
      <c r="BB10" s="3">
        <v>0</v>
      </c>
      <c r="BC10" s="3">
        <v>42.422117807867465</v>
      </c>
      <c r="BD10" s="3">
        <v>44.47788219213254</v>
      </c>
      <c r="BE10" s="3">
        <v>45.877882192132532</v>
      </c>
      <c r="BF10" s="3">
        <v>43.337882192132525</v>
      </c>
      <c r="BG10" s="3">
        <v>39.564548858799199</v>
      </c>
      <c r="BH10" s="3">
        <v>36.004548858799197</v>
      </c>
      <c r="BI10" s="3">
        <v>33.917882192132538</v>
      </c>
      <c r="BJ10" s="3">
        <v>39.311215525465855</v>
      </c>
      <c r="BK10" s="3">
        <v>41.784548858799198</v>
      </c>
      <c r="BL10" s="3">
        <v>44.257882192132541</v>
      </c>
      <c r="BM10" s="3">
        <v>37.59121552546587</v>
      </c>
      <c r="BN10" s="3">
        <v>36.97454885879921</v>
      </c>
      <c r="BO10" s="3">
        <v>36.441215525465864</v>
      </c>
      <c r="BP10" s="3">
        <v>35.157882192132533</v>
      </c>
      <c r="BQ10" s="3">
        <v>34.07454885879919</v>
      </c>
      <c r="BR10" s="3">
        <v>32.101215525465875</v>
      </c>
      <c r="BS10" s="3">
        <v>31.404548858799203</v>
      </c>
      <c r="BT10" s="3">
        <v>30.801215525465864</v>
      </c>
      <c r="BU10" s="3">
        <v>28.567882192132544</v>
      </c>
      <c r="BV10" s="3">
        <v>26.684548858799204</v>
      </c>
      <c r="BW10" s="3">
        <v>26.017882192132532</v>
      </c>
      <c r="BX10" s="3">
        <v>23.737882192132531</v>
      </c>
      <c r="BY10" s="3">
        <v>31.057882192132524</v>
      </c>
      <c r="BZ10" s="3">
        <v>37.487882192132531</v>
      </c>
      <c r="CA10" s="3">
        <v>17.18788219213252</v>
      </c>
      <c r="CB10" s="3">
        <v>13.824548858799197</v>
      </c>
      <c r="CC10" s="3">
        <v>12.237882192132531</v>
      </c>
      <c r="CD10" s="3">
        <v>9.5445488587992031</v>
      </c>
      <c r="CE10" s="3">
        <v>9.3378821921325326</v>
      </c>
      <c r="CF10" s="3">
        <v>-0.94878447453413628</v>
      </c>
      <c r="CG10" s="3">
        <v>-1.4821178078674677</v>
      </c>
      <c r="CH10" s="3">
        <v>-2.5587844745341357</v>
      </c>
      <c r="CI10" s="13">
        <f>[1]!dbasum(RecData[[#This Row],[20]:[2000]],RecData[[#Headers],[20]:[2000]])</f>
        <v>39.268072339998803</v>
      </c>
      <c r="CJ10" s="14">
        <v>639</v>
      </c>
      <c r="CK10" s="15" t="s">
        <v>249</v>
      </c>
      <c r="CL10" s="15">
        <f>RecData[[#This Row],[Start Time]]</f>
        <v>43252.06527777778</v>
      </c>
      <c r="CM10" s="16">
        <f>RecData[[#This Row],[Wind Speed avg]]</f>
        <v>1.61</v>
      </c>
      <c r="CN10" s="16">
        <f>RecData[[#This Row],[Wind Dir. avg]]</f>
        <v>137.5</v>
      </c>
      <c r="CO10" s="16">
        <f>RecData[[#This Row],[Amb. Humidity]]</f>
        <v>93.8</v>
      </c>
      <c r="CP10" s="16">
        <f>RecData[[#This Row],[Amb. Temperature]]</f>
        <v>10.9</v>
      </c>
      <c r="CQ10" s="17">
        <f>RecData[[#This Row],[Amb. Rain Gauge]]</f>
        <v>0</v>
      </c>
      <c r="CR10" s="97" t="s">
        <v>1</v>
      </c>
      <c r="CS10" s="97" t="s">
        <v>49</v>
      </c>
      <c r="CT10" s="98">
        <v>1599.5507809999999</v>
      </c>
      <c r="CU10" s="98">
        <v>27.000228881835898</v>
      </c>
      <c r="CV10" s="98">
        <v>10.111472129821699</v>
      </c>
      <c r="CW10" s="98">
        <v>15.297793388366699</v>
      </c>
      <c r="CX10" s="97"/>
      <c r="CY10" s="99"/>
      <c r="CZ10" s="2" t="b">
        <f>IF($DP$1="YES",IF(RecData[[#This Row],[Power (kW)]]&gt;=$CR$3, TRUE,FALSE),TRUE)</f>
        <v>1</v>
      </c>
      <c r="DA10" s="16">
        <f>MIN(MOD(180-ABS(ABS($DA$1-RecData[Yaw Angle (°)])-180),360),MOD(180-ABS(ABS($DB$1-RecData[Yaw Angle (°)])-180),360))</f>
        <v>19.470302104148345</v>
      </c>
      <c r="DB10" s="2" t="str">
        <f>IF($DP$2="None","None",IF(RecData[[#This Row],[Relative Wind Direction]]&lt;=45,"DW",IF(RecData[[#This Row],[Relative Wind Direction]]&lt;=135,"CW","UW")))</f>
        <v>DW</v>
      </c>
      <c r="DC10" s="61" t="e">
        <f>IF($CL10-#REF!&gt;1/24,#REF!,IF(SUM($CQ8:$CQ10)&gt;$DS$1,$DS$5,#REF!-1))</f>
        <v>#REF!</v>
      </c>
      <c r="DD10" s="61" t="e">
        <f>IF(#REF!-$CL10&gt;1/24,#REF!,IF(SUM($CQ8:$CQ10)&gt;$DS$1,$DS$6,#REF!-1))</f>
        <v>#REF!</v>
      </c>
      <c r="DE10" s="18" t="b">
        <v>0</v>
      </c>
      <c r="DF10" s="2" t="b">
        <f>IF(OR(RecData[[#This Row],[WSpd_Avg '[m/s']]]-RecData[[#This Row],[Wind Speed min]]&gt;=$DF$3,RecData[[#This Row],[Wind Speed max]]-RecData[[#This Row],[WSpd_Avg '[m/s']]]&gt;=$DF$2),TRUE,FALSE)</f>
        <v>0</v>
      </c>
      <c r="DG10" s="2" t="b">
        <f>RecData[[#This Row],[Temperature '[°C']]]&lt;=-20</f>
        <v>0</v>
      </c>
      <c r="DH10" s="18" t="b">
        <f>NOT(OR(MOD(RecData[[#This Row],[TIMESTAMP]],1)&gt;0.91632,MOD(RecData[[#This Row],[TIMESTAMP]],1)&lt;0.208681))</f>
        <v>0</v>
      </c>
      <c r="DI10" s="18" t="b">
        <f>RecData[[#This Row],[Overall (dBA)]]-RecData[[#This Row],[L90]]&gt;=$DS$4</f>
        <v>0</v>
      </c>
      <c r="DJ10" s="18" t="b">
        <f>RecData[[#This Row],[Overall (dBA)]]&gt;$DS$2</f>
        <v>0</v>
      </c>
      <c r="DK10" s="18" t="b">
        <f>RecData[[#This Row],[Overall (dBA)]]&lt;$DS$3</f>
        <v>0</v>
      </c>
      <c r="DL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" s="2">
        <f>IF(AND(RecData[[#This Row],[Turbines ON/OFF]] = "OFF", NOT(OR(RecData[[#This Row],[Junk?]]="YES",RecData[[#This Row],[Gust?]],RecData[[#This Row],[Rain?]:[Min SPL Threshold?]]))),1,0)</f>
        <v>0</v>
      </c>
      <c r="DN10" s="16">
        <f>RecData[[#This Row],[dBA Sum]]</f>
        <v>39.268072339998803</v>
      </c>
      <c r="DO10" s="16">
        <f>RecData[[#This Row],[LAF90.0]]</f>
        <v>40.200000000000003</v>
      </c>
      <c r="DP10" s="55">
        <f>IF(AND(RecData[[#This Row],[Useable TON Data?]],RecData[[#This Row],[Turbines ON/OFF]]="ON"),RecData[[#This Row],[dBA Sum]],"")</f>
        <v>39.268072339998803</v>
      </c>
      <c r="DQ10" s="55" t="str">
        <f>IF(AND(RecData[[#This Row],[Useable Background Data?]],RecData[[#This Row],[Turbines ON/OFF]]="OFF"),RecData[[#This Row],[dBA Sum]],"")</f>
        <v/>
      </c>
      <c r="DR10" s="3">
        <f>IF(OR(RecData[[#This Row],[Useable TON Data?]],RecData[[#This Row],[Useable Background Data?]]),ROUND(RecData[[#This Row],[WSpd_Avg '[m/s']]],0),"")</f>
        <v>2</v>
      </c>
      <c r="DS10" s="85">
        <f>(0.00002)^2*(10^(RecData[[#This Row],[Overall (dBA)]]/10))</f>
        <v>3.3796149713788317E-6</v>
      </c>
    </row>
    <row r="11" spans="1:175" ht="15" x14ac:dyDescent="0.25">
      <c r="A11" s="3" t="s">
        <v>249</v>
      </c>
      <c r="B11" s="12">
        <v>43252.068055555559</v>
      </c>
      <c r="C11" s="3"/>
      <c r="D11" s="3">
        <v>43.4</v>
      </c>
      <c r="E11" s="3"/>
      <c r="F11" s="3"/>
      <c r="G11" s="3"/>
      <c r="H11" s="3"/>
      <c r="I11" s="3"/>
      <c r="J11" s="3"/>
      <c r="K11" s="3">
        <v>42</v>
      </c>
      <c r="L11" s="3"/>
      <c r="M11" s="3"/>
      <c r="N11" s="3">
        <v>209.1</v>
      </c>
      <c r="O11" s="3"/>
      <c r="P11" s="3"/>
      <c r="Q11" s="3">
        <v>0.83</v>
      </c>
      <c r="R11" s="3">
        <v>0.3</v>
      </c>
      <c r="S11" s="3">
        <v>2.2999999999999998</v>
      </c>
      <c r="T11" s="3">
        <v>10.7</v>
      </c>
      <c r="U11" s="3">
        <v>93.4</v>
      </c>
      <c r="V11" s="3">
        <v>963.6</v>
      </c>
      <c r="W11" s="3">
        <v>0</v>
      </c>
      <c r="X11" s="3">
        <v>44.1</v>
      </c>
      <c r="Y11" s="3">
        <v>43.6</v>
      </c>
      <c r="Z11" s="3">
        <v>43.1</v>
      </c>
      <c r="AA11" s="3">
        <v>38.9</v>
      </c>
      <c r="AB11" s="3">
        <v>34.6</v>
      </c>
      <c r="AC11" s="3">
        <v>34.1</v>
      </c>
      <c r="AD11" s="3">
        <v>37.200000000000003</v>
      </c>
      <c r="AE11" s="3">
        <v>38.799999999999997</v>
      </c>
      <c r="AF11" s="3">
        <v>42.8</v>
      </c>
      <c r="AG11" s="3">
        <v>36</v>
      </c>
      <c r="AH11" s="3">
        <v>35.4</v>
      </c>
      <c r="AI11" s="3">
        <v>35.6</v>
      </c>
      <c r="AJ11" s="3">
        <v>34.5</v>
      </c>
      <c r="AK11" s="3">
        <v>33.1</v>
      </c>
      <c r="AL11" s="3">
        <v>31.2</v>
      </c>
      <c r="AM11" s="3">
        <v>30.7</v>
      </c>
      <c r="AN11" s="3">
        <v>30</v>
      </c>
      <c r="AO11" s="3">
        <v>27.5</v>
      </c>
      <c r="AP11" s="3">
        <v>25.7</v>
      </c>
      <c r="AQ11" s="3">
        <v>24.3</v>
      </c>
      <c r="AR11" s="3">
        <v>21.5</v>
      </c>
      <c r="AS11" s="3">
        <v>33.9</v>
      </c>
      <c r="AT11" s="3">
        <v>39.6</v>
      </c>
      <c r="AU11" s="3">
        <v>14.9</v>
      </c>
      <c r="AV11" s="3">
        <v>11.6</v>
      </c>
      <c r="AW11" s="3">
        <v>10.7</v>
      </c>
      <c r="AX11" s="3">
        <v>9.6999999999999993</v>
      </c>
      <c r="AY11" s="3">
        <v>9.6999999999999993</v>
      </c>
      <c r="AZ11" s="3">
        <v>0</v>
      </c>
      <c r="BA11" s="3">
        <v>0</v>
      </c>
      <c r="BB11" s="3">
        <v>0</v>
      </c>
      <c r="BC11" s="3">
        <v>43.414782744755776</v>
      </c>
      <c r="BD11" s="3">
        <v>44.085217255244224</v>
      </c>
      <c r="BE11" s="3">
        <v>43.585217255244224</v>
      </c>
      <c r="BF11" s="3">
        <v>41.845217255244215</v>
      </c>
      <c r="BG11" s="3">
        <v>37.97188392191088</v>
      </c>
      <c r="BH11" s="3">
        <v>33.811883921910884</v>
      </c>
      <c r="BI11" s="3">
        <v>33.725217255244225</v>
      </c>
      <c r="BJ11" s="3">
        <v>37.618550588577556</v>
      </c>
      <c r="BK11" s="3">
        <v>39.091883921910885</v>
      </c>
      <c r="BL11" s="3">
        <v>42.665217255244222</v>
      </c>
      <c r="BM11" s="3">
        <v>35.998550588577551</v>
      </c>
      <c r="BN11" s="3">
        <v>35.681883921910888</v>
      </c>
      <c r="BO11" s="3">
        <v>35.248550588577551</v>
      </c>
      <c r="BP11" s="3">
        <v>33.865217255244225</v>
      </c>
      <c r="BQ11" s="3">
        <v>32.881883921910877</v>
      </c>
      <c r="BR11" s="3">
        <v>31.308550588577553</v>
      </c>
      <c r="BS11" s="3">
        <v>30.611883921910895</v>
      </c>
      <c r="BT11" s="3">
        <v>30.108550588577565</v>
      </c>
      <c r="BU11" s="3">
        <v>27.575217255244233</v>
      </c>
      <c r="BV11" s="3">
        <v>25.49188392191089</v>
      </c>
      <c r="BW11" s="3">
        <v>24.62521725524423</v>
      </c>
      <c r="BX11" s="3">
        <v>21.745217255244221</v>
      </c>
      <c r="BY11" s="3">
        <v>33.96521725524422</v>
      </c>
      <c r="BZ11" s="3">
        <v>39.795217255244232</v>
      </c>
      <c r="CA11" s="3">
        <v>15.195217255244216</v>
      </c>
      <c r="CB11" s="3">
        <v>11.331883921910887</v>
      </c>
      <c r="CC11" s="3">
        <v>10.645217255244219</v>
      </c>
      <c r="CD11" s="3">
        <v>8.9518839219108912</v>
      </c>
      <c r="CE11" s="3">
        <v>9.1452172552442192</v>
      </c>
      <c r="CF11" s="3">
        <v>-0.94144941142244676</v>
      </c>
      <c r="CG11" s="3">
        <v>-1.4747827447557782</v>
      </c>
      <c r="CH11" s="3">
        <v>-2.5514494114224462</v>
      </c>
      <c r="CI11" s="13">
        <f>[1]!dbasum(RecData[[#This Row],[20]:[2000]],RecData[[#Headers],[20]:[2000]])</f>
        <v>38.114403460205331</v>
      </c>
      <c r="CJ11" s="14">
        <v>643</v>
      </c>
      <c r="CK11" s="15" t="s">
        <v>249</v>
      </c>
      <c r="CL11" s="15">
        <f>RecData[[#This Row],[Start Time]]</f>
        <v>43252.068055555559</v>
      </c>
      <c r="CM11" s="16">
        <f>RecData[[#This Row],[Wind Speed avg]]</f>
        <v>0.83</v>
      </c>
      <c r="CN11" s="16">
        <f>RecData[[#This Row],[Wind Dir. avg]]</f>
        <v>209.1</v>
      </c>
      <c r="CO11" s="16">
        <f>RecData[[#This Row],[Amb. Humidity]]</f>
        <v>93.4</v>
      </c>
      <c r="CP11" s="16">
        <f>RecData[[#This Row],[Amb. Temperature]]</f>
        <v>10.7</v>
      </c>
      <c r="CQ11" s="17">
        <f>RecData[[#This Row],[Amb. Rain Gauge]]</f>
        <v>0</v>
      </c>
      <c r="CR11" s="97" t="s">
        <v>1</v>
      </c>
      <c r="CS11" s="97" t="s">
        <v>49</v>
      </c>
      <c r="CT11" s="98">
        <v>1599.5507809999999</v>
      </c>
      <c r="CU11" s="98">
        <v>27.000228881835898</v>
      </c>
      <c r="CV11" s="98">
        <v>10.111472129821699</v>
      </c>
      <c r="CW11" s="98">
        <v>15.297793388366699</v>
      </c>
      <c r="CX11" s="97"/>
      <c r="CY11" s="99"/>
      <c r="CZ11" s="2" t="b">
        <f>IF($DP$1="YES",IF(RecData[[#This Row],[Power (kW)]]&gt;=$CR$3, TRUE,FALSE),TRUE)</f>
        <v>1</v>
      </c>
      <c r="DA11" s="16">
        <f>MIN(MOD(180-ABS(ABS($DA$1-RecData[Yaw Angle (°)])-180),360),MOD(180-ABS(ABS($DB$1-RecData[Yaw Angle (°)])-180),360))</f>
        <v>19.470302104148345</v>
      </c>
      <c r="DB11" s="2" t="str">
        <f>IF($DP$2="None","None",IF(RecData[[#This Row],[Relative Wind Direction]]&lt;=45,"DW",IF(RecData[[#This Row],[Relative Wind Direction]]&lt;=135,"CW","UW")))</f>
        <v>DW</v>
      </c>
      <c r="DC11" s="61" t="e">
        <f>IF($CL11-#REF!&gt;1/24,#REF!,IF(SUM($CQ11:$CQ11)&gt;$DS$1,$DS$5,DC12-1))</f>
        <v>#REF!</v>
      </c>
      <c r="DD11" s="61" t="e">
        <f>IF($CL12-$CL11&gt;1/24,#REF!,IF(SUM($CQ11:$CQ11)&gt;$DS$1,$DS$6,#REF!-1))</f>
        <v>#REF!</v>
      </c>
      <c r="DE11" s="18" t="b">
        <v>0</v>
      </c>
      <c r="DF11" s="2" t="b">
        <f>IF(OR(RecData[[#This Row],[WSpd_Avg '[m/s']]]-RecData[[#This Row],[Wind Speed min]]&gt;=$DF$3,RecData[[#This Row],[Wind Speed max]]-RecData[[#This Row],[WSpd_Avg '[m/s']]]&gt;=$DF$2),TRUE,FALSE)</f>
        <v>0</v>
      </c>
      <c r="DG11" s="2" t="b">
        <f>RecData[[#This Row],[Temperature '[°C']]]&lt;=-20</f>
        <v>0</v>
      </c>
      <c r="DH11" s="18" t="b">
        <f>NOT(OR(MOD(RecData[[#This Row],[TIMESTAMP]],1)&gt;0.91632,MOD(RecData[[#This Row],[TIMESTAMP]],1)&lt;0.208681))</f>
        <v>0</v>
      </c>
      <c r="DI11" s="18" t="b">
        <f>RecData[[#This Row],[Overall (dBA)]]-RecData[[#This Row],[L90]]&gt;=$DS$4</f>
        <v>0</v>
      </c>
      <c r="DJ11" s="18" t="b">
        <f>RecData[[#This Row],[Overall (dBA)]]&gt;$DS$2</f>
        <v>0</v>
      </c>
      <c r="DK11" s="18" t="b">
        <f>RecData[[#This Row],[Overall (dBA)]]&lt;$DS$3</f>
        <v>0</v>
      </c>
      <c r="DL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" s="2">
        <f>IF(AND(RecData[[#This Row],[Turbines ON/OFF]] = "OFF", NOT(OR(RecData[[#This Row],[Junk?]]="YES",RecData[[#This Row],[Gust?]],RecData[[#This Row],[Rain?]:[Min SPL Threshold?]]))),1,0)</f>
        <v>0</v>
      </c>
      <c r="DN11" s="16">
        <f>RecData[[#This Row],[dBA Sum]]</f>
        <v>38.114403460205331</v>
      </c>
      <c r="DO11" s="16">
        <f>RecData[[#This Row],[LAF90.0]]</f>
        <v>42</v>
      </c>
      <c r="DP11" s="55">
        <f>IF(AND(RecData[[#This Row],[Useable TON Data?]],RecData[[#This Row],[Turbines ON/OFF]]="ON"),RecData[[#This Row],[dBA Sum]],"")</f>
        <v>38.114403460205331</v>
      </c>
      <c r="DQ11" s="55" t="str">
        <f>IF(AND(RecData[[#This Row],[Useable Background Data?]],RecData[[#This Row],[Turbines ON/OFF]]="OFF"),RecData[[#This Row],[dBA Sum]],"")</f>
        <v/>
      </c>
      <c r="DR11" s="3">
        <f>IF(OR(RecData[[#This Row],[Useable TON Data?]],RecData[[#This Row],[Useable Background Data?]]),ROUND(RecData[[#This Row],[WSpd_Avg '[m/s']]],0),"")</f>
        <v>1</v>
      </c>
      <c r="DS11" s="85">
        <f>(0.00002)^2*(10^(RecData[[#This Row],[Overall (dBA)]]/10))</f>
        <v>2.5911964341269125E-6</v>
      </c>
    </row>
    <row r="12" spans="1:175" ht="15" x14ac:dyDescent="0.25">
      <c r="A12" s="3" t="s">
        <v>249</v>
      </c>
      <c r="B12" s="12">
        <v>43252.068750000006</v>
      </c>
      <c r="C12" s="3"/>
      <c r="D12" s="3">
        <v>42</v>
      </c>
      <c r="E12" s="3"/>
      <c r="F12" s="3"/>
      <c r="G12" s="3"/>
      <c r="H12" s="3"/>
      <c r="I12" s="3"/>
      <c r="J12" s="3"/>
      <c r="K12" s="3">
        <v>40.4</v>
      </c>
      <c r="L12" s="3"/>
      <c r="M12" s="3"/>
      <c r="N12" s="3">
        <v>172.5</v>
      </c>
      <c r="O12" s="3"/>
      <c r="P12" s="3"/>
      <c r="Q12" s="3">
        <v>0.68</v>
      </c>
      <c r="R12" s="3">
        <v>0.1</v>
      </c>
      <c r="S12" s="3">
        <v>1.9</v>
      </c>
      <c r="T12" s="3">
        <v>10.6</v>
      </c>
      <c r="U12" s="3">
        <v>93.2</v>
      </c>
      <c r="V12" s="3">
        <v>963.6</v>
      </c>
      <c r="W12" s="3">
        <v>0</v>
      </c>
      <c r="X12" s="3">
        <v>43.7</v>
      </c>
      <c r="Y12" s="3">
        <v>43.5</v>
      </c>
      <c r="Z12" s="3">
        <v>42.7</v>
      </c>
      <c r="AA12" s="3">
        <v>38.1</v>
      </c>
      <c r="AB12" s="3">
        <v>34</v>
      </c>
      <c r="AC12" s="3">
        <v>33.299999999999997</v>
      </c>
      <c r="AD12" s="3">
        <v>36.799999999999997</v>
      </c>
      <c r="AE12" s="3">
        <v>39.5</v>
      </c>
      <c r="AF12" s="3">
        <v>42.8</v>
      </c>
      <c r="AG12" s="3">
        <v>36.4</v>
      </c>
      <c r="AH12" s="3">
        <v>35.700000000000003</v>
      </c>
      <c r="AI12" s="3">
        <v>35.799999999999997</v>
      </c>
      <c r="AJ12" s="3">
        <v>34.700000000000003</v>
      </c>
      <c r="AK12" s="3">
        <v>33.200000000000003</v>
      </c>
      <c r="AL12" s="3">
        <v>30.9</v>
      </c>
      <c r="AM12" s="3">
        <v>30.3</v>
      </c>
      <c r="AN12" s="3">
        <v>29.3</v>
      </c>
      <c r="AO12" s="3">
        <v>26.7</v>
      </c>
      <c r="AP12" s="3">
        <v>24.8</v>
      </c>
      <c r="AQ12" s="3">
        <v>23.7</v>
      </c>
      <c r="AR12" s="3">
        <v>21.2</v>
      </c>
      <c r="AS12" s="3">
        <v>31.5</v>
      </c>
      <c r="AT12" s="3">
        <v>37.5</v>
      </c>
      <c r="AU12" s="3">
        <v>14.8</v>
      </c>
      <c r="AV12" s="3">
        <v>12.5</v>
      </c>
      <c r="AW12" s="3">
        <v>11</v>
      </c>
      <c r="AX12" s="3">
        <v>9.9</v>
      </c>
      <c r="AY12" s="3">
        <v>9.6</v>
      </c>
      <c r="AZ12" s="3">
        <v>0</v>
      </c>
      <c r="BA12" s="3">
        <v>0</v>
      </c>
      <c r="BB12" s="3">
        <v>0</v>
      </c>
      <c r="BC12" s="3">
        <v>41.93398159969685</v>
      </c>
      <c r="BD12" s="3">
        <v>43.766018400303153</v>
      </c>
      <c r="BE12" s="3">
        <v>43.56601840030315</v>
      </c>
      <c r="BF12" s="3">
        <v>41.526018400303158</v>
      </c>
      <c r="BG12" s="3">
        <v>37.252685066969818</v>
      </c>
      <c r="BH12" s="3">
        <v>33.29268506696981</v>
      </c>
      <c r="BI12" s="3">
        <v>33.006018400303148</v>
      </c>
      <c r="BJ12" s="3">
        <v>37.29935173363647</v>
      </c>
      <c r="BK12" s="3">
        <v>39.872685066969822</v>
      </c>
      <c r="BL12" s="3">
        <v>42.746018400303157</v>
      </c>
      <c r="BM12" s="3">
        <v>36.479351733636477</v>
      </c>
      <c r="BN12" s="3">
        <v>36.06268506696982</v>
      </c>
      <c r="BO12" s="3">
        <v>35.529351733636489</v>
      </c>
      <c r="BP12" s="3">
        <v>34.146018400303163</v>
      </c>
      <c r="BQ12" s="3">
        <v>33.06268506696982</v>
      </c>
      <c r="BR12" s="3">
        <v>31.089351733636491</v>
      </c>
      <c r="BS12" s="3">
        <v>30.29268506696981</v>
      </c>
      <c r="BT12" s="3">
        <v>29.489351733636482</v>
      </c>
      <c r="BU12" s="3">
        <v>26.856018400303157</v>
      </c>
      <c r="BV12" s="3">
        <v>24.672685066969819</v>
      </c>
      <c r="BW12" s="3">
        <v>24.106018400303157</v>
      </c>
      <c r="BX12" s="3">
        <v>21.526018400303158</v>
      </c>
      <c r="BY12" s="3">
        <v>31.646018400303149</v>
      </c>
      <c r="BZ12" s="3">
        <v>37.776018400303158</v>
      </c>
      <c r="CA12" s="3">
        <v>15.176018400303143</v>
      </c>
      <c r="CB12" s="3">
        <v>12.312685066969813</v>
      </c>
      <c r="CC12" s="3">
        <v>11.026018400303151</v>
      </c>
      <c r="CD12" s="3">
        <v>9.2326850669698217</v>
      </c>
      <c r="CE12" s="3">
        <v>9.1260184003031526</v>
      </c>
      <c r="CF12" s="3">
        <v>-0.8606482663635191</v>
      </c>
      <c r="CG12" s="3">
        <v>-1.3939815996968505</v>
      </c>
      <c r="CH12" s="3">
        <v>-2.4706482663635185</v>
      </c>
      <c r="CI12" s="13">
        <f>[1]!dbasum(RecData[[#This Row],[20]:[2000]],RecData[[#Headers],[20]:[2000]])</f>
        <v>37.951818750409124</v>
      </c>
      <c r="CJ12" s="14">
        <v>644</v>
      </c>
      <c r="CK12" s="15" t="s">
        <v>249</v>
      </c>
      <c r="CL12" s="15">
        <f>RecData[[#This Row],[Start Time]]</f>
        <v>43252.068750000006</v>
      </c>
      <c r="CM12" s="16">
        <f>RecData[[#This Row],[Wind Speed avg]]</f>
        <v>0.68</v>
      </c>
      <c r="CN12" s="16">
        <f>RecData[[#This Row],[Wind Dir. avg]]</f>
        <v>172.5</v>
      </c>
      <c r="CO12" s="16">
        <f>RecData[[#This Row],[Amb. Humidity]]</f>
        <v>93.2</v>
      </c>
      <c r="CP12" s="16">
        <f>RecData[[#This Row],[Amb. Temperature]]</f>
        <v>10.6</v>
      </c>
      <c r="CQ12" s="17">
        <f>RecData[[#This Row],[Amb. Rain Gauge]]</f>
        <v>0</v>
      </c>
      <c r="CR12" s="97" t="s">
        <v>1</v>
      </c>
      <c r="CS12" s="97" t="s">
        <v>49</v>
      </c>
      <c r="CT12" s="98">
        <v>1599.5507809999999</v>
      </c>
      <c r="CU12" s="98">
        <v>27.000228881835898</v>
      </c>
      <c r="CV12" s="98">
        <v>10.111472129821699</v>
      </c>
      <c r="CW12" s="98">
        <v>15.297793388366699</v>
      </c>
      <c r="CX12" s="97"/>
      <c r="CY12" s="99"/>
      <c r="CZ12" s="2" t="b">
        <f>IF($DP$1="YES",IF(RecData[[#This Row],[Power (kW)]]&gt;=$CR$3, TRUE,FALSE),TRUE)</f>
        <v>1</v>
      </c>
      <c r="DA12" s="16">
        <f>MIN(MOD(180-ABS(ABS($DA$1-RecData[Yaw Angle (°)])-180),360),MOD(180-ABS(ABS($DB$1-RecData[Yaw Angle (°)])-180),360))</f>
        <v>19.470302104148345</v>
      </c>
      <c r="DB12" s="2" t="str">
        <f>IF($DP$2="None","None",IF(RecData[[#This Row],[Relative Wind Direction]]&lt;=45,"DW",IF(RecData[[#This Row],[Relative Wind Direction]]&lt;=135,"CW","UW")))</f>
        <v>DW</v>
      </c>
      <c r="DC12" s="61" t="e">
        <f>IF($CL12-#REF!&gt;1/24,#REF!,IF(SUM($CQ11:$CQ12)&gt;$DS$1,$DS$5,#REF!-1))</f>
        <v>#REF!</v>
      </c>
      <c r="DD12" s="61" t="e">
        <f>IF(#REF!-$CL12&gt;1/24,#REF!,IF(SUM($CQ11:$CQ12)&gt;$DS$1,$DS$6,DD11-1))</f>
        <v>#REF!</v>
      </c>
      <c r="DE12" s="18" t="b">
        <v>0</v>
      </c>
      <c r="DF12" s="2" t="b">
        <f>IF(OR(RecData[[#This Row],[WSpd_Avg '[m/s']]]-RecData[[#This Row],[Wind Speed min]]&gt;=$DF$3,RecData[[#This Row],[Wind Speed max]]-RecData[[#This Row],[WSpd_Avg '[m/s']]]&gt;=$DF$2),TRUE,FALSE)</f>
        <v>0</v>
      </c>
      <c r="DG12" s="2" t="b">
        <f>RecData[[#This Row],[Temperature '[°C']]]&lt;=-20</f>
        <v>0</v>
      </c>
      <c r="DH12" s="18" t="b">
        <f>NOT(OR(MOD(RecData[[#This Row],[TIMESTAMP]],1)&gt;0.91632,MOD(RecData[[#This Row],[TIMESTAMP]],1)&lt;0.208681))</f>
        <v>0</v>
      </c>
      <c r="DI12" s="18" t="b">
        <f>RecData[[#This Row],[Overall (dBA)]]-RecData[[#This Row],[L90]]&gt;=$DS$4</f>
        <v>0</v>
      </c>
      <c r="DJ12" s="18" t="b">
        <f>RecData[[#This Row],[Overall (dBA)]]&gt;$DS$2</f>
        <v>0</v>
      </c>
      <c r="DK12" s="18" t="b">
        <f>RecData[[#This Row],[Overall (dBA)]]&lt;$DS$3</f>
        <v>0</v>
      </c>
      <c r="DL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" s="2">
        <f>IF(AND(RecData[[#This Row],[Turbines ON/OFF]] = "OFF", NOT(OR(RecData[[#This Row],[Junk?]]="YES",RecData[[#This Row],[Gust?]],RecData[[#This Row],[Rain?]:[Min SPL Threshold?]]))),1,0)</f>
        <v>0</v>
      </c>
      <c r="DN12" s="16">
        <f>RecData[[#This Row],[dBA Sum]]</f>
        <v>37.951818750409124</v>
      </c>
      <c r="DO12" s="16">
        <f>RecData[[#This Row],[LAF90.0]]</f>
        <v>40.4</v>
      </c>
      <c r="DP12" s="55">
        <f>IF(AND(RecData[[#This Row],[Useable TON Data?]],RecData[[#This Row],[Turbines ON/OFF]]="ON"),RecData[[#This Row],[dBA Sum]],"")</f>
        <v>37.951818750409124</v>
      </c>
      <c r="DQ12" s="55" t="str">
        <f>IF(AND(RecData[[#This Row],[Useable Background Data?]],RecData[[#This Row],[Turbines ON/OFF]]="OFF"),RecData[[#This Row],[dBA Sum]],"")</f>
        <v/>
      </c>
      <c r="DR12" s="3">
        <f>IF(OR(RecData[[#This Row],[Useable TON Data?]],RecData[[#This Row],[Useable Background Data?]]),ROUND(RecData[[#This Row],[WSpd_Avg '[m/s']]],0),"")</f>
        <v>1</v>
      </c>
      <c r="DS12" s="85">
        <f>(0.00002)^2*(10^(RecData[[#This Row],[Overall (dBA)]]/10))</f>
        <v>2.4959843983188442E-6</v>
      </c>
    </row>
    <row r="13" spans="1:175" ht="15" x14ac:dyDescent="0.25">
      <c r="A13" s="3" t="s">
        <v>249</v>
      </c>
      <c r="B13" s="12">
        <v>43252.070138888892</v>
      </c>
      <c r="C13" s="3"/>
      <c r="D13" s="3">
        <v>42.2</v>
      </c>
      <c r="E13" s="3"/>
      <c r="F13" s="3"/>
      <c r="G13" s="3"/>
      <c r="H13" s="3"/>
      <c r="I13" s="3"/>
      <c r="J13" s="3"/>
      <c r="K13" s="3">
        <v>38.700000000000003</v>
      </c>
      <c r="L13" s="3"/>
      <c r="M13" s="3"/>
      <c r="N13" s="3">
        <v>186.5</v>
      </c>
      <c r="O13" s="3"/>
      <c r="P13" s="3"/>
      <c r="Q13" s="3">
        <v>1.02</v>
      </c>
      <c r="R13" s="3">
        <v>0.3</v>
      </c>
      <c r="S13" s="3">
        <v>1.7</v>
      </c>
      <c r="T13" s="3">
        <v>10.5</v>
      </c>
      <c r="U13" s="3">
        <v>92.8</v>
      </c>
      <c r="V13" s="3">
        <v>963.6</v>
      </c>
      <c r="W13" s="3">
        <v>0</v>
      </c>
      <c r="X13" s="3">
        <v>43.3</v>
      </c>
      <c r="Y13" s="3">
        <v>42.8</v>
      </c>
      <c r="Z13" s="3">
        <v>42.6</v>
      </c>
      <c r="AA13" s="3">
        <v>37.799999999999997</v>
      </c>
      <c r="AB13" s="3">
        <v>33.5</v>
      </c>
      <c r="AC13" s="3">
        <v>32.6</v>
      </c>
      <c r="AD13" s="3">
        <v>34.9</v>
      </c>
      <c r="AE13" s="3">
        <v>36.5</v>
      </c>
      <c r="AF13" s="3">
        <v>42.5</v>
      </c>
      <c r="AG13" s="3">
        <v>36.700000000000003</v>
      </c>
      <c r="AH13" s="3">
        <v>33.700000000000003</v>
      </c>
      <c r="AI13" s="3">
        <v>34.299999999999997</v>
      </c>
      <c r="AJ13" s="3">
        <v>33.4</v>
      </c>
      <c r="AK13" s="3">
        <v>31.8</v>
      </c>
      <c r="AL13" s="3">
        <v>29.8</v>
      </c>
      <c r="AM13" s="3">
        <v>29.3</v>
      </c>
      <c r="AN13" s="3">
        <v>28.6</v>
      </c>
      <c r="AO13" s="3">
        <v>26.1</v>
      </c>
      <c r="AP13" s="3">
        <v>24.1</v>
      </c>
      <c r="AQ13" s="3">
        <v>23.2</v>
      </c>
      <c r="AR13" s="3">
        <v>20.3</v>
      </c>
      <c r="AS13" s="3">
        <v>33.4</v>
      </c>
      <c r="AT13" s="3">
        <v>38.200000000000003</v>
      </c>
      <c r="AU13" s="3">
        <v>13.6</v>
      </c>
      <c r="AV13" s="3">
        <v>10.4</v>
      </c>
      <c r="AW13" s="3">
        <v>9.8000000000000007</v>
      </c>
      <c r="AX13" s="3">
        <v>9.3000000000000007</v>
      </c>
      <c r="AY13" s="3">
        <v>9.4</v>
      </c>
      <c r="AZ13" s="3">
        <v>0</v>
      </c>
      <c r="BA13" s="3">
        <v>0</v>
      </c>
      <c r="BB13" s="3">
        <v>0</v>
      </c>
      <c r="BC13" s="3">
        <v>42.218825475174235</v>
      </c>
      <c r="BD13" s="3">
        <v>43.281174524825765</v>
      </c>
      <c r="BE13" s="3">
        <v>42.781174524825765</v>
      </c>
      <c r="BF13" s="3">
        <v>41.341174524825767</v>
      </c>
      <c r="BG13" s="3">
        <v>36.867841191492438</v>
      </c>
      <c r="BH13" s="3">
        <v>32.707841191492442</v>
      </c>
      <c r="BI13" s="3">
        <v>32.221174524825763</v>
      </c>
      <c r="BJ13" s="3">
        <v>35.314507858159097</v>
      </c>
      <c r="BK13" s="3">
        <v>36.787841191492426</v>
      </c>
      <c r="BL13" s="3">
        <v>42.361174524825778</v>
      </c>
      <c r="BM13" s="3">
        <v>36.694507858159106</v>
      </c>
      <c r="BN13" s="3">
        <v>33.977841191492438</v>
      </c>
      <c r="BO13" s="3">
        <v>33.944507858159092</v>
      </c>
      <c r="BP13" s="3">
        <v>32.761174524825769</v>
      </c>
      <c r="BQ13" s="3">
        <v>31.577841191492418</v>
      </c>
      <c r="BR13" s="3">
        <v>29.9045078581591</v>
      </c>
      <c r="BS13" s="3">
        <v>29.207841191492442</v>
      </c>
      <c r="BT13" s="3">
        <v>28.704507858159111</v>
      </c>
      <c r="BU13" s="3">
        <v>26.17117452482578</v>
      </c>
      <c r="BV13" s="3">
        <v>23.887841191492434</v>
      </c>
      <c r="BW13" s="3">
        <v>23.521174524825774</v>
      </c>
      <c r="BX13" s="3">
        <v>20.54117452482577</v>
      </c>
      <c r="BY13" s="3">
        <v>33.461174524825772</v>
      </c>
      <c r="BZ13" s="3">
        <v>38.391174524825779</v>
      </c>
      <c r="CA13" s="3">
        <v>13.891174524825765</v>
      </c>
      <c r="CB13" s="3">
        <v>10.127841191492429</v>
      </c>
      <c r="CC13" s="3">
        <v>9.741174524825766</v>
      </c>
      <c r="CD13" s="3">
        <v>8.5478411914924379</v>
      </c>
      <c r="CE13" s="3">
        <v>8.8411745248257674</v>
      </c>
      <c r="CF13" s="3">
        <v>-0.94549214184090147</v>
      </c>
      <c r="CG13" s="3">
        <v>-1.4788254751742329</v>
      </c>
      <c r="CH13" s="3">
        <v>-2.5554921418409009</v>
      </c>
      <c r="CI13" s="13">
        <f>[1]!dbasum(RecData[[#This Row],[20]:[2000]],RecData[[#Headers],[20]:[2000]])</f>
        <v>36.894916814643516</v>
      </c>
      <c r="CJ13" s="14">
        <v>646</v>
      </c>
      <c r="CK13" s="15" t="s">
        <v>249</v>
      </c>
      <c r="CL13" s="15">
        <f>RecData[[#This Row],[Start Time]]</f>
        <v>43252.070138888892</v>
      </c>
      <c r="CM13" s="16">
        <f>RecData[[#This Row],[Wind Speed avg]]</f>
        <v>1.02</v>
      </c>
      <c r="CN13" s="16">
        <f>RecData[[#This Row],[Wind Dir. avg]]</f>
        <v>186.5</v>
      </c>
      <c r="CO13" s="16">
        <f>RecData[[#This Row],[Amb. Humidity]]</f>
        <v>92.8</v>
      </c>
      <c r="CP13" s="16">
        <f>RecData[[#This Row],[Amb. Temperature]]</f>
        <v>10.5</v>
      </c>
      <c r="CQ13" s="17">
        <f>RecData[[#This Row],[Amb. Rain Gauge]]</f>
        <v>0</v>
      </c>
      <c r="CR13" s="97" t="s">
        <v>1</v>
      </c>
      <c r="CS13" s="97" t="s">
        <v>49</v>
      </c>
      <c r="CT13" s="98">
        <v>1618.927856</v>
      </c>
      <c r="CU13" s="98">
        <v>27.000226974487301</v>
      </c>
      <c r="CV13" s="98">
        <v>10.2577257156372</v>
      </c>
      <c r="CW13" s="98">
        <v>15.295304298400801</v>
      </c>
      <c r="CX13" s="97"/>
      <c r="CY13" s="99"/>
      <c r="CZ13" s="2" t="b">
        <f>IF($DP$1="YES",IF(RecData[[#This Row],[Power (kW)]]&gt;=$CR$3, TRUE,FALSE),TRUE)</f>
        <v>1</v>
      </c>
      <c r="DA13" s="16">
        <f>MIN(MOD(180-ABS(ABS($DA$1-RecData[Yaw Angle (°)])-180),360),MOD(180-ABS(ABS($DB$1-RecData[Yaw Angle (°)])-180),360))</f>
        <v>19.470300196799741</v>
      </c>
      <c r="DB13" s="2" t="str">
        <f>IF($DP$2="None","None",IF(RecData[[#This Row],[Relative Wind Direction]]&lt;=45,"DW",IF(RecData[[#This Row],[Relative Wind Direction]]&lt;=135,"CW","UW")))</f>
        <v>DW</v>
      </c>
      <c r="DC13" s="61" t="e">
        <f>IF($CL13-#REF!&gt;1/24,#REF!,IF(SUM($CQ11:$CQ13)&gt;$DS$1,$DS$5,DC14-1))</f>
        <v>#REF!</v>
      </c>
      <c r="DD13" s="61" t="e">
        <f>IF($CL14-$CL13&gt;1/24,#REF!,IF(SUM($CQ11:$CQ13)&gt;$DS$1,$DS$6,#REF!-1))</f>
        <v>#REF!</v>
      </c>
      <c r="DE13" s="18" t="b">
        <v>0</v>
      </c>
      <c r="DF13" s="2" t="b">
        <f>IF(OR(RecData[[#This Row],[WSpd_Avg '[m/s']]]-RecData[[#This Row],[Wind Speed min]]&gt;=$DF$3,RecData[[#This Row],[Wind Speed max]]-RecData[[#This Row],[WSpd_Avg '[m/s']]]&gt;=$DF$2),TRUE,FALSE)</f>
        <v>0</v>
      </c>
      <c r="DG13" s="2" t="b">
        <f>RecData[[#This Row],[Temperature '[°C']]]&lt;=-20</f>
        <v>0</v>
      </c>
      <c r="DH13" s="18" t="b">
        <f>NOT(OR(MOD(RecData[[#This Row],[TIMESTAMP]],1)&gt;0.91632,MOD(RecData[[#This Row],[TIMESTAMP]],1)&lt;0.208681))</f>
        <v>0</v>
      </c>
      <c r="DI13" s="18" t="b">
        <f>RecData[[#This Row],[Overall (dBA)]]-RecData[[#This Row],[L90]]&gt;=$DS$4</f>
        <v>0</v>
      </c>
      <c r="DJ13" s="18" t="b">
        <f>RecData[[#This Row],[Overall (dBA)]]&gt;$DS$2</f>
        <v>0</v>
      </c>
      <c r="DK13" s="18" t="b">
        <f>RecData[[#This Row],[Overall (dBA)]]&lt;$DS$3</f>
        <v>0</v>
      </c>
      <c r="DL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" s="2">
        <f>IF(AND(RecData[[#This Row],[Turbines ON/OFF]] = "OFF", NOT(OR(RecData[[#This Row],[Junk?]]="YES",RecData[[#This Row],[Gust?]],RecData[[#This Row],[Rain?]:[Min SPL Threshold?]]))),1,0)</f>
        <v>0</v>
      </c>
      <c r="DN13" s="16">
        <f>RecData[[#This Row],[dBA Sum]]</f>
        <v>36.894916814643516</v>
      </c>
      <c r="DO13" s="16">
        <f>RecData[[#This Row],[LAF90.0]]</f>
        <v>38.700000000000003</v>
      </c>
      <c r="DP13" s="55">
        <f>IF(AND(RecData[[#This Row],[Useable TON Data?]],RecData[[#This Row],[Turbines ON/OFF]]="ON"),RecData[[#This Row],[dBA Sum]],"")</f>
        <v>36.894916814643516</v>
      </c>
      <c r="DQ13" s="55" t="str">
        <f>IF(AND(RecData[[#This Row],[Useable Background Data?]],RecData[[#This Row],[Turbines ON/OFF]]="OFF"),RecData[[#This Row],[dBA Sum]],"")</f>
        <v/>
      </c>
      <c r="DR13" s="3">
        <f>IF(OR(RecData[[#This Row],[Useable TON Data?]],RecData[[#This Row],[Useable Background Data?]]),ROUND(RecData[[#This Row],[WSpd_Avg '[m/s']]],0),"")</f>
        <v>1</v>
      </c>
      <c r="DS13" s="85">
        <f>(0.00002)^2*(10^(RecData[[#This Row],[Overall (dBA)]]/10))</f>
        <v>1.9568235789133991E-6</v>
      </c>
    </row>
    <row r="14" spans="1:175" ht="15" x14ac:dyDescent="0.25">
      <c r="A14" s="3" t="s">
        <v>249</v>
      </c>
      <c r="B14" s="12">
        <v>43252.070833333339</v>
      </c>
      <c r="C14" s="3"/>
      <c r="D14" s="3">
        <v>42.4</v>
      </c>
      <c r="E14" s="3"/>
      <c r="F14" s="3"/>
      <c r="G14" s="3"/>
      <c r="H14" s="3"/>
      <c r="I14" s="3"/>
      <c r="J14" s="3"/>
      <c r="K14" s="3">
        <v>40.5</v>
      </c>
      <c r="L14" s="3"/>
      <c r="M14" s="3"/>
      <c r="N14" s="3">
        <v>179.5</v>
      </c>
      <c r="O14" s="3"/>
      <c r="P14" s="3"/>
      <c r="Q14" s="3">
        <v>1.6</v>
      </c>
      <c r="R14" s="3">
        <v>0.9</v>
      </c>
      <c r="S14" s="3">
        <v>2.1</v>
      </c>
      <c r="T14" s="3">
        <v>10.5</v>
      </c>
      <c r="U14" s="3">
        <v>92.6</v>
      </c>
      <c r="V14" s="3">
        <v>963.6</v>
      </c>
      <c r="W14" s="3">
        <v>0</v>
      </c>
      <c r="X14" s="3">
        <v>44</v>
      </c>
      <c r="Y14" s="3">
        <v>43.1</v>
      </c>
      <c r="Z14" s="3">
        <v>42.7</v>
      </c>
      <c r="AA14" s="3">
        <v>38.200000000000003</v>
      </c>
      <c r="AB14" s="3">
        <v>34.700000000000003</v>
      </c>
      <c r="AC14" s="3">
        <v>32.6</v>
      </c>
      <c r="AD14" s="3">
        <v>36.1</v>
      </c>
      <c r="AE14" s="3">
        <v>38.299999999999997</v>
      </c>
      <c r="AF14" s="3">
        <v>43.9</v>
      </c>
      <c r="AG14" s="3">
        <v>37.1</v>
      </c>
      <c r="AH14" s="3">
        <v>34.6</v>
      </c>
      <c r="AI14" s="3">
        <v>36.200000000000003</v>
      </c>
      <c r="AJ14" s="3">
        <v>34.6</v>
      </c>
      <c r="AK14" s="3">
        <v>33.200000000000003</v>
      </c>
      <c r="AL14" s="3">
        <v>31</v>
      </c>
      <c r="AM14" s="3">
        <v>29.9</v>
      </c>
      <c r="AN14" s="3">
        <v>28.8</v>
      </c>
      <c r="AO14" s="3">
        <v>26.3</v>
      </c>
      <c r="AP14" s="3">
        <v>24.3</v>
      </c>
      <c r="AQ14" s="3">
        <v>23.4</v>
      </c>
      <c r="AR14" s="3">
        <v>21.1</v>
      </c>
      <c r="AS14" s="3">
        <v>32.299999999999997</v>
      </c>
      <c r="AT14" s="3">
        <v>38.200000000000003</v>
      </c>
      <c r="AU14" s="3">
        <v>15.3</v>
      </c>
      <c r="AV14" s="3">
        <v>12.5</v>
      </c>
      <c r="AW14" s="3">
        <v>11.4</v>
      </c>
      <c r="AX14" s="3">
        <v>9.9</v>
      </c>
      <c r="AY14" s="3">
        <v>9.6999999999999993</v>
      </c>
      <c r="AZ14" s="3">
        <v>0</v>
      </c>
      <c r="BA14" s="3">
        <v>0</v>
      </c>
      <c r="BB14" s="3">
        <v>0</v>
      </c>
      <c r="BC14" s="3">
        <v>42.348208300793814</v>
      </c>
      <c r="BD14" s="3">
        <v>44.051791699206191</v>
      </c>
      <c r="BE14" s="3">
        <v>43.151791699206186</v>
      </c>
      <c r="BF14" s="3">
        <v>41.511791699206185</v>
      </c>
      <c r="BG14" s="3">
        <v>37.338458365872853</v>
      </c>
      <c r="BH14" s="3">
        <v>33.978458365872854</v>
      </c>
      <c r="BI14" s="3">
        <v>32.291791699206186</v>
      </c>
      <c r="BJ14" s="3">
        <v>36.585125032539523</v>
      </c>
      <c r="BK14" s="3">
        <v>38.658458365872846</v>
      </c>
      <c r="BL14" s="3">
        <v>43.831791699206192</v>
      </c>
      <c r="BM14" s="3">
        <v>37.165125032539521</v>
      </c>
      <c r="BN14" s="3">
        <v>34.948458365872852</v>
      </c>
      <c r="BO14" s="3">
        <v>35.915125032539521</v>
      </c>
      <c r="BP14" s="3">
        <v>34.031791699206181</v>
      </c>
      <c r="BQ14" s="3">
        <v>33.048458365872847</v>
      </c>
      <c r="BR14" s="3">
        <v>31.175125032539526</v>
      </c>
      <c r="BS14" s="3">
        <v>29.878458365872845</v>
      </c>
      <c r="BT14" s="3">
        <v>28.975125032539523</v>
      </c>
      <c r="BU14" s="3">
        <v>26.441791699206192</v>
      </c>
      <c r="BV14" s="3">
        <v>24.158458365872846</v>
      </c>
      <c r="BW14" s="3">
        <v>23.791791699206186</v>
      </c>
      <c r="BX14" s="3">
        <v>21.411791699206191</v>
      </c>
      <c r="BY14" s="3">
        <v>32.431791699206187</v>
      </c>
      <c r="BZ14" s="3">
        <v>38.461791699206188</v>
      </c>
      <c r="CA14" s="3">
        <v>15.661791699206177</v>
      </c>
      <c r="CB14" s="3">
        <v>12.298458365872847</v>
      </c>
      <c r="CC14" s="3">
        <v>11.411791699206184</v>
      </c>
      <c r="CD14" s="3">
        <v>9.2184583658728556</v>
      </c>
      <c r="CE14" s="3">
        <v>9.2117916992061808</v>
      </c>
      <c r="CF14" s="3">
        <v>-0.87487496746048521</v>
      </c>
      <c r="CG14" s="3">
        <v>-1.4082083007938166</v>
      </c>
      <c r="CH14" s="3">
        <v>-2.4848749674604846</v>
      </c>
      <c r="CI14" s="13">
        <f>[1]!dbasum(RecData[[#This Row],[20]:[2000]],RecData[[#Headers],[20]:[2000]])</f>
        <v>37.840147123985616</v>
      </c>
      <c r="CJ14" s="14">
        <v>647</v>
      </c>
      <c r="CK14" s="15" t="s">
        <v>249</v>
      </c>
      <c r="CL14" s="15">
        <f>RecData[[#This Row],[Start Time]]</f>
        <v>43252.070833333339</v>
      </c>
      <c r="CM14" s="16">
        <f>RecData[[#This Row],[Wind Speed avg]]</f>
        <v>1.6</v>
      </c>
      <c r="CN14" s="16">
        <f>RecData[[#This Row],[Wind Dir. avg]]</f>
        <v>179.5</v>
      </c>
      <c r="CO14" s="16">
        <f>RecData[[#This Row],[Amb. Humidity]]</f>
        <v>92.6</v>
      </c>
      <c r="CP14" s="16">
        <f>RecData[[#This Row],[Amb. Temperature]]</f>
        <v>10.5</v>
      </c>
      <c r="CQ14" s="17">
        <f>RecData[[#This Row],[Amb. Rain Gauge]]</f>
        <v>0</v>
      </c>
      <c r="CR14" s="97" t="s">
        <v>1</v>
      </c>
      <c r="CS14" s="97" t="s">
        <v>49</v>
      </c>
      <c r="CT14" s="98">
        <v>1618.927856</v>
      </c>
      <c r="CU14" s="98">
        <v>27.000226974487301</v>
      </c>
      <c r="CV14" s="98">
        <v>10.2577257156372</v>
      </c>
      <c r="CW14" s="98">
        <v>15.295304298400801</v>
      </c>
      <c r="CX14" s="97"/>
      <c r="CY14" s="99"/>
      <c r="CZ14" s="2" t="b">
        <f>IF($DP$1="YES",IF(RecData[[#This Row],[Power (kW)]]&gt;=$CR$3, TRUE,FALSE),TRUE)</f>
        <v>1</v>
      </c>
      <c r="DA14" s="16">
        <f>MIN(MOD(180-ABS(ABS($DA$1-RecData[Yaw Angle (°)])-180),360),MOD(180-ABS(ABS($DB$1-RecData[Yaw Angle (°)])-180),360))</f>
        <v>19.470300196799741</v>
      </c>
      <c r="DB14" s="2" t="str">
        <f>IF($DP$2="None","None",IF(RecData[[#This Row],[Relative Wind Direction]]&lt;=45,"DW",IF(RecData[[#This Row],[Relative Wind Direction]]&lt;=135,"CW","UW")))</f>
        <v>DW</v>
      </c>
      <c r="DC14" s="61">
        <f>IF($CL14-$CL11&gt;1/24,#REF!,IF(SUM($CQ11:$CQ14)&gt;$DS$1,$DS$5,DC15-1))</f>
        <v>-3</v>
      </c>
      <c r="DD14" s="61" t="e">
        <f>IF($CL15-$CL14&gt;1/24,#REF!,IF(SUM($CQ11:$CQ14)&gt;$DS$1,$DS$6,DD13-1))</f>
        <v>#REF!</v>
      </c>
      <c r="DE14" s="18" t="b">
        <v>0</v>
      </c>
      <c r="DF14" s="2" t="b">
        <f>IF(OR(RecData[[#This Row],[WSpd_Avg '[m/s']]]-RecData[[#This Row],[Wind Speed min]]&gt;=$DF$3,RecData[[#This Row],[Wind Speed max]]-RecData[[#This Row],[WSpd_Avg '[m/s']]]&gt;=$DF$2),TRUE,FALSE)</f>
        <v>0</v>
      </c>
      <c r="DG14" s="2" t="b">
        <f>RecData[[#This Row],[Temperature '[°C']]]&lt;=-20</f>
        <v>0</v>
      </c>
      <c r="DH14" s="18" t="b">
        <f>NOT(OR(MOD(RecData[[#This Row],[TIMESTAMP]],1)&gt;0.91632,MOD(RecData[[#This Row],[TIMESTAMP]],1)&lt;0.208681))</f>
        <v>0</v>
      </c>
      <c r="DI14" s="18" t="b">
        <f>RecData[[#This Row],[Overall (dBA)]]-RecData[[#This Row],[L90]]&gt;=$DS$4</f>
        <v>0</v>
      </c>
      <c r="DJ14" s="18" t="b">
        <f>RecData[[#This Row],[Overall (dBA)]]&gt;$DS$2</f>
        <v>0</v>
      </c>
      <c r="DK14" s="18" t="b">
        <f>RecData[[#This Row],[Overall (dBA)]]&lt;$DS$3</f>
        <v>0</v>
      </c>
      <c r="DL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" s="2">
        <f>IF(AND(RecData[[#This Row],[Turbines ON/OFF]] = "OFF", NOT(OR(RecData[[#This Row],[Junk?]]="YES",RecData[[#This Row],[Gust?]],RecData[[#This Row],[Rain?]:[Min SPL Threshold?]]))),1,0)</f>
        <v>0</v>
      </c>
      <c r="DN14" s="16">
        <f>RecData[[#This Row],[dBA Sum]]</f>
        <v>37.840147123985616</v>
      </c>
      <c r="DO14" s="16">
        <f>RecData[[#This Row],[LAF90.0]]</f>
        <v>40.5</v>
      </c>
      <c r="DP14" s="55">
        <f>IF(AND(RecData[[#This Row],[Useable TON Data?]],RecData[[#This Row],[Turbines ON/OFF]]="ON"),RecData[[#This Row],[dBA Sum]],"")</f>
        <v>37.840147123985616</v>
      </c>
      <c r="DQ14" s="55" t="str">
        <f>IF(AND(RecData[[#This Row],[Useable Background Data?]],RecData[[#This Row],[Turbines ON/OFF]]="OFF"),RecData[[#This Row],[dBA Sum]],"")</f>
        <v/>
      </c>
      <c r="DR14" s="3">
        <f>IF(OR(RecData[[#This Row],[Useable TON Data?]],RecData[[#This Row],[Useable Background Data?]]),ROUND(RecData[[#This Row],[WSpd_Avg '[m/s']]],0),"")</f>
        <v>2</v>
      </c>
      <c r="DS14" s="85">
        <f>(0.00002)^2*(10^(RecData[[#This Row],[Overall (dBA)]]/10))</f>
        <v>2.4326224125728668E-6</v>
      </c>
    </row>
    <row r="15" spans="1:175" ht="15" x14ac:dyDescent="0.25">
      <c r="A15" s="3" t="s">
        <v>249</v>
      </c>
      <c r="B15" s="12">
        <v>43252.071527777785</v>
      </c>
      <c r="C15" s="3"/>
      <c r="D15" s="3">
        <v>43</v>
      </c>
      <c r="E15" s="3"/>
      <c r="F15" s="3"/>
      <c r="G15" s="3"/>
      <c r="H15" s="3"/>
      <c r="I15" s="3"/>
      <c r="J15" s="3"/>
      <c r="K15" s="3">
        <v>41.2</v>
      </c>
      <c r="L15" s="3"/>
      <c r="M15" s="3"/>
      <c r="N15" s="3">
        <v>193.1</v>
      </c>
      <c r="O15" s="3"/>
      <c r="P15" s="3"/>
      <c r="Q15" s="3">
        <v>0.95</v>
      </c>
      <c r="R15" s="3">
        <v>0.4</v>
      </c>
      <c r="S15" s="3">
        <v>1.9</v>
      </c>
      <c r="T15" s="3">
        <v>10.4</v>
      </c>
      <c r="U15" s="3">
        <v>92.4</v>
      </c>
      <c r="V15" s="3">
        <v>963.6</v>
      </c>
      <c r="W15" s="3">
        <v>0</v>
      </c>
      <c r="X15" s="3">
        <v>43.2</v>
      </c>
      <c r="Y15" s="3">
        <v>43</v>
      </c>
      <c r="Z15" s="3">
        <v>42.9</v>
      </c>
      <c r="AA15" s="3">
        <v>39.200000000000003</v>
      </c>
      <c r="AB15" s="3">
        <v>34.700000000000003</v>
      </c>
      <c r="AC15" s="3">
        <v>34</v>
      </c>
      <c r="AD15" s="3">
        <v>36.700000000000003</v>
      </c>
      <c r="AE15" s="3">
        <v>39.799999999999997</v>
      </c>
      <c r="AF15" s="3">
        <v>44.3</v>
      </c>
      <c r="AG15" s="3">
        <v>37.6</v>
      </c>
      <c r="AH15" s="3">
        <v>36.799999999999997</v>
      </c>
      <c r="AI15" s="3">
        <v>37.1</v>
      </c>
      <c r="AJ15" s="3">
        <v>36.1</v>
      </c>
      <c r="AK15" s="3">
        <v>34.5</v>
      </c>
      <c r="AL15" s="3">
        <v>32.1</v>
      </c>
      <c r="AM15" s="3">
        <v>31.3</v>
      </c>
      <c r="AN15" s="3">
        <v>30.2</v>
      </c>
      <c r="AO15" s="3">
        <v>27.7</v>
      </c>
      <c r="AP15" s="3">
        <v>26.3</v>
      </c>
      <c r="AQ15" s="3">
        <v>24.9</v>
      </c>
      <c r="AR15" s="3">
        <v>22.7</v>
      </c>
      <c r="AS15" s="3">
        <v>31.6</v>
      </c>
      <c r="AT15" s="3">
        <v>38.700000000000003</v>
      </c>
      <c r="AU15" s="3">
        <v>17.3</v>
      </c>
      <c r="AV15" s="3">
        <v>15</v>
      </c>
      <c r="AW15" s="3">
        <v>13.6</v>
      </c>
      <c r="AX15" s="3">
        <v>11.1</v>
      </c>
      <c r="AY15" s="3">
        <v>10.4</v>
      </c>
      <c r="AZ15" s="3">
        <v>0</v>
      </c>
      <c r="BA15" s="3">
        <v>0</v>
      </c>
      <c r="BB15" s="3">
        <v>0</v>
      </c>
      <c r="BC15" s="3">
        <v>43.019549991176106</v>
      </c>
      <c r="BD15" s="3">
        <v>43.180450008823897</v>
      </c>
      <c r="BE15" s="3">
        <v>42.980450008823894</v>
      </c>
      <c r="BF15" s="3">
        <v>41.64045000882389</v>
      </c>
      <c r="BG15" s="3">
        <v>38.267116675490556</v>
      </c>
      <c r="BH15" s="3">
        <v>33.90711667549057</v>
      </c>
      <c r="BI15" s="3">
        <v>33.620450008823894</v>
      </c>
      <c r="BJ15" s="3">
        <v>37.11378334215722</v>
      </c>
      <c r="BK15" s="3">
        <v>40.087116675490549</v>
      </c>
      <c r="BL15" s="3">
        <v>44.160450008823901</v>
      </c>
      <c r="BM15" s="3">
        <v>37.593783342157238</v>
      </c>
      <c r="BN15" s="3">
        <v>37.077116675490558</v>
      </c>
      <c r="BO15" s="3">
        <v>36.743783342157229</v>
      </c>
      <c r="BP15" s="3">
        <v>35.460450008823898</v>
      </c>
      <c r="BQ15" s="3">
        <v>34.277116675490547</v>
      </c>
      <c r="BR15" s="3">
        <v>32.203783342157223</v>
      </c>
      <c r="BS15" s="3">
        <v>31.207116675490553</v>
      </c>
      <c r="BT15" s="3">
        <v>30.303783342157232</v>
      </c>
      <c r="BU15" s="3">
        <v>27.7704500088239</v>
      </c>
      <c r="BV15" s="3">
        <v>26.087116675490563</v>
      </c>
      <c r="BW15" s="3">
        <v>25.220450008823903</v>
      </c>
      <c r="BX15" s="3">
        <v>22.940450008823902</v>
      </c>
      <c r="BY15" s="3">
        <v>31.660450008823901</v>
      </c>
      <c r="BZ15" s="3">
        <v>38.89045000882389</v>
      </c>
      <c r="CA15" s="3">
        <v>17.590450008823886</v>
      </c>
      <c r="CB15" s="3">
        <v>14.727116675490556</v>
      </c>
      <c r="CC15" s="3">
        <v>13.540450008823896</v>
      </c>
      <c r="CD15" s="3">
        <v>10.347116675490568</v>
      </c>
      <c r="CE15" s="3">
        <v>9.8404500088238933</v>
      </c>
      <c r="CF15" s="3">
        <v>-0.94621665784277553</v>
      </c>
      <c r="CG15" s="3">
        <v>-1.479549991176107</v>
      </c>
      <c r="CH15" s="3">
        <v>-2.556216657842775</v>
      </c>
      <c r="CI15" s="13">
        <f>[1]!dbasum(RecData[[#This Row],[20]:[2000]],RecData[[#Headers],[20]:[2000]])</f>
        <v>39.053614876319038</v>
      </c>
      <c r="CJ15" s="14">
        <v>648</v>
      </c>
      <c r="CK15" s="15" t="s">
        <v>249</v>
      </c>
      <c r="CL15" s="15">
        <f>RecData[[#This Row],[Start Time]]</f>
        <v>43252.071527777785</v>
      </c>
      <c r="CM15" s="16">
        <f>RecData[[#This Row],[Wind Speed avg]]</f>
        <v>0.95</v>
      </c>
      <c r="CN15" s="16">
        <f>RecData[[#This Row],[Wind Dir. avg]]</f>
        <v>193.1</v>
      </c>
      <c r="CO15" s="16">
        <f>RecData[[#This Row],[Amb. Humidity]]</f>
        <v>92.4</v>
      </c>
      <c r="CP15" s="16">
        <f>RecData[[#This Row],[Amb. Temperature]]</f>
        <v>10.4</v>
      </c>
      <c r="CQ15" s="17">
        <f>RecData[[#This Row],[Amb. Rain Gauge]]</f>
        <v>0</v>
      </c>
      <c r="CR15" s="97" t="s">
        <v>1</v>
      </c>
      <c r="CS15" s="97" t="s">
        <v>49</v>
      </c>
      <c r="CT15" s="98">
        <v>1618.927856</v>
      </c>
      <c r="CU15" s="98">
        <v>27.000226974487301</v>
      </c>
      <c r="CV15" s="98">
        <v>10.2577257156372</v>
      </c>
      <c r="CW15" s="98">
        <v>15.295304298400801</v>
      </c>
      <c r="CX15" s="97"/>
      <c r="CY15" s="99"/>
      <c r="CZ15" s="2" t="b">
        <f>IF($DP$1="YES",IF(RecData[[#This Row],[Power (kW)]]&gt;=$CR$3, TRUE,FALSE),TRUE)</f>
        <v>1</v>
      </c>
      <c r="DA15" s="16">
        <f>MIN(MOD(180-ABS(ABS($DA$1-RecData[Yaw Angle (°)])-180),360),MOD(180-ABS(ABS($DB$1-RecData[Yaw Angle (°)])-180),360))</f>
        <v>19.470300196799741</v>
      </c>
      <c r="DB15" s="2" t="str">
        <f>IF($DP$2="None","None",IF(RecData[[#This Row],[Relative Wind Direction]]&lt;=45,"DW",IF(RecData[[#This Row],[Relative Wind Direction]]&lt;=135,"CW","UW")))</f>
        <v>DW</v>
      </c>
      <c r="DC15" s="61">
        <f>IF($CL15-$CL12&gt;1/24,#REF!,IF(SUM($CQ12:$CQ15)&gt;$DS$1,$DS$5,DC16-1))</f>
        <v>-2</v>
      </c>
      <c r="DD15" s="61" t="e">
        <f>IF($CL16-$CL15&gt;1/24,#REF!,IF(SUM($CQ12:$CQ15)&gt;$DS$1,$DS$6,DD14-1))</f>
        <v>#REF!</v>
      </c>
      <c r="DE15" s="18" t="b">
        <v>0</v>
      </c>
      <c r="DF15" s="2" t="b">
        <f>IF(OR(RecData[[#This Row],[WSpd_Avg '[m/s']]]-RecData[[#This Row],[Wind Speed min]]&gt;=$DF$3,RecData[[#This Row],[Wind Speed max]]-RecData[[#This Row],[WSpd_Avg '[m/s']]]&gt;=$DF$2),TRUE,FALSE)</f>
        <v>0</v>
      </c>
      <c r="DG15" s="2" t="b">
        <f>RecData[[#This Row],[Temperature '[°C']]]&lt;=-20</f>
        <v>0</v>
      </c>
      <c r="DH15" s="18" t="b">
        <f>NOT(OR(MOD(RecData[[#This Row],[TIMESTAMP]],1)&gt;0.91632,MOD(RecData[[#This Row],[TIMESTAMP]],1)&lt;0.208681))</f>
        <v>0</v>
      </c>
      <c r="DI15" s="18" t="b">
        <f>RecData[[#This Row],[Overall (dBA)]]-RecData[[#This Row],[L90]]&gt;=$DS$4</f>
        <v>0</v>
      </c>
      <c r="DJ15" s="18" t="b">
        <f>RecData[[#This Row],[Overall (dBA)]]&gt;$DS$2</f>
        <v>0</v>
      </c>
      <c r="DK15" s="18" t="b">
        <f>RecData[[#This Row],[Overall (dBA)]]&lt;$DS$3</f>
        <v>0</v>
      </c>
      <c r="DL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" s="2">
        <f>IF(AND(RecData[[#This Row],[Turbines ON/OFF]] = "OFF", NOT(OR(RecData[[#This Row],[Junk?]]="YES",RecData[[#This Row],[Gust?]],RecData[[#This Row],[Rain?]:[Min SPL Threshold?]]))),1,0)</f>
        <v>0</v>
      </c>
      <c r="DN15" s="16">
        <f>RecData[[#This Row],[dBA Sum]]</f>
        <v>39.053614876319038</v>
      </c>
      <c r="DO15" s="16">
        <f>RecData[[#This Row],[LAF90.0]]</f>
        <v>41.2</v>
      </c>
      <c r="DP15" s="55">
        <f>IF(AND(RecData[[#This Row],[Useable TON Data?]],RecData[[#This Row],[Turbines ON/OFF]]="ON"),RecData[[#This Row],[dBA Sum]],"")</f>
        <v>39.053614876319038</v>
      </c>
      <c r="DQ15" s="55" t="str">
        <f>IF(AND(RecData[[#This Row],[Useable Background Data?]],RecData[[#This Row],[Turbines ON/OFF]]="OFF"),RecData[[#This Row],[dBA Sum]],"")</f>
        <v/>
      </c>
      <c r="DR15" s="3">
        <f>IF(OR(RecData[[#This Row],[Useable TON Data?]],RecData[[#This Row],[Useable Background Data?]]),ROUND(RecData[[#This Row],[WSpd_Avg '[m/s']]],0),"")</f>
        <v>1</v>
      </c>
      <c r="DS15" s="85">
        <f>(0.00002)^2*(10^(RecData[[#This Row],[Overall (dBA)]]/10))</f>
        <v>3.2167808817042336E-6</v>
      </c>
    </row>
    <row r="16" spans="1:175" ht="15" x14ac:dyDescent="0.25">
      <c r="A16" s="3" t="s">
        <v>249</v>
      </c>
      <c r="B16" s="12">
        <v>43252.072222222225</v>
      </c>
      <c r="C16" s="3"/>
      <c r="D16" s="3">
        <v>43.1</v>
      </c>
      <c r="E16" s="3"/>
      <c r="F16" s="3"/>
      <c r="G16" s="3"/>
      <c r="H16" s="3"/>
      <c r="I16" s="3"/>
      <c r="J16" s="3"/>
      <c r="K16" s="3">
        <v>41.4</v>
      </c>
      <c r="L16" s="3"/>
      <c r="M16" s="3"/>
      <c r="N16" s="3">
        <v>191.4</v>
      </c>
      <c r="O16" s="3"/>
      <c r="P16" s="3"/>
      <c r="Q16" s="3">
        <v>0.61</v>
      </c>
      <c r="R16" s="3">
        <v>0.3</v>
      </c>
      <c r="S16" s="3">
        <v>1.2</v>
      </c>
      <c r="T16" s="3">
        <v>10.3</v>
      </c>
      <c r="U16" s="3">
        <v>92.3</v>
      </c>
      <c r="V16" s="3">
        <v>963.6</v>
      </c>
      <c r="W16" s="3">
        <v>0</v>
      </c>
      <c r="X16" s="3">
        <v>42.6</v>
      </c>
      <c r="Y16" s="3">
        <v>42.9</v>
      </c>
      <c r="Z16" s="3">
        <v>42.7</v>
      </c>
      <c r="AA16" s="3">
        <v>38.200000000000003</v>
      </c>
      <c r="AB16" s="3">
        <v>34.1</v>
      </c>
      <c r="AC16" s="3">
        <v>33.200000000000003</v>
      </c>
      <c r="AD16" s="3">
        <v>36.799999999999997</v>
      </c>
      <c r="AE16" s="3">
        <v>39.200000000000003</v>
      </c>
      <c r="AF16" s="3">
        <v>42</v>
      </c>
      <c r="AG16" s="3">
        <v>36.9</v>
      </c>
      <c r="AH16" s="3">
        <v>36</v>
      </c>
      <c r="AI16" s="3">
        <v>35.9</v>
      </c>
      <c r="AJ16" s="3">
        <v>34.6</v>
      </c>
      <c r="AK16" s="3">
        <v>32.799999999999997</v>
      </c>
      <c r="AL16" s="3">
        <v>30.7</v>
      </c>
      <c r="AM16" s="3">
        <v>30.5</v>
      </c>
      <c r="AN16" s="3">
        <v>29.6</v>
      </c>
      <c r="AO16" s="3">
        <v>27.2</v>
      </c>
      <c r="AP16" s="3">
        <v>25.1</v>
      </c>
      <c r="AQ16" s="3">
        <v>24.3</v>
      </c>
      <c r="AR16" s="3">
        <v>21.4</v>
      </c>
      <c r="AS16" s="3">
        <v>33.700000000000003</v>
      </c>
      <c r="AT16" s="3">
        <v>39.200000000000003</v>
      </c>
      <c r="AU16" s="3">
        <v>15</v>
      </c>
      <c r="AV16" s="3">
        <v>11.2</v>
      </c>
      <c r="AW16" s="3">
        <v>10.199999999999999</v>
      </c>
      <c r="AX16" s="3">
        <v>9.3000000000000007</v>
      </c>
      <c r="AY16" s="3">
        <v>9.4</v>
      </c>
      <c r="AZ16" s="3">
        <v>0</v>
      </c>
      <c r="BA16" s="3">
        <v>0</v>
      </c>
      <c r="BB16" s="3">
        <v>0</v>
      </c>
      <c r="BC16" s="3">
        <v>43.11530800062927</v>
      </c>
      <c r="BD16" s="3">
        <v>42.584691999370733</v>
      </c>
      <c r="BE16" s="3">
        <v>42.88469199937073</v>
      </c>
      <c r="BF16" s="3">
        <v>41.444691999370733</v>
      </c>
      <c r="BG16" s="3">
        <v>37.271358666037401</v>
      </c>
      <c r="BH16" s="3">
        <v>33.311358666037407</v>
      </c>
      <c r="BI16" s="3">
        <v>32.824691999370728</v>
      </c>
      <c r="BJ16" s="3">
        <v>37.218025332704059</v>
      </c>
      <c r="BK16" s="3">
        <v>39.491358666037399</v>
      </c>
      <c r="BL16" s="3">
        <v>41.864691999370734</v>
      </c>
      <c r="BM16" s="3">
        <v>36.898025332704066</v>
      </c>
      <c r="BN16" s="3">
        <v>36.281358666037406</v>
      </c>
      <c r="BO16" s="3">
        <v>35.548025332704057</v>
      </c>
      <c r="BP16" s="3">
        <v>33.964691999370743</v>
      </c>
      <c r="BQ16" s="3">
        <v>32.581358666037389</v>
      </c>
      <c r="BR16" s="3">
        <v>30.808025332704062</v>
      </c>
      <c r="BS16" s="3">
        <v>30.411358666037401</v>
      </c>
      <c r="BT16" s="3">
        <v>29.708025332704068</v>
      </c>
      <c r="BU16" s="3">
        <v>27.274691999370731</v>
      </c>
      <c r="BV16" s="3">
        <v>24.891358666037405</v>
      </c>
      <c r="BW16" s="3">
        <v>24.624691999370739</v>
      </c>
      <c r="BX16" s="3">
        <v>21.644691999370735</v>
      </c>
      <c r="BY16" s="3">
        <v>33.764691999370726</v>
      </c>
      <c r="BZ16" s="3">
        <v>39.394691999370735</v>
      </c>
      <c r="CA16" s="3">
        <v>15.294691999370727</v>
      </c>
      <c r="CB16" s="3">
        <v>10.931358666037397</v>
      </c>
      <c r="CC16" s="3">
        <v>10.144691999370728</v>
      </c>
      <c r="CD16" s="3">
        <v>8.5513586660374017</v>
      </c>
      <c r="CE16" s="3">
        <v>8.8446919993707311</v>
      </c>
      <c r="CF16" s="3">
        <v>-0.94197466729593771</v>
      </c>
      <c r="CG16" s="3">
        <v>-1.4753080006292691</v>
      </c>
      <c r="CH16" s="3">
        <v>-2.5519746672959371</v>
      </c>
      <c r="CI16" s="13">
        <f>[1]!dbasum(RecData[[#This Row],[20]:[2000]],RecData[[#Headers],[20]:[2000]])</f>
        <v>37.941091959703542</v>
      </c>
      <c r="CJ16" s="14">
        <v>649</v>
      </c>
      <c r="CK16" s="15" t="s">
        <v>249</v>
      </c>
      <c r="CL16" s="15">
        <f>RecData[[#This Row],[Start Time]]</f>
        <v>43252.072222222225</v>
      </c>
      <c r="CM16" s="16">
        <f>RecData[[#This Row],[Wind Speed avg]]</f>
        <v>0.61</v>
      </c>
      <c r="CN16" s="16">
        <f>RecData[[#This Row],[Wind Dir. avg]]</f>
        <v>191.4</v>
      </c>
      <c r="CO16" s="16">
        <f>RecData[[#This Row],[Amb. Humidity]]</f>
        <v>92.3</v>
      </c>
      <c r="CP16" s="16">
        <f>RecData[[#This Row],[Amb. Temperature]]</f>
        <v>10.3</v>
      </c>
      <c r="CQ16" s="17">
        <f>RecData[[#This Row],[Amb. Rain Gauge]]</f>
        <v>0</v>
      </c>
      <c r="CR16" s="97" t="s">
        <v>1</v>
      </c>
      <c r="CS16" s="97" t="s">
        <v>49</v>
      </c>
      <c r="CT16" s="98">
        <v>1618.927856</v>
      </c>
      <c r="CU16" s="98">
        <v>27.000226974487301</v>
      </c>
      <c r="CV16" s="98">
        <v>10.2577257156372</v>
      </c>
      <c r="CW16" s="98">
        <v>15.295304298400801</v>
      </c>
      <c r="CX16" s="97"/>
      <c r="CY16" s="99"/>
      <c r="CZ16" s="2" t="b">
        <f>IF($DP$1="YES",IF(RecData[[#This Row],[Power (kW)]]&gt;=$CR$3, TRUE,FALSE),TRUE)</f>
        <v>1</v>
      </c>
      <c r="DA16" s="16">
        <f>MIN(MOD(180-ABS(ABS($DA$1-RecData[Yaw Angle (°)])-180),360),MOD(180-ABS(ABS($DB$1-RecData[Yaw Angle (°)])-180),360))</f>
        <v>19.470300196799741</v>
      </c>
      <c r="DB16" s="2" t="str">
        <f>IF($DP$2="None","None",IF(RecData[[#This Row],[Relative Wind Direction]]&lt;=45,"DW",IF(RecData[[#This Row],[Relative Wind Direction]]&lt;=135,"CW","UW")))</f>
        <v>DW</v>
      </c>
      <c r="DC16" s="61">
        <v>-1</v>
      </c>
      <c r="DD16" s="61">
        <v>-1</v>
      </c>
      <c r="DE16" s="18" t="b">
        <v>0</v>
      </c>
      <c r="DF16" s="2" t="b">
        <f>IF(OR(RecData[[#This Row],[WSpd_Avg '[m/s']]]-RecData[[#This Row],[Wind Speed min]]&gt;=$DF$3,RecData[[#This Row],[Wind Speed max]]-RecData[[#This Row],[WSpd_Avg '[m/s']]]&gt;=$DF$2),TRUE,FALSE)</f>
        <v>0</v>
      </c>
      <c r="DG16" s="2" t="b">
        <f>RecData[[#This Row],[Temperature '[°C']]]&lt;=-20</f>
        <v>0</v>
      </c>
      <c r="DH16" s="18" t="b">
        <f>NOT(OR(MOD(RecData[[#This Row],[TIMESTAMP]],1)&gt;0.91632,MOD(RecData[[#This Row],[TIMESTAMP]],1)&lt;0.208681))</f>
        <v>0</v>
      </c>
      <c r="DI16" s="18" t="b">
        <f>RecData[[#This Row],[Overall (dBA)]]-RecData[[#This Row],[L90]]&gt;=$DS$4</f>
        <v>0</v>
      </c>
      <c r="DJ16" s="18" t="b">
        <f>RecData[[#This Row],[Overall (dBA)]]&gt;$DS$2</f>
        <v>0</v>
      </c>
      <c r="DK16" s="18" t="b">
        <f>RecData[[#This Row],[Overall (dBA)]]&lt;$DS$3</f>
        <v>0</v>
      </c>
      <c r="DL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" s="2">
        <f>IF(AND(RecData[[#This Row],[Turbines ON/OFF]] = "OFF", NOT(OR(RecData[[#This Row],[Junk?]]="YES",RecData[[#This Row],[Gust?]],RecData[[#This Row],[Rain?]:[Min SPL Threshold?]]))),1,0)</f>
        <v>0</v>
      </c>
      <c r="DN16" s="16">
        <f>RecData[[#This Row],[dBA Sum]]</f>
        <v>37.941091959703542</v>
      </c>
      <c r="DO16" s="16">
        <f>RecData[[#This Row],[LAF90.0]]</f>
        <v>41.4</v>
      </c>
      <c r="DP16" s="55">
        <f>IF(AND(RecData[[#This Row],[Useable TON Data?]],RecData[[#This Row],[Turbines ON/OFF]]="ON"),RecData[[#This Row],[dBA Sum]],"")</f>
        <v>37.941091959703542</v>
      </c>
      <c r="DQ16" s="55" t="str">
        <f>IF(AND(RecData[[#This Row],[Useable Background Data?]],RecData[[#This Row],[Turbines ON/OFF]]="OFF"),RecData[[#This Row],[dBA Sum]],"")</f>
        <v/>
      </c>
      <c r="DR16" s="3">
        <f>IF(OR(RecData[[#This Row],[Useable TON Data?]],RecData[[#This Row],[Useable Background Data?]]),ROUND(RecData[[#This Row],[WSpd_Avg '[m/s']]],0),"")</f>
        <v>1</v>
      </c>
      <c r="DS16" s="85">
        <f>(0.00002)^2*(10^(RecData[[#This Row],[Overall (dBA)]]/10))</f>
        <v>2.4898270867092292E-6</v>
      </c>
    </row>
    <row r="17" spans="1:123" ht="15" x14ac:dyDescent="0.25">
      <c r="A17" s="3" t="s">
        <v>249</v>
      </c>
      <c r="B17" s="12">
        <v>43252.072916666672</v>
      </c>
      <c r="C17" s="3"/>
      <c r="D17" s="3">
        <v>42.5</v>
      </c>
      <c r="E17" s="3"/>
      <c r="F17" s="3"/>
      <c r="G17" s="3"/>
      <c r="H17" s="3"/>
      <c r="I17" s="3"/>
      <c r="J17" s="3"/>
      <c r="K17" s="3">
        <v>40.4</v>
      </c>
      <c r="L17" s="3"/>
      <c r="M17" s="3"/>
      <c r="N17" s="3">
        <v>189.6</v>
      </c>
      <c r="O17" s="3"/>
      <c r="P17" s="3"/>
      <c r="Q17" s="3">
        <v>1.69</v>
      </c>
      <c r="R17" s="3">
        <v>0.4</v>
      </c>
      <c r="S17" s="3">
        <v>2.7</v>
      </c>
      <c r="T17" s="3">
        <v>10.3</v>
      </c>
      <c r="U17" s="3">
        <v>92.2</v>
      </c>
      <c r="V17" s="3">
        <v>963.6</v>
      </c>
      <c r="W17" s="3">
        <v>0</v>
      </c>
      <c r="X17" s="3">
        <v>43.4</v>
      </c>
      <c r="Y17" s="3">
        <v>42.9</v>
      </c>
      <c r="Z17" s="3">
        <v>42.5</v>
      </c>
      <c r="AA17" s="3">
        <v>38.1</v>
      </c>
      <c r="AB17" s="3">
        <v>33.6</v>
      </c>
      <c r="AC17" s="3">
        <v>32.4</v>
      </c>
      <c r="AD17" s="3">
        <v>35.299999999999997</v>
      </c>
      <c r="AE17" s="3">
        <v>38</v>
      </c>
      <c r="AF17" s="3">
        <v>42.8</v>
      </c>
      <c r="AG17" s="3">
        <v>37</v>
      </c>
      <c r="AH17" s="3">
        <v>35.1</v>
      </c>
      <c r="AI17" s="3">
        <v>35.9</v>
      </c>
      <c r="AJ17" s="3">
        <v>34.200000000000003</v>
      </c>
      <c r="AK17" s="3">
        <v>32.9</v>
      </c>
      <c r="AL17" s="3">
        <v>31</v>
      </c>
      <c r="AM17" s="3">
        <v>30.8</v>
      </c>
      <c r="AN17" s="3">
        <v>30.1</v>
      </c>
      <c r="AO17" s="3">
        <v>27.5</v>
      </c>
      <c r="AP17" s="3">
        <v>25.8</v>
      </c>
      <c r="AQ17" s="3">
        <v>24.8</v>
      </c>
      <c r="AR17" s="3">
        <v>22.9</v>
      </c>
      <c r="AS17" s="3">
        <v>32.4</v>
      </c>
      <c r="AT17" s="3">
        <v>38.1</v>
      </c>
      <c r="AU17" s="3">
        <v>18.3</v>
      </c>
      <c r="AV17" s="3">
        <v>16.600000000000001</v>
      </c>
      <c r="AW17" s="3">
        <v>15.6</v>
      </c>
      <c r="AX17" s="3">
        <v>12.4</v>
      </c>
      <c r="AY17" s="3">
        <v>11.8</v>
      </c>
      <c r="AZ17" s="3">
        <v>0</v>
      </c>
      <c r="BA17" s="3">
        <v>0</v>
      </c>
      <c r="BB17" s="3">
        <v>0</v>
      </c>
      <c r="BC17" s="3">
        <v>42.477923861475873</v>
      </c>
      <c r="BD17" s="3">
        <v>43.422076138524133</v>
      </c>
      <c r="BE17" s="3">
        <v>42.922076138524133</v>
      </c>
      <c r="BF17" s="3">
        <v>41.282076138524118</v>
      </c>
      <c r="BG17" s="3">
        <v>37.208742805190795</v>
      </c>
      <c r="BH17" s="3">
        <v>32.848742805190795</v>
      </c>
      <c r="BI17" s="3">
        <v>32.06207613852412</v>
      </c>
      <c r="BJ17" s="3">
        <v>35.755409471857448</v>
      </c>
      <c r="BK17" s="3">
        <v>38.328742805190799</v>
      </c>
      <c r="BL17" s="3">
        <v>42.702076138524134</v>
      </c>
      <c r="BM17" s="3">
        <v>37.035409471857463</v>
      </c>
      <c r="BN17" s="3">
        <v>35.418742805190803</v>
      </c>
      <c r="BO17" s="3">
        <v>35.58540947185746</v>
      </c>
      <c r="BP17" s="3">
        <v>33.60207613852414</v>
      </c>
      <c r="BQ17" s="3">
        <v>32.718742805190786</v>
      </c>
      <c r="BR17" s="3">
        <v>31.145409471857462</v>
      </c>
      <c r="BS17" s="3">
        <v>30.748742805190787</v>
      </c>
      <c r="BT17" s="3">
        <v>30.245409471857457</v>
      </c>
      <c r="BU17" s="3">
        <v>27.612076138524131</v>
      </c>
      <c r="BV17" s="3">
        <v>25.628742805190797</v>
      </c>
      <c r="BW17" s="3">
        <v>25.162076138524128</v>
      </c>
      <c r="BX17" s="3">
        <v>23.182076138524124</v>
      </c>
      <c r="BY17" s="3">
        <v>32.502076138524117</v>
      </c>
      <c r="BZ17" s="3">
        <v>38.33207613852413</v>
      </c>
      <c r="CA17" s="3">
        <v>18.63207613852412</v>
      </c>
      <c r="CB17" s="3">
        <v>16.368742805190792</v>
      </c>
      <c r="CC17" s="3">
        <v>15.58207613852413</v>
      </c>
      <c r="CD17" s="3">
        <v>11.688742805190799</v>
      </c>
      <c r="CE17" s="3">
        <v>11.282076138524125</v>
      </c>
      <c r="CF17" s="3">
        <v>-0.90459052814254193</v>
      </c>
      <c r="CG17" s="3">
        <v>-1.4379238614758734</v>
      </c>
      <c r="CH17" s="3">
        <v>-2.5145905281425414</v>
      </c>
      <c r="CI17" s="13">
        <f>[1]!dbasum(RecData[[#This Row],[20]:[2000]],RecData[[#Headers],[20]:[2000]])</f>
        <v>38.219378543836832</v>
      </c>
      <c r="CJ17" s="14">
        <v>650</v>
      </c>
      <c r="CK17" s="15" t="s">
        <v>249</v>
      </c>
      <c r="CL17" s="15">
        <f>RecData[[#This Row],[Start Time]]</f>
        <v>43252.072916666672</v>
      </c>
      <c r="CM17" s="16">
        <f>RecData[[#This Row],[Wind Speed avg]]</f>
        <v>1.69</v>
      </c>
      <c r="CN17" s="16">
        <f>RecData[[#This Row],[Wind Dir. avg]]</f>
        <v>189.6</v>
      </c>
      <c r="CO17" s="16">
        <f>RecData[[#This Row],[Amb. Humidity]]</f>
        <v>92.2</v>
      </c>
      <c r="CP17" s="16">
        <f>RecData[[#This Row],[Amb. Temperature]]</f>
        <v>10.3</v>
      </c>
      <c r="CQ17" s="17">
        <f>RecData[[#This Row],[Amb. Rain Gauge]]</f>
        <v>0</v>
      </c>
      <c r="CR17" s="97" t="s">
        <v>1</v>
      </c>
      <c r="CS17" s="97" t="s">
        <v>49</v>
      </c>
      <c r="CT17" s="98">
        <v>1618.927856</v>
      </c>
      <c r="CU17" s="98">
        <v>27.000226974487301</v>
      </c>
      <c r="CV17" s="98">
        <v>10.2577257156372</v>
      </c>
      <c r="CW17" s="98">
        <v>15.295304298400801</v>
      </c>
      <c r="CX17" s="97"/>
      <c r="CY17" s="99"/>
      <c r="CZ17" s="2" t="b">
        <f>IF($DP$1="YES",IF(RecData[[#This Row],[Power (kW)]]&gt;=$CR$3, TRUE,FALSE),TRUE)</f>
        <v>1</v>
      </c>
      <c r="DA17" s="16">
        <f>MIN(MOD(180-ABS(ABS($DA$1-RecData[Yaw Angle (°)])-180),360),MOD(180-ABS(ABS($DB$1-RecData[Yaw Angle (°)])-180),360))</f>
        <v>19.470300196799741</v>
      </c>
      <c r="DB17" s="2" t="str">
        <f>IF($DP$2="None","None",IF(RecData[[#This Row],[Relative Wind Direction]]&lt;=45,"DW",IF(RecData[[#This Row],[Relative Wind Direction]]&lt;=135,"CW","UW")))</f>
        <v>DW</v>
      </c>
      <c r="DC17" s="61" t="e">
        <f>IF($CL17-$CL16&gt;1/24,#REF!,IF(SUM($CQ16:$CQ17)&gt;$DS$1,$DS$5,#REF!-1))</f>
        <v>#REF!</v>
      </c>
      <c r="DD17" s="61" t="e">
        <f>IF(#REF!-$CL17&gt;1/24,#REF!,IF(SUM($CQ16:$CQ17)&gt;$DS$1,$DS$6,DD16-1))</f>
        <v>#REF!</v>
      </c>
      <c r="DE17" s="18" t="b">
        <v>0</v>
      </c>
      <c r="DF17" s="2" t="b">
        <f>IF(OR(RecData[[#This Row],[WSpd_Avg '[m/s']]]-RecData[[#This Row],[Wind Speed min]]&gt;=$DF$3,RecData[[#This Row],[Wind Speed max]]-RecData[[#This Row],[WSpd_Avg '[m/s']]]&gt;=$DF$2),TRUE,FALSE)</f>
        <v>0</v>
      </c>
      <c r="DG17" s="2" t="b">
        <f>RecData[[#This Row],[Temperature '[°C']]]&lt;=-20</f>
        <v>0</v>
      </c>
      <c r="DH17" s="18" t="b">
        <f>NOT(OR(MOD(RecData[[#This Row],[TIMESTAMP]],1)&gt;0.91632,MOD(RecData[[#This Row],[TIMESTAMP]],1)&lt;0.208681))</f>
        <v>0</v>
      </c>
      <c r="DI17" s="18" t="b">
        <f>RecData[[#This Row],[Overall (dBA)]]-RecData[[#This Row],[L90]]&gt;=$DS$4</f>
        <v>0</v>
      </c>
      <c r="DJ17" s="18" t="b">
        <f>RecData[[#This Row],[Overall (dBA)]]&gt;$DS$2</f>
        <v>0</v>
      </c>
      <c r="DK17" s="18" t="b">
        <f>RecData[[#This Row],[Overall (dBA)]]&lt;$DS$3</f>
        <v>0</v>
      </c>
      <c r="DL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" s="2">
        <f>IF(AND(RecData[[#This Row],[Turbines ON/OFF]] = "OFF", NOT(OR(RecData[[#This Row],[Junk?]]="YES",RecData[[#This Row],[Gust?]],RecData[[#This Row],[Rain?]:[Min SPL Threshold?]]))),1,0)</f>
        <v>0</v>
      </c>
      <c r="DN17" s="16">
        <f>RecData[[#This Row],[dBA Sum]]</f>
        <v>38.219378543836832</v>
      </c>
      <c r="DO17" s="16">
        <f>RecData[[#This Row],[LAF90.0]]</f>
        <v>40.4</v>
      </c>
      <c r="DP17" s="55">
        <f>IF(AND(RecData[[#This Row],[Useable TON Data?]],RecData[[#This Row],[Turbines ON/OFF]]="ON"),RecData[[#This Row],[dBA Sum]],"")</f>
        <v>38.219378543836832</v>
      </c>
      <c r="DQ17" s="55" t="str">
        <f>IF(AND(RecData[[#This Row],[Useable Background Data?]],RecData[[#This Row],[Turbines ON/OFF]]="OFF"),RecData[[#This Row],[dBA Sum]],"")</f>
        <v/>
      </c>
      <c r="DR17" s="3">
        <f>IF(OR(RecData[[#This Row],[Useable TON Data?]],RecData[[#This Row],[Useable Background Data?]]),ROUND(RecData[[#This Row],[WSpd_Avg '[m/s']]],0),"")</f>
        <v>2</v>
      </c>
      <c r="DS17" s="85">
        <f>(0.00002)^2*(10^(RecData[[#This Row],[Overall (dBA)]]/10))</f>
        <v>2.6545923940171576E-6</v>
      </c>
    </row>
    <row r="18" spans="1:123" ht="15" x14ac:dyDescent="0.25">
      <c r="A18" s="3" t="s">
        <v>249</v>
      </c>
      <c r="B18" s="12">
        <v>43252.075000000004</v>
      </c>
      <c r="C18" s="3"/>
      <c r="D18" s="3">
        <v>43.7</v>
      </c>
      <c r="E18" s="3"/>
      <c r="F18" s="3"/>
      <c r="G18" s="3"/>
      <c r="H18" s="3"/>
      <c r="I18" s="3"/>
      <c r="J18" s="3"/>
      <c r="K18" s="3">
        <v>42.1</v>
      </c>
      <c r="L18" s="3"/>
      <c r="M18" s="3"/>
      <c r="N18" s="3">
        <v>154.1</v>
      </c>
      <c r="O18" s="3"/>
      <c r="P18" s="3"/>
      <c r="Q18" s="3">
        <v>1.2</v>
      </c>
      <c r="R18" s="3">
        <v>0.5</v>
      </c>
      <c r="S18" s="3">
        <v>1.9</v>
      </c>
      <c r="T18" s="3">
        <v>10.199999999999999</v>
      </c>
      <c r="U18" s="3">
        <v>91.9</v>
      </c>
      <c r="V18" s="3">
        <v>963.7</v>
      </c>
      <c r="W18" s="3">
        <v>0</v>
      </c>
      <c r="X18" s="3">
        <v>44.6</v>
      </c>
      <c r="Y18" s="3">
        <v>45.1</v>
      </c>
      <c r="Z18" s="3">
        <v>45</v>
      </c>
      <c r="AA18" s="3">
        <v>40.1</v>
      </c>
      <c r="AB18" s="3">
        <v>36.4</v>
      </c>
      <c r="AC18" s="3">
        <v>35.1</v>
      </c>
      <c r="AD18" s="3">
        <v>37.700000000000003</v>
      </c>
      <c r="AE18" s="3">
        <v>39.9</v>
      </c>
      <c r="AF18" s="3">
        <v>42.4</v>
      </c>
      <c r="AG18" s="3">
        <v>37</v>
      </c>
      <c r="AH18" s="3">
        <v>36</v>
      </c>
      <c r="AI18" s="3">
        <v>36.1</v>
      </c>
      <c r="AJ18" s="3">
        <v>35.1</v>
      </c>
      <c r="AK18" s="3">
        <v>33.6</v>
      </c>
      <c r="AL18" s="3">
        <v>31.3</v>
      </c>
      <c r="AM18" s="3">
        <v>30.4</v>
      </c>
      <c r="AN18" s="3">
        <v>29.5</v>
      </c>
      <c r="AO18" s="3">
        <v>26.9</v>
      </c>
      <c r="AP18" s="3">
        <v>24.9</v>
      </c>
      <c r="AQ18" s="3">
        <v>23.7</v>
      </c>
      <c r="AR18" s="3">
        <v>20.7</v>
      </c>
      <c r="AS18" s="3">
        <v>34.1</v>
      </c>
      <c r="AT18" s="3">
        <v>40</v>
      </c>
      <c r="AU18" s="3">
        <v>13.9</v>
      </c>
      <c r="AV18" s="3">
        <v>10.199999999999999</v>
      </c>
      <c r="AW18" s="3">
        <v>9.6999999999999993</v>
      </c>
      <c r="AX18" s="3">
        <v>9.1999999999999993</v>
      </c>
      <c r="AY18" s="3">
        <v>9.4</v>
      </c>
      <c r="AZ18" s="3">
        <v>0</v>
      </c>
      <c r="BA18" s="3">
        <v>0</v>
      </c>
      <c r="BB18" s="3">
        <v>0</v>
      </c>
      <c r="BC18" s="3">
        <v>43.659562015127875</v>
      </c>
      <c r="BD18" s="3">
        <v>44.640437984872136</v>
      </c>
      <c r="BE18" s="3">
        <v>45.140437984872136</v>
      </c>
      <c r="BF18" s="3">
        <v>43.800437984872133</v>
      </c>
      <c r="BG18" s="3">
        <v>39.227104651538795</v>
      </c>
      <c r="BH18" s="3">
        <v>35.667104651538793</v>
      </c>
      <c r="BI18" s="3">
        <v>34.780437984872123</v>
      </c>
      <c r="BJ18" s="3">
        <v>38.173771318205468</v>
      </c>
      <c r="BK18" s="3">
        <v>40.247104651538791</v>
      </c>
      <c r="BL18" s="3">
        <v>42.320437984872129</v>
      </c>
      <c r="BM18" s="3">
        <v>37.053771318205463</v>
      </c>
      <c r="BN18" s="3">
        <v>36.337104651538795</v>
      </c>
      <c r="BO18" s="3">
        <v>35.803771318205463</v>
      </c>
      <c r="BP18" s="3">
        <v>34.520437984872132</v>
      </c>
      <c r="BQ18" s="3">
        <v>33.437104651538789</v>
      </c>
      <c r="BR18" s="3">
        <v>31.46377131820546</v>
      </c>
      <c r="BS18" s="3">
        <v>30.367104651538796</v>
      </c>
      <c r="BT18" s="3">
        <v>29.663771318205463</v>
      </c>
      <c r="BU18" s="3">
        <v>27.030437984872123</v>
      </c>
      <c r="BV18" s="3">
        <v>24.747104651538791</v>
      </c>
      <c r="BW18" s="3">
        <v>24.080437984872134</v>
      </c>
      <c r="BX18" s="3">
        <v>21.000437984872136</v>
      </c>
      <c r="BY18" s="3">
        <v>34.22043798487212</v>
      </c>
      <c r="BZ18" s="3">
        <v>40.250437984872121</v>
      </c>
      <c r="CA18" s="3">
        <v>14.250437984872121</v>
      </c>
      <c r="CB18" s="3">
        <v>9.9871046515387931</v>
      </c>
      <c r="CC18" s="3">
        <v>9.7004379848721243</v>
      </c>
      <c r="CD18" s="3">
        <v>8.5071046515387962</v>
      </c>
      <c r="CE18" s="3">
        <v>8.9004379848721271</v>
      </c>
      <c r="CF18" s="3">
        <v>-0.88622868179454173</v>
      </c>
      <c r="CG18" s="3">
        <v>-1.4195620151278732</v>
      </c>
      <c r="CH18" s="3">
        <v>-2.4962286817945412</v>
      </c>
      <c r="CI18" s="13">
        <f>[1]!dbasum(RecData[[#This Row],[20]:[2000]],RecData[[#Headers],[20]:[2000]])</f>
        <v>38.139321163849836</v>
      </c>
      <c r="CJ18" s="14">
        <v>653</v>
      </c>
      <c r="CK18" s="15" t="s">
        <v>249</v>
      </c>
      <c r="CL18" s="15">
        <f>RecData[[#This Row],[Start Time]]</f>
        <v>43252.075000000004</v>
      </c>
      <c r="CM18" s="16">
        <f>RecData[[#This Row],[Wind Speed avg]]</f>
        <v>1.2</v>
      </c>
      <c r="CN18" s="16">
        <f>RecData[[#This Row],[Wind Dir. avg]]</f>
        <v>154.1</v>
      </c>
      <c r="CO18" s="16">
        <f>RecData[[#This Row],[Amb. Humidity]]</f>
        <v>91.9</v>
      </c>
      <c r="CP18" s="16">
        <f>RecData[[#This Row],[Amb. Temperature]]</f>
        <v>10.199999999999999</v>
      </c>
      <c r="CQ18" s="17">
        <f>RecData[[#This Row],[Amb. Rain Gauge]]</f>
        <v>0</v>
      </c>
      <c r="CR18" s="97" t="s">
        <v>1</v>
      </c>
      <c r="CS18" s="97" t="s">
        <v>49</v>
      </c>
      <c r="CT18" s="98">
        <v>1618.927856</v>
      </c>
      <c r="CU18" s="98">
        <v>27.000226974487301</v>
      </c>
      <c r="CV18" s="98">
        <v>10.2577257156372</v>
      </c>
      <c r="CW18" s="98">
        <v>15.295304298400801</v>
      </c>
      <c r="CX18" s="97"/>
      <c r="CY18" s="99"/>
      <c r="CZ18" s="2" t="b">
        <f>IF($DP$1="YES",IF(RecData[[#This Row],[Power (kW)]]&gt;=$CR$3, TRUE,FALSE),TRUE)</f>
        <v>1</v>
      </c>
      <c r="DA18" s="16">
        <f>MIN(MOD(180-ABS(ABS($DA$1-RecData[Yaw Angle (°)])-180),360),MOD(180-ABS(ABS($DB$1-RecData[Yaw Angle (°)])-180),360))</f>
        <v>19.470300196799741</v>
      </c>
      <c r="DB18" s="2" t="str">
        <f>IF($DP$2="None","None",IF(RecData[[#This Row],[Relative Wind Direction]]&lt;=45,"DW",IF(RecData[[#This Row],[Relative Wind Direction]]&lt;=135,"CW","UW")))</f>
        <v>DW</v>
      </c>
      <c r="DC18" s="61" t="e">
        <f>IF($CL18-$CL16&gt;1/24,#REF!,IF(SUM($CQ16:$CQ18)&gt;$DS$1,$DS$5,DC19-1))</f>
        <v>#REF!</v>
      </c>
      <c r="DD18" s="61" t="e">
        <f>IF($CL19-$CL18&gt;1/24,#REF!,IF(SUM($CQ16:$CQ18)&gt;$DS$1,$DS$6,#REF!-1))</f>
        <v>#REF!</v>
      </c>
      <c r="DE18" s="18" t="b">
        <v>0</v>
      </c>
      <c r="DF18" s="2" t="b">
        <f>IF(OR(RecData[[#This Row],[WSpd_Avg '[m/s']]]-RecData[[#This Row],[Wind Speed min]]&gt;=$DF$3,RecData[[#This Row],[Wind Speed max]]-RecData[[#This Row],[WSpd_Avg '[m/s']]]&gt;=$DF$2),TRUE,FALSE)</f>
        <v>0</v>
      </c>
      <c r="DG18" s="2" t="b">
        <f>RecData[[#This Row],[Temperature '[°C']]]&lt;=-20</f>
        <v>0</v>
      </c>
      <c r="DH18" s="18" t="b">
        <f>NOT(OR(MOD(RecData[[#This Row],[TIMESTAMP]],1)&gt;0.91632,MOD(RecData[[#This Row],[TIMESTAMP]],1)&lt;0.208681))</f>
        <v>0</v>
      </c>
      <c r="DI18" s="18" t="b">
        <f>RecData[[#This Row],[Overall (dBA)]]-RecData[[#This Row],[L90]]&gt;=$DS$4</f>
        <v>0</v>
      </c>
      <c r="DJ18" s="18" t="b">
        <f>RecData[[#This Row],[Overall (dBA)]]&gt;$DS$2</f>
        <v>0</v>
      </c>
      <c r="DK18" s="18" t="b">
        <f>RecData[[#This Row],[Overall (dBA)]]&lt;$DS$3</f>
        <v>0</v>
      </c>
      <c r="DL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" s="2">
        <f>IF(AND(RecData[[#This Row],[Turbines ON/OFF]] = "OFF", NOT(OR(RecData[[#This Row],[Junk?]]="YES",RecData[[#This Row],[Gust?]],RecData[[#This Row],[Rain?]:[Min SPL Threshold?]]))),1,0)</f>
        <v>0</v>
      </c>
      <c r="DN18" s="16">
        <f>RecData[[#This Row],[dBA Sum]]</f>
        <v>38.139321163849836</v>
      </c>
      <c r="DO18" s="16">
        <f>RecData[[#This Row],[LAF90.0]]</f>
        <v>42.1</v>
      </c>
      <c r="DP18" s="55">
        <f>IF(AND(RecData[[#This Row],[Useable TON Data?]],RecData[[#This Row],[Turbines ON/OFF]]="ON"),RecData[[#This Row],[dBA Sum]],"")</f>
        <v>38.139321163849836</v>
      </c>
      <c r="DQ18" s="55" t="str">
        <f>IF(AND(RecData[[#This Row],[Useable Background Data?]],RecData[[#This Row],[Turbines ON/OFF]]="OFF"),RecData[[#This Row],[dBA Sum]],"")</f>
        <v/>
      </c>
      <c r="DR18" s="3">
        <f>IF(OR(RecData[[#This Row],[Useable TON Data?]],RecData[[#This Row],[Useable Background Data?]]),ROUND(RecData[[#This Row],[WSpd_Avg '[m/s']]],0),"")</f>
        <v>1</v>
      </c>
      <c r="DS18" s="85">
        <f>(0.00002)^2*(10^(RecData[[#This Row],[Overall (dBA)]]/10))</f>
        <v>2.6061061896802926E-6</v>
      </c>
    </row>
    <row r="19" spans="1:123" ht="15" x14ac:dyDescent="0.25">
      <c r="A19" s="3" t="s">
        <v>249</v>
      </c>
      <c r="B19" s="12">
        <v>43252.075694444451</v>
      </c>
      <c r="C19" s="3"/>
      <c r="D19" s="3">
        <v>42.8</v>
      </c>
      <c r="E19" s="3"/>
      <c r="F19" s="3"/>
      <c r="G19" s="3"/>
      <c r="H19" s="3"/>
      <c r="I19" s="3"/>
      <c r="J19" s="3"/>
      <c r="K19" s="3">
        <v>40.6</v>
      </c>
      <c r="L19" s="3"/>
      <c r="M19" s="3"/>
      <c r="N19" s="3">
        <v>166</v>
      </c>
      <c r="O19" s="3"/>
      <c r="P19" s="3"/>
      <c r="Q19" s="3">
        <v>1.1200000000000001</v>
      </c>
      <c r="R19" s="3">
        <v>0.3</v>
      </c>
      <c r="S19" s="3">
        <v>1.9</v>
      </c>
      <c r="T19" s="3">
        <v>10.199999999999999</v>
      </c>
      <c r="U19" s="3">
        <v>91.9</v>
      </c>
      <c r="V19" s="3">
        <v>963.8</v>
      </c>
      <c r="W19" s="3">
        <v>0</v>
      </c>
      <c r="X19" s="3">
        <v>44.9</v>
      </c>
      <c r="Y19" s="3">
        <v>44.4</v>
      </c>
      <c r="Z19" s="3">
        <v>44.1</v>
      </c>
      <c r="AA19" s="3">
        <v>40.5</v>
      </c>
      <c r="AB19" s="3">
        <v>35.9</v>
      </c>
      <c r="AC19" s="3">
        <v>34.200000000000003</v>
      </c>
      <c r="AD19" s="3">
        <v>38.1</v>
      </c>
      <c r="AE19" s="3">
        <v>40.1</v>
      </c>
      <c r="AF19" s="3">
        <v>44.3</v>
      </c>
      <c r="AG19" s="3">
        <v>37.6</v>
      </c>
      <c r="AH19" s="3">
        <v>36.1</v>
      </c>
      <c r="AI19" s="3">
        <v>37</v>
      </c>
      <c r="AJ19" s="3">
        <v>35.6</v>
      </c>
      <c r="AK19" s="3">
        <v>33.9</v>
      </c>
      <c r="AL19" s="3">
        <v>31.5</v>
      </c>
      <c r="AM19" s="3">
        <v>30.5</v>
      </c>
      <c r="AN19" s="3">
        <v>29.5</v>
      </c>
      <c r="AO19" s="3">
        <v>27.1</v>
      </c>
      <c r="AP19" s="3">
        <v>25</v>
      </c>
      <c r="AQ19" s="3">
        <v>24.1</v>
      </c>
      <c r="AR19" s="3">
        <v>21.4</v>
      </c>
      <c r="AS19" s="3">
        <v>32.9</v>
      </c>
      <c r="AT19" s="3">
        <v>38.299999999999997</v>
      </c>
      <c r="AU19" s="3">
        <v>13.8</v>
      </c>
      <c r="AV19" s="3">
        <v>10.8</v>
      </c>
      <c r="AW19" s="3">
        <v>10</v>
      </c>
      <c r="AX19" s="3">
        <v>9.3000000000000007</v>
      </c>
      <c r="AY19" s="3">
        <v>9.4</v>
      </c>
      <c r="AZ19" s="3">
        <v>0</v>
      </c>
      <c r="BA19" s="3">
        <v>0</v>
      </c>
      <c r="BB19" s="3">
        <v>0</v>
      </c>
      <c r="BC19" s="3">
        <v>42.743242446087642</v>
      </c>
      <c r="BD19" s="3">
        <v>44.956757553912347</v>
      </c>
      <c r="BE19" s="3">
        <v>44.456757553912347</v>
      </c>
      <c r="BF19" s="3">
        <v>42.916757553912355</v>
      </c>
      <c r="BG19" s="3">
        <v>39.643424220579014</v>
      </c>
      <c r="BH19" s="3">
        <v>35.18342422057902</v>
      </c>
      <c r="BI19" s="3">
        <v>33.896757553912359</v>
      </c>
      <c r="BJ19" s="3">
        <v>38.590090887245687</v>
      </c>
      <c r="BK19" s="3">
        <v>40.463424220579022</v>
      </c>
      <c r="BL19" s="3">
        <v>44.236757553912348</v>
      </c>
      <c r="BM19" s="3">
        <v>37.670090887245685</v>
      </c>
      <c r="BN19" s="3">
        <v>36.453424220579016</v>
      </c>
      <c r="BO19" s="3">
        <v>36.720090887245696</v>
      </c>
      <c r="BP19" s="3">
        <v>35.036757553912359</v>
      </c>
      <c r="BQ19" s="3">
        <v>33.753424220579014</v>
      </c>
      <c r="BR19" s="3">
        <v>31.68009088724569</v>
      </c>
      <c r="BS19" s="3">
        <v>30.483424220579018</v>
      </c>
      <c r="BT19" s="3">
        <v>29.68009088724569</v>
      </c>
      <c r="BU19" s="3">
        <v>27.246757553912367</v>
      </c>
      <c r="BV19" s="3">
        <v>24.863424220579027</v>
      </c>
      <c r="BW19" s="3">
        <v>24.496757553912367</v>
      </c>
      <c r="BX19" s="3">
        <v>21.716757553912366</v>
      </c>
      <c r="BY19" s="3">
        <v>33.036757553912359</v>
      </c>
      <c r="BZ19" s="3">
        <v>38.56675755391236</v>
      </c>
      <c r="CA19" s="3">
        <v>14.166757553912348</v>
      </c>
      <c r="CB19" s="3">
        <v>10.603424220579022</v>
      </c>
      <c r="CC19" s="3">
        <v>10.016757553912356</v>
      </c>
      <c r="CD19" s="3">
        <v>8.6234242205790252</v>
      </c>
      <c r="CE19" s="3">
        <v>8.9167575539123547</v>
      </c>
      <c r="CF19" s="3">
        <v>-0.86990911275431415</v>
      </c>
      <c r="CG19" s="3">
        <v>-1.4032424460876456</v>
      </c>
      <c r="CH19" s="3">
        <v>-2.4799091127543136</v>
      </c>
      <c r="CI19" s="13">
        <f>[1]!dbasum(RecData[[#This Row],[20]:[2000]],RecData[[#Headers],[20]:[2000]])</f>
        <v>38.575714560635262</v>
      </c>
      <c r="CJ19" s="14">
        <v>654</v>
      </c>
      <c r="CK19" s="15" t="s">
        <v>249</v>
      </c>
      <c r="CL19" s="15">
        <f>RecData[[#This Row],[Start Time]]</f>
        <v>43252.075694444451</v>
      </c>
      <c r="CM19" s="16">
        <f>RecData[[#This Row],[Wind Speed avg]]</f>
        <v>1.1200000000000001</v>
      </c>
      <c r="CN19" s="16">
        <f>RecData[[#This Row],[Wind Dir. avg]]</f>
        <v>166</v>
      </c>
      <c r="CO19" s="16">
        <f>RecData[[#This Row],[Amb. Humidity]]</f>
        <v>91.9</v>
      </c>
      <c r="CP19" s="16">
        <f>RecData[[#This Row],[Amb. Temperature]]</f>
        <v>10.199999999999999</v>
      </c>
      <c r="CQ19" s="17">
        <f>RecData[[#This Row],[Amb. Rain Gauge]]</f>
        <v>0</v>
      </c>
      <c r="CR19" s="97" t="s">
        <v>1</v>
      </c>
      <c r="CS19" s="97" t="s">
        <v>49</v>
      </c>
      <c r="CT19" s="98">
        <v>1618.927856</v>
      </c>
      <c r="CU19" s="98">
        <v>27.000226974487301</v>
      </c>
      <c r="CV19" s="98">
        <v>10.2577257156372</v>
      </c>
      <c r="CW19" s="98">
        <v>15.295304298400801</v>
      </c>
      <c r="CX19" s="97"/>
      <c r="CY19" s="99"/>
      <c r="CZ19" s="2" t="b">
        <f>IF($DP$1="YES",IF(RecData[[#This Row],[Power (kW)]]&gt;=$CR$3, TRUE,FALSE),TRUE)</f>
        <v>1</v>
      </c>
      <c r="DA19" s="16">
        <f>MIN(MOD(180-ABS(ABS($DA$1-RecData[Yaw Angle (°)])-180),360),MOD(180-ABS(ABS($DB$1-RecData[Yaw Angle (°)])-180),360))</f>
        <v>19.470300196799741</v>
      </c>
      <c r="DB19" s="2" t="str">
        <f>IF($DP$2="None","None",IF(RecData[[#This Row],[Relative Wind Direction]]&lt;=45,"DW",IF(RecData[[#This Row],[Relative Wind Direction]]&lt;=135,"CW","UW")))</f>
        <v>DW</v>
      </c>
      <c r="DC19" s="61" t="e">
        <f>IF($CL19-$CL17&gt;1/24,#REF!,IF(SUM($CQ17:$CQ19)&gt;$DS$1,$DS$5,#REF!-1))</f>
        <v>#REF!</v>
      </c>
      <c r="DD19" s="61" t="e">
        <f>IF(#REF!-$CL19&gt;1/24,#REF!,IF(SUM($CQ17:$CQ19)&gt;$DS$1,$DS$6,DD18-1))</f>
        <v>#REF!</v>
      </c>
      <c r="DE19" s="18" t="b">
        <v>0</v>
      </c>
      <c r="DF19" s="2" t="b">
        <f>IF(OR(RecData[[#This Row],[WSpd_Avg '[m/s']]]-RecData[[#This Row],[Wind Speed min]]&gt;=$DF$3,RecData[[#This Row],[Wind Speed max]]-RecData[[#This Row],[WSpd_Avg '[m/s']]]&gt;=$DF$2),TRUE,FALSE)</f>
        <v>0</v>
      </c>
      <c r="DG19" s="2" t="b">
        <f>RecData[[#This Row],[Temperature '[°C']]]&lt;=-20</f>
        <v>0</v>
      </c>
      <c r="DH19" s="18" t="b">
        <f>NOT(OR(MOD(RecData[[#This Row],[TIMESTAMP]],1)&gt;0.91632,MOD(RecData[[#This Row],[TIMESTAMP]],1)&lt;0.208681))</f>
        <v>0</v>
      </c>
      <c r="DI19" s="18" t="b">
        <f>RecData[[#This Row],[Overall (dBA)]]-RecData[[#This Row],[L90]]&gt;=$DS$4</f>
        <v>0</v>
      </c>
      <c r="DJ19" s="18" t="b">
        <f>RecData[[#This Row],[Overall (dBA)]]&gt;$DS$2</f>
        <v>0</v>
      </c>
      <c r="DK19" s="18" t="b">
        <f>RecData[[#This Row],[Overall (dBA)]]&lt;$DS$3</f>
        <v>0</v>
      </c>
      <c r="DL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9" s="2">
        <f>IF(AND(RecData[[#This Row],[Turbines ON/OFF]] = "OFF", NOT(OR(RecData[[#This Row],[Junk?]]="YES",RecData[[#This Row],[Gust?]],RecData[[#This Row],[Rain?]:[Min SPL Threshold?]]))),1,0)</f>
        <v>0</v>
      </c>
      <c r="DN19" s="16">
        <f>RecData[[#This Row],[dBA Sum]]</f>
        <v>38.575714560635262</v>
      </c>
      <c r="DO19" s="16">
        <f>RecData[[#This Row],[LAF90.0]]</f>
        <v>40.6</v>
      </c>
      <c r="DP19" s="55">
        <f>IF(AND(RecData[[#This Row],[Useable TON Data?]],RecData[[#This Row],[Turbines ON/OFF]]="ON"),RecData[[#This Row],[dBA Sum]],"")</f>
        <v>38.575714560635262</v>
      </c>
      <c r="DQ19" s="55" t="str">
        <f>IF(AND(RecData[[#This Row],[Useable Background Data?]],RecData[[#This Row],[Turbines ON/OFF]]="OFF"),RecData[[#This Row],[dBA Sum]],"")</f>
        <v/>
      </c>
      <c r="DR19" s="3">
        <f>IF(OR(RecData[[#This Row],[Useable TON Data?]],RecData[[#This Row],[Useable Background Data?]]),ROUND(RecData[[#This Row],[WSpd_Avg '[m/s']]],0),"")</f>
        <v>1</v>
      </c>
      <c r="DS19" s="85">
        <f>(0.00002)^2*(10^(RecData[[#This Row],[Overall (dBA)]]/10))</f>
        <v>2.881585083711012E-6</v>
      </c>
    </row>
    <row r="20" spans="1:123" ht="15" x14ac:dyDescent="0.25">
      <c r="A20" s="3" t="s">
        <v>249</v>
      </c>
      <c r="B20" s="12">
        <v>43252.077083333337</v>
      </c>
      <c r="C20" s="3"/>
      <c r="D20" s="3">
        <v>43.5</v>
      </c>
      <c r="E20" s="3"/>
      <c r="F20" s="3"/>
      <c r="G20" s="3"/>
      <c r="H20" s="3"/>
      <c r="I20" s="3"/>
      <c r="J20" s="3"/>
      <c r="K20" s="3">
        <v>41.8</v>
      </c>
      <c r="L20" s="3"/>
      <c r="M20" s="3"/>
      <c r="N20" s="3">
        <v>177.5</v>
      </c>
      <c r="O20" s="3"/>
      <c r="P20" s="3"/>
      <c r="Q20" s="3">
        <v>0.92</v>
      </c>
      <c r="R20" s="3">
        <v>0.1</v>
      </c>
      <c r="S20" s="3">
        <v>1.8</v>
      </c>
      <c r="T20" s="3">
        <v>10.199999999999999</v>
      </c>
      <c r="U20" s="3">
        <v>92</v>
      </c>
      <c r="V20" s="3">
        <v>963.8</v>
      </c>
      <c r="W20" s="3">
        <v>0</v>
      </c>
      <c r="X20" s="3">
        <v>44.2</v>
      </c>
      <c r="Y20" s="3">
        <v>44.5</v>
      </c>
      <c r="Z20" s="3">
        <v>44.2</v>
      </c>
      <c r="AA20" s="3">
        <v>39.9</v>
      </c>
      <c r="AB20" s="3">
        <v>35.1</v>
      </c>
      <c r="AC20" s="3">
        <v>33.299999999999997</v>
      </c>
      <c r="AD20" s="3">
        <v>37.700000000000003</v>
      </c>
      <c r="AE20" s="3">
        <v>40.700000000000003</v>
      </c>
      <c r="AF20" s="3">
        <v>45</v>
      </c>
      <c r="AG20" s="3">
        <v>37.6</v>
      </c>
      <c r="AH20" s="3">
        <v>36.700000000000003</v>
      </c>
      <c r="AI20" s="3">
        <v>36.9</v>
      </c>
      <c r="AJ20" s="3">
        <v>35.5</v>
      </c>
      <c r="AK20" s="3">
        <v>34</v>
      </c>
      <c r="AL20" s="3">
        <v>31.6</v>
      </c>
      <c r="AM20" s="3">
        <v>31.3</v>
      </c>
      <c r="AN20" s="3">
        <v>30.1</v>
      </c>
      <c r="AO20" s="3">
        <v>27.7</v>
      </c>
      <c r="AP20" s="3">
        <v>25.7</v>
      </c>
      <c r="AQ20" s="3">
        <v>24.7</v>
      </c>
      <c r="AR20" s="3">
        <v>22.3</v>
      </c>
      <c r="AS20" s="3">
        <v>34.700000000000003</v>
      </c>
      <c r="AT20" s="3">
        <v>38.9</v>
      </c>
      <c r="AU20" s="3">
        <v>15.7</v>
      </c>
      <c r="AV20" s="3">
        <v>12.8</v>
      </c>
      <c r="AW20" s="3">
        <v>11.5</v>
      </c>
      <c r="AX20" s="3">
        <v>9.8000000000000007</v>
      </c>
      <c r="AY20" s="3">
        <v>9.6</v>
      </c>
      <c r="AZ20" s="3">
        <v>0</v>
      </c>
      <c r="BA20" s="3">
        <v>0</v>
      </c>
      <c r="BB20" s="3">
        <v>0</v>
      </c>
      <c r="BC20" s="3">
        <v>43.455382748912406</v>
      </c>
      <c r="BD20" s="3">
        <v>44.244617251087597</v>
      </c>
      <c r="BE20" s="3">
        <v>44.544617251087594</v>
      </c>
      <c r="BF20" s="3">
        <v>43.004617251087602</v>
      </c>
      <c r="BG20" s="3">
        <v>39.031283917754259</v>
      </c>
      <c r="BH20" s="3">
        <v>34.371283917754262</v>
      </c>
      <c r="BI20" s="3">
        <v>32.984617251087592</v>
      </c>
      <c r="BJ20" s="3">
        <v>38.17795058442092</v>
      </c>
      <c r="BK20" s="3">
        <v>41.051283917754255</v>
      </c>
      <c r="BL20" s="3">
        <v>44.924617251087589</v>
      </c>
      <c r="BM20" s="3">
        <v>37.657950584420938</v>
      </c>
      <c r="BN20" s="3">
        <v>37.041283917754264</v>
      </c>
      <c r="BO20" s="3">
        <v>36.607950584420927</v>
      </c>
      <c r="BP20" s="3">
        <v>34.924617251087589</v>
      </c>
      <c r="BQ20" s="3">
        <v>33.841283917754247</v>
      </c>
      <c r="BR20" s="3">
        <v>31.767950584420923</v>
      </c>
      <c r="BS20" s="3">
        <v>31.271283917754253</v>
      </c>
      <c r="BT20" s="3">
        <v>30.267950584420923</v>
      </c>
      <c r="BU20" s="3">
        <v>27.8346172510876</v>
      </c>
      <c r="BV20" s="3">
        <v>25.551283917754255</v>
      </c>
      <c r="BW20" s="3">
        <v>25.0846172510876</v>
      </c>
      <c r="BX20" s="3">
        <v>22.604617251087596</v>
      </c>
      <c r="BY20" s="3">
        <v>34.824617251087595</v>
      </c>
      <c r="BZ20" s="3">
        <v>39.154617251087593</v>
      </c>
      <c r="CA20" s="3">
        <v>16.054617251087585</v>
      </c>
      <c r="CB20" s="3">
        <v>12.591283917754261</v>
      </c>
      <c r="CC20" s="3">
        <v>11.504617251087595</v>
      </c>
      <c r="CD20" s="3">
        <v>9.1112839177542639</v>
      </c>
      <c r="CE20" s="3">
        <v>9.1046172510875962</v>
      </c>
      <c r="CF20" s="3">
        <v>-0.88204941557907546</v>
      </c>
      <c r="CG20" s="3">
        <v>-1.4153827489124069</v>
      </c>
      <c r="CH20" s="3">
        <v>-2.4920494155790749</v>
      </c>
      <c r="CI20" s="13">
        <f>[1]!dbasum(RecData[[#This Row],[20]:[2000]],RecData[[#Headers],[20]:[2000]])</f>
        <v>38.955967175969647</v>
      </c>
      <c r="CJ20" s="14">
        <v>656</v>
      </c>
      <c r="CK20" s="15" t="s">
        <v>249</v>
      </c>
      <c r="CL20" s="15">
        <f>RecData[[#This Row],[Start Time]]</f>
        <v>43252.077083333337</v>
      </c>
      <c r="CM20" s="16">
        <f>RecData[[#This Row],[Wind Speed avg]]</f>
        <v>0.92</v>
      </c>
      <c r="CN20" s="16">
        <f>RecData[[#This Row],[Wind Dir. avg]]</f>
        <v>177.5</v>
      </c>
      <c r="CO20" s="16">
        <f>RecData[[#This Row],[Amb. Humidity]]</f>
        <v>92</v>
      </c>
      <c r="CP20" s="16">
        <f>RecData[[#This Row],[Amb. Temperature]]</f>
        <v>10.199999999999999</v>
      </c>
      <c r="CQ20" s="17">
        <f>RecData[[#This Row],[Amb. Rain Gauge]]</f>
        <v>0</v>
      </c>
      <c r="CR20" s="97" t="s">
        <v>1</v>
      </c>
      <c r="CS20" s="97" t="s">
        <v>49</v>
      </c>
      <c r="CT20" s="98">
        <v>1542.1877440000001</v>
      </c>
      <c r="CU20" s="98">
        <v>27.000226974487301</v>
      </c>
      <c r="CV20" s="98">
        <v>10.000672340393001</v>
      </c>
      <c r="CW20" s="98">
        <v>15.1739177703857</v>
      </c>
      <c r="CX20" s="97"/>
      <c r="CY20" s="99"/>
      <c r="CZ20" s="2" t="b">
        <f>IF($DP$1="YES",IF(RecData[[#This Row],[Power (kW)]]&gt;=$CR$3, TRUE,FALSE),TRUE)</f>
        <v>1</v>
      </c>
      <c r="DA20" s="16">
        <f>MIN(MOD(180-ABS(ABS($DA$1-RecData[Yaw Angle (°)])-180),360),MOD(180-ABS(ABS($DB$1-RecData[Yaw Angle (°)])-180),360))</f>
        <v>19.470300196799741</v>
      </c>
      <c r="DB20" s="2" t="str">
        <f>IF($DP$2="None","None",IF(RecData[[#This Row],[Relative Wind Direction]]&lt;=45,"DW",IF(RecData[[#This Row],[Relative Wind Direction]]&lt;=135,"CW","UW")))</f>
        <v>DW</v>
      </c>
      <c r="DC20" s="61" t="e">
        <f>IF($CL20-#REF!&gt;1/24,#REF!,IF(SUM($CQ18:$CQ20)&gt;$DS$1,$DS$5,DC21-1))</f>
        <v>#REF!</v>
      </c>
      <c r="DD20" s="61" t="e">
        <f>IF($CL21-$CL20&gt;1/24,#REF!,IF(SUM($CQ18:$CQ20)&gt;$DS$1,$DS$6,#REF!-1))</f>
        <v>#REF!</v>
      </c>
      <c r="DE20" s="18" t="b">
        <v>0</v>
      </c>
      <c r="DF20" s="2" t="b">
        <f>IF(OR(RecData[[#This Row],[WSpd_Avg '[m/s']]]-RecData[[#This Row],[Wind Speed min]]&gt;=$DF$3,RecData[[#This Row],[Wind Speed max]]-RecData[[#This Row],[WSpd_Avg '[m/s']]]&gt;=$DF$2),TRUE,FALSE)</f>
        <v>0</v>
      </c>
      <c r="DG20" s="2" t="b">
        <f>RecData[[#This Row],[Temperature '[°C']]]&lt;=-20</f>
        <v>0</v>
      </c>
      <c r="DH20" s="18" t="b">
        <f>NOT(OR(MOD(RecData[[#This Row],[TIMESTAMP]],1)&gt;0.91632,MOD(RecData[[#This Row],[TIMESTAMP]],1)&lt;0.208681))</f>
        <v>0</v>
      </c>
      <c r="DI20" s="18" t="b">
        <f>RecData[[#This Row],[Overall (dBA)]]-RecData[[#This Row],[L90]]&gt;=$DS$4</f>
        <v>0</v>
      </c>
      <c r="DJ20" s="18" t="b">
        <f>RecData[[#This Row],[Overall (dBA)]]&gt;$DS$2</f>
        <v>0</v>
      </c>
      <c r="DK20" s="18" t="b">
        <f>RecData[[#This Row],[Overall (dBA)]]&lt;$DS$3</f>
        <v>0</v>
      </c>
      <c r="DL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0" s="2">
        <f>IF(AND(RecData[[#This Row],[Turbines ON/OFF]] = "OFF", NOT(OR(RecData[[#This Row],[Junk?]]="YES",RecData[[#This Row],[Gust?]],RecData[[#This Row],[Rain?]:[Min SPL Threshold?]]))),1,0)</f>
        <v>0</v>
      </c>
      <c r="DN20" s="16">
        <f>RecData[[#This Row],[dBA Sum]]</f>
        <v>38.955967175969647</v>
      </c>
      <c r="DO20" s="16">
        <f>RecData[[#This Row],[LAF90.0]]</f>
        <v>41.8</v>
      </c>
      <c r="DP20" s="55">
        <f>IF(AND(RecData[[#This Row],[Useable TON Data?]],RecData[[#This Row],[Turbines ON/OFF]]="ON"),RecData[[#This Row],[dBA Sum]],"")</f>
        <v>38.955967175969647</v>
      </c>
      <c r="DQ20" s="55" t="str">
        <f>IF(AND(RecData[[#This Row],[Useable Background Data?]],RecData[[#This Row],[Turbines ON/OFF]]="OFF"),RecData[[#This Row],[dBA Sum]],"")</f>
        <v/>
      </c>
      <c r="DR20" s="3">
        <f>IF(OR(RecData[[#This Row],[Useable TON Data?]],RecData[[#This Row],[Useable Background Data?]]),ROUND(RecData[[#This Row],[WSpd_Avg '[m/s']]],0),"")</f>
        <v>1</v>
      </c>
      <c r="DS20" s="85">
        <f>(0.00002)^2*(10^(RecData[[#This Row],[Overall (dBA)]]/10))</f>
        <v>3.1452611378214806E-6</v>
      </c>
    </row>
    <row r="21" spans="1:123" ht="15" x14ac:dyDescent="0.25">
      <c r="A21" s="3" t="s">
        <v>249</v>
      </c>
      <c r="B21" s="12">
        <v>43252.077777777784</v>
      </c>
      <c r="C21" s="3"/>
      <c r="D21" s="3">
        <v>42.4</v>
      </c>
      <c r="E21" s="3"/>
      <c r="F21" s="3"/>
      <c r="G21" s="3"/>
      <c r="H21" s="3"/>
      <c r="I21" s="3"/>
      <c r="J21" s="3"/>
      <c r="K21" s="3">
        <v>40.6</v>
      </c>
      <c r="L21" s="3"/>
      <c r="M21" s="3"/>
      <c r="N21" s="3">
        <v>162.4</v>
      </c>
      <c r="O21" s="3"/>
      <c r="P21" s="3"/>
      <c r="Q21" s="3">
        <v>0.73</v>
      </c>
      <c r="R21" s="3">
        <v>0.1</v>
      </c>
      <c r="S21" s="3">
        <v>1.6</v>
      </c>
      <c r="T21" s="3">
        <v>10.199999999999999</v>
      </c>
      <c r="U21" s="3">
        <v>92.3</v>
      </c>
      <c r="V21" s="3">
        <v>963.8</v>
      </c>
      <c r="W21" s="3">
        <v>0</v>
      </c>
      <c r="X21" s="3">
        <v>43.7</v>
      </c>
      <c r="Y21" s="3">
        <v>43.4</v>
      </c>
      <c r="Z21" s="3">
        <v>43.6</v>
      </c>
      <c r="AA21" s="3">
        <v>39.9</v>
      </c>
      <c r="AB21" s="3">
        <v>34.5</v>
      </c>
      <c r="AC21" s="3">
        <v>34.5</v>
      </c>
      <c r="AD21" s="3">
        <v>37.200000000000003</v>
      </c>
      <c r="AE21" s="3">
        <v>39.4</v>
      </c>
      <c r="AF21" s="3">
        <v>42.2</v>
      </c>
      <c r="AG21" s="3">
        <v>37.4</v>
      </c>
      <c r="AH21" s="3">
        <v>36.4</v>
      </c>
      <c r="AI21" s="3">
        <v>35.799999999999997</v>
      </c>
      <c r="AJ21" s="3">
        <v>35.200000000000003</v>
      </c>
      <c r="AK21" s="3">
        <v>33.5</v>
      </c>
      <c r="AL21" s="3">
        <v>31.5</v>
      </c>
      <c r="AM21" s="3">
        <v>31</v>
      </c>
      <c r="AN21" s="3">
        <v>30.2</v>
      </c>
      <c r="AO21" s="3">
        <v>27.8</v>
      </c>
      <c r="AP21" s="3">
        <v>25.9</v>
      </c>
      <c r="AQ21" s="3">
        <v>24.9</v>
      </c>
      <c r="AR21" s="3">
        <v>22.3</v>
      </c>
      <c r="AS21" s="3">
        <v>32.4</v>
      </c>
      <c r="AT21" s="3">
        <v>37.700000000000003</v>
      </c>
      <c r="AU21" s="3">
        <v>15.7</v>
      </c>
      <c r="AV21" s="3">
        <v>13</v>
      </c>
      <c r="AW21" s="3">
        <v>11.6</v>
      </c>
      <c r="AX21" s="3">
        <v>9.8000000000000007</v>
      </c>
      <c r="AY21" s="3">
        <v>9.6</v>
      </c>
      <c r="AZ21" s="3">
        <v>0</v>
      </c>
      <c r="BA21" s="3">
        <v>0</v>
      </c>
      <c r="BB21" s="3">
        <v>0</v>
      </c>
      <c r="BC21" s="3">
        <v>42.389006492376851</v>
      </c>
      <c r="BD21" s="3">
        <v>43.710993507623144</v>
      </c>
      <c r="BE21" s="3">
        <v>43.410993507623147</v>
      </c>
      <c r="BF21" s="3">
        <v>42.37099350762314</v>
      </c>
      <c r="BG21" s="3">
        <v>38.997660174289805</v>
      </c>
      <c r="BH21" s="3">
        <v>33.737660174289815</v>
      </c>
      <c r="BI21" s="3">
        <v>34.150993507623141</v>
      </c>
      <c r="BJ21" s="3">
        <v>37.644326840956481</v>
      </c>
      <c r="BK21" s="3">
        <v>39.717660174289804</v>
      </c>
      <c r="BL21" s="3">
        <v>42.090993507623153</v>
      </c>
      <c r="BM21" s="3">
        <v>37.424326840956482</v>
      </c>
      <c r="BN21" s="3">
        <v>36.707660174289813</v>
      </c>
      <c r="BO21" s="3">
        <v>35.474326840956479</v>
      </c>
      <c r="BP21" s="3">
        <v>34.590993507623153</v>
      </c>
      <c r="BQ21" s="3">
        <v>33.307660174289808</v>
      </c>
      <c r="BR21" s="3">
        <v>31.63432684095649</v>
      </c>
      <c r="BS21" s="3">
        <v>30.937660174289817</v>
      </c>
      <c r="BT21" s="3">
        <v>30.334326840956479</v>
      </c>
      <c r="BU21" s="3">
        <v>27.900993507623156</v>
      </c>
      <c r="BV21" s="3">
        <v>25.717660174289819</v>
      </c>
      <c r="BW21" s="3">
        <v>25.25099350762315</v>
      </c>
      <c r="BX21" s="3">
        <v>22.570993507623157</v>
      </c>
      <c r="BY21" s="3">
        <v>32.490993507623145</v>
      </c>
      <c r="BZ21" s="3">
        <v>37.920993507623152</v>
      </c>
      <c r="CA21" s="3">
        <v>16.020993507623139</v>
      </c>
      <c r="CB21" s="3">
        <v>12.757660174289811</v>
      </c>
      <c r="CC21" s="3">
        <v>11.570993507623143</v>
      </c>
      <c r="CD21" s="3">
        <v>9.077660174289818</v>
      </c>
      <c r="CE21" s="3">
        <v>9.0709935076231432</v>
      </c>
      <c r="CF21" s="3">
        <v>-0.91567315904352142</v>
      </c>
      <c r="CG21" s="3">
        <v>-1.4490064923768529</v>
      </c>
      <c r="CH21" s="3">
        <v>-2.5256731590435209</v>
      </c>
      <c r="CI21" s="13">
        <f>[1]!dbasum(RecData[[#This Row],[20]:[2000]],RecData[[#Headers],[20]:[2000]])</f>
        <v>38.511044052722724</v>
      </c>
      <c r="CJ21" s="14">
        <v>657</v>
      </c>
      <c r="CK21" s="15" t="s">
        <v>249</v>
      </c>
      <c r="CL21" s="15">
        <f>RecData[[#This Row],[Start Time]]</f>
        <v>43252.077777777784</v>
      </c>
      <c r="CM21" s="16">
        <f>RecData[[#This Row],[Wind Speed avg]]</f>
        <v>0.73</v>
      </c>
      <c r="CN21" s="16">
        <f>RecData[[#This Row],[Wind Dir. avg]]</f>
        <v>162.4</v>
      </c>
      <c r="CO21" s="16">
        <f>RecData[[#This Row],[Amb. Humidity]]</f>
        <v>92.3</v>
      </c>
      <c r="CP21" s="16">
        <f>RecData[[#This Row],[Amb. Temperature]]</f>
        <v>10.199999999999999</v>
      </c>
      <c r="CQ21" s="17">
        <f>RecData[[#This Row],[Amb. Rain Gauge]]</f>
        <v>0</v>
      </c>
      <c r="CR21" s="97" t="s">
        <v>1</v>
      </c>
      <c r="CS21" s="97" t="s">
        <v>49</v>
      </c>
      <c r="CT21" s="98">
        <v>1542.1877440000001</v>
      </c>
      <c r="CU21" s="98">
        <v>27.000226974487301</v>
      </c>
      <c r="CV21" s="98">
        <v>10.000672340393001</v>
      </c>
      <c r="CW21" s="98">
        <v>15.1739177703857</v>
      </c>
      <c r="CX21" s="97"/>
      <c r="CY21" s="99"/>
      <c r="CZ21" s="2" t="b">
        <f>IF($DP$1="YES",IF(RecData[[#This Row],[Power (kW)]]&gt;=$CR$3, TRUE,FALSE),TRUE)</f>
        <v>1</v>
      </c>
      <c r="DA21" s="16">
        <f>MIN(MOD(180-ABS(ABS($DA$1-RecData[Yaw Angle (°)])-180),360),MOD(180-ABS(ABS($DB$1-RecData[Yaw Angle (°)])-180),360))</f>
        <v>19.470300196799741</v>
      </c>
      <c r="DB21" s="2" t="str">
        <f>IF($DP$2="None","None",IF(RecData[[#This Row],[Relative Wind Direction]]&lt;=45,"DW",IF(RecData[[#This Row],[Relative Wind Direction]]&lt;=135,"CW","UW")))</f>
        <v>DW</v>
      </c>
      <c r="DC21" s="61">
        <f>IF($CL21-$CL18&gt;1/24,#REF!,IF(SUM($CQ18:$CQ21)&gt;$DS$1,$DS$5,DC22-1))</f>
        <v>-2</v>
      </c>
      <c r="DD21" s="61" t="e">
        <f>IF($CL22-$CL21&gt;1/24,#REF!,IF(SUM($CQ18:$CQ21)&gt;$DS$1,$DS$6,DD20-1))</f>
        <v>#REF!</v>
      </c>
      <c r="DE21" s="18" t="b">
        <v>0</v>
      </c>
      <c r="DF21" s="2" t="b">
        <f>IF(OR(RecData[[#This Row],[WSpd_Avg '[m/s']]]-RecData[[#This Row],[Wind Speed min]]&gt;=$DF$3,RecData[[#This Row],[Wind Speed max]]-RecData[[#This Row],[WSpd_Avg '[m/s']]]&gt;=$DF$2),TRUE,FALSE)</f>
        <v>0</v>
      </c>
      <c r="DG21" s="2" t="b">
        <f>RecData[[#This Row],[Temperature '[°C']]]&lt;=-20</f>
        <v>0</v>
      </c>
      <c r="DH21" s="18" t="b">
        <f>NOT(OR(MOD(RecData[[#This Row],[TIMESTAMP]],1)&gt;0.91632,MOD(RecData[[#This Row],[TIMESTAMP]],1)&lt;0.208681))</f>
        <v>0</v>
      </c>
      <c r="DI21" s="18" t="b">
        <f>RecData[[#This Row],[Overall (dBA)]]-RecData[[#This Row],[L90]]&gt;=$DS$4</f>
        <v>0</v>
      </c>
      <c r="DJ21" s="18" t="b">
        <f>RecData[[#This Row],[Overall (dBA)]]&gt;$DS$2</f>
        <v>0</v>
      </c>
      <c r="DK21" s="18" t="b">
        <f>RecData[[#This Row],[Overall (dBA)]]&lt;$DS$3</f>
        <v>0</v>
      </c>
      <c r="DL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1" s="2">
        <f>IF(AND(RecData[[#This Row],[Turbines ON/OFF]] = "OFF", NOT(OR(RecData[[#This Row],[Junk?]]="YES",RecData[[#This Row],[Gust?]],RecData[[#This Row],[Rain?]:[Min SPL Threshold?]]))),1,0)</f>
        <v>0</v>
      </c>
      <c r="DN21" s="16">
        <f>RecData[[#This Row],[dBA Sum]]</f>
        <v>38.511044052722724</v>
      </c>
      <c r="DO21" s="16">
        <f>RecData[[#This Row],[LAF90.0]]</f>
        <v>40.6</v>
      </c>
      <c r="DP21" s="55">
        <f>IF(AND(RecData[[#This Row],[Useable TON Data?]],RecData[[#This Row],[Turbines ON/OFF]]="ON"),RecData[[#This Row],[dBA Sum]],"")</f>
        <v>38.511044052722724</v>
      </c>
      <c r="DQ21" s="55" t="str">
        <f>IF(AND(RecData[[#This Row],[Useable Background Data?]],RecData[[#This Row],[Turbines ON/OFF]]="OFF"),RecData[[#This Row],[dBA Sum]],"")</f>
        <v/>
      </c>
      <c r="DR21" s="3">
        <f>IF(OR(RecData[[#This Row],[Useable TON Data?]],RecData[[#This Row],[Useable Background Data?]]),ROUND(RecData[[#This Row],[WSpd_Avg '[m/s']]],0),"")</f>
        <v>1</v>
      </c>
      <c r="DS21" s="85">
        <f>(0.00002)^2*(10^(RecData[[#This Row],[Overall (dBA)]]/10))</f>
        <v>2.8389934896027553E-6</v>
      </c>
    </row>
    <row r="22" spans="1:123" ht="15" x14ac:dyDescent="0.25">
      <c r="A22" s="3" t="s">
        <v>249</v>
      </c>
      <c r="B22" s="12">
        <v>43252.078472222231</v>
      </c>
      <c r="C22" s="3"/>
      <c r="D22" s="3">
        <v>43.4</v>
      </c>
      <c r="E22" s="3"/>
      <c r="F22" s="3"/>
      <c r="G22" s="3"/>
      <c r="H22" s="3"/>
      <c r="I22" s="3"/>
      <c r="J22" s="3"/>
      <c r="K22" s="3">
        <v>40.799999999999997</v>
      </c>
      <c r="L22" s="3"/>
      <c r="M22" s="3"/>
      <c r="N22" s="3">
        <v>158.69999999999999</v>
      </c>
      <c r="O22" s="3"/>
      <c r="P22" s="3"/>
      <c r="Q22" s="3">
        <v>0.49</v>
      </c>
      <c r="R22" s="3">
        <v>0.1</v>
      </c>
      <c r="S22" s="3">
        <v>1.3</v>
      </c>
      <c r="T22" s="3">
        <v>10.199999999999999</v>
      </c>
      <c r="U22" s="3">
        <v>92.4</v>
      </c>
      <c r="V22" s="3">
        <v>963.8</v>
      </c>
      <c r="W22" s="3">
        <v>0</v>
      </c>
      <c r="X22" s="3">
        <v>42</v>
      </c>
      <c r="Y22" s="3">
        <v>42.1</v>
      </c>
      <c r="Z22" s="3">
        <v>42.1</v>
      </c>
      <c r="AA22" s="3">
        <v>38.6</v>
      </c>
      <c r="AB22" s="3">
        <v>32.9</v>
      </c>
      <c r="AC22" s="3">
        <v>31.9</v>
      </c>
      <c r="AD22" s="3">
        <v>36</v>
      </c>
      <c r="AE22" s="3">
        <v>38.200000000000003</v>
      </c>
      <c r="AF22" s="3">
        <v>42.8</v>
      </c>
      <c r="AG22" s="3">
        <v>36.4</v>
      </c>
      <c r="AH22" s="3">
        <v>35.5</v>
      </c>
      <c r="AI22" s="3">
        <v>35.700000000000003</v>
      </c>
      <c r="AJ22" s="3">
        <v>34.6</v>
      </c>
      <c r="AK22" s="3">
        <v>32.9</v>
      </c>
      <c r="AL22" s="3">
        <v>30.9</v>
      </c>
      <c r="AM22" s="3">
        <v>30.6</v>
      </c>
      <c r="AN22" s="3">
        <v>29.8</v>
      </c>
      <c r="AO22" s="3">
        <v>27.3</v>
      </c>
      <c r="AP22" s="3">
        <v>25.6</v>
      </c>
      <c r="AQ22" s="3">
        <v>24.6</v>
      </c>
      <c r="AR22" s="3">
        <v>22.1</v>
      </c>
      <c r="AS22" s="3">
        <v>34.200000000000003</v>
      </c>
      <c r="AT22" s="3">
        <v>39.4</v>
      </c>
      <c r="AU22" s="3">
        <v>16.2</v>
      </c>
      <c r="AV22" s="3">
        <v>13.3</v>
      </c>
      <c r="AW22" s="3">
        <v>12</v>
      </c>
      <c r="AX22" s="3">
        <v>9.9</v>
      </c>
      <c r="AY22" s="3">
        <v>9.6999999999999993</v>
      </c>
      <c r="AZ22" s="3">
        <v>0</v>
      </c>
      <c r="BA22" s="3">
        <v>0</v>
      </c>
      <c r="BB22" s="3">
        <v>0</v>
      </c>
      <c r="BC22" s="3">
        <v>43.342334978647258</v>
      </c>
      <c r="BD22" s="3">
        <v>42.057665021352747</v>
      </c>
      <c r="BE22" s="3">
        <v>42.157665021352742</v>
      </c>
      <c r="BF22" s="3">
        <v>40.917665021352732</v>
      </c>
      <c r="BG22" s="3">
        <v>37.744331688019415</v>
      </c>
      <c r="BH22" s="3">
        <v>32.184331688019412</v>
      </c>
      <c r="BI22" s="3">
        <v>31.597665021352739</v>
      </c>
      <c r="BJ22" s="3">
        <v>36.49099835468607</v>
      </c>
      <c r="BK22" s="3">
        <v>38.564331688019408</v>
      </c>
      <c r="BL22" s="3">
        <v>42.73766502135274</v>
      </c>
      <c r="BM22" s="3">
        <v>36.470998354686074</v>
      </c>
      <c r="BN22" s="3">
        <v>35.8543316880194</v>
      </c>
      <c r="BO22" s="3">
        <v>35.420998354686077</v>
      </c>
      <c r="BP22" s="3">
        <v>34.037665021352737</v>
      </c>
      <c r="BQ22" s="3">
        <v>32.754331688019406</v>
      </c>
      <c r="BR22" s="3">
        <v>31.080998354686074</v>
      </c>
      <c r="BS22" s="3">
        <v>30.584331688019404</v>
      </c>
      <c r="BT22" s="3">
        <v>29.980998354686079</v>
      </c>
      <c r="BU22" s="3">
        <v>27.447665021352748</v>
      </c>
      <c r="BV22" s="3">
        <v>25.464331688019413</v>
      </c>
      <c r="BW22" s="3">
        <v>24.997665021352745</v>
      </c>
      <c r="BX22" s="3">
        <v>22.417665021352747</v>
      </c>
      <c r="BY22" s="3">
        <v>34.337665021352748</v>
      </c>
      <c r="BZ22" s="3">
        <v>39.667665021352732</v>
      </c>
      <c r="CA22" s="3">
        <v>16.567665021352731</v>
      </c>
      <c r="CB22" s="3">
        <v>13.104331688019407</v>
      </c>
      <c r="CC22" s="3">
        <v>12.017665021352741</v>
      </c>
      <c r="CD22" s="3">
        <v>9.2243316880194115</v>
      </c>
      <c r="CE22" s="3">
        <v>9.2176650213527367</v>
      </c>
      <c r="CF22" s="3">
        <v>-0.86900164531392932</v>
      </c>
      <c r="CG22" s="3">
        <v>-1.4023349786472608</v>
      </c>
      <c r="CH22" s="3">
        <v>-2.4790016453139287</v>
      </c>
      <c r="CI22" s="13">
        <f>[1]!dbasum(RecData[[#This Row],[20]:[2000]],RecData[[#Headers],[20]:[2000]])</f>
        <v>38.130754071667646</v>
      </c>
      <c r="CJ22" s="14">
        <v>658</v>
      </c>
      <c r="CK22" s="15" t="s">
        <v>249</v>
      </c>
      <c r="CL22" s="15">
        <f>RecData[[#This Row],[Start Time]]</f>
        <v>43252.078472222231</v>
      </c>
      <c r="CM22" s="16">
        <f>RecData[[#This Row],[Wind Speed avg]]</f>
        <v>0.49</v>
      </c>
      <c r="CN22" s="16">
        <f>RecData[[#This Row],[Wind Dir. avg]]</f>
        <v>158.69999999999999</v>
      </c>
      <c r="CO22" s="16">
        <f>RecData[[#This Row],[Amb. Humidity]]</f>
        <v>92.4</v>
      </c>
      <c r="CP22" s="16">
        <f>RecData[[#This Row],[Amb. Temperature]]</f>
        <v>10.199999999999999</v>
      </c>
      <c r="CQ22" s="17">
        <f>RecData[[#This Row],[Amb. Rain Gauge]]</f>
        <v>0</v>
      </c>
      <c r="CR22" s="97" t="s">
        <v>1</v>
      </c>
      <c r="CS22" s="97" t="s">
        <v>49</v>
      </c>
      <c r="CT22" s="98">
        <v>1542.1877440000001</v>
      </c>
      <c r="CU22" s="98">
        <v>27.000226974487301</v>
      </c>
      <c r="CV22" s="98">
        <v>10.000672340393001</v>
      </c>
      <c r="CW22" s="98">
        <v>15.1739177703857</v>
      </c>
      <c r="CX22" s="97"/>
      <c r="CY22" s="99"/>
      <c r="CZ22" s="2" t="b">
        <f>IF($DP$1="YES",IF(RecData[[#This Row],[Power (kW)]]&gt;=$CR$3, TRUE,FALSE),TRUE)</f>
        <v>1</v>
      </c>
      <c r="DA22" s="16">
        <f>MIN(MOD(180-ABS(ABS($DA$1-RecData[Yaw Angle (°)])-180),360),MOD(180-ABS(ABS($DB$1-RecData[Yaw Angle (°)])-180),360))</f>
        <v>19.470300196799741</v>
      </c>
      <c r="DB22" s="2" t="str">
        <f>IF($DP$2="None","None",IF(RecData[[#This Row],[Relative Wind Direction]]&lt;=45,"DW",IF(RecData[[#This Row],[Relative Wind Direction]]&lt;=135,"CW","UW")))</f>
        <v>DW</v>
      </c>
      <c r="DC22" s="61">
        <v>-1</v>
      </c>
      <c r="DD22" s="61">
        <v>-1</v>
      </c>
      <c r="DE22" s="18" t="b">
        <v>0</v>
      </c>
      <c r="DF22" s="2" t="b">
        <f>IF(OR(RecData[[#This Row],[WSpd_Avg '[m/s']]]-RecData[[#This Row],[Wind Speed min]]&gt;=$DF$3,RecData[[#This Row],[Wind Speed max]]-RecData[[#This Row],[WSpd_Avg '[m/s']]]&gt;=$DF$2),TRUE,FALSE)</f>
        <v>0</v>
      </c>
      <c r="DG22" s="2" t="b">
        <f>RecData[[#This Row],[Temperature '[°C']]]&lt;=-20</f>
        <v>0</v>
      </c>
      <c r="DH22" s="18" t="b">
        <f>NOT(OR(MOD(RecData[[#This Row],[TIMESTAMP]],1)&gt;0.91632,MOD(RecData[[#This Row],[TIMESTAMP]],1)&lt;0.208681))</f>
        <v>0</v>
      </c>
      <c r="DI22" s="18" t="b">
        <f>RecData[[#This Row],[Overall (dBA)]]-RecData[[#This Row],[L90]]&gt;=$DS$4</f>
        <v>0</v>
      </c>
      <c r="DJ22" s="18" t="b">
        <f>RecData[[#This Row],[Overall (dBA)]]&gt;$DS$2</f>
        <v>0</v>
      </c>
      <c r="DK22" s="18" t="b">
        <f>RecData[[#This Row],[Overall (dBA)]]&lt;$DS$3</f>
        <v>0</v>
      </c>
      <c r="DL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2" s="2">
        <f>IF(AND(RecData[[#This Row],[Turbines ON/OFF]] = "OFF", NOT(OR(RecData[[#This Row],[Junk?]]="YES",RecData[[#This Row],[Gust?]],RecData[[#This Row],[Rain?]:[Min SPL Threshold?]]))),1,0)</f>
        <v>0</v>
      </c>
      <c r="DN22" s="16">
        <f>RecData[[#This Row],[dBA Sum]]</f>
        <v>38.130754071667646</v>
      </c>
      <c r="DO22" s="16">
        <f>RecData[[#This Row],[LAF90.0]]</f>
        <v>40.799999999999997</v>
      </c>
      <c r="DP22" s="55">
        <f>IF(AND(RecData[[#This Row],[Useable TON Data?]],RecData[[#This Row],[Turbines ON/OFF]]="ON"),RecData[[#This Row],[dBA Sum]],"")</f>
        <v>38.130754071667646</v>
      </c>
      <c r="DQ22" s="55" t="str">
        <f>IF(AND(RecData[[#This Row],[Useable Background Data?]],RecData[[#This Row],[Turbines ON/OFF]]="OFF"),RecData[[#This Row],[dBA Sum]],"")</f>
        <v/>
      </c>
      <c r="DR22" s="3">
        <f>IF(OR(RecData[[#This Row],[Useable TON Data?]],RecData[[#This Row],[Useable Background Data?]]),ROUND(RecData[[#This Row],[WSpd_Avg '[m/s']]],0),"")</f>
        <v>0</v>
      </c>
      <c r="DS22" s="85">
        <f>(0.00002)^2*(10^(RecData[[#This Row],[Overall (dBA)]]/10))</f>
        <v>2.6009703323350093E-6</v>
      </c>
    </row>
    <row r="23" spans="1:123" ht="15" x14ac:dyDescent="0.25">
      <c r="A23" s="3" t="s">
        <v>249</v>
      </c>
      <c r="B23" s="12">
        <v>43252.07916666667</v>
      </c>
      <c r="C23" s="3"/>
      <c r="D23" s="3">
        <v>43</v>
      </c>
      <c r="E23" s="3"/>
      <c r="F23" s="3"/>
      <c r="G23" s="3"/>
      <c r="H23" s="3"/>
      <c r="I23" s="3"/>
      <c r="J23" s="3"/>
      <c r="K23" s="3">
        <v>41.3</v>
      </c>
      <c r="L23" s="3"/>
      <c r="M23" s="3"/>
      <c r="N23" s="3">
        <v>185.2</v>
      </c>
      <c r="O23" s="3"/>
      <c r="P23" s="3"/>
      <c r="Q23" s="3">
        <v>1.76</v>
      </c>
      <c r="R23" s="3">
        <v>0.7</v>
      </c>
      <c r="S23" s="3">
        <v>2.9</v>
      </c>
      <c r="T23" s="3">
        <v>10.199999999999999</v>
      </c>
      <c r="U23" s="3">
        <v>92.2</v>
      </c>
      <c r="V23" s="3">
        <v>963.8</v>
      </c>
      <c r="W23" s="3">
        <v>0</v>
      </c>
      <c r="X23" s="3">
        <v>43.4</v>
      </c>
      <c r="Y23" s="3">
        <v>43.6</v>
      </c>
      <c r="Z23" s="3">
        <v>43.1</v>
      </c>
      <c r="AA23" s="3">
        <v>39.9</v>
      </c>
      <c r="AB23" s="3">
        <v>34.799999999999997</v>
      </c>
      <c r="AC23" s="3">
        <v>33.799999999999997</v>
      </c>
      <c r="AD23" s="3">
        <v>36.700000000000003</v>
      </c>
      <c r="AE23" s="3">
        <v>39</v>
      </c>
      <c r="AF23" s="3">
        <v>45.8</v>
      </c>
      <c r="AG23" s="3">
        <v>38.9</v>
      </c>
      <c r="AH23" s="3">
        <v>36</v>
      </c>
      <c r="AI23" s="3">
        <v>36.9</v>
      </c>
      <c r="AJ23" s="3">
        <v>35.5</v>
      </c>
      <c r="AK23" s="3">
        <v>34.1</v>
      </c>
      <c r="AL23" s="3">
        <v>31.6</v>
      </c>
      <c r="AM23" s="3">
        <v>30.9</v>
      </c>
      <c r="AN23" s="3">
        <v>29.7</v>
      </c>
      <c r="AO23" s="3">
        <v>27.3</v>
      </c>
      <c r="AP23" s="3">
        <v>25.8</v>
      </c>
      <c r="AQ23" s="3">
        <v>25</v>
      </c>
      <c r="AR23" s="3">
        <v>23.3</v>
      </c>
      <c r="AS23" s="3">
        <v>33.700000000000003</v>
      </c>
      <c r="AT23" s="3">
        <v>38.1</v>
      </c>
      <c r="AU23" s="3">
        <v>18.8</v>
      </c>
      <c r="AV23" s="3">
        <v>16.600000000000001</v>
      </c>
      <c r="AW23" s="3">
        <v>15.2</v>
      </c>
      <c r="AX23" s="3">
        <v>11.8</v>
      </c>
      <c r="AY23" s="3">
        <v>10.8</v>
      </c>
      <c r="AZ23" s="3">
        <v>0</v>
      </c>
      <c r="BA23" s="3">
        <v>0</v>
      </c>
      <c r="BB23" s="3">
        <v>0</v>
      </c>
      <c r="BC23" s="3">
        <v>42.961518297819971</v>
      </c>
      <c r="BD23" s="3">
        <v>43.438481702180034</v>
      </c>
      <c r="BE23" s="3">
        <v>43.638481702180023</v>
      </c>
      <c r="BF23" s="3">
        <v>41.898481702180028</v>
      </c>
      <c r="BG23" s="3">
        <v>39.025148368846693</v>
      </c>
      <c r="BH23" s="3">
        <v>34.0651483688467</v>
      </c>
      <c r="BI23" s="3">
        <v>33.478481702180027</v>
      </c>
      <c r="BJ23" s="3">
        <v>37.171815035513355</v>
      </c>
      <c r="BK23" s="3">
        <v>39.345148368846701</v>
      </c>
      <c r="BL23" s="3">
        <v>45.718481702180036</v>
      </c>
      <c r="BM23" s="3">
        <v>38.951815035513356</v>
      </c>
      <c r="BN23" s="3">
        <v>36.335148368846696</v>
      </c>
      <c r="BO23" s="3">
        <v>36.601815035513361</v>
      </c>
      <c r="BP23" s="3">
        <v>34.918481702180024</v>
      </c>
      <c r="BQ23" s="3">
        <v>33.93514836884669</v>
      </c>
      <c r="BR23" s="3">
        <v>31.761815035513358</v>
      </c>
      <c r="BS23" s="3">
        <v>30.865148368846697</v>
      </c>
      <c r="BT23" s="3">
        <v>29.861815035513366</v>
      </c>
      <c r="BU23" s="3">
        <v>27.428481702180029</v>
      </c>
      <c r="BV23" s="3">
        <v>25.645148368846698</v>
      </c>
      <c r="BW23" s="3">
        <v>25.378481702180032</v>
      </c>
      <c r="BX23" s="3">
        <v>23.598481702180031</v>
      </c>
      <c r="BY23" s="3">
        <v>33.81848170218003</v>
      </c>
      <c r="BZ23" s="3">
        <v>38.348481702180031</v>
      </c>
      <c r="CA23" s="3">
        <v>19.148481702180021</v>
      </c>
      <c r="CB23" s="3">
        <v>16.385148368846693</v>
      </c>
      <c r="CC23" s="3">
        <v>15.198481702180025</v>
      </c>
      <c r="CD23" s="3">
        <v>11.105148368846699</v>
      </c>
      <c r="CE23" s="3">
        <v>10.298481702180027</v>
      </c>
      <c r="CF23" s="3">
        <v>-0.88818496448664064</v>
      </c>
      <c r="CG23" s="3">
        <v>-1.4215182978199721</v>
      </c>
      <c r="CH23" s="3">
        <v>-2.4981849644866401</v>
      </c>
      <c r="CI23" s="13">
        <f>[1]!dbasum(RecData[[#This Row],[20]:[2000]],RecData[[#Headers],[20]:[2000]])</f>
        <v>38.971530512760339</v>
      </c>
      <c r="CJ23" s="14">
        <v>659</v>
      </c>
      <c r="CK23" s="15" t="s">
        <v>249</v>
      </c>
      <c r="CL23" s="15">
        <f>RecData[[#This Row],[Start Time]]</f>
        <v>43252.07916666667</v>
      </c>
      <c r="CM23" s="16">
        <f>RecData[[#This Row],[Wind Speed avg]]</f>
        <v>1.76</v>
      </c>
      <c r="CN23" s="16">
        <f>RecData[[#This Row],[Wind Dir. avg]]</f>
        <v>185.2</v>
      </c>
      <c r="CO23" s="16">
        <f>RecData[[#This Row],[Amb. Humidity]]</f>
        <v>92.2</v>
      </c>
      <c r="CP23" s="16">
        <f>RecData[[#This Row],[Amb. Temperature]]</f>
        <v>10.199999999999999</v>
      </c>
      <c r="CQ23" s="17">
        <f>RecData[[#This Row],[Amb. Rain Gauge]]</f>
        <v>0</v>
      </c>
      <c r="CR23" s="97" t="s">
        <v>1</v>
      </c>
      <c r="CS23" s="97" t="s">
        <v>49</v>
      </c>
      <c r="CT23" s="98">
        <v>1542.1877440000001</v>
      </c>
      <c r="CU23" s="98">
        <v>27.000226974487301</v>
      </c>
      <c r="CV23" s="98">
        <v>10.000672340393001</v>
      </c>
      <c r="CW23" s="98">
        <v>15.1739177703857</v>
      </c>
      <c r="CX23" s="97"/>
      <c r="CY23" s="99"/>
      <c r="CZ23" s="2" t="b">
        <f>IF($DP$1="YES",IF(RecData[[#This Row],[Power (kW)]]&gt;=$CR$3, TRUE,FALSE),TRUE)</f>
        <v>1</v>
      </c>
      <c r="DA23" s="16">
        <f>MIN(MOD(180-ABS(ABS($DA$1-RecData[Yaw Angle (°)])-180),360),MOD(180-ABS(ABS($DB$1-RecData[Yaw Angle (°)])-180),360))</f>
        <v>19.470300196799741</v>
      </c>
      <c r="DB23" s="2" t="str">
        <f>IF($DP$2="None","None",IF(RecData[[#This Row],[Relative Wind Direction]]&lt;=45,"DW",IF(RecData[[#This Row],[Relative Wind Direction]]&lt;=135,"CW","UW")))</f>
        <v>DW</v>
      </c>
      <c r="DC23" s="61" t="e">
        <f>IF($CL23-$CL22&gt;1/24,#REF!,IF(SUM($CQ22:$CQ23)&gt;$DS$1,$DS$5,#REF!-1))</f>
        <v>#REF!</v>
      </c>
      <c r="DD23" s="61" t="e">
        <f>IF(#REF!-$CL23&gt;1/24,#REF!,IF(SUM($CQ22:$CQ23)&gt;$DS$1,$DS$6,DD22-1))</f>
        <v>#REF!</v>
      </c>
      <c r="DE23" s="18" t="b">
        <v>0</v>
      </c>
      <c r="DF23" s="2" t="b">
        <f>IF(OR(RecData[[#This Row],[WSpd_Avg '[m/s']]]-RecData[[#This Row],[Wind Speed min]]&gt;=$DF$3,RecData[[#This Row],[Wind Speed max]]-RecData[[#This Row],[WSpd_Avg '[m/s']]]&gt;=$DF$2),TRUE,FALSE)</f>
        <v>0</v>
      </c>
      <c r="DG23" s="2" t="b">
        <f>RecData[[#This Row],[Temperature '[°C']]]&lt;=-20</f>
        <v>0</v>
      </c>
      <c r="DH23" s="18" t="b">
        <f>NOT(OR(MOD(RecData[[#This Row],[TIMESTAMP]],1)&gt;0.91632,MOD(RecData[[#This Row],[TIMESTAMP]],1)&lt;0.208681))</f>
        <v>0</v>
      </c>
      <c r="DI23" s="18" t="b">
        <f>RecData[[#This Row],[Overall (dBA)]]-RecData[[#This Row],[L90]]&gt;=$DS$4</f>
        <v>0</v>
      </c>
      <c r="DJ23" s="18" t="b">
        <f>RecData[[#This Row],[Overall (dBA)]]&gt;$DS$2</f>
        <v>0</v>
      </c>
      <c r="DK23" s="18" t="b">
        <f>RecData[[#This Row],[Overall (dBA)]]&lt;$DS$3</f>
        <v>0</v>
      </c>
      <c r="DL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3" s="2">
        <f>IF(AND(RecData[[#This Row],[Turbines ON/OFF]] = "OFF", NOT(OR(RecData[[#This Row],[Junk?]]="YES",RecData[[#This Row],[Gust?]],RecData[[#This Row],[Rain?]:[Min SPL Threshold?]]))),1,0)</f>
        <v>0</v>
      </c>
      <c r="DN23" s="16">
        <f>RecData[[#This Row],[dBA Sum]]</f>
        <v>38.971530512760339</v>
      </c>
      <c r="DO23" s="16">
        <f>RecData[[#This Row],[LAF90.0]]</f>
        <v>41.3</v>
      </c>
      <c r="DP23" s="55">
        <f>IF(AND(RecData[[#This Row],[Useable TON Data?]],RecData[[#This Row],[Turbines ON/OFF]]="ON"),RecData[[#This Row],[dBA Sum]],"")</f>
        <v>38.971530512760339</v>
      </c>
      <c r="DQ23" s="55" t="str">
        <f>IF(AND(RecData[[#This Row],[Useable Background Data?]],RecData[[#This Row],[Turbines ON/OFF]]="OFF"),RecData[[#This Row],[dBA Sum]],"")</f>
        <v/>
      </c>
      <c r="DR23" s="3">
        <f>IF(OR(RecData[[#This Row],[Useable TON Data?]],RecData[[#This Row],[Useable Background Data?]]),ROUND(RecData[[#This Row],[WSpd_Avg '[m/s']]],0),"")</f>
        <v>2</v>
      </c>
      <c r="DS23" s="85">
        <f>(0.00002)^2*(10^(RecData[[#This Row],[Overall (dBA)]]/10))</f>
        <v>3.1565526865364277E-6</v>
      </c>
    </row>
    <row r="24" spans="1:123" ht="15" x14ac:dyDescent="0.25">
      <c r="A24" s="3" t="s">
        <v>249</v>
      </c>
      <c r="B24" s="12">
        <v>43252.080555555563</v>
      </c>
      <c r="C24" s="3"/>
      <c r="D24" s="3">
        <v>43.3</v>
      </c>
      <c r="E24" s="3"/>
      <c r="F24" s="3"/>
      <c r="G24" s="3"/>
      <c r="H24" s="3"/>
      <c r="I24" s="3"/>
      <c r="J24" s="3"/>
      <c r="K24" s="3">
        <v>41.7</v>
      </c>
      <c r="L24" s="3"/>
      <c r="M24" s="3"/>
      <c r="N24" s="3">
        <v>168.8</v>
      </c>
      <c r="O24" s="3"/>
      <c r="P24" s="3"/>
      <c r="Q24" s="3">
        <v>1.86</v>
      </c>
      <c r="R24" s="3">
        <v>0.9</v>
      </c>
      <c r="S24" s="3">
        <v>3.2</v>
      </c>
      <c r="T24" s="3">
        <v>10.1</v>
      </c>
      <c r="U24" s="3">
        <v>92</v>
      </c>
      <c r="V24" s="3">
        <v>963.9</v>
      </c>
      <c r="W24" s="3">
        <v>0</v>
      </c>
      <c r="X24" s="3">
        <v>42.5</v>
      </c>
      <c r="Y24" s="3">
        <v>41.9</v>
      </c>
      <c r="Z24" s="3">
        <v>41.9</v>
      </c>
      <c r="AA24" s="3">
        <v>38.4</v>
      </c>
      <c r="AB24" s="3">
        <v>33.4</v>
      </c>
      <c r="AC24" s="3">
        <v>33.4</v>
      </c>
      <c r="AD24" s="3">
        <v>36.5</v>
      </c>
      <c r="AE24" s="3">
        <v>39.1</v>
      </c>
      <c r="AF24" s="3">
        <v>44.2</v>
      </c>
      <c r="AG24" s="3">
        <v>39.4</v>
      </c>
      <c r="AH24" s="3">
        <v>37.299999999999997</v>
      </c>
      <c r="AI24" s="3">
        <v>38.4</v>
      </c>
      <c r="AJ24" s="3">
        <v>36.6</v>
      </c>
      <c r="AK24" s="3">
        <v>34.6</v>
      </c>
      <c r="AL24" s="3">
        <v>31.5</v>
      </c>
      <c r="AM24" s="3">
        <v>30.1</v>
      </c>
      <c r="AN24" s="3">
        <v>28.4</v>
      </c>
      <c r="AO24" s="3">
        <v>26</v>
      </c>
      <c r="AP24" s="3">
        <v>24.2</v>
      </c>
      <c r="AQ24" s="3">
        <v>23.5</v>
      </c>
      <c r="AR24" s="3">
        <v>20.9</v>
      </c>
      <c r="AS24" s="3">
        <v>34.299999999999997</v>
      </c>
      <c r="AT24" s="3">
        <v>38.700000000000003</v>
      </c>
      <c r="AU24" s="3">
        <v>15.9</v>
      </c>
      <c r="AV24" s="3">
        <v>13.7</v>
      </c>
      <c r="AW24" s="3">
        <v>12.5</v>
      </c>
      <c r="AX24" s="3">
        <v>10.6</v>
      </c>
      <c r="AY24" s="3">
        <v>10.199999999999999</v>
      </c>
      <c r="AZ24" s="3">
        <v>0</v>
      </c>
      <c r="BA24" s="3">
        <v>0</v>
      </c>
      <c r="BB24" s="3">
        <v>0</v>
      </c>
      <c r="BC24" s="3">
        <v>43.228236805095179</v>
      </c>
      <c r="BD24" s="3">
        <v>42.571763194904818</v>
      </c>
      <c r="BE24" s="3">
        <v>41.97176319490481</v>
      </c>
      <c r="BF24" s="3">
        <v>40.731763194904815</v>
      </c>
      <c r="BG24" s="3">
        <v>37.558429861571483</v>
      </c>
      <c r="BH24" s="3">
        <v>32.698429861571483</v>
      </c>
      <c r="BI24" s="3">
        <v>33.111763194904825</v>
      </c>
      <c r="BJ24" s="3">
        <v>37.005096528238141</v>
      </c>
      <c r="BK24" s="3">
        <v>39.478429861571485</v>
      </c>
      <c r="BL24" s="3">
        <v>44.151763194904817</v>
      </c>
      <c r="BM24" s="3">
        <v>39.485096528238159</v>
      </c>
      <c r="BN24" s="3">
        <v>37.668429861571482</v>
      </c>
      <c r="BO24" s="3">
        <v>38.135096528238151</v>
      </c>
      <c r="BP24" s="3">
        <v>36.051763194904822</v>
      </c>
      <c r="BQ24" s="3">
        <v>34.468429861571479</v>
      </c>
      <c r="BR24" s="3">
        <v>31.695096528238153</v>
      </c>
      <c r="BS24" s="3">
        <v>30.098429861571489</v>
      </c>
      <c r="BT24" s="3">
        <v>28.595096528238145</v>
      </c>
      <c r="BU24" s="3">
        <v>26.161763194904822</v>
      </c>
      <c r="BV24" s="3">
        <v>24.078429861571493</v>
      </c>
      <c r="BW24" s="3">
        <v>23.911763194904822</v>
      </c>
      <c r="BX24" s="3">
        <v>21.231763194904829</v>
      </c>
      <c r="BY24" s="3">
        <v>34.451763194904814</v>
      </c>
      <c r="BZ24" s="3">
        <v>38.981763194904829</v>
      </c>
      <c r="CA24" s="3">
        <v>16.281763194904812</v>
      </c>
      <c r="CB24" s="3">
        <v>13.518429861571484</v>
      </c>
      <c r="CC24" s="3">
        <v>12.531763194904819</v>
      </c>
      <c r="CD24" s="3">
        <v>9.9384298615714926</v>
      </c>
      <c r="CE24" s="3">
        <v>9.7317631949048149</v>
      </c>
      <c r="CF24" s="3">
        <v>-0.85490347176185111</v>
      </c>
      <c r="CG24" s="3">
        <v>-1.3882368050951825</v>
      </c>
      <c r="CH24" s="3">
        <v>-2.4649034717618505</v>
      </c>
      <c r="CI24" s="13">
        <f>[1]!dbasum(RecData[[#This Row],[20]:[2000]],RecData[[#Headers],[20]:[2000]])</f>
        <v>38.754089804820097</v>
      </c>
      <c r="CJ24" s="14">
        <v>661</v>
      </c>
      <c r="CK24" s="15" t="s">
        <v>249</v>
      </c>
      <c r="CL24" s="15">
        <f>RecData[[#This Row],[Start Time]]</f>
        <v>43252.080555555563</v>
      </c>
      <c r="CM24" s="16">
        <f>RecData[[#This Row],[Wind Speed avg]]</f>
        <v>1.86</v>
      </c>
      <c r="CN24" s="16">
        <f>RecData[[#This Row],[Wind Dir. avg]]</f>
        <v>168.8</v>
      </c>
      <c r="CO24" s="16">
        <f>RecData[[#This Row],[Amb. Humidity]]</f>
        <v>92</v>
      </c>
      <c r="CP24" s="16">
        <f>RecData[[#This Row],[Amb. Temperature]]</f>
        <v>10.1</v>
      </c>
      <c r="CQ24" s="17">
        <f>RecData[[#This Row],[Amb. Rain Gauge]]</f>
        <v>0</v>
      </c>
      <c r="CR24" s="97" t="s">
        <v>1</v>
      </c>
      <c r="CS24" s="97" t="s">
        <v>49</v>
      </c>
      <c r="CT24" s="98">
        <v>1542.1877440000001</v>
      </c>
      <c r="CU24" s="98">
        <v>27.000226974487301</v>
      </c>
      <c r="CV24" s="98">
        <v>10.000672340393001</v>
      </c>
      <c r="CW24" s="98">
        <v>15.1739177703857</v>
      </c>
      <c r="CX24" s="97"/>
      <c r="CY24" s="99"/>
      <c r="CZ24" s="2" t="b">
        <f>IF($DP$1="YES",IF(RecData[[#This Row],[Power (kW)]]&gt;=$CR$3, TRUE,FALSE),TRUE)</f>
        <v>1</v>
      </c>
      <c r="DA24" s="16">
        <f>MIN(MOD(180-ABS(ABS($DA$1-RecData[Yaw Angle (°)])-180),360),MOD(180-ABS(ABS($DB$1-RecData[Yaw Angle (°)])-180),360))</f>
        <v>19.470300196799741</v>
      </c>
      <c r="DB24" s="2" t="str">
        <f>IF($DP$2="None","None",IF(RecData[[#This Row],[Relative Wind Direction]]&lt;=45,"DW",IF(RecData[[#This Row],[Relative Wind Direction]]&lt;=135,"CW","UW")))</f>
        <v>DW</v>
      </c>
      <c r="DC24" s="61" t="e">
        <f>IF($CL24-$CL22&gt;1/24,#REF!,IF(SUM($CQ22:$CQ24)&gt;$DS$1,$DS$5,DC25-1))</f>
        <v>#REF!</v>
      </c>
      <c r="DD24" s="61" t="e">
        <f>IF($CL25-$CL24&gt;1/24,#REF!,IF(SUM($CQ22:$CQ24)&gt;$DS$1,$DS$6,#REF!-1))</f>
        <v>#REF!</v>
      </c>
      <c r="DE24" s="18" t="b">
        <v>0</v>
      </c>
      <c r="DF24" s="2" t="b">
        <f>IF(OR(RecData[[#This Row],[WSpd_Avg '[m/s']]]-RecData[[#This Row],[Wind Speed min]]&gt;=$DF$3,RecData[[#This Row],[Wind Speed max]]-RecData[[#This Row],[WSpd_Avg '[m/s']]]&gt;=$DF$2),TRUE,FALSE)</f>
        <v>0</v>
      </c>
      <c r="DG24" s="2" t="b">
        <f>RecData[[#This Row],[Temperature '[°C']]]&lt;=-20</f>
        <v>0</v>
      </c>
      <c r="DH24" s="18" t="b">
        <f>NOT(OR(MOD(RecData[[#This Row],[TIMESTAMP]],1)&gt;0.91632,MOD(RecData[[#This Row],[TIMESTAMP]],1)&lt;0.208681))</f>
        <v>0</v>
      </c>
      <c r="DI24" s="18" t="b">
        <f>RecData[[#This Row],[Overall (dBA)]]-RecData[[#This Row],[L90]]&gt;=$DS$4</f>
        <v>0</v>
      </c>
      <c r="DJ24" s="18" t="b">
        <f>RecData[[#This Row],[Overall (dBA)]]&gt;$DS$2</f>
        <v>0</v>
      </c>
      <c r="DK24" s="18" t="b">
        <f>RecData[[#This Row],[Overall (dBA)]]&lt;$DS$3</f>
        <v>0</v>
      </c>
      <c r="DL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4" s="2">
        <f>IF(AND(RecData[[#This Row],[Turbines ON/OFF]] = "OFF", NOT(OR(RecData[[#This Row],[Junk?]]="YES",RecData[[#This Row],[Gust?]],RecData[[#This Row],[Rain?]:[Min SPL Threshold?]]))),1,0)</f>
        <v>0</v>
      </c>
      <c r="DN24" s="16">
        <f>RecData[[#This Row],[dBA Sum]]</f>
        <v>38.754089804820097</v>
      </c>
      <c r="DO24" s="16">
        <f>RecData[[#This Row],[LAF90.0]]</f>
        <v>41.7</v>
      </c>
      <c r="DP24" s="55">
        <f>IF(AND(RecData[[#This Row],[Useable TON Data?]],RecData[[#This Row],[Turbines ON/OFF]]="ON"),RecData[[#This Row],[dBA Sum]],"")</f>
        <v>38.754089804820097</v>
      </c>
      <c r="DQ24" s="55" t="str">
        <f>IF(AND(RecData[[#This Row],[Useable Background Data?]],RecData[[#This Row],[Turbines ON/OFF]]="OFF"),RecData[[#This Row],[dBA Sum]],"")</f>
        <v/>
      </c>
      <c r="DR24" s="3">
        <f>IF(OR(RecData[[#This Row],[Useable TON Data?]],RecData[[#This Row],[Useable Background Data?]]),ROUND(RecData[[#This Row],[WSpd_Avg '[m/s']]],0),"")</f>
        <v>2</v>
      </c>
      <c r="DS24" s="85">
        <f>(0.00002)^2*(10^(RecData[[#This Row],[Overall (dBA)]]/10))</f>
        <v>3.0024029063791404E-6</v>
      </c>
    </row>
    <row r="25" spans="1:123" ht="15" x14ac:dyDescent="0.25">
      <c r="A25" s="3" t="s">
        <v>249</v>
      </c>
      <c r="B25" s="12">
        <v>43252.081250000003</v>
      </c>
      <c r="C25" s="3"/>
      <c r="D25" s="3">
        <v>42.9</v>
      </c>
      <c r="E25" s="3"/>
      <c r="F25" s="3"/>
      <c r="G25" s="3"/>
      <c r="H25" s="3"/>
      <c r="I25" s="3"/>
      <c r="J25" s="3"/>
      <c r="K25" s="3">
        <v>41.2</v>
      </c>
      <c r="L25" s="3"/>
      <c r="M25" s="3"/>
      <c r="N25" s="3">
        <v>197.8</v>
      </c>
      <c r="O25" s="3"/>
      <c r="P25" s="3"/>
      <c r="Q25" s="3">
        <v>1.25</v>
      </c>
      <c r="R25" s="3">
        <v>0.1</v>
      </c>
      <c r="S25" s="3">
        <v>2.2000000000000002</v>
      </c>
      <c r="T25" s="3">
        <v>10.1</v>
      </c>
      <c r="U25" s="3">
        <v>92</v>
      </c>
      <c r="V25" s="3">
        <v>963.9</v>
      </c>
      <c r="W25" s="3">
        <v>0</v>
      </c>
      <c r="X25" s="3">
        <v>42</v>
      </c>
      <c r="Y25" s="3">
        <v>41.4</v>
      </c>
      <c r="Z25" s="3">
        <v>40.700000000000003</v>
      </c>
      <c r="AA25" s="3">
        <v>37.799999999999997</v>
      </c>
      <c r="AB25" s="3">
        <v>32.9</v>
      </c>
      <c r="AC25" s="3">
        <v>32.6</v>
      </c>
      <c r="AD25" s="3">
        <v>35.799999999999997</v>
      </c>
      <c r="AE25" s="3">
        <v>39</v>
      </c>
      <c r="AF25" s="3">
        <v>44.1</v>
      </c>
      <c r="AG25" s="3">
        <v>38.9</v>
      </c>
      <c r="AH25" s="3">
        <v>36.799999999999997</v>
      </c>
      <c r="AI25" s="3">
        <v>37.4</v>
      </c>
      <c r="AJ25" s="3">
        <v>35.799999999999997</v>
      </c>
      <c r="AK25" s="3">
        <v>34.200000000000003</v>
      </c>
      <c r="AL25" s="3">
        <v>31.7</v>
      </c>
      <c r="AM25" s="3">
        <v>31</v>
      </c>
      <c r="AN25" s="3">
        <v>29.6</v>
      </c>
      <c r="AO25" s="3">
        <v>26.8</v>
      </c>
      <c r="AP25" s="3">
        <v>25</v>
      </c>
      <c r="AQ25" s="3">
        <v>24</v>
      </c>
      <c r="AR25" s="3">
        <v>21.2</v>
      </c>
      <c r="AS25" s="3">
        <v>33.6</v>
      </c>
      <c r="AT25" s="3">
        <v>38.1</v>
      </c>
      <c r="AU25" s="3">
        <v>15.5</v>
      </c>
      <c r="AV25" s="3">
        <v>13.3</v>
      </c>
      <c r="AW25" s="3">
        <v>12.5</v>
      </c>
      <c r="AX25" s="3">
        <v>10.6</v>
      </c>
      <c r="AY25" s="3">
        <v>10.3</v>
      </c>
      <c r="AZ25" s="3">
        <v>0</v>
      </c>
      <c r="BA25" s="3">
        <v>0</v>
      </c>
      <c r="BB25" s="3">
        <v>0</v>
      </c>
      <c r="BC25" s="3">
        <v>42.837666802080847</v>
      </c>
      <c r="BD25" s="3">
        <v>42.062333197919159</v>
      </c>
      <c r="BE25" s="3">
        <v>41.462333197919151</v>
      </c>
      <c r="BF25" s="3">
        <v>39.522333197919153</v>
      </c>
      <c r="BG25" s="3">
        <v>36.948999864585815</v>
      </c>
      <c r="BH25" s="3">
        <v>32.188999864585824</v>
      </c>
      <c r="BI25" s="3">
        <v>32.302333197919154</v>
      </c>
      <c r="BJ25" s="3">
        <v>36.295666531252479</v>
      </c>
      <c r="BK25" s="3">
        <v>39.368999864585817</v>
      </c>
      <c r="BL25" s="3">
        <v>44.042333197919149</v>
      </c>
      <c r="BM25" s="3">
        <v>38.975666531252486</v>
      </c>
      <c r="BN25" s="3">
        <v>37.158999864585823</v>
      </c>
      <c r="BO25" s="3">
        <v>37.125666531252492</v>
      </c>
      <c r="BP25" s="3">
        <v>35.242333197919152</v>
      </c>
      <c r="BQ25" s="3">
        <v>34.058999864585815</v>
      </c>
      <c r="BR25" s="3">
        <v>31.885666531252483</v>
      </c>
      <c r="BS25" s="3">
        <v>30.988999864585821</v>
      </c>
      <c r="BT25" s="3">
        <v>29.785666531252488</v>
      </c>
      <c r="BU25" s="3">
        <v>26.95233319791916</v>
      </c>
      <c r="BV25" s="3">
        <v>24.868999864585817</v>
      </c>
      <c r="BW25" s="3">
        <v>24.402333197919162</v>
      </c>
      <c r="BX25" s="3">
        <v>21.522333197919153</v>
      </c>
      <c r="BY25" s="3">
        <v>33.742333197919152</v>
      </c>
      <c r="BZ25" s="3">
        <v>38.372333197919161</v>
      </c>
      <c r="CA25" s="3">
        <v>15.872333197919147</v>
      </c>
      <c r="CB25" s="3">
        <v>13.108999864585819</v>
      </c>
      <c r="CC25" s="3">
        <v>12.522333197919153</v>
      </c>
      <c r="CD25" s="3">
        <v>9.9289998645858191</v>
      </c>
      <c r="CE25" s="3">
        <v>9.8223331979191499</v>
      </c>
      <c r="CF25" s="3">
        <v>-0.86433346874751749</v>
      </c>
      <c r="CG25" s="3">
        <v>-1.3976668020808489</v>
      </c>
      <c r="CH25" s="3">
        <v>-2.4743334687475169</v>
      </c>
      <c r="CI25" s="13">
        <f>[1]!dbasum(RecData[[#This Row],[20]:[2000]],RecData[[#Headers],[20]:[2000]])</f>
        <v>38.766740873107011</v>
      </c>
      <c r="CJ25" s="14">
        <v>662</v>
      </c>
      <c r="CK25" s="15" t="s">
        <v>249</v>
      </c>
      <c r="CL25" s="15">
        <f>RecData[[#This Row],[Start Time]]</f>
        <v>43252.081250000003</v>
      </c>
      <c r="CM25" s="16">
        <f>RecData[[#This Row],[Wind Speed avg]]</f>
        <v>1.25</v>
      </c>
      <c r="CN25" s="16">
        <f>RecData[[#This Row],[Wind Dir. avg]]</f>
        <v>197.8</v>
      </c>
      <c r="CO25" s="16">
        <f>RecData[[#This Row],[Amb. Humidity]]</f>
        <v>92</v>
      </c>
      <c r="CP25" s="16">
        <f>RecData[[#This Row],[Amb. Temperature]]</f>
        <v>10.1</v>
      </c>
      <c r="CQ25" s="17">
        <f>RecData[[#This Row],[Amb. Rain Gauge]]</f>
        <v>0</v>
      </c>
      <c r="CR25" s="97" t="s">
        <v>1</v>
      </c>
      <c r="CS25" s="97" t="s">
        <v>49</v>
      </c>
      <c r="CT25" s="98">
        <v>1542.1877440000001</v>
      </c>
      <c r="CU25" s="98">
        <v>27.000226974487301</v>
      </c>
      <c r="CV25" s="98">
        <v>10.000672340393001</v>
      </c>
      <c r="CW25" s="98">
        <v>15.1739177703857</v>
      </c>
      <c r="CX25" s="97"/>
      <c r="CY25" s="99"/>
      <c r="CZ25" s="2" t="b">
        <f>IF($DP$1="YES",IF(RecData[[#This Row],[Power (kW)]]&gt;=$CR$3, TRUE,FALSE),TRUE)</f>
        <v>1</v>
      </c>
      <c r="DA25" s="16">
        <f>MIN(MOD(180-ABS(ABS($DA$1-RecData[Yaw Angle (°)])-180),360),MOD(180-ABS(ABS($DB$1-RecData[Yaw Angle (°)])-180),360))</f>
        <v>19.470300196799741</v>
      </c>
      <c r="DB25" s="2" t="str">
        <f>IF($DP$2="None","None",IF(RecData[[#This Row],[Relative Wind Direction]]&lt;=45,"DW",IF(RecData[[#This Row],[Relative Wind Direction]]&lt;=135,"CW","UW")))</f>
        <v>DW</v>
      </c>
      <c r="DC25" s="61" t="e">
        <f>IF($CL25-$CL22&gt;1/24,#REF!,IF(SUM($CQ22:$CQ25)&gt;$DS$1,$DS$5,DC26-1))</f>
        <v>#REF!</v>
      </c>
      <c r="DD25" s="61" t="e">
        <f>IF($CL26-$CL25&gt;1/24,#REF!,IF(SUM($CQ22:$CQ25)&gt;$DS$1,$DS$6,DD24-1))</f>
        <v>#REF!</v>
      </c>
      <c r="DE25" s="18" t="b">
        <v>0</v>
      </c>
      <c r="DF25" s="2" t="b">
        <f>IF(OR(RecData[[#This Row],[WSpd_Avg '[m/s']]]-RecData[[#This Row],[Wind Speed min]]&gt;=$DF$3,RecData[[#This Row],[Wind Speed max]]-RecData[[#This Row],[WSpd_Avg '[m/s']]]&gt;=$DF$2),TRUE,FALSE)</f>
        <v>0</v>
      </c>
      <c r="DG25" s="2" t="b">
        <f>RecData[[#This Row],[Temperature '[°C']]]&lt;=-20</f>
        <v>0</v>
      </c>
      <c r="DH25" s="18" t="b">
        <f>NOT(OR(MOD(RecData[[#This Row],[TIMESTAMP]],1)&gt;0.91632,MOD(RecData[[#This Row],[TIMESTAMP]],1)&lt;0.208681))</f>
        <v>0</v>
      </c>
      <c r="DI25" s="18" t="b">
        <f>RecData[[#This Row],[Overall (dBA)]]-RecData[[#This Row],[L90]]&gt;=$DS$4</f>
        <v>0</v>
      </c>
      <c r="DJ25" s="18" t="b">
        <f>RecData[[#This Row],[Overall (dBA)]]&gt;$DS$2</f>
        <v>0</v>
      </c>
      <c r="DK25" s="18" t="b">
        <f>RecData[[#This Row],[Overall (dBA)]]&lt;$DS$3</f>
        <v>0</v>
      </c>
      <c r="DL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5" s="2">
        <f>IF(AND(RecData[[#This Row],[Turbines ON/OFF]] = "OFF", NOT(OR(RecData[[#This Row],[Junk?]]="YES",RecData[[#This Row],[Gust?]],RecData[[#This Row],[Rain?]:[Min SPL Threshold?]]))),1,0)</f>
        <v>0</v>
      </c>
      <c r="DN25" s="16">
        <f>RecData[[#This Row],[dBA Sum]]</f>
        <v>38.766740873107011</v>
      </c>
      <c r="DO25" s="16">
        <f>RecData[[#This Row],[LAF90.0]]</f>
        <v>41.2</v>
      </c>
      <c r="DP25" s="55">
        <f>IF(AND(RecData[[#This Row],[Useable TON Data?]],RecData[[#This Row],[Turbines ON/OFF]]="ON"),RecData[[#This Row],[dBA Sum]],"")</f>
        <v>38.766740873107011</v>
      </c>
      <c r="DQ25" s="55" t="str">
        <f>IF(AND(RecData[[#This Row],[Useable Background Data?]],RecData[[#This Row],[Turbines ON/OFF]]="OFF"),RecData[[#This Row],[dBA Sum]],"")</f>
        <v/>
      </c>
      <c r="DR25" s="3">
        <f>IF(OR(RecData[[#This Row],[Useable TON Data?]],RecData[[#This Row],[Useable Background Data?]]),ROUND(RecData[[#This Row],[WSpd_Avg '[m/s']]],0),"")</f>
        <v>1</v>
      </c>
      <c r="DS25" s="85">
        <f>(0.00002)^2*(10^(RecData[[#This Row],[Overall (dBA)]]/10))</f>
        <v>3.0111617055264301E-6</v>
      </c>
    </row>
    <row r="26" spans="1:123" ht="15" x14ac:dyDescent="0.25">
      <c r="A26" s="3" t="s">
        <v>249</v>
      </c>
      <c r="B26" s="12">
        <v>43252.08194444445</v>
      </c>
      <c r="C26" s="3"/>
      <c r="D26" s="3">
        <v>41.7</v>
      </c>
      <c r="E26" s="3"/>
      <c r="F26" s="3"/>
      <c r="G26" s="3"/>
      <c r="H26" s="3"/>
      <c r="I26" s="3"/>
      <c r="J26" s="3"/>
      <c r="K26" s="3">
        <v>39.9</v>
      </c>
      <c r="L26" s="3"/>
      <c r="M26" s="3"/>
      <c r="N26" s="3">
        <v>181.2</v>
      </c>
      <c r="O26" s="3"/>
      <c r="P26" s="3"/>
      <c r="Q26" s="3">
        <v>1.71</v>
      </c>
      <c r="R26" s="3">
        <v>0.5</v>
      </c>
      <c r="S26" s="3">
        <v>2.9</v>
      </c>
      <c r="T26" s="3">
        <v>10</v>
      </c>
      <c r="U26" s="3">
        <v>92.1</v>
      </c>
      <c r="V26" s="3">
        <v>963.9</v>
      </c>
      <c r="W26" s="3">
        <v>0</v>
      </c>
      <c r="X26" s="3">
        <v>42.7</v>
      </c>
      <c r="Y26" s="3">
        <v>41.4</v>
      </c>
      <c r="Z26" s="3">
        <v>41.5</v>
      </c>
      <c r="AA26" s="3">
        <v>38.6</v>
      </c>
      <c r="AB26" s="3">
        <v>33.6</v>
      </c>
      <c r="AC26" s="3">
        <v>32.5</v>
      </c>
      <c r="AD26" s="3">
        <v>36.1</v>
      </c>
      <c r="AE26" s="3">
        <v>39.6</v>
      </c>
      <c r="AF26" s="3">
        <v>44.4</v>
      </c>
      <c r="AG26" s="3">
        <v>38.1</v>
      </c>
      <c r="AH26" s="3">
        <v>37</v>
      </c>
      <c r="AI26" s="3">
        <v>37.5</v>
      </c>
      <c r="AJ26" s="3">
        <v>35.799999999999997</v>
      </c>
      <c r="AK26" s="3">
        <v>33.799999999999997</v>
      </c>
      <c r="AL26" s="3">
        <v>31</v>
      </c>
      <c r="AM26" s="3">
        <v>29.9</v>
      </c>
      <c r="AN26" s="3">
        <v>28.1</v>
      </c>
      <c r="AO26" s="3">
        <v>25.7</v>
      </c>
      <c r="AP26" s="3">
        <v>24.4</v>
      </c>
      <c r="AQ26" s="3">
        <v>23.5</v>
      </c>
      <c r="AR26" s="3">
        <v>21.4</v>
      </c>
      <c r="AS26" s="3">
        <v>31.1</v>
      </c>
      <c r="AT26" s="3">
        <v>36.700000000000003</v>
      </c>
      <c r="AU26" s="3">
        <v>16.3</v>
      </c>
      <c r="AV26" s="3">
        <v>14.2</v>
      </c>
      <c r="AW26" s="3">
        <v>13</v>
      </c>
      <c r="AX26" s="3">
        <v>10.7</v>
      </c>
      <c r="AY26" s="3">
        <v>10.199999999999999</v>
      </c>
      <c r="AZ26" s="3">
        <v>0</v>
      </c>
      <c r="BA26" s="3">
        <v>0</v>
      </c>
      <c r="BB26" s="3">
        <v>0</v>
      </c>
      <c r="BC26" s="3">
        <v>41.709148220424872</v>
      </c>
      <c r="BD26" s="3">
        <v>42.690851779575134</v>
      </c>
      <c r="BE26" s="3">
        <v>41.390851779575122</v>
      </c>
      <c r="BF26" s="3">
        <v>40.250851779575136</v>
      </c>
      <c r="BG26" s="3">
        <v>37.677518446241798</v>
      </c>
      <c r="BH26" s="3">
        <v>32.817518446241799</v>
      </c>
      <c r="BI26" s="3">
        <v>32.130851779575131</v>
      </c>
      <c r="BJ26" s="3">
        <v>36.524185112908462</v>
      </c>
      <c r="BK26" s="3">
        <v>39.897518446241797</v>
      </c>
      <c r="BL26" s="3">
        <v>44.270851779575132</v>
      </c>
      <c r="BM26" s="3">
        <v>38.104185112908461</v>
      </c>
      <c r="BN26" s="3">
        <v>37.287518446241798</v>
      </c>
      <c r="BO26" s="3">
        <v>37.154185112908472</v>
      </c>
      <c r="BP26" s="3">
        <v>35.170851779575123</v>
      </c>
      <c r="BQ26" s="3">
        <v>33.587518446241781</v>
      </c>
      <c r="BR26" s="3">
        <v>31.114185112908466</v>
      </c>
      <c r="BS26" s="3">
        <v>29.817518446241799</v>
      </c>
      <c r="BT26" s="3">
        <v>28.214185112908474</v>
      </c>
      <c r="BU26" s="3">
        <v>25.780851779575137</v>
      </c>
      <c r="BV26" s="3">
        <v>24.197518446241794</v>
      </c>
      <c r="BW26" s="3">
        <v>23.830851779575134</v>
      </c>
      <c r="BX26" s="3">
        <v>21.650851779575135</v>
      </c>
      <c r="BY26" s="3">
        <v>31.170851779575123</v>
      </c>
      <c r="BZ26" s="3">
        <v>36.900851779575142</v>
      </c>
      <c r="CA26" s="3">
        <v>16.600851779575123</v>
      </c>
      <c r="CB26" s="3">
        <v>13.937518446241796</v>
      </c>
      <c r="CC26" s="3">
        <v>12.950851779575132</v>
      </c>
      <c r="CD26" s="3">
        <v>9.9575184462417994</v>
      </c>
      <c r="CE26" s="3">
        <v>9.6508517795751274</v>
      </c>
      <c r="CF26" s="3">
        <v>-0.93581488709153859</v>
      </c>
      <c r="CG26" s="3">
        <v>-1.46914822042487</v>
      </c>
      <c r="CH26" s="3">
        <v>-2.545814887091538</v>
      </c>
      <c r="CI26" s="13">
        <f>[1]!dbasum(RecData[[#This Row],[20]:[2000]],RecData[[#Headers],[20]:[2000]])</f>
        <v>38.24268928799934</v>
      </c>
      <c r="CJ26" s="14">
        <v>663</v>
      </c>
      <c r="CK26" s="15" t="s">
        <v>249</v>
      </c>
      <c r="CL26" s="15">
        <f>RecData[[#This Row],[Start Time]]</f>
        <v>43252.08194444445</v>
      </c>
      <c r="CM26" s="16">
        <f>RecData[[#This Row],[Wind Speed avg]]</f>
        <v>1.71</v>
      </c>
      <c r="CN26" s="16">
        <f>RecData[[#This Row],[Wind Dir. avg]]</f>
        <v>181.2</v>
      </c>
      <c r="CO26" s="16">
        <f>RecData[[#This Row],[Amb. Humidity]]</f>
        <v>92.1</v>
      </c>
      <c r="CP26" s="16">
        <f>RecData[[#This Row],[Amb. Temperature]]</f>
        <v>10</v>
      </c>
      <c r="CQ26" s="17">
        <f>RecData[[#This Row],[Amb. Rain Gauge]]</f>
        <v>0</v>
      </c>
      <c r="CR26" s="97" t="s">
        <v>1</v>
      </c>
      <c r="CS26" s="97" t="s">
        <v>49</v>
      </c>
      <c r="CT26" s="98">
        <v>1542.1877440000001</v>
      </c>
      <c r="CU26" s="98">
        <v>27.000226974487301</v>
      </c>
      <c r="CV26" s="98">
        <v>10.000672340393001</v>
      </c>
      <c r="CW26" s="98">
        <v>15.1739177703857</v>
      </c>
      <c r="CX26" s="97"/>
      <c r="CY26" s="99"/>
      <c r="CZ26" s="2" t="b">
        <f>IF($DP$1="YES",IF(RecData[[#This Row],[Power (kW)]]&gt;=$CR$3, TRUE,FALSE),TRUE)</f>
        <v>1</v>
      </c>
      <c r="DA26" s="16">
        <f>MIN(MOD(180-ABS(ABS($DA$1-RecData[Yaw Angle (°)])-180),360),MOD(180-ABS(ABS($DB$1-RecData[Yaw Angle (°)])-180),360))</f>
        <v>19.470300196799741</v>
      </c>
      <c r="DB26" s="2" t="str">
        <f>IF($DP$2="None","None",IF(RecData[[#This Row],[Relative Wind Direction]]&lt;=45,"DW",IF(RecData[[#This Row],[Relative Wind Direction]]&lt;=135,"CW","UW")))</f>
        <v>DW</v>
      </c>
      <c r="DC26" s="61" t="e">
        <f>IF($CL26-$CL23&gt;1/24,#REF!,IF(SUM($CQ23:$CQ26)&gt;$DS$1,$DS$5,DC27-1))</f>
        <v>#REF!</v>
      </c>
      <c r="DD26" s="61" t="e">
        <f>IF($CL27-$CL26&gt;1/24,#REF!,IF(SUM($CQ23:$CQ26)&gt;$DS$1,$DS$6,DD25-1))</f>
        <v>#REF!</v>
      </c>
      <c r="DE26" s="18" t="b">
        <v>0</v>
      </c>
      <c r="DF26" s="2" t="b">
        <f>IF(OR(RecData[[#This Row],[WSpd_Avg '[m/s']]]-RecData[[#This Row],[Wind Speed min]]&gt;=$DF$3,RecData[[#This Row],[Wind Speed max]]-RecData[[#This Row],[WSpd_Avg '[m/s']]]&gt;=$DF$2),TRUE,FALSE)</f>
        <v>0</v>
      </c>
      <c r="DG26" s="2" t="b">
        <f>RecData[[#This Row],[Temperature '[°C']]]&lt;=-20</f>
        <v>0</v>
      </c>
      <c r="DH26" s="18" t="b">
        <f>NOT(OR(MOD(RecData[[#This Row],[TIMESTAMP]],1)&gt;0.91632,MOD(RecData[[#This Row],[TIMESTAMP]],1)&lt;0.208681))</f>
        <v>0</v>
      </c>
      <c r="DI26" s="18" t="b">
        <f>RecData[[#This Row],[Overall (dBA)]]-RecData[[#This Row],[L90]]&gt;=$DS$4</f>
        <v>0</v>
      </c>
      <c r="DJ26" s="18" t="b">
        <f>RecData[[#This Row],[Overall (dBA)]]&gt;$DS$2</f>
        <v>0</v>
      </c>
      <c r="DK26" s="18" t="b">
        <f>RecData[[#This Row],[Overall (dBA)]]&lt;$DS$3</f>
        <v>0</v>
      </c>
      <c r="DL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6" s="2">
        <f>IF(AND(RecData[[#This Row],[Turbines ON/OFF]] = "OFF", NOT(OR(RecData[[#This Row],[Junk?]]="YES",RecData[[#This Row],[Gust?]],RecData[[#This Row],[Rain?]:[Min SPL Threshold?]]))),1,0)</f>
        <v>0</v>
      </c>
      <c r="DN26" s="16">
        <f>RecData[[#This Row],[dBA Sum]]</f>
        <v>38.24268928799934</v>
      </c>
      <c r="DO26" s="16">
        <f>RecData[[#This Row],[LAF90.0]]</f>
        <v>39.9</v>
      </c>
      <c r="DP26" s="55">
        <f>IF(AND(RecData[[#This Row],[Useable TON Data?]],RecData[[#This Row],[Turbines ON/OFF]]="ON"),RecData[[#This Row],[dBA Sum]],"")</f>
        <v>38.24268928799934</v>
      </c>
      <c r="DQ26" s="55" t="str">
        <f>IF(AND(RecData[[#This Row],[Useable Background Data?]],RecData[[#This Row],[Turbines ON/OFF]]="OFF"),RecData[[#This Row],[dBA Sum]],"")</f>
        <v/>
      </c>
      <c r="DR26" s="3">
        <f>IF(OR(RecData[[#This Row],[Useable TON Data?]],RecData[[#This Row],[Useable Background Data?]]),ROUND(RecData[[#This Row],[WSpd_Avg '[m/s']]],0),"")</f>
        <v>2</v>
      </c>
      <c r="DS26" s="85">
        <f>(0.00002)^2*(10^(RecData[[#This Row],[Overall (dBA)]]/10))</f>
        <v>2.6688792192100372E-6</v>
      </c>
    </row>
    <row r="27" spans="1:123" ht="15" x14ac:dyDescent="0.25">
      <c r="A27" s="3" t="s">
        <v>249</v>
      </c>
      <c r="B27" s="12">
        <v>43252.082638888896</v>
      </c>
      <c r="C27" s="3"/>
      <c r="D27" s="3">
        <v>43.1</v>
      </c>
      <c r="E27" s="3"/>
      <c r="F27" s="3"/>
      <c r="G27" s="3"/>
      <c r="H27" s="3"/>
      <c r="I27" s="3"/>
      <c r="J27" s="3"/>
      <c r="K27" s="3">
        <v>39.6</v>
      </c>
      <c r="L27" s="3"/>
      <c r="M27" s="3"/>
      <c r="N27" s="3">
        <v>178.9</v>
      </c>
      <c r="O27" s="3"/>
      <c r="P27" s="3"/>
      <c r="Q27" s="3">
        <v>1.6</v>
      </c>
      <c r="R27" s="3">
        <v>0.2</v>
      </c>
      <c r="S27" s="3">
        <v>3</v>
      </c>
      <c r="T27" s="3">
        <v>10</v>
      </c>
      <c r="U27" s="3">
        <v>92</v>
      </c>
      <c r="V27" s="3">
        <v>963.9</v>
      </c>
      <c r="W27" s="3">
        <v>0</v>
      </c>
      <c r="X27" s="3">
        <v>43.7</v>
      </c>
      <c r="Y27" s="3">
        <v>41.4</v>
      </c>
      <c r="Z27" s="3">
        <v>41.5</v>
      </c>
      <c r="AA27" s="3">
        <v>38.700000000000003</v>
      </c>
      <c r="AB27" s="3">
        <v>33.299999999999997</v>
      </c>
      <c r="AC27" s="3">
        <v>32.1</v>
      </c>
      <c r="AD27" s="3">
        <v>35.200000000000003</v>
      </c>
      <c r="AE27" s="3">
        <v>39.299999999999997</v>
      </c>
      <c r="AF27" s="3">
        <v>43.6</v>
      </c>
      <c r="AG27" s="3">
        <v>38.4</v>
      </c>
      <c r="AH27" s="3">
        <v>38</v>
      </c>
      <c r="AI27" s="3">
        <v>38</v>
      </c>
      <c r="AJ27" s="3">
        <v>36</v>
      </c>
      <c r="AK27" s="3">
        <v>34</v>
      </c>
      <c r="AL27" s="3">
        <v>31.3</v>
      </c>
      <c r="AM27" s="3">
        <v>29.7</v>
      </c>
      <c r="AN27" s="3">
        <v>28.3</v>
      </c>
      <c r="AO27" s="3">
        <v>25.5</v>
      </c>
      <c r="AP27" s="3">
        <v>23.7</v>
      </c>
      <c r="AQ27" s="3">
        <v>23</v>
      </c>
      <c r="AR27" s="3">
        <v>21</v>
      </c>
      <c r="AS27" s="3">
        <v>34.1</v>
      </c>
      <c r="AT27" s="3">
        <v>38.700000000000003</v>
      </c>
      <c r="AU27" s="3">
        <v>17.3</v>
      </c>
      <c r="AV27" s="3">
        <v>15.5</v>
      </c>
      <c r="AW27" s="3">
        <v>14.4</v>
      </c>
      <c r="AX27" s="3">
        <v>11.7</v>
      </c>
      <c r="AY27" s="3">
        <v>11</v>
      </c>
      <c r="AZ27" s="3">
        <v>0</v>
      </c>
      <c r="BA27" s="3">
        <v>0</v>
      </c>
      <c r="BB27" s="3">
        <v>0</v>
      </c>
      <c r="BC27" s="3">
        <v>43.071147165003502</v>
      </c>
      <c r="BD27" s="3">
        <v>43.728852834996509</v>
      </c>
      <c r="BE27" s="3">
        <v>41.428852834996498</v>
      </c>
      <c r="BF27" s="3">
        <v>40.288852834996497</v>
      </c>
      <c r="BG27" s="3">
        <v>37.815519501663168</v>
      </c>
      <c r="BH27" s="3">
        <v>32.555519501663163</v>
      </c>
      <c r="BI27" s="3">
        <v>31.768852834996501</v>
      </c>
      <c r="BJ27" s="3">
        <v>35.662186168329832</v>
      </c>
      <c r="BK27" s="3">
        <v>39.635519501663161</v>
      </c>
      <c r="BL27" s="3">
        <v>43.50885283499651</v>
      </c>
      <c r="BM27" s="3">
        <v>38.442186168329833</v>
      </c>
      <c r="BN27" s="3">
        <v>38.325519501663173</v>
      </c>
      <c r="BO27" s="3">
        <v>37.692186168329833</v>
      </c>
      <c r="BP27" s="3">
        <v>35.408852834996502</v>
      </c>
      <c r="BQ27" s="3">
        <v>33.825519501663159</v>
      </c>
      <c r="BR27" s="3">
        <v>31.452186168329838</v>
      </c>
      <c r="BS27" s="3">
        <v>29.655519501663157</v>
      </c>
      <c r="BT27" s="3">
        <v>28.452186168329838</v>
      </c>
      <c r="BU27" s="3">
        <v>25.618852834996495</v>
      </c>
      <c r="BV27" s="3">
        <v>23.535519501663167</v>
      </c>
      <c r="BW27" s="3">
        <v>23.368852834996495</v>
      </c>
      <c r="BX27" s="3">
        <v>21.288852834996511</v>
      </c>
      <c r="BY27" s="3">
        <v>34.208852834996499</v>
      </c>
      <c r="BZ27" s="3">
        <v>38.938852834996503</v>
      </c>
      <c r="CA27" s="3">
        <v>17.638852834996491</v>
      </c>
      <c r="CB27" s="3">
        <v>15.275519501663162</v>
      </c>
      <c r="CC27" s="3">
        <v>14.388852834996499</v>
      </c>
      <c r="CD27" s="3">
        <v>10.995519501663168</v>
      </c>
      <c r="CE27" s="3">
        <v>10.4888528349965</v>
      </c>
      <c r="CF27" s="3">
        <v>-0.89781383167017026</v>
      </c>
      <c r="CG27" s="3">
        <v>-1.4311471650035017</v>
      </c>
      <c r="CH27" s="3">
        <v>-2.5078138316701697</v>
      </c>
      <c r="CI27" s="13">
        <f>[1]!dbasum(RecData[[#This Row],[20]:[2000]],RecData[[#Headers],[20]:[2000]])</f>
        <v>38.345447459079899</v>
      </c>
      <c r="CJ27" s="14">
        <v>664</v>
      </c>
      <c r="CK27" s="15" t="s">
        <v>249</v>
      </c>
      <c r="CL27" s="15">
        <f>RecData[[#This Row],[Start Time]]</f>
        <v>43252.082638888896</v>
      </c>
      <c r="CM27" s="16">
        <f>RecData[[#This Row],[Wind Speed avg]]</f>
        <v>1.6</v>
      </c>
      <c r="CN27" s="16">
        <f>RecData[[#This Row],[Wind Dir. avg]]</f>
        <v>178.9</v>
      </c>
      <c r="CO27" s="16">
        <f>RecData[[#This Row],[Amb. Humidity]]</f>
        <v>92</v>
      </c>
      <c r="CP27" s="16">
        <f>RecData[[#This Row],[Amb. Temperature]]</f>
        <v>10</v>
      </c>
      <c r="CQ27" s="17">
        <f>RecData[[#This Row],[Amb. Rain Gauge]]</f>
        <v>0</v>
      </c>
      <c r="CR27" s="97" t="s">
        <v>1</v>
      </c>
      <c r="CS27" s="97" t="s">
        <v>49</v>
      </c>
      <c r="CT27" s="98">
        <v>1542.1877440000001</v>
      </c>
      <c r="CU27" s="98">
        <v>27.000226974487301</v>
      </c>
      <c r="CV27" s="98">
        <v>10.000672340393001</v>
      </c>
      <c r="CW27" s="98">
        <v>15.1739177703857</v>
      </c>
      <c r="CX27" s="97"/>
      <c r="CY27" s="99"/>
      <c r="CZ27" s="2" t="b">
        <f>IF($DP$1="YES",IF(RecData[[#This Row],[Power (kW)]]&gt;=$CR$3, TRUE,FALSE),TRUE)</f>
        <v>1</v>
      </c>
      <c r="DA27" s="16">
        <f>MIN(MOD(180-ABS(ABS($DA$1-RecData[Yaw Angle (°)])-180),360),MOD(180-ABS(ABS($DB$1-RecData[Yaw Angle (°)])-180),360))</f>
        <v>19.470300196799741</v>
      </c>
      <c r="DB27" s="2" t="str">
        <f>IF($DP$2="None","None",IF(RecData[[#This Row],[Relative Wind Direction]]&lt;=45,"DW",IF(RecData[[#This Row],[Relative Wind Direction]]&lt;=135,"CW","UW")))</f>
        <v>DW</v>
      </c>
      <c r="DC27" s="61" t="e">
        <f>IF($CL27-#REF!&gt;1/24,#REF!,IF(SUM($CQ24:$CQ27)&gt;$DS$1,$DS$5,DC28-1))</f>
        <v>#REF!</v>
      </c>
      <c r="DD27" s="61" t="e">
        <f>IF($CL28-$CL27&gt;1/24,#REF!,IF(SUM($CQ24:$CQ27)&gt;$DS$1,$DS$6,DD26-1))</f>
        <v>#REF!</v>
      </c>
      <c r="DE27" s="18" t="b">
        <v>0</v>
      </c>
      <c r="DF27" s="2" t="b">
        <f>IF(OR(RecData[[#This Row],[WSpd_Avg '[m/s']]]-RecData[[#This Row],[Wind Speed min]]&gt;=$DF$3,RecData[[#This Row],[Wind Speed max]]-RecData[[#This Row],[WSpd_Avg '[m/s']]]&gt;=$DF$2),TRUE,FALSE)</f>
        <v>0</v>
      </c>
      <c r="DG27" s="2" t="b">
        <f>RecData[[#This Row],[Temperature '[°C']]]&lt;=-20</f>
        <v>0</v>
      </c>
      <c r="DH27" s="18" t="b">
        <f>NOT(OR(MOD(RecData[[#This Row],[TIMESTAMP]],1)&gt;0.91632,MOD(RecData[[#This Row],[TIMESTAMP]],1)&lt;0.208681))</f>
        <v>0</v>
      </c>
      <c r="DI27" s="18" t="b">
        <f>RecData[[#This Row],[Overall (dBA)]]-RecData[[#This Row],[L90]]&gt;=$DS$4</f>
        <v>0</v>
      </c>
      <c r="DJ27" s="18" t="b">
        <f>RecData[[#This Row],[Overall (dBA)]]&gt;$DS$2</f>
        <v>0</v>
      </c>
      <c r="DK27" s="18" t="b">
        <f>RecData[[#This Row],[Overall (dBA)]]&lt;$DS$3</f>
        <v>0</v>
      </c>
      <c r="DL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7" s="2">
        <f>IF(AND(RecData[[#This Row],[Turbines ON/OFF]] = "OFF", NOT(OR(RecData[[#This Row],[Junk?]]="YES",RecData[[#This Row],[Gust?]],RecData[[#This Row],[Rain?]:[Min SPL Threshold?]]))),1,0)</f>
        <v>0</v>
      </c>
      <c r="DN27" s="16">
        <f>RecData[[#This Row],[dBA Sum]]</f>
        <v>38.345447459079899</v>
      </c>
      <c r="DO27" s="16">
        <f>RecData[[#This Row],[LAF90.0]]</f>
        <v>39.6</v>
      </c>
      <c r="DP27" s="55">
        <f>IF(AND(RecData[[#This Row],[Useable TON Data?]],RecData[[#This Row],[Turbines ON/OFF]]="ON"),RecData[[#This Row],[dBA Sum]],"")</f>
        <v>38.345447459079899</v>
      </c>
      <c r="DQ27" s="55" t="str">
        <f>IF(AND(RecData[[#This Row],[Useable Background Data?]],RecData[[#This Row],[Turbines ON/OFF]]="OFF"),RecData[[#This Row],[dBA Sum]],"")</f>
        <v/>
      </c>
      <c r="DR27" s="3">
        <f>IF(OR(RecData[[#This Row],[Useable TON Data?]],RecData[[#This Row],[Useable Background Data?]]),ROUND(RecData[[#This Row],[WSpd_Avg '[m/s']]],0),"")</f>
        <v>2</v>
      </c>
      <c r="DS27" s="85">
        <f>(0.00002)^2*(10^(RecData[[#This Row],[Overall (dBA)]]/10))</f>
        <v>2.7327804192246752E-6</v>
      </c>
    </row>
    <row r="28" spans="1:123" ht="15" x14ac:dyDescent="0.25">
      <c r="A28" s="3" t="s">
        <v>249</v>
      </c>
      <c r="B28" s="12">
        <v>43252.083333333336</v>
      </c>
      <c r="C28" s="3"/>
      <c r="D28" s="3">
        <v>41.6</v>
      </c>
      <c r="E28" s="3"/>
      <c r="F28" s="3"/>
      <c r="G28" s="3"/>
      <c r="H28" s="3"/>
      <c r="I28" s="3"/>
      <c r="J28" s="3"/>
      <c r="K28" s="3">
        <v>37</v>
      </c>
      <c r="L28" s="3"/>
      <c r="M28" s="3"/>
      <c r="N28" s="3">
        <v>164.4</v>
      </c>
      <c r="O28" s="3"/>
      <c r="P28" s="3"/>
      <c r="Q28" s="3">
        <v>2.36</v>
      </c>
      <c r="R28" s="3">
        <v>1.3</v>
      </c>
      <c r="S28" s="3">
        <v>3.6</v>
      </c>
      <c r="T28" s="3">
        <v>10</v>
      </c>
      <c r="U28" s="3">
        <v>92</v>
      </c>
      <c r="V28" s="3">
        <v>963.9</v>
      </c>
      <c r="W28" s="3">
        <v>0</v>
      </c>
      <c r="X28" s="3">
        <v>41.3</v>
      </c>
      <c r="Y28" s="3">
        <v>40.4</v>
      </c>
      <c r="Z28" s="3">
        <v>39.6</v>
      </c>
      <c r="AA28" s="3">
        <v>36.799999999999997</v>
      </c>
      <c r="AB28" s="3">
        <v>32.6</v>
      </c>
      <c r="AC28" s="3">
        <v>31</v>
      </c>
      <c r="AD28" s="3">
        <v>34.200000000000003</v>
      </c>
      <c r="AE28" s="3">
        <v>37.700000000000003</v>
      </c>
      <c r="AF28" s="3">
        <v>41.8</v>
      </c>
      <c r="AG28" s="3">
        <v>37.200000000000003</v>
      </c>
      <c r="AH28" s="3">
        <v>35.799999999999997</v>
      </c>
      <c r="AI28" s="3">
        <v>36.9</v>
      </c>
      <c r="AJ28" s="3">
        <v>34.700000000000003</v>
      </c>
      <c r="AK28" s="3">
        <v>33.1</v>
      </c>
      <c r="AL28" s="3">
        <v>30</v>
      </c>
      <c r="AM28" s="3">
        <v>28.8</v>
      </c>
      <c r="AN28" s="3">
        <v>27.2</v>
      </c>
      <c r="AO28" s="3">
        <v>24.6</v>
      </c>
      <c r="AP28" s="3">
        <v>22.8</v>
      </c>
      <c r="AQ28" s="3">
        <v>22.3</v>
      </c>
      <c r="AR28" s="3">
        <v>20.3</v>
      </c>
      <c r="AS28" s="3">
        <v>31.9</v>
      </c>
      <c r="AT28" s="3">
        <v>37.1</v>
      </c>
      <c r="AU28" s="3">
        <v>16.600000000000001</v>
      </c>
      <c r="AV28" s="3">
        <v>14.8</v>
      </c>
      <c r="AW28" s="3">
        <v>13.8</v>
      </c>
      <c r="AX28" s="3">
        <v>11.4</v>
      </c>
      <c r="AY28" s="3">
        <v>10.7</v>
      </c>
      <c r="AZ28" s="3">
        <v>0</v>
      </c>
      <c r="BA28" s="3">
        <v>0</v>
      </c>
      <c r="BB28" s="3">
        <v>0</v>
      </c>
      <c r="BC28" s="3">
        <v>41.529343219777566</v>
      </c>
      <c r="BD28" s="3">
        <v>41.37065678022244</v>
      </c>
      <c r="BE28" s="3">
        <v>40.470656780222434</v>
      </c>
      <c r="BF28" s="3">
        <v>38.430656780222442</v>
      </c>
      <c r="BG28" s="3">
        <v>35.957323446889099</v>
      </c>
      <c r="BH28" s="3">
        <v>31.897323446889111</v>
      </c>
      <c r="BI28" s="3">
        <v>30.710656780222443</v>
      </c>
      <c r="BJ28" s="3">
        <v>34.703990113555768</v>
      </c>
      <c r="BK28" s="3">
        <v>38.077323446889103</v>
      </c>
      <c r="BL28" s="3">
        <v>41.750656780222435</v>
      </c>
      <c r="BM28" s="3">
        <v>37.283990113555767</v>
      </c>
      <c r="BN28" s="3">
        <v>36.167323446889093</v>
      </c>
      <c r="BO28" s="3">
        <v>36.633990113555761</v>
      </c>
      <c r="BP28" s="3">
        <v>34.150656780222441</v>
      </c>
      <c r="BQ28" s="3">
        <v>32.967323446889104</v>
      </c>
      <c r="BR28" s="3">
        <v>30.193990113555763</v>
      </c>
      <c r="BS28" s="3">
        <v>28.797323446889102</v>
      </c>
      <c r="BT28" s="3">
        <v>27.393990113555766</v>
      </c>
      <c r="BU28" s="3">
        <v>24.76065678022244</v>
      </c>
      <c r="BV28" s="3">
        <v>22.677323446889112</v>
      </c>
      <c r="BW28" s="3">
        <v>22.710656780222443</v>
      </c>
      <c r="BX28" s="3">
        <v>20.630656780222445</v>
      </c>
      <c r="BY28" s="3">
        <v>32.050656780222432</v>
      </c>
      <c r="BZ28" s="3">
        <v>37.380656780222431</v>
      </c>
      <c r="CA28" s="3">
        <v>16.980656780222425</v>
      </c>
      <c r="CB28" s="3">
        <v>14.617323446889102</v>
      </c>
      <c r="CC28" s="3">
        <v>13.830656780222434</v>
      </c>
      <c r="CD28" s="3">
        <v>10.737323446889107</v>
      </c>
      <c r="CE28" s="3">
        <v>10.230656780222432</v>
      </c>
      <c r="CF28" s="3">
        <v>-0.85600988644423381</v>
      </c>
      <c r="CG28" s="3">
        <v>-1.3893432197775653</v>
      </c>
      <c r="CH28" s="3">
        <v>-2.4660098864442332</v>
      </c>
      <c r="CI28" s="13">
        <f>[1]!dbasum(RecData[[#This Row],[20]:[2000]],RecData[[#Headers],[20]:[2000]])</f>
        <v>37.190897668470399</v>
      </c>
      <c r="CJ28" s="14">
        <v>665</v>
      </c>
      <c r="CK28" s="15" t="s">
        <v>249</v>
      </c>
      <c r="CL28" s="15">
        <f>RecData[[#This Row],[Start Time]]</f>
        <v>43252.083333333336</v>
      </c>
      <c r="CM28" s="16">
        <f>RecData[[#This Row],[Wind Speed avg]]</f>
        <v>2.36</v>
      </c>
      <c r="CN28" s="16">
        <f>RecData[[#This Row],[Wind Dir. avg]]</f>
        <v>164.4</v>
      </c>
      <c r="CO28" s="16">
        <f>RecData[[#This Row],[Amb. Humidity]]</f>
        <v>92</v>
      </c>
      <c r="CP28" s="16">
        <f>RecData[[#This Row],[Amb. Temperature]]</f>
        <v>10</v>
      </c>
      <c r="CQ28" s="17">
        <f>RecData[[#This Row],[Amb. Rain Gauge]]</f>
        <v>0</v>
      </c>
      <c r="CR28" s="97" t="s">
        <v>1</v>
      </c>
      <c r="CS28" s="97" t="s">
        <v>49</v>
      </c>
      <c r="CT28" s="98">
        <v>1542.1877440000001</v>
      </c>
      <c r="CU28" s="98">
        <v>27.000226974487301</v>
      </c>
      <c r="CV28" s="98">
        <v>10.000672340393001</v>
      </c>
      <c r="CW28" s="98">
        <v>15.1739177703857</v>
      </c>
      <c r="CX28" s="97"/>
      <c r="CY28" s="99"/>
      <c r="CZ28" s="2" t="b">
        <f>IF($DP$1="YES",IF(RecData[[#This Row],[Power (kW)]]&gt;=$CR$3, TRUE,FALSE),TRUE)</f>
        <v>1</v>
      </c>
      <c r="DA28" s="16">
        <f>MIN(MOD(180-ABS(ABS($DA$1-RecData[Yaw Angle (°)])-180),360),MOD(180-ABS(ABS($DB$1-RecData[Yaw Angle (°)])-180),360))</f>
        <v>19.470300196799741</v>
      </c>
      <c r="DB28" s="2" t="str">
        <f>IF($DP$2="None","None",IF(RecData[[#This Row],[Relative Wind Direction]]&lt;=45,"DW",IF(RecData[[#This Row],[Relative Wind Direction]]&lt;=135,"CW","UW")))</f>
        <v>DW</v>
      </c>
      <c r="DC28" s="61" t="e">
        <f>IF($CL28-$CL24&gt;1/24,#REF!,IF(SUM($CQ24:$CQ28)&gt;$DS$1,$DS$5,#REF!-1))</f>
        <v>#REF!</v>
      </c>
      <c r="DD28" s="61" t="e">
        <f>IF(#REF!-$CL28&gt;1/24,#REF!,IF(SUM($CQ24:$CQ28)&gt;$DS$1,$DS$6,DD27-1))</f>
        <v>#REF!</v>
      </c>
      <c r="DE28" s="18" t="b">
        <v>0</v>
      </c>
      <c r="DF28" s="2" t="b">
        <f>IF(OR(RecData[[#This Row],[WSpd_Avg '[m/s']]]-RecData[[#This Row],[Wind Speed min]]&gt;=$DF$3,RecData[[#This Row],[Wind Speed max]]-RecData[[#This Row],[WSpd_Avg '[m/s']]]&gt;=$DF$2),TRUE,FALSE)</f>
        <v>0</v>
      </c>
      <c r="DG28" s="2" t="b">
        <f>RecData[[#This Row],[Temperature '[°C']]]&lt;=-20</f>
        <v>0</v>
      </c>
      <c r="DH28" s="18" t="b">
        <f>NOT(OR(MOD(RecData[[#This Row],[TIMESTAMP]],1)&gt;0.91632,MOD(RecData[[#This Row],[TIMESTAMP]],1)&lt;0.208681))</f>
        <v>0</v>
      </c>
      <c r="DI28" s="18" t="b">
        <f>RecData[[#This Row],[Overall (dBA)]]-RecData[[#This Row],[L90]]&gt;=$DS$4</f>
        <v>0</v>
      </c>
      <c r="DJ28" s="18" t="b">
        <f>RecData[[#This Row],[Overall (dBA)]]&gt;$DS$2</f>
        <v>0</v>
      </c>
      <c r="DK28" s="18" t="b">
        <f>RecData[[#This Row],[Overall (dBA)]]&lt;$DS$3</f>
        <v>0</v>
      </c>
      <c r="DL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8" s="2">
        <f>IF(AND(RecData[[#This Row],[Turbines ON/OFF]] = "OFF", NOT(OR(RecData[[#This Row],[Junk?]]="YES",RecData[[#This Row],[Gust?]],RecData[[#This Row],[Rain?]:[Min SPL Threshold?]]))),1,0)</f>
        <v>0</v>
      </c>
      <c r="DN28" s="16">
        <f>RecData[[#This Row],[dBA Sum]]</f>
        <v>37.190897668470399</v>
      </c>
      <c r="DO28" s="16">
        <f>RecData[[#This Row],[LAF90.0]]</f>
        <v>37</v>
      </c>
      <c r="DP28" s="55">
        <f>IF(AND(RecData[[#This Row],[Useable TON Data?]],RecData[[#This Row],[Turbines ON/OFF]]="ON"),RecData[[#This Row],[dBA Sum]],"")</f>
        <v>37.190897668470399</v>
      </c>
      <c r="DQ28" s="55" t="str">
        <f>IF(AND(RecData[[#This Row],[Useable Background Data?]],RecData[[#This Row],[Turbines ON/OFF]]="OFF"),RecData[[#This Row],[dBA Sum]],"")</f>
        <v/>
      </c>
      <c r="DR28" s="3">
        <f>IF(OR(RecData[[#This Row],[Useable TON Data?]],RecData[[#This Row],[Useable Background Data?]]),ROUND(RecData[[#This Row],[WSpd_Avg '[m/s']]],0),"")</f>
        <v>2</v>
      </c>
      <c r="DS28" s="85">
        <f>(0.00002)^2*(10^(RecData[[#This Row],[Overall (dBA)]]/10))</f>
        <v>2.0948346951383353E-6</v>
      </c>
    </row>
    <row r="29" spans="1:123" ht="15" x14ac:dyDescent="0.25">
      <c r="A29" s="3" t="s">
        <v>249</v>
      </c>
      <c r="B29" s="12">
        <v>43252.092361111114</v>
      </c>
      <c r="C29" s="3"/>
      <c r="D29" s="3">
        <v>42.2</v>
      </c>
      <c r="E29" s="3"/>
      <c r="F29" s="3"/>
      <c r="G29" s="3"/>
      <c r="H29" s="3"/>
      <c r="I29" s="3"/>
      <c r="J29" s="3"/>
      <c r="K29" s="3">
        <v>40.5</v>
      </c>
      <c r="L29" s="3"/>
      <c r="M29" s="3"/>
      <c r="N29" s="3">
        <v>148.80000000000001</v>
      </c>
      <c r="O29" s="3"/>
      <c r="P29" s="3"/>
      <c r="Q29" s="3">
        <v>1.39</v>
      </c>
      <c r="R29" s="3">
        <v>0.3</v>
      </c>
      <c r="S29" s="3">
        <v>2.2000000000000002</v>
      </c>
      <c r="T29" s="3">
        <v>9.8000000000000007</v>
      </c>
      <c r="U29" s="3">
        <v>90.8</v>
      </c>
      <c r="V29" s="3">
        <v>963.9</v>
      </c>
      <c r="W29" s="3">
        <v>0</v>
      </c>
      <c r="X29" s="3">
        <v>43.9</v>
      </c>
      <c r="Y29" s="3">
        <v>43.3</v>
      </c>
      <c r="Z29" s="3">
        <v>42.2</v>
      </c>
      <c r="AA29" s="3">
        <v>38.700000000000003</v>
      </c>
      <c r="AB29" s="3">
        <v>34.700000000000003</v>
      </c>
      <c r="AC29" s="3">
        <v>33.6</v>
      </c>
      <c r="AD29" s="3">
        <v>37</v>
      </c>
      <c r="AE29" s="3">
        <v>40</v>
      </c>
      <c r="AF29" s="3">
        <v>43.1</v>
      </c>
      <c r="AG29" s="3">
        <v>39.4</v>
      </c>
      <c r="AH29" s="3">
        <v>37.299999999999997</v>
      </c>
      <c r="AI29" s="3">
        <v>38.1</v>
      </c>
      <c r="AJ29" s="3">
        <v>36.6</v>
      </c>
      <c r="AK29" s="3">
        <v>34.9</v>
      </c>
      <c r="AL29" s="3">
        <v>32.1</v>
      </c>
      <c r="AM29" s="3">
        <v>30.9</v>
      </c>
      <c r="AN29" s="3">
        <v>29.5</v>
      </c>
      <c r="AO29" s="3">
        <v>27.1</v>
      </c>
      <c r="AP29" s="3">
        <v>25.1</v>
      </c>
      <c r="AQ29" s="3">
        <v>24.2</v>
      </c>
      <c r="AR29" s="3">
        <v>21.6</v>
      </c>
      <c r="AS29" s="3">
        <v>31.1</v>
      </c>
      <c r="AT29" s="3">
        <v>37</v>
      </c>
      <c r="AU29" s="3">
        <v>14.3</v>
      </c>
      <c r="AV29" s="3">
        <v>11.9</v>
      </c>
      <c r="AW29" s="3">
        <v>10.9</v>
      </c>
      <c r="AX29" s="3">
        <v>9.6</v>
      </c>
      <c r="AY29" s="3">
        <v>9.5</v>
      </c>
      <c r="AZ29" s="3">
        <v>0</v>
      </c>
      <c r="BA29" s="3">
        <v>0</v>
      </c>
      <c r="BB29" s="3">
        <v>0</v>
      </c>
      <c r="BC29" s="3">
        <v>42.17652708244372</v>
      </c>
      <c r="BD29" s="3">
        <v>43.923472917556275</v>
      </c>
      <c r="BE29" s="3">
        <v>43.32347291755628</v>
      </c>
      <c r="BF29" s="3">
        <v>40.983472917556277</v>
      </c>
      <c r="BG29" s="3">
        <v>37.810139584222959</v>
      </c>
      <c r="BH29" s="3">
        <v>33.950139584222946</v>
      </c>
      <c r="BI29" s="3">
        <v>33.263472917556278</v>
      </c>
      <c r="BJ29" s="3">
        <v>37.456806250889606</v>
      </c>
      <c r="BK29" s="3">
        <v>40.330139584222941</v>
      </c>
      <c r="BL29" s="3">
        <v>43.003472917556287</v>
      </c>
      <c r="BM29" s="3">
        <v>39.436806250889624</v>
      </c>
      <c r="BN29" s="3">
        <v>37.620139584222947</v>
      </c>
      <c r="BO29" s="3">
        <v>37.786806250889619</v>
      </c>
      <c r="BP29" s="3">
        <v>36.003472917556287</v>
      </c>
      <c r="BQ29" s="3">
        <v>34.720139584222942</v>
      </c>
      <c r="BR29" s="3">
        <v>32.246806250889627</v>
      </c>
      <c r="BS29" s="3">
        <v>30.850139584222951</v>
      </c>
      <c r="BT29" s="3">
        <v>29.646806250889618</v>
      </c>
      <c r="BU29" s="3">
        <v>27.213472917556295</v>
      </c>
      <c r="BV29" s="3">
        <v>24.93013958422295</v>
      </c>
      <c r="BW29" s="3">
        <v>24.56347291755629</v>
      </c>
      <c r="BX29" s="3">
        <v>21.883472917556283</v>
      </c>
      <c r="BY29" s="3">
        <v>31.203472917556276</v>
      </c>
      <c r="BZ29" s="3">
        <v>37.233472917556277</v>
      </c>
      <c r="CA29" s="3">
        <v>14.633472917556276</v>
      </c>
      <c r="CB29" s="3">
        <v>11.670139584222945</v>
      </c>
      <c r="CC29" s="3">
        <v>10.883472917556283</v>
      </c>
      <c r="CD29" s="3">
        <v>8.8901395842229576</v>
      </c>
      <c r="CE29" s="3">
        <v>8.9834729175562842</v>
      </c>
      <c r="CF29" s="3">
        <v>-0.90319374911038608</v>
      </c>
      <c r="CG29" s="3">
        <v>-1.4365270824437175</v>
      </c>
      <c r="CH29" s="3">
        <v>-2.5131937491103855</v>
      </c>
      <c r="CI29" s="13">
        <f>[1]!dbasum(RecData[[#This Row],[20]:[2000]],RecData[[#Headers],[20]:[2000]])</f>
        <v>39.028337554092012</v>
      </c>
      <c r="CJ29" s="14">
        <v>678</v>
      </c>
      <c r="CK29" s="15" t="s">
        <v>249</v>
      </c>
      <c r="CL29" s="15">
        <f>RecData[[#This Row],[Start Time]]</f>
        <v>43252.092361111114</v>
      </c>
      <c r="CM29" s="16">
        <f>RecData[[#This Row],[Wind Speed avg]]</f>
        <v>1.39</v>
      </c>
      <c r="CN29" s="16">
        <f>RecData[[#This Row],[Wind Dir. avg]]</f>
        <v>148.80000000000001</v>
      </c>
      <c r="CO29" s="16">
        <f>RecData[[#This Row],[Amb. Humidity]]</f>
        <v>90.8</v>
      </c>
      <c r="CP29" s="16">
        <f>RecData[[#This Row],[Amb. Temperature]]</f>
        <v>9.8000000000000007</v>
      </c>
      <c r="CQ29" s="17">
        <f>RecData[[#This Row],[Amb. Rain Gauge]]</f>
        <v>0</v>
      </c>
      <c r="CR29" s="97" t="s">
        <v>1</v>
      </c>
      <c r="CS29" s="97" t="s">
        <v>49</v>
      </c>
      <c r="CT29" s="98">
        <v>1531.9027100000001</v>
      </c>
      <c r="CU29" s="98">
        <v>27.000228881835898</v>
      </c>
      <c r="CV29" s="98">
        <v>9.7397117614746094</v>
      </c>
      <c r="CW29" s="98">
        <v>15.195731163024901</v>
      </c>
      <c r="CX29" s="97"/>
      <c r="CY29" s="99"/>
      <c r="CZ29" s="2" t="b">
        <f>IF($DP$1="YES",IF(RecData[[#This Row],[Power (kW)]]&gt;=$CR$3, TRUE,FALSE),TRUE)</f>
        <v>1</v>
      </c>
      <c r="DA29" s="16">
        <f>MIN(MOD(180-ABS(ABS($DA$1-RecData[Yaw Angle (°)])-180),360),MOD(180-ABS(ABS($DB$1-RecData[Yaw Angle (°)])-180),360))</f>
        <v>19.470302104148345</v>
      </c>
      <c r="DB29" s="2" t="str">
        <f>IF($DP$2="None","None",IF(RecData[[#This Row],[Relative Wind Direction]]&lt;=45,"DW",IF(RecData[[#This Row],[Relative Wind Direction]]&lt;=135,"CW","UW")))</f>
        <v>DW</v>
      </c>
      <c r="DC29" s="61" t="e">
        <f>IF($CL29-#REF!&gt;1/24,#REF!,IF(SUM($CQ29:$CQ29)&gt;$DS$1,$DS$5,DC30-1))</f>
        <v>#REF!</v>
      </c>
      <c r="DD29" s="61" t="e">
        <f>IF($CL30-$CL29&gt;1/24,#REF!,IF(SUM($CQ29:$CQ29)&gt;$DS$1,$DS$6,#REF!-1))</f>
        <v>#REF!</v>
      </c>
      <c r="DE29" s="18" t="b">
        <v>0</v>
      </c>
      <c r="DF29" s="2" t="b">
        <f>IF(OR(RecData[[#This Row],[WSpd_Avg '[m/s']]]-RecData[[#This Row],[Wind Speed min]]&gt;=$DF$3,RecData[[#This Row],[Wind Speed max]]-RecData[[#This Row],[WSpd_Avg '[m/s']]]&gt;=$DF$2),TRUE,FALSE)</f>
        <v>0</v>
      </c>
      <c r="DG29" s="2" t="b">
        <f>RecData[[#This Row],[Temperature '[°C']]]&lt;=-20</f>
        <v>0</v>
      </c>
      <c r="DH29" s="18" t="b">
        <f>NOT(OR(MOD(RecData[[#This Row],[TIMESTAMP]],1)&gt;0.91632,MOD(RecData[[#This Row],[TIMESTAMP]],1)&lt;0.208681))</f>
        <v>0</v>
      </c>
      <c r="DI29" s="18" t="b">
        <f>RecData[[#This Row],[Overall (dBA)]]-RecData[[#This Row],[L90]]&gt;=$DS$4</f>
        <v>0</v>
      </c>
      <c r="DJ29" s="18" t="b">
        <f>RecData[[#This Row],[Overall (dBA)]]&gt;$DS$2</f>
        <v>0</v>
      </c>
      <c r="DK29" s="18" t="b">
        <f>RecData[[#This Row],[Overall (dBA)]]&lt;$DS$3</f>
        <v>0</v>
      </c>
      <c r="DL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29" s="2">
        <f>IF(AND(RecData[[#This Row],[Turbines ON/OFF]] = "OFF", NOT(OR(RecData[[#This Row],[Junk?]]="YES",RecData[[#This Row],[Gust?]],RecData[[#This Row],[Rain?]:[Min SPL Threshold?]]))),1,0)</f>
        <v>0</v>
      </c>
      <c r="DN29" s="16">
        <f>RecData[[#This Row],[dBA Sum]]</f>
        <v>39.028337554092012</v>
      </c>
      <c r="DO29" s="16">
        <f>RecData[[#This Row],[LAF90.0]]</f>
        <v>40.5</v>
      </c>
      <c r="DP29" s="55">
        <f>IF(AND(RecData[[#This Row],[Useable TON Data?]],RecData[[#This Row],[Turbines ON/OFF]]="ON"),RecData[[#This Row],[dBA Sum]],"")</f>
        <v>39.028337554092012</v>
      </c>
      <c r="DQ29" s="55" t="str">
        <f>IF(AND(RecData[[#This Row],[Useable Background Data?]],RecData[[#This Row],[Turbines ON/OFF]]="OFF"),RecData[[#This Row],[dBA Sum]],"")</f>
        <v/>
      </c>
      <c r="DR29" s="3">
        <f>IF(OR(RecData[[#This Row],[Useable TON Data?]],RecData[[#This Row],[Useable Background Data?]]),ROUND(RecData[[#This Row],[WSpd_Avg '[m/s']]],0),"")</f>
        <v>1</v>
      </c>
      <c r="DS29" s="85">
        <f>(0.00002)^2*(10^(RecData[[#This Row],[Overall (dBA)]]/10))</f>
        <v>3.1981125727682011E-6</v>
      </c>
    </row>
    <row r="30" spans="1:123" ht="15" x14ac:dyDescent="0.25">
      <c r="A30" s="3" t="s">
        <v>249</v>
      </c>
      <c r="B30" s="12">
        <v>43252.093055555561</v>
      </c>
      <c r="C30" s="3"/>
      <c r="D30" s="3">
        <v>41.8</v>
      </c>
      <c r="E30" s="3"/>
      <c r="F30" s="3"/>
      <c r="G30" s="3"/>
      <c r="H30" s="3"/>
      <c r="I30" s="3"/>
      <c r="J30" s="3"/>
      <c r="K30" s="3">
        <v>39.1</v>
      </c>
      <c r="L30" s="3"/>
      <c r="M30" s="3"/>
      <c r="N30" s="3">
        <v>175.9</v>
      </c>
      <c r="O30" s="3"/>
      <c r="P30" s="3"/>
      <c r="Q30" s="3">
        <v>1.34</v>
      </c>
      <c r="R30" s="3">
        <v>0.6</v>
      </c>
      <c r="S30" s="3">
        <v>2.2999999999999998</v>
      </c>
      <c r="T30" s="3">
        <v>9.6999999999999993</v>
      </c>
      <c r="U30" s="3">
        <v>90.8</v>
      </c>
      <c r="V30" s="3">
        <v>963.9</v>
      </c>
      <c r="W30" s="3">
        <v>0</v>
      </c>
      <c r="X30" s="3">
        <v>44.1</v>
      </c>
      <c r="Y30" s="3">
        <v>43.5</v>
      </c>
      <c r="Z30" s="3">
        <v>43.4</v>
      </c>
      <c r="AA30" s="3">
        <v>39.1</v>
      </c>
      <c r="AB30" s="3">
        <v>33.5</v>
      </c>
      <c r="AC30" s="3">
        <v>32.5</v>
      </c>
      <c r="AD30" s="3">
        <v>34.9</v>
      </c>
      <c r="AE30" s="3">
        <v>37.200000000000003</v>
      </c>
      <c r="AF30" s="3">
        <v>42.6</v>
      </c>
      <c r="AG30" s="3">
        <v>36.4</v>
      </c>
      <c r="AH30" s="3">
        <v>34</v>
      </c>
      <c r="AI30" s="3">
        <v>34.799999999999997</v>
      </c>
      <c r="AJ30" s="3">
        <v>33.5</v>
      </c>
      <c r="AK30" s="3">
        <v>32.299999999999997</v>
      </c>
      <c r="AL30" s="3">
        <v>30.7</v>
      </c>
      <c r="AM30" s="3">
        <v>30.9</v>
      </c>
      <c r="AN30" s="3">
        <v>30.2</v>
      </c>
      <c r="AO30" s="3">
        <v>27.8</v>
      </c>
      <c r="AP30" s="3">
        <v>25.8</v>
      </c>
      <c r="AQ30" s="3">
        <v>24.9</v>
      </c>
      <c r="AR30" s="3">
        <v>22.9</v>
      </c>
      <c r="AS30" s="3">
        <v>31.3</v>
      </c>
      <c r="AT30" s="3">
        <v>37.200000000000003</v>
      </c>
      <c r="AU30" s="3">
        <v>17.8</v>
      </c>
      <c r="AV30" s="3">
        <v>15.8</v>
      </c>
      <c r="AW30" s="3">
        <v>14.5</v>
      </c>
      <c r="AX30" s="3">
        <v>11.3</v>
      </c>
      <c r="AY30" s="3">
        <v>10.5</v>
      </c>
      <c r="AZ30" s="3">
        <v>0</v>
      </c>
      <c r="BA30" s="3">
        <v>0</v>
      </c>
      <c r="BB30" s="3">
        <v>0</v>
      </c>
      <c r="BC30" s="3">
        <v>41.81428096813881</v>
      </c>
      <c r="BD30" s="3">
        <v>44.085719031861196</v>
      </c>
      <c r="BE30" s="3">
        <v>43.485719031861187</v>
      </c>
      <c r="BF30" s="3">
        <v>42.145719031861184</v>
      </c>
      <c r="BG30" s="3">
        <v>38.172385698527854</v>
      </c>
      <c r="BH30" s="3">
        <v>32.712385698527861</v>
      </c>
      <c r="BI30" s="3">
        <v>32.125719031861188</v>
      </c>
      <c r="BJ30" s="3">
        <v>35.319052365194516</v>
      </c>
      <c r="BK30" s="3">
        <v>37.492385698527862</v>
      </c>
      <c r="BL30" s="3">
        <v>42.465719031861191</v>
      </c>
      <c r="BM30" s="3">
        <v>36.399052365194528</v>
      </c>
      <c r="BN30" s="3">
        <v>34.282385698527854</v>
      </c>
      <c r="BO30" s="3">
        <v>34.449052365194511</v>
      </c>
      <c r="BP30" s="3">
        <v>32.865719031861197</v>
      </c>
      <c r="BQ30" s="3">
        <v>32.082385698527837</v>
      </c>
      <c r="BR30" s="3">
        <v>30.809052365194525</v>
      </c>
      <c r="BS30" s="3">
        <v>30.812385698527855</v>
      </c>
      <c r="BT30" s="3">
        <v>30.309052365194525</v>
      </c>
      <c r="BU30" s="3">
        <v>27.875719031861188</v>
      </c>
      <c r="BV30" s="3">
        <v>25.592385698527856</v>
      </c>
      <c r="BW30" s="3">
        <v>25.225719031861182</v>
      </c>
      <c r="BX30" s="3">
        <v>23.145719031861198</v>
      </c>
      <c r="BY30" s="3">
        <v>31.365719031861182</v>
      </c>
      <c r="BZ30" s="3">
        <v>37.395719031861198</v>
      </c>
      <c r="CA30" s="3">
        <v>18.095719031861179</v>
      </c>
      <c r="CB30" s="3">
        <v>15.532385698527854</v>
      </c>
      <c r="CC30" s="3">
        <v>14.445719031861188</v>
      </c>
      <c r="CD30" s="3">
        <v>10.552385698527857</v>
      </c>
      <c r="CE30" s="3">
        <v>9.9457190318611879</v>
      </c>
      <c r="CF30" s="3">
        <v>-0.94094763480548238</v>
      </c>
      <c r="CG30" s="3">
        <v>-1.4742809681388138</v>
      </c>
      <c r="CH30" s="3">
        <v>-2.5509476348054818</v>
      </c>
      <c r="CI30" s="13">
        <f>[1]!dbasum(RecData[[#This Row],[20]:[2000]],RecData[[#Headers],[20]:[2000]])</f>
        <v>37.950695874905726</v>
      </c>
      <c r="CJ30" s="14">
        <v>679</v>
      </c>
      <c r="CK30" s="15" t="s">
        <v>249</v>
      </c>
      <c r="CL30" s="15">
        <f>RecData[[#This Row],[Start Time]]</f>
        <v>43252.093055555561</v>
      </c>
      <c r="CM30" s="16">
        <f>RecData[[#This Row],[Wind Speed avg]]</f>
        <v>1.34</v>
      </c>
      <c r="CN30" s="16">
        <f>RecData[[#This Row],[Wind Dir. avg]]</f>
        <v>175.9</v>
      </c>
      <c r="CO30" s="16">
        <f>RecData[[#This Row],[Amb. Humidity]]</f>
        <v>90.8</v>
      </c>
      <c r="CP30" s="16">
        <f>RecData[[#This Row],[Amb. Temperature]]</f>
        <v>9.6999999999999993</v>
      </c>
      <c r="CQ30" s="17">
        <f>RecData[[#This Row],[Amb. Rain Gauge]]</f>
        <v>0</v>
      </c>
      <c r="CR30" s="97" t="s">
        <v>1</v>
      </c>
      <c r="CS30" s="97" t="s">
        <v>49</v>
      </c>
      <c r="CT30" s="98">
        <v>1531.9027100000001</v>
      </c>
      <c r="CU30" s="98">
        <v>27.000228881835898</v>
      </c>
      <c r="CV30" s="98">
        <v>9.7397117614746094</v>
      </c>
      <c r="CW30" s="98">
        <v>15.195731163024901</v>
      </c>
      <c r="CX30" s="97"/>
      <c r="CY30" s="99"/>
      <c r="CZ30" s="2" t="b">
        <f>IF($DP$1="YES",IF(RecData[[#This Row],[Power (kW)]]&gt;=$CR$3, TRUE,FALSE),TRUE)</f>
        <v>1</v>
      </c>
      <c r="DA30" s="16">
        <f>MIN(MOD(180-ABS(ABS($DA$1-RecData[Yaw Angle (°)])-180),360),MOD(180-ABS(ABS($DB$1-RecData[Yaw Angle (°)])-180),360))</f>
        <v>19.470302104148345</v>
      </c>
      <c r="DB30" s="2" t="str">
        <f>IF($DP$2="None","None",IF(RecData[[#This Row],[Relative Wind Direction]]&lt;=45,"DW",IF(RecData[[#This Row],[Relative Wind Direction]]&lt;=135,"CW","UW")))</f>
        <v>DW</v>
      </c>
      <c r="DC30" s="61" t="e">
        <f>IF($CL30-#REF!&gt;1/24,#REF!,IF(SUM($CQ29:$CQ30)&gt;$DS$1,$DS$5,DC31-1))</f>
        <v>#REF!</v>
      </c>
      <c r="DD30" s="61" t="e">
        <f>IF($CL31-$CL30&gt;1/24,#REF!,IF(SUM($CQ29:$CQ30)&gt;$DS$1,$DS$6,DD29-1))</f>
        <v>#REF!</v>
      </c>
      <c r="DE30" s="18" t="b">
        <v>0</v>
      </c>
      <c r="DF30" s="2" t="b">
        <f>IF(OR(RecData[[#This Row],[WSpd_Avg '[m/s']]]-RecData[[#This Row],[Wind Speed min]]&gt;=$DF$3,RecData[[#This Row],[Wind Speed max]]-RecData[[#This Row],[WSpd_Avg '[m/s']]]&gt;=$DF$2),TRUE,FALSE)</f>
        <v>0</v>
      </c>
      <c r="DG30" s="2" t="b">
        <f>RecData[[#This Row],[Temperature '[°C']]]&lt;=-20</f>
        <v>0</v>
      </c>
      <c r="DH30" s="18" t="b">
        <f>NOT(OR(MOD(RecData[[#This Row],[TIMESTAMP]],1)&gt;0.91632,MOD(RecData[[#This Row],[TIMESTAMP]],1)&lt;0.208681))</f>
        <v>0</v>
      </c>
      <c r="DI30" s="18" t="b">
        <f>RecData[[#This Row],[Overall (dBA)]]-RecData[[#This Row],[L90]]&gt;=$DS$4</f>
        <v>0</v>
      </c>
      <c r="DJ30" s="18" t="b">
        <f>RecData[[#This Row],[Overall (dBA)]]&gt;$DS$2</f>
        <v>0</v>
      </c>
      <c r="DK30" s="18" t="b">
        <f>RecData[[#This Row],[Overall (dBA)]]&lt;$DS$3</f>
        <v>0</v>
      </c>
      <c r="DL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0" s="2">
        <f>IF(AND(RecData[[#This Row],[Turbines ON/OFF]] = "OFF", NOT(OR(RecData[[#This Row],[Junk?]]="YES",RecData[[#This Row],[Gust?]],RecData[[#This Row],[Rain?]:[Min SPL Threshold?]]))),1,0)</f>
        <v>0</v>
      </c>
      <c r="DN30" s="16">
        <f>RecData[[#This Row],[dBA Sum]]</f>
        <v>37.950695874905726</v>
      </c>
      <c r="DO30" s="16">
        <f>RecData[[#This Row],[LAF90.0]]</f>
        <v>39.1</v>
      </c>
      <c r="DP30" s="55">
        <f>IF(AND(RecData[[#This Row],[Useable TON Data?]],RecData[[#This Row],[Turbines ON/OFF]]="ON"),RecData[[#This Row],[dBA Sum]],"")</f>
        <v>37.950695874905726</v>
      </c>
      <c r="DQ30" s="55" t="str">
        <f>IF(AND(RecData[[#This Row],[Useable Background Data?]],RecData[[#This Row],[Turbines ON/OFF]]="OFF"),RecData[[#This Row],[dBA Sum]],"")</f>
        <v/>
      </c>
      <c r="DR30" s="3">
        <f>IF(OR(RecData[[#This Row],[Useable TON Data?]],RecData[[#This Row],[Useable Background Data?]]),ROUND(RecData[[#This Row],[WSpd_Avg '[m/s']]],0),"")</f>
        <v>1</v>
      </c>
      <c r="DS30" s="85">
        <f>(0.00002)^2*(10^(RecData[[#This Row],[Overall (dBA)]]/10))</f>
        <v>2.4953391408801631E-6</v>
      </c>
    </row>
    <row r="31" spans="1:123" ht="15" x14ac:dyDescent="0.25">
      <c r="A31" s="3" t="s">
        <v>249</v>
      </c>
      <c r="B31" s="12">
        <v>43252.09375</v>
      </c>
      <c r="C31" s="3"/>
      <c r="D31" s="3">
        <v>43</v>
      </c>
      <c r="E31" s="3"/>
      <c r="F31" s="3"/>
      <c r="G31" s="3"/>
      <c r="H31" s="3"/>
      <c r="I31" s="3"/>
      <c r="J31" s="3"/>
      <c r="K31" s="3">
        <v>40.700000000000003</v>
      </c>
      <c r="L31" s="3"/>
      <c r="M31" s="3"/>
      <c r="N31" s="3">
        <v>159.80000000000001</v>
      </c>
      <c r="O31" s="3"/>
      <c r="P31" s="3"/>
      <c r="Q31" s="3">
        <v>1.49</v>
      </c>
      <c r="R31" s="3">
        <v>0.7</v>
      </c>
      <c r="S31" s="3">
        <v>2.5</v>
      </c>
      <c r="T31" s="3">
        <v>9.6999999999999993</v>
      </c>
      <c r="U31" s="3">
        <v>90.9</v>
      </c>
      <c r="V31" s="3">
        <v>963.9</v>
      </c>
      <c r="W31" s="3">
        <v>0</v>
      </c>
      <c r="X31" s="3">
        <v>44.6</v>
      </c>
      <c r="Y31" s="3">
        <v>44.4</v>
      </c>
      <c r="Z31" s="3">
        <v>43.5</v>
      </c>
      <c r="AA31" s="3">
        <v>39.1</v>
      </c>
      <c r="AB31" s="3">
        <v>35.700000000000003</v>
      </c>
      <c r="AC31" s="3">
        <v>33.4</v>
      </c>
      <c r="AD31" s="3">
        <v>36.700000000000003</v>
      </c>
      <c r="AE31" s="3">
        <v>39.200000000000003</v>
      </c>
      <c r="AF31" s="3">
        <v>46</v>
      </c>
      <c r="AG31" s="3">
        <v>37.799999999999997</v>
      </c>
      <c r="AH31" s="3">
        <v>35.700000000000003</v>
      </c>
      <c r="AI31" s="3">
        <v>36.799999999999997</v>
      </c>
      <c r="AJ31" s="3">
        <v>34.799999999999997</v>
      </c>
      <c r="AK31" s="3">
        <v>33.4</v>
      </c>
      <c r="AL31" s="3">
        <v>30.9</v>
      </c>
      <c r="AM31" s="3">
        <v>29.9</v>
      </c>
      <c r="AN31" s="3">
        <v>28.6</v>
      </c>
      <c r="AO31" s="3">
        <v>26.1</v>
      </c>
      <c r="AP31" s="3">
        <v>24.2</v>
      </c>
      <c r="AQ31" s="3">
        <v>23.1</v>
      </c>
      <c r="AR31" s="3">
        <v>20.5</v>
      </c>
      <c r="AS31" s="3">
        <v>32.5</v>
      </c>
      <c r="AT31" s="3">
        <v>39.1</v>
      </c>
      <c r="AU31" s="3">
        <v>14.2</v>
      </c>
      <c r="AV31" s="3">
        <v>11.4</v>
      </c>
      <c r="AW31" s="3">
        <v>10.6</v>
      </c>
      <c r="AX31" s="3">
        <v>9.5</v>
      </c>
      <c r="AY31" s="3">
        <v>9.6</v>
      </c>
      <c r="AZ31" s="3">
        <v>0</v>
      </c>
      <c r="BA31" s="3">
        <v>0</v>
      </c>
      <c r="BB31" s="3">
        <v>0</v>
      </c>
      <c r="BC31" s="3">
        <v>42.968134028512452</v>
      </c>
      <c r="BD31" s="3">
        <v>44.631865971487542</v>
      </c>
      <c r="BE31" s="3">
        <v>44.431865971487554</v>
      </c>
      <c r="BF31" s="3">
        <v>42.291865971487539</v>
      </c>
      <c r="BG31" s="3">
        <v>38.218532638154215</v>
      </c>
      <c r="BH31" s="3">
        <v>34.958532638154225</v>
      </c>
      <c r="BI31" s="3">
        <v>33.07186597148754</v>
      </c>
      <c r="BJ31" s="3">
        <v>37.165199304820874</v>
      </c>
      <c r="BK31" s="3">
        <v>39.538532638154209</v>
      </c>
      <c r="BL31" s="3">
        <v>45.911865971487543</v>
      </c>
      <c r="BM31" s="3">
        <v>37.845199304820881</v>
      </c>
      <c r="BN31" s="3">
        <v>36.028532638154218</v>
      </c>
      <c r="BO31" s="3">
        <v>36.495199304820886</v>
      </c>
      <c r="BP31" s="3">
        <v>34.211865971487555</v>
      </c>
      <c r="BQ31" s="3">
        <v>33.228532638154206</v>
      </c>
      <c r="BR31" s="3">
        <v>31.055199304820889</v>
      </c>
      <c r="BS31" s="3">
        <v>29.858532638154216</v>
      </c>
      <c r="BT31" s="3">
        <v>28.755199304820877</v>
      </c>
      <c r="BU31" s="3">
        <v>26.221865971487546</v>
      </c>
      <c r="BV31" s="3">
        <v>24.038532638154209</v>
      </c>
      <c r="BW31" s="3">
        <v>23.471865971487546</v>
      </c>
      <c r="BX31" s="3">
        <v>20.791865971487553</v>
      </c>
      <c r="BY31" s="3">
        <v>32.611865971487546</v>
      </c>
      <c r="BZ31" s="3">
        <v>39.34186597148755</v>
      </c>
      <c r="CA31" s="3">
        <v>14.541865971487539</v>
      </c>
      <c r="CB31" s="3">
        <v>11.178532638154209</v>
      </c>
      <c r="CC31" s="3">
        <v>10.59186597148755</v>
      </c>
      <c r="CD31" s="3">
        <v>8.7985326381542208</v>
      </c>
      <c r="CE31" s="3">
        <v>9.0918659714875503</v>
      </c>
      <c r="CF31" s="3">
        <v>-0.89480069517912142</v>
      </c>
      <c r="CG31" s="3">
        <v>-1.4281340285124529</v>
      </c>
      <c r="CH31" s="3">
        <v>-2.5048006951791209</v>
      </c>
      <c r="CI31" s="13">
        <f>[1]!dbasum(RecData[[#This Row],[20]:[2000]],RecData[[#Headers],[20]:[2000]])</f>
        <v>38.18110978888307</v>
      </c>
      <c r="CJ31" s="14">
        <v>680</v>
      </c>
      <c r="CK31" s="15" t="s">
        <v>249</v>
      </c>
      <c r="CL31" s="15">
        <f>RecData[[#This Row],[Start Time]]</f>
        <v>43252.09375</v>
      </c>
      <c r="CM31" s="16">
        <f>RecData[[#This Row],[Wind Speed avg]]</f>
        <v>1.49</v>
      </c>
      <c r="CN31" s="16">
        <f>RecData[[#This Row],[Wind Dir. avg]]</f>
        <v>159.80000000000001</v>
      </c>
      <c r="CO31" s="16">
        <f>RecData[[#This Row],[Amb. Humidity]]</f>
        <v>90.9</v>
      </c>
      <c r="CP31" s="16">
        <f>RecData[[#This Row],[Amb. Temperature]]</f>
        <v>9.6999999999999993</v>
      </c>
      <c r="CQ31" s="17">
        <f>RecData[[#This Row],[Amb. Rain Gauge]]</f>
        <v>0</v>
      </c>
      <c r="CR31" s="97" t="s">
        <v>1</v>
      </c>
      <c r="CS31" s="97" t="s">
        <v>49</v>
      </c>
      <c r="CT31" s="98">
        <v>1531.9027100000001</v>
      </c>
      <c r="CU31" s="98">
        <v>27.000228881835898</v>
      </c>
      <c r="CV31" s="98">
        <v>9.7397117614746094</v>
      </c>
      <c r="CW31" s="98">
        <v>15.195731163024901</v>
      </c>
      <c r="CX31" s="97"/>
      <c r="CY31" s="99"/>
      <c r="CZ31" s="2" t="b">
        <f>IF($DP$1="YES",IF(RecData[[#This Row],[Power (kW)]]&gt;=$CR$3, TRUE,FALSE),TRUE)</f>
        <v>1</v>
      </c>
      <c r="DA31" s="16">
        <f>MIN(MOD(180-ABS(ABS($DA$1-RecData[Yaw Angle (°)])-180),360),MOD(180-ABS(ABS($DB$1-RecData[Yaw Angle (°)])-180),360))</f>
        <v>19.470302104148345</v>
      </c>
      <c r="DB31" s="2" t="str">
        <f>IF($DP$2="None","None",IF(RecData[[#This Row],[Relative Wind Direction]]&lt;=45,"DW",IF(RecData[[#This Row],[Relative Wind Direction]]&lt;=135,"CW","UW")))</f>
        <v>DW</v>
      </c>
      <c r="DC31" s="61" t="e">
        <f>IF($CL31-#REF!&gt;1/24,#REF!,IF(SUM($CQ29:$CQ31)&gt;$DS$1,$DS$5,DC32-1))</f>
        <v>#REF!</v>
      </c>
      <c r="DD31" s="61" t="e">
        <f>IF($CL32-$CL31&gt;1/24,#REF!,IF(SUM($CQ29:$CQ31)&gt;$DS$1,$DS$6,DD30-1))</f>
        <v>#REF!</v>
      </c>
      <c r="DE31" s="18" t="b">
        <v>0</v>
      </c>
      <c r="DF31" s="2" t="b">
        <f>IF(OR(RecData[[#This Row],[WSpd_Avg '[m/s']]]-RecData[[#This Row],[Wind Speed min]]&gt;=$DF$3,RecData[[#This Row],[Wind Speed max]]-RecData[[#This Row],[WSpd_Avg '[m/s']]]&gt;=$DF$2),TRUE,FALSE)</f>
        <v>0</v>
      </c>
      <c r="DG31" s="2" t="b">
        <f>RecData[[#This Row],[Temperature '[°C']]]&lt;=-20</f>
        <v>0</v>
      </c>
      <c r="DH31" s="18" t="b">
        <f>NOT(OR(MOD(RecData[[#This Row],[TIMESTAMP]],1)&gt;0.91632,MOD(RecData[[#This Row],[TIMESTAMP]],1)&lt;0.208681))</f>
        <v>0</v>
      </c>
      <c r="DI31" s="18" t="b">
        <f>RecData[[#This Row],[Overall (dBA)]]-RecData[[#This Row],[L90]]&gt;=$DS$4</f>
        <v>0</v>
      </c>
      <c r="DJ31" s="18" t="b">
        <f>RecData[[#This Row],[Overall (dBA)]]&gt;$DS$2</f>
        <v>0</v>
      </c>
      <c r="DK31" s="18" t="b">
        <f>RecData[[#This Row],[Overall (dBA)]]&lt;$DS$3</f>
        <v>0</v>
      </c>
      <c r="DL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1" s="2">
        <f>IF(AND(RecData[[#This Row],[Turbines ON/OFF]] = "OFF", NOT(OR(RecData[[#This Row],[Junk?]]="YES",RecData[[#This Row],[Gust?]],RecData[[#This Row],[Rain?]:[Min SPL Threshold?]]))),1,0)</f>
        <v>0</v>
      </c>
      <c r="DN31" s="16">
        <f>RecData[[#This Row],[dBA Sum]]</f>
        <v>38.18110978888307</v>
      </c>
      <c r="DO31" s="16">
        <f>RecData[[#This Row],[LAF90.0]]</f>
        <v>40.700000000000003</v>
      </c>
      <c r="DP31" s="55">
        <f>IF(AND(RecData[[#This Row],[Useable TON Data?]],RecData[[#This Row],[Turbines ON/OFF]]="ON"),RecData[[#This Row],[dBA Sum]],"")</f>
        <v>38.18110978888307</v>
      </c>
      <c r="DQ31" s="55" t="str">
        <f>IF(AND(RecData[[#This Row],[Useable Background Data?]],RecData[[#This Row],[Turbines ON/OFF]]="OFF"),RecData[[#This Row],[dBA Sum]],"")</f>
        <v/>
      </c>
      <c r="DR31" s="3">
        <f>IF(OR(RecData[[#This Row],[Useable TON Data?]],RecData[[#This Row],[Useable Background Data?]]),ROUND(RecData[[#This Row],[WSpd_Avg '[m/s']]],0),"")</f>
        <v>1</v>
      </c>
      <c r="DS31" s="85">
        <f>(0.00002)^2*(10^(RecData[[#This Row],[Overall (dBA)]]/10))</f>
        <v>2.6313036624709186E-6</v>
      </c>
    </row>
    <row r="32" spans="1:123" ht="15" x14ac:dyDescent="0.25">
      <c r="A32" s="3" t="s">
        <v>249</v>
      </c>
      <c r="B32" s="12">
        <v>43252.094444444447</v>
      </c>
      <c r="C32" s="3"/>
      <c r="D32" s="3">
        <v>42</v>
      </c>
      <c r="E32" s="3"/>
      <c r="F32" s="3"/>
      <c r="G32" s="3"/>
      <c r="H32" s="3"/>
      <c r="I32" s="3"/>
      <c r="J32" s="3"/>
      <c r="K32" s="3">
        <v>40.5</v>
      </c>
      <c r="L32" s="3"/>
      <c r="M32" s="3"/>
      <c r="N32" s="3">
        <v>173</v>
      </c>
      <c r="O32" s="3"/>
      <c r="P32" s="3"/>
      <c r="Q32" s="3">
        <v>1.5</v>
      </c>
      <c r="R32" s="3">
        <v>0.6</v>
      </c>
      <c r="S32" s="3">
        <v>2.7</v>
      </c>
      <c r="T32" s="3">
        <v>9.6999999999999993</v>
      </c>
      <c r="U32" s="3">
        <v>90.9</v>
      </c>
      <c r="V32" s="3">
        <v>963.9</v>
      </c>
      <c r="W32" s="3">
        <v>0</v>
      </c>
      <c r="X32" s="3">
        <v>44.9</v>
      </c>
      <c r="Y32" s="3">
        <v>45.3</v>
      </c>
      <c r="Z32" s="3">
        <v>45.1</v>
      </c>
      <c r="AA32" s="3">
        <v>40.799999999999997</v>
      </c>
      <c r="AB32" s="3">
        <v>36.200000000000003</v>
      </c>
      <c r="AC32" s="3">
        <v>34.1</v>
      </c>
      <c r="AD32" s="3">
        <v>37.299999999999997</v>
      </c>
      <c r="AE32" s="3">
        <v>39.9</v>
      </c>
      <c r="AF32" s="3">
        <v>44.1</v>
      </c>
      <c r="AG32" s="3">
        <v>38.799999999999997</v>
      </c>
      <c r="AH32" s="3">
        <v>36.200000000000003</v>
      </c>
      <c r="AI32" s="3">
        <v>37.1</v>
      </c>
      <c r="AJ32" s="3">
        <v>35.5</v>
      </c>
      <c r="AK32" s="3">
        <v>33.9</v>
      </c>
      <c r="AL32" s="3">
        <v>31.7</v>
      </c>
      <c r="AM32" s="3">
        <v>31.1</v>
      </c>
      <c r="AN32" s="3">
        <v>29.9</v>
      </c>
      <c r="AO32" s="3">
        <v>26.9</v>
      </c>
      <c r="AP32" s="3">
        <v>24.6</v>
      </c>
      <c r="AQ32" s="3">
        <v>23.6</v>
      </c>
      <c r="AR32" s="3">
        <v>20.7</v>
      </c>
      <c r="AS32" s="3">
        <v>29.9</v>
      </c>
      <c r="AT32" s="3">
        <v>37.299999999999997</v>
      </c>
      <c r="AU32" s="3">
        <v>14.1</v>
      </c>
      <c r="AV32" s="3">
        <v>11.7</v>
      </c>
      <c r="AW32" s="3">
        <v>11</v>
      </c>
      <c r="AX32" s="3">
        <v>9.6999999999999993</v>
      </c>
      <c r="AY32" s="3">
        <v>9.6</v>
      </c>
      <c r="AZ32" s="3">
        <v>0</v>
      </c>
      <c r="BA32" s="3">
        <v>0</v>
      </c>
      <c r="BB32" s="3">
        <v>0</v>
      </c>
      <c r="BC32" s="3">
        <v>41.994166866927074</v>
      </c>
      <c r="BD32" s="3">
        <v>44.905833133072932</v>
      </c>
      <c r="BE32" s="3">
        <v>45.305833133072923</v>
      </c>
      <c r="BF32" s="3">
        <v>43.865833133072925</v>
      </c>
      <c r="BG32" s="3">
        <v>39.892499799739582</v>
      </c>
      <c r="BH32" s="3">
        <v>35.432499799739603</v>
      </c>
      <c r="BI32" s="3">
        <v>33.745833133072935</v>
      </c>
      <c r="BJ32" s="3">
        <v>37.739166466406246</v>
      </c>
      <c r="BK32" s="3">
        <v>40.212499799739589</v>
      </c>
      <c r="BL32" s="3">
        <v>43.98583313307293</v>
      </c>
      <c r="BM32" s="3">
        <v>38.819166466406259</v>
      </c>
      <c r="BN32" s="3">
        <v>36.502499799739596</v>
      </c>
      <c r="BO32" s="3">
        <v>36.769166466406261</v>
      </c>
      <c r="BP32" s="3">
        <v>34.885833133072921</v>
      </c>
      <c r="BQ32" s="3">
        <v>33.702499799739584</v>
      </c>
      <c r="BR32" s="3">
        <v>31.829166466406264</v>
      </c>
      <c r="BS32" s="3">
        <v>31.032499799739597</v>
      </c>
      <c r="BT32" s="3">
        <v>30.029166466406267</v>
      </c>
      <c r="BU32" s="3">
        <v>26.995833133072935</v>
      </c>
      <c r="BV32" s="3">
        <v>24.412499799739592</v>
      </c>
      <c r="BW32" s="3">
        <v>23.945833133072924</v>
      </c>
      <c r="BX32" s="3">
        <v>20.965833133072934</v>
      </c>
      <c r="BY32" s="3">
        <v>29.985833133072916</v>
      </c>
      <c r="BZ32" s="3">
        <v>37.515833133072917</v>
      </c>
      <c r="CA32" s="3">
        <v>14.415833133072923</v>
      </c>
      <c r="CB32" s="3">
        <v>11.452499799739591</v>
      </c>
      <c r="CC32" s="3">
        <v>10.965833133072927</v>
      </c>
      <c r="CD32" s="3">
        <v>8.9724997997395946</v>
      </c>
      <c r="CE32" s="3">
        <v>9.0658331330729283</v>
      </c>
      <c r="CF32" s="3">
        <v>-0.92083353359374343</v>
      </c>
      <c r="CG32" s="3">
        <v>-1.4541668669270749</v>
      </c>
      <c r="CH32" s="3">
        <v>-2.5308335335937429</v>
      </c>
      <c r="CI32" s="13">
        <f>[1]!dbasum(RecData[[#This Row],[20]:[2000]],RecData[[#Headers],[20]:[2000]])</f>
        <v>38.612401705610154</v>
      </c>
      <c r="CJ32" s="14">
        <v>681</v>
      </c>
      <c r="CK32" s="15" t="s">
        <v>249</v>
      </c>
      <c r="CL32" s="15">
        <f>RecData[[#This Row],[Start Time]]</f>
        <v>43252.094444444447</v>
      </c>
      <c r="CM32" s="16">
        <f>RecData[[#This Row],[Wind Speed avg]]</f>
        <v>1.5</v>
      </c>
      <c r="CN32" s="16">
        <f>RecData[[#This Row],[Wind Dir. avg]]</f>
        <v>173</v>
      </c>
      <c r="CO32" s="16">
        <f>RecData[[#This Row],[Amb. Humidity]]</f>
        <v>90.9</v>
      </c>
      <c r="CP32" s="16">
        <f>RecData[[#This Row],[Amb. Temperature]]</f>
        <v>9.6999999999999993</v>
      </c>
      <c r="CQ32" s="17">
        <f>RecData[[#This Row],[Amb. Rain Gauge]]</f>
        <v>0</v>
      </c>
      <c r="CR32" s="97" t="s">
        <v>1</v>
      </c>
      <c r="CS32" s="97" t="s">
        <v>49</v>
      </c>
      <c r="CT32" s="98">
        <v>1531.9027100000001</v>
      </c>
      <c r="CU32" s="98">
        <v>27.000228881835898</v>
      </c>
      <c r="CV32" s="98">
        <v>9.7397117614746094</v>
      </c>
      <c r="CW32" s="98">
        <v>15.195731163024901</v>
      </c>
      <c r="CX32" s="97"/>
      <c r="CY32" s="99"/>
      <c r="CZ32" s="2" t="b">
        <f>IF($DP$1="YES",IF(RecData[[#This Row],[Power (kW)]]&gt;=$CR$3, TRUE,FALSE),TRUE)</f>
        <v>1</v>
      </c>
      <c r="DA32" s="16">
        <f>MIN(MOD(180-ABS(ABS($DA$1-RecData[Yaw Angle (°)])-180),360),MOD(180-ABS(ABS($DB$1-RecData[Yaw Angle (°)])-180),360))</f>
        <v>19.470302104148345</v>
      </c>
      <c r="DB32" s="2" t="str">
        <f>IF($DP$2="None","None",IF(RecData[[#This Row],[Relative Wind Direction]]&lt;=45,"DW",IF(RecData[[#This Row],[Relative Wind Direction]]&lt;=135,"CW","UW")))</f>
        <v>DW</v>
      </c>
      <c r="DC32" s="61" t="e">
        <f>IF($CL32-#REF!&gt;1/24,#REF!,IF(SUM($CQ29:$CQ32)&gt;$DS$1,$DS$5,DC33-1))</f>
        <v>#REF!</v>
      </c>
      <c r="DD32" s="61" t="e">
        <f>IF($CL33-$CL32&gt;1/24,#REF!,IF(SUM($CQ29:$CQ32)&gt;$DS$1,$DS$6,DD31-1))</f>
        <v>#REF!</v>
      </c>
      <c r="DE32" s="18" t="b">
        <v>0</v>
      </c>
      <c r="DF32" s="2" t="b">
        <f>IF(OR(RecData[[#This Row],[WSpd_Avg '[m/s']]]-RecData[[#This Row],[Wind Speed min]]&gt;=$DF$3,RecData[[#This Row],[Wind Speed max]]-RecData[[#This Row],[WSpd_Avg '[m/s']]]&gt;=$DF$2),TRUE,FALSE)</f>
        <v>0</v>
      </c>
      <c r="DG32" s="2" t="b">
        <f>RecData[[#This Row],[Temperature '[°C']]]&lt;=-20</f>
        <v>0</v>
      </c>
      <c r="DH32" s="18" t="b">
        <f>NOT(OR(MOD(RecData[[#This Row],[TIMESTAMP]],1)&gt;0.91632,MOD(RecData[[#This Row],[TIMESTAMP]],1)&lt;0.208681))</f>
        <v>0</v>
      </c>
      <c r="DI32" s="18" t="b">
        <f>RecData[[#This Row],[Overall (dBA)]]-RecData[[#This Row],[L90]]&gt;=$DS$4</f>
        <v>0</v>
      </c>
      <c r="DJ32" s="18" t="b">
        <f>RecData[[#This Row],[Overall (dBA)]]&gt;$DS$2</f>
        <v>0</v>
      </c>
      <c r="DK32" s="18" t="b">
        <f>RecData[[#This Row],[Overall (dBA)]]&lt;$DS$3</f>
        <v>0</v>
      </c>
      <c r="DL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2" s="2">
        <f>IF(AND(RecData[[#This Row],[Turbines ON/OFF]] = "OFF", NOT(OR(RecData[[#This Row],[Junk?]]="YES",RecData[[#This Row],[Gust?]],RecData[[#This Row],[Rain?]:[Min SPL Threshold?]]))),1,0)</f>
        <v>0</v>
      </c>
      <c r="DN32" s="16">
        <f>RecData[[#This Row],[dBA Sum]]</f>
        <v>38.612401705610154</v>
      </c>
      <c r="DO32" s="16">
        <f>RecData[[#This Row],[LAF90.0]]</f>
        <v>40.5</v>
      </c>
      <c r="DP32" s="55">
        <f>IF(AND(RecData[[#This Row],[Useable TON Data?]],RecData[[#This Row],[Turbines ON/OFF]]="ON"),RecData[[#This Row],[dBA Sum]],"")</f>
        <v>38.612401705610154</v>
      </c>
      <c r="DQ32" s="55" t="str">
        <f>IF(AND(RecData[[#This Row],[Useable Background Data?]],RecData[[#This Row],[Turbines ON/OFF]]="OFF"),RecData[[#This Row],[dBA Sum]],"")</f>
        <v/>
      </c>
      <c r="DR32" s="3">
        <f>IF(OR(RecData[[#This Row],[Useable TON Data?]],RecData[[#This Row],[Useable Background Data?]]),ROUND(RecData[[#This Row],[WSpd_Avg '[m/s']]],0),"")</f>
        <v>2</v>
      </c>
      <c r="DS32" s="85">
        <f>(0.00002)^2*(10^(RecData[[#This Row],[Overall (dBA)]]/10))</f>
        <v>2.9060304585244933E-6</v>
      </c>
    </row>
    <row r="33" spans="1:123" ht="15" x14ac:dyDescent="0.25">
      <c r="A33" s="3" t="s">
        <v>249</v>
      </c>
      <c r="B33" s="12">
        <v>43252.095138888893</v>
      </c>
      <c r="C33" s="3"/>
      <c r="D33" s="3">
        <v>41.4</v>
      </c>
      <c r="E33" s="3"/>
      <c r="F33" s="3"/>
      <c r="G33" s="3"/>
      <c r="H33" s="3"/>
      <c r="I33" s="3"/>
      <c r="J33" s="3"/>
      <c r="K33" s="3">
        <v>39.200000000000003</v>
      </c>
      <c r="L33" s="3"/>
      <c r="M33" s="3"/>
      <c r="N33" s="3">
        <v>187.1</v>
      </c>
      <c r="O33" s="3"/>
      <c r="P33" s="3"/>
      <c r="Q33" s="3">
        <v>0.8</v>
      </c>
      <c r="R33" s="3">
        <v>0.1</v>
      </c>
      <c r="S33" s="3">
        <v>2.1</v>
      </c>
      <c r="T33" s="3">
        <v>9.6999999999999993</v>
      </c>
      <c r="U33" s="3">
        <v>91.1</v>
      </c>
      <c r="V33" s="3">
        <v>963.9</v>
      </c>
      <c r="W33" s="3">
        <v>0</v>
      </c>
      <c r="X33" s="3">
        <v>44.5</v>
      </c>
      <c r="Y33" s="3">
        <v>43.6</v>
      </c>
      <c r="Z33" s="3">
        <v>43.3</v>
      </c>
      <c r="AA33" s="3">
        <v>39.700000000000003</v>
      </c>
      <c r="AB33" s="3">
        <v>34.799999999999997</v>
      </c>
      <c r="AC33" s="3">
        <v>33.200000000000003</v>
      </c>
      <c r="AD33" s="3">
        <v>35.5</v>
      </c>
      <c r="AE33" s="3">
        <v>38.299999999999997</v>
      </c>
      <c r="AF33" s="3">
        <v>43.6</v>
      </c>
      <c r="AG33" s="3">
        <v>37.6</v>
      </c>
      <c r="AH33" s="3">
        <v>34.9</v>
      </c>
      <c r="AI33" s="3">
        <v>36.299999999999997</v>
      </c>
      <c r="AJ33" s="3">
        <v>33.9</v>
      </c>
      <c r="AK33" s="3">
        <v>32.799999999999997</v>
      </c>
      <c r="AL33" s="3">
        <v>30.5</v>
      </c>
      <c r="AM33" s="3">
        <v>30</v>
      </c>
      <c r="AN33" s="3">
        <v>29</v>
      </c>
      <c r="AO33" s="3">
        <v>26.3</v>
      </c>
      <c r="AP33" s="3">
        <v>24.4</v>
      </c>
      <c r="AQ33" s="3">
        <v>23.3</v>
      </c>
      <c r="AR33" s="3">
        <v>20.7</v>
      </c>
      <c r="AS33" s="3">
        <v>30.5</v>
      </c>
      <c r="AT33" s="3">
        <v>36.700000000000003</v>
      </c>
      <c r="AU33" s="3">
        <v>14.8</v>
      </c>
      <c r="AV33" s="3">
        <v>12.4</v>
      </c>
      <c r="AW33" s="3">
        <v>11.5</v>
      </c>
      <c r="AX33" s="3">
        <v>9.9</v>
      </c>
      <c r="AY33" s="3">
        <v>9.8000000000000007</v>
      </c>
      <c r="AZ33" s="3">
        <v>0</v>
      </c>
      <c r="BA33" s="3">
        <v>0</v>
      </c>
      <c r="BB33" s="3">
        <v>0</v>
      </c>
      <c r="BC33" s="3">
        <v>41.362346742967937</v>
      </c>
      <c r="BD33" s="3">
        <v>44.537653257032069</v>
      </c>
      <c r="BE33" s="3">
        <v>43.637653257032063</v>
      </c>
      <c r="BF33" s="3">
        <v>42.097653257032057</v>
      </c>
      <c r="BG33" s="3">
        <v>38.824319923698731</v>
      </c>
      <c r="BH33" s="3">
        <v>34.064319923698726</v>
      </c>
      <c r="BI33" s="3">
        <v>32.877653257032073</v>
      </c>
      <c r="BJ33" s="3">
        <v>35.970986590365392</v>
      </c>
      <c r="BK33" s="3">
        <v>38.644319923698724</v>
      </c>
      <c r="BL33" s="3">
        <v>43.517653257032059</v>
      </c>
      <c r="BM33" s="3">
        <v>37.650986590365399</v>
      </c>
      <c r="BN33" s="3">
        <v>35.234319923698727</v>
      </c>
      <c r="BO33" s="3">
        <v>36.000986590365393</v>
      </c>
      <c r="BP33" s="3">
        <v>33.31765325703207</v>
      </c>
      <c r="BQ33" s="3">
        <v>32.634319923698719</v>
      </c>
      <c r="BR33" s="3">
        <v>30.660986590365404</v>
      </c>
      <c r="BS33" s="3">
        <v>29.964319923698731</v>
      </c>
      <c r="BT33" s="3">
        <v>29.160986590365404</v>
      </c>
      <c r="BU33" s="3">
        <v>26.42765325703207</v>
      </c>
      <c r="BV33" s="3">
        <v>24.244319923698733</v>
      </c>
      <c r="BW33" s="3">
        <v>23.67765325703207</v>
      </c>
      <c r="BX33" s="3">
        <v>20.997653257032063</v>
      </c>
      <c r="BY33" s="3">
        <v>30.617653257032053</v>
      </c>
      <c r="BZ33" s="3">
        <v>36.947653257032066</v>
      </c>
      <c r="CA33" s="3">
        <v>15.147653257032054</v>
      </c>
      <c r="CB33" s="3">
        <v>12.18431992369873</v>
      </c>
      <c r="CC33" s="3">
        <v>11.497653257032063</v>
      </c>
      <c r="CD33" s="3">
        <v>9.2043199236987334</v>
      </c>
      <c r="CE33" s="3">
        <v>9.29765325703206</v>
      </c>
      <c r="CF33" s="3">
        <v>-0.8890134096346074</v>
      </c>
      <c r="CG33" s="3">
        <v>-1.4223467429679388</v>
      </c>
      <c r="CH33" s="3">
        <v>-2.4990134096346068</v>
      </c>
      <c r="CI33" s="13">
        <f>[1]!dbasum(RecData[[#This Row],[20]:[2000]],RecData[[#Headers],[20]:[2000]])</f>
        <v>37.711696808411304</v>
      </c>
      <c r="CJ33" s="14">
        <v>682</v>
      </c>
      <c r="CK33" s="15" t="s">
        <v>249</v>
      </c>
      <c r="CL33" s="15">
        <f>RecData[[#This Row],[Start Time]]</f>
        <v>43252.095138888893</v>
      </c>
      <c r="CM33" s="16">
        <f>RecData[[#This Row],[Wind Speed avg]]</f>
        <v>0.8</v>
      </c>
      <c r="CN33" s="16">
        <f>RecData[[#This Row],[Wind Dir. avg]]</f>
        <v>187.1</v>
      </c>
      <c r="CO33" s="16">
        <f>RecData[[#This Row],[Amb. Humidity]]</f>
        <v>91.1</v>
      </c>
      <c r="CP33" s="16">
        <f>RecData[[#This Row],[Amb. Temperature]]</f>
        <v>9.6999999999999993</v>
      </c>
      <c r="CQ33" s="17">
        <f>RecData[[#This Row],[Amb. Rain Gauge]]</f>
        <v>0</v>
      </c>
      <c r="CR33" s="97" t="s">
        <v>1</v>
      </c>
      <c r="CS33" s="97" t="s">
        <v>49</v>
      </c>
      <c r="CT33" s="98">
        <v>1531.9027100000001</v>
      </c>
      <c r="CU33" s="98">
        <v>27.000228881835898</v>
      </c>
      <c r="CV33" s="98">
        <v>9.7397117614746094</v>
      </c>
      <c r="CW33" s="98">
        <v>15.195731163024901</v>
      </c>
      <c r="CX33" s="97"/>
      <c r="CY33" s="99"/>
      <c r="CZ33" s="2" t="b">
        <f>IF($DP$1="YES",IF(RecData[[#This Row],[Power (kW)]]&gt;=$CR$3, TRUE,FALSE),TRUE)</f>
        <v>1</v>
      </c>
      <c r="DA33" s="16">
        <f>MIN(MOD(180-ABS(ABS($DA$1-RecData[Yaw Angle (°)])-180),360),MOD(180-ABS(ABS($DB$1-RecData[Yaw Angle (°)])-180),360))</f>
        <v>19.470302104148345</v>
      </c>
      <c r="DB33" s="2" t="str">
        <f>IF($DP$2="None","None",IF(RecData[[#This Row],[Relative Wind Direction]]&lt;=45,"DW",IF(RecData[[#This Row],[Relative Wind Direction]]&lt;=135,"CW","UW")))</f>
        <v>DW</v>
      </c>
      <c r="DC33" s="61" t="e">
        <f>IF($CL33-$CL29&gt;1/24,#REF!,IF(SUM($CQ29:$CQ33)&gt;$DS$1,$DS$5,DC34-1))</f>
        <v>#REF!</v>
      </c>
      <c r="DD33" s="61" t="e">
        <f>IF($CL34-$CL33&gt;1/24,#REF!,IF(SUM($CQ29:$CQ33)&gt;$DS$1,$DS$6,DD32-1))</f>
        <v>#REF!</v>
      </c>
      <c r="DE33" s="18" t="b">
        <v>0</v>
      </c>
      <c r="DF33" s="2" t="b">
        <f>IF(OR(RecData[[#This Row],[WSpd_Avg '[m/s']]]-RecData[[#This Row],[Wind Speed min]]&gt;=$DF$3,RecData[[#This Row],[Wind Speed max]]-RecData[[#This Row],[WSpd_Avg '[m/s']]]&gt;=$DF$2),TRUE,FALSE)</f>
        <v>0</v>
      </c>
      <c r="DG33" s="2" t="b">
        <f>RecData[[#This Row],[Temperature '[°C']]]&lt;=-20</f>
        <v>0</v>
      </c>
      <c r="DH33" s="18" t="b">
        <f>NOT(OR(MOD(RecData[[#This Row],[TIMESTAMP]],1)&gt;0.91632,MOD(RecData[[#This Row],[TIMESTAMP]],1)&lt;0.208681))</f>
        <v>0</v>
      </c>
      <c r="DI33" s="18" t="b">
        <f>RecData[[#This Row],[Overall (dBA)]]-RecData[[#This Row],[L90]]&gt;=$DS$4</f>
        <v>0</v>
      </c>
      <c r="DJ33" s="18" t="b">
        <f>RecData[[#This Row],[Overall (dBA)]]&gt;$DS$2</f>
        <v>0</v>
      </c>
      <c r="DK33" s="18" t="b">
        <f>RecData[[#This Row],[Overall (dBA)]]&lt;$DS$3</f>
        <v>0</v>
      </c>
      <c r="DL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3" s="2">
        <f>IF(AND(RecData[[#This Row],[Turbines ON/OFF]] = "OFF", NOT(OR(RecData[[#This Row],[Junk?]]="YES",RecData[[#This Row],[Gust?]],RecData[[#This Row],[Rain?]:[Min SPL Threshold?]]))),1,0)</f>
        <v>0</v>
      </c>
      <c r="DN33" s="16">
        <f>RecData[[#This Row],[dBA Sum]]</f>
        <v>37.711696808411304</v>
      </c>
      <c r="DO33" s="16">
        <f>RecData[[#This Row],[LAF90.0]]</f>
        <v>39.200000000000003</v>
      </c>
      <c r="DP33" s="55">
        <f>IF(AND(RecData[[#This Row],[Useable TON Data?]],RecData[[#This Row],[Turbines ON/OFF]]="ON"),RecData[[#This Row],[dBA Sum]],"")</f>
        <v>37.711696808411304</v>
      </c>
      <c r="DQ33" s="55" t="str">
        <f>IF(AND(RecData[[#This Row],[Useable Background Data?]],RecData[[#This Row],[Turbines ON/OFF]]="OFF"),RecData[[#This Row],[dBA Sum]],"")</f>
        <v/>
      </c>
      <c r="DR33" s="3">
        <f>IF(OR(RecData[[#This Row],[Useable TON Data?]],RecData[[#This Row],[Useable Background Data?]]),ROUND(RecData[[#This Row],[WSpd_Avg '[m/s']]],0),"")</f>
        <v>1</v>
      </c>
      <c r="DS33" s="85">
        <f>(0.00002)^2*(10^(RecData[[#This Row],[Overall (dBA)]]/10))</f>
        <v>2.3617268779489219E-6</v>
      </c>
    </row>
    <row r="34" spans="1:123" ht="15" x14ac:dyDescent="0.25">
      <c r="A34" s="3" t="s">
        <v>249</v>
      </c>
      <c r="B34" s="12">
        <v>43252.095833333333</v>
      </c>
      <c r="C34" s="3"/>
      <c r="D34" s="3">
        <v>43</v>
      </c>
      <c r="E34" s="3"/>
      <c r="F34" s="3"/>
      <c r="G34" s="3"/>
      <c r="H34" s="3"/>
      <c r="I34" s="3"/>
      <c r="J34" s="3"/>
      <c r="K34" s="3">
        <v>40.4</v>
      </c>
      <c r="L34" s="3"/>
      <c r="M34" s="3"/>
      <c r="N34" s="3">
        <v>180.3</v>
      </c>
      <c r="O34" s="3"/>
      <c r="P34" s="3"/>
      <c r="Q34" s="3">
        <v>1.47</v>
      </c>
      <c r="R34" s="3">
        <v>0.2</v>
      </c>
      <c r="S34" s="3">
        <v>2.7</v>
      </c>
      <c r="T34" s="3">
        <v>9.6999999999999993</v>
      </c>
      <c r="U34" s="3">
        <v>91.2</v>
      </c>
      <c r="V34" s="3">
        <v>963.9</v>
      </c>
      <c r="W34" s="3">
        <v>0</v>
      </c>
      <c r="X34" s="3">
        <v>44.2</v>
      </c>
      <c r="Y34" s="3">
        <v>43.8</v>
      </c>
      <c r="Z34" s="3">
        <v>43</v>
      </c>
      <c r="AA34" s="3">
        <v>39.299999999999997</v>
      </c>
      <c r="AB34" s="3">
        <v>35</v>
      </c>
      <c r="AC34" s="3">
        <v>33.799999999999997</v>
      </c>
      <c r="AD34" s="3">
        <v>35.4</v>
      </c>
      <c r="AE34" s="3">
        <v>37.6</v>
      </c>
      <c r="AF34" s="3">
        <v>43.4</v>
      </c>
      <c r="AG34" s="3">
        <v>38.1</v>
      </c>
      <c r="AH34" s="3">
        <v>34.6</v>
      </c>
      <c r="AI34" s="3">
        <v>36.299999999999997</v>
      </c>
      <c r="AJ34" s="3">
        <v>34.299999999999997</v>
      </c>
      <c r="AK34" s="3">
        <v>33.1</v>
      </c>
      <c r="AL34" s="3">
        <v>30.9</v>
      </c>
      <c r="AM34" s="3">
        <v>29.9</v>
      </c>
      <c r="AN34" s="3">
        <v>29</v>
      </c>
      <c r="AO34" s="3">
        <v>26.5</v>
      </c>
      <c r="AP34" s="3">
        <v>24.5</v>
      </c>
      <c r="AQ34" s="3">
        <v>23.5</v>
      </c>
      <c r="AR34" s="3">
        <v>21.3</v>
      </c>
      <c r="AS34" s="3">
        <v>33.700000000000003</v>
      </c>
      <c r="AT34" s="3">
        <v>39</v>
      </c>
      <c r="AU34" s="3">
        <v>15</v>
      </c>
      <c r="AV34" s="3">
        <v>12.4</v>
      </c>
      <c r="AW34" s="3">
        <v>11.4</v>
      </c>
      <c r="AX34" s="3">
        <v>9.8000000000000007</v>
      </c>
      <c r="AY34" s="3">
        <v>9.6999999999999993</v>
      </c>
      <c r="AZ34" s="3">
        <v>0</v>
      </c>
      <c r="BA34" s="3">
        <v>0</v>
      </c>
      <c r="BB34" s="3">
        <v>0</v>
      </c>
      <c r="BC34" s="3">
        <v>42.966731338593263</v>
      </c>
      <c r="BD34" s="3">
        <v>44.23326866140674</v>
      </c>
      <c r="BE34" s="3">
        <v>43.833268661406734</v>
      </c>
      <c r="BF34" s="3">
        <v>41.793268661406728</v>
      </c>
      <c r="BG34" s="3">
        <v>38.419935328073393</v>
      </c>
      <c r="BH34" s="3">
        <v>34.259935328073396</v>
      </c>
      <c r="BI34" s="3">
        <v>33.473268661406735</v>
      </c>
      <c r="BJ34" s="3">
        <v>35.866601994740066</v>
      </c>
      <c r="BK34" s="3">
        <v>37.939935328073403</v>
      </c>
      <c r="BL34" s="3">
        <v>43.313268661406738</v>
      </c>
      <c r="BM34" s="3">
        <v>38.146601994740081</v>
      </c>
      <c r="BN34" s="3">
        <v>34.929935328073412</v>
      </c>
      <c r="BO34" s="3">
        <v>35.996601994740075</v>
      </c>
      <c r="BP34" s="3">
        <v>33.713268661406744</v>
      </c>
      <c r="BQ34" s="3">
        <v>32.929935328073398</v>
      </c>
      <c r="BR34" s="3">
        <v>31.056601994740078</v>
      </c>
      <c r="BS34" s="3">
        <v>29.859935328073405</v>
      </c>
      <c r="BT34" s="3">
        <v>29.156601994740072</v>
      </c>
      <c r="BU34" s="3">
        <v>26.62326866140674</v>
      </c>
      <c r="BV34" s="3">
        <v>24.339935328073409</v>
      </c>
      <c r="BW34" s="3">
        <v>23.87326866140674</v>
      </c>
      <c r="BX34" s="3">
        <v>21.593268661406739</v>
      </c>
      <c r="BY34" s="3">
        <v>33.813268661406738</v>
      </c>
      <c r="BZ34" s="3">
        <v>39.243268661406745</v>
      </c>
      <c r="CA34" s="3">
        <v>15.343268661406732</v>
      </c>
      <c r="CB34" s="3">
        <v>12.179935328073398</v>
      </c>
      <c r="CC34" s="3">
        <v>11.393268661406736</v>
      </c>
      <c r="CD34" s="3">
        <v>9.099935328073407</v>
      </c>
      <c r="CE34" s="3">
        <v>9.1932686614067336</v>
      </c>
      <c r="CF34" s="3">
        <v>-0.8933980052599324</v>
      </c>
      <c r="CG34" s="3">
        <v>-1.4267313385932638</v>
      </c>
      <c r="CH34" s="3">
        <v>-2.5033980052599318</v>
      </c>
      <c r="CI34" s="13">
        <f>[1]!dbasum(RecData[[#This Row],[20]:[2000]],RecData[[#Headers],[20]:[2000]])</f>
        <v>37.831208707724322</v>
      </c>
      <c r="CJ34" s="14">
        <v>683</v>
      </c>
      <c r="CK34" s="15" t="s">
        <v>249</v>
      </c>
      <c r="CL34" s="15">
        <f>RecData[[#This Row],[Start Time]]</f>
        <v>43252.095833333333</v>
      </c>
      <c r="CM34" s="16">
        <f>RecData[[#This Row],[Wind Speed avg]]</f>
        <v>1.47</v>
      </c>
      <c r="CN34" s="16">
        <f>RecData[[#This Row],[Wind Dir. avg]]</f>
        <v>180.3</v>
      </c>
      <c r="CO34" s="16">
        <f>RecData[[#This Row],[Amb. Humidity]]</f>
        <v>91.2</v>
      </c>
      <c r="CP34" s="16">
        <f>RecData[[#This Row],[Amb. Temperature]]</f>
        <v>9.6999999999999993</v>
      </c>
      <c r="CQ34" s="17">
        <f>RecData[[#This Row],[Amb. Rain Gauge]]</f>
        <v>0</v>
      </c>
      <c r="CR34" s="97" t="s">
        <v>1</v>
      </c>
      <c r="CS34" s="97" t="s">
        <v>49</v>
      </c>
      <c r="CT34" s="98">
        <v>1531.9027100000001</v>
      </c>
      <c r="CU34" s="98">
        <v>27.000228881835898</v>
      </c>
      <c r="CV34" s="98">
        <v>9.7397117614746094</v>
      </c>
      <c r="CW34" s="98">
        <v>15.195731163024901</v>
      </c>
      <c r="CX34" s="97"/>
      <c r="CY34" s="99"/>
      <c r="CZ34" s="2" t="b">
        <f>IF($DP$1="YES",IF(RecData[[#This Row],[Power (kW)]]&gt;=$CR$3, TRUE,FALSE),TRUE)</f>
        <v>1</v>
      </c>
      <c r="DA34" s="16">
        <f>MIN(MOD(180-ABS(ABS($DA$1-RecData[Yaw Angle (°)])-180),360),MOD(180-ABS(ABS($DB$1-RecData[Yaw Angle (°)])-180),360))</f>
        <v>19.470302104148345</v>
      </c>
      <c r="DB34" s="2" t="str">
        <f>IF($DP$2="None","None",IF(RecData[[#This Row],[Relative Wind Direction]]&lt;=45,"DW",IF(RecData[[#This Row],[Relative Wind Direction]]&lt;=135,"CW","UW")))</f>
        <v>DW</v>
      </c>
      <c r="DC34" s="61" t="e">
        <f>IF($CL34-$CL30&gt;1/24,#REF!,IF(SUM($CQ30:$CQ34)&gt;$DS$1,$DS$5,DC35-1))</f>
        <v>#REF!</v>
      </c>
      <c r="DD34" s="61" t="e">
        <f>IF($CL35-$CL34&gt;1/24,#REF!,IF(SUM($CQ30:$CQ34)&gt;$DS$1,$DS$6,DD33-1))</f>
        <v>#REF!</v>
      </c>
      <c r="DE34" s="18" t="b">
        <v>0</v>
      </c>
      <c r="DF34" s="2" t="b">
        <f>IF(OR(RecData[[#This Row],[WSpd_Avg '[m/s']]]-RecData[[#This Row],[Wind Speed min]]&gt;=$DF$3,RecData[[#This Row],[Wind Speed max]]-RecData[[#This Row],[WSpd_Avg '[m/s']]]&gt;=$DF$2),TRUE,FALSE)</f>
        <v>0</v>
      </c>
      <c r="DG34" s="2" t="b">
        <f>RecData[[#This Row],[Temperature '[°C']]]&lt;=-20</f>
        <v>0</v>
      </c>
      <c r="DH34" s="18" t="b">
        <f>NOT(OR(MOD(RecData[[#This Row],[TIMESTAMP]],1)&gt;0.91632,MOD(RecData[[#This Row],[TIMESTAMP]],1)&lt;0.208681))</f>
        <v>0</v>
      </c>
      <c r="DI34" s="18" t="b">
        <f>RecData[[#This Row],[Overall (dBA)]]-RecData[[#This Row],[L90]]&gt;=$DS$4</f>
        <v>0</v>
      </c>
      <c r="DJ34" s="18" t="b">
        <f>RecData[[#This Row],[Overall (dBA)]]&gt;$DS$2</f>
        <v>0</v>
      </c>
      <c r="DK34" s="18" t="b">
        <f>RecData[[#This Row],[Overall (dBA)]]&lt;$DS$3</f>
        <v>0</v>
      </c>
      <c r="DL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4" s="2">
        <f>IF(AND(RecData[[#This Row],[Turbines ON/OFF]] = "OFF", NOT(OR(RecData[[#This Row],[Junk?]]="YES",RecData[[#This Row],[Gust?]],RecData[[#This Row],[Rain?]:[Min SPL Threshold?]]))),1,0)</f>
        <v>0</v>
      </c>
      <c r="DN34" s="16">
        <f>RecData[[#This Row],[dBA Sum]]</f>
        <v>37.831208707724322</v>
      </c>
      <c r="DO34" s="16">
        <f>RecData[[#This Row],[LAF90.0]]</f>
        <v>40.4</v>
      </c>
      <c r="DP34" s="55">
        <f>IF(AND(RecData[[#This Row],[Useable TON Data?]],RecData[[#This Row],[Turbines ON/OFF]]="ON"),RecData[[#This Row],[dBA Sum]],"")</f>
        <v>37.831208707724322</v>
      </c>
      <c r="DQ34" s="55" t="str">
        <f>IF(AND(RecData[[#This Row],[Useable Background Data?]],RecData[[#This Row],[Turbines ON/OFF]]="OFF"),RecData[[#This Row],[dBA Sum]],"")</f>
        <v/>
      </c>
      <c r="DR34" s="3">
        <f>IF(OR(RecData[[#This Row],[Useable TON Data?]],RecData[[#This Row],[Useable Background Data?]]),ROUND(RecData[[#This Row],[WSpd_Avg '[m/s']]],0),"")</f>
        <v>1</v>
      </c>
      <c r="DS34" s="85">
        <f>(0.00002)^2*(10^(RecData[[#This Row],[Overall (dBA)]]/10))</f>
        <v>2.4276208682233619E-6</v>
      </c>
    </row>
    <row r="35" spans="1:123" ht="15" x14ac:dyDescent="0.25">
      <c r="A35" s="3" t="s">
        <v>249</v>
      </c>
      <c r="B35" s="12">
        <v>43252.09652777778</v>
      </c>
      <c r="C35" s="3"/>
      <c r="D35" s="3">
        <v>42.2</v>
      </c>
      <c r="E35" s="3"/>
      <c r="F35" s="3"/>
      <c r="G35" s="3"/>
      <c r="H35" s="3"/>
      <c r="I35" s="3"/>
      <c r="J35" s="3"/>
      <c r="K35" s="3">
        <v>40.700000000000003</v>
      </c>
      <c r="L35" s="3"/>
      <c r="M35" s="3"/>
      <c r="N35" s="3">
        <v>159.19999999999999</v>
      </c>
      <c r="O35" s="3"/>
      <c r="P35" s="3"/>
      <c r="Q35" s="3">
        <v>2.69</v>
      </c>
      <c r="R35" s="3">
        <v>1.4</v>
      </c>
      <c r="S35" s="3">
        <v>3.9</v>
      </c>
      <c r="T35" s="3">
        <v>9.6</v>
      </c>
      <c r="U35" s="3">
        <v>91</v>
      </c>
      <c r="V35" s="3">
        <v>963.9</v>
      </c>
      <c r="W35" s="3">
        <v>0</v>
      </c>
      <c r="X35" s="3">
        <v>44.4</v>
      </c>
      <c r="Y35" s="3">
        <v>42.8</v>
      </c>
      <c r="Z35" s="3">
        <v>43.4</v>
      </c>
      <c r="AA35" s="3">
        <v>39.4</v>
      </c>
      <c r="AB35" s="3">
        <v>34.5</v>
      </c>
      <c r="AC35" s="3">
        <v>35.299999999999997</v>
      </c>
      <c r="AD35" s="3">
        <v>38.200000000000003</v>
      </c>
      <c r="AE35" s="3">
        <v>40</v>
      </c>
      <c r="AF35" s="3">
        <v>45.1</v>
      </c>
      <c r="AG35" s="3">
        <v>38</v>
      </c>
      <c r="AH35" s="3">
        <v>37.299999999999997</v>
      </c>
      <c r="AI35" s="3">
        <v>37.6</v>
      </c>
      <c r="AJ35" s="3">
        <v>36.1</v>
      </c>
      <c r="AK35" s="3">
        <v>34.5</v>
      </c>
      <c r="AL35" s="3">
        <v>31.9</v>
      </c>
      <c r="AM35" s="3">
        <v>30.5</v>
      </c>
      <c r="AN35" s="3">
        <v>29.4</v>
      </c>
      <c r="AO35" s="3">
        <v>27.2</v>
      </c>
      <c r="AP35" s="3">
        <v>25.6</v>
      </c>
      <c r="AQ35" s="3">
        <v>25.1</v>
      </c>
      <c r="AR35" s="3">
        <v>23.9</v>
      </c>
      <c r="AS35" s="3">
        <v>30.4</v>
      </c>
      <c r="AT35" s="3">
        <v>36.9</v>
      </c>
      <c r="AU35" s="3">
        <v>21</v>
      </c>
      <c r="AV35" s="3">
        <v>19.7</v>
      </c>
      <c r="AW35" s="3">
        <v>18.7</v>
      </c>
      <c r="AX35" s="3">
        <v>14.8</v>
      </c>
      <c r="AY35" s="3">
        <v>13.5</v>
      </c>
      <c r="AZ35" s="3">
        <v>0</v>
      </c>
      <c r="BA35" s="3">
        <v>0</v>
      </c>
      <c r="BB35" s="3">
        <v>0</v>
      </c>
      <c r="BC35" s="3">
        <v>42.157112447004238</v>
      </c>
      <c r="BD35" s="3">
        <v>44.442887552995757</v>
      </c>
      <c r="BE35" s="3">
        <v>42.842887552995762</v>
      </c>
      <c r="BF35" s="3">
        <v>42.202887552995762</v>
      </c>
      <c r="BG35" s="3">
        <v>38.52955421966243</v>
      </c>
      <c r="BH35" s="3">
        <v>33.769554219662439</v>
      </c>
      <c r="BI35" s="3">
        <v>34.982887552995763</v>
      </c>
      <c r="BJ35" s="3">
        <v>38.676220886329105</v>
      </c>
      <c r="BK35" s="3">
        <v>40.349554219662423</v>
      </c>
      <c r="BL35" s="3">
        <v>45.022887552995769</v>
      </c>
      <c r="BM35" s="3">
        <v>38.0562208863291</v>
      </c>
      <c r="BN35" s="3">
        <v>37.639554219662429</v>
      </c>
      <c r="BO35" s="3">
        <v>37.3062208863291</v>
      </c>
      <c r="BP35" s="3">
        <v>35.522887552995769</v>
      </c>
      <c r="BQ35" s="3">
        <v>34.339554219662432</v>
      </c>
      <c r="BR35" s="3">
        <v>32.066220886329091</v>
      </c>
      <c r="BS35" s="3">
        <v>30.469554219662427</v>
      </c>
      <c r="BT35" s="3">
        <v>29.566220886329091</v>
      </c>
      <c r="BU35" s="3">
        <v>27.332887552995771</v>
      </c>
      <c r="BV35" s="3">
        <v>25.449554219662431</v>
      </c>
      <c r="BW35" s="3">
        <v>25.482887552995777</v>
      </c>
      <c r="BX35" s="3">
        <v>24.202887552995776</v>
      </c>
      <c r="BY35" s="3">
        <v>30.522887552995769</v>
      </c>
      <c r="BZ35" s="3">
        <v>37.152887552995765</v>
      </c>
      <c r="CA35" s="3">
        <v>21.352887552995753</v>
      </c>
      <c r="CB35" s="3">
        <v>19.489554219662431</v>
      </c>
      <c r="CC35" s="3">
        <v>18.702887552995762</v>
      </c>
      <c r="CD35" s="3">
        <v>14.109554219662435</v>
      </c>
      <c r="CE35" s="3">
        <v>13.002887552995766</v>
      </c>
      <c r="CF35" s="3">
        <v>-0.88377911367090434</v>
      </c>
      <c r="CG35" s="3">
        <v>-1.4171124470042358</v>
      </c>
      <c r="CH35" s="3">
        <v>-2.4937791136709038</v>
      </c>
      <c r="CI35" s="13">
        <f>[1]!dbasum(RecData[[#This Row],[20]:[2000]],RecData[[#Headers],[20]:[2000]])</f>
        <v>39.08469368206616</v>
      </c>
      <c r="CJ35" s="14">
        <v>684</v>
      </c>
      <c r="CK35" s="15" t="s">
        <v>249</v>
      </c>
      <c r="CL35" s="15">
        <f>RecData[[#This Row],[Start Time]]</f>
        <v>43252.09652777778</v>
      </c>
      <c r="CM35" s="16">
        <f>RecData[[#This Row],[Wind Speed avg]]</f>
        <v>2.69</v>
      </c>
      <c r="CN35" s="16">
        <f>RecData[[#This Row],[Wind Dir. avg]]</f>
        <v>159.19999999999999</v>
      </c>
      <c r="CO35" s="16">
        <f>RecData[[#This Row],[Amb. Humidity]]</f>
        <v>91</v>
      </c>
      <c r="CP35" s="16">
        <f>RecData[[#This Row],[Amb. Temperature]]</f>
        <v>9.6</v>
      </c>
      <c r="CQ35" s="17">
        <f>RecData[[#This Row],[Amb. Rain Gauge]]</f>
        <v>0</v>
      </c>
      <c r="CR35" s="97" t="s">
        <v>1</v>
      </c>
      <c r="CS35" s="97" t="s">
        <v>49</v>
      </c>
      <c r="CT35" s="98">
        <v>1531.9027100000001</v>
      </c>
      <c r="CU35" s="98">
        <v>27.000228881835898</v>
      </c>
      <c r="CV35" s="98">
        <v>9.7397117614746094</v>
      </c>
      <c r="CW35" s="98">
        <v>15.195731163024901</v>
      </c>
      <c r="CX35" s="97"/>
      <c r="CY35" s="99"/>
      <c r="CZ35" s="2" t="b">
        <f>IF($DP$1="YES",IF(RecData[[#This Row],[Power (kW)]]&gt;=$CR$3, TRUE,FALSE),TRUE)</f>
        <v>1</v>
      </c>
      <c r="DA35" s="16">
        <f>MIN(MOD(180-ABS(ABS($DA$1-RecData[Yaw Angle (°)])-180),360),MOD(180-ABS(ABS($DB$1-RecData[Yaw Angle (°)])-180),360))</f>
        <v>19.470302104148345</v>
      </c>
      <c r="DB35" s="2" t="str">
        <f>IF($DP$2="None","None",IF(RecData[[#This Row],[Relative Wind Direction]]&lt;=45,"DW",IF(RecData[[#This Row],[Relative Wind Direction]]&lt;=135,"CW","UW")))</f>
        <v>DW</v>
      </c>
      <c r="DC35" s="61" t="e">
        <f>IF($CL35-$CL31&gt;1/24,#REF!,IF(SUM($CQ31:$CQ35)&gt;$DS$1,$DS$5,#REF!-1))</f>
        <v>#REF!</v>
      </c>
      <c r="DD35" s="61" t="e">
        <f>IF(#REF!-$CL35&gt;1/24,#REF!,IF(SUM($CQ31:$CQ35)&gt;$DS$1,$DS$6,DD34-1))</f>
        <v>#REF!</v>
      </c>
      <c r="DE35" s="18" t="b">
        <v>0</v>
      </c>
      <c r="DF35" s="2" t="b">
        <f>IF(OR(RecData[[#This Row],[WSpd_Avg '[m/s']]]-RecData[[#This Row],[Wind Speed min]]&gt;=$DF$3,RecData[[#This Row],[Wind Speed max]]-RecData[[#This Row],[WSpd_Avg '[m/s']]]&gt;=$DF$2),TRUE,FALSE)</f>
        <v>0</v>
      </c>
      <c r="DG35" s="2" t="b">
        <f>RecData[[#This Row],[Temperature '[°C']]]&lt;=-20</f>
        <v>0</v>
      </c>
      <c r="DH35" s="18" t="b">
        <f>NOT(OR(MOD(RecData[[#This Row],[TIMESTAMP]],1)&gt;0.91632,MOD(RecData[[#This Row],[TIMESTAMP]],1)&lt;0.208681))</f>
        <v>0</v>
      </c>
      <c r="DI35" s="18" t="b">
        <f>RecData[[#This Row],[Overall (dBA)]]-RecData[[#This Row],[L90]]&gt;=$DS$4</f>
        <v>0</v>
      </c>
      <c r="DJ35" s="18" t="b">
        <f>RecData[[#This Row],[Overall (dBA)]]&gt;$DS$2</f>
        <v>0</v>
      </c>
      <c r="DK35" s="18" t="b">
        <f>RecData[[#This Row],[Overall (dBA)]]&lt;$DS$3</f>
        <v>0</v>
      </c>
      <c r="DL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5" s="2">
        <f>IF(AND(RecData[[#This Row],[Turbines ON/OFF]] = "OFF", NOT(OR(RecData[[#This Row],[Junk?]]="YES",RecData[[#This Row],[Gust?]],RecData[[#This Row],[Rain?]:[Min SPL Threshold?]]))),1,0)</f>
        <v>0</v>
      </c>
      <c r="DN35" s="16">
        <f>RecData[[#This Row],[dBA Sum]]</f>
        <v>39.08469368206616</v>
      </c>
      <c r="DO35" s="16">
        <f>RecData[[#This Row],[LAF90.0]]</f>
        <v>40.700000000000003</v>
      </c>
      <c r="DP35" s="55">
        <f>IF(AND(RecData[[#This Row],[Useable TON Data?]],RecData[[#This Row],[Turbines ON/OFF]]="ON"),RecData[[#This Row],[dBA Sum]],"")</f>
        <v>39.08469368206616</v>
      </c>
      <c r="DQ35" s="55" t="str">
        <f>IF(AND(RecData[[#This Row],[Useable Background Data?]],RecData[[#This Row],[Turbines ON/OFF]]="OFF"),RecData[[#This Row],[dBA Sum]],"")</f>
        <v/>
      </c>
      <c r="DR35" s="3">
        <f>IF(OR(RecData[[#This Row],[Useable TON Data?]],RecData[[#This Row],[Useable Background Data?]]),ROUND(RecData[[#This Row],[WSpd_Avg '[m/s']]],0),"")</f>
        <v>3</v>
      </c>
      <c r="DS35" s="85">
        <f>(0.00002)^2*(10^(RecData[[#This Row],[Overall (dBA)]]/10))</f>
        <v>3.2398832422104691E-6</v>
      </c>
    </row>
    <row r="36" spans="1:123" ht="15" x14ac:dyDescent="0.25">
      <c r="A36" s="3" t="s">
        <v>249</v>
      </c>
      <c r="B36" s="12">
        <v>43252.097916666666</v>
      </c>
      <c r="C36" s="3"/>
      <c r="D36" s="3">
        <v>43</v>
      </c>
      <c r="E36" s="3"/>
      <c r="F36" s="3"/>
      <c r="G36" s="3"/>
      <c r="H36" s="3"/>
      <c r="I36" s="3"/>
      <c r="J36" s="3"/>
      <c r="K36" s="3">
        <v>41</v>
      </c>
      <c r="L36" s="3"/>
      <c r="M36" s="3"/>
      <c r="N36" s="3">
        <v>158.19999999999999</v>
      </c>
      <c r="O36" s="3"/>
      <c r="P36" s="3"/>
      <c r="Q36" s="3">
        <v>1.86</v>
      </c>
      <c r="R36" s="3">
        <v>0.8</v>
      </c>
      <c r="S36" s="3">
        <v>3.1</v>
      </c>
      <c r="T36" s="3">
        <v>9.5</v>
      </c>
      <c r="U36" s="3">
        <v>90.6</v>
      </c>
      <c r="V36" s="3">
        <v>963.9</v>
      </c>
      <c r="W36" s="3">
        <v>0</v>
      </c>
      <c r="X36" s="3">
        <v>45.3</v>
      </c>
      <c r="Y36" s="3">
        <v>43.6</v>
      </c>
      <c r="Z36" s="3">
        <v>43.2</v>
      </c>
      <c r="AA36" s="3">
        <v>39.9</v>
      </c>
      <c r="AB36" s="3">
        <v>35</v>
      </c>
      <c r="AC36" s="3">
        <v>34.4</v>
      </c>
      <c r="AD36" s="3">
        <v>37</v>
      </c>
      <c r="AE36" s="3">
        <v>39.6</v>
      </c>
      <c r="AF36" s="3">
        <v>44.7</v>
      </c>
      <c r="AG36" s="3">
        <v>39.200000000000003</v>
      </c>
      <c r="AH36" s="3">
        <v>36.799999999999997</v>
      </c>
      <c r="AI36" s="3">
        <v>37</v>
      </c>
      <c r="AJ36" s="3">
        <v>35.700000000000003</v>
      </c>
      <c r="AK36" s="3">
        <v>34.1</v>
      </c>
      <c r="AL36" s="3">
        <v>32.299999999999997</v>
      </c>
      <c r="AM36" s="3">
        <v>31.9</v>
      </c>
      <c r="AN36" s="3">
        <v>31.1</v>
      </c>
      <c r="AO36" s="3">
        <v>28.6</v>
      </c>
      <c r="AP36" s="3">
        <v>26.4</v>
      </c>
      <c r="AQ36" s="3">
        <v>25.3</v>
      </c>
      <c r="AR36" s="3">
        <v>22.9</v>
      </c>
      <c r="AS36" s="3">
        <v>30.9</v>
      </c>
      <c r="AT36" s="3">
        <v>38.4</v>
      </c>
      <c r="AU36" s="3">
        <v>18.3</v>
      </c>
      <c r="AV36" s="3">
        <v>16.3</v>
      </c>
      <c r="AW36" s="3">
        <v>15</v>
      </c>
      <c r="AX36" s="3">
        <v>12.1</v>
      </c>
      <c r="AY36" s="3">
        <v>11.2</v>
      </c>
      <c r="AZ36" s="3">
        <v>0</v>
      </c>
      <c r="BA36" s="3">
        <v>0</v>
      </c>
      <c r="BB36" s="3">
        <v>0</v>
      </c>
      <c r="BC36" s="3">
        <v>42.947349512445506</v>
      </c>
      <c r="BD36" s="3">
        <v>45.352650487554492</v>
      </c>
      <c r="BE36" s="3">
        <v>43.652650487554489</v>
      </c>
      <c r="BF36" s="3">
        <v>42.012650487554502</v>
      </c>
      <c r="BG36" s="3">
        <v>39.039317154221159</v>
      </c>
      <c r="BH36" s="3">
        <v>34.279317154221154</v>
      </c>
      <c r="BI36" s="3">
        <v>34.092650487554486</v>
      </c>
      <c r="BJ36" s="3">
        <v>37.485983820887832</v>
      </c>
      <c r="BK36" s="3">
        <v>39.959317154221161</v>
      </c>
      <c r="BL36" s="3">
        <v>44.632650487554507</v>
      </c>
      <c r="BM36" s="3">
        <v>39.265983820887833</v>
      </c>
      <c r="BN36" s="3">
        <v>37.149317154221158</v>
      </c>
      <c r="BO36" s="3">
        <v>36.715983820887821</v>
      </c>
      <c r="BP36" s="3">
        <v>35.132650487554507</v>
      </c>
      <c r="BQ36" s="3">
        <v>33.949317154221156</v>
      </c>
      <c r="BR36" s="3">
        <v>32.475983820887826</v>
      </c>
      <c r="BS36" s="3">
        <v>31.879317154221162</v>
      </c>
      <c r="BT36" s="3">
        <v>31.275983820887824</v>
      </c>
      <c r="BU36" s="3">
        <v>28.742650487554492</v>
      </c>
      <c r="BV36" s="3">
        <v>26.259317154221158</v>
      </c>
      <c r="BW36" s="3">
        <v>25.692650487554495</v>
      </c>
      <c r="BX36" s="3">
        <v>23.212650487554491</v>
      </c>
      <c r="BY36" s="3">
        <v>31.032650487554484</v>
      </c>
      <c r="BZ36" s="3">
        <v>38.662650487554494</v>
      </c>
      <c r="CA36" s="3">
        <v>18.662650487554487</v>
      </c>
      <c r="CB36" s="3">
        <v>16.099317154221161</v>
      </c>
      <c r="CC36" s="3">
        <v>15.012650487554495</v>
      </c>
      <c r="CD36" s="3">
        <v>11.419317154221169</v>
      </c>
      <c r="CE36" s="3">
        <v>10.712650487554491</v>
      </c>
      <c r="CF36" s="3">
        <v>-0.874016179112175</v>
      </c>
      <c r="CG36" s="3">
        <v>-1.4073495124455064</v>
      </c>
      <c r="CH36" s="3">
        <v>-2.4840161791121744</v>
      </c>
      <c r="CI36" s="13">
        <f>[1]!dbasum(RecData[[#This Row],[20]:[2000]],RecData[[#Headers],[20]:[2000]])</f>
        <v>39.432791141260665</v>
      </c>
      <c r="CJ36" s="14">
        <v>686</v>
      </c>
      <c r="CK36" s="15" t="s">
        <v>249</v>
      </c>
      <c r="CL36" s="15">
        <f>RecData[[#This Row],[Start Time]]</f>
        <v>43252.097916666666</v>
      </c>
      <c r="CM36" s="16">
        <f>RecData[[#This Row],[Wind Speed avg]]</f>
        <v>1.86</v>
      </c>
      <c r="CN36" s="16">
        <f>RecData[[#This Row],[Wind Dir. avg]]</f>
        <v>158.19999999999999</v>
      </c>
      <c r="CO36" s="16">
        <f>RecData[[#This Row],[Amb. Humidity]]</f>
        <v>90.6</v>
      </c>
      <c r="CP36" s="16">
        <f>RecData[[#This Row],[Amb. Temperature]]</f>
        <v>9.5</v>
      </c>
      <c r="CQ36" s="17">
        <f>RecData[[#This Row],[Amb. Rain Gauge]]</f>
        <v>0</v>
      </c>
      <c r="CR36" s="97" t="s">
        <v>1</v>
      </c>
      <c r="CS36" s="97" t="s">
        <v>49</v>
      </c>
      <c r="CT36" s="98">
        <v>1581.8823239999999</v>
      </c>
      <c r="CU36" s="98">
        <v>26.070619583129801</v>
      </c>
      <c r="CV36" s="98">
        <v>9.9988069534301705</v>
      </c>
      <c r="CW36" s="98">
        <v>15.205034255981399</v>
      </c>
      <c r="CX36" s="97"/>
      <c r="CY36" s="99"/>
      <c r="CZ36" s="2" t="b">
        <f>IF($DP$1="YES",IF(RecData[[#This Row],[Power (kW)]]&gt;=$CR$3, TRUE,FALSE),TRUE)</f>
        <v>1</v>
      </c>
      <c r="DA36" s="16">
        <f>MIN(MOD(180-ABS(ABS($DA$1-RecData[Yaw Angle (°)])-180),360),MOD(180-ABS(ABS($DB$1-RecData[Yaw Angle (°)])-180),360))</f>
        <v>18.540692805442262</v>
      </c>
      <c r="DB36" s="2" t="str">
        <f>IF($DP$2="None","None",IF(RecData[[#This Row],[Relative Wind Direction]]&lt;=45,"DW",IF(RecData[[#This Row],[Relative Wind Direction]]&lt;=135,"CW","UW")))</f>
        <v>DW</v>
      </c>
      <c r="DC36" s="61" t="e">
        <f>IF($CL36-#REF!&gt;1/24,#REF!,IF(SUM($CQ36:$CQ36)&gt;$DS$1,$DS$5,DC37-1))</f>
        <v>#REF!</v>
      </c>
      <c r="DD36" s="61" t="e">
        <f>IF($CL37-$CL36&gt;1/24,#REF!,IF(SUM($CQ36:$CQ36)&gt;$DS$1,$DS$6,#REF!-1))</f>
        <v>#REF!</v>
      </c>
      <c r="DE36" s="18" t="b">
        <v>0</v>
      </c>
      <c r="DF36" s="2" t="b">
        <f>IF(OR(RecData[[#This Row],[WSpd_Avg '[m/s']]]-RecData[[#This Row],[Wind Speed min]]&gt;=$DF$3,RecData[[#This Row],[Wind Speed max]]-RecData[[#This Row],[WSpd_Avg '[m/s']]]&gt;=$DF$2),TRUE,FALSE)</f>
        <v>0</v>
      </c>
      <c r="DG36" s="2" t="b">
        <f>RecData[[#This Row],[Temperature '[°C']]]&lt;=-20</f>
        <v>0</v>
      </c>
      <c r="DH36" s="18" t="b">
        <f>NOT(OR(MOD(RecData[[#This Row],[TIMESTAMP]],1)&gt;0.91632,MOD(RecData[[#This Row],[TIMESTAMP]],1)&lt;0.208681))</f>
        <v>0</v>
      </c>
      <c r="DI36" s="18" t="b">
        <f>RecData[[#This Row],[Overall (dBA)]]-RecData[[#This Row],[L90]]&gt;=$DS$4</f>
        <v>0</v>
      </c>
      <c r="DJ36" s="18" t="b">
        <f>RecData[[#This Row],[Overall (dBA)]]&gt;$DS$2</f>
        <v>0</v>
      </c>
      <c r="DK36" s="18" t="b">
        <f>RecData[[#This Row],[Overall (dBA)]]&lt;$DS$3</f>
        <v>0</v>
      </c>
      <c r="DL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6" s="2">
        <f>IF(AND(RecData[[#This Row],[Turbines ON/OFF]] = "OFF", NOT(OR(RecData[[#This Row],[Junk?]]="YES",RecData[[#This Row],[Gust?]],RecData[[#This Row],[Rain?]:[Min SPL Threshold?]]))),1,0)</f>
        <v>0</v>
      </c>
      <c r="DN36" s="16">
        <f>RecData[[#This Row],[dBA Sum]]</f>
        <v>39.432791141260665</v>
      </c>
      <c r="DO36" s="16">
        <f>RecData[[#This Row],[LAF90.0]]</f>
        <v>41</v>
      </c>
      <c r="DP36" s="55">
        <f>IF(AND(RecData[[#This Row],[Useable TON Data?]],RecData[[#This Row],[Turbines ON/OFF]]="ON"),RecData[[#This Row],[dBA Sum]],"")</f>
        <v>39.432791141260665</v>
      </c>
      <c r="DQ36" s="55" t="str">
        <f>IF(AND(RecData[[#This Row],[Useable Background Data?]],RecData[[#This Row],[Turbines ON/OFF]]="OFF"),RecData[[#This Row],[dBA Sum]],"")</f>
        <v/>
      </c>
      <c r="DR36" s="3">
        <f>IF(OR(RecData[[#This Row],[Useable TON Data?]],RecData[[#This Row],[Useable Background Data?]]),ROUND(RecData[[#This Row],[WSpd_Avg '[m/s']]],0),"")</f>
        <v>2</v>
      </c>
      <c r="DS36" s="85">
        <f>(0.00002)^2*(10^(RecData[[#This Row],[Overall (dBA)]]/10))</f>
        <v>3.5102585468813304E-6</v>
      </c>
    </row>
    <row r="37" spans="1:123" ht="15" x14ac:dyDescent="0.25">
      <c r="A37" s="3" t="s">
        <v>249</v>
      </c>
      <c r="B37" s="12">
        <v>43252.098611111112</v>
      </c>
      <c r="C37" s="3"/>
      <c r="D37" s="3">
        <v>42.1</v>
      </c>
      <c r="E37" s="3"/>
      <c r="F37" s="3"/>
      <c r="G37" s="3"/>
      <c r="H37" s="3"/>
      <c r="I37" s="3"/>
      <c r="J37" s="3"/>
      <c r="K37" s="3">
        <v>40.5</v>
      </c>
      <c r="L37" s="3"/>
      <c r="M37" s="3"/>
      <c r="N37" s="3">
        <v>155.6</v>
      </c>
      <c r="O37" s="3"/>
      <c r="P37" s="3"/>
      <c r="Q37" s="3">
        <v>2.2799999999999998</v>
      </c>
      <c r="R37" s="3">
        <v>1.3</v>
      </c>
      <c r="S37" s="3">
        <v>3.3</v>
      </c>
      <c r="T37" s="3">
        <v>9.5</v>
      </c>
      <c r="U37" s="3">
        <v>90.7</v>
      </c>
      <c r="V37" s="3">
        <v>963.9</v>
      </c>
      <c r="W37" s="3">
        <v>0</v>
      </c>
      <c r="X37" s="3">
        <v>44.8</v>
      </c>
      <c r="Y37" s="3">
        <v>43.5</v>
      </c>
      <c r="Z37" s="3">
        <v>42.9</v>
      </c>
      <c r="AA37" s="3">
        <v>40</v>
      </c>
      <c r="AB37" s="3">
        <v>36</v>
      </c>
      <c r="AC37" s="3">
        <v>34.9</v>
      </c>
      <c r="AD37" s="3">
        <v>37.6</v>
      </c>
      <c r="AE37" s="3">
        <v>39.299999999999997</v>
      </c>
      <c r="AF37" s="3">
        <v>43.4</v>
      </c>
      <c r="AG37" s="3">
        <v>37.700000000000003</v>
      </c>
      <c r="AH37" s="3">
        <v>36.700000000000003</v>
      </c>
      <c r="AI37" s="3">
        <v>36.700000000000003</v>
      </c>
      <c r="AJ37" s="3">
        <v>35.799999999999997</v>
      </c>
      <c r="AK37" s="3">
        <v>34.4</v>
      </c>
      <c r="AL37" s="3">
        <v>32.1</v>
      </c>
      <c r="AM37" s="3">
        <v>31.3</v>
      </c>
      <c r="AN37" s="3">
        <v>30.4</v>
      </c>
      <c r="AO37" s="3">
        <v>28.1</v>
      </c>
      <c r="AP37" s="3">
        <v>26</v>
      </c>
      <c r="AQ37" s="3">
        <v>25.1</v>
      </c>
      <c r="AR37" s="3">
        <v>22.8</v>
      </c>
      <c r="AS37" s="3">
        <v>29.8</v>
      </c>
      <c r="AT37" s="3">
        <v>37</v>
      </c>
      <c r="AU37" s="3">
        <v>17.5</v>
      </c>
      <c r="AV37" s="3">
        <v>15.3</v>
      </c>
      <c r="AW37" s="3">
        <v>13.9</v>
      </c>
      <c r="AX37" s="3">
        <v>11.2</v>
      </c>
      <c r="AY37" s="3">
        <v>10.5</v>
      </c>
      <c r="AZ37" s="3">
        <v>0</v>
      </c>
      <c r="BA37" s="3">
        <v>0</v>
      </c>
      <c r="BB37" s="3">
        <v>0</v>
      </c>
      <c r="BC37" s="3">
        <v>42.055051188481897</v>
      </c>
      <c r="BD37" s="3">
        <v>44.844948811518108</v>
      </c>
      <c r="BE37" s="3">
        <v>43.544948811518097</v>
      </c>
      <c r="BF37" s="3">
        <v>41.704948811518094</v>
      </c>
      <c r="BG37" s="3">
        <v>39.13161547818477</v>
      </c>
      <c r="BH37" s="3">
        <v>35.271615478184771</v>
      </c>
      <c r="BI37" s="3">
        <v>34.584948811518103</v>
      </c>
      <c r="BJ37" s="3">
        <v>38.078282144851428</v>
      </c>
      <c r="BK37" s="3">
        <v>39.651615478184766</v>
      </c>
      <c r="BL37" s="3">
        <v>43.324948811518098</v>
      </c>
      <c r="BM37" s="3">
        <v>37.758282144851435</v>
      </c>
      <c r="BN37" s="3">
        <v>37.041615478184767</v>
      </c>
      <c r="BO37" s="3">
        <v>36.408282144851441</v>
      </c>
      <c r="BP37" s="3">
        <v>35.224948811518104</v>
      </c>
      <c r="BQ37" s="3">
        <v>34.241615478184755</v>
      </c>
      <c r="BR37" s="3">
        <v>32.26828214485144</v>
      </c>
      <c r="BS37" s="3">
        <v>31.271615478184771</v>
      </c>
      <c r="BT37" s="3">
        <v>30.568282144851437</v>
      </c>
      <c r="BU37" s="3">
        <v>28.234948811518109</v>
      </c>
      <c r="BV37" s="3">
        <v>25.851615478184769</v>
      </c>
      <c r="BW37" s="3">
        <v>25.484948811518109</v>
      </c>
      <c r="BX37" s="3">
        <v>23.104948811518113</v>
      </c>
      <c r="BY37" s="3">
        <v>29.924948811518107</v>
      </c>
      <c r="BZ37" s="3">
        <v>37.254948811518105</v>
      </c>
      <c r="CA37" s="3">
        <v>17.854948811518099</v>
      </c>
      <c r="CB37" s="3">
        <v>15.091615478184771</v>
      </c>
      <c r="CC37" s="3">
        <v>13.904948811518103</v>
      </c>
      <c r="CD37" s="3">
        <v>10.511615478184773</v>
      </c>
      <c r="CE37" s="3">
        <v>10.004948811518105</v>
      </c>
      <c r="CF37" s="3">
        <v>-0.88171785514856538</v>
      </c>
      <c r="CG37" s="3">
        <v>-1.4150511884818968</v>
      </c>
      <c r="CH37" s="3">
        <v>-2.4917178551485648</v>
      </c>
      <c r="CI37" s="13">
        <f>[1]!dbasum(RecData[[#This Row],[20]:[2000]],RecData[[#Headers],[20]:[2000]])</f>
        <v>39.03235742879825</v>
      </c>
      <c r="CJ37" s="14">
        <v>687</v>
      </c>
      <c r="CK37" s="15" t="s">
        <v>249</v>
      </c>
      <c r="CL37" s="15">
        <f>RecData[[#This Row],[Start Time]]</f>
        <v>43252.098611111112</v>
      </c>
      <c r="CM37" s="16">
        <f>RecData[[#This Row],[Wind Speed avg]]</f>
        <v>2.2799999999999998</v>
      </c>
      <c r="CN37" s="16">
        <f>RecData[[#This Row],[Wind Dir. avg]]</f>
        <v>155.6</v>
      </c>
      <c r="CO37" s="16">
        <f>RecData[[#This Row],[Amb. Humidity]]</f>
        <v>90.7</v>
      </c>
      <c r="CP37" s="16">
        <f>RecData[[#This Row],[Amb. Temperature]]</f>
        <v>9.5</v>
      </c>
      <c r="CQ37" s="17">
        <f>RecData[[#This Row],[Amb. Rain Gauge]]</f>
        <v>0</v>
      </c>
      <c r="CR37" s="97" t="s">
        <v>1</v>
      </c>
      <c r="CS37" s="97" t="s">
        <v>49</v>
      </c>
      <c r="CT37" s="98">
        <v>1581.8823239999999</v>
      </c>
      <c r="CU37" s="98">
        <v>26.070619583129801</v>
      </c>
      <c r="CV37" s="98">
        <v>9.9988069534301705</v>
      </c>
      <c r="CW37" s="98">
        <v>15.205034255981399</v>
      </c>
      <c r="CX37" s="97"/>
      <c r="CY37" s="99"/>
      <c r="CZ37" s="2" t="b">
        <f>IF($DP$1="YES",IF(RecData[[#This Row],[Power (kW)]]&gt;=$CR$3, TRUE,FALSE),TRUE)</f>
        <v>1</v>
      </c>
      <c r="DA37" s="16">
        <f>MIN(MOD(180-ABS(ABS($DA$1-RecData[Yaw Angle (°)])-180),360),MOD(180-ABS(ABS($DB$1-RecData[Yaw Angle (°)])-180),360))</f>
        <v>18.540692805442262</v>
      </c>
      <c r="DB37" s="2" t="str">
        <f>IF($DP$2="None","None",IF(RecData[[#This Row],[Relative Wind Direction]]&lt;=45,"DW",IF(RecData[[#This Row],[Relative Wind Direction]]&lt;=135,"CW","UW")))</f>
        <v>DW</v>
      </c>
      <c r="DC37" s="61" t="e">
        <f>IF($CL37-#REF!&gt;1/24,#REF!,IF(SUM($CQ36:$CQ37)&gt;$DS$1,$DS$5,DC38-1))</f>
        <v>#REF!</v>
      </c>
      <c r="DD37" s="61" t="e">
        <f>IF($CL38-$CL37&gt;1/24,#REF!,IF(SUM($CQ36:$CQ37)&gt;$DS$1,$DS$6,DD36-1))</f>
        <v>#REF!</v>
      </c>
      <c r="DE37" s="18" t="b">
        <v>0</v>
      </c>
      <c r="DF37" s="2" t="b">
        <f>IF(OR(RecData[[#This Row],[WSpd_Avg '[m/s']]]-RecData[[#This Row],[Wind Speed min]]&gt;=$DF$3,RecData[[#This Row],[Wind Speed max]]-RecData[[#This Row],[WSpd_Avg '[m/s']]]&gt;=$DF$2),TRUE,FALSE)</f>
        <v>0</v>
      </c>
      <c r="DG37" s="2" t="b">
        <f>RecData[[#This Row],[Temperature '[°C']]]&lt;=-20</f>
        <v>0</v>
      </c>
      <c r="DH37" s="18" t="b">
        <f>NOT(OR(MOD(RecData[[#This Row],[TIMESTAMP]],1)&gt;0.91632,MOD(RecData[[#This Row],[TIMESTAMP]],1)&lt;0.208681))</f>
        <v>0</v>
      </c>
      <c r="DI37" s="18" t="b">
        <f>RecData[[#This Row],[Overall (dBA)]]-RecData[[#This Row],[L90]]&gt;=$DS$4</f>
        <v>0</v>
      </c>
      <c r="DJ37" s="18" t="b">
        <f>RecData[[#This Row],[Overall (dBA)]]&gt;$DS$2</f>
        <v>0</v>
      </c>
      <c r="DK37" s="18" t="b">
        <f>RecData[[#This Row],[Overall (dBA)]]&lt;$DS$3</f>
        <v>0</v>
      </c>
      <c r="DL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7" s="2">
        <f>IF(AND(RecData[[#This Row],[Turbines ON/OFF]] = "OFF", NOT(OR(RecData[[#This Row],[Junk?]]="YES",RecData[[#This Row],[Gust?]],RecData[[#This Row],[Rain?]:[Min SPL Threshold?]]))),1,0)</f>
        <v>0</v>
      </c>
      <c r="DN37" s="16">
        <f>RecData[[#This Row],[dBA Sum]]</f>
        <v>39.03235742879825</v>
      </c>
      <c r="DO37" s="16">
        <f>RecData[[#This Row],[LAF90.0]]</f>
        <v>40.5</v>
      </c>
      <c r="DP37" s="55">
        <f>IF(AND(RecData[[#This Row],[Useable TON Data?]],RecData[[#This Row],[Turbines ON/OFF]]="ON"),RecData[[#This Row],[dBA Sum]],"")</f>
        <v>39.03235742879825</v>
      </c>
      <c r="DQ37" s="55" t="str">
        <f>IF(AND(RecData[[#This Row],[Useable Background Data?]],RecData[[#This Row],[Turbines ON/OFF]]="OFF"),RecData[[#This Row],[dBA Sum]],"")</f>
        <v/>
      </c>
      <c r="DR37" s="3">
        <f>IF(OR(RecData[[#This Row],[Useable TON Data?]],RecData[[#This Row],[Useable Background Data?]]),ROUND(RecData[[#This Row],[WSpd_Avg '[m/s']]],0),"")</f>
        <v>2</v>
      </c>
      <c r="DS37" s="85">
        <f>(0.00002)^2*(10^(RecData[[#This Row],[Overall (dBA)]]/10))</f>
        <v>3.2010741493112959E-6</v>
      </c>
    </row>
    <row r="38" spans="1:123" ht="15" x14ac:dyDescent="0.25">
      <c r="A38" s="3" t="s">
        <v>249</v>
      </c>
      <c r="B38" s="12">
        <v>43252.099305555559</v>
      </c>
      <c r="C38" s="3"/>
      <c r="D38" s="3">
        <v>42.2</v>
      </c>
      <c r="E38" s="3"/>
      <c r="F38" s="3"/>
      <c r="G38" s="3"/>
      <c r="H38" s="3"/>
      <c r="I38" s="3"/>
      <c r="J38" s="3"/>
      <c r="K38" s="3">
        <v>40.5</v>
      </c>
      <c r="L38" s="3"/>
      <c r="M38" s="3"/>
      <c r="N38" s="3">
        <v>170.7</v>
      </c>
      <c r="O38" s="3"/>
      <c r="P38" s="3"/>
      <c r="Q38" s="3">
        <v>1.69</v>
      </c>
      <c r="R38" s="3">
        <v>0.2</v>
      </c>
      <c r="S38" s="3">
        <v>2.8</v>
      </c>
      <c r="T38" s="3">
        <v>9.5</v>
      </c>
      <c r="U38" s="3">
        <v>90.8</v>
      </c>
      <c r="V38" s="3">
        <v>963.9</v>
      </c>
      <c r="W38" s="3">
        <v>0</v>
      </c>
      <c r="X38" s="3">
        <v>43.5</v>
      </c>
      <c r="Y38" s="3">
        <v>43.6</v>
      </c>
      <c r="Z38" s="3">
        <v>42.6</v>
      </c>
      <c r="AA38" s="3">
        <v>38.700000000000003</v>
      </c>
      <c r="AB38" s="3">
        <v>34.6</v>
      </c>
      <c r="AC38" s="3">
        <v>33.5</v>
      </c>
      <c r="AD38" s="3">
        <v>36.799999999999997</v>
      </c>
      <c r="AE38" s="3">
        <v>39.299999999999997</v>
      </c>
      <c r="AF38" s="3">
        <v>43.7</v>
      </c>
      <c r="AG38" s="3">
        <v>37.299999999999997</v>
      </c>
      <c r="AH38" s="3">
        <v>36.200000000000003</v>
      </c>
      <c r="AI38" s="3">
        <v>36.5</v>
      </c>
      <c r="AJ38" s="3">
        <v>35.1</v>
      </c>
      <c r="AK38" s="3">
        <v>33.6</v>
      </c>
      <c r="AL38" s="3">
        <v>31.7</v>
      </c>
      <c r="AM38" s="3">
        <v>30.9</v>
      </c>
      <c r="AN38" s="3">
        <v>30</v>
      </c>
      <c r="AO38" s="3">
        <v>27.8</v>
      </c>
      <c r="AP38" s="3">
        <v>26</v>
      </c>
      <c r="AQ38" s="3">
        <v>25</v>
      </c>
      <c r="AR38" s="3">
        <v>23.2</v>
      </c>
      <c r="AS38" s="3">
        <v>29.8</v>
      </c>
      <c r="AT38" s="3">
        <v>37.700000000000003</v>
      </c>
      <c r="AU38" s="3">
        <v>18.100000000000001</v>
      </c>
      <c r="AV38" s="3">
        <v>15.9</v>
      </c>
      <c r="AW38" s="3">
        <v>14.2</v>
      </c>
      <c r="AX38" s="3">
        <v>11.5</v>
      </c>
      <c r="AY38" s="3">
        <v>10.6</v>
      </c>
      <c r="AZ38" s="3">
        <v>0</v>
      </c>
      <c r="BA38" s="3">
        <v>0</v>
      </c>
      <c r="BB38" s="3">
        <v>0</v>
      </c>
      <c r="BC38" s="3">
        <v>42.208599631854341</v>
      </c>
      <c r="BD38" s="3">
        <v>43.491400368145662</v>
      </c>
      <c r="BE38" s="3">
        <v>43.591400368145671</v>
      </c>
      <c r="BF38" s="3">
        <v>41.351400368145661</v>
      </c>
      <c r="BG38" s="3">
        <v>37.778067034812338</v>
      </c>
      <c r="BH38" s="3">
        <v>33.81806703481233</v>
      </c>
      <c r="BI38" s="3">
        <v>33.131400368145663</v>
      </c>
      <c r="BJ38" s="3">
        <v>37.224733701478996</v>
      </c>
      <c r="BK38" s="3">
        <v>39.598067034812331</v>
      </c>
      <c r="BL38" s="3">
        <v>43.57140036814566</v>
      </c>
      <c r="BM38" s="3">
        <v>37.304733701478995</v>
      </c>
      <c r="BN38" s="3">
        <v>36.488067034812332</v>
      </c>
      <c r="BO38" s="3">
        <v>36.154733701479003</v>
      </c>
      <c r="BP38" s="3">
        <v>34.471400368145666</v>
      </c>
      <c r="BQ38" s="3">
        <v>33.388067034812323</v>
      </c>
      <c r="BR38" s="3">
        <v>31.814733701479</v>
      </c>
      <c r="BS38" s="3">
        <v>30.81806703481233</v>
      </c>
      <c r="BT38" s="3">
        <v>30.114733701478997</v>
      </c>
      <c r="BU38" s="3">
        <v>27.881400368145663</v>
      </c>
      <c r="BV38" s="3">
        <v>25.798067034812334</v>
      </c>
      <c r="BW38" s="3">
        <v>25.331400368145665</v>
      </c>
      <c r="BX38" s="3">
        <v>23.45140036814567</v>
      </c>
      <c r="BY38" s="3">
        <v>29.871400368145657</v>
      </c>
      <c r="BZ38" s="3">
        <v>37.901400368145673</v>
      </c>
      <c r="CA38" s="3">
        <v>18.401400368145659</v>
      </c>
      <c r="CB38" s="3">
        <v>15.638067034812323</v>
      </c>
      <c r="CC38" s="3">
        <v>14.151400368145659</v>
      </c>
      <c r="CD38" s="3">
        <v>10.758067034812335</v>
      </c>
      <c r="CE38" s="3">
        <v>10.051400368145664</v>
      </c>
      <c r="CF38" s="3">
        <v>-0.9352662985210074</v>
      </c>
      <c r="CG38" s="3">
        <v>-1.4685996318543388</v>
      </c>
      <c r="CH38" s="3">
        <v>-2.5452662985210068</v>
      </c>
      <c r="CI38" s="13">
        <f>[1]!dbasum(RecData[[#This Row],[20]:[2000]],RecData[[#Headers],[20]:[2000]])</f>
        <v>38.649902107209648</v>
      </c>
      <c r="CJ38" s="14">
        <v>688</v>
      </c>
      <c r="CK38" s="15" t="s">
        <v>249</v>
      </c>
      <c r="CL38" s="15">
        <f>RecData[[#This Row],[Start Time]]</f>
        <v>43252.099305555559</v>
      </c>
      <c r="CM38" s="16">
        <f>RecData[[#This Row],[Wind Speed avg]]</f>
        <v>1.69</v>
      </c>
      <c r="CN38" s="16">
        <f>RecData[[#This Row],[Wind Dir. avg]]</f>
        <v>170.7</v>
      </c>
      <c r="CO38" s="16">
        <f>RecData[[#This Row],[Amb. Humidity]]</f>
        <v>90.8</v>
      </c>
      <c r="CP38" s="16">
        <f>RecData[[#This Row],[Amb. Temperature]]</f>
        <v>9.5</v>
      </c>
      <c r="CQ38" s="17">
        <f>RecData[[#This Row],[Amb. Rain Gauge]]</f>
        <v>0</v>
      </c>
      <c r="CR38" s="97" t="s">
        <v>1</v>
      </c>
      <c r="CS38" s="97" t="s">
        <v>49</v>
      </c>
      <c r="CT38" s="98">
        <v>1581.8823239999999</v>
      </c>
      <c r="CU38" s="98">
        <v>26.070619583129801</v>
      </c>
      <c r="CV38" s="98">
        <v>9.9988069534301705</v>
      </c>
      <c r="CW38" s="98">
        <v>15.205034255981399</v>
      </c>
      <c r="CX38" s="97"/>
      <c r="CY38" s="99"/>
      <c r="CZ38" s="2" t="b">
        <f>IF($DP$1="YES",IF(RecData[[#This Row],[Power (kW)]]&gt;=$CR$3, TRUE,FALSE),TRUE)</f>
        <v>1</v>
      </c>
      <c r="DA38" s="16">
        <f>MIN(MOD(180-ABS(ABS($DA$1-RecData[Yaw Angle (°)])-180),360),MOD(180-ABS(ABS($DB$1-RecData[Yaw Angle (°)])-180),360))</f>
        <v>18.540692805442262</v>
      </c>
      <c r="DB38" s="2" t="str">
        <f>IF($DP$2="None","None",IF(RecData[[#This Row],[Relative Wind Direction]]&lt;=45,"DW",IF(RecData[[#This Row],[Relative Wind Direction]]&lt;=135,"CW","UW")))</f>
        <v>DW</v>
      </c>
      <c r="DC38" s="61" t="e">
        <f>IF($CL38-#REF!&gt;1/24,#REF!,IF(SUM($CQ36:$CQ38)&gt;$DS$1,$DS$5,#REF!-1))</f>
        <v>#REF!</v>
      </c>
      <c r="DD38" s="61" t="e">
        <f>IF(#REF!-$CL38&gt;1/24,#REF!,IF(SUM($CQ36:$CQ38)&gt;$DS$1,$DS$6,DD37-1))</f>
        <v>#REF!</v>
      </c>
      <c r="DE38" s="18" t="b">
        <v>0</v>
      </c>
      <c r="DF38" s="2" t="b">
        <f>IF(OR(RecData[[#This Row],[WSpd_Avg '[m/s']]]-RecData[[#This Row],[Wind Speed min]]&gt;=$DF$3,RecData[[#This Row],[Wind Speed max]]-RecData[[#This Row],[WSpd_Avg '[m/s']]]&gt;=$DF$2),TRUE,FALSE)</f>
        <v>0</v>
      </c>
      <c r="DG38" s="2" t="b">
        <f>RecData[[#This Row],[Temperature '[°C']]]&lt;=-20</f>
        <v>0</v>
      </c>
      <c r="DH38" s="18" t="b">
        <f>NOT(OR(MOD(RecData[[#This Row],[TIMESTAMP]],1)&gt;0.91632,MOD(RecData[[#This Row],[TIMESTAMP]],1)&lt;0.208681))</f>
        <v>0</v>
      </c>
      <c r="DI38" s="18" t="b">
        <f>RecData[[#This Row],[Overall (dBA)]]-RecData[[#This Row],[L90]]&gt;=$DS$4</f>
        <v>0</v>
      </c>
      <c r="DJ38" s="18" t="b">
        <f>RecData[[#This Row],[Overall (dBA)]]&gt;$DS$2</f>
        <v>0</v>
      </c>
      <c r="DK38" s="18" t="b">
        <f>RecData[[#This Row],[Overall (dBA)]]&lt;$DS$3</f>
        <v>0</v>
      </c>
      <c r="DL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8" s="2">
        <f>IF(AND(RecData[[#This Row],[Turbines ON/OFF]] = "OFF", NOT(OR(RecData[[#This Row],[Junk?]]="YES",RecData[[#This Row],[Gust?]],RecData[[#This Row],[Rain?]:[Min SPL Threshold?]]))),1,0)</f>
        <v>0</v>
      </c>
      <c r="DN38" s="16">
        <f>RecData[[#This Row],[dBA Sum]]</f>
        <v>38.649902107209648</v>
      </c>
      <c r="DO38" s="16">
        <f>RecData[[#This Row],[LAF90.0]]</f>
        <v>40.5</v>
      </c>
      <c r="DP38" s="55">
        <f>IF(AND(RecData[[#This Row],[Useable TON Data?]],RecData[[#This Row],[Turbines ON/OFF]]="ON"),RecData[[#This Row],[dBA Sum]],"")</f>
        <v>38.649902107209648</v>
      </c>
      <c r="DQ38" s="55" t="str">
        <f>IF(AND(RecData[[#This Row],[Useable Background Data?]],RecData[[#This Row],[Turbines ON/OFF]]="OFF"),RecData[[#This Row],[dBA Sum]],"")</f>
        <v/>
      </c>
      <c r="DR38" s="3">
        <f>IF(OR(RecData[[#This Row],[Useable TON Data?]],RecData[[#This Row],[Useable Background Data?]]),ROUND(RecData[[#This Row],[WSpd_Avg '[m/s']]],0),"")</f>
        <v>2</v>
      </c>
      <c r="DS38" s="85">
        <f>(0.00002)^2*(10^(RecData[[#This Row],[Overall (dBA)]]/10))</f>
        <v>2.9312320599409574E-6</v>
      </c>
    </row>
    <row r="39" spans="1:123" ht="15" x14ac:dyDescent="0.25">
      <c r="A39" s="3" t="s">
        <v>249</v>
      </c>
      <c r="B39" s="12">
        <v>43252.101388888892</v>
      </c>
      <c r="C39" s="3"/>
      <c r="D39" s="3">
        <v>41.5</v>
      </c>
      <c r="E39" s="3"/>
      <c r="F39" s="3"/>
      <c r="G39" s="3"/>
      <c r="H39" s="3"/>
      <c r="I39" s="3"/>
      <c r="J39" s="3"/>
      <c r="K39" s="3">
        <v>39.5</v>
      </c>
      <c r="L39" s="3"/>
      <c r="M39" s="3"/>
      <c r="N39" s="3">
        <v>186.9</v>
      </c>
      <c r="O39" s="3"/>
      <c r="P39" s="3"/>
      <c r="Q39" s="3">
        <v>1.5</v>
      </c>
      <c r="R39" s="3">
        <v>0.3</v>
      </c>
      <c r="S39" s="3">
        <v>2.2999999999999998</v>
      </c>
      <c r="T39" s="3">
        <v>9.4</v>
      </c>
      <c r="U39" s="3">
        <v>90.5</v>
      </c>
      <c r="V39" s="3">
        <v>963.9</v>
      </c>
      <c r="W39" s="3">
        <v>0</v>
      </c>
      <c r="X39" s="3">
        <v>44.5</v>
      </c>
      <c r="Y39" s="3">
        <v>44.2</v>
      </c>
      <c r="Z39" s="3">
        <v>43.4</v>
      </c>
      <c r="AA39" s="3">
        <v>39.700000000000003</v>
      </c>
      <c r="AB39" s="3">
        <v>35.4</v>
      </c>
      <c r="AC39" s="3">
        <v>34.700000000000003</v>
      </c>
      <c r="AD39" s="3">
        <v>37.700000000000003</v>
      </c>
      <c r="AE39" s="3">
        <v>39.700000000000003</v>
      </c>
      <c r="AF39" s="3">
        <v>43.6</v>
      </c>
      <c r="AG39" s="3">
        <v>37.9</v>
      </c>
      <c r="AH39" s="3">
        <v>36.6</v>
      </c>
      <c r="AI39" s="3">
        <v>36.700000000000003</v>
      </c>
      <c r="AJ39" s="3">
        <v>35.6</v>
      </c>
      <c r="AK39" s="3">
        <v>33.799999999999997</v>
      </c>
      <c r="AL39" s="3">
        <v>31.8</v>
      </c>
      <c r="AM39" s="3">
        <v>31.3</v>
      </c>
      <c r="AN39" s="3">
        <v>30.1</v>
      </c>
      <c r="AO39" s="3">
        <v>27.7</v>
      </c>
      <c r="AP39" s="3">
        <v>25.6</v>
      </c>
      <c r="AQ39" s="3">
        <v>24.6</v>
      </c>
      <c r="AR39" s="3">
        <v>22.2</v>
      </c>
      <c r="AS39" s="3">
        <v>28.4</v>
      </c>
      <c r="AT39" s="3">
        <v>36.1</v>
      </c>
      <c r="AU39" s="3">
        <v>15.7</v>
      </c>
      <c r="AV39" s="3">
        <v>13.6</v>
      </c>
      <c r="AW39" s="3">
        <v>12.1</v>
      </c>
      <c r="AX39" s="3">
        <v>10.3</v>
      </c>
      <c r="AY39" s="3">
        <v>9.8000000000000007</v>
      </c>
      <c r="AZ39" s="3">
        <v>0</v>
      </c>
      <c r="BA39" s="3">
        <v>0</v>
      </c>
      <c r="BB39" s="3">
        <v>0</v>
      </c>
      <c r="BC39" s="3">
        <v>41.465696279217752</v>
      </c>
      <c r="BD39" s="3">
        <v>44.534303720782248</v>
      </c>
      <c r="BE39" s="3">
        <v>44.23430372078225</v>
      </c>
      <c r="BF39" s="3">
        <v>42.194303720782244</v>
      </c>
      <c r="BG39" s="3">
        <v>38.820970387448909</v>
      </c>
      <c r="BH39" s="3">
        <v>34.660970387448913</v>
      </c>
      <c r="BI39" s="3">
        <v>34.374303720782251</v>
      </c>
      <c r="BJ39" s="3">
        <v>38.167637054115573</v>
      </c>
      <c r="BK39" s="3">
        <v>40.040970387448908</v>
      </c>
      <c r="BL39" s="3">
        <v>43.514303720782252</v>
      </c>
      <c r="BM39" s="3">
        <v>37.947637054115575</v>
      </c>
      <c r="BN39" s="3">
        <v>36.930970387448923</v>
      </c>
      <c r="BO39" s="3">
        <v>36.397637054115592</v>
      </c>
      <c r="BP39" s="3">
        <v>35.014303720782252</v>
      </c>
      <c r="BQ39" s="3">
        <v>33.630970387448912</v>
      </c>
      <c r="BR39" s="3">
        <v>31.95763705411558</v>
      </c>
      <c r="BS39" s="3">
        <v>31.260970387448907</v>
      </c>
      <c r="BT39" s="3">
        <v>30.257637054115577</v>
      </c>
      <c r="BU39" s="3">
        <v>27.824303720782254</v>
      </c>
      <c r="BV39" s="3">
        <v>25.440970387448914</v>
      </c>
      <c r="BW39" s="3">
        <v>24.974303720782245</v>
      </c>
      <c r="BX39" s="3">
        <v>22.494303720782256</v>
      </c>
      <c r="BY39" s="3">
        <v>28.514303720782237</v>
      </c>
      <c r="BZ39" s="3">
        <v>36.34430372078225</v>
      </c>
      <c r="CA39" s="3">
        <v>16.044303720782239</v>
      </c>
      <c r="CB39" s="3">
        <v>13.380970387448912</v>
      </c>
      <c r="CC39" s="3">
        <v>12.09430372078225</v>
      </c>
      <c r="CD39" s="3">
        <v>9.6009703874489176</v>
      </c>
      <c r="CE39" s="3">
        <v>9.2943037207822456</v>
      </c>
      <c r="CF39" s="3">
        <v>-0.89236294588442178</v>
      </c>
      <c r="CG39" s="3">
        <v>-1.4256962792177532</v>
      </c>
      <c r="CH39" s="3">
        <v>-2.5023629458844212</v>
      </c>
      <c r="CI39" s="13">
        <f>[1]!dbasum(RecData[[#This Row],[20]:[2000]],RecData[[#Headers],[20]:[2000]])</f>
        <v>38.796801163623329</v>
      </c>
      <c r="CJ39" s="14">
        <v>691</v>
      </c>
      <c r="CK39" s="15" t="s">
        <v>249</v>
      </c>
      <c r="CL39" s="15">
        <f>RecData[[#This Row],[Start Time]]</f>
        <v>43252.101388888892</v>
      </c>
      <c r="CM39" s="16">
        <f>RecData[[#This Row],[Wind Speed avg]]</f>
        <v>1.5</v>
      </c>
      <c r="CN39" s="16">
        <f>RecData[[#This Row],[Wind Dir. avg]]</f>
        <v>186.9</v>
      </c>
      <c r="CO39" s="16">
        <f>RecData[[#This Row],[Amb. Humidity]]</f>
        <v>90.5</v>
      </c>
      <c r="CP39" s="16">
        <f>RecData[[#This Row],[Amb. Temperature]]</f>
        <v>9.4</v>
      </c>
      <c r="CQ39" s="17">
        <f>RecData[[#This Row],[Amb. Rain Gauge]]</f>
        <v>0</v>
      </c>
      <c r="CR39" s="97" t="s">
        <v>1</v>
      </c>
      <c r="CS39" s="97" t="s">
        <v>49</v>
      </c>
      <c r="CT39" s="98">
        <v>1581.8823239999999</v>
      </c>
      <c r="CU39" s="98">
        <v>26.070619583129801</v>
      </c>
      <c r="CV39" s="98">
        <v>9.9988069534301705</v>
      </c>
      <c r="CW39" s="98">
        <v>15.205034255981399</v>
      </c>
      <c r="CX39" s="97"/>
      <c r="CY39" s="99"/>
      <c r="CZ39" s="2" t="b">
        <f>IF($DP$1="YES",IF(RecData[[#This Row],[Power (kW)]]&gt;=$CR$3, TRUE,FALSE),TRUE)</f>
        <v>1</v>
      </c>
      <c r="DA39" s="16">
        <f>MIN(MOD(180-ABS(ABS($DA$1-RecData[Yaw Angle (°)])-180),360),MOD(180-ABS(ABS($DB$1-RecData[Yaw Angle (°)])-180),360))</f>
        <v>18.540692805442262</v>
      </c>
      <c r="DB39" s="2" t="str">
        <f>IF($DP$2="None","None",IF(RecData[[#This Row],[Relative Wind Direction]]&lt;=45,"DW",IF(RecData[[#This Row],[Relative Wind Direction]]&lt;=135,"CW","UW")))</f>
        <v>DW</v>
      </c>
      <c r="DC39" s="61" t="e">
        <f>IF($CL39-$CL37&gt;1/24,#REF!,IF(SUM($CQ37:$CQ39)&gt;$DS$1,$DS$5,DC40-1))</f>
        <v>#REF!</v>
      </c>
      <c r="DD39" s="61" t="e">
        <f>IF($CL40-$CL39&gt;1/24,#REF!,IF(SUM($CQ37:$CQ39)&gt;$DS$1,$DS$6,#REF!-1))</f>
        <v>#REF!</v>
      </c>
      <c r="DE39" s="18" t="b">
        <v>0</v>
      </c>
      <c r="DF39" s="2" t="b">
        <f>IF(OR(RecData[[#This Row],[WSpd_Avg '[m/s']]]-RecData[[#This Row],[Wind Speed min]]&gt;=$DF$3,RecData[[#This Row],[Wind Speed max]]-RecData[[#This Row],[WSpd_Avg '[m/s']]]&gt;=$DF$2),TRUE,FALSE)</f>
        <v>0</v>
      </c>
      <c r="DG39" s="2" t="b">
        <f>RecData[[#This Row],[Temperature '[°C']]]&lt;=-20</f>
        <v>0</v>
      </c>
      <c r="DH39" s="18" t="b">
        <f>NOT(OR(MOD(RecData[[#This Row],[TIMESTAMP]],1)&gt;0.91632,MOD(RecData[[#This Row],[TIMESTAMP]],1)&lt;0.208681))</f>
        <v>0</v>
      </c>
      <c r="DI39" s="18" t="b">
        <f>RecData[[#This Row],[Overall (dBA)]]-RecData[[#This Row],[L90]]&gt;=$DS$4</f>
        <v>0</v>
      </c>
      <c r="DJ39" s="18" t="b">
        <f>RecData[[#This Row],[Overall (dBA)]]&gt;$DS$2</f>
        <v>0</v>
      </c>
      <c r="DK39" s="18" t="b">
        <f>RecData[[#This Row],[Overall (dBA)]]&lt;$DS$3</f>
        <v>0</v>
      </c>
      <c r="DL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39" s="2">
        <f>IF(AND(RecData[[#This Row],[Turbines ON/OFF]] = "OFF", NOT(OR(RecData[[#This Row],[Junk?]]="YES",RecData[[#This Row],[Gust?]],RecData[[#This Row],[Rain?]:[Min SPL Threshold?]]))),1,0)</f>
        <v>0</v>
      </c>
      <c r="DN39" s="16">
        <f>RecData[[#This Row],[dBA Sum]]</f>
        <v>38.796801163623329</v>
      </c>
      <c r="DO39" s="16">
        <f>RecData[[#This Row],[LAF90.0]]</f>
        <v>39.5</v>
      </c>
      <c r="DP39" s="55">
        <f>IF(AND(RecData[[#This Row],[Useable TON Data?]],RecData[[#This Row],[Turbines ON/OFF]]="ON"),RecData[[#This Row],[dBA Sum]],"")</f>
        <v>38.796801163623329</v>
      </c>
      <c r="DQ39" s="55" t="str">
        <f>IF(AND(RecData[[#This Row],[Useable Background Data?]],RecData[[#This Row],[Turbines ON/OFF]]="OFF"),RecData[[#This Row],[dBA Sum]],"")</f>
        <v/>
      </c>
      <c r="DR39" s="3">
        <f>IF(OR(RecData[[#This Row],[Useable TON Data?]],RecData[[#This Row],[Useable Background Data?]]),ROUND(RecData[[#This Row],[WSpd_Avg '[m/s']]],0),"")</f>
        <v>2</v>
      </c>
      <c r="DS39" s="85">
        <f>(0.00002)^2*(10^(RecData[[#This Row],[Overall (dBA)]]/10))</f>
        <v>3.032076173543846E-6</v>
      </c>
    </row>
    <row r="40" spans="1:123" ht="15" x14ac:dyDescent="0.25">
      <c r="A40" s="3" t="s">
        <v>249</v>
      </c>
      <c r="B40" s="12">
        <v>43252.102083333339</v>
      </c>
      <c r="C40" s="3"/>
      <c r="D40" s="3">
        <v>41.9</v>
      </c>
      <c r="E40" s="3"/>
      <c r="F40" s="3"/>
      <c r="G40" s="3"/>
      <c r="H40" s="3"/>
      <c r="I40" s="3"/>
      <c r="J40" s="3"/>
      <c r="K40" s="3">
        <v>40.200000000000003</v>
      </c>
      <c r="L40" s="3"/>
      <c r="M40" s="3"/>
      <c r="N40" s="3">
        <v>174.6</v>
      </c>
      <c r="O40" s="3"/>
      <c r="P40" s="3"/>
      <c r="Q40" s="3">
        <v>1.0900000000000001</v>
      </c>
      <c r="R40" s="3">
        <v>0.2</v>
      </c>
      <c r="S40" s="3">
        <v>2.2000000000000002</v>
      </c>
      <c r="T40" s="3">
        <v>9.4</v>
      </c>
      <c r="U40" s="3">
        <v>90.7</v>
      </c>
      <c r="V40" s="3">
        <v>963.9</v>
      </c>
      <c r="W40" s="3">
        <v>0</v>
      </c>
      <c r="X40" s="3">
        <v>43.6</v>
      </c>
      <c r="Y40" s="3">
        <v>42.7</v>
      </c>
      <c r="Z40" s="3">
        <v>42.7</v>
      </c>
      <c r="AA40" s="3">
        <v>39.1</v>
      </c>
      <c r="AB40" s="3">
        <v>33.5</v>
      </c>
      <c r="AC40" s="3">
        <v>33.4</v>
      </c>
      <c r="AD40" s="3">
        <v>36.5</v>
      </c>
      <c r="AE40" s="3">
        <v>39.200000000000003</v>
      </c>
      <c r="AF40" s="3">
        <v>44.8</v>
      </c>
      <c r="AG40" s="3">
        <v>37.9</v>
      </c>
      <c r="AH40" s="3">
        <v>35.799999999999997</v>
      </c>
      <c r="AI40" s="3">
        <v>36.299999999999997</v>
      </c>
      <c r="AJ40" s="3">
        <v>34.6</v>
      </c>
      <c r="AK40" s="3">
        <v>33.4</v>
      </c>
      <c r="AL40" s="3">
        <v>31.4</v>
      </c>
      <c r="AM40" s="3">
        <v>31.3</v>
      </c>
      <c r="AN40" s="3">
        <v>30.2</v>
      </c>
      <c r="AO40" s="3">
        <v>27.8</v>
      </c>
      <c r="AP40" s="3">
        <v>26.3</v>
      </c>
      <c r="AQ40" s="3">
        <v>25.1</v>
      </c>
      <c r="AR40" s="3">
        <v>22.9</v>
      </c>
      <c r="AS40" s="3">
        <v>29.6</v>
      </c>
      <c r="AT40" s="3">
        <v>36.9</v>
      </c>
      <c r="AU40" s="3">
        <v>16.8</v>
      </c>
      <c r="AV40" s="3">
        <v>14.3</v>
      </c>
      <c r="AW40" s="3">
        <v>12.5</v>
      </c>
      <c r="AX40" s="3">
        <v>10.1</v>
      </c>
      <c r="AY40" s="3">
        <v>9.6</v>
      </c>
      <c r="AZ40" s="3">
        <v>0</v>
      </c>
      <c r="BA40" s="3">
        <v>0</v>
      </c>
      <c r="BB40" s="3">
        <v>0</v>
      </c>
      <c r="BC40" s="3">
        <v>41.857861478606139</v>
      </c>
      <c r="BD40" s="3">
        <v>43.642138521393861</v>
      </c>
      <c r="BE40" s="3">
        <v>42.742138521393855</v>
      </c>
      <c r="BF40" s="3">
        <v>41.50213852139386</v>
      </c>
      <c r="BG40" s="3">
        <v>38.228805188060534</v>
      </c>
      <c r="BH40" s="3">
        <v>32.768805188060526</v>
      </c>
      <c r="BI40" s="3">
        <v>33.082138521393858</v>
      </c>
      <c r="BJ40" s="3">
        <v>36.975471854727189</v>
      </c>
      <c r="BK40" s="3">
        <v>39.548805188060527</v>
      </c>
      <c r="BL40" s="3">
        <v>44.722138521393859</v>
      </c>
      <c r="BM40" s="3">
        <v>37.955471854727193</v>
      </c>
      <c r="BN40" s="3">
        <v>36.13880518806053</v>
      </c>
      <c r="BO40" s="3">
        <v>36.00547185472719</v>
      </c>
      <c r="BP40" s="3">
        <v>34.022138521393856</v>
      </c>
      <c r="BQ40" s="3">
        <v>33.238805188060525</v>
      </c>
      <c r="BR40" s="3">
        <v>31.565471854727193</v>
      </c>
      <c r="BS40" s="3">
        <v>31.268805188060526</v>
      </c>
      <c r="BT40" s="3">
        <v>30.36547185472719</v>
      </c>
      <c r="BU40" s="3">
        <v>27.932138521393867</v>
      </c>
      <c r="BV40" s="3">
        <v>26.148805188060521</v>
      </c>
      <c r="BW40" s="3">
        <v>25.482138521393864</v>
      </c>
      <c r="BX40" s="3">
        <v>23.202138521393863</v>
      </c>
      <c r="BY40" s="3">
        <v>29.722138521393859</v>
      </c>
      <c r="BZ40" s="3">
        <v>37.152138521393852</v>
      </c>
      <c r="CA40" s="3">
        <v>17.152138521393852</v>
      </c>
      <c r="CB40" s="3">
        <v>14.088805188060526</v>
      </c>
      <c r="CC40" s="3">
        <v>12.50213852139386</v>
      </c>
      <c r="CD40" s="3">
        <v>9.4088051880605263</v>
      </c>
      <c r="CE40" s="3">
        <v>9.1021385213938544</v>
      </c>
      <c r="CF40" s="3">
        <v>-0.88452814527281021</v>
      </c>
      <c r="CG40" s="3">
        <v>-1.4178614786061416</v>
      </c>
      <c r="CH40" s="3">
        <v>-2.4945281452728096</v>
      </c>
      <c r="CI40" s="13">
        <f>[1]!dbasum(RecData[[#This Row],[20]:[2000]],RecData[[#Headers],[20]:[2000]])</f>
        <v>38.772985006523285</v>
      </c>
      <c r="CJ40" s="14">
        <v>692</v>
      </c>
      <c r="CK40" s="15" t="s">
        <v>249</v>
      </c>
      <c r="CL40" s="15">
        <f>RecData[[#This Row],[Start Time]]</f>
        <v>43252.102083333339</v>
      </c>
      <c r="CM40" s="16">
        <f>RecData[[#This Row],[Wind Speed avg]]</f>
        <v>1.0900000000000001</v>
      </c>
      <c r="CN40" s="16">
        <f>RecData[[#This Row],[Wind Dir. avg]]</f>
        <v>174.6</v>
      </c>
      <c r="CO40" s="16">
        <f>RecData[[#This Row],[Amb. Humidity]]</f>
        <v>90.7</v>
      </c>
      <c r="CP40" s="16">
        <f>RecData[[#This Row],[Amb. Temperature]]</f>
        <v>9.4</v>
      </c>
      <c r="CQ40" s="17">
        <f>RecData[[#This Row],[Amb. Rain Gauge]]</f>
        <v>0</v>
      </c>
      <c r="CR40" s="97" t="s">
        <v>1</v>
      </c>
      <c r="CS40" s="97" t="s">
        <v>49</v>
      </c>
      <c r="CT40" s="98">
        <v>1581.8823239999999</v>
      </c>
      <c r="CU40" s="98">
        <v>26.070619583129801</v>
      </c>
      <c r="CV40" s="98">
        <v>9.9988069534301705</v>
      </c>
      <c r="CW40" s="98">
        <v>15.205034255981399</v>
      </c>
      <c r="CX40" s="97"/>
      <c r="CY40" s="99"/>
      <c r="CZ40" s="2" t="b">
        <f>IF($DP$1="YES",IF(RecData[[#This Row],[Power (kW)]]&gt;=$CR$3, TRUE,FALSE),TRUE)</f>
        <v>1</v>
      </c>
      <c r="DA40" s="16">
        <f>MIN(MOD(180-ABS(ABS($DA$1-RecData[Yaw Angle (°)])-180),360),MOD(180-ABS(ABS($DB$1-RecData[Yaw Angle (°)])-180),360))</f>
        <v>18.540692805442262</v>
      </c>
      <c r="DB40" s="2" t="str">
        <f>IF($DP$2="None","None",IF(RecData[[#This Row],[Relative Wind Direction]]&lt;=45,"DW",IF(RecData[[#This Row],[Relative Wind Direction]]&lt;=135,"CW","UW")))</f>
        <v>DW</v>
      </c>
      <c r="DC40" s="61" t="e">
        <f>IF($CL40-$CL38&gt;1/24,#REF!,IF(SUM($CQ38:$CQ40)&gt;$DS$1,$DS$5,DC41-1))</f>
        <v>#REF!</v>
      </c>
      <c r="DD40" s="61" t="e">
        <f>IF($CL41-$CL40&gt;1/24,#REF!,IF(SUM($CQ38:$CQ40)&gt;$DS$1,$DS$6,DD39-1))</f>
        <v>#REF!</v>
      </c>
      <c r="DE40" s="18" t="b">
        <v>0</v>
      </c>
      <c r="DF40" s="2" t="b">
        <f>IF(OR(RecData[[#This Row],[WSpd_Avg '[m/s']]]-RecData[[#This Row],[Wind Speed min]]&gt;=$DF$3,RecData[[#This Row],[Wind Speed max]]-RecData[[#This Row],[WSpd_Avg '[m/s']]]&gt;=$DF$2),TRUE,FALSE)</f>
        <v>0</v>
      </c>
      <c r="DG40" s="2" t="b">
        <f>RecData[[#This Row],[Temperature '[°C']]]&lt;=-20</f>
        <v>0</v>
      </c>
      <c r="DH40" s="18" t="b">
        <f>NOT(OR(MOD(RecData[[#This Row],[TIMESTAMP]],1)&gt;0.91632,MOD(RecData[[#This Row],[TIMESTAMP]],1)&lt;0.208681))</f>
        <v>0</v>
      </c>
      <c r="DI40" s="18" t="b">
        <f>RecData[[#This Row],[Overall (dBA)]]-RecData[[#This Row],[L90]]&gt;=$DS$4</f>
        <v>0</v>
      </c>
      <c r="DJ40" s="18" t="b">
        <f>RecData[[#This Row],[Overall (dBA)]]&gt;$DS$2</f>
        <v>0</v>
      </c>
      <c r="DK40" s="18" t="b">
        <f>RecData[[#This Row],[Overall (dBA)]]&lt;$DS$3</f>
        <v>0</v>
      </c>
      <c r="DL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0" s="2">
        <f>IF(AND(RecData[[#This Row],[Turbines ON/OFF]] = "OFF", NOT(OR(RecData[[#This Row],[Junk?]]="YES",RecData[[#This Row],[Gust?]],RecData[[#This Row],[Rain?]:[Min SPL Threshold?]]))),1,0)</f>
        <v>0</v>
      </c>
      <c r="DN40" s="16">
        <f>RecData[[#This Row],[dBA Sum]]</f>
        <v>38.772985006523285</v>
      </c>
      <c r="DO40" s="16">
        <f>RecData[[#This Row],[LAF90.0]]</f>
        <v>40.200000000000003</v>
      </c>
      <c r="DP40" s="55">
        <f>IF(AND(RecData[[#This Row],[Useable TON Data?]],RecData[[#This Row],[Turbines ON/OFF]]="ON"),RecData[[#This Row],[dBA Sum]],"")</f>
        <v>38.772985006523285</v>
      </c>
      <c r="DQ40" s="55" t="str">
        <f>IF(AND(RecData[[#This Row],[Useable Background Data?]],RecData[[#This Row],[Turbines ON/OFF]]="OFF"),RecData[[#This Row],[dBA Sum]],"")</f>
        <v/>
      </c>
      <c r="DR40" s="3">
        <f>IF(OR(RecData[[#This Row],[Useable TON Data?]],RecData[[#This Row],[Useable Background Data?]]),ROUND(RecData[[#This Row],[WSpd_Avg '[m/s']]],0),"")</f>
        <v>1</v>
      </c>
      <c r="DS40" s="85">
        <f>(0.00002)^2*(10^(RecData[[#This Row],[Overall (dBA)]]/10))</f>
        <v>3.0154941617715526E-6</v>
      </c>
    </row>
    <row r="41" spans="1:123" ht="15" x14ac:dyDescent="0.25">
      <c r="A41" s="3" t="s">
        <v>249</v>
      </c>
      <c r="B41" s="12">
        <v>43252.102777777778</v>
      </c>
      <c r="C41" s="3"/>
      <c r="D41" s="3">
        <v>42.3</v>
      </c>
      <c r="E41" s="3"/>
      <c r="F41" s="3"/>
      <c r="G41" s="3"/>
      <c r="H41" s="3"/>
      <c r="I41" s="3"/>
      <c r="J41" s="3"/>
      <c r="K41" s="3">
        <v>40.6</v>
      </c>
      <c r="L41" s="3"/>
      <c r="M41" s="3"/>
      <c r="N41" s="3">
        <v>135.4</v>
      </c>
      <c r="O41" s="3"/>
      <c r="P41" s="3"/>
      <c r="Q41" s="3">
        <v>1.53</v>
      </c>
      <c r="R41" s="3">
        <v>0.1</v>
      </c>
      <c r="S41" s="3">
        <v>2.9</v>
      </c>
      <c r="T41" s="3">
        <v>9.4</v>
      </c>
      <c r="U41" s="3">
        <v>91</v>
      </c>
      <c r="V41" s="3">
        <v>964</v>
      </c>
      <c r="W41" s="3">
        <v>0</v>
      </c>
      <c r="X41" s="3">
        <v>43.8</v>
      </c>
      <c r="Y41" s="3">
        <v>44.2</v>
      </c>
      <c r="Z41" s="3">
        <v>44.1</v>
      </c>
      <c r="AA41" s="3">
        <v>40.1</v>
      </c>
      <c r="AB41" s="3">
        <v>35</v>
      </c>
      <c r="AC41" s="3">
        <v>34.9</v>
      </c>
      <c r="AD41" s="3">
        <v>38</v>
      </c>
      <c r="AE41" s="3">
        <v>40.700000000000003</v>
      </c>
      <c r="AF41" s="3">
        <v>44.2</v>
      </c>
      <c r="AG41" s="3">
        <v>38</v>
      </c>
      <c r="AH41" s="3">
        <v>37.5</v>
      </c>
      <c r="AI41" s="3">
        <v>37.1</v>
      </c>
      <c r="AJ41" s="3">
        <v>36</v>
      </c>
      <c r="AK41" s="3">
        <v>34.4</v>
      </c>
      <c r="AL41" s="3">
        <v>32.6</v>
      </c>
      <c r="AM41" s="3">
        <v>32.200000000000003</v>
      </c>
      <c r="AN41" s="3">
        <v>31.3</v>
      </c>
      <c r="AO41" s="3">
        <v>29.1</v>
      </c>
      <c r="AP41" s="3">
        <v>27.7</v>
      </c>
      <c r="AQ41" s="3">
        <v>26.8</v>
      </c>
      <c r="AR41" s="3">
        <v>25.3</v>
      </c>
      <c r="AS41" s="3">
        <v>29.6</v>
      </c>
      <c r="AT41" s="3">
        <v>36.4</v>
      </c>
      <c r="AU41" s="3">
        <v>20.8</v>
      </c>
      <c r="AV41" s="3">
        <v>18.600000000000001</v>
      </c>
      <c r="AW41" s="3">
        <v>16.899999999999999</v>
      </c>
      <c r="AX41" s="3">
        <v>12.6</v>
      </c>
      <c r="AY41" s="3">
        <v>11</v>
      </c>
      <c r="AZ41" s="3">
        <v>0</v>
      </c>
      <c r="BA41" s="3">
        <v>0</v>
      </c>
      <c r="BB41" s="3">
        <v>0</v>
      </c>
      <c r="BC41" s="3">
        <v>42.283581198670689</v>
      </c>
      <c r="BD41" s="3">
        <v>43.816418801329306</v>
      </c>
      <c r="BE41" s="3">
        <v>44.216418801329311</v>
      </c>
      <c r="BF41" s="3">
        <v>42.876418801329308</v>
      </c>
      <c r="BG41" s="3">
        <v>39.203085467995976</v>
      </c>
      <c r="BH41" s="3">
        <v>34.243085467995982</v>
      </c>
      <c r="BI41" s="3">
        <v>34.556418801329315</v>
      </c>
      <c r="BJ41" s="3">
        <v>38.449752134662631</v>
      </c>
      <c r="BK41" s="3">
        <v>41.023085467995983</v>
      </c>
      <c r="BL41" s="3">
        <v>44.096418801329307</v>
      </c>
      <c r="BM41" s="3">
        <v>38.029752134662644</v>
      </c>
      <c r="BN41" s="3">
        <v>37.813085467995975</v>
      </c>
      <c r="BO41" s="3">
        <v>36.779752134662644</v>
      </c>
      <c r="BP41" s="3">
        <v>35.396418801329318</v>
      </c>
      <c r="BQ41" s="3">
        <v>34.213085467995967</v>
      </c>
      <c r="BR41" s="3">
        <v>32.739752134662652</v>
      </c>
      <c r="BS41" s="3">
        <v>32.143085467995988</v>
      </c>
      <c r="BT41" s="3">
        <v>31.439752134662641</v>
      </c>
      <c r="BU41" s="3">
        <v>29.20641880132932</v>
      </c>
      <c r="BV41" s="3">
        <v>27.523085467995983</v>
      </c>
      <c r="BW41" s="3">
        <v>27.156418801329309</v>
      </c>
      <c r="BX41" s="3">
        <v>25.576418801329311</v>
      </c>
      <c r="BY41" s="3">
        <v>29.696418801329301</v>
      </c>
      <c r="BZ41" s="3">
        <v>36.626418801329308</v>
      </c>
      <c r="CA41" s="3">
        <v>21.126418801329301</v>
      </c>
      <c r="CB41" s="3">
        <v>18.363085467995973</v>
      </c>
      <c r="CC41" s="3">
        <v>16.876418801329308</v>
      </c>
      <c r="CD41" s="3">
        <v>11.883085467995983</v>
      </c>
      <c r="CE41" s="3">
        <v>10.476418801329309</v>
      </c>
      <c r="CF41" s="3">
        <v>-0.91024786533736091</v>
      </c>
      <c r="CG41" s="3">
        <v>-1.4435811986706923</v>
      </c>
      <c r="CH41" s="3">
        <v>-2.5202478653373603</v>
      </c>
      <c r="CI41" s="13">
        <f>[1]!dbasum(RecData[[#This Row],[20]:[2000]],RecData[[#Headers],[20]:[2000]])</f>
        <v>39.824884743870385</v>
      </c>
      <c r="CJ41" s="14">
        <v>693</v>
      </c>
      <c r="CK41" s="15" t="s">
        <v>249</v>
      </c>
      <c r="CL41" s="15">
        <f>RecData[[#This Row],[Start Time]]</f>
        <v>43252.102777777778</v>
      </c>
      <c r="CM41" s="16">
        <f>RecData[[#This Row],[Wind Speed avg]]</f>
        <v>1.53</v>
      </c>
      <c r="CN41" s="16">
        <f>RecData[[#This Row],[Wind Dir. avg]]</f>
        <v>135.4</v>
      </c>
      <c r="CO41" s="16">
        <f>RecData[[#This Row],[Amb. Humidity]]</f>
        <v>91</v>
      </c>
      <c r="CP41" s="16">
        <f>RecData[[#This Row],[Amb. Temperature]]</f>
        <v>9.4</v>
      </c>
      <c r="CQ41" s="17">
        <f>RecData[[#This Row],[Amb. Rain Gauge]]</f>
        <v>0</v>
      </c>
      <c r="CR41" s="97" t="s">
        <v>1</v>
      </c>
      <c r="CS41" s="97" t="s">
        <v>49</v>
      </c>
      <c r="CT41" s="98">
        <v>1581.8823239999999</v>
      </c>
      <c r="CU41" s="98">
        <v>26.070619583129801</v>
      </c>
      <c r="CV41" s="98">
        <v>9.9988069534301705</v>
      </c>
      <c r="CW41" s="98">
        <v>15.205034255981399</v>
      </c>
      <c r="CX41" s="97"/>
      <c r="CY41" s="99"/>
      <c r="CZ41" s="2" t="b">
        <f>IF($DP$1="YES",IF(RecData[[#This Row],[Power (kW)]]&gt;=$CR$3, TRUE,FALSE),TRUE)</f>
        <v>1</v>
      </c>
      <c r="DA41" s="16">
        <f>MIN(MOD(180-ABS(ABS($DA$1-RecData[Yaw Angle (°)])-180),360),MOD(180-ABS(ABS($DB$1-RecData[Yaw Angle (°)])-180),360))</f>
        <v>18.540692805442262</v>
      </c>
      <c r="DB41" s="2" t="str">
        <f>IF($DP$2="None","None",IF(RecData[[#This Row],[Relative Wind Direction]]&lt;=45,"DW",IF(RecData[[#This Row],[Relative Wind Direction]]&lt;=135,"CW","UW")))</f>
        <v>DW</v>
      </c>
      <c r="DC41" s="61" t="e">
        <f>IF($CL41-#REF!&gt;1/24,#REF!,IF(SUM($CQ39:$CQ41)&gt;$DS$1,$DS$5,DC42-1))</f>
        <v>#REF!</v>
      </c>
      <c r="DD41" s="61" t="e">
        <f>IF($CL42-$CL41&gt;1/24,#REF!,IF(SUM($CQ39:$CQ41)&gt;$DS$1,$DS$6,DD40-1))</f>
        <v>#REF!</v>
      </c>
      <c r="DE41" s="18" t="b">
        <v>0</v>
      </c>
      <c r="DF41" s="2" t="b">
        <f>IF(OR(RecData[[#This Row],[WSpd_Avg '[m/s']]]-RecData[[#This Row],[Wind Speed min]]&gt;=$DF$3,RecData[[#This Row],[Wind Speed max]]-RecData[[#This Row],[WSpd_Avg '[m/s']]]&gt;=$DF$2),TRUE,FALSE)</f>
        <v>0</v>
      </c>
      <c r="DG41" s="2" t="b">
        <f>RecData[[#This Row],[Temperature '[°C']]]&lt;=-20</f>
        <v>0</v>
      </c>
      <c r="DH41" s="18" t="b">
        <f>NOT(OR(MOD(RecData[[#This Row],[TIMESTAMP]],1)&gt;0.91632,MOD(RecData[[#This Row],[TIMESTAMP]],1)&lt;0.208681))</f>
        <v>0</v>
      </c>
      <c r="DI41" s="18" t="b">
        <f>RecData[[#This Row],[Overall (dBA)]]-RecData[[#This Row],[L90]]&gt;=$DS$4</f>
        <v>0</v>
      </c>
      <c r="DJ41" s="18" t="b">
        <f>RecData[[#This Row],[Overall (dBA)]]&gt;$DS$2</f>
        <v>0</v>
      </c>
      <c r="DK41" s="18" t="b">
        <f>RecData[[#This Row],[Overall (dBA)]]&lt;$DS$3</f>
        <v>0</v>
      </c>
      <c r="DL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1" s="2">
        <f>IF(AND(RecData[[#This Row],[Turbines ON/OFF]] = "OFF", NOT(OR(RecData[[#This Row],[Junk?]]="YES",RecData[[#This Row],[Gust?]],RecData[[#This Row],[Rain?]:[Min SPL Threshold?]]))),1,0)</f>
        <v>0</v>
      </c>
      <c r="DN41" s="16">
        <f>RecData[[#This Row],[dBA Sum]]</f>
        <v>39.824884743870385</v>
      </c>
      <c r="DO41" s="16">
        <f>RecData[[#This Row],[LAF90.0]]</f>
        <v>40.6</v>
      </c>
      <c r="DP41" s="55">
        <f>IF(AND(RecData[[#This Row],[Useable TON Data?]],RecData[[#This Row],[Turbines ON/OFF]]="ON"),RecData[[#This Row],[dBA Sum]],"")</f>
        <v>39.824884743870385</v>
      </c>
      <c r="DQ41" s="55" t="str">
        <f>IF(AND(RecData[[#This Row],[Useable Background Data?]],RecData[[#This Row],[Turbines ON/OFF]]="OFF"),RecData[[#This Row],[dBA Sum]],"")</f>
        <v/>
      </c>
      <c r="DR41" s="3">
        <f>IF(OR(RecData[[#This Row],[Useable TON Data?]],RecData[[#This Row],[Useable Background Data?]]),ROUND(RecData[[#This Row],[WSpd_Avg '[m/s']]],0),"")</f>
        <v>2</v>
      </c>
      <c r="DS41" s="85">
        <f>(0.00002)^2*(10^(RecData[[#This Row],[Overall (dBA)]]/10))</f>
        <v>3.8419213125791967E-6</v>
      </c>
    </row>
    <row r="42" spans="1:123" ht="15" x14ac:dyDescent="0.25">
      <c r="A42" s="3" t="s">
        <v>249</v>
      </c>
      <c r="B42" s="12">
        <v>43252.103472222225</v>
      </c>
      <c r="C42" s="3"/>
      <c r="D42" s="3">
        <v>42.4</v>
      </c>
      <c r="E42" s="3"/>
      <c r="F42" s="3"/>
      <c r="G42" s="3"/>
      <c r="H42" s="3"/>
      <c r="I42" s="3"/>
      <c r="J42" s="3"/>
      <c r="K42" s="3">
        <v>40</v>
      </c>
      <c r="L42" s="3"/>
      <c r="M42" s="3"/>
      <c r="N42" s="3">
        <v>125.2</v>
      </c>
      <c r="O42" s="3"/>
      <c r="P42" s="3"/>
      <c r="Q42" s="3">
        <v>2.5</v>
      </c>
      <c r="R42" s="3">
        <v>1.6</v>
      </c>
      <c r="S42" s="3">
        <v>3.6</v>
      </c>
      <c r="T42" s="3">
        <v>9.3000000000000007</v>
      </c>
      <c r="U42" s="3">
        <v>90.5</v>
      </c>
      <c r="V42" s="3">
        <v>964</v>
      </c>
      <c r="W42" s="3">
        <v>0</v>
      </c>
      <c r="X42" s="3">
        <v>44.3</v>
      </c>
      <c r="Y42" s="3">
        <v>43.5</v>
      </c>
      <c r="Z42" s="3">
        <v>42.8</v>
      </c>
      <c r="AA42" s="3">
        <v>38</v>
      </c>
      <c r="AB42" s="3">
        <v>33.700000000000003</v>
      </c>
      <c r="AC42" s="3">
        <v>33.200000000000003</v>
      </c>
      <c r="AD42" s="3">
        <v>36.799999999999997</v>
      </c>
      <c r="AE42" s="3">
        <v>39.299999999999997</v>
      </c>
      <c r="AF42" s="3">
        <v>45.4</v>
      </c>
      <c r="AG42" s="3">
        <v>36.5</v>
      </c>
      <c r="AH42" s="3">
        <v>37.5</v>
      </c>
      <c r="AI42" s="3">
        <v>37.200000000000003</v>
      </c>
      <c r="AJ42" s="3">
        <v>35.700000000000003</v>
      </c>
      <c r="AK42" s="3">
        <v>33.700000000000003</v>
      </c>
      <c r="AL42" s="3">
        <v>31</v>
      </c>
      <c r="AM42" s="3">
        <v>29.4</v>
      </c>
      <c r="AN42" s="3">
        <v>28.1</v>
      </c>
      <c r="AO42" s="3">
        <v>26.2</v>
      </c>
      <c r="AP42" s="3">
        <v>24.6</v>
      </c>
      <c r="AQ42" s="3">
        <v>24.2</v>
      </c>
      <c r="AR42" s="3">
        <v>23.4</v>
      </c>
      <c r="AS42" s="3">
        <v>31.1</v>
      </c>
      <c r="AT42" s="3">
        <v>37.9</v>
      </c>
      <c r="AU42" s="3">
        <v>21.7</v>
      </c>
      <c r="AV42" s="3">
        <v>20.399999999999999</v>
      </c>
      <c r="AW42" s="3">
        <v>19.2</v>
      </c>
      <c r="AX42" s="3">
        <v>15.3</v>
      </c>
      <c r="AY42" s="3">
        <v>13.9</v>
      </c>
      <c r="AZ42" s="3">
        <v>0</v>
      </c>
      <c r="BA42" s="3">
        <v>0</v>
      </c>
      <c r="BB42" s="3">
        <v>0</v>
      </c>
      <c r="BC42" s="3">
        <v>42.375643274419502</v>
      </c>
      <c r="BD42" s="3">
        <v>44.324356725580486</v>
      </c>
      <c r="BE42" s="3">
        <v>43.524356725580503</v>
      </c>
      <c r="BF42" s="3">
        <v>41.584356725580491</v>
      </c>
      <c r="BG42" s="3">
        <v>37.111023392247162</v>
      </c>
      <c r="BH42" s="3">
        <v>32.951023392247166</v>
      </c>
      <c r="BI42" s="3">
        <v>32.864356725580507</v>
      </c>
      <c r="BJ42" s="3">
        <v>37.257690058913823</v>
      </c>
      <c r="BK42" s="3">
        <v>39.631023392247158</v>
      </c>
      <c r="BL42" s="3">
        <v>45.304356725580504</v>
      </c>
      <c r="BM42" s="3">
        <v>36.537690058913824</v>
      </c>
      <c r="BN42" s="3">
        <v>37.821023392247156</v>
      </c>
      <c r="BO42" s="3">
        <v>36.887690058913833</v>
      </c>
      <c r="BP42" s="3">
        <v>35.104356725580502</v>
      </c>
      <c r="BQ42" s="3">
        <v>33.521023392247159</v>
      </c>
      <c r="BR42" s="3">
        <v>31.147690058913838</v>
      </c>
      <c r="BS42" s="3">
        <v>29.351023392247157</v>
      </c>
      <c r="BT42" s="3">
        <v>28.247690058913832</v>
      </c>
      <c r="BU42" s="3">
        <v>26.314356725580495</v>
      </c>
      <c r="BV42" s="3">
        <v>24.43102339224717</v>
      </c>
      <c r="BW42" s="3">
        <v>24.564356725580495</v>
      </c>
      <c r="BX42" s="3">
        <v>23.6843567255805</v>
      </c>
      <c r="BY42" s="3">
        <v>31.204356725580496</v>
      </c>
      <c r="BZ42" s="3">
        <v>38.134356725580489</v>
      </c>
      <c r="CA42" s="3">
        <v>22.034356725580494</v>
      </c>
      <c r="CB42" s="3">
        <v>20.171023392247164</v>
      </c>
      <c r="CC42" s="3">
        <v>19.184356725580493</v>
      </c>
      <c r="CD42" s="3">
        <v>14.591023392247166</v>
      </c>
      <c r="CE42" s="3">
        <v>13.384356725580496</v>
      </c>
      <c r="CF42" s="3">
        <v>-0.90230994108617324</v>
      </c>
      <c r="CG42" s="3">
        <v>-1.4356432744195047</v>
      </c>
      <c r="CH42" s="3">
        <v>-2.5123099410861727</v>
      </c>
      <c r="CI42" s="13">
        <f>[1]!dbasum(RecData[[#This Row],[20]:[2000]],RecData[[#Headers],[20]:[2000]])</f>
        <v>38.405704123363968</v>
      </c>
      <c r="CJ42" s="14">
        <v>694</v>
      </c>
      <c r="CK42" s="15" t="s">
        <v>249</v>
      </c>
      <c r="CL42" s="15">
        <f>RecData[[#This Row],[Start Time]]</f>
        <v>43252.103472222225</v>
      </c>
      <c r="CM42" s="16">
        <f>RecData[[#This Row],[Wind Speed avg]]</f>
        <v>2.5</v>
      </c>
      <c r="CN42" s="16">
        <f>RecData[[#This Row],[Wind Dir. avg]]</f>
        <v>125.2</v>
      </c>
      <c r="CO42" s="16">
        <f>RecData[[#This Row],[Amb. Humidity]]</f>
        <v>90.5</v>
      </c>
      <c r="CP42" s="16">
        <f>RecData[[#This Row],[Amb. Temperature]]</f>
        <v>9.3000000000000007</v>
      </c>
      <c r="CQ42" s="17">
        <f>RecData[[#This Row],[Amb. Rain Gauge]]</f>
        <v>0</v>
      </c>
      <c r="CR42" s="97" t="s">
        <v>1</v>
      </c>
      <c r="CS42" s="97" t="s">
        <v>49</v>
      </c>
      <c r="CT42" s="98">
        <v>1581.8823239999999</v>
      </c>
      <c r="CU42" s="98">
        <v>26.070619583129801</v>
      </c>
      <c r="CV42" s="98">
        <v>9.9988069534301705</v>
      </c>
      <c r="CW42" s="98">
        <v>15.205034255981399</v>
      </c>
      <c r="CX42" s="97"/>
      <c r="CY42" s="99"/>
      <c r="CZ42" s="2" t="b">
        <f>IF($DP$1="YES",IF(RecData[[#This Row],[Power (kW)]]&gt;=$CR$3, TRUE,FALSE),TRUE)</f>
        <v>1</v>
      </c>
      <c r="DA42" s="16">
        <f>MIN(MOD(180-ABS(ABS($DA$1-RecData[Yaw Angle (°)])-180),360),MOD(180-ABS(ABS($DB$1-RecData[Yaw Angle (°)])-180),360))</f>
        <v>18.540692805442262</v>
      </c>
      <c r="DB42" s="2" t="str">
        <f>IF($DP$2="None","None",IF(RecData[[#This Row],[Relative Wind Direction]]&lt;=45,"DW",IF(RecData[[#This Row],[Relative Wind Direction]]&lt;=135,"CW","UW")))</f>
        <v>DW</v>
      </c>
      <c r="DC42" s="61">
        <v>-1</v>
      </c>
      <c r="DD42" s="61">
        <v>-1</v>
      </c>
      <c r="DE42" s="18" t="b">
        <v>0</v>
      </c>
      <c r="DF42" s="2" t="b">
        <f>IF(OR(RecData[[#This Row],[WSpd_Avg '[m/s']]]-RecData[[#This Row],[Wind Speed min]]&gt;=$DF$3,RecData[[#This Row],[Wind Speed max]]-RecData[[#This Row],[WSpd_Avg '[m/s']]]&gt;=$DF$2),TRUE,FALSE)</f>
        <v>0</v>
      </c>
      <c r="DG42" s="2" t="b">
        <f>RecData[[#This Row],[Temperature '[°C']]]&lt;=-20</f>
        <v>0</v>
      </c>
      <c r="DH42" s="18" t="b">
        <f>NOT(OR(MOD(RecData[[#This Row],[TIMESTAMP]],1)&gt;0.91632,MOD(RecData[[#This Row],[TIMESTAMP]],1)&lt;0.208681))</f>
        <v>0</v>
      </c>
      <c r="DI42" s="18" t="b">
        <f>RecData[[#This Row],[Overall (dBA)]]-RecData[[#This Row],[L90]]&gt;=$DS$4</f>
        <v>0</v>
      </c>
      <c r="DJ42" s="18" t="b">
        <f>RecData[[#This Row],[Overall (dBA)]]&gt;$DS$2</f>
        <v>0</v>
      </c>
      <c r="DK42" s="18" t="b">
        <f>RecData[[#This Row],[Overall (dBA)]]&lt;$DS$3</f>
        <v>0</v>
      </c>
      <c r="DL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2" s="2">
        <f>IF(AND(RecData[[#This Row],[Turbines ON/OFF]] = "OFF", NOT(OR(RecData[[#This Row],[Junk?]]="YES",RecData[[#This Row],[Gust?]],RecData[[#This Row],[Rain?]:[Min SPL Threshold?]]))),1,0)</f>
        <v>0</v>
      </c>
      <c r="DN42" s="16">
        <f>RecData[[#This Row],[dBA Sum]]</f>
        <v>38.405704123363968</v>
      </c>
      <c r="DO42" s="16">
        <f>RecData[[#This Row],[LAF90.0]]</f>
        <v>40</v>
      </c>
      <c r="DP42" s="55">
        <f>IF(AND(RecData[[#This Row],[Useable TON Data?]],RecData[[#This Row],[Turbines ON/OFF]]="ON"),RecData[[#This Row],[dBA Sum]],"")</f>
        <v>38.405704123363968</v>
      </c>
      <c r="DQ42" s="55" t="str">
        <f>IF(AND(RecData[[#This Row],[Useable Background Data?]],RecData[[#This Row],[Turbines ON/OFF]]="OFF"),RecData[[#This Row],[dBA Sum]],"")</f>
        <v/>
      </c>
      <c r="DR42" s="3">
        <f>IF(OR(RecData[[#This Row],[Useable TON Data?]],RecData[[#This Row],[Useable Background Data?]]),ROUND(RecData[[#This Row],[WSpd_Avg '[m/s']]],0),"")</f>
        <v>3</v>
      </c>
      <c r="DS42" s="85">
        <f>(0.00002)^2*(10^(RecData[[#This Row],[Overall (dBA)]]/10))</f>
        <v>2.7709609383269655E-6</v>
      </c>
    </row>
    <row r="43" spans="1:123" ht="15" x14ac:dyDescent="0.25">
      <c r="A43" s="3" t="s">
        <v>249</v>
      </c>
      <c r="B43" s="12">
        <v>43252.104861111111</v>
      </c>
      <c r="C43" s="3"/>
      <c r="D43" s="3">
        <v>42.5</v>
      </c>
      <c r="E43" s="3"/>
      <c r="F43" s="3"/>
      <c r="G43" s="3"/>
      <c r="H43" s="3"/>
      <c r="I43" s="3"/>
      <c r="J43" s="3"/>
      <c r="K43" s="3">
        <v>40.200000000000003</v>
      </c>
      <c r="L43" s="3"/>
      <c r="M43" s="3"/>
      <c r="N43" s="3">
        <v>164.8</v>
      </c>
      <c r="O43" s="3"/>
      <c r="P43" s="3"/>
      <c r="Q43" s="3">
        <v>1.37</v>
      </c>
      <c r="R43" s="3">
        <v>0.4</v>
      </c>
      <c r="S43" s="3">
        <v>2.5</v>
      </c>
      <c r="T43" s="3">
        <v>9.3000000000000007</v>
      </c>
      <c r="U43" s="3">
        <v>90.3</v>
      </c>
      <c r="V43" s="3">
        <v>964</v>
      </c>
      <c r="W43" s="3">
        <v>0</v>
      </c>
      <c r="X43" s="3">
        <v>45.2</v>
      </c>
      <c r="Y43" s="3">
        <v>45.2</v>
      </c>
      <c r="Z43" s="3">
        <v>44.2</v>
      </c>
      <c r="AA43" s="3">
        <v>40.4</v>
      </c>
      <c r="AB43" s="3">
        <v>35.9</v>
      </c>
      <c r="AC43" s="3">
        <v>33.9</v>
      </c>
      <c r="AD43" s="3">
        <v>37.5</v>
      </c>
      <c r="AE43" s="3">
        <v>40.200000000000003</v>
      </c>
      <c r="AF43" s="3">
        <v>44.4</v>
      </c>
      <c r="AG43" s="3">
        <v>38.299999999999997</v>
      </c>
      <c r="AH43" s="3">
        <v>36.799999999999997</v>
      </c>
      <c r="AI43" s="3">
        <v>37.1</v>
      </c>
      <c r="AJ43" s="3">
        <v>36</v>
      </c>
      <c r="AK43" s="3">
        <v>34.6</v>
      </c>
      <c r="AL43" s="3">
        <v>32.799999999999997</v>
      </c>
      <c r="AM43" s="3">
        <v>32.200000000000003</v>
      </c>
      <c r="AN43" s="3">
        <v>31</v>
      </c>
      <c r="AO43" s="3">
        <v>28.8</v>
      </c>
      <c r="AP43" s="3">
        <v>27.1</v>
      </c>
      <c r="AQ43" s="3">
        <v>26</v>
      </c>
      <c r="AR43" s="3">
        <v>24.3</v>
      </c>
      <c r="AS43" s="3">
        <v>30.9</v>
      </c>
      <c r="AT43" s="3">
        <v>36.9</v>
      </c>
      <c r="AU43" s="3">
        <v>17.8</v>
      </c>
      <c r="AV43" s="3">
        <v>15.6</v>
      </c>
      <c r="AW43" s="3">
        <v>14</v>
      </c>
      <c r="AX43" s="3">
        <v>10.8</v>
      </c>
      <c r="AY43" s="3">
        <v>10.1</v>
      </c>
      <c r="AZ43" s="3">
        <v>0</v>
      </c>
      <c r="BA43" s="3">
        <v>0</v>
      </c>
      <c r="BB43" s="3">
        <v>0</v>
      </c>
      <c r="BC43" s="3">
        <v>42.439979413480401</v>
      </c>
      <c r="BD43" s="3">
        <v>45.260020586519602</v>
      </c>
      <c r="BE43" s="3">
        <v>45.260020586519602</v>
      </c>
      <c r="BF43" s="3">
        <v>43.020020586519607</v>
      </c>
      <c r="BG43" s="3">
        <v>39.546687253186263</v>
      </c>
      <c r="BH43" s="3">
        <v>35.186687253186264</v>
      </c>
      <c r="BI43" s="3">
        <v>33.600020586519591</v>
      </c>
      <c r="BJ43" s="3">
        <v>37.993353919852936</v>
      </c>
      <c r="BK43" s="3">
        <v>40.566687253186259</v>
      </c>
      <c r="BL43" s="3">
        <v>44.3400205865196</v>
      </c>
      <c r="BM43" s="3">
        <v>38.373353919852931</v>
      </c>
      <c r="BN43" s="3">
        <v>37.156687253186263</v>
      </c>
      <c r="BO43" s="3">
        <v>36.823353919852934</v>
      </c>
      <c r="BP43" s="3">
        <v>35.440020586519594</v>
      </c>
      <c r="BQ43" s="3">
        <v>34.45668725318626</v>
      </c>
      <c r="BR43" s="3">
        <v>32.983353919852931</v>
      </c>
      <c r="BS43" s="3">
        <v>32.186687253186264</v>
      </c>
      <c r="BT43" s="3">
        <v>31.183353919852934</v>
      </c>
      <c r="BU43" s="3">
        <v>28.950020586519599</v>
      </c>
      <c r="BV43" s="3">
        <v>26.966687253186265</v>
      </c>
      <c r="BW43" s="3">
        <v>26.400020586519602</v>
      </c>
      <c r="BX43" s="3">
        <v>24.620020586519601</v>
      </c>
      <c r="BY43" s="3">
        <v>31.040020586519589</v>
      </c>
      <c r="BZ43" s="3">
        <v>37.170020586519598</v>
      </c>
      <c r="CA43" s="3">
        <v>18.170020586519591</v>
      </c>
      <c r="CB43" s="3">
        <v>15.406687253186263</v>
      </c>
      <c r="CC43" s="3">
        <v>14.0200205865196</v>
      </c>
      <c r="CD43" s="3">
        <v>10.126687253186269</v>
      </c>
      <c r="CE43" s="3">
        <v>9.6200205865196011</v>
      </c>
      <c r="CF43" s="3">
        <v>-0.86664608014707056</v>
      </c>
      <c r="CG43" s="3">
        <v>-1.399979413480402</v>
      </c>
      <c r="CH43" s="3">
        <v>-2.47664608014707</v>
      </c>
      <c r="CI43" s="13">
        <f>[1]!dbasum(RecData[[#This Row],[20]:[2000]],RecData[[#Headers],[20]:[2000]])</f>
        <v>39.690713533711666</v>
      </c>
      <c r="CJ43" s="14">
        <v>696</v>
      </c>
      <c r="CK43" s="15" t="s">
        <v>249</v>
      </c>
      <c r="CL43" s="15">
        <f>RecData[[#This Row],[Start Time]]</f>
        <v>43252.104861111111</v>
      </c>
      <c r="CM43" s="16">
        <f>RecData[[#This Row],[Wind Speed avg]]</f>
        <v>1.37</v>
      </c>
      <c r="CN43" s="16">
        <f>RecData[[#This Row],[Wind Dir. avg]]</f>
        <v>164.8</v>
      </c>
      <c r="CO43" s="16">
        <f>RecData[[#This Row],[Amb. Humidity]]</f>
        <v>90.3</v>
      </c>
      <c r="CP43" s="16">
        <f>RecData[[#This Row],[Amb. Temperature]]</f>
        <v>9.3000000000000007</v>
      </c>
      <c r="CQ43" s="17">
        <f>RecData[[#This Row],[Amb. Rain Gauge]]</f>
        <v>0</v>
      </c>
      <c r="CR43" s="97" t="s">
        <v>1</v>
      </c>
      <c r="CS43" s="97" t="s">
        <v>49</v>
      </c>
      <c r="CT43" s="98">
        <v>1591.672607</v>
      </c>
      <c r="CU43" s="98">
        <v>24.000202178955</v>
      </c>
      <c r="CV43" s="98">
        <v>10.6678094863891</v>
      </c>
      <c r="CW43" s="98">
        <v>15.3256273269653</v>
      </c>
      <c r="CX43" s="97"/>
      <c r="CY43" s="99"/>
      <c r="CZ43" s="2" t="b">
        <f>IF($DP$1="YES",IF(RecData[[#This Row],[Power (kW)]]&gt;=$CR$3, TRUE,FALSE),TRUE)</f>
        <v>1</v>
      </c>
      <c r="DA43" s="16">
        <f>MIN(MOD(180-ABS(ABS($DA$1-RecData[Yaw Angle (°)])-180),360),MOD(180-ABS(ABS($DB$1-RecData[Yaw Angle (°)])-180),360))</f>
        <v>16.470275401267457</v>
      </c>
      <c r="DB43" s="2" t="str">
        <f>IF($DP$2="None","None",IF(RecData[[#This Row],[Relative Wind Direction]]&lt;=45,"DW",IF(RecData[[#This Row],[Relative Wind Direction]]&lt;=135,"CW","UW")))</f>
        <v>DW</v>
      </c>
      <c r="DC43" s="61" t="e">
        <f>IF($CL43-$CL42&gt;1/24,#REF!,IF(SUM($CQ42:$CQ43)&gt;$DS$1,$DS$5,#REF!-1))</f>
        <v>#REF!</v>
      </c>
      <c r="DD43" s="61" t="e">
        <f>IF(#REF!-$CL43&gt;1/24,#REF!,IF(SUM($CQ42:$CQ43)&gt;$DS$1,$DS$6,#REF!-1))</f>
        <v>#REF!</v>
      </c>
      <c r="DE43" s="18" t="b">
        <v>0</v>
      </c>
      <c r="DF43" s="2" t="b">
        <f>IF(OR(RecData[[#This Row],[WSpd_Avg '[m/s']]]-RecData[[#This Row],[Wind Speed min]]&gt;=$DF$3,RecData[[#This Row],[Wind Speed max]]-RecData[[#This Row],[WSpd_Avg '[m/s']]]&gt;=$DF$2),TRUE,FALSE)</f>
        <v>0</v>
      </c>
      <c r="DG43" s="2" t="b">
        <f>RecData[[#This Row],[Temperature '[°C']]]&lt;=-20</f>
        <v>0</v>
      </c>
      <c r="DH43" s="18" t="b">
        <f>NOT(OR(MOD(RecData[[#This Row],[TIMESTAMP]],1)&gt;0.91632,MOD(RecData[[#This Row],[TIMESTAMP]],1)&lt;0.208681))</f>
        <v>0</v>
      </c>
      <c r="DI43" s="18" t="b">
        <f>RecData[[#This Row],[Overall (dBA)]]-RecData[[#This Row],[L90]]&gt;=$DS$4</f>
        <v>0</v>
      </c>
      <c r="DJ43" s="18" t="b">
        <f>RecData[[#This Row],[Overall (dBA)]]&gt;$DS$2</f>
        <v>0</v>
      </c>
      <c r="DK43" s="18" t="b">
        <f>RecData[[#This Row],[Overall (dBA)]]&lt;$DS$3</f>
        <v>0</v>
      </c>
      <c r="DL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3" s="2">
        <f>IF(AND(RecData[[#This Row],[Turbines ON/OFF]] = "OFF", NOT(OR(RecData[[#This Row],[Junk?]]="YES",RecData[[#This Row],[Gust?]],RecData[[#This Row],[Rain?]:[Min SPL Threshold?]]))),1,0)</f>
        <v>0</v>
      </c>
      <c r="DN43" s="16">
        <f>RecData[[#This Row],[dBA Sum]]</f>
        <v>39.690713533711666</v>
      </c>
      <c r="DO43" s="16">
        <f>RecData[[#This Row],[LAF90.0]]</f>
        <v>40.200000000000003</v>
      </c>
      <c r="DP43" s="55">
        <f>IF(AND(RecData[[#This Row],[Useable TON Data?]],RecData[[#This Row],[Turbines ON/OFF]]="ON"),RecData[[#This Row],[dBA Sum]],"")</f>
        <v>39.690713533711666</v>
      </c>
      <c r="DQ43" s="55" t="str">
        <f>IF(AND(RecData[[#This Row],[Useable Background Data?]],RecData[[#This Row],[Turbines ON/OFF]]="OFF"),RecData[[#This Row],[dBA Sum]],"")</f>
        <v/>
      </c>
      <c r="DR43" s="3">
        <f>IF(OR(RecData[[#This Row],[Useable TON Data?]],RecData[[#This Row],[Useable Background Data?]]),ROUND(RecData[[#This Row],[WSpd_Avg '[m/s']]],0),"")</f>
        <v>1</v>
      </c>
      <c r="DS43" s="85">
        <f>(0.00002)^2*(10^(RecData[[#This Row],[Overall (dBA)]]/10))</f>
        <v>3.7250434658419964E-6</v>
      </c>
    </row>
    <row r="44" spans="1:123" ht="15" x14ac:dyDescent="0.25">
      <c r="A44" s="3" t="s">
        <v>249</v>
      </c>
      <c r="B44" s="12">
        <v>43252.106250000004</v>
      </c>
      <c r="C44" s="3"/>
      <c r="D44" s="3">
        <v>42.4</v>
      </c>
      <c r="E44" s="3"/>
      <c r="F44" s="3"/>
      <c r="G44" s="3"/>
      <c r="H44" s="3"/>
      <c r="I44" s="3"/>
      <c r="J44" s="3"/>
      <c r="K44" s="3">
        <v>40.200000000000003</v>
      </c>
      <c r="L44" s="3"/>
      <c r="M44" s="3"/>
      <c r="N44" s="3">
        <v>181.5</v>
      </c>
      <c r="O44" s="3"/>
      <c r="P44" s="3"/>
      <c r="Q44" s="3">
        <v>0.77</v>
      </c>
      <c r="R44" s="3">
        <v>0.4</v>
      </c>
      <c r="S44" s="3">
        <v>1.6</v>
      </c>
      <c r="T44" s="3">
        <v>9.1999999999999993</v>
      </c>
      <c r="U44" s="3">
        <v>90.8</v>
      </c>
      <c r="V44" s="3">
        <v>964.1</v>
      </c>
      <c r="W44" s="3">
        <v>0</v>
      </c>
      <c r="X44" s="3">
        <v>45.6</v>
      </c>
      <c r="Y44" s="3">
        <v>45.4</v>
      </c>
      <c r="Z44" s="3">
        <v>44.3</v>
      </c>
      <c r="AA44" s="3">
        <v>39.700000000000003</v>
      </c>
      <c r="AB44" s="3">
        <v>35.6</v>
      </c>
      <c r="AC44" s="3">
        <v>34.6</v>
      </c>
      <c r="AD44" s="3">
        <v>38.1</v>
      </c>
      <c r="AE44" s="3">
        <v>40.799999999999997</v>
      </c>
      <c r="AF44" s="3">
        <v>42.9</v>
      </c>
      <c r="AG44" s="3">
        <v>37.5</v>
      </c>
      <c r="AH44" s="3">
        <v>37.200000000000003</v>
      </c>
      <c r="AI44" s="3">
        <v>36.6</v>
      </c>
      <c r="AJ44" s="3">
        <v>35.6</v>
      </c>
      <c r="AK44" s="3">
        <v>33.9</v>
      </c>
      <c r="AL44" s="3">
        <v>31.6</v>
      </c>
      <c r="AM44" s="3">
        <v>31.1</v>
      </c>
      <c r="AN44" s="3">
        <v>29.9</v>
      </c>
      <c r="AO44" s="3">
        <v>27.3</v>
      </c>
      <c r="AP44" s="3">
        <v>25</v>
      </c>
      <c r="AQ44" s="3">
        <v>23.8</v>
      </c>
      <c r="AR44" s="3">
        <v>21.2</v>
      </c>
      <c r="AS44" s="3">
        <v>32</v>
      </c>
      <c r="AT44" s="3">
        <v>37.799999999999997</v>
      </c>
      <c r="AU44" s="3">
        <v>14.7</v>
      </c>
      <c r="AV44" s="3">
        <v>12.2</v>
      </c>
      <c r="AW44" s="3">
        <v>11.2</v>
      </c>
      <c r="AX44" s="3">
        <v>9.8000000000000007</v>
      </c>
      <c r="AY44" s="3">
        <v>9.6</v>
      </c>
      <c r="AZ44" s="3">
        <v>0</v>
      </c>
      <c r="BA44" s="3">
        <v>0</v>
      </c>
      <c r="BB44" s="3">
        <v>0</v>
      </c>
      <c r="BC44" s="3">
        <v>42.412713315663538</v>
      </c>
      <c r="BD44" s="3">
        <v>45.587286684336462</v>
      </c>
      <c r="BE44" s="3">
        <v>45.387286684336459</v>
      </c>
      <c r="BF44" s="3">
        <v>43.047286684336456</v>
      </c>
      <c r="BG44" s="3">
        <v>38.773953351003129</v>
      </c>
      <c r="BH44" s="3">
        <v>34.813953351003121</v>
      </c>
      <c r="BI44" s="3">
        <v>34.227286684336462</v>
      </c>
      <c r="BJ44" s="3">
        <v>38.520620017669799</v>
      </c>
      <c r="BK44" s="3">
        <v>41.093953351003123</v>
      </c>
      <c r="BL44" s="3">
        <v>42.767286684336469</v>
      </c>
      <c r="BM44" s="3">
        <v>37.500620017669789</v>
      </c>
      <c r="BN44" s="3">
        <v>37.483953351003137</v>
      </c>
      <c r="BO44" s="3">
        <v>36.250620017669789</v>
      </c>
      <c r="BP44" s="3">
        <v>34.967286684336457</v>
      </c>
      <c r="BQ44" s="3">
        <v>33.683953351003126</v>
      </c>
      <c r="BR44" s="3">
        <v>31.710620017669797</v>
      </c>
      <c r="BS44" s="3">
        <v>31.013953351003124</v>
      </c>
      <c r="BT44" s="3">
        <v>30.010620017669794</v>
      </c>
      <c r="BU44" s="3">
        <v>27.377286684336468</v>
      </c>
      <c r="BV44" s="3">
        <v>24.793953351003125</v>
      </c>
      <c r="BW44" s="3">
        <v>24.127286684336468</v>
      </c>
      <c r="BX44" s="3">
        <v>21.447286684336461</v>
      </c>
      <c r="BY44" s="3">
        <v>32.067286684336452</v>
      </c>
      <c r="BZ44" s="3">
        <v>37.997286684336459</v>
      </c>
      <c r="CA44" s="3">
        <v>14.997286684336451</v>
      </c>
      <c r="CB44" s="3">
        <v>11.933953351003126</v>
      </c>
      <c r="CC44" s="3">
        <v>11.147286684336457</v>
      </c>
      <c r="CD44" s="3">
        <v>9.0539533510031305</v>
      </c>
      <c r="CE44" s="3">
        <v>9.0472866843364557</v>
      </c>
      <c r="CF44" s="3">
        <v>-0.93937998233020892</v>
      </c>
      <c r="CG44" s="3">
        <v>-1.4727133156635404</v>
      </c>
      <c r="CH44" s="3">
        <v>-2.5493799823302083</v>
      </c>
      <c r="CI44" s="13">
        <f>[1]!dbasum(RecData[[#This Row],[20]:[2000]],RecData[[#Headers],[20]:[2000]])</f>
        <v>38.554566868272254</v>
      </c>
      <c r="CJ44" s="14">
        <v>698</v>
      </c>
      <c r="CK44" s="15" t="s">
        <v>249</v>
      </c>
      <c r="CL44" s="15">
        <f>RecData[[#This Row],[Start Time]]</f>
        <v>43252.106250000004</v>
      </c>
      <c r="CM44" s="16">
        <f>RecData[[#This Row],[Wind Speed avg]]</f>
        <v>0.77</v>
      </c>
      <c r="CN44" s="16">
        <f>RecData[[#This Row],[Wind Dir. avg]]</f>
        <v>181.5</v>
      </c>
      <c r="CO44" s="16">
        <f>RecData[[#This Row],[Amb. Humidity]]</f>
        <v>90.8</v>
      </c>
      <c r="CP44" s="16">
        <f>RecData[[#This Row],[Amb. Temperature]]</f>
        <v>9.1999999999999993</v>
      </c>
      <c r="CQ44" s="17">
        <f>RecData[[#This Row],[Amb. Rain Gauge]]</f>
        <v>0</v>
      </c>
      <c r="CR44" s="97" t="s">
        <v>1</v>
      </c>
      <c r="CS44" s="97" t="s">
        <v>49</v>
      </c>
      <c r="CT44" s="98">
        <v>1591.672607</v>
      </c>
      <c r="CU44" s="98">
        <v>24.000202178955</v>
      </c>
      <c r="CV44" s="98">
        <v>10.6678094863891</v>
      </c>
      <c r="CW44" s="98">
        <v>15.3256273269653</v>
      </c>
      <c r="CX44" s="97"/>
      <c r="CY44" s="99"/>
      <c r="CZ44" s="2" t="b">
        <f>IF($DP$1="YES",IF(RecData[[#This Row],[Power (kW)]]&gt;=$CR$3, TRUE,FALSE),TRUE)</f>
        <v>1</v>
      </c>
      <c r="DA44" s="16">
        <f>MIN(MOD(180-ABS(ABS($DA$1-RecData[Yaw Angle (°)])-180),360),MOD(180-ABS(ABS($DB$1-RecData[Yaw Angle (°)])-180),360))</f>
        <v>16.470275401267457</v>
      </c>
      <c r="DB44" s="2" t="str">
        <f>IF($DP$2="None","None",IF(RecData[[#This Row],[Relative Wind Direction]]&lt;=45,"DW",IF(RecData[[#This Row],[Relative Wind Direction]]&lt;=135,"CW","UW")))</f>
        <v>DW</v>
      </c>
      <c r="DC44" s="61" t="e">
        <f>IF($CL44-$CL42&gt;1/24,#REF!,IF(SUM($CQ42:$CQ44)&gt;$DS$1,$DS$5,#REF!-1))</f>
        <v>#REF!</v>
      </c>
      <c r="DD44" s="61" t="e">
        <f>IF(#REF!-$CL44&gt;1/24,#REF!,IF(SUM($CQ42:$CQ44)&gt;$DS$1,$DS$6,#REF!-1))</f>
        <v>#REF!</v>
      </c>
      <c r="DE44" s="18" t="b">
        <v>0</v>
      </c>
      <c r="DF44" s="2" t="b">
        <f>IF(OR(RecData[[#This Row],[WSpd_Avg '[m/s']]]-RecData[[#This Row],[Wind Speed min]]&gt;=$DF$3,RecData[[#This Row],[Wind Speed max]]-RecData[[#This Row],[WSpd_Avg '[m/s']]]&gt;=$DF$2),TRUE,FALSE)</f>
        <v>0</v>
      </c>
      <c r="DG44" s="2" t="b">
        <f>RecData[[#This Row],[Temperature '[°C']]]&lt;=-20</f>
        <v>0</v>
      </c>
      <c r="DH44" s="18" t="b">
        <f>NOT(OR(MOD(RecData[[#This Row],[TIMESTAMP]],1)&gt;0.91632,MOD(RecData[[#This Row],[TIMESTAMP]],1)&lt;0.208681))</f>
        <v>0</v>
      </c>
      <c r="DI44" s="18" t="b">
        <f>RecData[[#This Row],[Overall (dBA)]]-RecData[[#This Row],[L90]]&gt;=$DS$4</f>
        <v>0</v>
      </c>
      <c r="DJ44" s="18" t="b">
        <f>RecData[[#This Row],[Overall (dBA)]]&gt;$DS$2</f>
        <v>0</v>
      </c>
      <c r="DK44" s="18" t="b">
        <f>RecData[[#This Row],[Overall (dBA)]]&lt;$DS$3</f>
        <v>0</v>
      </c>
      <c r="DL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" s="2">
        <f>IF(AND(RecData[[#This Row],[Turbines ON/OFF]] = "OFF", NOT(OR(RecData[[#This Row],[Junk?]]="YES",RecData[[#This Row],[Gust?]],RecData[[#This Row],[Rain?]:[Min SPL Threshold?]]))),1,0)</f>
        <v>0</v>
      </c>
      <c r="DN44" s="16">
        <f>RecData[[#This Row],[dBA Sum]]</f>
        <v>38.554566868272254</v>
      </c>
      <c r="DO44" s="16">
        <f>RecData[[#This Row],[LAF90.0]]</f>
        <v>40.200000000000003</v>
      </c>
      <c r="DP44" s="55">
        <f>IF(AND(RecData[[#This Row],[Useable TON Data?]],RecData[[#This Row],[Turbines ON/OFF]]="ON"),RecData[[#This Row],[dBA Sum]],"")</f>
        <v>38.554566868272254</v>
      </c>
      <c r="DQ44" s="55" t="str">
        <f>IF(AND(RecData[[#This Row],[Useable Background Data?]],RecData[[#This Row],[Turbines ON/OFF]]="OFF"),RecData[[#This Row],[dBA Sum]],"")</f>
        <v/>
      </c>
      <c r="DR44" s="3">
        <f>IF(OR(RecData[[#This Row],[Useable TON Data?]],RecData[[#This Row],[Useable Background Data?]]),ROUND(RecData[[#This Row],[WSpd_Avg '[m/s']]],0),"")</f>
        <v>1</v>
      </c>
      <c r="DS44" s="85">
        <f>(0.00002)^2*(10^(RecData[[#This Row],[Overall (dBA)]]/10))</f>
        <v>2.8675874970610217E-6</v>
      </c>
    </row>
    <row r="45" spans="1:123" ht="15" x14ac:dyDescent="0.25">
      <c r="A45" s="3" t="s">
        <v>249</v>
      </c>
      <c r="B45" s="12">
        <v>43252.107638888891</v>
      </c>
      <c r="C45" s="3"/>
      <c r="D45" s="3">
        <v>43</v>
      </c>
      <c r="E45" s="3"/>
      <c r="F45" s="3"/>
      <c r="G45" s="3"/>
      <c r="H45" s="3"/>
      <c r="I45" s="3"/>
      <c r="J45" s="3"/>
      <c r="K45" s="3">
        <v>41.1</v>
      </c>
      <c r="L45" s="3"/>
      <c r="M45" s="3"/>
      <c r="N45" s="3">
        <v>143.5</v>
      </c>
      <c r="O45" s="3"/>
      <c r="P45" s="3"/>
      <c r="Q45" s="3">
        <v>1.36</v>
      </c>
      <c r="R45" s="3">
        <v>0.3</v>
      </c>
      <c r="S45" s="3">
        <v>2.1</v>
      </c>
      <c r="T45" s="3">
        <v>9.1999999999999993</v>
      </c>
      <c r="U45" s="3">
        <v>90.9</v>
      </c>
      <c r="V45" s="3">
        <v>964.1</v>
      </c>
      <c r="W45" s="3">
        <v>0</v>
      </c>
      <c r="X45" s="3">
        <v>46.2</v>
      </c>
      <c r="Y45" s="3">
        <v>46.7</v>
      </c>
      <c r="Z45" s="3">
        <v>45.6</v>
      </c>
      <c r="AA45" s="3">
        <v>40.799999999999997</v>
      </c>
      <c r="AB45" s="3">
        <v>36.9</v>
      </c>
      <c r="AC45" s="3">
        <v>36.5</v>
      </c>
      <c r="AD45" s="3">
        <v>40.299999999999997</v>
      </c>
      <c r="AE45" s="3">
        <v>42.2</v>
      </c>
      <c r="AF45" s="3">
        <v>44.8</v>
      </c>
      <c r="AG45" s="3">
        <v>38.9</v>
      </c>
      <c r="AH45" s="3">
        <v>39</v>
      </c>
      <c r="AI45" s="3">
        <v>38.700000000000003</v>
      </c>
      <c r="AJ45" s="3">
        <v>37.5</v>
      </c>
      <c r="AK45" s="3">
        <v>35.700000000000003</v>
      </c>
      <c r="AL45" s="3">
        <v>33.200000000000003</v>
      </c>
      <c r="AM45" s="3">
        <v>32.1</v>
      </c>
      <c r="AN45" s="3">
        <v>30.7</v>
      </c>
      <c r="AO45" s="3">
        <v>28</v>
      </c>
      <c r="AP45" s="3">
        <v>26.3</v>
      </c>
      <c r="AQ45" s="3">
        <v>25.2</v>
      </c>
      <c r="AR45" s="3">
        <v>23.2</v>
      </c>
      <c r="AS45" s="3">
        <v>31.1</v>
      </c>
      <c r="AT45" s="3">
        <v>37.799999999999997</v>
      </c>
      <c r="AU45" s="3">
        <v>17.5</v>
      </c>
      <c r="AV45" s="3">
        <v>15.7</v>
      </c>
      <c r="AW45" s="3">
        <v>14.8</v>
      </c>
      <c r="AX45" s="3">
        <v>11.6</v>
      </c>
      <c r="AY45" s="3">
        <v>10.9</v>
      </c>
      <c r="AZ45" s="3">
        <v>0</v>
      </c>
      <c r="BA45" s="3">
        <v>0</v>
      </c>
      <c r="BB45" s="3">
        <v>0</v>
      </c>
      <c r="BC45" s="3">
        <v>43.039178046697579</v>
      </c>
      <c r="BD45" s="3">
        <v>46.160821953302424</v>
      </c>
      <c r="BE45" s="3">
        <v>46.660821953302424</v>
      </c>
      <c r="BF45" s="3">
        <v>44.320821953302421</v>
      </c>
      <c r="BG45" s="3">
        <v>39.847488619969077</v>
      </c>
      <c r="BH45" s="3">
        <v>36.087488619969086</v>
      </c>
      <c r="BI45" s="3">
        <v>36.100821953302422</v>
      </c>
      <c r="BJ45" s="3">
        <v>40.694155286635741</v>
      </c>
      <c r="BK45" s="3">
        <v>42.467488619969082</v>
      </c>
      <c r="BL45" s="3">
        <v>44.640821953302428</v>
      </c>
      <c r="BM45" s="3">
        <v>38.874155286635748</v>
      </c>
      <c r="BN45" s="3">
        <v>39.257488619969088</v>
      </c>
      <c r="BO45" s="3">
        <v>38.324155286635765</v>
      </c>
      <c r="BP45" s="3">
        <v>36.840821953302417</v>
      </c>
      <c r="BQ45" s="3">
        <v>35.457488619969091</v>
      </c>
      <c r="BR45" s="3">
        <v>33.284155286635759</v>
      </c>
      <c r="BS45" s="3">
        <v>31.987488619969092</v>
      </c>
      <c r="BT45" s="3">
        <v>30.784155286635759</v>
      </c>
      <c r="BU45" s="3">
        <v>28.050821953302425</v>
      </c>
      <c r="BV45" s="3">
        <v>26.06748861996909</v>
      </c>
      <c r="BW45" s="3">
        <v>25.500821953302427</v>
      </c>
      <c r="BX45" s="3">
        <v>23.420821953302429</v>
      </c>
      <c r="BY45" s="3">
        <v>31.140821953302428</v>
      </c>
      <c r="BZ45" s="3">
        <v>37.970821953302412</v>
      </c>
      <c r="CA45" s="3">
        <v>17.770821953302409</v>
      </c>
      <c r="CB45" s="3">
        <v>15.407488619969087</v>
      </c>
      <c r="CC45" s="3">
        <v>14.720821953302419</v>
      </c>
      <c r="CD45" s="3">
        <v>10.827488619969095</v>
      </c>
      <c r="CE45" s="3">
        <v>10.320821953302421</v>
      </c>
      <c r="CF45" s="3">
        <v>-0.96584471336424826</v>
      </c>
      <c r="CG45" s="3">
        <v>-1.4991780466975797</v>
      </c>
      <c r="CH45" s="3">
        <v>-2.5758447133642477</v>
      </c>
      <c r="CI45" s="13">
        <f>[1]!dbasum(RecData[[#This Row],[20]:[2000]],RecData[[#Headers],[20]:[2000]])</f>
        <v>40.022992728467671</v>
      </c>
      <c r="CJ45" s="14">
        <v>700</v>
      </c>
      <c r="CK45" s="15" t="s">
        <v>249</v>
      </c>
      <c r="CL45" s="15">
        <f>RecData[[#This Row],[Start Time]]</f>
        <v>43252.107638888891</v>
      </c>
      <c r="CM45" s="16">
        <f>RecData[[#This Row],[Wind Speed avg]]</f>
        <v>1.36</v>
      </c>
      <c r="CN45" s="16">
        <f>RecData[[#This Row],[Wind Dir. avg]]</f>
        <v>143.5</v>
      </c>
      <c r="CO45" s="16">
        <f>RecData[[#This Row],[Amb. Humidity]]</f>
        <v>90.9</v>
      </c>
      <c r="CP45" s="16">
        <f>RecData[[#This Row],[Amb. Temperature]]</f>
        <v>9.1999999999999993</v>
      </c>
      <c r="CQ45" s="17">
        <f>RecData[[#This Row],[Amb. Rain Gauge]]</f>
        <v>0</v>
      </c>
      <c r="CR45" s="97" t="s">
        <v>1</v>
      </c>
      <c r="CS45" s="97" t="s">
        <v>49</v>
      </c>
      <c r="CT45" s="98">
        <v>1591.672607</v>
      </c>
      <c r="CU45" s="98">
        <v>24.000202178955</v>
      </c>
      <c r="CV45" s="98">
        <v>10.6678094863891</v>
      </c>
      <c r="CW45" s="98">
        <v>15.3256273269653</v>
      </c>
      <c r="CX45" s="97"/>
      <c r="CY45" s="99"/>
      <c r="CZ45" s="2" t="b">
        <f>IF($DP$1="YES",IF(RecData[[#This Row],[Power (kW)]]&gt;=$CR$3, TRUE,FALSE),TRUE)</f>
        <v>1</v>
      </c>
      <c r="DA45" s="16">
        <f>MIN(MOD(180-ABS(ABS($DA$1-RecData[Yaw Angle (°)])-180),360),MOD(180-ABS(ABS($DB$1-RecData[Yaw Angle (°)])-180),360))</f>
        <v>16.470275401267457</v>
      </c>
      <c r="DB45" s="2" t="str">
        <f>IF($DP$2="None","None",IF(RecData[[#This Row],[Relative Wind Direction]]&lt;=45,"DW",IF(RecData[[#This Row],[Relative Wind Direction]]&lt;=135,"CW","UW")))</f>
        <v>DW</v>
      </c>
      <c r="DC45" s="61" t="e">
        <f>IF($CL45-$CL43&gt;1/24,#REF!,IF(SUM($CQ43:$CQ45)&gt;$DS$1,$DS$5,#REF!-1))</f>
        <v>#REF!</v>
      </c>
      <c r="DD45" s="61" t="e">
        <f>IF(#REF!-$CL45&gt;1/24,#REF!,IF(SUM($CQ43:$CQ45)&gt;$DS$1,$DS$6,#REF!-1))</f>
        <v>#REF!</v>
      </c>
      <c r="DE45" s="18" t="b">
        <v>0</v>
      </c>
      <c r="DF45" s="2" t="b">
        <f>IF(OR(RecData[[#This Row],[WSpd_Avg '[m/s']]]-RecData[[#This Row],[Wind Speed min]]&gt;=$DF$3,RecData[[#This Row],[Wind Speed max]]-RecData[[#This Row],[WSpd_Avg '[m/s']]]&gt;=$DF$2),TRUE,FALSE)</f>
        <v>0</v>
      </c>
      <c r="DG45" s="2" t="b">
        <f>RecData[[#This Row],[Temperature '[°C']]]&lt;=-20</f>
        <v>0</v>
      </c>
      <c r="DH45" s="18" t="b">
        <f>NOT(OR(MOD(RecData[[#This Row],[TIMESTAMP]],1)&gt;0.91632,MOD(RecData[[#This Row],[TIMESTAMP]],1)&lt;0.208681))</f>
        <v>0</v>
      </c>
      <c r="DI45" s="18" t="b">
        <f>RecData[[#This Row],[Overall (dBA)]]-RecData[[#This Row],[L90]]&gt;=$DS$4</f>
        <v>0</v>
      </c>
      <c r="DJ45" s="18" t="b">
        <f>RecData[[#This Row],[Overall (dBA)]]&gt;$DS$2</f>
        <v>0</v>
      </c>
      <c r="DK45" s="18" t="b">
        <f>RecData[[#This Row],[Overall (dBA)]]&lt;$DS$3</f>
        <v>0</v>
      </c>
      <c r="DL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" s="2">
        <f>IF(AND(RecData[[#This Row],[Turbines ON/OFF]] = "OFF", NOT(OR(RecData[[#This Row],[Junk?]]="YES",RecData[[#This Row],[Gust?]],RecData[[#This Row],[Rain?]:[Min SPL Threshold?]]))),1,0)</f>
        <v>0</v>
      </c>
      <c r="DN45" s="16">
        <f>RecData[[#This Row],[dBA Sum]]</f>
        <v>40.022992728467671</v>
      </c>
      <c r="DO45" s="16">
        <f>RecData[[#This Row],[LAF90.0]]</f>
        <v>41.1</v>
      </c>
      <c r="DP45" s="55">
        <f>IF(AND(RecData[[#This Row],[Useable TON Data?]],RecData[[#This Row],[Turbines ON/OFF]]="ON"),RecData[[#This Row],[dBA Sum]],"")</f>
        <v>40.022992728467671</v>
      </c>
      <c r="DQ45" s="55" t="str">
        <f>IF(AND(RecData[[#This Row],[Useable Background Data?]],RecData[[#This Row],[Turbines ON/OFF]]="OFF"),RecData[[#This Row],[dBA Sum]],"")</f>
        <v/>
      </c>
      <c r="DR45" s="3">
        <f>IF(OR(RecData[[#This Row],[Useable TON Data?]],RecData[[#This Row],[Useable Background Data?]]),ROUND(RecData[[#This Row],[WSpd_Avg '[m/s']]],0),"")</f>
        <v>1</v>
      </c>
      <c r="DS45" s="85">
        <f>(0.00002)^2*(10^(RecData[[#This Row],[Overall (dBA)]]/10))</f>
        <v>4.0212332432066228E-6</v>
      </c>
    </row>
    <row r="46" spans="1:123" ht="15" x14ac:dyDescent="0.25">
      <c r="A46" s="3" t="s">
        <v>249</v>
      </c>
      <c r="B46" s="12">
        <v>43252.109722222223</v>
      </c>
      <c r="C46" s="3"/>
      <c r="D46" s="3">
        <v>42.8</v>
      </c>
      <c r="E46" s="3"/>
      <c r="F46" s="3"/>
      <c r="G46" s="3"/>
      <c r="H46" s="3"/>
      <c r="I46" s="3"/>
      <c r="J46" s="3"/>
      <c r="K46" s="3">
        <v>40.799999999999997</v>
      </c>
      <c r="L46" s="3"/>
      <c r="M46" s="3"/>
      <c r="N46" s="3">
        <v>159.6</v>
      </c>
      <c r="O46" s="3"/>
      <c r="P46" s="3"/>
      <c r="Q46" s="3">
        <v>1.69</v>
      </c>
      <c r="R46" s="3">
        <v>0.6</v>
      </c>
      <c r="S46" s="3">
        <v>2.9</v>
      </c>
      <c r="T46" s="3">
        <v>9.1</v>
      </c>
      <c r="U46" s="3">
        <v>90.5</v>
      </c>
      <c r="V46" s="3">
        <v>964.1</v>
      </c>
      <c r="W46" s="3">
        <v>0</v>
      </c>
      <c r="X46" s="3">
        <v>46</v>
      </c>
      <c r="Y46" s="3">
        <v>46.7</v>
      </c>
      <c r="Z46" s="3">
        <v>45.9</v>
      </c>
      <c r="AA46" s="3">
        <v>41.4</v>
      </c>
      <c r="AB46" s="3">
        <v>37</v>
      </c>
      <c r="AC46" s="3">
        <v>35.700000000000003</v>
      </c>
      <c r="AD46" s="3">
        <v>40.200000000000003</v>
      </c>
      <c r="AE46" s="3">
        <v>42</v>
      </c>
      <c r="AF46" s="3">
        <v>43.3</v>
      </c>
      <c r="AG46" s="3">
        <v>38</v>
      </c>
      <c r="AH46" s="3">
        <v>38</v>
      </c>
      <c r="AI46" s="3">
        <v>37.6</v>
      </c>
      <c r="AJ46" s="3">
        <v>36.6</v>
      </c>
      <c r="AK46" s="3">
        <v>34.6</v>
      </c>
      <c r="AL46" s="3">
        <v>32.700000000000003</v>
      </c>
      <c r="AM46" s="3">
        <v>32.5</v>
      </c>
      <c r="AN46" s="3">
        <v>31.6</v>
      </c>
      <c r="AO46" s="3">
        <v>29.2</v>
      </c>
      <c r="AP46" s="3">
        <v>26.9</v>
      </c>
      <c r="AQ46" s="3">
        <v>25.7</v>
      </c>
      <c r="AR46" s="3">
        <v>22.7</v>
      </c>
      <c r="AS46" s="3">
        <v>30.6</v>
      </c>
      <c r="AT46" s="3">
        <v>37.700000000000003</v>
      </c>
      <c r="AU46" s="3">
        <v>15.6</v>
      </c>
      <c r="AV46" s="3">
        <v>13.6</v>
      </c>
      <c r="AW46" s="3">
        <v>12.5</v>
      </c>
      <c r="AX46" s="3">
        <v>10.4</v>
      </c>
      <c r="AY46" s="3">
        <v>10.1</v>
      </c>
      <c r="AZ46" s="3">
        <v>0</v>
      </c>
      <c r="BA46" s="3">
        <v>0</v>
      </c>
      <c r="BB46" s="3">
        <v>0</v>
      </c>
      <c r="BC46" s="3">
        <v>42.802295101217716</v>
      </c>
      <c r="BD46" s="3">
        <v>45.997704898782281</v>
      </c>
      <c r="BE46" s="3">
        <v>46.697704898782284</v>
      </c>
      <c r="BF46" s="3">
        <v>44.657704898782278</v>
      </c>
      <c r="BG46" s="3">
        <v>40.484371565448946</v>
      </c>
      <c r="BH46" s="3">
        <v>36.224371565448955</v>
      </c>
      <c r="BI46" s="3">
        <v>35.337704898782285</v>
      </c>
      <c r="BJ46" s="3">
        <v>40.631038232115621</v>
      </c>
      <c r="BK46" s="3">
        <v>42.304371565448939</v>
      </c>
      <c r="BL46" s="3">
        <v>43.177704898782274</v>
      </c>
      <c r="BM46" s="3">
        <v>38.011038232115617</v>
      </c>
      <c r="BN46" s="3">
        <v>38.294371565448948</v>
      </c>
      <c r="BO46" s="3">
        <v>37.261038232115617</v>
      </c>
      <c r="BP46" s="3">
        <v>35.977704898782285</v>
      </c>
      <c r="BQ46" s="3">
        <v>34.394371565448942</v>
      </c>
      <c r="BR46" s="3">
        <v>32.821038232115619</v>
      </c>
      <c r="BS46" s="3">
        <v>32.424371565448943</v>
      </c>
      <c r="BT46" s="3">
        <v>31.721038232115625</v>
      </c>
      <c r="BU46" s="3">
        <v>29.287704898782287</v>
      </c>
      <c r="BV46" s="3">
        <v>26.704371565448945</v>
      </c>
      <c r="BW46" s="3">
        <v>26.037704898782287</v>
      </c>
      <c r="BX46" s="3">
        <v>22.957704898782289</v>
      </c>
      <c r="BY46" s="3">
        <v>30.677704898782274</v>
      </c>
      <c r="BZ46" s="3">
        <v>37.907704898782292</v>
      </c>
      <c r="CA46" s="3">
        <v>15.907704898782278</v>
      </c>
      <c r="CB46" s="3">
        <v>13.344371565448945</v>
      </c>
      <c r="CC46" s="3">
        <v>12.457704898782282</v>
      </c>
      <c r="CD46" s="3">
        <v>9.6643715654489526</v>
      </c>
      <c r="CE46" s="3">
        <v>9.5577048987822835</v>
      </c>
      <c r="CF46" s="3">
        <v>-0.92896176788438822</v>
      </c>
      <c r="CG46" s="3">
        <v>-1.4622951012177197</v>
      </c>
      <c r="CH46" s="3">
        <v>-2.5389617678843877</v>
      </c>
      <c r="CI46" s="13">
        <f>[1]!dbasum(RecData[[#This Row],[20]:[2000]],RecData[[#Headers],[20]:[2000]])</f>
        <v>39.802560543393277</v>
      </c>
      <c r="CJ46" s="14">
        <v>703</v>
      </c>
      <c r="CK46" s="15" t="s">
        <v>249</v>
      </c>
      <c r="CL46" s="15">
        <f>RecData[[#This Row],[Start Time]]</f>
        <v>43252.109722222223</v>
      </c>
      <c r="CM46" s="16">
        <f>RecData[[#This Row],[Wind Speed avg]]</f>
        <v>1.69</v>
      </c>
      <c r="CN46" s="16">
        <f>RecData[[#This Row],[Wind Dir. avg]]</f>
        <v>159.6</v>
      </c>
      <c r="CO46" s="16">
        <f>RecData[[#This Row],[Amb. Humidity]]</f>
        <v>90.5</v>
      </c>
      <c r="CP46" s="16">
        <f>RecData[[#This Row],[Amb. Temperature]]</f>
        <v>9.1</v>
      </c>
      <c r="CQ46" s="17">
        <f>RecData[[#This Row],[Amb. Rain Gauge]]</f>
        <v>0</v>
      </c>
      <c r="CR46" s="97" t="s">
        <v>1</v>
      </c>
      <c r="CS46" s="97" t="s">
        <v>49</v>
      </c>
      <c r="CT46" s="98">
        <v>1591.672607</v>
      </c>
      <c r="CU46" s="98">
        <v>24.000202178955</v>
      </c>
      <c r="CV46" s="98">
        <v>10.6678094863891</v>
      </c>
      <c r="CW46" s="98">
        <v>15.3256273269653</v>
      </c>
      <c r="CX46" s="97"/>
      <c r="CY46" s="99"/>
      <c r="CZ46" s="2" t="b">
        <f>IF($DP$1="YES",IF(RecData[[#This Row],[Power (kW)]]&gt;=$CR$3, TRUE,FALSE),TRUE)</f>
        <v>1</v>
      </c>
      <c r="DA46" s="16">
        <f>MIN(MOD(180-ABS(ABS($DA$1-RecData[Yaw Angle (°)])-180),360),MOD(180-ABS(ABS($DB$1-RecData[Yaw Angle (°)])-180),360))</f>
        <v>16.470275401267457</v>
      </c>
      <c r="DB46" s="2" t="str">
        <f>IF($DP$2="None","None",IF(RecData[[#This Row],[Relative Wind Direction]]&lt;=45,"DW",IF(RecData[[#This Row],[Relative Wind Direction]]&lt;=135,"CW","UW")))</f>
        <v>DW</v>
      </c>
      <c r="DC46" s="61">
        <v>-1</v>
      </c>
      <c r="DD46" s="61">
        <v>-1</v>
      </c>
      <c r="DE46" s="18" t="b">
        <v>0</v>
      </c>
      <c r="DF46" s="2" t="b">
        <f>IF(OR(RecData[[#This Row],[WSpd_Avg '[m/s']]]-RecData[[#This Row],[Wind Speed min]]&gt;=$DF$3,RecData[[#This Row],[Wind Speed max]]-RecData[[#This Row],[WSpd_Avg '[m/s']]]&gt;=$DF$2),TRUE,FALSE)</f>
        <v>0</v>
      </c>
      <c r="DG46" s="2" t="b">
        <f>RecData[[#This Row],[Temperature '[°C']]]&lt;=-20</f>
        <v>0</v>
      </c>
      <c r="DH46" s="18" t="b">
        <f>NOT(OR(MOD(RecData[[#This Row],[TIMESTAMP]],1)&gt;0.91632,MOD(RecData[[#This Row],[TIMESTAMP]],1)&lt;0.208681))</f>
        <v>0</v>
      </c>
      <c r="DI46" s="18" t="b">
        <f>RecData[[#This Row],[Overall (dBA)]]-RecData[[#This Row],[L90]]&gt;=$DS$4</f>
        <v>0</v>
      </c>
      <c r="DJ46" s="18" t="b">
        <f>RecData[[#This Row],[Overall (dBA)]]&gt;$DS$2</f>
        <v>0</v>
      </c>
      <c r="DK46" s="18" t="b">
        <f>RecData[[#This Row],[Overall (dBA)]]&lt;$DS$3</f>
        <v>0</v>
      </c>
      <c r="DL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" s="2">
        <f>IF(AND(RecData[[#This Row],[Turbines ON/OFF]] = "OFF", NOT(OR(RecData[[#This Row],[Junk?]]="YES",RecData[[#This Row],[Gust?]],RecData[[#This Row],[Rain?]:[Min SPL Threshold?]]))),1,0)</f>
        <v>0</v>
      </c>
      <c r="DN46" s="16">
        <f>RecData[[#This Row],[dBA Sum]]</f>
        <v>39.802560543393277</v>
      </c>
      <c r="DO46" s="16">
        <f>RecData[[#This Row],[LAF90.0]]</f>
        <v>40.799999999999997</v>
      </c>
      <c r="DP46" s="55">
        <f>IF(AND(RecData[[#This Row],[Useable TON Data?]],RecData[[#This Row],[Turbines ON/OFF]]="ON"),RecData[[#This Row],[dBA Sum]],"")</f>
        <v>39.802560543393277</v>
      </c>
      <c r="DQ46" s="55" t="str">
        <f>IF(AND(RecData[[#This Row],[Useable Background Data?]],RecData[[#This Row],[Turbines ON/OFF]]="OFF"),RecData[[#This Row],[dBA Sum]],"")</f>
        <v/>
      </c>
      <c r="DR46" s="3">
        <f>IF(OR(RecData[[#This Row],[Useable TON Data?]],RecData[[#This Row],[Useable Background Data?]]),ROUND(RecData[[#This Row],[WSpd_Avg '[m/s']]],0),"")</f>
        <v>2</v>
      </c>
      <c r="DS46" s="85">
        <f>(0.00002)^2*(10^(RecData[[#This Row],[Overall (dBA)]]/10))</f>
        <v>3.8222232126427273E-6</v>
      </c>
    </row>
    <row r="47" spans="1:123" ht="15" x14ac:dyDescent="0.25">
      <c r="A47" s="3" t="s">
        <v>249</v>
      </c>
      <c r="B47" s="12">
        <v>43252.11041666667</v>
      </c>
      <c r="C47" s="3"/>
      <c r="D47" s="3">
        <v>41.4</v>
      </c>
      <c r="E47" s="3"/>
      <c r="F47" s="3"/>
      <c r="G47" s="3"/>
      <c r="H47" s="3"/>
      <c r="I47" s="3"/>
      <c r="J47" s="3"/>
      <c r="K47" s="3">
        <v>38.799999999999997</v>
      </c>
      <c r="L47" s="3"/>
      <c r="M47" s="3"/>
      <c r="N47" s="3">
        <v>149.80000000000001</v>
      </c>
      <c r="O47" s="3"/>
      <c r="P47" s="3"/>
      <c r="Q47" s="3">
        <v>1.33</v>
      </c>
      <c r="R47" s="3">
        <v>0.7</v>
      </c>
      <c r="S47" s="3">
        <v>1.9</v>
      </c>
      <c r="T47" s="3">
        <v>9.1</v>
      </c>
      <c r="U47" s="3">
        <v>90.6</v>
      </c>
      <c r="V47" s="3">
        <v>964.1</v>
      </c>
      <c r="W47" s="3">
        <v>0</v>
      </c>
      <c r="X47" s="3">
        <v>45.9</v>
      </c>
      <c r="Y47" s="3">
        <v>45.5</v>
      </c>
      <c r="Z47" s="3">
        <v>45</v>
      </c>
      <c r="AA47" s="3">
        <v>40.4</v>
      </c>
      <c r="AB47" s="3">
        <v>36.4</v>
      </c>
      <c r="AC47" s="3">
        <v>34.5</v>
      </c>
      <c r="AD47" s="3">
        <v>37.4</v>
      </c>
      <c r="AE47" s="3">
        <v>39.200000000000003</v>
      </c>
      <c r="AF47" s="3">
        <v>42.1</v>
      </c>
      <c r="AG47" s="3">
        <v>36.6</v>
      </c>
      <c r="AH47" s="3">
        <v>35</v>
      </c>
      <c r="AI47" s="3">
        <v>35.700000000000003</v>
      </c>
      <c r="AJ47" s="3">
        <v>34.5</v>
      </c>
      <c r="AK47" s="3">
        <v>33.200000000000003</v>
      </c>
      <c r="AL47" s="3">
        <v>31.4</v>
      </c>
      <c r="AM47" s="3">
        <v>30.8</v>
      </c>
      <c r="AN47" s="3">
        <v>30.2</v>
      </c>
      <c r="AO47" s="3">
        <v>28.2</v>
      </c>
      <c r="AP47" s="3">
        <v>26</v>
      </c>
      <c r="AQ47" s="3">
        <v>24.8</v>
      </c>
      <c r="AR47" s="3">
        <v>22.1</v>
      </c>
      <c r="AS47" s="3">
        <v>29.4</v>
      </c>
      <c r="AT47" s="3">
        <v>36.200000000000003</v>
      </c>
      <c r="AU47" s="3">
        <v>14.1</v>
      </c>
      <c r="AV47" s="3">
        <v>11.7</v>
      </c>
      <c r="AW47" s="3">
        <v>10.6</v>
      </c>
      <c r="AX47" s="3">
        <v>9.4</v>
      </c>
      <c r="AY47" s="3">
        <v>9.4</v>
      </c>
      <c r="AZ47" s="3">
        <v>0</v>
      </c>
      <c r="BA47" s="3">
        <v>0</v>
      </c>
      <c r="BB47" s="3">
        <v>0</v>
      </c>
      <c r="BC47" s="3">
        <v>41.323238766529741</v>
      </c>
      <c r="BD47" s="3">
        <v>45.976761233470256</v>
      </c>
      <c r="BE47" s="3">
        <v>45.576761233470265</v>
      </c>
      <c r="BF47" s="3">
        <v>43.836761233470256</v>
      </c>
      <c r="BG47" s="3">
        <v>39.563427900136915</v>
      </c>
      <c r="BH47" s="3">
        <v>35.70342790013693</v>
      </c>
      <c r="BI47" s="3">
        <v>34.216761233470251</v>
      </c>
      <c r="BJ47" s="3">
        <v>37.910094566803579</v>
      </c>
      <c r="BK47" s="3">
        <v>39.583427900136925</v>
      </c>
      <c r="BL47" s="3">
        <v>42.056761233470255</v>
      </c>
      <c r="BM47" s="3">
        <v>36.690094566803594</v>
      </c>
      <c r="BN47" s="3">
        <v>35.373427900136917</v>
      </c>
      <c r="BO47" s="3">
        <v>35.440094566803594</v>
      </c>
      <c r="BP47" s="3">
        <v>33.95676123347026</v>
      </c>
      <c r="BQ47" s="3">
        <v>33.07342790013692</v>
      </c>
      <c r="BR47" s="3">
        <v>31.600094566803591</v>
      </c>
      <c r="BS47" s="3">
        <v>30.803427900136924</v>
      </c>
      <c r="BT47" s="3">
        <v>30.400094566803588</v>
      </c>
      <c r="BU47" s="3">
        <v>28.366761233470257</v>
      </c>
      <c r="BV47" s="3">
        <v>25.883427900136923</v>
      </c>
      <c r="BW47" s="3">
        <v>25.216761233470265</v>
      </c>
      <c r="BX47" s="3">
        <v>22.436761233470264</v>
      </c>
      <c r="BY47" s="3">
        <v>29.556761233470255</v>
      </c>
      <c r="BZ47" s="3">
        <v>36.486761233470261</v>
      </c>
      <c r="CA47" s="3">
        <v>14.486761233470247</v>
      </c>
      <c r="CB47" s="3">
        <v>11.523427900136923</v>
      </c>
      <c r="CC47" s="3">
        <v>10.636761233470253</v>
      </c>
      <c r="CD47" s="3">
        <v>8.7434279001369291</v>
      </c>
      <c r="CE47" s="3">
        <v>8.9367612334702571</v>
      </c>
      <c r="CF47" s="3">
        <v>-0.84990543319641176</v>
      </c>
      <c r="CG47" s="3">
        <v>-1.3832387665297432</v>
      </c>
      <c r="CH47" s="3">
        <v>-2.4599054331964112</v>
      </c>
      <c r="CI47" s="13">
        <f>[1]!dbasum(RecData[[#This Row],[20]:[2000]],RecData[[#Headers],[20]:[2000]])</f>
        <v>38.380686255220617</v>
      </c>
      <c r="CJ47" s="14">
        <v>704</v>
      </c>
      <c r="CK47" s="15" t="s">
        <v>249</v>
      </c>
      <c r="CL47" s="15">
        <f>RecData[[#This Row],[Start Time]]</f>
        <v>43252.11041666667</v>
      </c>
      <c r="CM47" s="16">
        <f>RecData[[#This Row],[Wind Speed avg]]</f>
        <v>1.33</v>
      </c>
      <c r="CN47" s="16">
        <f>RecData[[#This Row],[Wind Dir. avg]]</f>
        <v>149.80000000000001</v>
      </c>
      <c r="CO47" s="16">
        <f>RecData[[#This Row],[Amb. Humidity]]</f>
        <v>90.6</v>
      </c>
      <c r="CP47" s="16">
        <f>RecData[[#This Row],[Amb. Temperature]]</f>
        <v>9.1</v>
      </c>
      <c r="CQ47" s="17">
        <f>RecData[[#This Row],[Amb. Rain Gauge]]</f>
        <v>0</v>
      </c>
      <c r="CR47" s="97" t="s">
        <v>1</v>
      </c>
      <c r="CS47" s="97" t="s">
        <v>49</v>
      </c>
      <c r="CT47" s="98">
        <v>1591.672607</v>
      </c>
      <c r="CU47" s="98">
        <v>24.000202178955</v>
      </c>
      <c r="CV47" s="98">
        <v>10.6678094863891</v>
      </c>
      <c r="CW47" s="98">
        <v>15.3256273269653</v>
      </c>
      <c r="CX47" s="97"/>
      <c r="CY47" s="99"/>
      <c r="CZ47" s="2" t="b">
        <f>IF($DP$1="YES",IF(RecData[[#This Row],[Power (kW)]]&gt;=$CR$3, TRUE,FALSE),TRUE)</f>
        <v>1</v>
      </c>
      <c r="DA47" s="16">
        <f>MIN(MOD(180-ABS(ABS($DA$1-RecData[Yaw Angle (°)])-180),360),MOD(180-ABS(ABS($DB$1-RecData[Yaw Angle (°)])-180),360))</f>
        <v>16.470275401267457</v>
      </c>
      <c r="DB47" s="2" t="str">
        <f>IF($DP$2="None","None",IF(RecData[[#This Row],[Relative Wind Direction]]&lt;=45,"DW",IF(RecData[[#This Row],[Relative Wind Direction]]&lt;=135,"CW","UW")))</f>
        <v>DW</v>
      </c>
      <c r="DC47" s="61">
        <f>IF($CL47-$CL46&gt;1/24,#REF!,IF(SUM($CQ46:$CQ47)&gt;$DS$1,$DS$5,DC48-1))</f>
        <v>-9</v>
      </c>
      <c r="DD47" s="61">
        <f>IF($CL48-$CL47&gt;1/24,#REF!,IF(SUM($CQ46:$CQ47)&gt;$DS$1,$DS$6,DD46-1))</f>
        <v>-2</v>
      </c>
      <c r="DE47" s="18" t="b">
        <v>0</v>
      </c>
      <c r="DF47" s="2" t="b">
        <f>IF(OR(RecData[[#This Row],[WSpd_Avg '[m/s']]]-RecData[[#This Row],[Wind Speed min]]&gt;=$DF$3,RecData[[#This Row],[Wind Speed max]]-RecData[[#This Row],[WSpd_Avg '[m/s']]]&gt;=$DF$2),TRUE,FALSE)</f>
        <v>0</v>
      </c>
      <c r="DG47" s="2" t="b">
        <f>RecData[[#This Row],[Temperature '[°C']]]&lt;=-20</f>
        <v>0</v>
      </c>
      <c r="DH47" s="18" t="b">
        <f>NOT(OR(MOD(RecData[[#This Row],[TIMESTAMP]],1)&gt;0.91632,MOD(RecData[[#This Row],[TIMESTAMP]],1)&lt;0.208681))</f>
        <v>0</v>
      </c>
      <c r="DI47" s="18" t="b">
        <f>RecData[[#This Row],[Overall (dBA)]]-RecData[[#This Row],[L90]]&gt;=$DS$4</f>
        <v>0</v>
      </c>
      <c r="DJ47" s="18" t="b">
        <f>RecData[[#This Row],[Overall (dBA)]]&gt;$DS$2</f>
        <v>0</v>
      </c>
      <c r="DK47" s="18" t="b">
        <f>RecData[[#This Row],[Overall (dBA)]]&lt;$DS$3</f>
        <v>0</v>
      </c>
      <c r="DL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" s="2">
        <f>IF(AND(RecData[[#This Row],[Turbines ON/OFF]] = "OFF", NOT(OR(RecData[[#This Row],[Junk?]]="YES",RecData[[#This Row],[Gust?]],RecData[[#This Row],[Rain?]:[Min SPL Threshold?]]))),1,0)</f>
        <v>0</v>
      </c>
      <c r="DN47" s="16">
        <f>RecData[[#This Row],[dBA Sum]]</f>
        <v>38.380686255220617</v>
      </c>
      <c r="DO47" s="16">
        <f>RecData[[#This Row],[LAF90.0]]</f>
        <v>38.799999999999997</v>
      </c>
      <c r="DP47" s="55">
        <f>IF(AND(RecData[[#This Row],[Useable TON Data?]],RecData[[#This Row],[Turbines ON/OFF]]="ON"),RecData[[#This Row],[dBA Sum]],"")</f>
        <v>38.380686255220617</v>
      </c>
      <c r="DQ47" s="55" t="str">
        <f>IF(AND(RecData[[#This Row],[Useable Background Data?]],RecData[[#This Row],[Turbines ON/OFF]]="OFF"),RecData[[#This Row],[dBA Sum]],"")</f>
        <v/>
      </c>
      <c r="DR47" s="3">
        <f>IF(OR(RecData[[#This Row],[Useable TON Data?]],RecData[[#This Row],[Useable Background Data?]]),ROUND(RecData[[#This Row],[WSpd_Avg '[m/s']]],0),"")</f>
        <v>1</v>
      </c>
      <c r="DS47" s="85">
        <f>(0.00002)^2*(10^(RecData[[#This Row],[Overall (dBA)]]/10))</f>
        <v>2.7550444923807472E-6</v>
      </c>
    </row>
    <row r="48" spans="1:123" ht="15" x14ac:dyDescent="0.25">
      <c r="A48" s="3" t="s">
        <v>249</v>
      </c>
      <c r="B48" s="12">
        <v>43252.111111111117</v>
      </c>
      <c r="C48" s="3"/>
      <c r="D48" s="3">
        <v>42.4</v>
      </c>
      <c r="E48" s="3"/>
      <c r="F48" s="3"/>
      <c r="G48" s="3"/>
      <c r="H48" s="3"/>
      <c r="I48" s="3"/>
      <c r="J48" s="3"/>
      <c r="K48" s="3">
        <v>40.6</v>
      </c>
      <c r="L48" s="3"/>
      <c r="M48" s="3"/>
      <c r="N48" s="3">
        <v>140.9</v>
      </c>
      <c r="O48" s="3"/>
      <c r="P48" s="3"/>
      <c r="Q48" s="3">
        <v>2.08</v>
      </c>
      <c r="R48" s="3">
        <v>0.9</v>
      </c>
      <c r="S48" s="3">
        <v>3.2</v>
      </c>
      <c r="T48" s="3">
        <v>9.1</v>
      </c>
      <c r="U48" s="3">
        <v>90.7</v>
      </c>
      <c r="V48" s="3">
        <v>964.1</v>
      </c>
      <c r="W48" s="3">
        <v>0</v>
      </c>
      <c r="X48" s="3">
        <v>46.1</v>
      </c>
      <c r="Y48" s="3">
        <v>46.2</v>
      </c>
      <c r="Z48" s="3">
        <v>45.6</v>
      </c>
      <c r="AA48" s="3">
        <v>41.4</v>
      </c>
      <c r="AB48" s="3">
        <v>37.9</v>
      </c>
      <c r="AC48" s="3">
        <v>35.9</v>
      </c>
      <c r="AD48" s="3">
        <v>37.1</v>
      </c>
      <c r="AE48" s="3">
        <v>39</v>
      </c>
      <c r="AF48" s="3">
        <v>43.4</v>
      </c>
      <c r="AG48" s="3">
        <v>38.4</v>
      </c>
      <c r="AH48" s="3">
        <v>34.799999999999997</v>
      </c>
      <c r="AI48" s="3">
        <v>36</v>
      </c>
      <c r="AJ48" s="3">
        <v>34.6</v>
      </c>
      <c r="AK48" s="3">
        <v>33.4</v>
      </c>
      <c r="AL48" s="3">
        <v>31.6</v>
      </c>
      <c r="AM48" s="3">
        <v>31.3</v>
      </c>
      <c r="AN48" s="3">
        <v>30.7</v>
      </c>
      <c r="AO48" s="3">
        <v>28.7</v>
      </c>
      <c r="AP48" s="3">
        <v>26.2</v>
      </c>
      <c r="AQ48" s="3">
        <v>25.2</v>
      </c>
      <c r="AR48" s="3">
        <v>22.4</v>
      </c>
      <c r="AS48" s="3">
        <v>31.8</v>
      </c>
      <c r="AT48" s="3">
        <v>37.6</v>
      </c>
      <c r="AU48" s="3">
        <v>17.100000000000001</v>
      </c>
      <c r="AV48" s="3">
        <v>15.3</v>
      </c>
      <c r="AW48" s="3">
        <v>14.2</v>
      </c>
      <c r="AX48" s="3">
        <v>11.5</v>
      </c>
      <c r="AY48" s="3">
        <v>10.9</v>
      </c>
      <c r="AZ48" s="3">
        <v>0</v>
      </c>
      <c r="BA48" s="3">
        <v>0</v>
      </c>
      <c r="BB48" s="3">
        <v>0</v>
      </c>
      <c r="BC48" s="3">
        <v>42.377607602856571</v>
      </c>
      <c r="BD48" s="3">
        <v>46.122392397143429</v>
      </c>
      <c r="BE48" s="3">
        <v>46.222392397143423</v>
      </c>
      <c r="BF48" s="3">
        <v>44.38239239714342</v>
      </c>
      <c r="BG48" s="3">
        <v>40.509059063810085</v>
      </c>
      <c r="BH48" s="3">
        <v>37.1490590638101</v>
      </c>
      <c r="BI48" s="3">
        <v>35.562392397143427</v>
      </c>
      <c r="BJ48" s="3">
        <v>37.555725730476766</v>
      </c>
      <c r="BK48" s="3">
        <v>39.329059063810092</v>
      </c>
      <c r="BL48" s="3">
        <v>43.302392397143436</v>
      </c>
      <c r="BM48" s="3">
        <v>38.435725730476761</v>
      </c>
      <c r="BN48" s="3">
        <v>35.119059063810099</v>
      </c>
      <c r="BO48" s="3">
        <v>35.685725730476761</v>
      </c>
      <c r="BP48" s="3">
        <v>34.002392397143424</v>
      </c>
      <c r="BQ48" s="3">
        <v>33.219059063810093</v>
      </c>
      <c r="BR48" s="3">
        <v>31.745725730476764</v>
      </c>
      <c r="BS48" s="3">
        <v>31.249059063810094</v>
      </c>
      <c r="BT48" s="3">
        <v>30.845725730476758</v>
      </c>
      <c r="BU48" s="3">
        <v>28.812392397143427</v>
      </c>
      <c r="BV48" s="3">
        <v>26.029059063810095</v>
      </c>
      <c r="BW48" s="3">
        <v>25.562392397143427</v>
      </c>
      <c r="BX48" s="3">
        <v>22.682392397143431</v>
      </c>
      <c r="BY48" s="3">
        <v>31.90239239714343</v>
      </c>
      <c r="BZ48" s="3">
        <v>37.832392397143437</v>
      </c>
      <c r="CA48" s="3">
        <v>17.432392397143417</v>
      </c>
      <c r="CB48" s="3">
        <v>15.069059063810094</v>
      </c>
      <c r="CC48" s="3">
        <v>14.182392397143424</v>
      </c>
      <c r="CD48" s="3">
        <v>10.7890590638101</v>
      </c>
      <c r="CE48" s="3">
        <v>10.382392397143427</v>
      </c>
      <c r="CF48" s="3">
        <v>-0.90427426952324197</v>
      </c>
      <c r="CG48" s="3">
        <v>-1.4376076028565734</v>
      </c>
      <c r="CH48" s="3">
        <v>-2.5142742695232414</v>
      </c>
      <c r="CI48" s="13">
        <f>[1]!dbasum(RecData[[#This Row],[20]:[2000]],RecData[[#Headers],[20]:[2000]])</f>
        <v>38.752889884542753</v>
      </c>
      <c r="CJ48" s="14">
        <v>705</v>
      </c>
      <c r="CK48" s="15" t="s">
        <v>249</v>
      </c>
      <c r="CL48" s="15">
        <f>RecData[[#This Row],[Start Time]]</f>
        <v>43252.111111111117</v>
      </c>
      <c r="CM48" s="16">
        <f>RecData[[#This Row],[Wind Speed avg]]</f>
        <v>2.08</v>
      </c>
      <c r="CN48" s="16">
        <f>RecData[[#This Row],[Wind Dir. avg]]</f>
        <v>140.9</v>
      </c>
      <c r="CO48" s="16">
        <f>RecData[[#This Row],[Amb. Humidity]]</f>
        <v>90.7</v>
      </c>
      <c r="CP48" s="16">
        <f>RecData[[#This Row],[Amb. Temperature]]</f>
        <v>9.1</v>
      </c>
      <c r="CQ48" s="17">
        <f>RecData[[#This Row],[Amb. Rain Gauge]]</f>
        <v>0</v>
      </c>
      <c r="CR48" s="97" t="s">
        <v>1</v>
      </c>
      <c r="CS48" s="97" t="s">
        <v>49</v>
      </c>
      <c r="CT48" s="98">
        <v>1591.672607</v>
      </c>
      <c r="CU48" s="98">
        <v>24.000202178955</v>
      </c>
      <c r="CV48" s="98">
        <v>10.6678094863891</v>
      </c>
      <c r="CW48" s="98">
        <v>15.3256273269653</v>
      </c>
      <c r="CX48" s="97"/>
      <c r="CY48" s="99"/>
      <c r="CZ48" s="2" t="b">
        <f>IF($DP$1="YES",IF(RecData[[#This Row],[Power (kW)]]&gt;=$CR$3, TRUE,FALSE),TRUE)</f>
        <v>1</v>
      </c>
      <c r="DA48" s="16">
        <f>MIN(MOD(180-ABS(ABS($DA$1-RecData[Yaw Angle (°)])-180),360),MOD(180-ABS(ABS($DB$1-RecData[Yaw Angle (°)])-180),360))</f>
        <v>16.470275401267457</v>
      </c>
      <c r="DB48" s="2" t="str">
        <f>IF($DP$2="None","None",IF(RecData[[#This Row],[Relative Wind Direction]]&lt;=45,"DW",IF(RecData[[#This Row],[Relative Wind Direction]]&lt;=135,"CW","UW")))</f>
        <v>DW</v>
      </c>
      <c r="DC48" s="61">
        <f>IF($CL48-$CL46&gt;1/24,#REF!,IF(SUM($CQ46:$CQ48)&gt;$DS$1,$DS$5,DC49-1))</f>
        <v>-8</v>
      </c>
      <c r="DD48" s="61">
        <f>IF($CL49-$CL48&gt;1/24,#REF!,IF(SUM($CQ46:$CQ48)&gt;$DS$1,$DS$6,DD47-1))</f>
        <v>-3</v>
      </c>
      <c r="DE48" s="18" t="b">
        <v>0</v>
      </c>
      <c r="DF48" s="2" t="b">
        <f>IF(OR(RecData[[#This Row],[WSpd_Avg '[m/s']]]-RecData[[#This Row],[Wind Speed min]]&gt;=$DF$3,RecData[[#This Row],[Wind Speed max]]-RecData[[#This Row],[WSpd_Avg '[m/s']]]&gt;=$DF$2),TRUE,FALSE)</f>
        <v>0</v>
      </c>
      <c r="DG48" s="2" t="b">
        <f>RecData[[#This Row],[Temperature '[°C']]]&lt;=-20</f>
        <v>0</v>
      </c>
      <c r="DH48" s="18" t="b">
        <f>NOT(OR(MOD(RecData[[#This Row],[TIMESTAMP]],1)&gt;0.91632,MOD(RecData[[#This Row],[TIMESTAMP]],1)&lt;0.208681))</f>
        <v>0</v>
      </c>
      <c r="DI48" s="18" t="b">
        <f>RecData[[#This Row],[Overall (dBA)]]-RecData[[#This Row],[L90]]&gt;=$DS$4</f>
        <v>0</v>
      </c>
      <c r="DJ48" s="18" t="b">
        <f>RecData[[#This Row],[Overall (dBA)]]&gt;$DS$2</f>
        <v>0</v>
      </c>
      <c r="DK48" s="18" t="b">
        <f>RecData[[#This Row],[Overall (dBA)]]&lt;$DS$3</f>
        <v>0</v>
      </c>
      <c r="DL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" s="2">
        <f>IF(AND(RecData[[#This Row],[Turbines ON/OFF]] = "OFF", NOT(OR(RecData[[#This Row],[Junk?]]="YES",RecData[[#This Row],[Gust?]],RecData[[#This Row],[Rain?]:[Min SPL Threshold?]]))),1,0)</f>
        <v>0</v>
      </c>
      <c r="DN48" s="16">
        <f>RecData[[#This Row],[dBA Sum]]</f>
        <v>38.752889884542753</v>
      </c>
      <c r="DO48" s="16">
        <f>RecData[[#This Row],[LAF90.0]]</f>
        <v>40.6</v>
      </c>
      <c r="DP48" s="55">
        <f>IF(AND(RecData[[#This Row],[Useable TON Data?]],RecData[[#This Row],[Turbines ON/OFF]]="ON"),RecData[[#This Row],[dBA Sum]],"")</f>
        <v>38.752889884542753</v>
      </c>
      <c r="DQ48" s="55" t="str">
        <f>IF(AND(RecData[[#This Row],[Useable Background Data?]],RecData[[#This Row],[Turbines ON/OFF]]="OFF"),RecData[[#This Row],[dBA Sum]],"")</f>
        <v/>
      </c>
      <c r="DR48" s="3">
        <f>IF(OR(RecData[[#This Row],[Useable TON Data?]],RecData[[#This Row],[Useable Background Data?]]),ROUND(RecData[[#This Row],[WSpd_Avg '[m/s']]],0),"")</f>
        <v>2</v>
      </c>
      <c r="DS48" s="85">
        <f>(0.00002)^2*(10^(RecData[[#This Row],[Overall (dBA)]]/10))</f>
        <v>3.0015734814996089E-6</v>
      </c>
    </row>
    <row r="49" spans="1:123" ht="15" x14ac:dyDescent="0.25">
      <c r="A49" s="3" t="s">
        <v>249</v>
      </c>
      <c r="B49" s="12">
        <v>43252.111805555556</v>
      </c>
      <c r="C49" s="3"/>
      <c r="D49" s="3">
        <v>42.4</v>
      </c>
      <c r="E49" s="3"/>
      <c r="F49" s="3"/>
      <c r="G49" s="3"/>
      <c r="H49" s="3"/>
      <c r="I49" s="3"/>
      <c r="J49" s="3"/>
      <c r="K49" s="3">
        <v>40.799999999999997</v>
      </c>
      <c r="L49" s="3"/>
      <c r="M49" s="3"/>
      <c r="N49" s="3">
        <v>163.9</v>
      </c>
      <c r="O49" s="3"/>
      <c r="P49" s="3"/>
      <c r="Q49" s="3">
        <v>1.59</v>
      </c>
      <c r="R49" s="3">
        <v>0.4</v>
      </c>
      <c r="S49" s="3">
        <v>2.9</v>
      </c>
      <c r="T49" s="3">
        <v>9</v>
      </c>
      <c r="U49" s="3">
        <v>90.7</v>
      </c>
      <c r="V49" s="3">
        <v>964.1</v>
      </c>
      <c r="W49" s="3">
        <v>0</v>
      </c>
      <c r="X49" s="3">
        <v>47.4</v>
      </c>
      <c r="Y49" s="3">
        <v>47</v>
      </c>
      <c r="Z49" s="3">
        <v>45.8</v>
      </c>
      <c r="AA49" s="3">
        <v>41.9</v>
      </c>
      <c r="AB49" s="3">
        <v>37.9</v>
      </c>
      <c r="AC49" s="3">
        <v>35.9</v>
      </c>
      <c r="AD49" s="3">
        <v>39.700000000000003</v>
      </c>
      <c r="AE49" s="3">
        <v>41.4</v>
      </c>
      <c r="AF49" s="3">
        <v>44.8</v>
      </c>
      <c r="AG49" s="3">
        <v>38.200000000000003</v>
      </c>
      <c r="AH49" s="3">
        <v>37.299999999999997</v>
      </c>
      <c r="AI49" s="3">
        <v>37.1</v>
      </c>
      <c r="AJ49" s="3">
        <v>36.299999999999997</v>
      </c>
      <c r="AK49" s="3">
        <v>34.6</v>
      </c>
      <c r="AL49" s="3">
        <v>32.799999999999997</v>
      </c>
      <c r="AM49" s="3">
        <v>32.6</v>
      </c>
      <c r="AN49" s="3">
        <v>31.8</v>
      </c>
      <c r="AO49" s="3">
        <v>29.6</v>
      </c>
      <c r="AP49" s="3">
        <v>27.4</v>
      </c>
      <c r="AQ49" s="3">
        <v>25.8</v>
      </c>
      <c r="AR49" s="3">
        <v>22.9</v>
      </c>
      <c r="AS49" s="3">
        <v>30.4</v>
      </c>
      <c r="AT49" s="3">
        <v>36.4</v>
      </c>
      <c r="AU49" s="3">
        <v>16</v>
      </c>
      <c r="AV49" s="3">
        <v>14</v>
      </c>
      <c r="AW49" s="3">
        <v>12.8</v>
      </c>
      <c r="AX49" s="3">
        <v>10.7</v>
      </c>
      <c r="AY49" s="3">
        <v>10.3</v>
      </c>
      <c r="AZ49" s="3">
        <v>0</v>
      </c>
      <c r="BA49" s="3">
        <v>0</v>
      </c>
      <c r="BB49" s="3">
        <v>0</v>
      </c>
      <c r="BC49" s="3">
        <v>42.365594030698908</v>
      </c>
      <c r="BD49" s="3">
        <v>47.434405969301089</v>
      </c>
      <c r="BE49" s="3">
        <v>47.034405969301098</v>
      </c>
      <c r="BF49" s="3">
        <v>44.594405969301086</v>
      </c>
      <c r="BG49" s="3">
        <v>41.021072635967748</v>
      </c>
      <c r="BH49" s="3">
        <v>37.161072635967763</v>
      </c>
      <c r="BI49" s="3">
        <v>35.57440596930109</v>
      </c>
      <c r="BJ49" s="3">
        <v>40.167739302634423</v>
      </c>
      <c r="BK49" s="3">
        <v>41.741072635967747</v>
      </c>
      <c r="BL49" s="3">
        <v>44.71440596930109</v>
      </c>
      <c r="BM49" s="3">
        <v>38.247739302634436</v>
      </c>
      <c r="BN49" s="3">
        <v>37.631072635967762</v>
      </c>
      <c r="BO49" s="3">
        <v>36.797739302634419</v>
      </c>
      <c r="BP49" s="3">
        <v>35.71440596930109</v>
      </c>
      <c r="BQ49" s="3">
        <v>34.431072635967745</v>
      </c>
      <c r="BR49" s="3">
        <v>32.957739302634415</v>
      </c>
      <c r="BS49" s="3">
        <v>32.561072635967768</v>
      </c>
      <c r="BT49" s="3">
        <v>31.95773930263443</v>
      </c>
      <c r="BU49" s="3">
        <v>29.724405969301095</v>
      </c>
      <c r="BV49" s="3">
        <v>27.241072635967761</v>
      </c>
      <c r="BW49" s="3">
        <v>26.174405969301098</v>
      </c>
      <c r="BX49" s="3">
        <v>23.194405969301094</v>
      </c>
      <c r="BY49" s="3">
        <v>30.514405969301087</v>
      </c>
      <c r="BZ49" s="3">
        <v>36.644405969301083</v>
      </c>
      <c r="CA49" s="3">
        <v>16.344405969301086</v>
      </c>
      <c r="CB49" s="3">
        <v>13.781072635967753</v>
      </c>
      <c r="CC49" s="3">
        <v>12.794405969301089</v>
      </c>
      <c r="CD49" s="3">
        <v>10.001072635967759</v>
      </c>
      <c r="CE49" s="3">
        <v>9.7944059693010885</v>
      </c>
      <c r="CF49" s="3">
        <v>-0.89226069736557889</v>
      </c>
      <c r="CG49" s="3">
        <v>-1.4255940306989103</v>
      </c>
      <c r="CH49" s="3">
        <v>-2.5022606973655783</v>
      </c>
      <c r="CI49" s="13">
        <f>[1]!dbasum(RecData[[#This Row],[20]:[2000]],RecData[[#Headers],[20]:[2000]])</f>
        <v>39.949836159822418</v>
      </c>
      <c r="CJ49" s="14">
        <v>706</v>
      </c>
      <c r="CK49" s="15" t="s">
        <v>249</v>
      </c>
      <c r="CL49" s="15">
        <f>RecData[[#This Row],[Start Time]]</f>
        <v>43252.111805555556</v>
      </c>
      <c r="CM49" s="16">
        <f>RecData[[#This Row],[Wind Speed avg]]</f>
        <v>1.59</v>
      </c>
      <c r="CN49" s="16">
        <f>RecData[[#This Row],[Wind Dir. avg]]</f>
        <v>163.9</v>
      </c>
      <c r="CO49" s="16">
        <f>RecData[[#This Row],[Amb. Humidity]]</f>
        <v>90.7</v>
      </c>
      <c r="CP49" s="16">
        <f>RecData[[#This Row],[Amb. Temperature]]</f>
        <v>9</v>
      </c>
      <c r="CQ49" s="17">
        <f>RecData[[#This Row],[Amb. Rain Gauge]]</f>
        <v>0</v>
      </c>
      <c r="CR49" s="97" t="s">
        <v>1</v>
      </c>
      <c r="CS49" s="97" t="s">
        <v>49</v>
      </c>
      <c r="CT49" s="98">
        <v>1615.8352050000001</v>
      </c>
      <c r="CU49" s="98">
        <v>24.000202178955</v>
      </c>
      <c r="CV49" s="98">
        <v>10.7581825256347</v>
      </c>
      <c r="CW49" s="98">
        <v>15.2264356613159</v>
      </c>
      <c r="CX49" s="97"/>
      <c r="CY49" s="99"/>
      <c r="CZ49" s="2" t="b">
        <f>IF($DP$1="YES",IF(RecData[[#This Row],[Power (kW)]]&gt;=$CR$3, TRUE,FALSE),TRUE)</f>
        <v>1</v>
      </c>
      <c r="DA49" s="16">
        <f>MIN(MOD(180-ABS(ABS($DA$1-RecData[Yaw Angle (°)])-180),360),MOD(180-ABS(ABS($DB$1-RecData[Yaw Angle (°)])-180),360))</f>
        <v>16.470275401267457</v>
      </c>
      <c r="DB49" s="2" t="str">
        <f>IF($DP$2="None","None",IF(RecData[[#This Row],[Relative Wind Direction]]&lt;=45,"DW",IF(RecData[[#This Row],[Relative Wind Direction]]&lt;=135,"CW","UW")))</f>
        <v>DW</v>
      </c>
      <c r="DC49" s="61">
        <f>IF($CL49-$CL46&gt;1/24,#REF!,IF(SUM($CQ46:$CQ49)&gt;$DS$1,$DS$5,DC50-1))</f>
        <v>-7</v>
      </c>
      <c r="DD49" s="61">
        <f>IF($CL50-$CL49&gt;1/24,#REF!,IF(SUM($CQ46:$CQ49)&gt;$DS$1,$DS$6,DD48-1))</f>
        <v>-4</v>
      </c>
      <c r="DE49" s="18" t="b">
        <v>0</v>
      </c>
      <c r="DF49" s="2" t="b">
        <f>IF(OR(RecData[[#This Row],[WSpd_Avg '[m/s']]]-RecData[[#This Row],[Wind Speed min]]&gt;=$DF$3,RecData[[#This Row],[Wind Speed max]]-RecData[[#This Row],[WSpd_Avg '[m/s']]]&gt;=$DF$2),TRUE,FALSE)</f>
        <v>0</v>
      </c>
      <c r="DG49" s="2" t="b">
        <f>RecData[[#This Row],[Temperature '[°C']]]&lt;=-20</f>
        <v>0</v>
      </c>
      <c r="DH49" s="18" t="b">
        <f>NOT(OR(MOD(RecData[[#This Row],[TIMESTAMP]],1)&gt;0.91632,MOD(RecData[[#This Row],[TIMESTAMP]],1)&lt;0.208681))</f>
        <v>0</v>
      </c>
      <c r="DI49" s="18" t="b">
        <f>RecData[[#This Row],[Overall (dBA)]]-RecData[[#This Row],[L90]]&gt;=$DS$4</f>
        <v>0</v>
      </c>
      <c r="DJ49" s="18" t="b">
        <f>RecData[[#This Row],[Overall (dBA)]]&gt;$DS$2</f>
        <v>0</v>
      </c>
      <c r="DK49" s="18" t="b">
        <f>RecData[[#This Row],[Overall (dBA)]]&lt;$DS$3</f>
        <v>0</v>
      </c>
      <c r="DL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" s="2">
        <f>IF(AND(RecData[[#This Row],[Turbines ON/OFF]] = "OFF", NOT(OR(RecData[[#This Row],[Junk?]]="YES",RecData[[#This Row],[Gust?]],RecData[[#This Row],[Rain?]:[Min SPL Threshold?]]))),1,0)</f>
        <v>0</v>
      </c>
      <c r="DN49" s="16">
        <f>RecData[[#This Row],[dBA Sum]]</f>
        <v>39.949836159822418</v>
      </c>
      <c r="DO49" s="16">
        <f>RecData[[#This Row],[LAF90.0]]</f>
        <v>40.799999999999997</v>
      </c>
      <c r="DP49" s="55">
        <f>IF(AND(RecData[[#This Row],[Useable TON Data?]],RecData[[#This Row],[Turbines ON/OFF]]="ON"),RecData[[#This Row],[dBA Sum]],"")</f>
        <v>39.949836159822418</v>
      </c>
      <c r="DQ49" s="55" t="str">
        <f>IF(AND(RecData[[#This Row],[Useable Background Data?]],RecData[[#This Row],[Turbines ON/OFF]]="OFF"),RecData[[#This Row],[dBA Sum]],"")</f>
        <v/>
      </c>
      <c r="DR49" s="3">
        <f>IF(OR(RecData[[#This Row],[Useable TON Data?]],RecData[[#This Row],[Useable Background Data?]]),ROUND(RecData[[#This Row],[WSpd_Avg '[m/s']]],0),"")</f>
        <v>2</v>
      </c>
      <c r="DS49" s="85">
        <f>(0.00002)^2*(10^(RecData[[#This Row],[Overall (dBA)]]/10))</f>
        <v>3.9540632064266316E-6</v>
      </c>
    </row>
    <row r="50" spans="1:123" ht="15" x14ac:dyDescent="0.25">
      <c r="A50" s="3" t="s">
        <v>249</v>
      </c>
      <c r="B50" s="12">
        <v>43252.112500000003</v>
      </c>
      <c r="C50" s="3"/>
      <c r="D50" s="3">
        <v>42.7</v>
      </c>
      <c r="E50" s="3"/>
      <c r="F50" s="3"/>
      <c r="G50" s="3"/>
      <c r="H50" s="3"/>
      <c r="I50" s="3"/>
      <c r="J50" s="3"/>
      <c r="K50" s="3">
        <v>41.1</v>
      </c>
      <c r="L50" s="3"/>
      <c r="M50" s="3"/>
      <c r="N50" s="3">
        <v>168.2</v>
      </c>
      <c r="O50" s="3"/>
      <c r="P50" s="3"/>
      <c r="Q50" s="3">
        <v>0.55000000000000004</v>
      </c>
      <c r="R50" s="3">
        <v>0.1</v>
      </c>
      <c r="S50" s="3">
        <v>1.5</v>
      </c>
      <c r="T50" s="3">
        <v>9</v>
      </c>
      <c r="U50" s="3">
        <v>90.8</v>
      </c>
      <c r="V50" s="3">
        <v>964.1</v>
      </c>
      <c r="W50" s="3">
        <v>0</v>
      </c>
      <c r="X50" s="3">
        <v>46.8</v>
      </c>
      <c r="Y50" s="3">
        <v>46.3</v>
      </c>
      <c r="Z50" s="3">
        <v>45.5</v>
      </c>
      <c r="AA50" s="3">
        <v>41.1</v>
      </c>
      <c r="AB50" s="3">
        <v>37.1</v>
      </c>
      <c r="AC50" s="3">
        <v>35.5</v>
      </c>
      <c r="AD50" s="3">
        <v>38.1</v>
      </c>
      <c r="AE50" s="3">
        <v>40.299999999999997</v>
      </c>
      <c r="AF50" s="3">
        <v>44.9</v>
      </c>
      <c r="AG50" s="3">
        <v>38.200000000000003</v>
      </c>
      <c r="AH50" s="3">
        <v>37</v>
      </c>
      <c r="AI50" s="3">
        <v>37.1</v>
      </c>
      <c r="AJ50" s="3">
        <v>36.1</v>
      </c>
      <c r="AK50" s="3">
        <v>34.6</v>
      </c>
      <c r="AL50" s="3">
        <v>32.700000000000003</v>
      </c>
      <c r="AM50" s="3">
        <v>32</v>
      </c>
      <c r="AN50" s="3">
        <v>31</v>
      </c>
      <c r="AO50" s="3">
        <v>29</v>
      </c>
      <c r="AP50" s="3">
        <v>27</v>
      </c>
      <c r="AQ50" s="3">
        <v>26</v>
      </c>
      <c r="AR50" s="3">
        <v>24.1</v>
      </c>
      <c r="AS50" s="3">
        <v>31.2</v>
      </c>
      <c r="AT50" s="3">
        <v>37.299999999999997</v>
      </c>
      <c r="AU50" s="3">
        <v>17.600000000000001</v>
      </c>
      <c r="AV50" s="3">
        <v>15.1</v>
      </c>
      <c r="AW50" s="3">
        <v>13.4</v>
      </c>
      <c r="AX50" s="3">
        <v>10.3</v>
      </c>
      <c r="AY50" s="3">
        <v>9.6999999999999993</v>
      </c>
      <c r="AZ50" s="3">
        <v>0</v>
      </c>
      <c r="BA50" s="3">
        <v>0</v>
      </c>
      <c r="BB50" s="3">
        <v>0</v>
      </c>
      <c r="BC50" s="3">
        <v>42.631651643925743</v>
      </c>
      <c r="BD50" s="3">
        <v>46.868348356074257</v>
      </c>
      <c r="BE50" s="3">
        <v>46.368348356074257</v>
      </c>
      <c r="BF50" s="3">
        <v>44.328348356074265</v>
      </c>
      <c r="BG50" s="3">
        <v>40.255015022740928</v>
      </c>
      <c r="BH50" s="3">
        <v>36.395015022740928</v>
      </c>
      <c r="BI50" s="3">
        <v>35.208348356074261</v>
      </c>
      <c r="BJ50" s="3">
        <v>38.601681689407592</v>
      </c>
      <c r="BK50" s="3">
        <v>40.675015022740929</v>
      </c>
      <c r="BL50" s="3">
        <v>44.848348356074261</v>
      </c>
      <c r="BM50" s="3">
        <v>38.281681689407598</v>
      </c>
      <c r="BN50" s="3">
        <v>37.365015022740927</v>
      </c>
      <c r="BO50" s="3">
        <v>36.831681689407596</v>
      </c>
      <c r="BP50" s="3">
        <v>35.548348356074264</v>
      </c>
      <c r="BQ50" s="3">
        <v>34.465015022740921</v>
      </c>
      <c r="BR50" s="3">
        <v>32.891681689407598</v>
      </c>
      <c r="BS50" s="3">
        <v>31.995015022740922</v>
      </c>
      <c r="BT50" s="3">
        <v>31.191681689407595</v>
      </c>
      <c r="BU50" s="3">
        <v>29.158348356074264</v>
      </c>
      <c r="BV50" s="3">
        <v>26.875015022740932</v>
      </c>
      <c r="BW50" s="3">
        <v>26.408348356074264</v>
      </c>
      <c r="BX50" s="3">
        <v>24.42834835607426</v>
      </c>
      <c r="BY50" s="3">
        <v>31.348348356074261</v>
      </c>
      <c r="BZ50" s="3">
        <v>37.578348356074265</v>
      </c>
      <c r="CA50" s="3">
        <v>17.978348356074257</v>
      </c>
      <c r="CB50" s="3">
        <v>14.915015022740924</v>
      </c>
      <c r="CC50" s="3">
        <v>13.42834835607426</v>
      </c>
      <c r="CD50" s="3">
        <v>9.6350150227409301</v>
      </c>
      <c r="CE50" s="3">
        <v>9.2283483560742567</v>
      </c>
      <c r="CF50" s="3">
        <v>-0.85831831059240926</v>
      </c>
      <c r="CG50" s="3">
        <v>-1.3916516439257407</v>
      </c>
      <c r="CH50" s="3">
        <v>-2.4683183105924087</v>
      </c>
      <c r="CI50" s="13">
        <f>[1]!dbasum(RecData[[#This Row],[20]:[2000]],RecData[[#Headers],[20]:[2000]])</f>
        <v>39.727544872474013</v>
      </c>
      <c r="CJ50" s="14">
        <v>707</v>
      </c>
      <c r="CK50" s="15" t="s">
        <v>249</v>
      </c>
      <c r="CL50" s="15">
        <f>RecData[[#This Row],[Start Time]]</f>
        <v>43252.112500000003</v>
      </c>
      <c r="CM50" s="16">
        <f>RecData[[#This Row],[Wind Speed avg]]</f>
        <v>0.55000000000000004</v>
      </c>
      <c r="CN50" s="16">
        <f>RecData[[#This Row],[Wind Dir. avg]]</f>
        <v>168.2</v>
      </c>
      <c r="CO50" s="16">
        <f>RecData[[#This Row],[Amb. Humidity]]</f>
        <v>90.8</v>
      </c>
      <c r="CP50" s="16">
        <f>RecData[[#This Row],[Amb. Temperature]]</f>
        <v>9</v>
      </c>
      <c r="CQ50" s="17">
        <f>RecData[[#This Row],[Amb. Rain Gauge]]</f>
        <v>0</v>
      </c>
      <c r="CR50" s="97" t="s">
        <v>1</v>
      </c>
      <c r="CS50" s="97" t="s">
        <v>49</v>
      </c>
      <c r="CT50" s="98">
        <v>1615.8352050000001</v>
      </c>
      <c r="CU50" s="98">
        <v>24.000202178955</v>
      </c>
      <c r="CV50" s="98">
        <v>10.7581825256347</v>
      </c>
      <c r="CW50" s="98">
        <v>15.2264356613159</v>
      </c>
      <c r="CX50" s="97"/>
      <c r="CY50" s="99"/>
      <c r="CZ50" s="2" t="b">
        <f>IF($DP$1="YES",IF(RecData[[#This Row],[Power (kW)]]&gt;=$CR$3, TRUE,FALSE),TRUE)</f>
        <v>1</v>
      </c>
      <c r="DA50" s="16">
        <f>MIN(MOD(180-ABS(ABS($DA$1-RecData[Yaw Angle (°)])-180),360),MOD(180-ABS(ABS($DB$1-RecData[Yaw Angle (°)])-180),360))</f>
        <v>16.470275401267457</v>
      </c>
      <c r="DB50" s="2" t="str">
        <f>IF($DP$2="None","None",IF(RecData[[#This Row],[Relative Wind Direction]]&lt;=45,"DW",IF(RecData[[#This Row],[Relative Wind Direction]]&lt;=135,"CW","UW")))</f>
        <v>DW</v>
      </c>
      <c r="DC50" s="61">
        <f>IF($CL50-$CL46&gt;1/24,#REF!,IF(SUM($CQ46:$CQ50)&gt;$DS$1,$DS$5,DC51-1))</f>
        <v>-6</v>
      </c>
      <c r="DD50" s="61">
        <f>IF($CL51-$CL50&gt;1/24,#REF!,IF(SUM($CQ46:$CQ50)&gt;$DS$1,$DS$6,DD49-1))</f>
        <v>-5</v>
      </c>
      <c r="DE50" s="18" t="b">
        <v>0</v>
      </c>
      <c r="DF50" s="2" t="b">
        <f>IF(OR(RecData[[#This Row],[WSpd_Avg '[m/s']]]-RecData[[#This Row],[Wind Speed min]]&gt;=$DF$3,RecData[[#This Row],[Wind Speed max]]-RecData[[#This Row],[WSpd_Avg '[m/s']]]&gt;=$DF$2),TRUE,FALSE)</f>
        <v>0</v>
      </c>
      <c r="DG50" s="2" t="b">
        <f>RecData[[#This Row],[Temperature '[°C']]]&lt;=-20</f>
        <v>0</v>
      </c>
      <c r="DH50" s="18" t="b">
        <f>NOT(OR(MOD(RecData[[#This Row],[TIMESTAMP]],1)&gt;0.91632,MOD(RecData[[#This Row],[TIMESTAMP]],1)&lt;0.208681))</f>
        <v>0</v>
      </c>
      <c r="DI50" s="18" t="b">
        <f>RecData[[#This Row],[Overall (dBA)]]-RecData[[#This Row],[L90]]&gt;=$DS$4</f>
        <v>0</v>
      </c>
      <c r="DJ50" s="18" t="b">
        <f>RecData[[#This Row],[Overall (dBA)]]&gt;$DS$2</f>
        <v>0</v>
      </c>
      <c r="DK50" s="18" t="b">
        <f>RecData[[#This Row],[Overall (dBA)]]&lt;$DS$3</f>
        <v>0</v>
      </c>
      <c r="DL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" s="2">
        <f>IF(AND(RecData[[#This Row],[Turbines ON/OFF]] = "OFF", NOT(OR(RecData[[#This Row],[Junk?]]="YES",RecData[[#This Row],[Gust?]],RecData[[#This Row],[Rain?]:[Min SPL Threshold?]]))),1,0)</f>
        <v>0</v>
      </c>
      <c r="DN50" s="16">
        <f>RecData[[#This Row],[dBA Sum]]</f>
        <v>39.727544872474013</v>
      </c>
      <c r="DO50" s="16">
        <f>RecData[[#This Row],[LAF90.0]]</f>
        <v>41.1</v>
      </c>
      <c r="DP50" s="55">
        <f>IF(AND(RecData[[#This Row],[Useable TON Data?]],RecData[[#This Row],[Turbines ON/OFF]]="ON"),RecData[[#This Row],[dBA Sum]],"")</f>
        <v>39.727544872474013</v>
      </c>
      <c r="DQ50" s="55" t="str">
        <f>IF(AND(RecData[[#This Row],[Useable Background Data?]],RecData[[#This Row],[Turbines ON/OFF]]="OFF"),RecData[[#This Row],[dBA Sum]],"")</f>
        <v/>
      </c>
      <c r="DR50" s="3">
        <f>IF(OR(RecData[[#This Row],[Useable TON Data?]],RecData[[#This Row],[Useable Background Data?]]),ROUND(RecData[[#This Row],[WSpd_Avg '[m/s']]],0),"")</f>
        <v>1</v>
      </c>
      <c r="DS50" s="85">
        <f>(0.00002)^2*(10^(RecData[[#This Row],[Overall (dBA)]]/10))</f>
        <v>3.7567688877883752E-6</v>
      </c>
    </row>
    <row r="51" spans="1:123" ht="15" x14ac:dyDescent="0.25">
      <c r="A51" s="3" t="s">
        <v>249</v>
      </c>
      <c r="B51" s="12">
        <v>43252.11319444445</v>
      </c>
      <c r="C51" s="3"/>
      <c r="D51" s="3">
        <v>42.2</v>
      </c>
      <c r="E51" s="3"/>
      <c r="F51" s="3"/>
      <c r="G51" s="3"/>
      <c r="H51" s="3"/>
      <c r="I51" s="3"/>
      <c r="J51" s="3"/>
      <c r="K51" s="3">
        <v>40</v>
      </c>
      <c r="L51" s="3"/>
      <c r="M51" s="3"/>
      <c r="N51" s="3">
        <v>158.30000000000001</v>
      </c>
      <c r="O51" s="3"/>
      <c r="P51" s="3"/>
      <c r="Q51" s="3">
        <v>0.84</v>
      </c>
      <c r="R51" s="3">
        <v>0.1</v>
      </c>
      <c r="S51" s="3">
        <v>2.2000000000000002</v>
      </c>
      <c r="T51" s="3">
        <v>9</v>
      </c>
      <c r="U51" s="3">
        <v>91.2</v>
      </c>
      <c r="V51" s="3">
        <v>964.2</v>
      </c>
      <c r="W51" s="3">
        <v>0</v>
      </c>
      <c r="X51" s="3">
        <v>46.2</v>
      </c>
      <c r="Y51" s="3">
        <v>47.4</v>
      </c>
      <c r="Z51" s="3">
        <v>46.5</v>
      </c>
      <c r="AA51" s="3">
        <v>41.5</v>
      </c>
      <c r="AB51" s="3">
        <v>37.700000000000003</v>
      </c>
      <c r="AC51" s="3">
        <v>35.299999999999997</v>
      </c>
      <c r="AD51" s="3">
        <v>38.200000000000003</v>
      </c>
      <c r="AE51" s="3">
        <v>39.9</v>
      </c>
      <c r="AF51" s="3">
        <v>44.2</v>
      </c>
      <c r="AG51" s="3">
        <v>37.9</v>
      </c>
      <c r="AH51" s="3">
        <v>36.1</v>
      </c>
      <c r="AI51" s="3">
        <v>36.299999999999997</v>
      </c>
      <c r="AJ51" s="3">
        <v>35.299999999999997</v>
      </c>
      <c r="AK51" s="3">
        <v>33.700000000000003</v>
      </c>
      <c r="AL51" s="3">
        <v>31.5</v>
      </c>
      <c r="AM51" s="3">
        <v>31</v>
      </c>
      <c r="AN51" s="3">
        <v>29.8</v>
      </c>
      <c r="AO51" s="3">
        <v>27.8</v>
      </c>
      <c r="AP51" s="3">
        <v>25.6</v>
      </c>
      <c r="AQ51" s="3">
        <v>24.5</v>
      </c>
      <c r="AR51" s="3">
        <v>22.4</v>
      </c>
      <c r="AS51" s="3">
        <v>30.5</v>
      </c>
      <c r="AT51" s="3">
        <v>37.5</v>
      </c>
      <c r="AU51" s="3">
        <v>15.3</v>
      </c>
      <c r="AV51" s="3">
        <v>12.8</v>
      </c>
      <c r="AW51" s="3">
        <v>11.2</v>
      </c>
      <c r="AX51" s="3">
        <v>9.6999999999999993</v>
      </c>
      <c r="AY51" s="3">
        <v>9.5</v>
      </c>
      <c r="AZ51" s="3">
        <v>0</v>
      </c>
      <c r="BA51" s="3">
        <v>0</v>
      </c>
      <c r="BB51" s="3">
        <v>0</v>
      </c>
      <c r="BC51" s="3">
        <v>42.149638749203824</v>
      </c>
      <c r="BD51" s="3">
        <v>46.250361250796182</v>
      </c>
      <c r="BE51" s="3">
        <v>47.450361250796171</v>
      </c>
      <c r="BF51" s="3">
        <v>45.310361250796184</v>
      </c>
      <c r="BG51" s="3">
        <v>40.637027917462838</v>
      </c>
      <c r="BH51" s="3">
        <v>36.977027917462841</v>
      </c>
      <c r="BI51" s="3">
        <v>34.990361250796177</v>
      </c>
      <c r="BJ51" s="3">
        <v>38.683694584129519</v>
      </c>
      <c r="BK51" s="3">
        <v>40.257027917462842</v>
      </c>
      <c r="BL51" s="3">
        <v>44.130361250796177</v>
      </c>
      <c r="BM51" s="3">
        <v>37.96369458412952</v>
      </c>
      <c r="BN51" s="3">
        <v>36.44702791746284</v>
      </c>
      <c r="BO51" s="3">
        <v>36.013694584129503</v>
      </c>
      <c r="BP51" s="3">
        <v>34.730361250796172</v>
      </c>
      <c r="BQ51" s="3">
        <v>33.547027917462835</v>
      </c>
      <c r="BR51" s="3">
        <v>31.673694584129514</v>
      </c>
      <c r="BS51" s="3">
        <v>30.977027917462841</v>
      </c>
      <c r="BT51" s="3">
        <v>29.973694584129511</v>
      </c>
      <c r="BU51" s="3">
        <v>27.94036125079618</v>
      </c>
      <c r="BV51" s="3">
        <v>25.457027917462845</v>
      </c>
      <c r="BW51" s="3">
        <v>24.890361250796182</v>
      </c>
      <c r="BX51" s="3">
        <v>22.71036125079619</v>
      </c>
      <c r="BY51" s="3">
        <v>30.630361250796177</v>
      </c>
      <c r="BZ51" s="3">
        <v>37.760361250796173</v>
      </c>
      <c r="CA51" s="3">
        <v>15.660361250796171</v>
      </c>
      <c r="CB51" s="3">
        <v>12.597027917462846</v>
      </c>
      <c r="CC51" s="3">
        <v>11.210361250796176</v>
      </c>
      <c r="CD51" s="3">
        <v>9.0170279174628476</v>
      </c>
      <c r="CE51" s="3">
        <v>9.0103612507961799</v>
      </c>
      <c r="CF51" s="3">
        <v>-0.87630541587049038</v>
      </c>
      <c r="CG51" s="3">
        <v>-1.4096387492038218</v>
      </c>
      <c r="CH51" s="3">
        <v>-2.4863054158704898</v>
      </c>
      <c r="CI51" s="13">
        <f>[1]!dbasum(RecData[[#This Row],[20]:[2000]],RecData[[#Headers],[20]:[2000]])</f>
        <v>38.689896168531611</v>
      </c>
      <c r="CJ51" s="14">
        <v>708</v>
      </c>
      <c r="CK51" s="15" t="s">
        <v>249</v>
      </c>
      <c r="CL51" s="15">
        <f>RecData[[#This Row],[Start Time]]</f>
        <v>43252.11319444445</v>
      </c>
      <c r="CM51" s="16">
        <f>RecData[[#This Row],[Wind Speed avg]]</f>
        <v>0.84</v>
      </c>
      <c r="CN51" s="16">
        <f>RecData[[#This Row],[Wind Dir. avg]]</f>
        <v>158.30000000000001</v>
      </c>
      <c r="CO51" s="16">
        <f>RecData[[#This Row],[Amb. Humidity]]</f>
        <v>91.2</v>
      </c>
      <c r="CP51" s="16">
        <f>RecData[[#This Row],[Amb. Temperature]]</f>
        <v>9</v>
      </c>
      <c r="CQ51" s="17">
        <f>RecData[[#This Row],[Amb. Rain Gauge]]</f>
        <v>0</v>
      </c>
      <c r="CR51" s="97" t="s">
        <v>1</v>
      </c>
      <c r="CS51" s="97" t="s">
        <v>49</v>
      </c>
      <c r="CT51" s="98">
        <v>1615.8352050000001</v>
      </c>
      <c r="CU51" s="98">
        <v>24.000202178955</v>
      </c>
      <c r="CV51" s="98">
        <v>10.7581825256347</v>
      </c>
      <c r="CW51" s="98">
        <v>15.2264356613159</v>
      </c>
      <c r="CX51" s="97"/>
      <c r="CY51" s="99"/>
      <c r="CZ51" s="2" t="b">
        <f>IF($DP$1="YES",IF(RecData[[#This Row],[Power (kW)]]&gt;=$CR$3, TRUE,FALSE),TRUE)</f>
        <v>1</v>
      </c>
      <c r="DA51" s="16">
        <f>MIN(MOD(180-ABS(ABS($DA$1-RecData[Yaw Angle (°)])-180),360),MOD(180-ABS(ABS($DB$1-RecData[Yaw Angle (°)])-180),360))</f>
        <v>16.470275401267457</v>
      </c>
      <c r="DB51" s="2" t="str">
        <f>IF($DP$2="None","None",IF(RecData[[#This Row],[Relative Wind Direction]]&lt;=45,"DW",IF(RecData[[#This Row],[Relative Wind Direction]]&lt;=135,"CW","UW")))</f>
        <v>DW</v>
      </c>
      <c r="DC51" s="61">
        <f>IF($CL51-$CL47&gt;1/24,#REF!,IF(SUM($CQ47:$CQ51)&gt;$DS$1,$DS$5,DC52-1))</f>
        <v>-5</v>
      </c>
      <c r="DD51" s="61">
        <f>IF($CL52-$CL51&gt;1/24,#REF!,IF(SUM($CQ47:$CQ51)&gt;$DS$1,$DS$6,DD50-1))</f>
        <v>-6</v>
      </c>
      <c r="DE51" s="18" t="b">
        <v>0</v>
      </c>
      <c r="DF51" s="2" t="b">
        <f>IF(OR(RecData[[#This Row],[WSpd_Avg '[m/s']]]-RecData[[#This Row],[Wind Speed min]]&gt;=$DF$3,RecData[[#This Row],[Wind Speed max]]-RecData[[#This Row],[WSpd_Avg '[m/s']]]&gt;=$DF$2),TRUE,FALSE)</f>
        <v>0</v>
      </c>
      <c r="DG51" s="2" t="b">
        <f>RecData[[#This Row],[Temperature '[°C']]]&lt;=-20</f>
        <v>0</v>
      </c>
      <c r="DH51" s="18" t="b">
        <f>NOT(OR(MOD(RecData[[#This Row],[TIMESTAMP]],1)&gt;0.91632,MOD(RecData[[#This Row],[TIMESTAMP]],1)&lt;0.208681))</f>
        <v>0</v>
      </c>
      <c r="DI51" s="18" t="b">
        <f>RecData[[#This Row],[Overall (dBA)]]-RecData[[#This Row],[L90]]&gt;=$DS$4</f>
        <v>0</v>
      </c>
      <c r="DJ51" s="18" t="b">
        <f>RecData[[#This Row],[Overall (dBA)]]&gt;$DS$2</f>
        <v>0</v>
      </c>
      <c r="DK51" s="18" t="b">
        <f>RecData[[#This Row],[Overall (dBA)]]&lt;$DS$3</f>
        <v>0</v>
      </c>
      <c r="DL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" s="2">
        <f>IF(AND(RecData[[#This Row],[Turbines ON/OFF]] = "OFF", NOT(OR(RecData[[#This Row],[Junk?]]="YES",RecData[[#This Row],[Gust?]],RecData[[#This Row],[Rain?]:[Min SPL Threshold?]]))),1,0)</f>
        <v>0</v>
      </c>
      <c r="DN51" s="16">
        <f>RecData[[#This Row],[dBA Sum]]</f>
        <v>38.689896168531611</v>
      </c>
      <c r="DO51" s="16">
        <f>RecData[[#This Row],[LAF90.0]]</f>
        <v>40</v>
      </c>
      <c r="DP51" s="55">
        <f>IF(AND(RecData[[#This Row],[Useable TON Data?]],RecData[[#This Row],[Turbines ON/OFF]]="ON"),RecData[[#This Row],[dBA Sum]],"")</f>
        <v>38.689896168531611</v>
      </c>
      <c r="DQ51" s="55" t="str">
        <f>IF(AND(RecData[[#This Row],[Useable Background Data?]],RecData[[#This Row],[Turbines ON/OFF]]="OFF"),RecData[[#This Row],[dBA Sum]],"")</f>
        <v/>
      </c>
      <c r="DR51" s="3">
        <f>IF(OR(RecData[[#This Row],[Useable TON Data?]],RecData[[#This Row],[Useable Background Data?]]),ROUND(RecData[[#This Row],[WSpd_Avg '[m/s']]],0),"")</f>
        <v>1</v>
      </c>
      <c r="DS51" s="85">
        <f>(0.00002)^2*(10^(RecData[[#This Row],[Overall (dBA)]]/10))</f>
        <v>2.9583503709126942E-6</v>
      </c>
    </row>
    <row r="52" spans="1:123" ht="15" x14ac:dyDescent="0.25">
      <c r="A52" s="3" t="s">
        <v>249</v>
      </c>
      <c r="B52" s="12">
        <v>43252.113888888889</v>
      </c>
      <c r="C52" s="3"/>
      <c r="D52" s="3">
        <v>42.9</v>
      </c>
      <c r="E52" s="3"/>
      <c r="F52" s="3"/>
      <c r="G52" s="3"/>
      <c r="H52" s="3"/>
      <c r="I52" s="3"/>
      <c r="J52" s="3"/>
      <c r="K52" s="3">
        <v>40.9</v>
      </c>
      <c r="L52" s="3"/>
      <c r="M52" s="3"/>
      <c r="N52" s="3">
        <v>195.5</v>
      </c>
      <c r="O52" s="3"/>
      <c r="P52" s="3"/>
      <c r="Q52" s="3">
        <v>1.17</v>
      </c>
      <c r="R52" s="3">
        <v>0.1</v>
      </c>
      <c r="S52" s="3">
        <v>2.2999999999999998</v>
      </c>
      <c r="T52" s="3">
        <v>9</v>
      </c>
      <c r="U52" s="3">
        <v>91</v>
      </c>
      <c r="V52" s="3">
        <v>964.2</v>
      </c>
      <c r="W52" s="3">
        <v>0</v>
      </c>
      <c r="X52" s="3">
        <v>47.1</v>
      </c>
      <c r="Y52" s="3">
        <v>47.6</v>
      </c>
      <c r="Z52" s="3">
        <v>46.8</v>
      </c>
      <c r="AA52" s="3">
        <v>41.6</v>
      </c>
      <c r="AB52" s="3">
        <v>37.4</v>
      </c>
      <c r="AC52" s="3">
        <v>35.200000000000003</v>
      </c>
      <c r="AD52" s="3">
        <v>39.5</v>
      </c>
      <c r="AE52" s="3">
        <v>41.1</v>
      </c>
      <c r="AF52" s="3">
        <v>45.6</v>
      </c>
      <c r="AG52" s="3">
        <v>38.299999999999997</v>
      </c>
      <c r="AH52" s="3">
        <v>36.700000000000003</v>
      </c>
      <c r="AI52" s="3">
        <v>37.1</v>
      </c>
      <c r="AJ52" s="3">
        <v>35.700000000000003</v>
      </c>
      <c r="AK52" s="3">
        <v>34.299999999999997</v>
      </c>
      <c r="AL52" s="3">
        <v>32.299999999999997</v>
      </c>
      <c r="AM52" s="3">
        <v>31.7</v>
      </c>
      <c r="AN52" s="3">
        <v>30.6</v>
      </c>
      <c r="AO52" s="3">
        <v>28.4</v>
      </c>
      <c r="AP52" s="3">
        <v>26.1</v>
      </c>
      <c r="AQ52" s="3">
        <v>24.7</v>
      </c>
      <c r="AR52" s="3">
        <v>22.1</v>
      </c>
      <c r="AS52" s="3">
        <v>31.6</v>
      </c>
      <c r="AT52" s="3">
        <v>38.200000000000003</v>
      </c>
      <c r="AU52" s="3">
        <v>15.4</v>
      </c>
      <c r="AV52" s="3">
        <v>13.5</v>
      </c>
      <c r="AW52" s="3">
        <v>12.4</v>
      </c>
      <c r="AX52" s="3">
        <v>10.3</v>
      </c>
      <c r="AY52" s="3">
        <v>10</v>
      </c>
      <c r="AZ52" s="3">
        <v>0</v>
      </c>
      <c r="BA52" s="3">
        <v>0</v>
      </c>
      <c r="BB52" s="3">
        <v>0</v>
      </c>
      <c r="BC52" s="3">
        <v>42.876913325470696</v>
      </c>
      <c r="BD52" s="3">
        <v>47.123086674529304</v>
      </c>
      <c r="BE52" s="3">
        <v>47.623086674529304</v>
      </c>
      <c r="BF52" s="3">
        <v>45.583086674529298</v>
      </c>
      <c r="BG52" s="3">
        <v>40.709753341195977</v>
      </c>
      <c r="BH52" s="3">
        <v>36.649753341195975</v>
      </c>
      <c r="BI52" s="3">
        <v>34.863086674529313</v>
      </c>
      <c r="BJ52" s="3">
        <v>39.956420007862633</v>
      </c>
      <c r="BK52" s="3">
        <v>41.429753341195976</v>
      </c>
      <c r="BL52" s="3">
        <v>45.5030866745293</v>
      </c>
      <c r="BM52" s="3">
        <v>38.336420007862642</v>
      </c>
      <c r="BN52" s="3">
        <v>37.01975334119598</v>
      </c>
      <c r="BO52" s="3">
        <v>36.786420007862631</v>
      </c>
      <c r="BP52" s="3">
        <v>35.103086674529308</v>
      </c>
      <c r="BQ52" s="3">
        <v>34.11975334119596</v>
      </c>
      <c r="BR52" s="3">
        <v>32.446420007862628</v>
      </c>
      <c r="BS52" s="3">
        <v>31.649753341195975</v>
      </c>
      <c r="BT52" s="3">
        <v>30.746420007862639</v>
      </c>
      <c r="BU52" s="3">
        <v>28.513086674529305</v>
      </c>
      <c r="BV52" s="3">
        <v>25.929753341195976</v>
      </c>
      <c r="BW52" s="3">
        <v>25.063086674529302</v>
      </c>
      <c r="BX52" s="3">
        <v>22.383086674529309</v>
      </c>
      <c r="BY52" s="3">
        <v>31.703086674529303</v>
      </c>
      <c r="BZ52" s="3">
        <v>38.433086674529306</v>
      </c>
      <c r="CA52" s="3">
        <v>15.733086674529297</v>
      </c>
      <c r="CB52" s="3">
        <v>13.269753341195965</v>
      </c>
      <c r="CC52" s="3">
        <v>12.383086674529302</v>
      </c>
      <c r="CD52" s="3">
        <v>9.5897533411959728</v>
      </c>
      <c r="CE52" s="3">
        <v>9.4830866745293037</v>
      </c>
      <c r="CF52" s="3">
        <v>-0.90357999213736662</v>
      </c>
      <c r="CG52" s="3">
        <v>-1.4369133254706981</v>
      </c>
      <c r="CH52" s="3">
        <v>-2.513579992137366</v>
      </c>
      <c r="CI52" s="13">
        <f>[1]!dbasum(RecData[[#This Row],[20]:[2000]],RecData[[#Headers],[20]:[2000]])</f>
        <v>39.340620084198306</v>
      </c>
      <c r="CJ52" s="14">
        <v>709</v>
      </c>
      <c r="CK52" s="15" t="s">
        <v>249</v>
      </c>
      <c r="CL52" s="15">
        <f>RecData[[#This Row],[Start Time]]</f>
        <v>43252.113888888889</v>
      </c>
      <c r="CM52" s="16">
        <f>RecData[[#This Row],[Wind Speed avg]]</f>
        <v>1.17</v>
      </c>
      <c r="CN52" s="16">
        <f>RecData[[#This Row],[Wind Dir. avg]]</f>
        <v>195.5</v>
      </c>
      <c r="CO52" s="16">
        <f>RecData[[#This Row],[Amb. Humidity]]</f>
        <v>91</v>
      </c>
      <c r="CP52" s="16">
        <f>RecData[[#This Row],[Amb. Temperature]]</f>
        <v>9</v>
      </c>
      <c r="CQ52" s="17">
        <f>RecData[[#This Row],[Amb. Rain Gauge]]</f>
        <v>0</v>
      </c>
      <c r="CR52" s="97" t="s">
        <v>1</v>
      </c>
      <c r="CS52" s="97" t="s">
        <v>49</v>
      </c>
      <c r="CT52" s="98">
        <v>1615.8352050000001</v>
      </c>
      <c r="CU52" s="98">
        <v>24.000202178955</v>
      </c>
      <c r="CV52" s="98">
        <v>10.7581825256347</v>
      </c>
      <c r="CW52" s="98">
        <v>15.2264356613159</v>
      </c>
      <c r="CX52" s="97"/>
      <c r="CY52" s="99"/>
      <c r="CZ52" s="2" t="b">
        <f>IF($DP$1="YES",IF(RecData[[#This Row],[Power (kW)]]&gt;=$CR$3, TRUE,FALSE),TRUE)</f>
        <v>1</v>
      </c>
      <c r="DA52" s="16">
        <f>MIN(MOD(180-ABS(ABS($DA$1-RecData[Yaw Angle (°)])-180),360),MOD(180-ABS(ABS($DB$1-RecData[Yaw Angle (°)])-180),360))</f>
        <v>16.470275401267457</v>
      </c>
      <c r="DB52" s="2" t="str">
        <f>IF($DP$2="None","None",IF(RecData[[#This Row],[Relative Wind Direction]]&lt;=45,"DW",IF(RecData[[#This Row],[Relative Wind Direction]]&lt;=135,"CW","UW")))</f>
        <v>DW</v>
      </c>
      <c r="DC52" s="61">
        <f>IF($CL52-$CL48&gt;1/24,#REF!,IF(SUM($CQ48:$CQ52)&gt;$DS$1,$DS$5,DC53-1))</f>
        <v>-4</v>
      </c>
      <c r="DD52" s="61">
        <f>IF($CL53-$CL52&gt;1/24,#REF!,IF(SUM($CQ48:$CQ52)&gt;$DS$1,$DS$6,DD51-1))</f>
        <v>-7</v>
      </c>
      <c r="DE52" s="18" t="b">
        <v>0</v>
      </c>
      <c r="DF52" s="2" t="b">
        <f>IF(OR(RecData[[#This Row],[WSpd_Avg '[m/s']]]-RecData[[#This Row],[Wind Speed min]]&gt;=$DF$3,RecData[[#This Row],[Wind Speed max]]-RecData[[#This Row],[WSpd_Avg '[m/s']]]&gt;=$DF$2),TRUE,FALSE)</f>
        <v>0</v>
      </c>
      <c r="DG52" s="2" t="b">
        <f>RecData[[#This Row],[Temperature '[°C']]]&lt;=-20</f>
        <v>0</v>
      </c>
      <c r="DH52" s="18" t="b">
        <f>NOT(OR(MOD(RecData[[#This Row],[TIMESTAMP]],1)&gt;0.91632,MOD(RecData[[#This Row],[TIMESTAMP]],1)&lt;0.208681))</f>
        <v>0</v>
      </c>
      <c r="DI52" s="18" t="b">
        <f>RecData[[#This Row],[Overall (dBA)]]-RecData[[#This Row],[L90]]&gt;=$DS$4</f>
        <v>0</v>
      </c>
      <c r="DJ52" s="18" t="b">
        <f>RecData[[#This Row],[Overall (dBA)]]&gt;$DS$2</f>
        <v>0</v>
      </c>
      <c r="DK52" s="18" t="b">
        <f>RecData[[#This Row],[Overall (dBA)]]&lt;$DS$3</f>
        <v>0</v>
      </c>
      <c r="DL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" s="2">
        <f>IF(AND(RecData[[#This Row],[Turbines ON/OFF]] = "OFF", NOT(OR(RecData[[#This Row],[Junk?]]="YES",RecData[[#This Row],[Gust?]],RecData[[#This Row],[Rain?]:[Min SPL Threshold?]]))),1,0)</f>
        <v>0</v>
      </c>
      <c r="DN52" s="16">
        <f>RecData[[#This Row],[dBA Sum]]</f>
        <v>39.340620084198306</v>
      </c>
      <c r="DO52" s="16">
        <f>RecData[[#This Row],[LAF90.0]]</f>
        <v>40.9</v>
      </c>
      <c r="DP52" s="55">
        <f>IF(AND(RecData[[#This Row],[Useable TON Data?]],RecData[[#This Row],[Turbines ON/OFF]]="ON"),RecData[[#This Row],[dBA Sum]],"")</f>
        <v>39.340620084198306</v>
      </c>
      <c r="DQ52" s="55" t="str">
        <f>IF(AND(RecData[[#This Row],[Useable Background Data?]],RecData[[#This Row],[Turbines ON/OFF]]="OFF"),RecData[[#This Row],[dBA Sum]],"")</f>
        <v/>
      </c>
      <c r="DR52" s="3">
        <f>IF(OR(RecData[[#This Row],[Useable TON Data?]],RecData[[#This Row],[Useable Background Data?]]),ROUND(RecData[[#This Row],[WSpd_Avg '[m/s']]],0),"")</f>
        <v>1</v>
      </c>
      <c r="DS52" s="85">
        <f>(0.00002)^2*(10^(RecData[[#This Row],[Overall (dBA)]]/10))</f>
        <v>3.4365447196919456E-6</v>
      </c>
    </row>
    <row r="53" spans="1:123" ht="15" x14ac:dyDescent="0.25">
      <c r="A53" s="3" t="s">
        <v>249</v>
      </c>
      <c r="B53" s="12">
        <v>43252.114583333336</v>
      </c>
      <c r="C53" s="3"/>
      <c r="D53" s="3">
        <v>43.3</v>
      </c>
      <c r="E53" s="3"/>
      <c r="F53" s="3"/>
      <c r="G53" s="3"/>
      <c r="H53" s="3"/>
      <c r="I53" s="3"/>
      <c r="J53" s="3"/>
      <c r="K53" s="3">
        <v>41.3</v>
      </c>
      <c r="L53" s="3"/>
      <c r="M53" s="3"/>
      <c r="N53" s="3">
        <v>161.4</v>
      </c>
      <c r="O53" s="3"/>
      <c r="P53" s="3"/>
      <c r="Q53" s="3">
        <v>1.19</v>
      </c>
      <c r="R53" s="3">
        <v>0.2</v>
      </c>
      <c r="S53" s="3">
        <v>1.7</v>
      </c>
      <c r="T53" s="3">
        <v>8.9</v>
      </c>
      <c r="U53" s="3">
        <v>90.8</v>
      </c>
      <c r="V53" s="3">
        <v>964.2</v>
      </c>
      <c r="W53" s="3">
        <v>0</v>
      </c>
      <c r="X53" s="3">
        <v>47.6</v>
      </c>
      <c r="Y53" s="3">
        <v>47.6</v>
      </c>
      <c r="Z53" s="3">
        <v>46.9</v>
      </c>
      <c r="AA53" s="3">
        <v>42</v>
      </c>
      <c r="AB53" s="3">
        <v>37.5</v>
      </c>
      <c r="AC53" s="3">
        <v>36.6</v>
      </c>
      <c r="AD53" s="3">
        <v>40.5</v>
      </c>
      <c r="AE53" s="3">
        <v>42.1</v>
      </c>
      <c r="AF53" s="3">
        <v>45.3</v>
      </c>
      <c r="AG53" s="3">
        <v>38.200000000000003</v>
      </c>
      <c r="AH53" s="3">
        <v>38.299999999999997</v>
      </c>
      <c r="AI53" s="3">
        <v>37.700000000000003</v>
      </c>
      <c r="AJ53" s="3">
        <v>36.5</v>
      </c>
      <c r="AK53" s="3">
        <v>34.9</v>
      </c>
      <c r="AL53" s="3">
        <v>32.4</v>
      </c>
      <c r="AM53" s="3">
        <v>31.8</v>
      </c>
      <c r="AN53" s="3">
        <v>30.4</v>
      </c>
      <c r="AO53" s="3">
        <v>28.1</v>
      </c>
      <c r="AP53" s="3">
        <v>25.9</v>
      </c>
      <c r="AQ53" s="3">
        <v>24.3</v>
      </c>
      <c r="AR53" s="3">
        <v>21.7</v>
      </c>
      <c r="AS53" s="3">
        <v>32.6</v>
      </c>
      <c r="AT53" s="3">
        <v>38.6</v>
      </c>
      <c r="AU53" s="3">
        <v>14.6</v>
      </c>
      <c r="AV53" s="3">
        <v>12.1</v>
      </c>
      <c r="AW53" s="3">
        <v>11.2</v>
      </c>
      <c r="AX53" s="3">
        <v>9.8000000000000007</v>
      </c>
      <c r="AY53" s="3">
        <v>9.6</v>
      </c>
      <c r="AZ53" s="3">
        <v>0</v>
      </c>
      <c r="BA53" s="3">
        <v>0</v>
      </c>
      <c r="BB53" s="3">
        <v>0</v>
      </c>
      <c r="BC53" s="3">
        <v>43.254601198207531</v>
      </c>
      <c r="BD53" s="3">
        <v>47.645398801792474</v>
      </c>
      <c r="BE53" s="3">
        <v>47.645398801792474</v>
      </c>
      <c r="BF53" s="3">
        <v>45.705398801792462</v>
      </c>
      <c r="BG53" s="3">
        <v>41.132065468459125</v>
      </c>
      <c r="BH53" s="3">
        <v>36.772065468459139</v>
      </c>
      <c r="BI53" s="3">
        <v>36.285398801792461</v>
      </c>
      <c r="BJ53" s="3">
        <v>40.978732135125789</v>
      </c>
      <c r="BK53" s="3">
        <v>42.452065468459132</v>
      </c>
      <c r="BL53" s="3">
        <v>45.225398801792458</v>
      </c>
      <c r="BM53" s="3">
        <v>38.258732135125804</v>
      </c>
      <c r="BN53" s="3">
        <v>38.64206546845913</v>
      </c>
      <c r="BO53" s="3">
        <v>37.408732135125796</v>
      </c>
      <c r="BP53" s="3">
        <v>35.925398801792475</v>
      </c>
      <c r="BQ53" s="3">
        <v>34.742065468459124</v>
      </c>
      <c r="BR53" s="3">
        <v>32.568732135125792</v>
      </c>
      <c r="BS53" s="3">
        <v>31.772065468459139</v>
      </c>
      <c r="BT53" s="3">
        <v>30.568732135125792</v>
      </c>
      <c r="BU53" s="3">
        <v>28.235398801792478</v>
      </c>
      <c r="BV53" s="3">
        <v>25.752065468459129</v>
      </c>
      <c r="BW53" s="3">
        <v>24.685398801792466</v>
      </c>
      <c r="BX53" s="3">
        <v>22.005398801792474</v>
      </c>
      <c r="BY53" s="3">
        <v>32.725398801792458</v>
      </c>
      <c r="BZ53" s="3">
        <v>38.855398801792468</v>
      </c>
      <c r="CA53" s="3">
        <v>14.955398801792462</v>
      </c>
      <c r="CB53" s="3">
        <v>11.89206546845913</v>
      </c>
      <c r="CC53" s="3">
        <v>11.205398801792462</v>
      </c>
      <c r="CD53" s="3">
        <v>9.1120654684591358</v>
      </c>
      <c r="CE53" s="3">
        <v>9.1053988017924681</v>
      </c>
      <c r="CF53" s="3">
        <v>-0.88126786487420361</v>
      </c>
      <c r="CG53" s="3">
        <v>-1.414601198207535</v>
      </c>
      <c r="CH53" s="3">
        <v>-2.491267864874203</v>
      </c>
      <c r="CI53" s="13">
        <f>[1]!dbasum(RecData[[#This Row],[20]:[2000]],RecData[[#Headers],[20]:[2000]])</f>
        <v>39.570543672206675</v>
      </c>
      <c r="CJ53" s="14">
        <v>710</v>
      </c>
      <c r="CK53" s="15" t="s">
        <v>249</v>
      </c>
      <c r="CL53" s="15">
        <f>RecData[[#This Row],[Start Time]]</f>
        <v>43252.114583333336</v>
      </c>
      <c r="CM53" s="16">
        <f>RecData[[#This Row],[Wind Speed avg]]</f>
        <v>1.19</v>
      </c>
      <c r="CN53" s="16">
        <f>RecData[[#This Row],[Wind Dir. avg]]</f>
        <v>161.4</v>
      </c>
      <c r="CO53" s="16">
        <f>RecData[[#This Row],[Amb. Humidity]]</f>
        <v>90.8</v>
      </c>
      <c r="CP53" s="16">
        <f>RecData[[#This Row],[Amb. Temperature]]</f>
        <v>8.9</v>
      </c>
      <c r="CQ53" s="17">
        <f>RecData[[#This Row],[Amb. Rain Gauge]]</f>
        <v>0</v>
      </c>
      <c r="CR53" s="97" t="s">
        <v>1</v>
      </c>
      <c r="CS53" s="97" t="s">
        <v>49</v>
      </c>
      <c r="CT53" s="98">
        <v>1615.8352050000001</v>
      </c>
      <c r="CU53" s="98">
        <v>24.000202178955</v>
      </c>
      <c r="CV53" s="98">
        <v>10.7581825256347</v>
      </c>
      <c r="CW53" s="98">
        <v>15.2264356613159</v>
      </c>
      <c r="CX53" s="97"/>
      <c r="CY53" s="99"/>
      <c r="CZ53" s="2" t="b">
        <f>IF($DP$1="YES",IF(RecData[[#This Row],[Power (kW)]]&gt;=$CR$3, TRUE,FALSE),TRUE)</f>
        <v>1</v>
      </c>
      <c r="DA53" s="16">
        <f>MIN(MOD(180-ABS(ABS($DA$1-RecData[Yaw Angle (°)])-180),360),MOD(180-ABS(ABS($DB$1-RecData[Yaw Angle (°)])-180),360))</f>
        <v>16.470275401267457</v>
      </c>
      <c r="DB53" s="2" t="str">
        <f>IF($DP$2="None","None",IF(RecData[[#This Row],[Relative Wind Direction]]&lt;=45,"DW",IF(RecData[[#This Row],[Relative Wind Direction]]&lt;=135,"CW","UW")))</f>
        <v>DW</v>
      </c>
      <c r="DC53" s="61">
        <f>IF($CL53-$CL49&gt;1/24,#REF!,IF(SUM($CQ49:$CQ53)&gt;$DS$1,$DS$5,DC54-1))</f>
        <v>-3</v>
      </c>
      <c r="DD53" s="61">
        <f>IF($CL54-$CL53&gt;1/24,#REF!,IF(SUM($CQ49:$CQ53)&gt;$DS$1,$DS$6,DD52-1))</f>
        <v>-8</v>
      </c>
      <c r="DE53" s="18" t="b">
        <v>0</v>
      </c>
      <c r="DF53" s="2" t="b">
        <f>IF(OR(RecData[[#This Row],[WSpd_Avg '[m/s']]]-RecData[[#This Row],[Wind Speed min]]&gt;=$DF$3,RecData[[#This Row],[Wind Speed max]]-RecData[[#This Row],[WSpd_Avg '[m/s']]]&gt;=$DF$2),TRUE,FALSE)</f>
        <v>0</v>
      </c>
      <c r="DG53" s="2" t="b">
        <f>RecData[[#This Row],[Temperature '[°C']]]&lt;=-20</f>
        <v>0</v>
      </c>
      <c r="DH53" s="18" t="b">
        <f>NOT(OR(MOD(RecData[[#This Row],[TIMESTAMP]],1)&gt;0.91632,MOD(RecData[[#This Row],[TIMESTAMP]],1)&lt;0.208681))</f>
        <v>0</v>
      </c>
      <c r="DI53" s="18" t="b">
        <f>RecData[[#This Row],[Overall (dBA)]]-RecData[[#This Row],[L90]]&gt;=$DS$4</f>
        <v>0</v>
      </c>
      <c r="DJ53" s="18" t="b">
        <f>RecData[[#This Row],[Overall (dBA)]]&gt;$DS$2</f>
        <v>0</v>
      </c>
      <c r="DK53" s="18" t="b">
        <f>RecData[[#This Row],[Overall (dBA)]]&lt;$DS$3</f>
        <v>0</v>
      </c>
      <c r="DL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" s="2">
        <f>IF(AND(RecData[[#This Row],[Turbines ON/OFF]] = "OFF", NOT(OR(RecData[[#This Row],[Junk?]]="YES",RecData[[#This Row],[Gust?]],RecData[[#This Row],[Rain?]:[Min SPL Threshold?]]))),1,0)</f>
        <v>0</v>
      </c>
      <c r="DN53" s="16">
        <f>RecData[[#This Row],[dBA Sum]]</f>
        <v>39.570543672206675</v>
      </c>
      <c r="DO53" s="16">
        <f>RecData[[#This Row],[LAF90.0]]</f>
        <v>41.3</v>
      </c>
      <c r="DP53" s="55">
        <f>IF(AND(RecData[[#This Row],[Useable TON Data?]],RecData[[#This Row],[Turbines ON/OFF]]="ON"),RecData[[#This Row],[dBA Sum]],"")</f>
        <v>39.570543672206675</v>
      </c>
      <c r="DQ53" s="55" t="str">
        <f>IF(AND(RecData[[#This Row],[Useable Background Data?]],RecData[[#This Row],[Turbines ON/OFF]]="OFF"),RecData[[#This Row],[dBA Sum]],"")</f>
        <v/>
      </c>
      <c r="DR53" s="3">
        <f>IF(OR(RecData[[#This Row],[Useable TON Data?]],RecData[[#This Row],[Useable Background Data?]]),ROUND(RecData[[#This Row],[WSpd_Avg '[m/s']]],0),"")</f>
        <v>1</v>
      </c>
      <c r="DS53" s="85">
        <f>(0.00002)^2*(10^(RecData[[#This Row],[Overall (dBA)]]/10))</f>
        <v>3.6233839690747851E-6</v>
      </c>
    </row>
    <row r="54" spans="1:123" ht="15" x14ac:dyDescent="0.25">
      <c r="A54" s="3" t="s">
        <v>249</v>
      </c>
      <c r="B54" s="12">
        <v>43252.115277777782</v>
      </c>
      <c r="C54" s="3"/>
      <c r="D54" s="3">
        <v>42.3</v>
      </c>
      <c r="E54" s="3"/>
      <c r="F54" s="3"/>
      <c r="G54" s="3"/>
      <c r="H54" s="3"/>
      <c r="I54" s="3"/>
      <c r="J54" s="3"/>
      <c r="K54" s="3">
        <v>40.4</v>
      </c>
      <c r="L54" s="3"/>
      <c r="M54" s="3"/>
      <c r="N54" s="3">
        <v>189.6</v>
      </c>
      <c r="O54" s="3"/>
      <c r="P54" s="3"/>
      <c r="Q54" s="3">
        <v>0.77</v>
      </c>
      <c r="R54" s="3">
        <v>0.1</v>
      </c>
      <c r="S54" s="3">
        <v>1.4</v>
      </c>
      <c r="T54" s="3">
        <v>8.9</v>
      </c>
      <c r="U54" s="3">
        <v>90.6</v>
      </c>
      <c r="V54" s="3">
        <v>964.2</v>
      </c>
      <c r="W54" s="3">
        <v>0</v>
      </c>
      <c r="X54" s="3">
        <v>46.5</v>
      </c>
      <c r="Y54" s="3">
        <v>46.7</v>
      </c>
      <c r="Z54" s="3">
        <v>46.2</v>
      </c>
      <c r="AA54" s="3">
        <v>41.2</v>
      </c>
      <c r="AB54" s="3">
        <v>37.200000000000003</v>
      </c>
      <c r="AC54" s="3">
        <v>35.6</v>
      </c>
      <c r="AD54" s="3">
        <v>39.5</v>
      </c>
      <c r="AE54" s="3">
        <v>41.5</v>
      </c>
      <c r="AF54" s="3">
        <v>42.5</v>
      </c>
      <c r="AG54" s="3">
        <v>37.6</v>
      </c>
      <c r="AH54" s="3">
        <v>36.4</v>
      </c>
      <c r="AI54" s="3">
        <v>36.1</v>
      </c>
      <c r="AJ54" s="3">
        <v>35.700000000000003</v>
      </c>
      <c r="AK54" s="3">
        <v>34.200000000000003</v>
      </c>
      <c r="AL54" s="3">
        <v>32.299999999999997</v>
      </c>
      <c r="AM54" s="3">
        <v>32.200000000000003</v>
      </c>
      <c r="AN54" s="3">
        <v>31.5</v>
      </c>
      <c r="AO54" s="3">
        <v>29</v>
      </c>
      <c r="AP54" s="3">
        <v>26.8</v>
      </c>
      <c r="AQ54" s="3">
        <v>25.4</v>
      </c>
      <c r="AR54" s="3">
        <v>22.7</v>
      </c>
      <c r="AS54" s="3">
        <v>29.9</v>
      </c>
      <c r="AT54" s="3">
        <v>37.1</v>
      </c>
      <c r="AU54" s="3">
        <v>14.3</v>
      </c>
      <c r="AV54" s="3">
        <v>11.7</v>
      </c>
      <c r="AW54" s="3">
        <v>10.5</v>
      </c>
      <c r="AX54" s="3">
        <v>9.3000000000000007</v>
      </c>
      <c r="AY54" s="3">
        <v>9.3000000000000007</v>
      </c>
      <c r="AZ54" s="3">
        <v>0</v>
      </c>
      <c r="BA54" s="3">
        <v>0</v>
      </c>
      <c r="BB54" s="3">
        <v>0</v>
      </c>
      <c r="BC54" s="3">
        <v>42.238194033898075</v>
      </c>
      <c r="BD54" s="3">
        <v>46.561805966101922</v>
      </c>
      <c r="BE54" s="3">
        <v>46.761805966101925</v>
      </c>
      <c r="BF54" s="3">
        <v>45.021805966101915</v>
      </c>
      <c r="BG54" s="3">
        <v>40.348472632768598</v>
      </c>
      <c r="BH54" s="3">
        <v>36.488472632768584</v>
      </c>
      <c r="BI54" s="3">
        <v>35.301805966101917</v>
      </c>
      <c r="BJ54" s="3">
        <v>39.995139299435245</v>
      </c>
      <c r="BK54" s="3">
        <v>41.868472632768579</v>
      </c>
      <c r="BL54" s="3">
        <v>42.441805966101931</v>
      </c>
      <c r="BM54" s="3">
        <v>37.675139299435251</v>
      </c>
      <c r="BN54" s="3">
        <v>36.758472632768594</v>
      </c>
      <c r="BO54" s="3">
        <v>35.825139299435257</v>
      </c>
      <c r="BP54" s="3">
        <v>35.14180596610192</v>
      </c>
      <c r="BQ54" s="3">
        <v>34.058472632768577</v>
      </c>
      <c r="BR54" s="3">
        <v>32.485139299435254</v>
      </c>
      <c r="BS54" s="3">
        <v>32.188472632768601</v>
      </c>
      <c r="BT54" s="3">
        <v>31.685139299435257</v>
      </c>
      <c r="BU54" s="3">
        <v>29.151805966101925</v>
      </c>
      <c r="BV54" s="3">
        <v>26.668472632768591</v>
      </c>
      <c r="BW54" s="3">
        <v>25.801805966101917</v>
      </c>
      <c r="BX54" s="3">
        <v>23.02180596610193</v>
      </c>
      <c r="BY54" s="3">
        <v>30.041805966101926</v>
      </c>
      <c r="BZ54" s="3">
        <v>37.371805966101924</v>
      </c>
      <c r="CA54" s="3">
        <v>14.671805966101914</v>
      </c>
      <c r="CB54" s="3">
        <v>11.508472632768587</v>
      </c>
      <c r="CC54" s="3">
        <v>10.521805966101923</v>
      </c>
      <c r="CD54" s="3">
        <v>8.6284726327685917</v>
      </c>
      <c r="CE54" s="3">
        <v>8.8218059661019197</v>
      </c>
      <c r="CF54" s="3">
        <v>-0.86486070056474773</v>
      </c>
      <c r="CG54" s="3">
        <v>-1.3981940338980792</v>
      </c>
      <c r="CH54" s="3">
        <v>-2.4748607005647472</v>
      </c>
      <c r="CI54" s="13">
        <f>[1]!dbasum(RecData[[#This Row],[20]:[2000]],RecData[[#Headers],[20]:[2000]])</f>
        <v>39.370216660883884</v>
      </c>
      <c r="CJ54" s="14">
        <v>711</v>
      </c>
      <c r="CK54" s="15" t="s">
        <v>249</v>
      </c>
      <c r="CL54" s="15">
        <f>RecData[[#This Row],[Start Time]]</f>
        <v>43252.115277777782</v>
      </c>
      <c r="CM54" s="16">
        <f>RecData[[#This Row],[Wind Speed avg]]</f>
        <v>0.77</v>
      </c>
      <c r="CN54" s="16">
        <f>RecData[[#This Row],[Wind Dir. avg]]</f>
        <v>189.6</v>
      </c>
      <c r="CO54" s="16">
        <f>RecData[[#This Row],[Amb. Humidity]]</f>
        <v>90.6</v>
      </c>
      <c r="CP54" s="16">
        <f>RecData[[#This Row],[Amb. Temperature]]</f>
        <v>8.9</v>
      </c>
      <c r="CQ54" s="17">
        <f>RecData[[#This Row],[Amb. Rain Gauge]]</f>
        <v>0</v>
      </c>
      <c r="CR54" s="97" t="s">
        <v>1</v>
      </c>
      <c r="CS54" s="97" t="s">
        <v>49</v>
      </c>
      <c r="CT54" s="98">
        <v>1615.8352050000001</v>
      </c>
      <c r="CU54" s="98">
        <v>24.000202178955</v>
      </c>
      <c r="CV54" s="98">
        <v>10.7581825256347</v>
      </c>
      <c r="CW54" s="98">
        <v>15.2264356613159</v>
      </c>
      <c r="CX54" s="97"/>
      <c r="CY54" s="99"/>
      <c r="CZ54" s="2" t="b">
        <f>IF($DP$1="YES",IF(RecData[[#This Row],[Power (kW)]]&gt;=$CR$3, TRUE,FALSE),TRUE)</f>
        <v>1</v>
      </c>
      <c r="DA54" s="16">
        <f>MIN(MOD(180-ABS(ABS($DA$1-RecData[Yaw Angle (°)])-180),360),MOD(180-ABS(ABS($DB$1-RecData[Yaw Angle (°)])-180),360))</f>
        <v>16.470275401267457</v>
      </c>
      <c r="DB54" s="2" t="str">
        <f>IF($DP$2="None","None",IF(RecData[[#This Row],[Relative Wind Direction]]&lt;=45,"DW",IF(RecData[[#This Row],[Relative Wind Direction]]&lt;=135,"CW","UW")))</f>
        <v>DW</v>
      </c>
      <c r="DC54" s="61">
        <f>IF($CL54-$CL50&gt;1/24,#REF!,IF(SUM($CQ50:$CQ54)&gt;$DS$1,$DS$5,DC55-1))</f>
        <v>-2</v>
      </c>
      <c r="DD54" s="61">
        <f>IF($CL55-$CL54&gt;1/24,#REF!,IF(SUM($CQ50:$CQ54)&gt;$DS$1,$DS$6,DD53-1))</f>
        <v>-9</v>
      </c>
      <c r="DE54" s="18" t="b">
        <v>0</v>
      </c>
      <c r="DF54" s="2" t="b">
        <f>IF(OR(RecData[[#This Row],[WSpd_Avg '[m/s']]]-RecData[[#This Row],[Wind Speed min]]&gt;=$DF$3,RecData[[#This Row],[Wind Speed max]]-RecData[[#This Row],[WSpd_Avg '[m/s']]]&gt;=$DF$2),TRUE,FALSE)</f>
        <v>0</v>
      </c>
      <c r="DG54" s="2" t="b">
        <f>RecData[[#This Row],[Temperature '[°C']]]&lt;=-20</f>
        <v>0</v>
      </c>
      <c r="DH54" s="18" t="b">
        <f>NOT(OR(MOD(RecData[[#This Row],[TIMESTAMP]],1)&gt;0.91632,MOD(RecData[[#This Row],[TIMESTAMP]],1)&lt;0.208681))</f>
        <v>0</v>
      </c>
      <c r="DI54" s="18" t="b">
        <f>RecData[[#This Row],[Overall (dBA)]]-RecData[[#This Row],[L90]]&gt;=$DS$4</f>
        <v>0</v>
      </c>
      <c r="DJ54" s="18" t="b">
        <f>RecData[[#This Row],[Overall (dBA)]]&gt;$DS$2</f>
        <v>0</v>
      </c>
      <c r="DK54" s="18" t="b">
        <f>RecData[[#This Row],[Overall (dBA)]]&lt;$DS$3</f>
        <v>0</v>
      </c>
      <c r="DL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" s="2">
        <f>IF(AND(RecData[[#This Row],[Turbines ON/OFF]] = "OFF", NOT(OR(RecData[[#This Row],[Junk?]]="YES",RecData[[#This Row],[Gust?]],RecData[[#This Row],[Rain?]:[Min SPL Threshold?]]))),1,0)</f>
        <v>0</v>
      </c>
      <c r="DN54" s="16">
        <f>RecData[[#This Row],[dBA Sum]]</f>
        <v>39.370216660883884</v>
      </c>
      <c r="DO54" s="16">
        <f>RecData[[#This Row],[LAF90.0]]</f>
        <v>40.4</v>
      </c>
      <c r="DP54" s="55">
        <f>IF(AND(RecData[[#This Row],[Useable TON Data?]],RecData[[#This Row],[Turbines ON/OFF]]="ON"),RecData[[#This Row],[dBA Sum]],"")</f>
        <v>39.370216660883884</v>
      </c>
      <c r="DQ54" s="55" t="str">
        <f>IF(AND(RecData[[#This Row],[Useable Background Data?]],RecData[[#This Row],[Turbines ON/OFF]]="OFF"),RecData[[#This Row],[dBA Sum]],"")</f>
        <v/>
      </c>
      <c r="DR54" s="3">
        <f>IF(OR(RecData[[#This Row],[Useable TON Data?]],RecData[[#This Row],[Useable Background Data?]]),ROUND(RecData[[#This Row],[WSpd_Avg '[m/s']]],0),"")</f>
        <v>1</v>
      </c>
      <c r="DS54" s="85">
        <f>(0.00002)^2*(10^(RecData[[#This Row],[Overall (dBA)]]/10))</f>
        <v>3.4600442855284888E-6</v>
      </c>
    </row>
    <row r="55" spans="1:123" ht="15" x14ac:dyDescent="0.25">
      <c r="A55" s="3" t="s">
        <v>249</v>
      </c>
      <c r="B55" s="12">
        <v>43252.115972222222</v>
      </c>
      <c r="C55" s="3"/>
      <c r="D55" s="3">
        <v>43</v>
      </c>
      <c r="E55" s="3"/>
      <c r="F55" s="3"/>
      <c r="G55" s="3"/>
      <c r="H55" s="3"/>
      <c r="I55" s="3"/>
      <c r="J55" s="3"/>
      <c r="K55" s="3">
        <v>41</v>
      </c>
      <c r="L55" s="3"/>
      <c r="M55" s="3"/>
      <c r="N55" s="3">
        <v>193.3</v>
      </c>
      <c r="O55" s="3"/>
      <c r="P55" s="3"/>
      <c r="Q55" s="3">
        <v>1.08</v>
      </c>
      <c r="R55" s="3">
        <v>0.2</v>
      </c>
      <c r="S55" s="3">
        <v>2.2999999999999998</v>
      </c>
      <c r="T55" s="3">
        <v>8.9</v>
      </c>
      <c r="U55" s="3">
        <v>90.6</v>
      </c>
      <c r="V55" s="3">
        <v>964.2</v>
      </c>
      <c r="W55" s="3">
        <v>0</v>
      </c>
      <c r="X55" s="3">
        <v>47.4</v>
      </c>
      <c r="Y55" s="3">
        <v>47</v>
      </c>
      <c r="Z55" s="3">
        <v>46.7</v>
      </c>
      <c r="AA55" s="3">
        <v>42.7</v>
      </c>
      <c r="AB55" s="3">
        <v>37.6</v>
      </c>
      <c r="AC55" s="3">
        <v>35.200000000000003</v>
      </c>
      <c r="AD55" s="3">
        <v>38.1</v>
      </c>
      <c r="AE55" s="3">
        <v>41.2</v>
      </c>
      <c r="AF55" s="3">
        <v>45.8</v>
      </c>
      <c r="AG55" s="3">
        <v>38.1</v>
      </c>
      <c r="AH55" s="3">
        <v>35.6</v>
      </c>
      <c r="AI55" s="3">
        <v>36.1</v>
      </c>
      <c r="AJ55" s="3">
        <v>34.9</v>
      </c>
      <c r="AK55" s="3">
        <v>33.6</v>
      </c>
      <c r="AL55" s="3">
        <v>31.9</v>
      </c>
      <c r="AM55" s="3">
        <v>32.1</v>
      </c>
      <c r="AN55" s="3">
        <v>31.4</v>
      </c>
      <c r="AO55" s="3">
        <v>29.1</v>
      </c>
      <c r="AP55" s="3">
        <v>27</v>
      </c>
      <c r="AQ55" s="3">
        <v>25.6</v>
      </c>
      <c r="AR55" s="3">
        <v>22.8</v>
      </c>
      <c r="AS55" s="3">
        <v>31.6</v>
      </c>
      <c r="AT55" s="3">
        <v>38.5</v>
      </c>
      <c r="AU55" s="3">
        <v>16</v>
      </c>
      <c r="AV55" s="3">
        <v>13.7</v>
      </c>
      <c r="AW55" s="3">
        <v>12.2</v>
      </c>
      <c r="AX55" s="3">
        <v>10.1</v>
      </c>
      <c r="AY55" s="3">
        <v>9.6999999999999993</v>
      </c>
      <c r="AZ55" s="3">
        <v>0</v>
      </c>
      <c r="BA55" s="3">
        <v>0</v>
      </c>
      <c r="BB55" s="3">
        <v>0</v>
      </c>
      <c r="BC55" s="3">
        <v>43.033852640056168</v>
      </c>
      <c r="BD55" s="3">
        <v>47.366147359943838</v>
      </c>
      <c r="BE55" s="3">
        <v>46.966147359943832</v>
      </c>
      <c r="BF55" s="3">
        <v>45.42614735994384</v>
      </c>
      <c r="BG55" s="3">
        <v>41.752814026610494</v>
      </c>
      <c r="BH55" s="3">
        <v>36.7928140266105</v>
      </c>
      <c r="BI55" s="3">
        <v>34.806147359943836</v>
      </c>
      <c r="BJ55" s="3">
        <v>38.499480693277164</v>
      </c>
      <c r="BK55" s="3">
        <v>41.472814026610493</v>
      </c>
      <c r="BL55" s="3">
        <v>45.646147359943839</v>
      </c>
      <c r="BM55" s="3">
        <v>38.079480693277176</v>
      </c>
      <c r="BN55" s="3">
        <v>35.862814026610508</v>
      </c>
      <c r="BO55" s="3">
        <v>35.729480693277168</v>
      </c>
      <c r="BP55" s="3">
        <v>34.246147359943834</v>
      </c>
      <c r="BQ55" s="3">
        <v>33.362814026610494</v>
      </c>
      <c r="BR55" s="3">
        <v>31.989480693277173</v>
      </c>
      <c r="BS55" s="3">
        <v>31.992814026610503</v>
      </c>
      <c r="BT55" s="3">
        <v>31.489480693277173</v>
      </c>
      <c r="BU55" s="3">
        <v>29.15614735994383</v>
      </c>
      <c r="BV55" s="3">
        <v>26.772814026610504</v>
      </c>
      <c r="BW55" s="3">
        <v>25.90614735994383</v>
      </c>
      <c r="BX55" s="3">
        <v>23.026147359943835</v>
      </c>
      <c r="BY55" s="3">
        <v>31.646147359943839</v>
      </c>
      <c r="BZ55" s="3">
        <v>38.67614735994384</v>
      </c>
      <c r="CA55" s="3">
        <v>16.27614735994382</v>
      </c>
      <c r="CB55" s="3">
        <v>13.412814026610498</v>
      </c>
      <c r="CC55" s="3">
        <v>12.126147359943829</v>
      </c>
      <c r="CD55" s="3">
        <v>9.3328140266105066</v>
      </c>
      <c r="CE55" s="3">
        <v>9.126147359943829</v>
      </c>
      <c r="CF55" s="3">
        <v>-0.96051930672283703</v>
      </c>
      <c r="CG55" s="3">
        <v>-1.4938526400561685</v>
      </c>
      <c r="CH55" s="3">
        <v>-2.5705193067228365</v>
      </c>
      <c r="CI55" s="13">
        <f>[1]!dbasum(RecData[[#This Row],[20]:[2000]],RecData[[#Headers],[20]:[2000]])</f>
        <v>39.344318046242265</v>
      </c>
      <c r="CJ55" s="14">
        <v>712</v>
      </c>
      <c r="CK55" s="15" t="s">
        <v>249</v>
      </c>
      <c r="CL55" s="15">
        <f>RecData[[#This Row],[Start Time]]</f>
        <v>43252.115972222222</v>
      </c>
      <c r="CM55" s="16">
        <f>RecData[[#This Row],[Wind Speed avg]]</f>
        <v>1.08</v>
      </c>
      <c r="CN55" s="16">
        <f>RecData[[#This Row],[Wind Dir. avg]]</f>
        <v>193.3</v>
      </c>
      <c r="CO55" s="16">
        <f>RecData[[#This Row],[Amb. Humidity]]</f>
        <v>90.6</v>
      </c>
      <c r="CP55" s="16">
        <f>RecData[[#This Row],[Amb. Temperature]]</f>
        <v>8.9</v>
      </c>
      <c r="CQ55" s="17">
        <f>RecData[[#This Row],[Amb. Rain Gauge]]</f>
        <v>0</v>
      </c>
      <c r="CR55" s="97" t="s">
        <v>1</v>
      </c>
      <c r="CS55" s="97" t="s">
        <v>49</v>
      </c>
      <c r="CT55" s="98">
        <v>1615.8352050000001</v>
      </c>
      <c r="CU55" s="98">
        <v>24.000202178955</v>
      </c>
      <c r="CV55" s="98">
        <v>10.7581825256347</v>
      </c>
      <c r="CW55" s="98">
        <v>15.2264356613159</v>
      </c>
      <c r="CX55" s="97"/>
      <c r="CY55" s="99"/>
      <c r="CZ55" s="2" t="b">
        <f>IF($DP$1="YES",IF(RecData[[#This Row],[Power (kW)]]&gt;=$CR$3, TRUE,FALSE),TRUE)</f>
        <v>1</v>
      </c>
      <c r="DA55" s="16">
        <f>MIN(MOD(180-ABS(ABS($DA$1-RecData[Yaw Angle (°)])-180),360),MOD(180-ABS(ABS($DB$1-RecData[Yaw Angle (°)])-180),360))</f>
        <v>16.470275401267457</v>
      </c>
      <c r="DB55" s="2" t="str">
        <f>IF($DP$2="None","None",IF(RecData[[#This Row],[Relative Wind Direction]]&lt;=45,"DW",IF(RecData[[#This Row],[Relative Wind Direction]]&lt;=135,"CW","UW")))</f>
        <v>DW</v>
      </c>
      <c r="DC55" s="61">
        <v>-1</v>
      </c>
      <c r="DD55" s="61">
        <v>-1</v>
      </c>
      <c r="DE55" s="18" t="b">
        <v>0</v>
      </c>
      <c r="DF55" s="2" t="b">
        <f>IF(OR(RecData[[#This Row],[WSpd_Avg '[m/s']]]-RecData[[#This Row],[Wind Speed min]]&gt;=$DF$3,RecData[[#This Row],[Wind Speed max]]-RecData[[#This Row],[WSpd_Avg '[m/s']]]&gt;=$DF$2),TRUE,FALSE)</f>
        <v>0</v>
      </c>
      <c r="DG55" s="2" t="b">
        <f>RecData[[#This Row],[Temperature '[°C']]]&lt;=-20</f>
        <v>0</v>
      </c>
      <c r="DH55" s="18" t="b">
        <f>NOT(OR(MOD(RecData[[#This Row],[TIMESTAMP]],1)&gt;0.91632,MOD(RecData[[#This Row],[TIMESTAMP]],1)&lt;0.208681))</f>
        <v>0</v>
      </c>
      <c r="DI55" s="18" t="b">
        <f>RecData[[#This Row],[Overall (dBA)]]-RecData[[#This Row],[L90]]&gt;=$DS$4</f>
        <v>0</v>
      </c>
      <c r="DJ55" s="18" t="b">
        <f>RecData[[#This Row],[Overall (dBA)]]&gt;$DS$2</f>
        <v>0</v>
      </c>
      <c r="DK55" s="18" t="b">
        <f>RecData[[#This Row],[Overall (dBA)]]&lt;$DS$3</f>
        <v>0</v>
      </c>
      <c r="DL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" s="2">
        <f>IF(AND(RecData[[#This Row],[Turbines ON/OFF]] = "OFF", NOT(OR(RecData[[#This Row],[Junk?]]="YES",RecData[[#This Row],[Gust?]],RecData[[#This Row],[Rain?]:[Min SPL Threshold?]]))),1,0)</f>
        <v>0</v>
      </c>
      <c r="DN55" s="16">
        <f>RecData[[#This Row],[dBA Sum]]</f>
        <v>39.344318046242265</v>
      </c>
      <c r="DO55" s="16">
        <f>RecData[[#This Row],[LAF90.0]]</f>
        <v>41</v>
      </c>
      <c r="DP55" s="55">
        <f>IF(AND(RecData[[#This Row],[Useable TON Data?]],RecData[[#This Row],[Turbines ON/OFF]]="ON"),RecData[[#This Row],[dBA Sum]],"")</f>
        <v>39.344318046242265</v>
      </c>
      <c r="DQ55" s="55" t="str">
        <f>IF(AND(RecData[[#This Row],[Useable Background Data?]],RecData[[#This Row],[Turbines ON/OFF]]="OFF"),RecData[[#This Row],[dBA Sum]],"")</f>
        <v/>
      </c>
      <c r="DR55" s="3">
        <f>IF(OR(RecData[[#This Row],[Useable TON Data?]],RecData[[#This Row],[Useable Background Data?]]),ROUND(RecData[[#This Row],[WSpd_Avg '[m/s']]],0),"")</f>
        <v>1</v>
      </c>
      <c r="DS55" s="85">
        <f>(0.00002)^2*(10^(RecData[[#This Row],[Overall (dBA)]]/10))</f>
        <v>3.439472139781679E-6</v>
      </c>
    </row>
    <row r="56" spans="1:123" ht="15" x14ac:dyDescent="0.25">
      <c r="A56" s="3" t="s">
        <v>249</v>
      </c>
      <c r="B56" s="12">
        <v>43252.118055555555</v>
      </c>
      <c r="C56" s="3"/>
      <c r="D56" s="3">
        <v>42.8</v>
      </c>
      <c r="E56" s="3"/>
      <c r="F56" s="3"/>
      <c r="G56" s="3"/>
      <c r="H56" s="3"/>
      <c r="I56" s="3"/>
      <c r="J56" s="3"/>
      <c r="K56" s="3">
        <v>41.2</v>
      </c>
      <c r="L56" s="3"/>
      <c r="M56" s="3"/>
      <c r="N56" s="3">
        <v>173.2</v>
      </c>
      <c r="O56" s="3"/>
      <c r="P56" s="3"/>
      <c r="Q56" s="3">
        <v>0.98</v>
      </c>
      <c r="R56" s="3">
        <v>0.2</v>
      </c>
      <c r="S56" s="3">
        <v>2.4</v>
      </c>
      <c r="T56" s="3">
        <v>8.6999999999999993</v>
      </c>
      <c r="U56" s="3">
        <v>89.9</v>
      </c>
      <c r="V56" s="3">
        <v>964.2</v>
      </c>
      <c r="W56" s="3">
        <v>0</v>
      </c>
      <c r="X56" s="3">
        <v>47.3</v>
      </c>
      <c r="Y56" s="3">
        <v>47.8</v>
      </c>
      <c r="Z56" s="3">
        <v>47</v>
      </c>
      <c r="AA56" s="3">
        <v>43.2</v>
      </c>
      <c r="AB56" s="3">
        <v>37.200000000000003</v>
      </c>
      <c r="AC56" s="3">
        <v>37.1</v>
      </c>
      <c r="AD56" s="3">
        <v>41.1</v>
      </c>
      <c r="AE56" s="3">
        <v>42.4</v>
      </c>
      <c r="AF56" s="3">
        <v>44.3</v>
      </c>
      <c r="AG56" s="3">
        <v>38.200000000000003</v>
      </c>
      <c r="AH56" s="3">
        <v>36.799999999999997</v>
      </c>
      <c r="AI56" s="3">
        <v>36.9</v>
      </c>
      <c r="AJ56" s="3">
        <v>35.700000000000003</v>
      </c>
      <c r="AK56" s="3">
        <v>34.4</v>
      </c>
      <c r="AL56" s="3">
        <v>32.9</v>
      </c>
      <c r="AM56" s="3">
        <v>32.9</v>
      </c>
      <c r="AN56" s="3">
        <v>32.200000000000003</v>
      </c>
      <c r="AO56" s="3">
        <v>30.1</v>
      </c>
      <c r="AP56" s="3">
        <v>28.1</v>
      </c>
      <c r="AQ56" s="3">
        <v>27.1</v>
      </c>
      <c r="AR56" s="3">
        <v>25.2</v>
      </c>
      <c r="AS56" s="3">
        <v>31.2</v>
      </c>
      <c r="AT56" s="3">
        <v>36.9</v>
      </c>
      <c r="AU56" s="3">
        <v>20.9</v>
      </c>
      <c r="AV56" s="3">
        <v>19.5</v>
      </c>
      <c r="AW56" s="3">
        <v>18.100000000000001</v>
      </c>
      <c r="AX56" s="3">
        <v>13.2</v>
      </c>
      <c r="AY56" s="3">
        <v>11.3</v>
      </c>
      <c r="AZ56" s="3">
        <v>0</v>
      </c>
      <c r="BA56" s="3">
        <v>0</v>
      </c>
      <c r="BB56" s="3">
        <v>0</v>
      </c>
      <c r="BC56" s="3">
        <v>42.790049599249002</v>
      </c>
      <c r="BD56" s="3">
        <v>47.309950400750992</v>
      </c>
      <c r="BE56" s="3">
        <v>47.809950400750992</v>
      </c>
      <c r="BF56" s="3">
        <v>45.769950400751</v>
      </c>
      <c r="BG56" s="3">
        <v>42.296617067417671</v>
      </c>
      <c r="BH56" s="3">
        <v>36.436617067417657</v>
      </c>
      <c r="BI56" s="3">
        <v>36.74995040075099</v>
      </c>
      <c r="BJ56" s="3">
        <v>41.543283734084326</v>
      </c>
      <c r="BK56" s="3">
        <v>42.716617067417658</v>
      </c>
      <c r="BL56" s="3">
        <v>44.189950400750988</v>
      </c>
      <c r="BM56" s="3">
        <v>38.223283734084333</v>
      </c>
      <c r="BN56" s="3">
        <v>37.106617067417659</v>
      </c>
      <c r="BO56" s="3">
        <v>36.573283734084328</v>
      </c>
      <c r="BP56" s="3">
        <v>35.089950400750993</v>
      </c>
      <c r="BQ56" s="3">
        <v>34.206617067417653</v>
      </c>
      <c r="BR56" s="3">
        <v>33.033283734084321</v>
      </c>
      <c r="BS56" s="3">
        <v>32.836617067417663</v>
      </c>
      <c r="BT56" s="3">
        <v>32.333283734084333</v>
      </c>
      <c r="BU56" s="3">
        <v>30.199950400751007</v>
      </c>
      <c r="BV56" s="3">
        <v>27.916617067417661</v>
      </c>
      <c r="BW56" s="3">
        <v>27.449950400751007</v>
      </c>
      <c r="BX56" s="3">
        <v>25.469950400751003</v>
      </c>
      <c r="BY56" s="3">
        <v>31.289950400750996</v>
      </c>
      <c r="BZ56" s="3">
        <v>37.119950400750994</v>
      </c>
      <c r="CA56" s="3">
        <v>21.219950400750989</v>
      </c>
      <c r="CB56" s="3">
        <v>19.256617067417665</v>
      </c>
      <c r="CC56" s="3">
        <v>18.069950400750997</v>
      </c>
      <c r="CD56" s="3">
        <v>12.476617067417664</v>
      </c>
      <c r="CE56" s="3">
        <v>10.769950400750993</v>
      </c>
      <c r="CF56" s="3">
        <v>-0.91671626591567446</v>
      </c>
      <c r="CG56" s="3">
        <v>-1.4500495992490059</v>
      </c>
      <c r="CH56" s="3">
        <v>-2.5267162659156739</v>
      </c>
      <c r="CI56" s="13">
        <f>[1]!dbasum(RecData[[#This Row],[20]:[2000]],RecData[[#Headers],[20]:[2000]])</f>
        <v>40.179286445385181</v>
      </c>
      <c r="CJ56" s="14">
        <v>715</v>
      </c>
      <c r="CK56" s="15" t="s">
        <v>249</v>
      </c>
      <c r="CL56" s="15">
        <f>RecData[[#This Row],[Start Time]]</f>
        <v>43252.118055555555</v>
      </c>
      <c r="CM56" s="16">
        <f>RecData[[#This Row],[Wind Speed avg]]</f>
        <v>0.98</v>
      </c>
      <c r="CN56" s="16">
        <f>RecData[[#This Row],[Wind Dir. avg]]</f>
        <v>173.2</v>
      </c>
      <c r="CO56" s="16">
        <f>RecData[[#This Row],[Amb. Humidity]]</f>
        <v>89.9</v>
      </c>
      <c r="CP56" s="16">
        <f>RecData[[#This Row],[Amb. Temperature]]</f>
        <v>8.6999999999999993</v>
      </c>
      <c r="CQ56" s="17">
        <f>RecData[[#This Row],[Amb. Rain Gauge]]</f>
        <v>0</v>
      </c>
      <c r="CR56" s="97" t="s">
        <v>1</v>
      </c>
      <c r="CS56" s="97" t="s">
        <v>49</v>
      </c>
      <c r="CT56" s="98">
        <v>1615.8352050000001</v>
      </c>
      <c r="CU56" s="98">
        <v>24.000202178955</v>
      </c>
      <c r="CV56" s="98">
        <v>10.7581825256347</v>
      </c>
      <c r="CW56" s="98">
        <v>15.2264356613159</v>
      </c>
      <c r="CX56" s="97"/>
      <c r="CY56" s="99"/>
      <c r="CZ56" s="2" t="b">
        <f>IF($DP$1="YES",IF(RecData[[#This Row],[Power (kW)]]&gt;=$CR$3, TRUE,FALSE),TRUE)</f>
        <v>1</v>
      </c>
      <c r="DA56" s="16">
        <f>MIN(MOD(180-ABS(ABS($DA$1-RecData[Yaw Angle (°)])-180),360),MOD(180-ABS(ABS($DB$1-RecData[Yaw Angle (°)])-180),360))</f>
        <v>16.470275401267457</v>
      </c>
      <c r="DB56" s="2" t="str">
        <f>IF($DP$2="None","None",IF(RecData[[#This Row],[Relative Wind Direction]]&lt;=45,"DW",IF(RecData[[#This Row],[Relative Wind Direction]]&lt;=135,"CW","UW")))</f>
        <v>DW</v>
      </c>
      <c r="DC56" s="61" t="e">
        <f>IF($CL56-$CL55&gt;1/24,#REF!,IF(SUM($CQ55:$CQ56)&gt;$DS$1,$DS$5,#REF!-1))</f>
        <v>#REF!</v>
      </c>
      <c r="DD56" s="61" t="e">
        <f>IF(#REF!-$CL56&gt;1/24,#REF!,IF(SUM($CQ55:$CQ56)&gt;$DS$1,$DS$6,#REF!-1))</f>
        <v>#REF!</v>
      </c>
      <c r="DE56" s="18" t="b">
        <v>0</v>
      </c>
      <c r="DF56" s="2" t="b">
        <f>IF(OR(RecData[[#This Row],[WSpd_Avg '[m/s']]]-RecData[[#This Row],[Wind Speed min]]&gt;=$DF$3,RecData[[#This Row],[Wind Speed max]]-RecData[[#This Row],[WSpd_Avg '[m/s']]]&gt;=$DF$2),TRUE,FALSE)</f>
        <v>0</v>
      </c>
      <c r="DG56" s="2" t="b">
        <f>RecData[[#This Row],[Temperature '[°C']]]&lt;=-20</f>
        <v>0</v>
      </c>
      <c r="DH56" s="18" t="b">
        <f>NOT(OR(MOD(RecData[[#This Row],[TIMESTAMP]],1)&gt;0.91632,MOD(RecData[[#This Row],[TIMESTAMP]],1)&lt;0.208681))</f>
        <v>0</v>
      </c>
      <c r="DI56" s="18" t="b">
        <f>RecData[[#This Row],[Overall (dBA)]]-RecData[[#This Row],[L90]]&gt;=$DS$4</f>
        <v>0</v>
      </c>
      <c r="DJ56" s="18" t="b">
        <f>RecData[[#This Row],[Overall (dBA)]]&gt;$DS$2</f>
        <v>0</v>
      </c>
      <c r="DK56" s="18" t="b">
        <f>RecData[[#This Row],[Overall (dBA)]]&lt;$DS$3</f>
        <v>0</v>
      </c>
      <c r="DL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" s="2">
        <f>IF(AND(RecData[[#This Row],[Turbines ON/OFF]] = "OFF", NOT(OR(RecData[[#This Row],[Junk?]]="YES",RecData[[#This Row],[Gust?]],RecData[[#This Row],[Rain?]:[Min SPL Threshold?]]))),1,0)</f>
        <v>0</v>
      </c>
      <c r="DN56" s="16">
        <f>RecData[[#This Row],[dBA Sum]]</f>
        <v>40.179286445385181</v>
      </c>
      <c r="DO56" s="16">
        <f>RecData[[#This Row],[LAF90.0]]</f>
        <v>41.2</v>
      </c>
      <c r="DP56" s="55">
        <f>IF(AND(RecData[[#This Row],[Useable TON Data?]],RecData[[#This Row],[Turbines ON/OFF]]="ON"),RecData[[#This Row],[dBA Sum]],"")</f>
        <v>40.179286445385181</v>
      </c>
      <c r="DQ56" s="55" t="str">
        <f>IF(AND(RecData[[#This Row],[Useable Background Data?]],RecData[[#This Row],[Turbines ON/OFF]]="OFF"),RecData[[#This Row],[dBA Sum]],"")</f>
        <v/>
      </c>
      <c r="DR56" s="3">
        <f>IF(OR(RecData[[#This Row],[Useable TON Data?]],RecData[[#This Row],[Useable Background Data?]]),ROUND(RecData[[#This Row],[WSpd_Avg '[m/s']]],0),"")</f>
        <v>1</v>
      </c>
      <c r="DS56" s="85">
        <f>(0.00002)^2*(10^(RecData[[#This Row],[Overall (dBA)]]/10))</f>
        <v>4.1685847544006811E-6</v>
      </c>
    </row>
    <row r="57" spans="1:123" ht="15" x14ac:dyDescent="0.25">
      <c r="A57" s="3" t="s">
        <v>249</v>
      </c>
      <c r="B57" s="12">
        <v>43252.119444444448</v>
      </c>
      <c r="C57" s="3"/>
      <c r="D57" s="3">
        <v>41.8</v>
      </c>
      <c r="E57" s="3"/>
      <c r="F57" s="3"/>
      <c r="G57" s="3"/>
      <c r="H57" s="3"/>
      <c r="I57" s="3"/>
      <c r="J57" s="3"/>
      <c r="K57" s="3">
        <v>39.9</v>
      </c>
      <c r="L57" s="3"/>
      <c r="M57" s="3"/>
      <c r="N57" s="3">
        <v>157.19999999999999</v>
      </c>
      <c r="O57" s="3"/>
      <c r="P57" s="3"/>
      <c r="Q57" s="3">
        <v>1.99</v>
      </c>
      <c r="R57" s="3">
        <v>1.2</v>
      </c>
      <c r="S57" s="3">
        <v>3</v>
      </c>
      <c r="T57" s="3">
        <v>8.6999999999999993</v>
      </c>
      <c r="U57" s="3">
        <v>89.8</v>
      </c>
      <c r="V57" s="3">
        <v>964.3</v>
      </c>
      <c r="W57" s="3">
        <v>0</v>
      </c>
      <c r="X57" s="3">
        <v>46.3</v>
      </c>
      <c r="Y57" s="3">
        <v>46.7</v>
      </c>
      <c r="Z57" s="3">
        <v>46.1</v>
      </c>
      <c r="AA57" s="3">
        <v>41.2</v>
      </c>
      <c r="AB57" s="3">
        <v>37.1</v>
      </c>
      <c r="AC57" s="3">
        <v>36.6</v>
      </c>
      <c r="AD57" s="3">
        <v>39.4</v>
      </c>
      <c r="AE57" s="3">
        <v>40.6</v>
      </c>
      <c r="AF57" s="3">
        <v>43.1</v>
      </c>
      <c r="AG57" s="3">
        <v>37.4</v>
      </c>
      <c r="AH57" s="3">
        <v>36.6</v>
      </c>
      <c r="AI57" s="3">
        <v>36.200000000000003</v>
      </c>
      <c r="AJ57" s="3">
        <v>35.200000000000003</v>
      </c>
      <c r="AK57" s="3">
        <v>33.9</v>
      </c>
      <c r="AL57" s="3">
        <v>32.4</v>
      </c>
      <c r="AM57" s="3">
        <v>32</v>
      </c>
      <c r="AN57" s="3">
        <v>31.4</v>
      </c>
      <c r="AO57" s="3">
        <v>29.3</v>
      </c>
      <c r="AP57" s="3">
        <v>27.2</v>
      </c>
      <c r="AQ57" s="3">
        <v>25.9</v>
      </c>
      <c r="AR57" s="3">
        <v>23.4</v>
      </c>
      <c r="AS57" s="3">
        <v>28.1</v>
      </c>
      <c r="AT57" s="3">
        <v>36.1</v>
      </c>
      <c r="AU57" s="3">
        <v>17.7</v>
      </c>
      <c r="AV57" s="3">
        <v>16.2</v>
      </c>
      <c r="AW57" s="3">
        <v>14.9</v>
      </c>
      <c r="AX57" s="3">
        <v>12</v>
      </c>
      <c r="AY57" s="3">
        <v>11.1</v>
      </c>
      <c r="AZ57" s="3">
        <v>0</v>
      </c>
      <c r="BA57" s="3">
        <v>0</v>
      </c>
      <c r="BB57" s="3">
        <v>0</v>
      </c>
      <c r="BC57" s="3">
        <v>41.778095659900373</v>
      </c>
      <c r="BD57" s="3">
        <v>46.321904340099621</v>
      </c>
      <c r="BE57" s="3">
        <v>46.721904340099627</v>
      </c>
      <c r="BF57" s="3">
        <v>44.881904340099624</v>
      </c>
      <c r="BG57" s="3">
        <v>40.3085710067663</v>
      </c>
      <c r="BH57" s="3">
        <v>36.348571006766292</v>
      </c>
      <c r="BI57" s="3">
        <v>36.261904340099619</v>
      </c>
      <c r="BJ57" s="3">
        <v>39.855237673432953</v>
      </c>
      <c r="BK57" s="3">
        <v>40.92857100676629</v>
      </c>
      <c r="BL57" s="3">
        <v>43.001904340099628</v>
      </c>
      <c r="BM57" s="3">
        <v>37.435237673432965</v>
      </c>
      <c r="BN57" s="3">
        <v>36.918571006766285</v>
      </c>
      <c r="BO57" s="3">
        <v>35.885237673432954</v>
      </c>
      <c r="BP57" s="3">
        <v>34.601904340099622</v>
      </c>
      <c r="BQ57" s="3">
        <v>33.718571006766282</v>
      </c>
      <c r="BR57" s="3">
        <v>32.54523767343295</v>
      </c>
      <c r="BS57" s="3">
        <v>31.948571006766286</v>
      </c>
      <c r="BT57" s="3">
        <v>31.54523767343295</v>
      </c>
      <c r="BU57" s="3">
        <v>29.411904340099625</v>
      </c>
      <c r="BV57" s="3">
        <v>27.028571006766299</v>
      </c>
      <c r="BW57" s="3">
        <v>26.261904340099619</v>
      </c>
      <c r="BX57" s="3">
        <v>23.681904340099635</v>
      </c>
      <c r="BY57" s="3">
        <v>28.201904340099617</v>
      </c>
      <c r="BZ57" s="3">
        <v>36.331904340099626</v>
      </c>
      <c r="CA57" s="3">
        <v>18.031904340099615</v>
      </c>
      <c r="CB57" s="3">
        <v>15.96857100676629</v>
      </c>
      <c r="CC57" s="3">
        <v>14.881904340099624</v>
      </c>
      <c r="CD57" s="3">
        <v>11.288571006766297</v>
      </c>
      <c r="CE57" s="3">
        <v>10.581904340099626</v>
      </c>
      <c r="CF57" s="3">
        <v>-0.90476232656704525</v>
      </c>
      <c r="CG57" s="3">
        <v>-1.4380956599003767</v>
      </c>
      <c r="CH57" s="3">
        <v>-2.5147623265670447</v>
      </c>
      <c r="CI57" s="13">
        <f>[1]!dbasum(RecData[[#This Row],[20]:[2000]],RecData[[#Headers],[20]:[2000]])</f>
        <v>39.365607732821886</v>
      </c>
      <c r="CJ57" s="14">
        <v>717</v>
      </c>
      <c r="CK57" s="15" t="s">
        <v>249</v>
      </c>
      <c r="CL57" s="15">
        <f>RecData[[#This Row],[Start Time]]</f>
        <v>43252.119444444448</v>
      </c>
      <c r="CM57" s="16">
        <f>RecData[[#This Row],[Wind Speed avg]]</f>
        <v>1.99</v>
      </c>
      <c r="CN57" s="16">
        <f>RecData[[#This Row],[Wind Dir. avg]]</f>
        <v>157.19999999999999</v>
      </c>
      <c r="CO57" s="16">
        <f>RecData[[#This Row],[Amb. Humidity]]</f>
        <v>89.8</v>
      </c>
      <c r="CP57" s="16">
        <f>RecData[[#This Row],[Amb. Temperature]]</f>
        <v>8.6999999999999993</v>
      </c>
      <c r="CQ57" s="17">
        <f>RecData[[#This Row],[Amb. Rain Gauge]]</f>
        <v>0</v>
      </c>
      <c r="CR57" s="97" t="s">
        <v>1</v>
      </c>
      <c r="CS57" s="97" t="s">
        <v>49</v>
      </c>
      <c r="CT57" s="98">
        <v>1618.309082</v>
      </c>
      <c r="CU57" s="98">
        <v>24.0002040863037</v>
      </c>
      <c r="CV57" s="98">
        <v>11.842822074890099</v>
      </c>
      <c r="CW57" s="98">
        <v>15.284959793090801</v>
      </c>
      <c r="CX57" s="97"/>
      <c r="CY57" s="99"/>
      <c r="CZ57" s="2" t="b">
        <f>IF($DP$1="YES",IF(RecData[[#This Row],[Power (kW)]]&gt;=$CR$3, TRUE,FALSE),TRUE)</f>
        <v>1</v>
      </c>
      <c r="DA57" s="16">
        <f>MIN(MOD(180-ABS(ABS($DA$1-RecData[Yaw Angle (°)])-180),360),MOD(180-ABS(ABS($DB$1-RecData[Yaw Angle (°)])-180),360))</f>
        <v>16.470277308616147</v>
      </c>
      <c r="DB57" s="2" t="str">
        <f>IF($DP$2="None","None",IF(RecData[[#This Row],[Relative Wind Direction]]&lt;=45,"DW",IF(RecData[[#This Row],[Relative Wind Direction]]&lt;=135,"CW","UW")))</f>
        <v>DW</v>
      </c>
      <c r="DC57" s="61" t="e">
        <f>IF($CL57-#REF!&gt;1/24,#REF!,IF(SUM($CQ56:$CQ57)&gt;$DS$1,$DS$5,DC58-1))</f>
        <v>#REF!</v>
      </c>
      <c r="DD57" s="61" t="e">
        <f>IF($CL58-$CL57&gt;1/24,#REF!,IF(SUM($CQ56:$CQ57)&gt;$DS$1,$DS$6,#REF!-1))</f>
        <v>#REF!</v>
      </c>
      <c r="DE57" s="18" t="b">
        <v>0</v>
      </c>
      <c r="DF57" s="2" t="b">
        <f>IF(OR(RecData[[#This Row],[WSpd_Avg '[m/s']]]-RecData[[#This Row],[Wind Speed min]]&gt;=$DF$3,RecData[[#This Row],[Wind Speed max]]-RecData[[#This Row],[WSpd_Avg '[m/s']]]&gt;=$DF$2),TRUE,FALSE)</f>
        <v>0</v>
      </c>
      <c r="DG57" s="2" t="b">
        <f>RecData[[#This Row],[Temperature '[°C']]]&lt;=-20</f>
        <v>0</v>
      </c>
      <c r="DH57" s="18" t="b">
        <f>NOT(OR(MOD(RecData[[#This Row],[TIMESTAMP]],1)&gt;0.91632,MOD(RecData[[#This Row],[TIMESTAMP]],1)&lt;0.208681))</f>
        <v>0</v>
      </c>
      <c r="DI57" s="18" t="b">
        <f>RecData[[#This Row],[Overall (dBA)]]-RecData[[#This Row],[L90]]&gt;=$DS$4</f>
        <v>0</v>
      </c>
      <c r="DJ57" s="18" t="b">
        <f>RecData[[#This Row],[Overall (dBA)]]&gt;$DS$2</f>
        <v>0</v>
      </c>
      <c r="DK57" s="18" t="b">
        <f>RecData[[#This Row],[Overall (dBA)]]&lt;$DS$3</f>
        <v>0</v>
      </c>
      <c r="DL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" s="2">
        <f>IF(AND(RecData[[#This Row],[Turbines ON/OFF]] = "OFF", NOT(OR(RecData[[#This Row],[Junk?]]="YES",RecData[[#This Row],[Gust?]],RecData[[#This Row],[Rain?]:[Min SPL Threshold?]]))),1,0)</f>
        <v>0</v>
      </c>
      <c r="DN57" s="16">
        <f>RecData[[#This Row],[dBA Sum]]</f>
        <v>39.365607732821886</v>
      </c>
      <c r="DO57" s="16">
        <f>RecData[[#This Row],[LAF90.0]]</f>
        <v>39.9</v>
      </c>
      <c r="DP57" s="55">
        <f>IF(AND(RecData[[#This Row],[Useable TON Data?]],RecData[[#This Row],[Turbines ON/OFF]]="ON"),RecData[[#This Row],[dBA Sum]],"")</f>
        <v>39.365607732821886</v>
      </c>
      <c r="DQ57" s="55" t="str">
        <f>IF(AND(RecData[[#This Row],[Useable Background Data?]],RecData[[#This Row],[Turbines ON/OFF]]="OFF"),RecData[[#This Row],[dBA Sum]],"")</f>
        <v/>
      </c>
      <c r="DR57" s="3">
        <f>IF(OR(RecData[[#This Row],[Useable TON Data?]],RecData[[#This Row],[Useable Background Data?]]),ROUND(RecData[[#This Row],[WSpd_Avg '[m/s']]],0),"")</f>
        <v>2</v>
      </c>
      <c r="DS57" s="85">
        <f>(0.00002)^2*(10^(RecData[[#This Row],[Overall (dBA)]]/10))</f>
        <v>3.4563742788916785E-6</v>
      </c>
    </row>
    <row r="58" spans="1:123" ht="15" x14ac:dyDescent="0.25">
      <c r="A58" s="3" t="s">
        <v>249</v>
      </c>
      <c r="B58" s="12">
        <v>43252.120138888895</v>
      </c>
      <c r="C58" s="3"/>
      <c r="D58" s="3">
        <v>41.9</v>
      </c>
      <c r="E58" s="3"/>
      <c r="F58" s="3"/>
      <c r="G58" s="3"/>
      <c r="H58" s="3"/>
      <c r="I58" s="3"/>
      <c r="J58" s="3"/>
      <c r="K58" s="3">
        <v>40.299999999999997</v>
      </c>
      <c r="L58" s="3"/>
      <c r="M58" s="3"/>
      <c r="N58" s="3">
        <v>172</v>
      </c>
      <c r="O58" s="3"/>
      <c r="P58" s="3"/>
      <c r="Q58" s="3">
        <v>1.65</v>
      </c>
      <c r="R58" s="3">
        <v>0.8</v>
      </c>
      <c r="S58" s="3">
        <v>2.5</v>
      </c>
      <c r="T58" s="3">
        <v>8.6999999999999993</v>
      </c>
      <c r="U58" s="3">
        <v>89.7</v>
      </c>
      <c r="V58" s="3">
        <v>964.3</v>
      </c>
      <c r="W58" s="3">
        <v>0</v>
      </c>
      <c r="X58" s="3">
        <v>46.4</v>
      </c>
      <c r="Y58" s="3">
        <v>47</v>
      </c>
      <c r="Z58" s="3">
        <v>46</v>
      </c>
      <c r="AA58" s="3">
        <v>41.5</v>
      </c>
      <c r="AB58" s="3">
        <v>37</v>
      </c>
      <c r="AC58" s="3">
        <v>35.5</v>
      </c>
      <c r="AD58" s="3">
        <v>39.1</v>
      </c>
      <c r="AE58" s="3">
        <v>40.700000000000003</v>
      </c>
      <c r="AF58" s="3">
        <v>43.4</v>
      </c>
      <c r="AG58" s="3">
        <v>37.700000000000003</v>
      </c>
      <c r="AH58" s="3">
        <v>36.200000000000003</v>
      </c>
      <c r="AI58" s="3">
        <v>36.1</v>
      </c>
      <c r="AJ58" s="3">
        <v>35.4</v>
      </c>
      <c r="AK58" s="3">
        <v>33.799999999999997</v>
      </c>
      <c r="AL58" s="3">
        <v>32.200000000000003</v>
      </c>
      <c r="AM58" s="3">
        <v>32.200000000000003</v>
      </c>
      <c r="AN58" s="3">
        <v>31.6</v>
      </c>
      <c r="AO58" s="3">
        <v>29.2</v>
      </c>
      <c r="AP58" s="3">
        <v>26.9</v>
      </c>
      <c r="AQ58" s="3">
        <v>25.7</v>
      </c>
      <c r="AR58" s="3">
        <v>22.8</v>
      </c>
      <c r="AS58" s="3">
        <v>29</v>
      </c>
      <c r="AT58" s="3">
        <v>36.4</v>
      </c>
      <c r="AU58" s="3">
        <v>15.2</v>
      </c>
      <c r="AV58" s="3">
        <v>13.3</v>
      </c>
      <c r="AW58" s="3">
        <v>11.8</v>
      </c>
      <c r="AX58" s="3">
        <v>10.1</v>
      </c>
      <c r="AY58" s="3">
        <v>9.8000000000000007</v>
      </c>
      <c r="AZ58" s="3">
        <v>0</v>
      </c>
      <c r="BA58" s="3">
        <v>0</v>
      </c>
      <c r="BB58" s="3">
        <v>0</v>
      </c>
      <c r="BC58" s="3">
        <v>41.912551464363929</v>
      </c>
      <c r="BD58" s="3">
        <v>46.387448535636068</v>
      </c>
      <c r="BE58" s="3">
        <v>46.987448535636076</v>
      </c>
      <c r="BF58" s="3">
        <v>44.747448535636067</v>
      </c>
      <c r="BG58" s="3">
        <v>40.574115202302735</v>
      </c>
      <c r="BH58" s="3">
        <v>36.214115202302736</v>
      </c>
      <c r="BI58" s="3">
        <v>35.127448535636063</v>
      </c>
      <c r="BJ58" s="3">
        <v>39.520781868969408</v>
      </c>
      <c r="BK58" s="3">
        <v>40.994115202302737</v>
      </c>
      <c r="BL58" s="3">
        <v>43.267448535636078</v>
      </c>
      <c r="BM58" s="3">
        <v>37.700781868969415</v>
      </c>
      <c r="BN58" s="3">
        <v>36.484115202302746</v>
      </c>
      <c r="BO58" s="3">
        <v>35.750781868969398</v>
      </c>
      <c r="BP58" s="3">
        <v>34.767448535636078</v>
      </c>
      <c r="BQ58" s="3">
        <v>33.584115202302726</v>
      </c>
      <c r="BR58" s="3">
        <v>32.3107818689694</v>
      </c>
      <c r="BS58" s="3">
        <v>32.114115202302742</v>
      </c>
      <c r="BT58" s="3">
        <v>31.710781868969406</v>
      </c>
      <c r="BU58" s="3">
        <v>29.277448535636069</v>
      </c>
      <c r="BV58" s="3">
        <v>26.69411520230274</v>
      </c>
      <c r="BW58" s="3">
        <v>26.027448535636069</v>
      </c>
      <c r="BX58" s="3">
        <v>23.047448535636079</v>
      </c>
      <c r="BY58" s="3">
        <v>29.067448535636061</v>
      </c>
      <c r="BZ58" s="3">
        <v>36.597448535636062</v>
      </c>
      <c r="CA58" s="3">
        <v>15.49744853563606</v>
      </c>
      <c r="CB58" s="3">
        <v>13.034115202302736</v>
      </c>
      <c r="CC58" s="3">
        <v>11.747448535636067</v>
      </c>
      <c r="CD58" s="3">
        <v>9.3541152023027365</v>
      </c>
      <c r="CE58" s="3">
        <v>9.2474485356360674</v>
      </c>
      <c r="CF58" s="3">
        <v>-0.93921813103060003</v>
      </c>
      <c r="CG58" s="3">
        <v>-1.4725514643639315</v>
      </c>
      <c r="CH58" s="3">
        <v>-2.5492181310305995</v>
      </c>
      <c r="CI58" s="13">
        <f>[1]!dbasum(RecData[[#This Row],[20]:[2000]],RecData[[#Headers],[20]:[2000]])</f>
        <v>39.310108505963115</v>
      </c>
      <c r="CJ58" s="14">
        <v>718</v>
      </c>
      <c r="CK58" s="15" t="s">
        <v>249</v>
      </c>
      <c r="CL58" s="15">
        <f>RecData[[#This Row],[Start Time]]</f>
        <v>43252.120138888895</v>
      </c>
      <c r="CM58" s="16">
        <f>RecData[[#This Row],[Wind Speed avg]]</f>
        <v>1.65</v>
      </c>
      <c r="CN58" s="16">
        <f>RecData[[#This Row],[Wind Dir. avg]]</f>
        <v>172</v>
      </c>
      <c r="CO58" s="16">
        <f>RecData[[#This Row],[Amb. Humidity]]</f>
        <v>89.7</v>
      </c>
      <c r="CP58" s="16">
        <f>RecData[[#This Row],[Amb. Temperature]]</f>
        <v>8.6999999999999993</v>
      </c>
      <c r="CQ58" s="17">
        <f>RecData[[#This Row],[Amb. Rain Gauge]]</f>
        <v>0</v>
      </c>
      <c r="CR58" s="97" t="s">
        <v>1</v>
      </c>
      <c r="CS58" s="97" t="s">
        <v>49</v>
      </c>
      <c r="CT58" s="98">
        <v>1618.309082</v>
      </c>
      <c r="CU58" s="98">
        <v>24.0002040863037</v>
      </c>
      <c r="CV58" s="98">
        <v>11.842822074890099</v>
      </c>
      <c r="CW58" s="98">
        <v>15.284959793090801</v>
      </c>
      <c r="CX58" s="97"/>
      <c r="CY58" s="99"/>
      <c r="CZ58" s="2" t="b">
        <f>IF($DP$1="YES",IF(RecData[[#This Row],[Power (kW)]]&gt;=$CR$3, TRUE,FALSE),TRUE)</f>
        <v>1</v>
      </c>
      <c r="DA58" s="16">
        <f>MIN(MOD(180-ABS(ABS($DA$1-RecData[Yaw Angle (°)])-180),360),MOD(180-ABS(ABS($DB$1-RecData[Yaw Angle (°)])-180),360))</f>
        <v>16.470277308616147</v>
      </c>
      <c r="DB58" s="2" t="str">
        <f>IF($DP$2="None","None",IF(RecData[[#This Row],[Relative Wind Direction]]&lt;=45,"DW",IF(RecData[[#This Row],[Relative Wind Direction]]&lt;=135,"CW","UW")))</f>
        <v>DW</v>
      </c>
      <c r="DC58" s="61" t="e">
        <f>IF($CL58-#REF!&gt;1/24,#REF!,IF(SUM($CQ56:$CQ58)&gt;$DS$1,$DS$5,DC59-1))</f>
        <v>#REF!</v>
      </c>
      <c r="DD58" s="61" t="e">
        <f>IF($CL59-$CL58&gt;1/24,#REF!,IF(SUM($CQ56:$CQ58)&gt;$DS$1,$DS$6,DD57-1))</f>
        <v>#REF!</v>
      </c>
      <c r="DE58" s="18" t="b">
        <v>0</v>
      </c>
      <c r="DF58" s="2" t="b">
        <f>IF(OR(RecData[[#This Row],[WSpd_Avg '[m/s']]]-RecData[[#This Row],[Wind Speed min]]&gt;=$DF$3,RecData[[#This Row],[Wind Speed max]]-RecData[[#This Row],[WSpd_Avg '[m/s']]]&gt;=$DF$2),TRUE,FALSE)</f>
        <v>0</v>
      </c>
      <c r="DG58" s="2" t="b">
        <f>RecData[[#This Row],[Temperature '[°C']]]&lt;=-20</f>
        <v>0</v>
      </c>
      <c r="DH58" s="18" t="b">
        <f>NOT(OR(MOD(RecData[[#This Row],[TIMESTAMP]],1)&gt;0.91632,MOD(RecData[[#This Row],[TIMESTAMP]],1)&lt;0.208681))</f>
        <v>0</v>
      </c>
      <c r="DI58" s="18" t="b">
        <f>RecData[[#This Row],[Overall (dBA)]]-RecData[[#This Row],[L90]]&gt;=$DS$4</f>
        <v>0</v>
      </c>
      <c r="DJ58" s="18" t="b">
        <f>RecData[[#This Row],[Overall (dBA)]]&gt;$DS$2</f>
        <v>0</v>
      </c>
      <c r="DK58" s="18" t="b">
        <f>RecData[[#This Row],[Overall (dBA)]]&lt;$DS$3</f>
        <v>0</v>
      </c>
      <c r="DL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" s="2">
        <f>IF(AND(RecData[[#This Row],[Turbines ON/OFF]] = "OFF", NOT(OR(RecData[[#This Row],[Junk?]]="YES",RecData[[#This Row],[Gust?]],RecData[[#This Row],[Rain?]:[Min SPL Threshold?]]))),1,0)</f>
        <v>0</v>
      </c>
      <c r="DN58" s="16">
        <f>RecData[[#This Row],[dBA Sum]]</f>
        <v>39.310108505963115</v>
      </c>
      <c r="DO58" s="16">
        <f>RecData[[#This Row],[LAF90.0]]</f>
        <v>40.299999999999997</v>
      </c>
      <c r="DP58" s="55">
        <f>IF(AND(RecData[[#This Row],[Useable TON Data?]],RecData[[#This Row],[Turbines ON/OFF]]="ON"),RecData[[#This Row],[dBA Sum]],"")</f>
        <v>39.310108505963115</v>
      </c>
      <c r="DQ58" s="55" t="str">
        <f>IF(AND(RecData[[#This Row],[Useable Background Data?]],RecData[[#This Row],[Turbines ON/OFF]]="OFF"),RecData[[#This Row],[dBA Sum]],"")</f>
        <v/>
      </c>
      <c r="DR58" s="3">
        <f>IF(OR(RecData[[#This Row],[Useable TON Data?]],RecData[[#This Row],[Useable Background Data?]]),ROUND(RecData[[#This Row],[WSpd_Avg '[m/s']]],0),"")</f>
        <v>2</v>
      </c>
      <c r="DS58" s="85">
        <f>(0.00002)^2*(10^(RecData[[#This Row],[Overall (dBA)]]/10))</f>
        <v>3.4124857139861137E-6</v>
      </c>
    </row>
    <row r="59" spans="1:123" ht="15" x14ac:dyDescent="0.25">
      <c r="A59" s="3" t="s">
        <v>249</v>
      </c>
      <c r="B59" s="12">
        <v>43252.120833333334</v>
      </c>
      <c r="C59" s="3"/>
      <c r="D59" s="3">
        <v>42.1</v>
      </c>
      <c r="E59" s="3"/>
      <c r="F59" s="3"/>
      <c r="G59" s="3"/>
      <c r="H59" s="3"/>
      <c r="I59" s="3"/>
      <c r="J59" s="3"/>
      <c r="K59" s="3">
        <v>39.799999999999997</v>
      </c>
      <c r="L59" s="3"/>
      <c r="M59" s="3"/>
      <c r="N59" s="3">
        <v>170.1</v>
      </c>
      <c r="O59" s="3"/>
      <c r="P59" s="3"/>
      <c r="Q59" s="3">
        <v>1.68</v>
      </c>
      <c r="R59" s="3">
        <v>0.8</v>
      </c>
      <c r="S59" s="3">
        <v>3.1</v>
      </c>
      <c r="T59" s="3">
        <v>8.6</v>
      </c>
      <c r="U59" s="3">
        <v>89.8</v>
      </c>
      <c r="V59" s="3">
        <v>964.3</v>
      </c>
      <c r="W59" s="3">
        <v>0</v>
      </c>
      <c r="X59" s="3">
        <v>45.9</v>
      </c>
      <c r="Y59" s="3">
        <v>45.7</v>
      </c>
      <c r="Z59" s="3">
        <v>45.4</v>
      </c>
      <c r="AA59" s="3">
        <v>40.6</v>
      </c>
      <c r="AB59" s="3">
        <v>36.200000000000003</v>
      </c>
      <c r="AC59" s="3">
        <v>34.700000000000003</v>
      </c>
      <c r="AD59" s="3">
        <v>37.799999999999997</v>
      </c>
      <c r="AE59" s="3">
        <v>39.4</v>
      </c>
      <c r="AF59" s="3">
        <v>43.4</v>
      </c>
      <c r="AG59" s="3">
        <v>37</v>
      </c>
      <c r="AH59" s="3">
        <v>35.5</v>
      </c>
      <c r="AI59" s="3">
        <v>36.1</v>
      </c>
      <c r="AJ59" s="3">
        <v>34.799999999999997</v>
      </c>
      <c r="AK59" s="3">
        <v>33.5</v>
      </c>
      <c r="AL59" s="3">
        <v>31.8</v>
      </c>
      <c r="AM59" s="3">
        <v>31.4</v>
      </c>
      <c r="AN59" s="3">
        <v>30.7</v>
      </c>
      <c r="AO59" s="3">
        <v>28.4</v>
      </c>
      <c r="AP59" s="3">
        <v>26.2</v>
      </c>
      <c r="AQ59" s="3">
        <v>25</v>
      </c>
      <c r="AR59" s="3">
        <v>22.1</v>
      </c>
      <c r="AS59" s="3">
        <v>30.3</v>
      </c>
      <c r="AT59" s="3">
        <v>37.200000000000003</v>
      </c>
      <c r="AU59" s="3">
        <v>14.9</v>
      </c>
      <c r="AV59" s="3">
        <v>12.9</v>
      </c>
      <c r="AW59" s="3">
        <v>11.8</v>
      </c>
      <c r="AX59" s="3">
        <v>10.199999999999999</v>
      </c>
      <c r="AY59" s="3">
        <v>9.9</v>
      </c>
      <c r="AZ59" s="3">
        <v>0</v>
      </c>
      <c r="BA59" s="3">
        <v>0</v>
      </c>
      <c r="BB59" s="3">
        <v>0</v>
      </c>
      <c r="BC59" s="3">
        <v>42.031214663521872</v>
      </c>
      <c r="BD59" s="3">
        <v>45.968785336478128</v>
      </c>
      <c r="BE59" s="3">
        <v>45.768785336478139</v>
      </c>
      <c r="BF59" s="3">
        <v>44.228785336478118</v>
      </c>
      <c r="BG59" s="3">
        <v>39.755452003144789</v>
      </c>
      <c r="BH59" s="3">
        <v>35.495452003144798</v>
      </c>
      <c r="BI59" s="3">
        <v>34.408785336478125</v>
      </c>
      <c r="BJ59" s="3">
        <v>38.302118669811456</v>
      </c>
      <c r="BK59" s="3">
        <v>39.7754520031448</v>
      </c>
      <c r="BL59" s="3">
        <v>43.348785336478123</v>
      </c>
      <c r="BM59" s="3">
        <v>37.082118669811472</v>
      </c>
      <c r="BN59" s="3">
        <v>35.865452003144803</v>
      </c>
      <c r="BO59" s="3">
        <v>35.832118669811472</v>
      </c>
      <c r="BP59" s="3">
        <v>34.248785336478129</v>
      </c>
      <c r="BQ59" s="3">
        <v>33.365452003144789</v>
      </c>
      <c r="BR59" s="3">
        <v>31.992118669811468</v>
      </c>
      <c r="BS59" s="3">
        <v>31.39545200314479</v>
      </c>
      <c r="BT59" s="3">
        <v>30.89211866981146</v>
      </c>
      <c r="BU59" s="3">
        <v>28.558785336478131</v>
      </c>
      <c r="BV59" s="3">
        <v>26.075452003144797</v>
      </c>
      <c r="BW59" s="3">
        <v>25.408785336478125</v>
      </c>
      <c r="BX59" s="3">
        <v>22.428785336478136</v>
      </c>
      <c r="BY59" s="3">
        <v>30.448785336478132</v>
      </c>
      <c r="BZ59" s="3">
        <v>37.478785336478133</v>
      </c>
      <c r="CA59" s="3">
        <v>15.278785336478123</v>
      </c>
      <c r="CB59" s="3">
        <v>12.715452003144797</v>
      </c>
      <c r="CC59" s="3">
        <v>11.828785336478127</v>
      </c>
      <c r="CD59" s="3">
        <v>9.5354520031447976</v>
      </c>
      <c r="CE59" s="3">
        <v>9.4287853364781284</v>
      </c>
      <c r="CF59" s="3">
        <v>-0.8578813301885404</v>
      </c>
      <c r="CG59" s="3">
        <v>-1.3912146635218718</v>
      </c>
      <c r="CH59" s="3">
        <v>-2.4678813301885398</v>
      </c>
      <c r="CI59" s="13">
        <f>[1]!dbasum(RecData[[#This Row],[20]:[2000]],RecData[[#Headers],[20]:[2000]])</f>
        <v>38.791423574455919</v>
      </c>
      <c r="CJ59" s="14">
        <v>719</v>
      </c>
      <c r="CK59" s="15" t="s">
        <v>249</v>
      </c>
      <c r="CL59" s="15">
        <f>RecData[[#This Row],[Start Time]]</f>
        <v>43252.120833333334</v>
      </c>
      <c r="CM59" s="16">
        <f>RecData[[#This Row],[Wind Speed avg]]</f>
        <v>1.68</v>
      </c>
      <c r="CN59" s="16">
        <f>RecData[[#This Row],[Wind Dir. avg]]</f>
        <v>170.1</v>
      </c>
      <c r="CO59" s="16">
        <f>RecData[[#This Row],[Amb. Humidity]]</f>
        <v>89.8</v>
      </c>
      <c r="CP59" s="16">
        <f>RecData[[#This Row],[Amb. Temperature]]</f>
        <v>8.6</v>
      </c>
      <c r="CQ59" s="17">
        <f>RecData[[#This Row],[Amb. Rain Gauge]]</f>
        <v>0</v>
      </c>
      <c r="CR59" s="97" t="s">
        <v>1</v>
      </c>
      <c r="CS59" s="97" t="s">
        <v>49</v>
      </c>
      <c r="CT59" s="98">
        <v>1618.309082</v>
      </c>
      <c r="CU59" s="98">
        <v>24.0002040863037</v>
      </c>
      <c r="CV59" s="98">
        <v>11.842822074890099</v>
      </c>
      <c r="CW59" s="98">
        <v>15.284959793090801</v>
      </c>
      <c r="CX59" s="97"/>
      <c r="CY59" s="99"/>
      <c r="CZ59" s="2" t="b">
        <f>IF($DP$1="YES",IF(RecData[[#This Row],[Power (kW)]]&gt;=$CR$3, TRUE,FALSE),TRUE)</f>
        <v>1</v>
      </c>
      <c r="DA59" s="16">
        <f>MIN(MOD(180-ABS(ABS($DA$1-RecData[Yaw Angle (°)])-180),360),MOD(180-ABS(ABS($DB$1-RecData[Yaw Angle (°)])-180),360))</f>
        <v>16.470277308616147</v>
      </c>
      <c r="DB59" s="2" t="str">
        <f>IF($DP$2="None","None",IF(RecData[[#This Row],[Relative Wind Direction]]&lt;=45,"DW",IF(RecData[[#This Row],[Relative Wind Direction]]&lt;=135,"CW","UW")))</f>
        <v>DW</v>
      </c>
      <c r="DC59" s="61" t="e">
        <f>IF($CL59-$CL56&gt;1/24,#REF!,IF(SUM($CQ56:$CQ59)&gt;$DS$1,$DS$5,DC60-1))</f>
        <v>#REF!</v>
      </c>
      <c r="DD59" s="61" t="e">
        <f>IF($CL60-$CL59&gt;1/24,#REF!,IF(SUM($CQ56:$CQ59)&gt;$DS$1,$DS$6,DD58-1))</f>
        <v>#REF!</v>
      </c>
      <c r="DE59" s="18" t="b">
        <v>0</v>
      </c>
      <c r="DF59" s="2" t="b">
        <f>IF(OR(RecData[[#This Row],[WSpd_Avg '[m/s']]]-RecData[[#This Row],[Wind Speed min]]&gt;=$DF$3,RecData[[#This Row],[Wind Speed max]]-RecData[[#This Row],[WSpd_Avg '[m/s']]]&gt;=$DF$2),TRUE,FALSE)</f>
        <v>0</v>
      </c>
      <c r="DG59" s="2" t="b">
        <f>RecData[[#This Row],[Temperature '[°C']]]&lt;=-20</f>
        <v>0</v>
      </c>
      <c r="DH59" s="18" t="b">
        <f>NOT(OR(MOD(RecData[[#This Row],[TIMESTAMP]],1)&gt;0.91632,MOD(RecData[[#This Row],[TIMESTAMP]],1)&lt;0.208681))</f>
        <v>0</v>
      </c>
      <c r="DI59" s="18" t="b">
        <f>RecData[[#This Row],[Overall (dBA)]]-RecData[[#This Row],[L90]]&gt;=$DS$4</f>
        <v>0</v>
      </c>
      <c r="DJ59" s="18" t="b">
        <f>RecData[[#This Row],[Overall (dBA)]]&gt;$DS$2</f>
        <v>0</v>
      </c>
      <c r="DK59" s="18" t="b">
        <f>RecData[[#This Row],[Overall (dBA)]]&lt;$DS$3</f>
        <v>0</v>
      </c>
      <c r="DL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" s="2">
        <f>IF(AND(RecData[[#This Row],[Turbines ON/OFF]] = "OFF", NOT(OR(RecData[[#This Row],[Junk?]]="YES",RecData[[#This Row],[Gust?]],RecData[[#This Row],[Rain?]:[Min SPL Threshold?]]))),1,0)</f>
        <v>0</v>
      </c>
      <c r="DN59" s="16">
        <f>RecData[[#This Row],[dBA Sum]]</f>
        <v>38.791423574455919</v>
      </c>
      <c r="DO59" s="16">
        <f>RecData[[#This Row],[LAF90.0]]</f>
        <v>39.799999999999997</v>
      </c>
      <c r="DP59" s="55">
        <f>IF(AND(RecData[[#This Row],[Useable TON Data?]],RecData[[#This Row],[Turbines ON/OFF]]="ON"),RecData[[#This Row],[dBA Sum]],"")</f>
        <v>38.791423574455919</v>
      </c>
      <c r="DQ59" s="55" t="str">
        <f>IF(AND(RecData[[#This Row],[Useable Background Data?]],RecData[[#This Row],[Turbines ON/OFF]]="OFF"),RecData[[#This Row],[dBA Sum]],"")</f>
        <v/>
      </c>
      <c r="DR59" s="3">
        <f>IF(OR(RecData[[#This Row],[Useable TON Data?]],RecData[[#This Row],[Useable Background Data?]]),ROUND(RecData[[#This Row],[WSpd_Avg '[m/s']]],0),"")</f>
        <v>2</v>
      </c>
      <c r="DS59" s="85">
        <f>(0.00002)^2*(10^(RecData[[#This Row],[Overall (dBA)]]/10))</f>
        <v>3.0283240721581067E-6</v>
      </c>
    </row>
    <row r="60" spans="1:123" ht="15" x14ac:dyDescent="0.25">
      <c r="A60" s="3" t="s">
        <v>249</v>
      </c>
      <c r="B60" s="12">
        <v>43252.121527777781</v>
      </c>
      <c r="C60" s="3"/>
      <c r="D60" s="3">
        <v>42.2</v>
      </c>
      <c r="E60" s="3"/>
      <c r="F60" s="3"/>
      <c r="G60" s="3"/>
      <c r="H60" s="3"/>
      <c r="I60" s="3"/>
      <c r="J60" s="3"/>
      <c r="K60" s="3">
        <v>40.5</v>
      </c>
      <c r="L60" s="3"/>
      <c r="M60" s="3"/>
      <c r="N60" s="3">
        <v>180.1</v>
      </c>
      <c r="O60" s="3"/>
      <c r="P60" s="3"/>
      <c r="Q60" s="3">
        <v>1.83</v>
      </c>
      <c r="R60" s="3">
        <v>0.5</v>
      </c>
      <c r="S60" s="3">
        <v>3.1</v>
      </c>
      <c r="T60" s="3">
        <v>8.6</v>
      </c>
      <c r="U60" s="3">
        <v>89.9</v>
      </c>
      <c r="V60" s="3">
        <v>964.4</v>
      </c>
      <c r="W60" s="3">
        <v>0</v>
      </c>
      <c r="X60" s="3">
        <v>46.3</v>
      </c>
      <c r="Y60" s="3">
        <v>46.6</v>
      </c>
      <c r="Z60" s="3">
        <v>46</v>
      </c>
      <c r="AA60" s="3">
        <v>41.5</v>
      </c>
      <c r="AB60" s="3">
        <v>37.1</v>
      </c>
      <c r="AC60" s="3">
        <v>35.799999999999997</v>
      </c>
      <c r="AD60" s="3">
        <v>38.200000000000003</v>
      </c>
      <c r="AE60" s="3">
        <v>40.4</v>
      </c>
      <c r="AF60" s="3">
        <v>45.3</v>
      </c>
      <c r="AG60" s="3">
        <v>38.299999999999997</v>
      </c>
      <c r="AH60" s="3">
        <v>36.700000000000003</v>
      </c>
      <c r="AI60" s="3">
        <v>37.700000000000003</v>
      </c>
      <c r="AJ60" s="3">
        <v>36.1</v>
      </c>
      <c r="AK60" s="3">
        <v>34.9</v>
      </c>
      <c r="AL60" s="3">
        <v>32.700000000000003</v>
      </c>
      <c r="AM60" s="3">
        <v>32</v>
      </c>
      <c r="AN60" s="3">
        <v>30.6</v>
      </c>
      <c r="AO60" s="3">
        <v>28.4</v>
      </c>
      <c r="AP60" s="3">
        <v>26.2</v>
      </c>
      <c r="AQ60" s="3">
        <v>24.8</v>
      </c>
      <c r="AR60" s="3">
        <v>22.6</v>
      </c>
      <c r="AS60" s="3">
        <v>29.1</v>
      </c>
      <c r="AT60" s="3">
        <v>36.799999999999997</v>
      </c>
      <c r="AU60" s="3">
        <v>17.2</v>
      </c>
      <c r="AV60" s="3">
        <v>15.4</v>
      </c>
      <c r="AW60" s="3">
        <v>14</v>
      </c>
      <c r="AX60" s="3">
        <v>11.2</v>
      </c>
      <c r="AY60" s="3">
        <v>10.5</v>
      </c>
      <c r="AZ60" s="3">
        <v>0</v>
      </c>
      <c r="BA60" s="3">
        <v>0</v>
      </c>
      <c r="BB60" s="3">
        <v>0</v>
      </c>
      <c r="BC60" s="3">
        <v>42.202292769398511</v>
      </c>
      <c r="BD60" s="3">
        <v>46.297707230601489</v>
      </c>
      <c r="BE60" s="3">
        <v>46.5977072306015</v>
      </c>
      <c r="BF60" s="3">
        <v>44.757707230601497</v>
      </c>
      <c r="BG60" s="3">
        <v>40.584373897268151</v>
      </c>
      <c r="BH60" s="3">
        <v>36.32437389726816</v>
      </c>
      <c r="BI60" s="3">
        <v>35.43770723060149</v>
      </c>
      <c r="BJ60" s="3">
        <v>38.631040563934832</v>
      </c>
      <c r="BK60" s="3">
        <v>40.704373897268155</v>
      </c>
      <c r="BL60" s="3">
        <v>45.177707230601484</v>
      </c>
      <c r="BM60" s="3">
        <v>38.311040563934824</v>
      </c>
      <c r="BN60" s="3">
        <v>36.994373897268161</v>
      </c>
      <c r="BO60" s="3">
        <v>37.361040563934822</v>
      </c>
      <c r="BP60" s="3">
        <v>35.477707230601496</v>
      </c>
      <c r="BQ60" s="3">
        <v>34.69437389726815</v>
      </c>
      <c r="BR60" s="3">
        <v>32.821040563934829</v>
      </c>
      <c r="BS60" s="3">
        <v>31.924373897268154</v>
      </c>
      <c r="BT60" s="3">
        <v>30.721040563934835</v>
      </c>
      <c r="BU60" s="3">
        <v>28.487707230601487</v>
      </c>
      <c r="BV60" s="3">
        <v>26.004373897268167</v>
      </c>
      <c r="BW60" s="3">
        <v>25.137707230601492</v>
      </c>
      <c r="BX60" s="3">
        <v>22.857707230601491</v>
      </c>
      <c r="BY60" s="3">
        <v>29.177707230601484</v>
      </c>
      <c r="BZ60" s="3">
        <v>37.007707230601497</v>
      </c>
      <c r="CA60" s="3">
        <v>17.507707230601483</v>
      </c>
      <c r="CB60" s="3">
        <v>15.144373897268153</v>
      </c>
      <c r="CC60" s="3">
        <v>13.957707230601493</v>
      </c>
      <c r="CD60" s="3">
        <v>10.46437389726816</v>
      </c>
      <c r="CE60" s="3">
        <v>9.9577072306014927</v>
      </c>
      <c r="CF60" s="3">
        <v>-0.92895943606517761</v>
      </c>
      <c r="CG60" s="3">
        <v>-1.4622927693985091</v>
      </c>
      <c r="CH60" s="3">
        <v>-2.538959436065177</v>
      </c>
      <c r="CI60" s="13">
        <f>[1]!dbasum(RecData[[#This Row],[20]:[2000]],RecData[[#Headers],[20]:[2000]])</f>
        <v>39.507328373797904</v>
      </c>
      <c r="CJ60" s="14">
        <v>720</v>
      </c>
      <c r="CK60" s="15" t="s">
        <v>249</v>
      </c>
      <c r="CL60" s="15">
        <f>RecData[[#This Row],[Start Time]]</f>
        <v>43252.121527777781</v>
      </c>
      <c r="CM60" s="16">
        <f>RecData[[#This Row],[Wind Speed avg]]</f>
        <v>1.83</v>
      </c>
      <c r="CN60" s="16">
        <f>RecData[[#This Row],[Wind Dir. avg]]</f>
        <v>180.1</v>
      </c>
      <c r="CO60" s="16">
        <f>RecData[[#This Row],[Amb. Humidity]]</f>
        <v>89.9</v>
      </c>
      <c r="CP60" s="16">
        <f>RecData[[#This Row],[Amb. Temperature]]</f>
        <v>8.6</v>
      </c>
      <c r="CQ60" s="17">
        <f>RecData[[#This Row],[Amb. Rain Gauge]]</f>
        <v>0</v>
      </c>
      <c r="CR60" s="97" t="s">
        <v>1</v>
      </c>
      <c r="CS60" s="97" t="s">
        <v>49</v>
      </c>
      <c r="CT60" s="98">
        <v>1618.309082</v>
      </c>
      <c r="CU60" s="98">
        <v>24.0002040863037</v>
      </c>
      <c r="CV60" s="98">
        <v>11.842822074890099</v>
      </c>
      <c r="CW60" s="98">
        <v>15.284959793090801</v>
      </c>
      <c r="CX60" s="97"/>
      <c r="CY60" s="99"/>
      <c r="CZ60" s="2" t="b">
        <f>IF($DP$1="YES",IF(RecData[[#This Row],[Power (kW)]]&gt;=$CR$3, TRUE,FALSE),TRUE)</f>
        <v>1</v>
      </c>
      <c r="DA60" s="16">
        <f>MIN(MOD(180-ABS(ABS($DA$1-RecData[Yaw Angle (°)])-180),360),MOD(180-ABS(ABS($DB$1-RecData[Yaw Angle (°)])-180),360))</f>
        <v>16.470277308616147</v>
      </c>
      <c r="DB60" s="2" t="str">
        <f>IF($DP$2="None","None",IF(RecData[[#This Row],[Relative Wind Direction]]&lt;=45,"DW",IF(RecData[[#This Row],[Relative Wind Direction]]&lt;=135,"CW","UW")))</f>
        <v>DW</v>
      </c>
      <c r="DC60" s="61" t="e">
        <f>IF($CL60-#REF!&gt;1/24,#REF!,IF(SUM($CQ57:$CQ60)&gt;$DS$1,$DS$5,DC61-1))</f>
        <v>#REF!</v>
      </c>
      <c r="DD60" s="61" t="e">
        <f>IF($CL61-$CL60&gt;1/24,#REF!,IF(SUM($CQ57:$CQ60)&gt;$DS$1,$DS$6,DD59-1))</f>
        <v>#REF!</v>
      </c>
      <c r="DE60" s="18" t="b">
        <v>0</v>
      </c>
      <c r="DF60" s="2" t="b">
        <f>IF(OR(RecData[[#This Row],[WSpd_Avg '[m/s']]]-RecData[[#This Row],[Wind Speed min]]&gt;=$DF$3,RecData[[#This Row],[Wind Speed max]]-RecData[[#This Row],[WSpd_Avg '[m/s']]]&gt;=$DF$2),TRUE,FALSE)</f>
        <v>0</v>
      </c>
      <c r="DG60" s="2" t="b">
        <f>RecData[[#This Row],[Temperature '[°C']]]&lt;=-20</f>
        <v>0</v>
      </c>
      <c r="DH60" s="18" t="b">
        <f>NOT(OR(MOD(RecData[[#This Row],[TIMESTAMP]],1)&gt;0.91632,MOD(RecData[[#This Row],[TIMESTAMP]],1)&lt;0.208681))</f>
        <v>0</v>
      </c>
      <c r="DI60" s="18" t="b">
        <f>RecData[[#This Row],[Overall (dBA)]]-RecData[[#This Row],[L90]]&gt;=$DS$4</f>
        <v>0</v>
      </c>
      <c r="DJ60" s="18" t="b">
        <f>RecData[[#This Row],[Overall (dBA)]]&gt;$DS$2</f>
        <v>0</v>
      </c>
      <c r="DK60" s="18" t="b">
        <f>RecData[[#This Row],[Overall (dBA)]]&lt;$DS$3</f>
        <v>0</v>
      </c>
      <c r="DL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" s="2">
        <f>IF(AND(RecData[[#This Row],[Turbines ON/OFF]] = "OFF", NOT(OR(RecData[[#This Row],[Junk?]]="YES",RecData[[#This Row],[Gust?]],RecData[[#This Row],[Rain?]:[Min SPL Threshold?]]))),1,0)</f>
        <v>0</v>
      </c>
      <c r="DN60" s="16">
        <f>RecData[[#This Row],[dBA Sum]]</f>
        <v>39.507328373797904</v>
      </c>
      <c r="DO60" s="16">
        <f>RecData[[#This Row],[LAF90.0]]</f>
        <v>40.5</v>
      </c>
      <c r="DP60" s="55">
        <f>IF(AND(RecData[[#This Row],[Useable TON Data?]],RecData[[#This Row],[Turbines ON/OFF]]="ON"),RecData[[#This Row],[dBA Sum]],"")</f>
        <v>39.507328373797904</v>
      </c>
      <c r="DQ60" s="55" t="str">
        <f>IF(AND(RecData[[#This Row],[Useable Background Data?]],RecData[[#This Row],[Turbines ON/OFF]]="OFF"),RecData[[#This Row],[dBA Sum]],"")</f>
        <v/>
      </c>
      <c r="DR60" s="3">
        <f>IF(OR(RecData[[#This Row],[Useable TON Data?]],RecData[[#This Row],[Useable Background Data?]]),ROUND(RecData[[#This Row],[WSpd_Avg '[m/s']]],0),"")</f>
        <v>2</v>
      </c>
      <c r="DS60" s="85">
        <f>(0.00002)^2*(10^(RecData[[#This Row],[Overall (dBA)]]/10))</f>
        <v>3.57102449101676E-6</v>
      </c>
    </row>
    <row r="61" spans="1:123" ht="15" x14ac:dyDescent="0.25">
      <c r="A61" s="3" t="s">
        <v>249</v>
      </c>
      <c r="B61" s="12">
        <v>43252.122222222228</v>
      </c>
      <c r="C61" s="3"/>
      <c r="D61" s="3">
        <v>41.8</v>
      </c>
      <c r="E61" s="3"/>
      <c r="F61" s="3"/>
      <c r="G61" s="3"/>
      <c r="H61" s="3"/>
      <c r="I61" s="3"/>
      <c r="J61" s="3"/>
      <c r="K61" s="3">
        <v>40.299999999999997</v>
      </c>
      <c r="L61" s="3"/>
      <c r="M61" s="3"/>
      <c r="N61" s="3">
        <v>197.1</v>
      </c>
      <c r="O61" s="3"/>
      <c r="P61" s="3"/>
      <c r="Q61" s="3">
        <v>1.62</v>
      </c>
      <c r="R61" s="3">
        <v>0.9</v>
      </c>
      <c r="S61" s="3">
        <v>2.9</v>
      </c>
      <c r="T61" s="3">
        <v>8.6</v>
      </c>
      <c r="U61" s="3">
        <v>90.1</v>
      </c>
      <c r="V61" s="3">
        <v>964.4</v>
      </c>
      <c r="W61" s="3">
        <v>0</v>
      </c>
      <c r="X61" s="3">
        <v>46.4</v>
      </c>
      <c r="Y61" s="3">
        <v>47.3</v>
      </c>
      <c r="Z61" s="3">
        <v>47.2</v>
      </c>
      <c r="AA61" s="3">
        <v>42.8</v>
      </c>
      <c r="AB61" s="3">
        <v>37.9</v>
      </c>
      <c r="AC61" s="3">
        <v>36.299999999999997</v>
      </c>
      <c r="AD61" s="3">
        <v>39.1</v>
      </c>
      <c r="AE61" s="3">
        <v>40.799999999999997</v>
      </c>
      <c r="AF61" s="3">
        <v>44.8</v>
      </c>
      <c r="AG61" s="3">
        <v>39.799999999999997</v>
      </c>
      <c r="AH61" s="3">
        <v>36.5</v>
      </c>
      <c r="AI61" s="3">
        <v>37.700000000000003</v>
      </c>
      <c r="AJ61" s="3">
        <v>36.5</v>
      </c>
      <c r="AK61" s="3">
        <v>35</v>
      </c>
      <c r="AL61" s="3">
        <v>33.1</v>
      </c>
      <c r="AM61" s="3">
        <v>32.700000000000003</v>
      </c>
      <c r="AN61" s="3">
        <v>31.5</v>
      </c>
      <c r="AO61" s="3">
        <v>29.1</v>
      </c>
      <c r="AP61" s="3">
        <v>26.8</v>
      </c>
      <c r="AQ61" s="3">
        <v>25.9</v>
      </c>
      <c r="AR61" s="3">
        <v>23.5</v>
      </c>
      <c r="AS61" s="3">
        <v>28.2</v>
      </c>
      <c r="AT61" s="3">
        <v>34.9</v>
      </c>
      <c r="AU61" s="3">
        <v>17.8</v>
      </c>
      <c r="AV61" s="3">
        <v>15.8</v>
      </c>
      <c r="AW61" s="3">
        <v>14.5</v>
      </c>
      <c r="AX61" s="3">
        <v>11.4</v>
      </c>
      <c r="AY61" s="3">
        <v>10.7</v>
      </c>
      <c r="AZ61" s="3">
        <v>0</v>
      </c>
      <c r="BA61" s="3">
        <v>0</v>
      </c>
      <c r="BB61" s="3">
        <v>0</v>
      </c>
      <c r="BC61" s="3">
        <v>41.814203055134236</v>
      </c>
      <c r="BD61" s="3">
        <v>46.385796944865753</v>
      </c>
      <c r="BE61" s="3">
        <v>47.285796944865758</v>
      </c>
      <c r="BF61" s="3">
        <v>45.945796944865755</v>
      </c>
      <c r="BG61" s="3">
        <v>41.872463611532432</v>
      </c>
      <c r="BH61" s="3">
        <v>37.112463611532426</v>
      </c>
      <c r="BI61" s="3">
        <v>35.925796944865759</v>
      </c>
      <c r="BJ61" s="3">
        <v>39.519130278199093</v>
      </c>
      <c r="BK61" s="3">
        <v>41.09246361153243</v>
      </c>
      <c r="BL61" s="3">
        <v>44.665796944865754</v>
      </c>
      <c r="BM61" s="3">
        <v>39.799130278199094</v>
      </c>
      <c r="BN61" s="3">
        <v>36.782463611532428</v>
      </c>
      <c r="BO61" s="3">
        <v>37.349130278199091</v>
      </c>
      <c r="BP61" s="3">
        <v>35.865796944865771</v>
      </c>
      <c r="BQ61" s="3">
        <v>34.782463611532428</v>
      </c>
      <c r="BR61" s="3">
        <v>33.209130278199105</v>
      </c>
      <c r="BS61" s="3">
        <v>32.612463611532441</v>
      </c>
      <c r="BT61" s="3">
        <v>31.609130278199096</v>
      </c>
      <c r="BU61" s="3">
        <v>29.175796944865773</v>
      </c>
      <c r="BV61" s="3">
        <v>26.59246361153243</v>
      </c>
      <c r="BW61" s="3">
        <v>26.225796944865756</v>
      </c>
      <c r="BX61" s="3">
        <v>23.745796944865766</v>
      </c>
      <c r="BY61" s="3">
        <v>28.265796944865762</v>
      </c>
      <c r="BZ61" s="3">
        <v>35.095796944865761</v>
      </c>
      <c r="CA61" s="3">
        <v>18.095796944865754</v>
      </c>
      <c r="CB61" s="3">
        <v>15.532463611532428</v>
      </c>
      <c r="CC61" s="3">
        <v>14.445796944865762</v>
      </c>
      <c r="CD61" s="3">
        <v>10.652463611532433</v>
      </c>
      <c r="CE61" s="3">
        <v>10.145796944865758</v>
      </c>
      <c r="CF61" s="3">
        <v>-0.94086972180090811</v>
      </c>
      <c r="CG61" s="3">
        <v>-1.4742030551342395</v>
      </c>
      <c r="CH61" s="3">
        <v>-2.5508697218009075</v>
      </c>
      <c r="CI61" s="13">
        <f>[1]!dbasum(RecData[[#This Row],[20]:[2000]],RecData[[#Headers],[20]:[2000]])</f>
        <v>39.960301132783314</v>
      </c>
      <c r="CJ61" s="14">
        <v>721</v>
      </c>
      <c r="CK61" s="15" t="s">
        <v>249</v>
      </c>
      <c r="CL61" s="15">
        <f>RecData[[#This Row],[Start Time]]</f>
        <v>43252.122222222228</v>
      </c>
      <c r="CM61" s="16">
        <f>RecData[[#This Row],[Wind Speed avg]]</f>
        <v>1.62</v>
      </c>
      <c r="CN61" s="16">
        <f>RecData[[#This Row],[Wind Dir. avg]]</f>
        <v>197.1</v>
      </c>
      <c r="CO61" s="16">
        <f>RecData[[#This Row],[Amb. Humidity]]</f>
        <v>90.1</v>
      </c>
      <c r="CP61" s="16">
        <f>RecData[[#This Row],[Amb. Temperature]]</f>
        <v>8.6</v>
      </c>
      <c r="CQ61" s="17">
        <f>RecData[[#This Row],[Amb. Rain Gauge]]</f>
        <v>0</v>
      </c>
      <c r="CR61" s="97" t="s">
        <v>1</v>
      </c>
      <c r="CS61" s="97" t="s">
        <v>49</v>
      </c>
      <c r="CT61" s="98">
        <v>1618.309082</v>
      </c>
      <c r="CU61" s="98">
        <v>24.0002040863037</v>
      </c>
      <c r="CV61" s="98">
        <v>11.842822074890099</v>
      </c>
      <c r="CW61" s="98">
        <v>15.284959793090801</v>
      </c>
      <c r="CX61" s="97"/>
      <c r="CY61" s="99"/>
      <c r="CZ61" s="2" t="b">
        <f>IF($DP$1="YES",IF(RecData[[#This Row],[Power (kW)]]&gt;=$CR$3, TRUE,FALSE),TRUE)</f>
        <v>1</v>
      </c>
      <c r="DA61" s="16">
        <f>MIN(MOD(180-ABS(ABS($DA$1-RecData[Yaw Angle (°)])-180),360),MOD(180-ABS(ABS($DB$1-RecData[Yaw Angle (°)])-180),360))</f>
        <v>16.470277308616147</v>
      </c>
      <c r="DB61" s="2" t="str">
        <f>IF($DP$2="None","None",IF(RecData[[#This Row],[Relative Wind Direction]]&lt;=45,"DW",IF(RecData[[#This Row],[Relative Wind Direction]]&lt;=135,"CW","UW")))</f>
        <v>DW</v>
      </c>
      <c r="DC61" s="61">
        <v>-1</v>
      </c>
      <c r="DD61" s="61">
        <v>-1</v>
      </c>
      <c r="DE61" s="18" t="b">
        <v>0</v>
      </c>
      <c r="DF61" s="2" t="b">
        <f>IF(OR(RecData[[#This Row],[WSpd_Avg '[m/s']]]-RecData[[#This Row],[Wind Speed min]]&gt;=$DF$3,RecData[[#This Row],[Wind Speed max]]-RecData[[#This Row],[WSpd_Avg '[m/s']]]&gt;=$DF$2),TRUE,FALSE)</f>
        <v>0</v>
      </c>
      <c r="DG61" s="2" t="b">
        <f>RecData[[#This Row],[Temperature '[°C']]]&lt;=-20</f>
        <v>0</v>
      </c>
      <c r="DH61" s="18" t="b">
        <f>NOT(OR(MOD(RecData[[#This Row],[TIMESTAMP]],1)&gt;0.91632,MOD(RecData[[#This Row],[TIMESTAMP]],1)&lt;0.208681))</f>
        <v>0</v>
      </c>
      <c r="DI61" s="18" t="b">
        <f>RecData[[#This Row],[Overall (dBA)]]-RecData[[#This Row],[L90]]&gt;=$DS$4</f>
        <v>0</v>
      </c>
      <c r="DJ61" s="18" t="b">
        <f>RecData[[#This Row],[Overall (dBA)]]&gt;$DS$2</f>
        <v>0</v>
      </c>
      <c r="DK61" s="18" t="b">
        <f>RecData[[#This Row],[Overall (dBA)]]&lt;$DS$3</f>
        <v>0</v>
      </c>
      <c r="DL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" s="2">
        <f>IF(AND(RecData[[#This Row],[Turbines ON/OFF]] = "OFF", NOT(OR(RecData[[#This Row],[Junk?]]="YES",RecData[[#This Row],[Gust?]],RecData[[#This Row],[Rain?]:[Min SPL Threshold?]]))),1,0)</f>
        <v>0</v>
      </c>
      <c r="DN61" s="16">
        <f>RecData[[#This Row],[dBA Sum]]</f>
        <v>39.960301132783314</v>
      </c>
      <c r="DO61" s="16">
        <f>RecData[[#This Row],[LAF90.0]]</f>
        <v>40.299999999999997</v>
      </c>
      <c r="DP61" s="55">
        <f>IF(AND(RecData[[#This Row],[Useable TON Data?]],RecData[[#This Row],[Turbines ON/OFF]]="ON"),RecData[[#This Row],[dBA Sum]],"")</f>
        <v>39.960301132783314</v>
      </c>
      <c r="DQ61" s="55" t="str">
        <f>IF(AND(RecData[[#This Row],[Useable Background Data?]],RecData[[#This Row],[Turbines ON/OFF]]="OFF"),RecData[[#This Row],[dBA Sum]],"")</f>
        <v/>
      </c>
      <c r="DR61" s="3">
        <f>IF(OR(RecData[[#This Row],[Useable TON Data?]],RecData[[#This Row],[Useable Background Data?]]),ROUND(RecData[[#This Row],[WSpd_Avg '[m/s']]],0),"")</f>
        <v>2</v>
      </c>
      <c r="DS61" s="85">
        <f>(0.00002)^2*(10^(RecData[[#This Row],[Overall (dBA)]]/10))</f>
        <v>3.9636025998493439E-6</v>
      </c>
    </row>
    <row r="62" spans="1:123" ht="15" x14ac:dyDescent="0.25">
      <c r="A62" s="3" t="s">
        <v>249</v>
      </c>
      <c r="B62" s="12">
        <v>43252.123611111114</v>
      </c>
      <c r="C62" s="3"/>
      <c r="D62" s="3">
        <v>42.5</v>
      </c>
      <c r="E62" s="3"/>
      <c r="F62" s="3"/>
      <c r="G62" s="3"/>
      <c r="H62" s="3"/>
      <c r="I62" s="3"/>
      <c r="J62" s="3"/>
      <c r="K62" s="3">
        <v>41.2</v>
      </c>
      <c r="L62" s="3"/>
      <c r="M62" s="3"/>
      <c r="N62" s="3">
        <v>190</v>
      </c>
      <c r="O62" s="3"/>
      <c r="P62" s="3"/>
      <c r="Q62" s="3">
        <v>1.33</v>
      </c>
      <c r="R62" s="3">
        <v>0.3</v>
      </c>
      <c r="S62" s="3">
        <v>2.5</v>
      </c>
      <c r="T62" s="3">
        <v>8.5</v>
      </c>
      <c r="U62" s="3">
        <v>90.2</v>
      </c>
      <c r="V62" s="3">
        <v>964.5</v>
      </c>
      <c r="W62" s="3">
        <v>0</v>
      </c>
      <c r="X62" s="3">
        <v>46.9</v>
      </c>
      <c r="Y62" s="3">
        <v>47.3</v>
      </c>
      <c r="Z62" s="3">
        <v>46.7</v>
      </c>
      <c r="AA62" s="3">
        <v>42.9</v>
      </c>
      <c r="AB62" s="3">
        <v>37.700000000000003</v>
      </c>
      <c r="AC62" s="3">
        <v>36.799999999999997</v>
      </c>
      <c r="AD62" s="3">
        <v>40.1</v>
      </c>
      <c r="AE62" s="3">
        <v>41.7</v>
      </c>
      <c r="AF62" s="3">
        <v>45.2</v>
      </c>
      <c r="AG62" s="3">
        <v>39.299999999999997</v>
      </c>
      <c r="AH62" s="3">
        <v>36.6</v>
      </c>
      <c r="AI62" s="3">
        <v>37.200000000000003</v>
      </c>
      <c r="AJ62" s="3">
        <v>36.1</v>
      </c>
      <c r="AK62" s="3">
        <v>34.799999999999997</v>
      </c>
      <c r="AL62" s="3">
        <v>33.1</v>
      </c>
      <c r="AM62" s="3">
        <v>33</v>
      </c>
      <c r="AN62" s="3">
        <v>32.299999999999997</v>
      </c>
      <c r="AO62" s="3">
        <v>30.1</v>
      </c>
      <c r="AP62" s="3">
        <v>27.8</v>
      </c>
      <c r="AQ62" s="3">
        <v>26.8</v>
      </c>
      <c r="AR62" s="3">
        <v>24</v>
      </c>
      <c r="AS62" s="3">
        <v>28.8</v>
      </c>
      <c r="AT62" s="3">
        <v>36.5</v>
      </c>
      <c r="AU62" s="3">
        <v>17.2</v>
      </c>
      <c r="AV62" s="3">
        <v>15.4</v>
      </c>
      <c r="AW62" s="3">
        <v>14.3</v>
      </c>
      <c r="AX62" s="3">
        <v>11</v>
      </c>
      <c r="AY62" s="3">
        <v>10.5</v>
      </c>
      <c r="AZ62" s="3">
        <v>0</v>
      </c>
      <c r="BA62" s="3">
        <v>0</v>
      </c>
      <c r="BB62" s="3">
        <v>0</v>
      </c>
      <c r="BC62" s="3">
        <v>42.502725614636304</v>
      </c>
      <c r="BD62" s="3">
        <v>46.897274385363701</v>
      </c>
      <c r="BE62" s="3">
        <v>47.297274385363693</v>
      </c>
      <c r="BF62" s="3">
        <v>45.457274385363704</v>
      </c>
      <c r="BG62" s="3">
        <v>41.98394105203036</v>
      </c>
      <c r="BH62" s="3">
        <v>36.923941052030372</v>
      </c>
      <c r="BI62" s="3">
        <v>36.437274385363693</v>
      </c>
      <c r="BJ62" s="3">
        <v>40.530607718697027</v>
      </c>
      <c r="BK62" s="3">
        <v>42.003941052030356</v>
      </c>
      <c r="BL62" s="3">
        <v>45.077274385363708</v>
      </c>
      <c r="BM62" s="3">
        <v>39.310607718697028</v>
      </c>
      <c r="BN62" s="3">
        <v>36.893941052030371</v>
      </c>
      <c r="BO62" s="3">
        <v>36.86060771869704</v>
      </c>
      <c r="BP62" s="3">
        <v>35.4772743853637</v>
      </c>
      <c r="BQ62" s="3">
        <v>34.59394105203036</v>
      </c>
      <c r="BR62" s="3">
        <v>33.220607718697025</v>
      </c>
      <c r="BS62" s="3">
        <v>32.923941052030372</v>
      </c>
      <c r="BT62" s="3">
        <v>32.420607718697028</v>
      </c>
      <c r="BU62" s="3">
        <v>30.187274385363693</v>
      </c>
      <c r="BV62" s="3">
        <v>27.603941052030365</v>
      </c>
      <c r="BW62" s="3">
        <v>27.137274385363696</v>
      </c>
      <c r="BX62" s="3">
        <v>24.257274385363701</v>
      </c>
      <c r="BY62" s="3">
        <v>28.877274385363691</v>
      </c>
      <c r="BZ62" s="3">
        <v>36.707274385363704</v>
      </c>
      <c r="CA62" s="3">
        <v>17.507274385363687</v>
      </c>
      <c r="CB62" s="3">
        <v>15.143941052030357</v>
      </c>
      <c r="CC62" s="3">
        <v>14.257274385363694</v>
      </c>
      <c r="CD62" s="3">
        <v>10.263941052030368</v>
      </c>
      <c r="CE62" s="3">
        <v>9.9572743853636965</v>
      </c>
      <c r="CF62" s="3">
        <v>-0.9293922813029738</v>
      </c>
      <c r="CG62" s="3">
        <v>-1.4627256146363052</v>
      </c>
      <c r="CH62" s="3">
        <v>-2.5393922813029732</v>
      </c>
      <c r="CI62" s="13">
        <f>[1]!dbasum(RecData[[#This Row],[20]:[2000]],RecData[[#Headers],[20]:[2000]])</f>
        <v>40.274387324660815</v>
      </c>
      <c r="CJ62" s="14">
        <v>723</v>
      </c>
      <c r="CK62" s="15" t="s">
        <v>249</v>
      </c>
      <c r="CL62" s="15">
        <f>RecData[[#This Row],[Start Time]]</f>
        <v>43252.123611111114</v>
      </c>
      <c r="CM62" s="16">
        <f>RecData[[#This Row],[Wind Speed avg]]</f>
        <v>1.33</v>
      </c>
      <c r="CN62" s="16">
        <f>RecData[[#This Row],[Wind Dir. avg]]</f>
        <v>190</v>
      </c>
      <c r="CO62" s="16">
        <f>RecData[[#This Row],[Amb. Humidity]]</f>
        <v>90.2</v>
      </c>
      <c r="CP62" s="16">
        <f>RecData[[#This Row],[Amb. Temperature]]</f>
        <v>8.5</v>
      </c>
      <c r="CQ62" s="17">
        <f>RecData[[#This Row],[Amb. Rain Gauge]]</f>
        <v>0</v>
      </c>
      <c r="CR62" s="97" t="s">
        <v>1</v>
      </c>
      <c r="CS62" s="97" t="s">
        <v>49</v>
      </c>
      <c r="CT62" s="98">
        <v>1618.309082</v>
      </c>
      <c r="CU62" s="98">
        <v>24.0002040863037</v>
      </c>
      <c r="CV62" s="98">
        <v>11.842822074890099</v>
      </c>
      <c r="CW62" s="98">
        <v>15.284959793090801</v>
      </c>
      <c r="CX62" s="97"/>
      <c r="CY62" s="99"/>
      <c r="CZ62" s="2" t="b">
        <f>IF($DP$1="YES",IF(RecData[[#This Row],[Power (kW)]]&gt;=$CR$3, TRUE,FALSE),TRUE)</f>
        <v>1</v>
      </c>
      <c r="DA62" s="16">
        <f>MIN(MOD(180-ABS(ABS($DA$1-RecData[Yaw Angle (°)])-180),360),MOD(180-ABS(ABS($DB$1-RecData[Yaw Angle (°)])-180),360))</f>
        <v>16.470277308616147</v>
      </c>
      <c r="DB62" s="2" t="str">
        <f>IF($DP$2="None","None",IF(RecData[[#This Row],[Relative Wind Direction]]&lt;=45,"DW",IF(RecData[[#This Row],[Relative Wind Direction]]&lt;=135,"CW","UW")))</f>
        <v>DW</v>
      </c>
      <c r="DC62" s="61" t="e">
        <f>IF($CL62-$CL61&gt;1/24,#REF!,IF(SUM($CQ61:$CQ62)&gt;$DS$1,$DS$5,DC63-1))</f>
        <v>#REF!</v>
      </c>
      <c r="DD62" s="61" t="e">
        <f>IF($CL63-$CL62&gt;1/24,#REF!,IF(SUM($CQ61:$CQ62)&gt;$DS$1,$DS$6,#REF!-1))</f>
        <v>#REF!</v>
      </c>
      <c r="DE62" s="18" t="b">
        <v>0</v>
      </c>
      <c r="DF62" s="2" t="b">
        <f>IF(OR(RecData[[#This Row],[WSpd_Avg '[m/s']]]-RecData[[#This Row],[Wind Speed min]]&gt;=$DF$3,RecData[[#This Row],[Wind Speed max]]-RecData[[#This Row],[WSpd_Avg '[m/s']]]&gt;=$DF$2),TRUE,FALSE)</f>
        <v>0</v>
      </c>
      <c r="DG62" s="2" t="b">
        <f>RecData[[#This Row],[Temperature '[°C']]]&lt;=-20</f>
        <v>0</v>
      </c>
      <c r="DH62" s="18" t="b">
        <f>NOT(OR(MOD(RecData[[#This Row],[TIMESTAMP]],1)&gt;0.91632,MOD(RecData[[#This Row],[TIMESTAMP]],1)&lt;0.208681))</f>
        <v>0</v>
      </c>
      <c r="DI62" s="18" t="b">
        <f>RecData[[#This Row],[Overall (dBA)]]-RecData[[#This Row],[L90]]&gt;=$DS$4</f>
        <v>0</v>
      </c>
      <c r="DJ62" s="18" t="b">
        <f>RecData[[#This Row],[Overall (dBA)]]&gt;$DS$2</f>
        <v>0</v>
      </c>
      <c r="DK62" s="18" t="b">
        <f>RecData[[#This Row],[Overall (dBA)]]&lt;$DS$3</f>
        <v>0</v>
      </c>
      <c r="DL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" s="2">
        <f>IF(AND(RecData[[#This Row],[Turbines ON/OFF]] = "OFF", NOT(OR(RecData[[#This Row],[Junk?]]="YES",RecData[[#This Row],[Gust?]],RecData[[#This Row],[Rain?]:[Min SPL Threshold?]]))),1,0)</f>
        <v>0</v>
      </c>
      <c r="DN62" s="16">
        <f>RecData[[#This Row],[dBA Sum]]</f>
        <v>40.274387324660815</v>
      </c>
      <c r="DO62" s="16">
        <f>RecData[[#This Row],[LAF90.0]]</f>
        <v>41.2</v>
      </c>
      <c r="DP62" s="55">
        <f>IF(AND(RecData[[#This Row],[Useable TON Data?]],RecData[[#This Row],[Turbines ON/OFF]]="ON"),RecData[[#This Row],[dBA Sum]],"")</f>
        <v>40.274387324660815</v>
      </c>
      <c r="DQ62" s="55" t="str">
        <f>IF(AND(RecData[[#This Row],[Useable Background Data?]],RecData[[#This Row],[Turbines ON/OFF]]="OFF"),RecData[[#This Row],[dBA Sum]],"")</f>
        <v/>
      </c>
      <c r="DR62" s="3">
        <f>IF(OR(RecData[[#This Row],[Useable TON Data?]],RecData[[#This Row],[Useable Background Data?]]),ROUND(RecData[[#This Row],[WSpd_Avg '[m/s']]],0),"")</f>
        <v>1</v>
      </c>
      <c r="DS62" s="85">
        <f>(0.00002)^2*(10^(RecData[[#This Row],[Overall (dBA)]]/10))</f>
        <v>4.2608743149200819E-6</v>
      </c>
    </row>
    <row r="63" spans="1:123" ht="15" x14ac:dyDescent="0.25">
      <c r="A63" s="3" t="s">
        <v>249</v>
      </c>
      <c r="B63" s="12">
        <v>43252.124305555561</v>
      </c>
      <c r="C63" s="3"/>
      <c r="D63" s="3">
        <v>42.2</v>
      </c>
      <c r="E63" s="3"/>
      <c r="F63" s="3"/>
      <c r="G63" s="3"/>
      <c r="H63" s="3"/>
      <c r="I63" s="3"/>
      <c r="J63" s="3"/>
      <c r="K63" s="3">
        <v>40.5</v>
      </c>
      <c r="L63" s="3"/>
      <c r="M63" s="3"/>
      <c r="N63" s="3">
        <v>154.1</v>
      </c>
      <c r="O63" s="3"/>
      <c r="P63" s="3"/>
      <c r="Q63" s="3">
        <v>1.62</v>
      </c>
      <c r="R63" s="3">
        <v>0.8</v>
      </c>
      <c r="S63" s="3">
        <v>2.6</v>
      </c>
      <c r="T63" s="3">
        <v>8.5</v>
      </c>
      <c r="U63" s="3">
        <v>90</v>
      </c>
      <c r="V63" s="3">
        <v>964.5</v>
      </c>
      <c r="W63" s="3">
        <v>0</v>
      </c>
      <c r="X63" s="3">
        <v>47</v>
      </c>
      <c r="Y63" s="3">
        <v>47.6</v>
      </c>
      <c r="Z63" s="3">
        <v>47.5</v>
      </c>
      <c r="AA63" s="3">
        <v>42.7</v>
      </c>
      <c r="AB63" s="3">
        <v>37.799999999999997</v>
      </c>
      <c r="AC63" s="3">
        <v>36.4</v>
      </c>
      <c r="AD63" s="3">
        <v>40.200000000000003</v>
      </c>
      <c r="AE63" s="3">
        <v>42</v>
      </c>
      <c r="AF63" s="3">
        <v>44.2</v>
      </c>
      <c r="AG63" s="3">
        <v>38.1</v>
      </c>
      <c r="AH63" s="3">
        <v>37.200000000000003</v>
      </c>
      <c r="AI63" s="3">
        <v>37.299999999999997</v>
      </c>
      <c r="AJ63" s="3">
        <v>35.9</v>
      </c>
      <c r="AK63" s="3">
        <v>34.5</v>
      </c>
      <c r="AL63" s="3">
        <v>32.700000000000003</v>
      </c>
      <c r="AM63" s="3">
        <v>32.6</v>
      </c>
      <c r="AN63" s="3">
        <v>32</v>
      </c>
      <c r="AO63" s="3">
        <v>29.7</v>
      </c>
      <c r="AP63" s="3">
        <v>27.3</v>
      </c>
      <c r="AQ63" s="3">
        <v>26.1</v>
      </c>
      <c r="AR63" s="3">
        <v>23.1</v>
      </c>
      <c r="AS63" s="3">
        <v>29.3</v>
      </c>
      <c r="AT63" s="3">
        <v>36.200000000000003</v>
      </c>
      <c r="AU63" s="3">
        <v>16.100000000000001</v>
      </c>
      <c r="AV63" s="3">
        <v>14.4</v>
      </c>
      <c r="AW63" s="3">
        <v>13.5</v>
      </c>
      <c r="AX63" s="3">
        <v>11</v>
      </c>
      <c r="AY63" s="3">
        <v>10.5</v>
      </c>
      <c r="AZ63" s="3">
        <v>0</v>
      </c>
      <c r="BA63" s="3">
        <v>0</v>
      </c>
      <c r="BB63" s="3">
        <v>0</v>
      </c>
      <c r="BC63" s="3">
        <v>42.20327605173344</v>
      </c>
      <c r="BD63" s="3">
        <v>46.996723948266563</v>
      </c>
      <c r="BE63" s="3">
        <v>47.596723948266572</v>
      </c>
      <c r="BF63" s="3">
        <v>46.256723948266568</v>
      </c>
      <c r="BG63" s="3">
        <v>41.783390614933239</v>
      </c>
      <c r="BH63" s="3">
        <v>37.02339061493322</v>
      </c>
      <c r="BI63" s="3">
        <v>36.03672394826657</v>
      </c>
      <c r="BJ63" s="3">
        <v>40.630057281599903</v>
      </c>
      <c r="BK63" s="3">
        <v>42.303390614933221</v>
      </c>
      <c r="BL63" s="3">
        <v>44.076723948266562</v>
      </c>
      <c r="BM63" s="3">
        <v>38.110057281599893</v>
      </c>
      <c r="BN63" s="3">
        <v>37.493390614933233</v>
      </c>
      <c r="BO63" s="3">
        <v>36.960057281599887</v>
      </c>
      <c r="BP63" s="3">
        <v>35.276723948266564</v>
      </c>
      <c r="BQ63" s="3">
        <v>34.29339061493323</v>
      </c>
      <c r="BR63" s="3">
        <v>32.820057281599901</v>
      </c>
      <c r="BS63" s="3">
        <v>32.523390614933234</v>
      </c>
      <c r="BT63" s="3">
        <v>32.120057281599898</v>
      </c>
      <c r="BU63" s="3">
        <v>29.78672394826657</v>
      </c>
      <c r="BV63" s="3">
        <v>27.103390614933232</v>
      </c>
      <c r="BW63" s="3">
        <v>26.436723948266575</v>
      </c>
      <c r="BX63" s="3">
        <v>23.356723948266563</v>
      </c>
      <c r="BY63" s="3">
        <v>29.376723948266559</v>
      </c>
      <c r="BZ63" s="3">
        <v>36.406723948266574</v>
      </c>
      <c r="CA63" s="3">
        <v>16.40672394826656</v>
      </c>
      <c r="CB63" s="3">
        <v>14.143390614933224</v>
      </c>
      <c r="CC63" s="3">
        <v>13.456723948266564</v>
      </c>
      <c r="CD63" s="3">
        <v>10.263390614933236</v>
      </c>
      <c r="CE63" s="3">
        <v>9.9567239482665642</v>
      </c>
      <c r="CF63" s="3">
        <v>-0.92994271840010612</v>
      </c>
      <c r="CG63" s="3">
        <v>-1.4632760517334376</v>
      </c>
      <c r="CH63" s="3">
        <v>-2.5399427184001055</v>
      </c>
      <c r="CI63" s="13">
        <f>[1]!dbasum(RecData[[#This Row],[20]:[2000]],RecData[[#Headers],[20]:[2000]])</f>
        <v>39.896777822614816</v>
      </c>
      <c r="CJ63" s="14">
        <v>724</v>
      </c>
      <c r="CK63" s="15" t="s">
        <v>249</v>
      </c>
      <c r="CL63" s="15">
        <f>RecData[[#This Row],[Start Time]]</f>
        <v>43252.124305555561</v>
      </c>
      <c r="CM63" s="16">
        <f>RecData[[#This Row],[Wind Speed avg]]</f>
        <v>1.62</v>
      </c>
      <c r="CN63" s="16">
        <f>RecData[[#This Row],[Wind Dir. avg]]</f>
        <v>154.1</v>
      </c>
      <c r="CO63" s="16">
        <f>RecData[[#This Row],[Amb. Humidity]]</f>
        <v>90</v>
      </c>
      <c r="CP63" s="16">
        <f>RecData[[#This Row],[Amb. Temperature]]</f>
        <v>8.5</v>
      </c>
      <c r="CQ63" s="17">
        <f>RecData[[#This Row],[Amb. Rain Gauge]]</f>
        <v>0</v>
      </c>
      <c r="CR63" s="97" t="s">
        <v>1</v>
      </c>
      <c r="CS63" s="97" t="s">
        <v>49</v>
      </c>
      <c r="CT63" s="98">
        <v>1618.309082</v>
      </c>
      <c r="CU63" s="98">
        <v>24.0002040863037</v>
      </c>
      <c r="CV63" s="98">
        <v>11.842822074890099</v>
      </c>
      <c r="CW63" s="98">
        <v>15.284959793090801</v>
      </c>
      <c r="CX63" s="97"/>
      <c r="CY63" s="99"/>
      <c r="CZ63" s="2" t="b">
        <f>IF($DP$1="YES",IF(RecData[[#This Row],[Power (kW)]]&gt;=$CR$3, TRUE,FALSE),TRUE)</f>
        <v>1</v>
      </c>
      <c r="DA63" s="16">
        <f>MIN(MOD(180-ABS(ABS($DA$1-RecData[Yaw Angle (°)])-180),360),MOD(180-ABS(ABS($DB$1-RecData[Yaw Angle (°)])-180),360))</f>
        <v>16.470277308616147</v>
      </c>
      <c r="DB63" s="2" t="str">
        <f>IF($DP$2="None","None",IF(RecData[[#This Row],[Relative Wind Direction]]&lt;=45,"DW",IF(RecData[[#This Row],[Relative Wind Direction]]&lt;=135,"CW","UW")))</f>
        <v>DW</v>
      </c>
      <c r="DC63" s="61" t="e">
        <f>IF($CL63-$CL61&gt;1/24,#REF!,IF(SUM($CQ61:$CQ63)&gt;$DS$1,$DS$5,#REF!-1))</f>
        <v>#REF!</v>
      </c>
      <c r="DD63" s="61" t="e">
        <f>IF(#REF!-$CL63&gt;1/24,#REF!,IF(SUM($CQ61:$CQ63)&gt;$DS$1,$DS$6,DD62-1))</f>
        <v>#REF!</v>
      </c>
      <c r="DE63" s="18" t="b">
        <v>0</v>
      </c>
      <c r="DF63" s="2" t="b">
        <f>IF(OR(RecData[[#This Row],[WSpd_Avg '[m/s']]]-RecData[[#This Row],[Wind Speed min]]&gt;=$DF$3,RecData[[#This Row],[Wind Speed max]]-RecData[[#This Row],[WSpd_Avg '[m/s']]]&gt;=$DF$2),TRUE,FALSE)</f>
        <v>0</v>
      </c>
      <c r="DG63" s="2" t="b">
        <f>RecData[[#This Row],[Temperature '[°C']]]&lt;=-20</f>
        <v>0</v>
      </c>
      <c r="DH63" s="18" t="b">
        <f>NOT(OR(MOD(RecData[[#This Row],[TIMESTAMP]],1)&gt;0.91632,MOD(RecData[[#This Row],[TIMESTAMP]],1)&lt;0.208681))</f>
        <v>0</v>
      </c>
      <c r="DI63" s="18" t="b">
        <f>RecData[[#This Row],[Overall (dBA)]]-RecData[[#This Row],[L90]]&gt;=$DS$4</f>
        <v>0</v>
      </c>
      <c r="DJ63" s="18" t="b">
        <f>RecData[[#This Row],[Overall (dBA)]]&gt;$DS$2</f>
        <v>0</v>
      </c>
      <c r="DK63" s="18" t="b">
        <f>RecData[[#This Row],[Overall (dBA)]]&lt;$DS$3</f>
        <v>0</v>
      </c>
      <c r="DL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" s="2">
        <f>IF(AND(RecData[[#This Row],[Turbines ON/OFF]] = "OFF", NOT(OR(RecData[[#This Row],[Junk?]]="YES",RecData[[#This Row],[Gust?]],RecData[[#This Row],[Rain?]:[Min SPL Threshold?]]))),1,0)</f>
        <v>0</v>
      </c>
      <c r="DN63" s="16">
        <f>RecData[[#This Row],[dBA Sum]]</f>
        <v>39.896777822614816</v>
      </c>
      <c r="DO63" s="16">
        <f>RecData[[#This Row],[LAF90.0]]</f>
        <v>40.5</v>
      </c>
      <c r="DP63" s="55">
        <f>IF(AND(RecData[[#This Row],[Useable TON Data?]],RecData[[#This Row],[Turbines ON/OFF]]="ON"),RecData[[#This Row],[dBA Sum]],"")</f>
        <v>39.896777822614816</v>
      </c>
      <c r="DQ63" s="55" t="str">
        <f>IF(AND(RecData[[#This Row],[Useable Background Data?]],RecData[[#This Row],[Turbines ON/OFF]]="OFF"),RecData[[#This Row],[dBA Sum]],"")</f>
        <v/>
      </c>
      <c r="DR63" s="3">
        <f>IF(OR(RecData[[#This Row],[Useable TON Data?]],RecData[[#This Row],[Useable Background Data?]]),ROUND(RecData[[#This Row],[WSpd_Avg '[m/s']]],0),"")</f>
        <v>2</v>
      </c>
      <c r="DS63" s="85">
        <f>(0.00002)^2*(10^(RecData[[#This Row],[Overall (dBA)]]/10))</f>
        <v>3.9060497782798371E-6</v>
      </c>
    </row>
    <row r="64" spans="1:123" ht="15" x14ac:dyDescent="0.25">
      <c r="A64" s="3" t="s">
        <v>249</v>
      </c>
      <c r="B64" s="12">
        <v>43252.127083333333</v>
      </c>
      <c r="C64" s="3"/>
      <c r="D64" s="3">
        <v>42.4</v>
      </c>
      <c r="E64" s="3"/>
      <c r="F64" s="3"/>
      <c r="G64" s="3"/>
      <c r="H64" s="3"/>
      <c r="I64" s="3"/>
      <c r="J64" s="3"/>
      <c r="K64" s="3">
        <v>40.299999999999997</v>
      </c>
      <c r="L64" s="3"/>
      <c r="M64" s="3"/>
      <c r="N64" s="3">
        <v>199.6</v>
      </c>
      <c r="O64" s="3"/>
      <c r="P64" s="3"/>
      <c r="Q64" s="3">
        <v>0.95</v>
      </c>
      <c r="R64" s="3">
        <v>0.1</v>
      </c>
      <c r="S64" s="3">
        <v>1.6</v>
      </c>
      <c r="T64" s="3">
        <v>8.4</v>
      </c>
      <c r="U64" s="3">
        <v>89.9</v>
      </c>
      <c r="V64" s="3">
        <v>964.6</v>
      </c>
      <c r="W64" s="3">
        <v>0</v>
      </c>
      <c r="X64" s="3">
        <v>46.3</v>
      </c>
      <c r="Y64" s="3">
        <v>46.5</v>
      </c>
      <c r="Z64" s="3">
        <v>45.2</v>
      </c>
      <c r="AA64" s="3">
        <v>40.9</v>
      </c>
      <c r="AB64" s="3">
        <v>36</v>
      </c>
      <c r="AC64" s="3">
        <v>36.200000000000003</v>
      </c>
      <c r="AD64" s="3">
        <v>40.299999999999997</v>
      </c>
      <c r="AE64" s="3">
        <v>41.7</v>
      </c>
      <c r="AF64" s="3">
        <v>43.5</v>
      </c>
      <c r="AG64" s="3">
        <v>38.5</v>
      </c>
      <c r="AH64" s="3">
        <v>37.799999999999997</v>
      </c>
      <c r="AI64" s="3">
        <v>37.5</v>
      </c>
      <c r="AJ64" s="3">
        <v>36.9</v>
      </c>
      <c r="AK64" s="3">
        <v>35.200000000000003</v>
      </c>
      <c r="AL64" s="3">
        <v>33.4</v>
      </c>
      <c r="AM64" s="3">
        <v>33</v>
      </c>
      <c r="AN64" s="3">
        <v>31.8</v>
      </c>
      <c r="AO64" s="3">
        <v>29.6</v>
      </c>
      <c r="AP64" s="3">
        <v>27.4</v>
      </c>
      <c r="AQ64" s="3">
        <v>26</v>
      </c>
      <c r="AR64" s="3">
        <v>23.5</v>
      </c>
      <c r="AS64" s="3">
        <v>31.2</v>
      </c>
      <c r="AT64" s="3">
        <v>35.9</v>
      </c>
      <c r="AU64" s="3">
        <v>15.2</v>
      </c>
      <c r="AV64" s="3">
        <v>12.6</v>
      </c>
      <c r="AW64" s="3">
        <v>11.3</v>
      </c>
      <c r="AX64" s="3">
        <v>9.8000000000000007</v>
      </c>
      <c r="AY64" s="3">
        <v>9.6</v>
      </c>
      <c r="AZ64" s="3">
        <v>0</v>
      </c>
      <c r="BA64" s="3">
        <v>0</v>
      </c>
      <c r="BB64" s="3">
        <v>0</v>
      </c>
      <c r="BC64" s="3">
        <v>42.417056315862908</v>
      </c>
      <c r="BD64" s="3">
        <v>46.282943684137081</v>
      </c>
      <c r="BE64" s="3">
        <v>46.482943684137098</v>
      </c>
      <c r="BF64" s="3">
        <v>43.942943684137092</v>
      </c>
      <c r="BG64" s="3">
        <v>39.969610350803748</v>
      </c>
      <c r="BH64" s="3">
        <v>35.209610350803757</v>
      </c>
      <c r="BI64" s="3">
        <v>35.822943684137101</v>
      </c>
      <c r="BJ64" s="3">
        <v>40.716277017470418</v>
      </c>
      <c r="BK64" s="3">
        <v>41.989610350803758</v>
      </c>
      <c r="BL64" s="3">
        <v>43.362943684137093</v>
      </c>
      <c r="BM64" s="3">
        <v>38.496277017470419</v>
      </c>
      <c r="BN64" s="3">
        <v>38.079610350803762</v>
      </c>
      <c r="BO64" s="3">
        <v>37.146277017470425</v>
      </c>
      <c r="BP64" s="3">
        <v>36.262943684137099</v>
      </c>
      <c r="BQ64" s="3">
        <v>34.979610350803753</v>
      </c>
      <c r="BR64" s="3">
        <v>33.506277017470424</v>
      </c>
      <c r="BS64" s="3">
        <v>32.90961035080376</v>
      </c>
      <c r="BT64" s="3">
        <v>31.90627701747043</v>
      </c>
      <c r="BU64" s="3">
        <v>29.672943684137095</v>
      </c>
      <c r="BV64" s="3">
        <v>27.189610350803761</v>
      </c>
      <c r="BW64" s="3">
        <v>26.322943684137101</v>
      </c>
      <c r="BX64" s="3">
        <v>23.742943684137089</v>
      </c>
      <c r="BY64" s="3">
        <v>31.262943684137085</v>
      </c>
      <c r="BZ64" s="3">
        <v>36.092943684137083</v>
      </c>
      <c r="CA64" s="3">
        <v>15.492943684137082</v>
      </c>
      <c r="CB64" s="3">
        <v>12.329610350803755</v>
      </c>
      <c r="CC64" s="3">
        <v>11.242943684137089</v>
      </c>
      <c r="CD64" s="3">
        <v>9.0496103508037606</v>
      </c>
      <c r="CE64" s="3">
        <v>9.0429436841370858</v>
      </c>
      <c r="CF64" s="3">
        <v>-0.94372298252957876</v>
      </c>
      <c r="CG64" s="3">
        <v>-1.4770563158629102</v>
      </c>
      <c r="CH64" s="3">
        <v>-2.5537229825295782</v>
      </c>
      <c r="CI64" s="13">
        <f>[1]!dbasum(RecData[[#This Row],[20]:[2000]],RecData[[#Headers],[20]:[2000]])</f>
        <v>40.133685275162392</v>
      </c>
      <c r="CJ64" s="14">
        <v>728</v>
      </c>
      <c r="CK64" s="15" t="s">
        <v>249</v>
      </c>
      <c r="CL64" s="15">
        <f>RecData[[#This Row],[Start Time]]</f>
        <v>43252.127083333333</v>
      </c>
      <c r="CM64" s="16">
        <f>RecData[[#This Row],[Wind Speed avg]]</f>
        <v>0.95</v>
      </c>
      <c r="CN64" s="16">
        <f>RecData[[#This Row],[Wind Dir. avg]]</f>
        <v>199.6</v>
      </c>
      <c r="CO64" s="16">
        <f>RecData[[#This Row],[Amb. Humidity]]</f>
        <v>89.9</v>
      </c>
      <c r="CP64" s="16">
        <f>RecData[[#This Row],[Amb. Temperature]]</f>
        <v>8.4</v>
      </c>
      <c r="CQ64" s="17">
        <f>RecData[[#This Row],[Amb. Rain Gauge]]</f>
        <v>0</v>
      </c>
      <c r="CR64" s="97" t="s">
        <v>1</v>
      </c>
      <c r="CS64" s="97" t="s">
        <v>49</v>
      </c>
      <c r="CT64" s="98">
        <v>1588.228394</v>
      </c>
      <c r="CU64" s="98">
        <v>24.000202178955</v>
      </c>
      <c r="CV64" s="98">
        <v>10.243667602539</v>
      </c>
      <c r="CW64" s="98">
        <v>15.189537048339799</v>
      </c>
      <c r="CX64" s="97"/>
      <c r="CY64" s="99"/>
      <c r="CZ64" s="2" t="b">
        <f>IF($DP$1="YES",IF(RecData[[#This Row],[Power (kW)]]&gt;=$CR$3, TRUE,FALSE),TRUE)</f>
        <v>1</v>
      </c>
      <c r="DA64" s="16">
        <f>MIN(MOD(180-ABS(ABS($DA$1-RecData[Yaw Angle (°)])-180),360),MOD(180-ABS(ABS($DB$1-RecData[Yaw Angle (°)])-180),360))</f>
        <v>16.470275401267457</v>
      </c>
      <c r="DB64" s="2" t="str">
        <f>IF($DP$2="None","None",IF(RecData[[#This Row],[Relative Wind Direction]]&lt;=45,"DW",IF(RecData[[#This Row],[Relative Wind Direction]]&lt;=135,"CW","UW")))</f>
        <v>DW</v>
      </c>
      <c r="DC64" s="61" t="e">
        <f>IF($CL64-$CL63&gt;1/24,#REF!,IF(SUM($CQ63:$CQ64)&gt;$DS$1,$DS$5,DC65-1))</f>
        <v>#REF!</v>
      </c>
      <c r="DD64" s="61" t="e">
        <f>IF($CL65-$CL64&gt;1/24,#REF!,IF(SUM($CQ63:$CQ64)&gt;$DS$1,$DS$6,#REF!-1))</f>
        <v>#REF!</v>
      </c>
      <c r="DE64" s="18" t="b">
        <v>0</v>
      </c>
      <c r="DF64" s="2" t="b">
        <f>IF(OR(RecData[[#This Row],[WSpd_Avg '[m/s']]]-RecData[[#This Row],[Wind Speed min]]&gt;=$DF$3,RecData[[#This Row],[Wind Speed max]]-RecData[[#This Row],[WSpd_Avg '[m/s']]]&gt;=$DF$2),TRUE,FALSE)</f>
        <v>0</v>
      </c>
      <c r="DG64" s="2" t="b">
        <f>RecData[[#This Row],[Temperature '[°C']]]&lt;=-20</f>
        <v>0</v>
      </c>
      <c r="DH64" s="18" t="b">
        <f>NOT(OR(MOD(RecData[[#This Row],[TIMESTAMP]],1)&gt;0.91632,MOD(RecData[[#This Row],[TIMESTAMP]],1)&lt;0.208681))</f>
        <v>0</v>
      </c>
      <c r="DI64" s="18" t="b">
        <f>RecData[[#This Row],[Overall (dBA)]]-RecData[[#This Row],[L90]]&gt;=$DS$4</f>
        <v>0</v>
      </c>
      <c r="DJ64" s="18" t="b">
        <f>RecData[[#This Row],[Overall (dBA)]]&gt;$DS$2</f>
        <v>0</v>
      </c>
      <c r="DK64" s="18" t="b">
        <f>RecData[[#This Row],[Overall (dBA)]]&lt;$DS$3</f>
        <v>0</v>
      </c>
      <c r="DL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" s="2">
        <f>IF(AND(RecData[[#This Row],[Turbines ON/OFF]] = "OFF", NOT(OR(RecData[[#This Row],[Junk?]]="YES",RecData[[#This Row],[Gust?]],RecData[[#This Row],[Rain?]:[Min SPL Threshold?]]))),1,0)</f>
        <v>0</v>
      </c>
      <c r="DN64" s="16">
        <f>RecData[[#This Row],[dBA Sum]]</f>
        <v>40.133685275162392</v>
      </c>
      <c r="DO64" s="16">
        <f>RecData[[#This Row],[LAF90.0]]</f>
        <v>40.299999999999997</v>
      </c>
      <c r="DP64" s="55">
        <f>IF(AND(RecData[[#This Row],[Useable TON Data?]],RecData[[#This Row],[Turbines ON/OFF]]="ON"),RecData[[#This Row],[dBA Sum]],"")</f>
        <v>40.133685275162392</v>
      </c>
      <c r="DQ64" s="55" t="str">
        <f>IF(AND(RecData[[#This Row],[Useable Background Data?]],RecData[[#This Row],[Turbines ON/OFF]]="OFF"),RecData[[#This Row],[dBA Sum]],"")</f>
        <v/>
      </c>
      <c r="DR64" s="3">
        <f>IF(OR(RecData[[#This Row],[Useable TON Data?]],RecData[[#This Row],[Useable Background Data?]]),ROUND(RecData[[#This Row],[WSpd_Avg '[m/s']]],0),"")</f>
        <v>1</v>
      </c>
      <c r="DS64" s="85">
        <f>(0.00002)^2*(10^(RecData[[#This Row],[Overall (dBA)]]/10))</f>
        <v>4.1250433684460891E-6</v>
      </c>
    </row>
    <row r="65" spans="1:123" ht="15" x14ac:dyDescent="0.25">
      <c r="A65" s="3" t="s">
        <v>249</v>
      </c>
      <c r="B65" s="12">
        <v>43252.12777777778</v>
      </c>
      <c r="C65" s="3"/>
      <c r="D65" s="3">
        <v>42.2</v>
      </c>
      <c r="E65" s="3"/>
      <c r="F65" s="3"/>
      <c r="G65" s="3"/>
      <c r="H65" s="3"/>
      <c r="I65" s="3"/>
      <c r="J65" s="3"/>
      <c r="K65" s="3">
        <v>40</v>
      </c>
      <c r="L65" s="3"/>
      <c r="M65" s="3"/>
      <c r="N65" s="3">
        <v>175.7</v>
      </c>
      <c r="O65" s="3"/>
      <c r="P65" s="3"/>
      <c r="Q65" s="3">
        <v>1.55</v>
      </c>
      <c r="R65" s="3">
        <v>0.5</v>
      </c>
      <c r="S65" s="3">
        <v>2.5</v>
      </c>
      <c r="T65" s="3">
        <v>8.3000000000000007</v>
      </c>
      <c r="U65" s="3">
        <v>89.9</v>
      </c>
      <c r="V65" s="3">
        <v>964.7</v>
      </c>
      <c r="W65" s="3">
        <v>0</v>
      </c>
      <c r="X65" s="3">
        <v>46.2</v>
      </c>
      <c r="Y65" s="3">
        <v>45.7</v>
      </c>
      <c r="Z65" s="3">
        <v>45.4</v>
      </c>
      <c r="AA65" s="3">
        <v>40.5</v>
      </c>
      <c r="AB65" s="3">
        <v>36.1</v>
      </c>
      <c r="AC65" s="3">
        <v>34.4</v>
      </c>
      <c r="AD65" s="3">
        <v>38.299999999999997</v>
      </c>
      <c r="AE65" s="3">
        <v>40.1</v>
      </c>
      <c r="AF65" s="3">
        <v>44.9</v>
      </c>
      <c r="AG65" s="3">
        <v>38</v>
      </c>
      <c r="AH65" s="3">
        <v>36.6</v>
      </c>
      <c r="AI65" s="3">
        <v>37.299999999999997</v>
      </c>
      <c r="AJ65" s="3">
        <v>35.9</v>
      </c>
      <c r="AK65" s="3">
        <v>34.4</v>
      </c>
      <c r="AL65" s="3">
        <v>32.299999999999997</v>
      </c>
      <c r="AM65" s="3">
        <v>31.7</v>
      </c>
      <c r="AN65" s="3">
        <v>30.5</v>
      </c>
      <c r="AO65" s="3">
        <v>28.3</v>
      </c>
      <c r="AP65" s="3">
        <v>26.5</v>
      </c>
      <c r="AQ65" s="3">
        <v>25</v>
      </c>
      <c r="AR65" s="3">
        <v>22.9</v>
      </c>
      <c r="AS65" s="3">
        <v>31.4</v>
      </c>
      <c r="AT65" s="3">
        <v>36.5</v>
      </c>
      <c r="AU65" s="3">
        <v>15.4</v>
      </c>
      <c r="AV65" s="3">
        <v>12.9</v>
      </c>
      <c r="AW65" s="3">
        <v>11.6</v>
      </c>
      <c r="AX65" s="3">
        <v>10</v>
      </c>
      <c r="AY65" s="3">
        <v>9.8000000000000007</v>
      </c>
      <c r="AZ65" s="3">
        <v>0</v>
      </c>
      <c r="BA65" s="3">
        <v>0</v>
      </c>
      <c r="BB65" s="3">
        <v>0</v>
      </c>
      <c r="BC65" s="3">
        <v>42.15887082285753</v>
      </c>
      <c r="BD65" s="3">
        <v>46.241129177142476</v>
      </c>
      <c r="BE65" s="3">
        <v>45.741129177142476</v>
      </c>
      <c r="BF65" s="3">
        <v>44.201129177142469</v>
      </c>
      <c r="BG65" s="3">
        <v>39.627795843809132</v>
      </c>
      <c r="BH65" s="3">
        <v>35.367795843809141</v>
      </c>
      <c r="BI65" s="3">
        <v>34.081129177142479</v>
      </c>
      <c r="BJ65" s="3">
        <v>38.774462510475807</v>
      </c>
      <c r="BK65" s="3">
        <v>40.447795843809139</v>
      </c>
      <c r="BL65" s="3">
        <v>44.821129177142474</v>
      </c>
      <c r="BM65" s="3">
        <v>38.054462510475808</v>
      </c>
      <c r="BN65" s="3">
        <v>36.937795843809134</v>
      </c>
      <c r="BO65" s="3">
        <v>37.004462510475797</v>
      </c>
      <c r="BP65" s="3">
        <v>35.321129177142474</v>
      </c>
      <c r="BQ65" s="3">
        <v>34.237795843809131</v>
      </c>
      <c r="BR65" s="3">
        <v>32.464462510475805</v>
      </c>
      <c r="BS65" s="3">
        <v>31.667795843809138</v>
      </c>
      <c r="BT65" s="3">
        <v>30.664462510475808</v>
      </c>
      <c r="BU65" s="3">
        <v>28.431129177142473</v>
      </c>
      <c r="BV65" s="3">
        <v>26.347795843809145</v>
      </c>
      <c r="BW65" s="3">
        <v>25.381129177142476</v>
      </c>
      <c r="BX65" s="3">
        <v>23.201129177142484</v>
      </c>
      <c r="BY65" s="3">
        <v>31.521129177142477</v>
      </c>
      <c r="BZ65" s="3">
        <v>36.751129177142467</v>
      </c>
      <c r="CA65" s="3">
        <v>15.751129177142467</v>
      </c>
      <c r="CB65" s="3">
        <v>12.687795843809134</v>
      </c>
      <c r="CC65" s="3">
        <v>11.601129177142475</v>
      </c>
      <c r="CD65" s="3">
        <v>9.3077958438091457</v>
      </c>
      <c r="CE65" s="3">
        <v>9.3011291771424709</v>
      </c>
      <c r="CF65" s="3">
        <v>-0.88553748952419653</v>
      </c>
      <c r="CG65" s="3">
        <v>-1.418870822857528</v>
      </c>
      <c r="CH65" s="3">
        <v>-2.495537489524196</v>
      </c>
      <c r="CI65" s="13">
        <f>[1]!dbasum(RecData[[#This Row],[20]:[2000]],RecData[[#Headers],[20]:[2000]])</f>
        <v>39.333997555689955</v>
      </c>
      <c r="CJ65" s="14">
        <v>729</v>
      </c>
      <c r="CK65" s="15" t="s">
        <v>249</v>
      </c>
      <c r="CL65" s="15">
        <f>RecData[[#This Row],[Start Time]]</f>
        <v>43252.12777777778</v>
      </c>
      <c r="CM65" s="16">
        <f>RecData[[#This Row],[Wind Speed avg]]</f>
        <v>1.55</v>
      </c>
      <c r="CN65" s="16">
        <f>RecData[[#This Row],[Wind Dir. avg]]</f>
        <v>175.7</v>
      </c>
      <c r="CO65" s="16">
        <f>RecData[[#This Row],[Amb. Humidity]]</f>
        <v>89.9</v>
      </c>
      <c r="CP65" s="16">
        <f>RecData[[#This Row],[Amb. Temperature]]</f>
        <v>8.3000000000000007</v>
      </c>
      <c r="CQ65" s="17">
        <f>RecData[[#This Row],[Amb. Rain Gauge]]</f>
        <v>0</v>
      </c>
      <c r="CR65" s="97" t="s">
        <v>1</v>
      </c>
      <c r="CS65" s="97" t="s">
        <v>49</v>
      </c>
      <c r="CT65" s="98">
        <v>1588.228394</v>
      </c>
      <c r="CU65" s="98">
        <v>24.000202178955</v>
      </c>
      <c r="CV65" s="98">
        <v>10.243667602539</v>
      </c>
      <c r="CW65" s="98">
        <v>15.189537048339799</v>
      </c>
      <c r="CX65" s="97"/>
      <c r="CY65" s="99"/>
      <c r="CZ65" s="2" t="b">
        <f>IF($DP$1="YES",IF(RecData[[#This Row],[Power (kW)]]&gt;=$CR$3, TRUE,FALSE),TRUE)</f>
        <v>1</v>
      </c>
      <c r="DA65" s="16">
        <f>MIN(MOD(180-ABS(ABS($DA$1-RecData[Yaw Angle (°)])-180),360),MOD(180-ABS(ABS($DB$1-RecData[Yaw Angle (°)])-180),360))</f>
        <v>16.470275401267457</v>
      </c>
      <c r="DB65" s="2" t="str">
        <f>IF($DP$2="None","None",IF(RecData[[#This Row],[Relative Wind Direction]]&lt;=45,"DW",IF(RecData[[#This Row],[Relative Wind Direction]]&lt;=135,"CW","UW")))</f>
        <v>DW</v>
      </c>
      <c r="DC65" s="61" t="e">
        <f>IF($CL65-#REF!&gt;1/24,#REF!,IF(SUM($CQ64:$CQ65)&gt;$DS$1,$DS$5,DC66-1))</f>
        <v>#REF!</v>
      </c>
      <c r="DD65" s="61" t="e">
        <f>IF($CL66-$CL65&gt;1/24,#REF!,IF(SUM($CQ64:$CQ65)&gt;$DS$1,$DS$6,DD64-1))</f>
        <v>#REF!</v>
      </c>
      <c r="DE65" s="18" t="b">
        <v>0</v>
      </c>
      <c r="DF65" s="2" t="b">
        <f>IF(OR(RecData[[#This Row],[WSpd_Avg '[m/s']]]-RecData[[#This Row],[Wind Speed min]]&gt;=$DF$3,RecData[[#This Row],[Wind Speed max]]-RecData[[#This Row],[WSpd_Avg '[m/s']]]&gt;=$DF$2),TRUE,FALSE)</f>
        <v>0</v>
      </c>
      <c r="DG65" s="2" t="b">
        <f>RecData[[#This Row],[Temperature '[°C']]]&lt;=-20</f>
        <v>0</v>
      </c>
      <c r="DH65" s="18" t="b">
        <f>NOT(OR(MOD(RecData[[#This Row],[TIMESTAMP]],1)&gt;0.91632,MOD(RecData[[#This Row],[TIMESTAMP]],1)&lt;0.208681))</f>
        <v>0</v>
      </c>
      <c r="DI65" s="18" t="b">
        <f>RecData[[#This Row],[Overall (dBA)]]-RecData[[#This Row],[L90]]&gt;=$DS$4</f>
        <v>0</v>
      </c>
      <c r="DJ65" s="18" t="b">
        <f>RecData[[#This Row],[Overall (dBA)]]&gt;$DS$2</f>
        <v>0</v>
      </c>
      <c r="DK65" s="18" t="b">
        <f>RecData[[#This Row],[Overall (dBA)]]&lt;$DS$3</f>
        <v>0</v>
      </c>
      <c r="DL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" s="2">
        <f>IF(AND(RecData[[#This Row],[Turbines ON/OFF]] = "OFF", NOT(OR(RecData[[#This Row],[Junk?]]="YES",RecData[[#This Row],[Gust?]],RecData[[#This Row],[Rain?]:[Min SPL Threshold?]]))),1,0)</f>
        <v>0</v>
      </c>
      <c r="DN65" s="16">
        <f>RecData[[#This Row],[dBA Sum]]</f>
        <v>39.333997555689955</v>
      </c>
      <c r="DO65" s="16">
        <f>RecData[[#This Row],[LAF90.0]]</f>
        <v>40</v>
      </c>
      <c r="DP65" s="55">
        <f>IF(AND(RecData[[#This Row],[Useable TON Data?]],RecData[[#This Row],[Turbines ON/OFF]]="ON"),RecData[[#This Row],[dBA Sum]],"")</f>
        <v>39.333997555689955</v>
      </c>
      <c r="DQ65" s="55" t="str">
        <f>IF(AND(RecData[[#This Row],[Useable Background Data?]],RecData[[#This Row],[Turbines ON/OFF]]="OFF"),RecData[[#This Row],[dBA Sum]],"")</f>
        <v/>
      </c>
      <c r="DR65" s="3">
        <f>IF(OR(RecData[[#This Row],[Useable TON Data?]],RecData[[#This Row],[Useable Background Data?]]),ROUND(RecData[[#This Row],[WSpd_Avg '[m/s']]],0),"")</f>
        <v>2</v>
      </c>
      <c r="DS65" s="85">
        <f>(0.00002)^2*(10^(RecData[[#This Row],[Overall (dBA)]]/10))</f>
        <v>3.4313083483107919E-6</v>
      </c>
    </row>
    <row r="66" spans="1:123" ht="15" x14ac:dyDescent="0.25">
      <c r="A66" s="3" t="s">
        <v>249</v>
      </c>
      <c r="B66" s="12">
        <v>43252.128472222219</v>
      </c>
      <c r="C66" s="3"/>
      <c r="D66" s="3">
        <v>43</v>
      </c>
      <c r="E66" s="3"/>
      <c r="F66" s="3"/>
      <c r="G66" s="3"/>
      <c r="H66" s="3"/>
      <c r="I66" s="3"/>
      <c r="J66" s="3"/>
      <c r="K66" s="3">
        <v>41.6</v>
      </c>
      <c r="L66" s="3"/>
      <c r="M66" s="3"/>
      <c r="N66" s="3">
        <v>183</v>
      </c>
      <c r="O66" s="3"/>
      <c r="P66" s="3"/>
      <c r="Q66" s="3">
        <v>1.45</v>
      </c>
      <c r="R66" s="3">
        <v>0.2</v>
      </c>
      <c r="S66" s="3">
        <v>2.8</v>
      </c>
      <c r="T66" s="3">
        <v>8.3000000000000007</v>
      </c>
      <c r="U66" s="3">
        <v>89.7</v>
      </c>
      <c r="V66" s="3">
        <v>964.6</v>
      </c>
      <c r="W66" s="3">
        <v>0</v>
      </c>
      <c r="X66" s="3">
        <v>46.9</v>
      </c>
      <c r="Y66" s="3">
        <v>46.9</v>
      </c>
      <c r="Z66" s="3">
        <v>45.6</v>
      </c>
      <c r="AA66" s="3">
        <v>41.6</v>
      </c>
      <c r="AB66" s="3">
        <v>38.200000000000003</v>
      </c>
      <c r="AC66" s="3">
        <v>36.200000000000003</v>
      </c>
      <c r="AD66" s="3">
        <v>39.9</v>
      </c>
      <c r="AE66" s="3">
        <v>41.1</v>
      </c>
      <c r="AF66" s="3">
        <v>44.4</v>
      </c>
      <c r="AG66" s="3">
        <v>39.799999999999997</v>
      </c>
      <c r="AH66" s="3">
        <v>37.5</v>
      </c>
      <c r="AI66" s="3">
        <v>38.200000000000003</v>
      </c>
      <c r="AJ66" s="3">
        <v>36.6</v>
      </c>
      <c r="AK66" s="3">
        <v>35.6</v>
      </c>
      <c r="AL66" s="3">
        <v>33.6</v>
      </c>
      <c r="AM66" s="3">
        <v>33</v>
      </c>
      <c r="AN66" s="3">
        <v>31.8</v>
      </c>
      <c r="AO66" s="3">
        <v>29.7</v>
      </c>
      <c r="AP66" s="3">
        <v>27.9</v>
      </c>
      <c r="AQ66" s="3">
        <v>26.8</v>
      </c>
      <c r="AR66" s="3">
        <v>25</v>
      </c>
      <c r="AS66" s="3">
        <v>30.7</v>
      </c>
      <c r="AT66" s="3">
        <v>37.1</v>
      </c>
      <c r="AU66" s="3">
        <v>18.7</v>
      </c>
      <c r="AV66" s="3">
        <v>16.7</v>
      </c>
      <c r="AW66" s="3">
        <v>15</v>
      </c>
      <c r="AX66" s="3">
        <v>11.1</v>
      </c>
      <c r="AY66" s="3">
        <v>10.1</v>
      </c>
      <c r="AZ66" s="3">
        <v>0</v>
      </c>
      <c r="BA66" s="3">
        <v>0</v>
      </c>
      <c r="BB66" s="3">
        <v>0</v>
      </c>
      <c r="BC66" s="3">
        <v>42.947135407914587</v>
      </c>
      <c r="BD66" s="3">
        <v>46.952864592085419</v>
      </c>
      <c r="BE66" s="3">
        <v>46.952864592085419</v>
      </c>
      <c r="BF66" s="3">
        <v>44.412864592085413</v>
      </c>
      <c r="BG66" s="3">
        <v>40.739531258752081</v>
      </c>
      <c r="BH66" s="3">
        <v>37.47953125875209</v>
      </c>
      <c r="BI66" s="3">
        <v>35.892864592085417</v>
      </c>
      <c r="BJ66" s="3">
        <v>40.386197925418742</v>
      </c>
      <c r="BK66" s="3">
        <v>41.459531258752079</v>
      </c>
      <c r="BL66" s="3">
        <v>44.332864592085414</v>
      </c>
      <c r="BM66" s="3">
        <v>39.866197925418746</v>
      </c>
      <c r="BN66" s="3">
        <v>37.84953125875208</v>
      </c>
      <c r="BO66" s="3">
        <v>37.916197925418757</v>
      </c>
      <c r="BP66" s="3">
        <v>36.032864592085417</v>
      </c>
      <c r="BQ66" s="3">
        <v>35.449531258752074</v>
      </c>
      <c r="BR66" s="3">
        <v>33.776197925418742</v>
      </c>
      <c r="BS66" s="3">
        <v>32.97953125875209</v>
      </c>
      <c r="BT66" s="3">
        <v>31.976197925418745</v>
      </c>
      <c r="BU66" s="3">
        <v>29.842864592085419</v>
      </c>
      <c r="BV66" s="3">
        <v>27.759531258752077</v>
      </c>
      <c r="BW66" s="3">
        <v>27.192864592085414</v>
      </c>
      <c r="BX66" s="3">
        <v>25.312864592085418</v>
      </c>
      <c r="BY66" s="3">
        <v>30.832864592085414</v>
      </c>
      <c r="BZ66" s="3">
        <v>37.362864592085415</v>
      </c>
      <c r="CA66" s="3">
        <v>19.062864592085404</v>
      </c>
      <c r="CB66" s="3">
        <v>16.499531258752079</v>
      </c>
      <c r="CC66" s="3">
        <v>15.012864592085414</v>
      </c>
      <c r="CD66" s="3">
        <v>10.419531258752087</v>
      </c>
      <c r="CE66" s="3">
        <v>9.6128645920854154</v>
      </c>
      <c r="CF66" s="3">
        <v>-0.87380207458125625</v>
      </c>
      <c r="CG66" s="3">
        <v>-1.4071354079145877</v>
      </c>
      <c r="CH66" s="3">
        <v>-2.4838020745812557</v>
      </c>
      <c r="CI66" s="13">
        <f>[1]!dbasum(RecData[[#This Row],[20]:[2000]],RecData[[#Headers],[20]:[2000]])</f>
        <v>40.496222121279871</v>
      </c>
      <c r="CJ66" s="14">
        <v>730</v>
      </c>
      <c r="CK66" s="15" t="s">
        <v>249</v>
      </c>
      <c r="CL66" s="15">
        <f>RecData[[#This Row],[Start Time]]</f>
        <v>43252.128472222219</v>
      </c>
      <c r="CM66" s="16">
        <f>RecData[[#This Row],[Wind Speed avg]]</f>
        <v>1.45</v>
      </c>
      <c r="CN66" s="16">
        <f>RecData[[#This Row],[Wind Dir. avg]]</f>
        <v>183</v>
      </c>
      <c r="CO66" s="16">
        <f>RecData[[#This Row],[Amb. Humidity]]</f>
        <v>89.7</v>
      </c>
      <c r="CP66" s="16">
        <f>RecData[[#This Row],[Amb. Temperature]]</f>
        <v>8.3000000000000007</v>
      </c>
      <c r="CQ66" s="17">
        <f>RecData[[#This Row],[Amb. Rain Gauge]]</f>
        <v>0</v>
      </c>
      <c r="CR66" s="97" t="s">
        <v>1</v>
      </c>
      <c r="CS66" s="97" t="s">
        <v>49</v>
      </c>
      <c r="CT66" s="98">
        <v>1588.228394</v>
      </c>
      <c r="CU66" s="98">
        <v>24.000202178955</v>
      </c>
      <c r="CV66" s="98">
        <v>10.243667602539</v>
      </c>
      <c r="CW66" s="98">
        <v>15.189537048339799</v>
      </c>
      <c r="CX66" s="97"/>
      <c r="CY66" s="99"/>
      <c r="CZ66" s="2" t="b">
        <f>IF($DP$1="YES",IF(RecData[[#This Row],[Power (kW)]]&gt;=$CR$3, TRUE,FALSE),TRUE)</f>
        <v>1</v>
      </c>
      <c r="DA66" s="16">
        <f>MIN(MOD(180-ABS(ABS($DA$1-RecData[Yaw Angle (°)])-180),360),MOD(180-ABS(ABS($DB$1-RecData[Yaw Angle (°)])-180),360))</f>
        <v>16.470275401267457</v>
      </c>
      <c r="DB66" s="2" t="str">
        <f>IF($DP$2="None","None",IF(RecData[[#This Row],[Relative Wind Direction]]&lt;=45,"DW",IF(RecData[[#This Row],[Relative Wind Direction]]&lt;=135,"CW","UW")))</f>
        <v>DW</v>
      </c>
      <c r="DC66" s="61">
        <v>-1</v>
      </c>
      <c r="DD66" s="61">
        <v>-1</v>
      </c>
      <c r="DE66" s="18" t="b">
        <v>0</v>
      </c>
      <c r="DF66" s="2" t="b">
        <f>IF(OR(RecData[[#This Row],[WSpd_Avg '[m/s']]]-RecData[[#This Row],[Wind Speed min]]&gt;=$DF$3,RecData[[#This Row],[Wind Speed max]]-RecData[[#This Row],[WSpd_Avg '[m/s']]]&gt;=$DF$2),TRUE,FALSE)</f>
        <v>0</v>
      </c>
      <c r="DG66" s="2" t="b">
        <f>RecData[[#This Row],[Temperature '[°C']]]&lt;=-20</f>
        <v>0</v>
      </c>
      <c r="DH66" s="18" t="b">
        <f>NOT(OR(MOD(RecData[[#This Row],[TIMESTAMP]],1)&gt;0.91632,MOD(RecData[[#This Row],[TIMESTAMP]],1)&lt;0.208681))</f>
        <v>0</v>
      </c>
      <c r="DI66" s="18" t="b">
        <f>RecData[[#This Row],[Overall (dBA)]]-RecData[[#This Row],[L90]]&gt;=$DS$4</f>
        <v>0</v>
      </c>
      <c r="DJ66" s="18" t="b">
        <f>RecData[[#This Row],[Overall (dBA)]]&gt;$DS$2</f>
        <v>0</v>
      </c>
      <c r="DK66" s="18" t="b">
        <f>RecData[[#This Row],[Overall (dBA)]]&lt;$DS$3</f>
        <v>0</v>
      </c>
      <c r="DL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" s="2">
        <f>IF(AND(RecData[[#This Row],[Turbines ON/OFF]] = "OFF", NOT(OR(RecData[[#This Row],[Junk?]]="YES",RecData[[#This Row],[Gust?]],RecData[[#This Row],[Rain?]:[Min SPL Threshold?]]))),1,0)</f>
        <v>0</v>
      </c>
      <c r="DN66" s="16">
        <f>RecData[[#This Row],[dBA Sum]]</f>
        <v>40.496222121279871</v>
      </c>
      <c r="DO66" s="16">
        <f>RecData[[#This Row],[LAF90.0]]</f>
        <v>41.6</v>
      </c>
      <c r="DP66" s="55">
        <f>IF(AND(RecData[[#This Row],[Useable TON Data?]],RecData[[#This Row],[Turbines ON/OFF]]="ON"),RecData[[#This Row],[dBA Sum]],"")</f>
        <v>40.496222121279871</v>
      </c>
      <c r="DQ66" s="55" t="str">
        <f>IF(AND(RecData[[#This Row],[Useable Background Data?]],RecData[[#This Row],[Turbines ON/OFF]]="OFF"),RecData[[#This Row],[dBA Sum]],"")</f>
        <v/>
      </c>
      <c r="DR66" s="3">
        <f>IF(OR(RecData[[#This Row],[Useable TON Data?]],RecData[[#This Row],[Useable Background Data?]]),ROUND(RecData[[#This Row],[WSpd_Avg '[m/s']]],0),"")</f>
        <v>1</v>
      </c>
      <c r="DS66" s="85">
        <f>(0.00002)^2*(10^(RecData[[#This Row],[Overall (dBA)]]/10))</f>
        <v>4.4841713899937209E-6</v>
      </c>
    </row>
    <row r="67" spans="1:123" ht="15" x14ac:dyDescent="0.25">
      <c r="A67" s="3" t="s">
        <v>249</v>
      </c>
      <c r="B67" s="12">
        <v>43252.131249999999</v>
      </c>
      <c r="C67" s="3"/>
      <c r="D67" s="3">
        <v>42.3</v>
      </c>
      <c r="E67" s="3"/>
      <c r="F67" s="3"/>
      <c r="G67" s="3"/>
      <c r="H67" s="3"/>
      <c r="I67" s="3"/>
      <c r="J67" s="3"/>
      <c r="K67" s="3">
        <v>40.299999999999997</v>
      </c>
      <c r="L67" s="3"/>
      <c r="M67" s="3"/>
      <c r="N67" s="3">
        <v>198.9</v>
      </c>
      <c r="O67" s="3"/>
      <c r="P67" s="3"/>
      <c r="Q67" s="3">
        <v>0.75</v>
      </c>
      <c r="R67" s="3">
        <v>0.2</v>
      </c>
      <c r="S67" s="3">
        <v>1.4</v>
      </c>
      <c r="T67" s="3">
        <v>8.1999999999999993</v>
      </c>
      <c r="U67" s="3">
        <v>88.9</v>
      </c>
      <c r="V67" s="3">
        <v>964.7</v>
      </c>
      <c r="W67" s="3">
        <v>0</v>
      </c>
      <c r="X67" s="3">
        <v>47.4</v>
      </c>
      <c r="Y67" s="3">
        <v>48</v>
      </c>
      <c r="Z67" s="3">
        <v>45.9</v>
      </c>
      <c r="AA67" s="3">
        <v>41.3</v>
      </c>
      <c r="AB67" s="3">
        <v>36.9</v>
      </c>
      <c r="AC67" s="3">
        <v>35.4</v>
      </c>
      <c r="AD67" s="3">
        <v>39</v>
      </c>
      <c r="AE67" s="3">
        <v>40.9</v>
      </c>
      <c r="AF67" s="3">
        <v>44.4</v>
      </c>
      <c r="AG67" s="3">
        <v>38.799999999999997</v>
      </c>
      <c r="AH67" s="3">
        <v>36.5</v>
      </c>
      <c r="AI67" s="3">
        <v>37</v>
      </c>
      <c r="AJ67" s="3">
        <v>35.700000000000003</v>
      </c>
      <c r="AK67" s="3">
        <v>34.4</v>
      </c>
      <c r="AL67" s="3">
        <v>32.799999999999997</v>
      </c>
      <c r="AM67" s="3">
        <v>32.6</v>
      </c>
      <c r="AN67" s="3">
        <v>31.6</v>
      </c>
      <c r="AO67" s="3">
        <v>29.3</v>
      </c>
      <c r="AP67" s="3">
        <v>27</v>
      </c>
      <c r="AQ67" s="3">
        <v>25.5</v>
      </c>
      <c r="AR67" s="3">
        <v>22.9</v>
      </c>
      <c r="AS67" s="3">
        <v>29.2</v>
      </c>
      <c r="AT67" s="3">
        <v>36.799999999999997</v>
      </c>
      <c r="AU67" s="3">
        <v>15.5</v>
      </c>
      <c r="AV67" s="3">
        <v>13.5</v>
      </c>
      <c r="AW67" s="3">
        <v>12.1</v>
      </c>
      <c r="AX67" s="3">
        <v>10.1</v>
      </c>
      <c r="AY67" s="3">
        <v>9.6999999999999993</v>
      </c>
      <c r="AZ67" s="3">
        <v>0</v>
      </c>
      <c r="BA67" s="3">
        <v>0</v>
      </c>
      <c r="BB67" s="3">
        <v>0</v>
      </c>
      <c r="BC67" s="3">
        <v>42.285322724393112</v>
      </c>
      <c r="BD67" s="3">
        <v>47.414677275606877</v>
      </c>
      <c r="BE67" s="3">
        <v>48.014677275606886</v>
      </c>
      <c r="BF67" s="3">
        <v>44.674677275606882</v>
      </c>
      <c r="BG67" s="3">
        <v>40.401343942273556</v>
      </c>
      <c r="BH67" s="3">
        <v>36.141343942273551</v>
      </c>
      <c r="BI67" s="3">
        <v>35.054677275606892</v>
      </c>
      <c r="BJ67" s="3">
        <v>39.448010608940208</v>
      </c>
      <c r="BK67" s="3">
        <v>41.221343942273549</v>
      </c>
      <c r="BL67" s="3">
        <v>44.294677275606887</v>
      </c>
      <c r="BM67" s="3">
        <v>38.828010608940218</v>
      </c>
      <c r="BN67" s="3">
        <v>36.811343942273552</v>
      </c>
      <c r="BO67" s="3">
        <v>36.678010608940227</v>
      </c>
      <c r="BP67" s="3">
        <v>35.094677275606884</v>
      </c>
      <c r="BQ67" s="3">
        <v>34.211343942273544</v>
      </c>
      <c r="BR67" s="3">
        <v>32.938010608940218</v>
      </c>
      <c r="BS67" s="3">
        <v>32.541343942273556</v>
      </c>
      <c r="BT67" s="3">
        <v>31.738010608940229</v>
      </c>
      <c r="BU67" s="3">
        <v>29.404677275606886</v>
      </c>
      <c r="BV67" s="3">
        <v>26.821343942273558</v>
      </c>
      <c r="BW67" s="3">
        <v>25.854677275606889</v>
      </c>
      <c r="BX67" s="3">
        <v>23.174677275606896</v>
      </c>
      <c r="BY67" s="3">
        <v>29.294677275606887</v>
      </c>
      <c r="BZ67" s="3">
        <v>37.024677275606891</v>
      </c>
      <c r="CA67" s="3">
        <v>15.824677275606881</v>
      </c>
      <c r="CB67" s="3">
        <v>13.261343942273548</v>
      </c>
      <c r="CC67" s="3">
        <v>12.074677275606888</v>
      </c>
      <c r="CD67" s="3">
        <v>9.3813439422735598</v>
      </c>
      <c r="CE67" s="3">
        <v>9.1746772756068822</v>
      </c>
      <c r="CF67" s="3">
        <v>-0.91198939105978383</v>
      </c>
      <c r="CG67" s="3">
        <v>-1.4453227243931153</v>
      </c>
      <c r="CH67" s="3">
        <v>-2.5219893910597833</v>
      </c>
      <c r="CI67" s="13">
        <f>[1]!dbasum(RecData[[#This Row],[20]:[2000]],RecData[[#Headers],[20]:[2000]])</f>
        <v>39.706447960811772</v>
      </c>
      <c r="CJ67" s="14">
        <v>734</v>
      </c>
      <c r="CK67" s="15" t="s">
        <v>249</v>
      </c>
      <c r="CL67" s="15">
        <f>RecData[[#This Row],[Start Time]]</f>
        <v>43252.131249999999</v>
      </c>
      <c r="CM67" s="16">
        <f>RecData[[#This Row],[Wind Speed avg]]</f>
        <v>0.75</v>
      </c>
      <c r="CN67" s="16">
        <f>RecData[[#This Row],[Wind Dir. avg]]</f>
        <v>198.9</v>
      </c>
      <c r="CO67" s="16">
        <f>RecData[[#This Row],[Amb. Humidity]]</f>
        <v>88.9</v>
      </c>
      <c r="CP67" s="16">
        <f>RecData[[#This Row],[Amb. Temperature]]</f>
        <v>8.1999999999999993</v>
      </c>
      <c r="CQ67" s="17">
        <f>RecData[[#This Row],[Amb. Rain Gauge]]</f>
        <v>0</v>
      </c>
      <c r="CR67" s="97" t="s">
        <v>1</v>
      </c>
      <c r="CS67" s="97" t="s">
        <v>49</v>
      </c>
      <c r="CT67" s="98">
        <v>1588.228394</v>
      </c>
      <c r="CU67" s="98">
        <v>24.000202178955</v>
      </c>
      <c r="CV67" s="98">
        <v>10.243667602539</v>
      </c>
      <c r="CW67" s="98">
        <v>15.189537048339799</v>
      </c>
      <c r="CX67" s="97"/>
      <c r="CY67" s="99"/>
      <c r="CZ67" s="2" t="b">
        <f>IF($DP$1="YES",IF(RecData[[#This Row],[Power (kW)]]&gt;=$CR$3, TRUE,FALSE),TRUE)</f>
        <v>1</v>
      </c>
      <c r="DA67" s="16">
        <f>MIN(MOD(180-ABS(ABS($DA$1-RecData[Yaw Angle (°)])-180),360),MOD(180-ABS(ABS($DB$1-RecData[Yaw Angle (°)])-180),360))</f>
        <v>16.470275401267457</v>
      </c>
      <c r="DB67" s="2" t="str">
        <f>IF($DP$2="None","None",IF(RecData[[#This Row],[Relative Wind Direction]]&lt;=45,"DW",IF(RecData[[#This Row],[Relative Wind Direction]]&lt;=135,"CW","UW")))</f>
        <v>DW</v>
      </c>
      <c r="DC67" s="61" t="e">
        <f>IF($CL67-$CL66&gt;1/24,#REF!,IF(SUM($CQ66:$CQ67)&gt;$DS$1,$DS$5,DC68-1))</f>
        <v>#REF!</v>
      </c>
      <c r="DD67" s="61" t="e">
        <f>IF($CL68-$CL67&gt;1/24,#REF!,IF(SUM($CQ66:$CQ67)&gt;$DS$1,$DS$6,#REF!-1))</f>
        <v>#REF!</v>
      </c>
      <c r="DE67" s="18" t="b">
        <v>0</v>
      </c>
      <c r="DF67" s="2" t="b">
        <f>IF(OR(RecData[[#This Row],[WSpd_Avg '[m/s']]]-RecData[[#This Row],[Wind Speed min]]&gt;=$DF$3,RecData[[#This Row],[Wind Speed max]]-RecData[[#This Row],[WSpd_Avg '[m/s']]]&gt;=$DF$2),TRUE,FALSE)</f>
        <v>0</v>
      </c>
      <c r="DG67" s="2" t="b">
        <f>RecData[[#This Row],[Temperature '[°C']]]&lt;=-20</f>
        <v>0</v>
      </c>
      <c r="DH67" s="18" t="b">
        <f>NOT(OR(MOD(RecData[[#This Row],[TIMESTAMP]],1)&gt;0.91632,MOD(RecData[[#This Row],[TIMESTAMP]],1)&lt;0.208681))</f>
        <v>0</v>
      </c>
      <c r="DI67" s="18" t="b">
        <f>RecData[[#This Row],[Overall (dBA)]]-RecData[[#This Row],[L90]]&gt;=$DS$4</f>
        <v>0</v>
      </c>
      <c r="DJ67" s="18" t="b">
        <f>RecData[[#This Row],[Overall (dBA)]]&gt;$DS$2</f>
        <v>0</v>
      </c>
      <c r="DK67" s="18" t="b">
        <f>RecData[[#This Row],[Overall (dBA)]]&lt;$DS$3</f>
        <v>0</v>
      </c>
      <c r="DL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" s="2">
        <f>IF(AND(RecData[[#This Row],[Turbines ON/OFF]] = "OFF", NOT(OR(RecData[[#This Row],[Junk?]]="YES",RecData[[#This Row],[Gust?]],RecData[[#This Row],[Rain?]:[Min SPL Threshold?]]))),1,0)</f>
        <v>0</v>
      </c>
      <c r="DN67" s="16">
        <f>RecData[[#This Row],[dBA Sum]]</f>
        <v>39.706447960811772</v>
      </c>
      <c r="DO67" s="16">
        <f>RecData[[#This Row],[LAF90.0]]</f>
        <v>40.299999999999997</v>
      </c>
      <c r="DP67" s="55">
        <f>IF(AND(RecData[[#This Row],[Useable TON Data?]],RecData[[#This Row],[Turbines ON/OFF]]="ON"),RecData[[#This Row],[dBA Sum]],"")</f>
        <v>39.706447960811772</v>
      </c>
      <c r="DQ67" s="55" t="str">
        <f>IF(AND(RecData[[#This Row],[Useable Background Data?]],RecData[[#This Row],[Turbines ON/OFF]]="OFF"),RecData[[#This Row],[dBA Sum]],"")</f>
        <v/>
      </c>
      <c r="DR67" s="3">
        <f>IF(OR(RecData[[#This Row],[Useable TON Data?]],RecData[[#This Row],[Useable Background Data?]]),ROUND(RecData[[#This Row],[WSpd_Avg '[m/s']]],0),"")</f>
        <v>1</v>
      </c>
      <c r="DS67" s="85">
        <f>(0.00002)^2*(10^(RecData[[#This Row],[Overall (dBA)]]/10))</f>
        <v>3.7385637222167307E-6</v>
      </c>
    </row>
    <row r="68" spans="1:123" ht="15" x14ac:dyDescent="0.25">
      <c r="A68" s="3" t="s">
        <v>249</v>
      </c>
      <c r="B68" s="12">
        <v>43252.131944444445</v>
      </c>
      <c r="C68" s="3"/>
      <c r="D68" s="3">
        <v>43.2</v>
      </c>
      <c r="E68" s="3"/>
      <c r="F68" s="3"/>
      <c r="G68" s="3"/>
      <c r="H68" s="3"/>
      <c r="I68" s="3"/>
      <c r="J68" s="3"/>
      <c r="K68" s="3">
        <v>42</v>
      </c>
      <c r="L68" s="3"/>
      <c r="M68" s="3"/>
      <c r="N68" s="3">
        <v>172.2</v>
      </c>
      <c r="O68" s="3"/>
      <c r="P68" s="3"/>
      <c r="Q68" s="3">
        <v>1.03</v>
      </c>
      <c r="R68" s="3">
        <v>0.1</v>
      </c>
      <c r="S68" s="3">
        <v>1.9</v>
      </c>
      <c r="T68" s="3">
        <v>8.1999999999999993</v>
      </c>
      <c r="U68" s="3">
        <v>89.1</v>
      </c>
      <c r="V68" s="3">
        <v>964.7</v>
      </c>
      <c r="W68" s="3">
        <v>0</v>
      </c>
      <c r="X68" s="3">
        <v>46.6</v>
      </c>
      <c r="Y68" s="3">
        <v>46.4</v>
      </c>
      <c r="Z68" s="3">
        <v>46</v>
      </c>
      <c r="AA68" s="3">
        <v>41.7</v>
      </c>
      <c r="AB68" s="3">
        <v>37.200000000000003</v>
      </c>
      <c r="AC68" s="3">
        <v>36</v>
      </c>
      <c r="AD68" s="3">
        <v>39</v>
      </c>
      <c r="AE68" s="3">
        <v>40.4</v>
      </c>
      <c r="AF68" s="3">
        <v>44.8</v>
      </c>
      <c r="AG68" s="3">
        <v>38.6</v>
      </c>
      <c r="AH68" s="3">
        <v>37.4</v>
      </c>
      <c r="AI68" s="3">
        <v>37.6</v>
      </c>
      <c r="AJ68" s="3">
        <v>37</v>
      </c>
      <c r="AK68" s="3">
        <v>35.6</v>
      </c>
      <c r="AL68" s="3">
        <v>34.1</v>
      </c>
      <c r="AM68" s="3">
        <v>33.700000000000003</v>
      </c>
      <c r="AN68" s="3">
        <v>32.700000000000003</v>
      </c>
      <c r="AO68" s="3">
        <v>31.2</v>
      </c>
      <c r="AP68" s="3">
        <v>30.2</v>
      </c>
      <c r="AQ68" s="3">
        <v>29.5</v>
      </c>
      <c r="AR68" s="3">
        <v>28.4</v>
      </c>
      <c r="AS68" s="3">
        <v>31.3</v>
      </c>
      <c r="AT68" s="3">
        <v>35.700000000000003</v>
      </c>
      <c r="AU68" s="3">
        <v>23.1</v>
      </c>
      <c r="AV68" s="3">
        <v>21.1</v>
      </c>
      <c r="AW68" s="3">
        <v>19.2</v>
      </c>
      <c r="AX68" s="3">
        <v>13.7</v>
      </c>
      <c r="AY68" s="3">
        <v>11.5</v>
      </c>
      <c r="AZ68" s="3">
        <v>0</v>
      </c>
      <c r="BA68" s="3">
        <v>0</v>
      </c>
      <c r="BB68" s="3">
        <v>0</v>
      </c>
      <c r="BC68" s="3">
        <v>43.185312475167976</v>
      </c>
      <c r="BD68" s="3">
        <v>46.614687524832036</v>
      </c>
      <c r="BE68" s="3">
        <v>46.414687524832019</v>
      </c>
      <c r="BF68" s="3">
        <v>44.774687524832032</v>
      </c>
      <c r="BG68" s="3">
        <v>40.801354191498703</v>
      </c>
      <c r="BH68" s="3">
        <v>36.441354191498689</v>
      </c>
      <c r="BI68" s="3">
        <v>35.654687524832028</v>
      </c>
      <c r="BJ68" s="3">
        <v>39.44802085816535</v>
      </c>
      <c r="BK68" s="3">
        <v>40.721354191498691</v>
      </c>
      <c r="BL68" s="3">
        <v>44.69468752483202</v>
      </c>
      <c r="BM68" s="3">
        <v>38.628020858165357</v>
      </c>
      <c r="BN68" s="3">
        <v>37.7113541914987</v>
      </c>
      <c r="BO68" s="3">
        <v>37.278020858165362</v>
      </c>
      <c r="BP68" s="3">
        <v>36.394687524832037</v>
      </c>
      <c r="BQ68" s="3">
        <v>35.411354191498688</v>
      </c>
      <c r="BR68" s="3">
        <v>34.23802085816537</v>
      </c>
      <c r="BS68" s="3">
        <v>33.641354191498706</v>
      </c>
      <c r="BT68" s="3">
        <v>32.838020858165365</v>
      </c>
      <c r="BU68" s="3">
        <v>31.304687524832033</v>
      </c>
      <c r="BV68" s="3">
        <v>30.021354191498702</v>
      </c>
      <c r="BW68" s="3">
        <v>29.85468752483203</v>
      </c>
      <c r="BX68" s="3">
        <v>28.674687524832038</v>
      </c>
      <c r="BY68" s="3">
        <v>31.394687524832023</v>
      </c>
      <c r="BZ68" s="3">
        <v>35.924687524832038</v>
      </c>
      <c r="CA68" s="3">
        <v>23.424687524832024</v>
      </c>
      <c r="CB68" s="3">
        <v>20.861354191498691</v>
      </c>
      <c r="CC68" s="3">
        <v>19.174687524832024</v>
      </c>
      <c r="CD68" s="3">
        <v>12.981354191498696</v>
      </c>
      <c r="CE68" s="3">
        <v>10.974687524832028</v>
      </c>
      <c r="CF68" s="3">
        <v>-0.91197914183464235</v>
      </c>
      <c r="CG68" s="3">
        <v>-1.4453124751679738</v>
      </c>
      <c r="CH68" s="3">
        <v>-2.5219791418346418</v>
      </c>
      <c r="CI68" s="13">
        <f>[1]!dbasum(RecData[[#This Row],[20]:[2000]],RecData[[#Headers],[20]:[2000]])</f>
        <v>41.336436170274496</v>
      </c>
      <c r="CJ68" s="14">
        <v>735</v>
      </c>
      <c r="CK68" s="15" t="s">
        <v>249</v>
      </c>
      <c r="CL68" s="15">
        <f>RecData[[#This Row],[Start Time]]</f>
        <v>43252.131944444445</v>
      </c>
      <c r="CM68" s="16">
        <f>RecData[[#This Row],[Wind Speed avg]]</f>
        <v>1.03</v>
      </c>
      <c r="CN68" s="16">
        <f>RecData[[#This Row],[Wind Dir. avg]]</f>
        <v>172.2</v>
      </c>
      <c r="CO68" s="16">
        <f>RecData[[#This Row],[Amb. Humidity]]</f>
        <v>89.1</v>
      </c>
      <c r="CP68" s="16">
        <f>RecData[[#This Row],[Amb. Temperature]]</f>
        <v>8.1999999999999993</v>
      </c>
      <c r="CQ68" s="17">
        <f>RecData[[#This Row],[Amb. Rain Gauge]]</f>
        <v>0</v>
      </c>
      <c r="CR68" s="97" t="s">
        <v>1</v>
      </c>
      <c r="CS68" s="97" t="s">
        <v>49</v>
      </c>
      <c r="CT68" s="98">
        <v>1588.228394</v>
      </c>
      <c r="CU68" s="98">
        <v>24.000202178955</v>
      </c>
      <c r="CV68" s="98">
        <v>10.243667602539</v>
      </c>
      <c r="CW68" s="98">
        <v>15.189537048339799</v>
      </c>
      <c r="CX68" s="97"/>
      <c r="CY68" s="99"/>
      <c r="CZ68" s="2" t="b">
        <f>IF($DP$1="YES",IF(RecData[[#This Row],[Power (kW)]]&gt;=$CR$3, TRUE,FALSE),TRUE)</f>
        <v>1</v>
      </c>
      <c r="DA68" s="16">
        <f>MIN(MOD(180-ABS(ABS($DA$1-RecData[Yaw Angle (°)])-180),360),MOD(180-ABS(ABS($DB$1-RecData[Yaw Angle (°)])-180),360))</f>
        <v>16.470275401267457</v>
      </c>
      <c r="DB68" s="2" t="str">
        <f>IF($DP$2="None","None",IF(RecData[[#This Row],[Relative Wind Direction]]&lt;=45,"DW",IF(RecData[[#This Row],[Relative Wind Direction]]&lt;=135,"CW","UW")))</f>
        <v>DW</v>
      </c>
      <c r="DC68" s="61" t="e">
        <f>IF($CL68-#REF!&gt;1/24,#REF!,IF(SUM($CQ67:$CQ68)&gt;$DS$1,$DS$5,DC69-1))</f>
        <v>#REF!</v>
      </c>
      <c r="DD68" s="61" t="e">
        <f>IF($CL69-$CL68&gt;1/24,#REF!,IF(SUM($CQ67:$CQ68)&gt;$DS$1,$DS$6,DD67-1))</f>
        <v>#REF!</v>
      </c>
      <c r="DE68" s="18" t="b">
        <v>0</v>
      </c>
      <c r="DF68" s="2" t="b">
        <f>IF(OR(RecData[[#This Row],[WSpd_Avg '[m/s']]]-RecData[[#This Row],[Wind Speed min]]&gt;=$DF$3,RecData[[#This Row],[Wind Speed max]]-RecData[[#This Row],[WSpd_Avg '[m/s']]]&gt;=$DF$2),TRUE,FALSE)</f>
        <v>0</v>
      </c>
      <c r="DG68" s="2" t="b">
        <f>RecData[[#This Row],[Temperature '[°C']]]&lt;=-20</f>
        <v>0</v>
      </c>
      <c r="DH68" s="18" t="b">
        <f>NOT(OR(MOD(RecData[[#This Row],[TIMESTAMP]],1)&gt;0.91632,MOD(RecData[[#This Row],[TIMESTAMP]],1)&lt;0.208681))</f>
        <v>0</v>
      </c>
      <c r="DI68" s="18" t="b">
        <f>RecData[[#This Row],[Overall (dBA)]]-RecData[[#This Row],[L90]]&gt;=$DS$4</f>
        <v>0</v>
      </c>
      <c r="DJ68" s="18" t="b">
        <f>RecData[[#This Row],[Overall (dBA)]]&gt;$DS$2</f>
        <v>0</v>
      </c>
      <c r="DK68" s="18" t="b">
        <f>RecData[[#This Row],[Overall (dBA)]]&lt;$DS$3</f>
        <v>0</v>
      </c>
      <c r="DL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" s="2">
        <f>IF(AND(RecData[[#This Row],[Turbines ON/OFF]] = "OFF", NOT(OR(RecData[[#This Row],[Junk?]]="YES",RecData[[#This Row],[Gust?]],RecData[[#This Row],[Rain?]:[Min SPL Threshold?]]))),1,0)</f>
        <v>0</v>
      </c>
      <c r="DN68" s="16">
        <f>RecData[[#This Row],[dBA Sum]]</f>
        <v>41.336436170274496</v>
      </c>
      <c r="DO68" s="16">
        <f>RecData[[#This Row],[LAF90.0]]</f>
        <v>42</v>
      </c>
      <c r="DP68" s="55">
        <f>IF(AND(RecData[[#This Row],[Useable TON Data?]],RecData[[#This Row],[Turbines ON/OFF]]="ON"),RecData[[#This Row],[dBA Sum]],"")</f>
        <v>41.336436170274496</v>
      </c>
      <c r="DQ68" s="55" t="str">
        <f>IF(AND(RecData[[#This Row],[Useable Background Data?]],RecData[[#This Row],[Turbines ON/OFF]]="OFF"),RecData[[#This Row],[dBA Sum]],"")</f>
        <v/>
      </c>
      <c r="DR68" s="3">
        <f>IF(OR(RecData[[#This Row],[Useable TON Data?]],RecData[[#This Row],[Useable Background Data?]]),ROUND(RecData[[#This Row],[WSpd_Avg '[m/s']]],0),"")</f>
        <v>1</v>
      </c>
      <c r="DS68" s="85">
        <f>(0.00002)^2*(10^(RecData[[#This Row],[Overall (dBA)]]/10))</f>
        <v>5.4413117453522273E-6</v>
      </c>
    </row>
    <row r="69" spans="1:123" ht="15" x14ac:dyDescent="0.25">
      <c r="A69" s="3" t="s">
        <v>249</v>
      </c>
      <c r="B69" s="12">
        <v>43252.132638888892</v>
      </c>
      <c r="C69" s="3"/>
      <c r="D69" s="3">
        <v>41.9</v>
      </c>
      <c r="E69" s="3"/>
      <c r="F69" s="3"/>
      <c r="G69" s="3"/>
      <c r="H69" s="3"/>
      <c r="I69" s="3"/>
      <c r="J69" s="3"/>
      <c r="K69" s="3">
        <v>40.1</v>
      </c>
      <c r="L69" s="3"/>
      <c r="M69" s="3"/>
      <c r="N69" s="3">
        <v>128.30000000000001</v>
      </c>
      <c r="O69" s="3"/>
      <c r="P69" s="3"/>
      <c r="Q69" s="3">
        <v>1.24</v>
      </c>
      <c r="R69" s="3">
        <v>0.3</v>
      </c>
      <c r="S69" s="3">
        <v>2.6</v>
      </c>
      <c r="T69" s="3">
        <v>8.1</v>
      </c>
      <c r="U69" s="3">
        <v>88.7</v>
      </c>
      <c r="V69" s="3">
        <v>964.7</v>
      </c>
      <c r="W69" s="3">
        <v>0</v>
      </c>
      <c r="X69" s="3">
        <v>48.4</v>
      </c>
      <c r="Y69" s="3">
        <v>48</v>
      </c>
      <c r="Z69" s="3">
        <v>46</v>
      </c>
      <c r="AA69" s="3">
        <v>42.4</v>
      </c>
      <c r="AB69" s="3">
        <v>38.6</v>
      </c>
      <c r="AC69" s="3">
        <v>38.9</v>
      </c>
      <c r="AD69" s="3">
        <v>41.5</v>
      </c>
      <c r="AE69" s="3">
        <v>42.6</v>
      </c>
      <c r="AF69" s="3">
        <v>43.1</v>
      </c>
      <c r="AG69" s="3">
        <v>37.1</v>
      </c>
      <c r="AH69" s="3">
        <v>38.1</v>
      </c>
      <c r="AI69" s="3">
        <v>36.700000000000003</v>
      </c>
      <c r="AJ69" s="3">
        <v>36.6</v>
      </c>
      <c r="AK69" s="3">
        <v>34.700000000000003</v>
      </c>
      <c r="AL69" s="3">
        <v>32.700000000000003</v>
      </c>
      <c r="AM69" s="3">
        <v>32.200000000000003</v>
      </c>
      <c r="AN69" s="3">
        <v>31.2</v>
      </c>
      <c r="AO69" s="3">
        <v>28.9</v>
      </c>
      <c r="AP69" s="3">
        <v>27</v>
      </c>
      <c r="AQ69" s="3">
        <v>25.5</v>
      </c>
      <c r="AR69" s="3">
        <v>23.6</v>
      </c>
      <c r="AS69" s="3">
        <v>29.4</v>
      </c>
      <c r="AT69" s="3">
        <v>35.700000000000003</v>
      </c>
      <c r="AU69" s="3">
        <v>18</v>
      </c>
      <c r="AV69" s="3">
        <v>16.100000000000001</v>
      </c>
      <c r="AW69" s="3">
        <v>14.1</v>
      </c>
      <c r="AX69" s="3">
        <v>10.9</v>
      </c>
      <c r="AY69" s="3">
        <v>9.9</v>
      </c>
      <c r="AZ69" s="3">
        <v>0</v>
      </c>
      <c r="BA69" s="3">
        <v>0</v>
      </c>
      <c r="BB69" s="3">
        <v>0</v>
      </c>
      <c r="BC69" s="3">
        <v>41.924667996470468</v>
      </c>
      <c r="BD69" s="3">
        <v>48.375332003529529</v>
      </c>
      <c r="BE69" s="3">
        <v>47.975332003529537</v>
      </c>
      <c r="BF69" s="3">
        <v>44.735332003529528</v>
      </c>
      <c r="BG69" s="3">
        <v>41.461998670196188</v>
      </c>
      <c r="BH69" s="3">
        <v>37.801998670196191</v>
      </c>
      <c r="BI69" s="3">
        <v>38.515332003529529</v>
      </c>
      <c r="BJ69" s="3">
        <v>41.90866533686286</v>
      </c>
      <c r="BK69" s="3">
        <v>42.881998670196204</v>
      </c>
      <c r="BL69" s="3">
        <v>42.955332003529527</v>
      </c>
      <c r="BM69" s="3">
        <v>37.088665336862867</v>
      </c>
      <c r="BN69" s="3">
        <v>38.371998670196199</v>
      </c>
      <c r="BO69" s="3">
        <v>36.338665336862867</v>
      </c>
      <c r="BP69" s="3">
        <v>35.955332003529527</v>
      </c>
      <c r="BQ69" s="3">
        <v>34.471998670196193</v>
      </c>
      <c r="BR69" s="3">
        <v>32.798665336862861</v>
      </c>
      <c r="BS69" s="3">
        <v>32.101998670196203</v>
      </c>
      <c r="BT69" s="3">
        <v>31.298665336862861</v>
      </c>
      <c r="BU69" s="3">
        <v>28.965332003529532</v>
      </c>
      <c r="BV69" s="3">
        <v>26.781998670196195</v>
      </c>
      <c r="BW69" s="3">
        <v>25.815332003529541</v>
      </c>
      <c r="BX69" s="3">
        <v>23.835332003529537</v>
      </c>
      <c r="BY69" s="3">
        <v>29.455332003529527</v>
      </c>
      <c r="BZ69" s="3">
        <v>35.885332003529534</v>
      </c>
      <c r="CA69" s="3">
        <v>18.285332003529525</v>
      </c>
      <c r="CB69" s="3">
        <v>15.821998670196194</v>
      </c>
      <c r="CC69" s="3">
        <v>14.035332003529525</v>
      </c>
      <c r="CD69" s="3">
        <v>10.141998670196202</v>
      </c>
      <c r="CE69" s="3">
        <v>9.3353320035295297</v>
      </c>
      <c r="CF69" s="3">
        <v>-0.9513346631371391</v>
      </c>
      <c r="CG69" s="3">
        <v>-1.4846679964704705</v>
      </c>
      <c r="CH69" s="3">
        <v>-2.5613346631371385</v>
      </c>
      <c r="CI69" s="13">
        <f>[1]!dbasum(RecData[[#This Row],[20]:[2000]],RecData[[#Headers],[20]:[2000]])</f>
        <v>39.639911833210341</v>
      </c>
      <c r="CJ69" s="14">
        <v>736</v>
      </c>
      <c r="CK69" s="15" t="s">
        <v>249</v>
      </c>
      <c r="CL69" s="15">
        <f>RecData[[#This Row],[Start Time]]</f>
        <v>43252.132638888892</v>
      </c>
      <c r="CM69" s="16">
        <f>RecData[[#This Row],[Wind Speed avg]]</f>
        <v>1.24</v>
      </c>
      <c r="CN69" s="16">
        <f>RecData[[#This Row],[Wind Dir. avg]]</f>
        <v>128.30000000000001</v>
      </c>
      <c r="CO69" s="16">
        <f>RecData[[#This Row],[Amb. Humidity]]</f>
        <v>88.7</v>
      </c>
      <c r="CP69" s="16">
        <f>RecData[[#This Row],[Amb. Temperature]]</f>
        <v>8.1</v>
      </c>
      <c r="CQ69" s="17">
        <f>RecData[[#This Row],[Amb. Rain Gauge]]</f>
        <v>0</v>
      </c>
      <c r="CR69" s="97" t="s">
        <v>1</v>
      </c>
      <c r="CS69" s="97" t="s">
        <v>49</v>
      </c>
      <c r="CT69" s="98">
        <v>1611.112061</v>
      </c>
      <c r="CU69" s="98">
        <v>24.000202178955</v>
      </c>
      <c r="CV69" s="98">
        <v>10.3374776840209</v>
      </c>
      <c r="CW69" s="98">
        <v>15.3033695220947</v>
      </c>
      <c r="CX69" s="97"/>
      <c r="CY69" s="99"/>
      <c r="CZ69" s="2" t="b">
        <f>IF($DP$1="YES",IF(RecData[[#This Row],[Power (kW)]]&gt;=$CR$3, TRUE,FALSE),TRUE)</f>
        <v>1</v>
      </c>
      <c r="DA69" s="16">
        <f>MIN(MOD(180-ABS(ABS($DA$1-RecData[Yaw Angle (°)])-180),360),MOD(180-ABS(ABS($DB$1-RecData[Yaw Angle (°)])-180),360))</f>
        <v>16.470275401267457</v>
      </c>
      <c r="DB69" s="2" t="str">
        <f>IF($DP$2="None","None",IF(RecData[[#This Row],[Relative Wind Direction]]&lt;=45,"DW",IF(RecData[[#This Row],[Relative Wind Direction]]&lt;=135,"CW","UW")))</f>
        <v>DW</v>
      </c>
      <c r="DC69" s="61" t="e">
        <f>IF($CL69-#REF!&gt;1/24,#REF!,IF(SUM($CQ67:$CQ69)&gt;$DS$1,$DS$5,#REF!-1))</f>
        <v>#REF!</v>
      </c>
      <c r="DD69" s="61" t="e">
        <f>IF(#REF!-$CL69&gt;1/24,#REF!,IF(SUM($CQ67:$CQ69)&gt;$DS$1,$DS$6,DD68-1))</f>
        <v>#REF!</v>
      </c>
      <c r="DE69" s="18" t="b">
        <v>0</v>
      </c>
      <c r="DF69" s="2" t="b">
        <f>IF(OR(RecData[[#This Row],[WSpd_Avg '[m/s']]]-RecData[[#This Row],[Wind Speed min]]&gt;=$DF$3,RecData[[#This Row],[Wind Speed max]]-RecData[[#This Row],[WSpd_Avg '[m/s']]]&gt;=$DF$2),TRUE,FALSE)</f>
        <v>0</v>
      </c>
      <c r="DG69" s="2" t="b">
        <f>RecData[[#This Row],[Temperature '[°C']]]&lt;=-20</f>
        <v>0</v>
      </c>
      <c r="DH69" s="18" t="b">
        <f>NOT(OR(MOD(RecData[[#This Row],[TIMESTAMP]],1)&gt;0.91632,MOD(RecData[[#This Row],[TIMESTAMP]],1)&lt;0.208681))</f>
        <v>0</v>
      </c>
      <c r="DI69" s="18" t="b">
        <f>RecData[[#This Row],[Overall (dBA)]]-RecData[[#This Row],[L90]]&gt;=$DS$4</f>
        <v>0</v>
      </c>
      <c r="DJ69" s="18" t="b">
        <f>RecData[[#This Row],[Overall (dBA)]]&gt;$DS$2</f>
        <v>0</v>
      </c>
      <c r="DK69" s="18" t="b">
        <f>RecData[[#This Row],[Overall (dBA)]]&lt;$DS$3</f>
        <v>0</v>
      </c>
      <c r="DL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" s="2">
        <f>IF(AND(RecData[[#This Row],[Turbines ON/OFF]] = "OFF", NOT(OR(RecData[[#This Row],[Junk?]]="YES",RecData[[#This Row],[Gust?]],RecData[[#This Row],[Rain?]:[Min SPL Threshold?]]))),1,0)</f>
        <v>0</v>
      </c>
      <c r="DN69" s="16">
        <f>RecData[[#This Row],[dBA Sum]]</f>
        <v>39.639911833210341</v>
      </c>
      <c r="DO69" s="16">
        <f>RecData[[#This Row],[LAF90.0]]</f>
        <v>40.1</v>
      </c>
      <c r="DP69" s="55">
        <f>IF(AND(RecData[[#This Row],[Useable TON Data?]],RecData[[#This Row],[Turbines ON/OFF]]="ON"),RecData[[#This Row],[dBA Sum]],"")</f>
        <v>39.639911833210341</v>
      </c>
      <c r="DQ69" s="55" t="str">
        <f>IF(AND(RecData[[#This Row],[Useable Background Data?]],RecData[[#This Row],[Turbines ON/OFF]]="OFF"),RecData[[#This Row],[dBA Sum]],"")</f>
        <v/>
      </c>
      <c r="DR69" s="3">
        <f>IF(OR(RecData[[#This Row],[Useable TON Data?]],RecData[[#This Row],[Useable Background Data?]]),ROUND(RecData[[#This Row],[WSpd_Avg '[m/s']]],0),"")</f>
        <v>1</v>
      </c>
      <c r="DS69" s="85">
        <f>(0.00002)^2*(10^(RecData[[#This Row],[Overall (dBA)]]/10))</f>
        <v>3.6817235430189966E-6</v>
      </c>
    </row>
    <row r="70" spans="1:123" ht="15" x14ac:dyDescent="0.25">
      <c r="A70" s="3" t="s">
        <v>249</v>
      </c>
      <c r="B70" s="12">
        <v>43252.135416666664</v>
      </c>
      <c r="C70" s="3"/>
      <c r="D70" s="3">
        <v>41.5</v>
      </c>
      <c r="E70" s="3"/>
      <c r="F70" s="3"/>
      <c r="G70" s="3"/>
      <c r="H70" s="3"/>
      <c r="I70" s="3"/>
      <c r="J70" s="3"/>
      <c r="K70" s="3">
        <v>39.5</v>
      </c>
      <c r="L70" s="3"/>
      <c r="M70" s="3"/>
      <c r="N70" s="3">
        <v>198</v>
      </c>
      <c r="O70" s="3"/>
      <c r="P70" s="3"/>
      <c r="Q70" s="3">
        <v>1.33</v>
      </c>
      <c r="R70" s="3">
        <v>0.4</v>
      </c>
      <c r="S70" s="3">
        <v>2.7</v>
      </c>
      <c r="T70" s="3">
        <v>8</v>
      </c>
      <c r="U70" s="3">
        <v>87.5</v>
      </c>
      <c r="V70" s="3">
        <v>964.8</v>
      </c>
      <c r="W70" s="3">
        <v>0</v>
      </c>
      <c r="X70" s="3">
        <v>48.4</v>
      </c>
      <c r="Y70" s="3">
        <v>47.6</v>
      </c>
      <c r="Z70" s="3">
        <v>46.5</v>
      </c>
      <c r="AA70" s="3">
        <v>42.5</v>
      </c>
      <c r="AB70" s="3">
        <v>38.4</v>
      </c>
      <c r="AC70" s="3">
        <v>36.1</v>
      </c>
      <c r="AD70" s="3">
        <v>39</v>
      </c>
      <c r="AE70" s="3">
        <v>41.1</v>
      </c>
      <c r="AF70" s="3">
        <v>44.6</v>
      </c>
      <c r="AG70" s="3">
        <v>38.4</v>
      </c>
      <c r="AH70" s="3">
        <v>36.1</v>
      </c>
      <c r="AI70" s="3">
        <v>36.700000000000003</v>
      </c>
      <c r="AJ70" s="3">
        <v>35.4</v>
      </c>
      <c r="AK70" s="3">
        <v>34.1</v>
      </c>
      <c r="AL70" s="3">
        <v>32.299999999999997</v>
      </c>
      <c r="AM70" s="3">
        <v>32.299999999999997</v>
      </c>
      <c r="AN70" s="3">
        <v>31.1</v>
      </c>
      <c r="AO70" s="3">
        <v>28.7</v>
      </c>
      <c r="AP70" s="3">
        <v>26.4</v>
      </c>
      <c r="AQ70" s="3">
        <v>25.2</v>
      </c>
      <c r="AR70" s="3">
        <v>22.7</v>
      </c>
      <c r="AS70" s="3">
        <v>28.3</v>
      </c>
      <c r="AT70" s="3">
        <v>35.1</v>
      </c>
      <c r="AU70" s="3">
        <v>15.5</v>
      </c>
      <c r="AV70" s="3">
        <v>13.3</v>
      </c>
      <c r="AW70" s="3">
        <v>12</v>
      </c>
      <c r="AX70" s="3">
        <v>10.1</v>
      </c>
      <c r="AY70" s="3">
        <v>9.8000000000000007</v>
      </c>
      <c r="AZ70" s="3">
        <v>0</v>
      </c>
      <c r="BA70" s="3">
        <v>0</v>
      </c>
      <c r="BB70" s="3">
        <v>0</v>
      </c>
      <c r="BC70" s="3">
        <v>41.449023487299101</v>
      </c>
      <c r="BD70" s="3">
        <v>48.450976512700905</v>
      </c>
      <c r="BE70" s="3">
        <v>47.650976512700893</v>
      </c>
      <c r="BF70" s="3">
        <v>45.31097651270089</v>
      </c>
      <c r="BG70" s="3">
        <v>41.637643179367572</v>
      </c>
      <c r="BH70" s="3">
        <v>37.677643179367564</v>
      </c>
      <c r="BI70" s="3">
        <v>35.790976512700908</v>
      </c>
      <c r="BJ70" s="3">
        <v>39.484309846034236</v>
      </c>
      <c r="BK70" s="3">
        <v>41.457643179367565</v>
      </c>
      <c r="BL70" s="3">
        <v>44.530976512700903</v>
      </c>
      <c r="BM70" s="3">
        <v>38.464309846034226</v>
      </c>
      <c r="BN70" s="3">
        <v>36.447643179367574</v>
      </c>
      <c r="BO70" s="3">
        <v>36.414309846034243</v>
      </c>
      <c r="BP70" s="3">
        <v>34.8309765127009</v>
      </c>
      <c r="BQ70" s="3">
        <v>33.94764317936756</v>
      </c>
      <c r="BR70" s="3">
        <v>32.474309846034231</v>
      </c>
      <c r="BS70" s="3">
        <v>32.277643179367558</v>
      </c>
      <c r="BT70" s="3">
        <v>31.274309846034228</v>
      </c>
      <c r="BU70" s="3">
        <v>28.840976512700905</v>
      </c>
      <c r="BV70" s="3">
        <v>26.257643179367562</v>
      </c>
      <c r="BW70" s="3">
        <v>25.590976512700905</v>
      </c>
      <c r="BX70" s="3">
        <v>23.010976512700907</v>
      </c>
      <c r="BY70" s="3">
        <v>28.430976512700894</v>
      </c>
      <c r="BZ70" s="3">
        <v>35.360976512700901</v>
      </c>
      <c r="CA70" s="3">
        <v>15.860976512700894</v>
      </c>
      <c r="CB70" s="3">
        <v>13.097643179367566</v>
      </c>
      <c r="CC70" s="3">
        <v>12.0109765127009</v>
      </c>
      <c r="CD70" s="3">
        <v>9.4176431793675732</v>
      </c>
      <c r="CE70" s="3">
        <v>9.310976512700897</v>
      </c>
      <c r="CF70" s="3">
        <v>-0.87569015396577043</v>
      </c>
      <c r="CG70" s="3">
        <v>-1.4090234872991019</v>
      </c>
      <c r="CH70" s="3">
        <v>-2.4856901539657699</v>
      </c>
      <c r="CI70" s="13">
        <f>[1]!dbasum(RecData[[#This Row],[20]:[2000]],RecData[[#Headers],[20]:[2000]])</f>
        <v>39.398460103285444</v>
      </c>
      <c r="CJ70" s="14">
        <v>740</v>
      </c>
      <c r="CK70" s="15" t="s">
        <v>249</v>
      </c>
      <c r="CL70" s="15">
        <f>RecData[[#This Row],[Start Time]]</f>
        <v>43252.135416666664</v>
      </c>
      <c r="CM70" s="16">
        <f>RecData[[#This Row],[Wind Speed avg]]</f>
        <v>1.33</v>
      </c>
      <c r="CN70" s="16">
        <f>RecData[[#This Row],[Wind Dir. avg]]</f>
        <v>198</v>
      </c>
      <c r="CO70" s="16">
        <f>RecData[[#This Row],[Amb. Humidity]]</f>
        <v>87.5</v>
      </c>
      <c r="CP70" s="16">
        <f>RecData[[#This Row],[Amb. Temperature]]</f>
        <v>8</v>
      </c>
      <c r="CQ70" s="17">
        <f>RecData[[#This Row],[Amb. Rain Gauge]]</f>
        <v>0</v>
      </c>
      <c r="CR70" s="97" t="s">
        <v>1</v>
      </c>
      <c r="CS70" s="97" t="s">
        <v>49</v>
      </c>
      <c r="CT70" s="98">
        <v>1611.112061</v>
      </c>
      <c r="CU70" s="98">
        <v>24.000202178955</v>
      </c>
      <c r="CV70" s="98">
        <v>10.3374776840209</v>
      </c>
      <c r="CW70" s="98">
        <v>15.3033695220947</v>
      </c>
      <c r="CX70" s="97"/>
      <c r="CY70" s="99"/>
      <c r="CZ70" s="2" t="b">
        <f>IF($DP$1="YES",IF(RecData[[#This Row],[Power (kW)]]&gt;=$CR$3, TRUE,FALSE),TRUE)</f>
        <v>1</v>
      </c>
      <c r="DA70" s="16">
        <f>MIN(MOD(180-ABS(ABS($DA$1-RecData[Yaw Angle (°)])-180),360),MOD(180-ABS(ABS($DB$1-RecData[Yaw Angle (°)])-180),360))</f>
        <v>16.470275401267457</v>
      </c>
      <c r="DB70" s="2" t="str">
        <f>IF($DP$2="None","None",IF(RecData[[#This Row],[Relative Wind Direction]]&lt;=45,"DW",IF(RecData[[#This Row],[Relative Wind Direction]]&lt;=135,"CW","UW")))</f>
        <v>DW</v>
      </c>
      <c r="DC70" s="61" t="e">
        <f>IF($CL70-#REF!&gt;1/24,#REF!,IF(SUM($CQ70:$CQ70)&gt;$DS$1,$DS$5,DC71-1))</f>
        <v>#REF!</v>
      </c>
      <c r="DD70" s="61" t="e">
        <f>IF($CL71-$CL70&gt;1/24,#REF!,IF(SUM($CQ70:$CQ70)&gt;$DS$1,$DS$6,#REF!-1))</f>
        <v>#REF!</v>
      </c>
      <c r="DE70" s="18" t="b">
        <v>0</v>
      </c>
      <c r="DF70" s="2" t="b">
        <f>IF(OR(RecData[[#This Row],[WSpd_Avg '[m/s']]]-RecData[[#This Row],[Wind Speed min]]&gt;=$DF$3,RecData[[#This Row],[Wind Speed max]]-RecData[[#This Row],[WSpd_Avg '[m/s']]]&gt;=$DF$2),TRUE,FALSE)</f>
        <v>0</v>
      </c>
      <c r="DG70" s="2" t="b">
        <f>RecData[[#This Row],[Temperature '[°C']]]&lt;=-20</f>
        <v>0</v>
      </c>
      <c r="DH70" s="18" t="b">
        <f>NOT(OR(MOD(RecData[[#This Row],[TIMESTAMP]],1)&gt;0.91632,MOD(RecData[[#This Row],[TIMESTAMP]],1)&lt;0.208681))</f>
        <v>0</v>
      </c>
      <c r="DI70" s="18" t="b">
        <f>RecData[[#This Row],[Overall (dBA)]]-RecData[[#This Row],[L90]]&gt;=$DS$4</f>
        <v>0</v>
      </c>
      <c r="DJ70" s="18" t="b">
        <f>RecData[[#This Row],[Overall (dBA)]]&gt;$DS$2</f>
        <v>0</v>
      </c>
      <c r="DK70" s="18" t="b">
        <f>RecData[[#This Row],[Overall (dBA)]]&lt;$DS$3</f>
        <v>0</v>
      </c>
      <c r="DL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" s="2">
        <f>IF(AND(RecData[[#This Row],[Turbines ON/OFF]] = "OFF", NOT(OR(RecData[[#This Row],[Junk?]]="YES",RecData[[#This Row],[Gust?]],RecData[[#This Row],[Rain?]:[Min SPL Threshold?]]))),1,0)</f>
        <v>0</v>
      </c>
      <c r="DN70" s="16">
        <f>RecData[[#This Row],[dBA Sum]]</f>
        <v>39.398460103285444</v>
      </c>
      <c r="DO70" s="16">
        <f>RecData[[#This Row],[LAF90.0]]</f>
        <v>39.5</v>
      </c>
      <c r="DP70" s="55">
        <f>IF(AND(RecData[[#This Row],[Useable TON Data?]],RecData[[#This Row],[Turbines ON/OFF]]="ON"),RecData[[#This Row],[dBA Sum]],"")</f>
        <v>39.398460103285444</v>
      </c>
      <c r="DQ70" s="55" t="str">
        <f>IF(AND(RecData[[#This Row],[Useable Background Data?]],RecData[[#This Row],[Turbines ON/OFF]]="OFF"),RecData[[#This Row],[dBA Sum]],"")</f>
        <v/>
      </c>
      <c r="DR70" s="3">
        <f>IF(OR(RecData[[#This Row],[Useable TON Data?]],RecData[[#This Row],[Useable Background Data?]]),ROUND(RecData[[#This Row],[WSpd_Avg '[m/s']]],0),"")</f>
        <v>1</v>
      </c>
      <c r="DS70" s="85">
        <f>(0.00002)^2*(10^(RecData[[#This Row],[Overall (dBA)]]/10))</f>
        <v>3.4826192935011952E-6</v>
      </c>
    </row>
    <row r="71" spans="1:123" ht="15" x14ac:dyDescent="0.25">
      <c r="A71" s="3" t="s">
        <v>249</v>
      </c>
      <c r="B71" s="12">
        <v>43252.136111111111</v>
      </c>
      <c r="C71" s="3"/>
      <c r="D71" s="3">
        <v>42</v>
      </c>
      <c r="E71" s="3"/>
      <c r="F71" s="3"/>
      <c r="G71" s="3"/>
      <c r="H71" s="3"/>
      <c r="I71" s="3"/>
      <c r="J71" s="3"/>
      <c r="K71" s="3">
        <v>40.700000000000003</v>
      </c>
      <c r="L71" s="3"/>
      <c r="M71" s="3"/>
      <c r="N71" s="3">
        <v>196</v>
      </c>
      <c r="O71" s="3"/>
      <c r="P71" s="3"/>
      <c r="Q71" s="3">
        <v>1.54</v>
      </c>
      <c r="R71" s="3">
        <v>0.1</v>
      </c>
      <c r="S71" s="3">
        <v>3</v>
      </c>
      <c r="T71" s="3">
        <v>8</v>
      </c>
      <c r="U71" s="3">
        <v>87.4</v>
      </c>
      <c r="V71" s="3">
        <v>964.7</v>
      </c>
      <c r="W71" s="3">
        <v>0</v>
      </c>
      <c r="X71" s="3">
        <v>47.7</v>
      </c>
      <c r="Y71" s="3">
        <v>47.5</v>
      </c>
      <c r="Z71" s="3">
        <v>46.9</v>
      </c>
      <c r="AA71" s="3">
        <v>42.7</v>
      </c>
      <c r="AB71" s="3">
        <v>38.299999999999997</v>
      </c>
      <c r="AC71" s="3">
        <v>37.299999999999997</v>
      </c>
      <c r="AD71" s="3">
        <v>39.6</v>
      </c>
      <c r="AE71" s="3">
        <v>41.9</v>
      </c>
      <c r="AF71" s="3">
        <v>47.3</v>
      </c>
      <c r="AG71" s="3">
        <v>39.299999999999997</v>
      </c>
      <c r="AH71" s="3">
        <v>37.5</v>
      </c>
      <c r="AI71" s="3">
        <v>38.1</v>
      </c>
      <c r="AJ71" s="3">
        <v>36.700000000000003</v>
      </c>
      <c r="AK71" s="3">
        <v>35.200000000000003</v>
      </c>
      <c r="AL71" s="3">
        <v>33.200000000000003</v>
      </c>
      <c r="AM71" s="3">
        <v>32.700000000000003</v>
      </c>
      <c r="AN71" s="3">
        <v>31.6</v>
      </c>
      <c r="AO71" s="3">
        <v>29</v>
      </c>
      <c r="AP71" s="3">
        <v>26.8</v>
      </c>
      <c r="AQ71" s="3">
        <v>25.5</v>
      </c>
      <c r="AR71" s="3">
        <v>23.5</v>
      </c>
      <c r="AS71" s="3">
        <v>28.3</v>
      </c>
      <c r="AT71" s="3">
        <v>34.700000000000003</v>
      </c>
      <c r="AU71" s="3">
        <v>19.600000000000001</v>
      </c>
      <c r="AV71" s="3">
        <v>18.100000000000001</v>
      </c>
      <c r="AW71" s="3">
        <v>16.899999999999999</v>
      </c>
      <c r="AX71" s="3">
        <v>13.5</v>
      </c>
      <c r="AY71" s="3">
        <v>12.2</v>
      </c>
      <c r="AZ71" s="3">
        <v>0</v>
      </c>
      <c r="BA71" s="3">
        <v>0</v>
      </c>
      <c r="BB71" s="3">
        <v>0</v>
      </c>
      <c r="BC71" s="3">
        <v>42.025594947777236</v>
      </c>
      <c r="BD71" s="3">
        <v>47.674405052222767</v>
      </c>
      <c r="BE71" s="3">
        <v>47.474405052222764</v>
      </c>
      <c r="BF71" s="3">
        <v>45.63440505222276</v>
      </c>
      <c r="BG71" s="3">
        <v>41.761071718889426</v>
      </c>
      <c r="BH71" s="3">
        <v>37.501071718889435</v>
      </c>
      <c r="BI71" s="3">
        <v>36.914405052222762</v>
      </c>
      <c r="BJ71" s="3">
        <v>40.007738385556095</v>
      </c>
      <c r="BK71" s="3">
        <v>42.181071718889427</v>
      </c>
      <c r="BL71" s="3">
        <v>47.154405052222771</v>
      </c>
      <c r="BM71" s="3">
        <v>39.287738385556096</v>
      </c>
      <c r="BN71" s="3">
        <v>37.771071718889431</v>
      </c>
      <c r="BO71" s="3">
        <v>37.737738385556099</v>
      </c>
      <c r="BP71" s="3">
        <v>36.054405052222776</v>
      </c>
      <c r="BQ71" s="3">
        <v>34.971071718889434</v>
      </c>
      <c r="BR71" s="3">
        <v>33.297738385556102</v>
      </c>
      <c r="BS71" s="3">
        <v>32.601071718889429</v>
      </c>
      <c r="BT71" s="3">
        <v>31.697738385556093</v>
      </c>
      <c r="BU71" s="3">
        <v>29.064405052222767</v>
      </c>
      <c r="BV71" s="3">
        <v>26.581071718889433</v>
      </c>
      <c r="BW71" s="3">
        <v>25.814405052222767</v>
      </c>
      <c r="BX71" s="3">
        <v>23.734405052222769</v>
      </c>
      <c r="BY71" s="3">
        <v>28.354405052222759</v>
      </c>
      <c r="BZ71" s="3">
        <v>34.88440505222276</v>
      </c>
      <c r="CA71" s="3">
        <v>19.88440505222276</v>
      </c>
      <c r="CB71" s="3">
        <v>17.821071718889428</v>
      </c>
      <c r="CC71" s="3">
        <v>16.834405052222763</v>
      </c>
      <c r="CD71" s="3">
        <v>12.741071718889437</v>
      </c>
      <c r="CE71" s="3">
        <v>11.63440505222276</v>
      </c>
      <c r="CF71" s="3">
        <v>-0.95226161444390556</v>
      </c>
      <c r="CG71" s="3">
        <v>-1.485594947777237</v>
      </c>
      <c r="CH71" s="3">
        <v>-2.562261614443905</v>
      </c>
      <c r="CI71" s="13">
        <f>[1]!dbasum(RecData[[#This Row],[20]:[2000]],RecData[[#Headers],[20]:[2000]])</f>
        <v>40.285016444853945</v>
      </c>
      <c r="CJ71" s="14">
        <v>741</v>
      </c>
      <c r="CK71" s="15" t="s">
        <v>249</v>
      </c>
      <c r="CL71" s="15">
        <f>RecData[[#This Row],[Start Time]]</f>
        <v>43252.136111111111</v>
      </c>
      <c r="CM71" s="16">
        <f>RecData[[#This Row],[Wind Speed avg]]</f>
        <v>1.54</v>
      </c>
      <c r="CN71" s="16">
        <f>RecData[[#This Row],[Wind Dir. avg]]</f>
        <v>196</v>
      </c>
      <c r="CO71" s="16">
        <f>RecData[[#This Row],[Amb. Humidity]]</f>
        <v>87.4</v>
      </c>
      <c r="CP71" s="16">
        <f>RecData[[#This Row],[Amb. Temperature]]</f>
        <v>8</v>
      </c>
      <c r="CQ71" s="17">
        <f>RecData[[#This Row],[Amb. Rain Gauge]]</f>
        <v>0</v>
      </c>
      <c r="CR71" s="97" t="s">
        <v>1</v>
      </c>
      <c r="CS71" s="97" t="s">
        <v>49</v>
      </c>
      <c r="CT71" s="98">
        <v>1611.112061</v>
      </c>
      <c r="CU71" s="98">
        <v>24.000202178955</v>
      </c>
      <c r="CV71" s="98">
        <v>10.3374776840209</v>
      </c>
      <c r="CW71" s="98">
        <v>15.3033695220947</v>
      </c>
      <c r="CX71" s="97"/>
      <c r="CY71" s="99"/>
      <c r="CZ71" s="2" t="b">
        <f>IF($DP$1="YES",IF(RecData[[#This Row],[Power (kW)]]&gt;=$CR$3, TRUE,FALSE),TRUE)</f>
        <v>1</v>
      </c>
      <c r="DA71" s="16">
        <f>MIN(MOD(180-ABS(ABS($DA$1-RecData[Yaw Angle (°)])-180),360),MOD(180-ABS(ABS($DB$1-RecData[Yaw Angle (°)])-180),360))</f>
        <v>16.470275401267457</v>
      </c>
      <c r="DB71" s="2" t="str">
        <f>IF($DP$2="None","None",IF(RecData[[#This Row],[Relative Wind Direction]]&lt;=45,"DW",IF(RecData[[#This Row],[Relative Wind Direction]]&lt;=135,"CW","UW")))</f>
        <v>DW</v>
      </c>
      <c r="DC71" s="61" t="e">
        <f>IF($CL71-#REF!&gt;1/24,#REF!,IF(SUM($CQ70:$CQ71)&gt;$DS$1,$DS$5,DC72-1))</f>
        <v>#REF!</v>
      </c>
      <c r="DD71" s="61" t="e">
        <f>IF($CL72-$CL71&gt;1/24,#REF!,IF(SUM($CQ70:$CQ71)&gt;$DS$1,$DS$6,DD70-1))</f>
        <v>#REF!</v>
      </c>
      <c r="DE71" s="18" t="b">
        <v>0</v>
      </c>
      <c r="DF71" s="2" t="b">
        <f>IF(OR(RecData[[#This Row],[WSpd_Avg '[m/s']]]-RecData[[#This Row],[Wind Speed min]]&gt;=$DF$3,RecData[[#This Row],[Wind Speed max]]-RecData[[#This Row],[WSpd_Avg '[m/s']]]&gt;=$DF$2),TRUE,FALSE)</f>
        <v>0</v>
      </c>
      <c r="DG71" s="2" t="b">
        <f>RecData[[#This Row],[Temperature '[°C']]]&lt;=-20</f>
        <v>0</v>
      </c>
      <c r="DH71" s="18" t="b">
        <f>NOT(OR(MOD(RecData[[#This Row],[TIMESTAMP]],1)&gt;0.91632,MOD(RecData[[#This Row],[TIMESTAMP]],1)&lt;0.208681))</f>
        <v>0</v>
      </c>
      <c r="DI71" s="18" t="b">
        <f>RecData[[#This Row],[Overall (dBA)]]-RecData[[#This Row],[L90]]&gt;=$DS$4</f>
        <v>0</v>
      </c>
      <c r="DJ71" s="18" t="b">
        <f>RecData[[#This Row],[Overall (dBA)]]&gt;$DS$2</f>
        <v>0</v>
      </c>
      <c r="DK71" s="18" t="b">
        <f>RecData[[#This Row],[Overall (dBA)]]&lt;$DS$3</f>
        <v>0</v>
      </c>
      <c r="DL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" s="2">
        <f>IF(AND(RecData[[#This Row],[Turbines ON/OFF]] = "OFF", NOT(OR(RecData[[#This Row],[Junk?]]="YES",RecData[[#This Row],[Gust?]],RecData[[#This Row],[Rain?]:[Min SPL Threshold?]]))),1,0)</f>
        <v>0</v>
      </c>
      <c r="DN71" s="16">
        <f>RecData[[#This Row],[dBA Sum]]</f>
        <v>40.285016444853945</v>
      </c>
      <c r="DO71" s="16">
        <f>RecData[[#This Row],[LAF90.0]]</f>
        <v>40.700000000000003</v>
      </c>
      <c r="DP71" s="55">
        <f>IF(AND(RecData[[#This Row],[Useable TON Data?]],RecData[[#This Row],[Turbines ON/OFF]]="ON"),RecData[[#This Row],[dBA Sum]],"")</f>
        <v>40.285016444853945</v>
      </c>
      <c r="DQ71" s="55" t="str">
        <f>IF(AND(RecData[[#This Row],[Useable Background Data?]],RecData[[#This Row],[Turbines ON/OFF]]="OFF"),RecData[[#This Row],[dBA Sum]],"")</f>
        <v/>
      </c>
      <c r="DR71" s="3">
        <f>IF(OR(RecData[[#This Row],[Useable TON Data?]],RecData[[#This Row],[Useable Background Data?]]),ROUND(RecData[[#This Row],[WSpd_Avg '[m/s']]],0),"")</f>
        <v>2</v>
      </c>
      <c r="DS71" s="85">
        <f>(0.00002)^2*(10^(RecData[[#This Row],[Overall (dBA)]]/10))</f>
        <v>4.2713153437498719E-6</v>
      </c>
    </row>
    <row r="72" spans="1:123" ht="15" x14ac:dyDescent="0.25">
      <c r="A72" s="3" t="s">
        <v>249</v>
      </c>
      <c r="B72" s="12">
        <v>43252.136805555558</v>
      </c>
      <c r="C72" s="3"/>
      <c r="D72" s="3">
        <v>42.4</v>
      </c>
      <c r="E72" s="3"/>
      <c r="F72" s="3"/>
      <c r="G72" s="3"/>
      <c r="H72" s="3"/>
      <c r="I72" s="3"/>
      <c r="J72" s="3"/>
      <c r="K72" s="3">
        <v>40.9</v>
      </c>
      <c r="L72" s="3"/>
      <c r="M72" s="3"/>
      <c r="N72" s="3">
        <v>166.5</v>
      </c>
      <c r="O72" s="3"/>
      <c r="P72" s="3"/>
      <c r="Q72" s="3">
        <v>1.39</v>
      </c>
      <c r="R72" s="3">
        <v>0.6</v>
      </c>
      <c r="S72" s="3">
        <v>2.2000000000000002</v>
      </c>
      <c r="T72" s="3">
        <v>7.9</v>
      </c>
      <c r="U72" s="3">
        <v>87.8</v>
      </c>
      <c r="V72" s="3">
        <v>964.7</v>
      </c>
      <c r="W72" s="3">
        <v>0</v>
      </c>
      <c r="X72" s="3">
        <v>48.4</v>
      </c>
      <c r="Y72" s="3">
        <v>47.7</v>
      </c>
      <c r="Z72" s="3">
        <v>46.5</v>
      </c>
      <c r="AA72" s="3">
        <v>42.6</v>
      </c>
      <c r="AB72" s="3">
        <v>37.700000000000003</v>
      </c>
      <c r="AC72" s="3">
        <v>37.5</v>
      </c>
      <c r="AD72" s="3">
        <v>40.299999999999997</v>
      </c>
      <c r="AE72" s="3">
        <v>41.7</v>
      </c>
      <c r="AF72" s="3">
        <v>44.3</v>
      </c>
      <c r="AG72" s="3">
        <v>39.799999999999997</v>
      </c>
      <c r="AH72" s="3">
        <v>37.700000000000003</v>
      </c>
      <c r="AI72" s="3">
        <v>38.200000000000003</v>
      </c>
      <c r="AJ72" s="3">
        <v>36.9</v>
      </c>
      <c r="AK72" s="3">
        <v>35.4</v>
      </c>
      <c r="AL72" s="3">
        <v>33.5</v>
      </c>
      <c r="AM72" s="3">
        <v>33</v>
      </c>
      <c r="AN72" s="3">
        <v>31.7</v>
      </c>
      <c r="AO72" s="3">
        <v>29.5</v>
      </c>
      <c r="AP72" s="3">
        <v>27.1</v>
      </c>
      <c r="AQ72" s="3">
        <v>26.1</v>
      </c>
      <c r="AR72" s="3">
        <v>23.9</v>
      </c>
      <c r="AS72" s="3">
        <v>29.9</v>
      </c>
      <c r="AT72" s="3">
        <v>35.799999999999997</v>
      </c>
      <c r="AU72" s="3">
        <v>17.899999999999999</v>
      </c>
      <c r="AV72" s="3">
        <v>15.8</v>
      </c>
      <c r="AW72" s="3">
        <v>14.1</v>
      </c>
      <c r="AX72" s="3">
        <v>11</v>
      </c>
      <c r="AY72" s="3">
        <v>10.1</v>
      </c>
      <c r="AZ72" s="3">
        <v>0</v>
      </c>
      <c r="BA72" s="3">
        <v>0</v>
      </c>
      <c r="BB72" s="3">
        <v>0</v>
      </c>
      <c r="BC72" s="3">
        <v>42.387506560875266</v>
      </c>
      <c r="BD72" s="3">
        <v>48.412493439124731</v>
      </c>
      <c r="BE72" s="3">
        <v>47.712493439124728</v>
      </c>
      <c r="BF72" s="3">
        <v>45.27249343912473</v>
      </c>
      <c r="BG72" s="3">
        <v>41.699160105791407</v>
      </c>
      <c r="BH72" s="3">
        <v>36.939160105791402</v>
      </c>
      <c r="BI72" s="3">
        <v>37.152493439124726</v>
      </c>
      <c r="BJ72" s="3">
        <v>40.745826772458059</v>
      </c>
      <c r="BK72" s="3">
        <v>42.0191601057914</v>
      </c>
      <c r="BL72" s="3">
        <v>44.192493439124732</v>
      </c>
      <c r="BM72" s="3">
        <v>39.825826772458072</v>
      </c>
      <c r="BN72" s="3">
        <v>38.009160105791409</v>
      </c>
      <c r="BO72" s="3">
        <v>37.875826772458069</v>
      </c>
      <c r="BP72" s="3">
        <v>36.29249343912474</v>
      </c>
      <c r="BQ72" s="3">
        <v>35.209160105791398</v>
      </c>
      <c r="BR72" s="3">
        <v>33.635826772458074</v>
      </c>
      <c r="BS72" s="3">
        <v>32.939160105791402</v>
      </c>
      <c r="BT72" s="3">
        <v>31.835826772458063</v>
      </c>
      <c r="BU72" s="3">
        <v>29.602493439124743</v>
      </c>
      <c r="BV72" s="3">
        <v>26.919160105791406</v>
      </c>
      <c r="BW72" s="3">
        <v>26.452493439124737</v>
      </c>
      <c r="BX72" s="3">
        <v>24.172493439124736</v>
      </c>
      <c r="BY72" s="3">
        <v>29.992493439124729</v>
      </c>
      <c r="BZ72" s="3">
        <v>36.02249343912473</v>
      </c>
      <c r="CA72" s="3">
        <v>18.222493439124719</v>
      </c>
      <c r="CB72" s="3">
        <v>15.559160105791399</v>
      </c>
      <c r="CC72" s="3">
        <v>14.072493439124727</v>
      </c>
      <c r="CD72" s="3">
        <v>10.279160105791405</v>
      </c>
      <c r="CE72" s="3">
        <v>9.5724934391247274</v>
      </c>
      <c r="CF72" s="3">
        <v>-0.91417322754193719</v>
      </c>
      <c r="CG72" s="3">
        <v>-1.4475065608752686</v>
      </c>
      <c r="CH72" s="3">
        <v>-2.5241732275419366</v>
      </c>
      <c r="CI72" s="13">
        <f>[1]!dbasum(RecData[[#This Row],[20]:[2000]],RecData[[#Headers],[20]:[2000]])</f>
        <v>40.315288937990729</v>
      </c>
      <c r="CJ72" s="14">
        <v>742</v>
      </c>
      <c r="CK72" s="15" t="s">
        <v>249</v>
      </c>
      <c r="CL72" s="15">
        <f>RecData[[#This Row],[Start Time]]</f>
        <v>43252.136805555558</v>
      </c>
      <c r="CM72" s="16">
        <f>RecData[[#This Row],[Wind Speed avg]]</f>
        <v>1.39</v>
      </c>
      <c r="CN72" s="16">
        <f>RecData[[#This Row],[Wind Dir. avg]]</f>
        <v>166.5</v>
      </c>
      <c r="CO72" s="16">
        <f>RecData[[#This Row],[Amb. Humidity]]</f>
        <v>87.8</v>
      </c>
      <c r="CP72" s="16">
        <f>RecData[[#This Row],[Amb. Temperature]]</f>
        <v>7.9</v>
      </c>
      <c r="CQ72" s="17">
        <f>RecData[[#This Row],[Amb. Rain Gauge]]</f>
        <v>0</v>
      </c>
      <c r="CR72" s="97" t="s">
        <v>1</v>
      </c>
      <c r="CS72" s="97" t="s">
        <v>49</v>
      </c>
      <c r="CT72" s="98">
        <v>1611.112061</v>
      </c>
      <c r="CU72" s="98">
        <v>24.000202178955</v>
      </c>
      <c r="CV72" s="98">
        <v>10.3374776840209</v>
      </c>
      <c r="CW72" s="98">
        <v>15.3033695220947</v>
      </c>
      <c r="CX72" s="97"/>
      <c r="CY72" s="99"/>
      <c r="CZ72" s="2" t="b">
        <f>IF($DP$1="YES",IF(RecData[[#This Row],[Power (kW)]]&gt;=$CR$3, TRUE,FALSE),TRUE)</f>
        <v>1</v>
      </c>
      <c r="DA72" s="16">
        <f>MIN(MOD(180-ABS(ABS($DA$1-RecData[Yaw Angle (°)])-180),360),MOD(180-ABS(ABS($DB$1-RecData[Yaw Angle (°)])-180),360))</f>
        <v>16.470275401267457</v>
      </c>
      <c r="DB72" s="2" t="str">
        <f>IF($DP$2="None","None",IF(RecData[[#This Row],[Relative Wind Direction]]&lt;=45,"DW",IF(RecData[[#This Row],[Relative Wind Direction]]&lt;=135,"CW","UW")))</f>
        <v>DW</v>
      </c>
      <c r="DC72" s="61" t="e">
        <f>IF($CL72-#REF!&gt;1/24,#REF!,IF(SUM($CQ70:$CQ72)&gt;$DS$1,$DS$5,#REF!-1))</f>
        <v>#REF!</v>
      </c>
      <c r="DD72" s="61" t="e">
        <f>IF(#REF!-$CL72&gt;1/24,#REF!,IF(SUM($CQ70:$CQ72)&gt;$DS$1,$DS$6,DD71-1))</f>
        <v>#REF!</v>
      </c>
      <c r="DE72" s="18" t="b">
        <v>0</v>
      </c>
      <c r="DF72" s="2" t="b">
        <f>IF(OR(RecData[[#This Row],[WSpd_Avg '[m/s']]]-RecData[[#This Row],[Wind Speed min]]&gt;=$DF$3,RecData[[#This Row],[Wind Speed max]]-RecData[[#This Row],[WSpd_Avg '[m/s']]]&gt;=$DF$2),TRUE,FALSE)</f>
        <v>0</v>
      </c>
      <c r="DG72" s="2" t="b">
        <f>RecData[[#This Row],[Temperature '[°C']]]&lt;=-20</f>
        <v>0</v>
      </c>
      <c r="DH72" s="18" t="b">
        <f>NOT(OR(MOD(RecData[[#This Row],[TIMESTAMP]],1)&gt;0.91632,MOD(RecData[[#This Row],[TIMESTAMP]],1)&lt;0.208681))</f>
        <v>0</v>
      </c>
      <c r="DI72" s="18" t="b">
        <f>RecData[[#This Row],[Overall (dBA)]]-RecData[[#This Row],[L90]]&gt;=$DS$4</f>
        <v>0</v>
      </c>
      <c r="DJ72" s="18" t="b">
        <f>RecData[[#This Row],[Overall (dBA)]]&gt;$DS$2</f>
        <v>0</v>
      </c>
      <c r="DK72" s="18" t="b">
        <f>RecData[[#This Row],[Overall (dBA)]]&lt;$DS$3</f>
        <v>0</v>
      </c>
      <c r="DL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2" s="2">
        <f>IF(AND(RecData[[#This Row],[Turbines ON/OFF]] = "OFF", NOT(OR(RecData[[#This Row],[Junk?]]="YES",RecData[[#This Row],[Gust?]],RecData[[#This Row],[Rain?]:[Min SPL Threshold?]]))),1,0)</f>
        <v>0</v>
      </c>
      <c r="DN72" s="16">
        <f>RecData[[#This Row],[dBA Sum]]</f>
        <v>40.315288937990729</v>
      </c>
      <c r="DO72" s="16">
        <f>RecData[[#This Row],[LAF90.0]]</f>
        <v>40.9</v>
      </c>
      <c r="DP72" s="55">
        <f>IF(AND(RecData[[#This Row],[Useable TON Data?]],RecData[[#This Row],[Turbines ON/OFF]]="ON"),RecData[[#This Row],[dBA Sum]],"")</f>
        <v>40.315288937990729</v>
      </c>
      <c r="DQ72" s="55" t="str">
        <f>IF(AND(RecData[[#This Row],[Useable Background Data?]],RecData[[#This Row],[Turbines ON/OFF]]="OFF"),RecData[[#This Row],[dBA Sum]],"")</f>
        <v/>
      </c>
      <c r="DR72" s="3">
        <f>IF(OR(RecData[[#This Row],[Useable TON Data?]],RecData[[#This Row],[Useable Background Data?]]),ROUND(RecData[[#This Row],[WSpd_Avg '[m/s']]],0),"")</f>
        <v>1</v>
      </c>
      <c r="DS72" s="85">
        <f>(0.00002)^2*(10^(RecData[[#This Row],[Overall (dBA)]]/10))</f>
        <v>4.30119255224636E-6</v>
      </c>
    </row>
    <row r="73" spans="1:123" ht="15" x14ac:dyDescent="0.25">
      <c r="A73" s="3" t="s">
        <v>249</v>
      </c>
      <c r="B73" s="12">
        <v>43252.140277777777</v>
      </c>
      <c r="C73" s="3"/>
      <c r="D73" s="3">
        <v>42</v>
      </c>
      <c r="E73" s="3"/>
      <c r="F73" s="3"/>
      <c r="G73" s="3"/>
      <c r="H73" s="3"/>
      <c r="I73" s="3"/>
      <c r="J73" s="3"/>
      <c r="K73" s="3">
        <v>39.5</v>
      </c>
      <c r="L73" s="3"/>
      <c r="M73" s="3"/>
      <c r="N73" s="3">
        <v>188.8</v>
      </c>
      <c r="O73" s="3"/>
      <c r="P73" s="3"/>
      <c r="Q73" s="3">
        <v>1.49</v>
      </c>
      <c r="R73" s="3">
        <v>0.1</v>
      </c>
      <c r="S73" s="3">
        <v>2.9</v>
      </c>
      <c r="T73" s="3">
        <v>7.8</v>
      </c>
      <c r="U73" s="3">
        <v>87.7</v>
      </c>
      <c r="V73" s="3">
        <v>964.7</v>
      </c>
      <c r="W73" s="3">
        <v>0</v>
      </c>
      <c r="X73" s="3">
        <v>46.6</v>
      </c>
      <c r="Y73" s="3">
        <v>47.1</v>
      </c>
      <c r="Z73" s="3">
        <v>45.9</v>
      </c>
      <c r="AA73" s="3">
        <v>40.4</v>
      </c>
      <c r="AB73" s="3">
        <v>37.799999999999997</v>
      </c>
      <c r="AC73" s="3">
        <v>36.1</v>
      </c>
      <c r="AD73" s="3">
        <v>38.700000000000003</v>
      </c>
      <c r="AE73" s="3">
        <v>40.700000000000003</v>
      </c>
      <c r="AF73" s="3">
        <v>43.6</v>
      </c>
      <c r="AG73" s="3">
        <v>37.299999999999997</v>
      </c>
      <c r="AH73" s="3">
        <v>36.6</v>
      </c>
      <c r="AI73" s="3">
        <v>36.6</v>
      </c>
      <c r="AJ73" s="3">
        <v>35.5</v>
      </c>
      <c r="AK73" s="3">
        <v>33.799999999999997</v>
      </c>
      <c r="AL73" s="3">
        <v>32</v>
      </c>
      <c r="AM73" s="3">
        <v>31.6</v>
      </c>
      <c r="AN73" s="3">
        <v>30.7</v>
      </c>
      <c r="AO73" s="3">
        <v>28.7</v>
      </c>
      <c r="AP73" s="3">
        <v>27.1</v>
      </c>
      <c r="AQ73" s="3">
        <v>26.1</v>
      </c>
      <c r="AR73" s="3">
        <v>24.3</v>
      </c>
      <c r="AS73" s="3">
        <v>31.5</v>
      </c>
      <c r="AT73" s="3">
        <v>35.9</v>
      </c>
      <c r="AU73" s="3">
        <v>19.100000000000001</v>
      </c>
      <c r="AV73" s="3">
        <v>17.399999999999999</v>
      </c>
      <c r="AW73" s="3">
        <v>16.2</v>
      </c>
      <c r="AX73" s="3">
        <v>12.7</v>
      </c>
      <c r="AY73" s="3">
        <v>11.7</v>
      </c>
      <c r="AZ73" s="3">
        <v>0</v>
      </c>
      <c r="BA73" s="3">
        <v>0</v>
      </c>
      <c r="BB73" s="3">
        <v>0</v>
      </c>
      <c r="BC73" s="3">
        <v>41.950682236490664</v>
      </c>
      <c r="BD73" s="3">
        <v>46.64931776350933</v>
      </c>
      <c r="BE73" s="3">
        <v>47.14931776350933</v>
      </c>
      <c r="BF73" s="3">
        <v>44.709317763509333</v>
      </c>
      <c r="BG73" s="3">
        <v>39.535984430176001</v>
      </c>
      <c r="BH73" s="3">
        <v>37.075984430176007</v>
      </c>
      <c r="BI73" s="3">
        <v>35.789317763509345</v>
      </c>
      <c r="BJ73" s="3">
        <v>39.182651096842662</v>
      </c>
      <c r="BK73" s="3">
        <v>41.055984430175997</v>
      </c>
      <c r="BL73" s="3">
        <v>43.52931776350934</v>
      </c>
      <c r="BM73" s="3">
        <v>37.362651096842669</v>
      </c>
      <c r="BN73" s="3">
        <v>36.945984430176011</v>
      </c>
      <c r="BO73" s="3">
        <v>36.312651096842671</v>
      </c>
      <c r="BP73" s="3">
        <v>34.929317763509331</v>
      </c>
      <c r="BQ73" s="3">
        <v>33.645984430176</v>
      </c>
      <c r="BR73" s="3">
        <v>32.172651096842671</v>
      </c>
      <c r="BS73" s="3">
        <v>31.575984430176007</v>
      </c>
      <c r="BT73" s="3">
        <v>30.872651096842674</v>
      </c>
      <c r="BU73" s="3">
        <v>28.839317763509342</v>
      </c>
      <c r="BV73" s="3">
        <v>26.955984430176002</v>
      </c>
      <c r="BW73" s="3">
        <v>26.489317763509334</v>
      </c>
      <c r="BX73" s="3">
        <v>24.609317763509338</v>
      </c>
      <c r="BY73" s="3">
        <v>31.629317763509334</v>
      </c>
      <c r="BZ73" s="3">
        <v>36.159317763509335</v>
      </c>
      <c r="CA73" s="3">
        <v>19.459317763509333</v>
      </c>
      <c r="CB73" s="3">
        <v>17.195984430175997</v>
      </c>
      <c r="CC73" s="3">
        <v>16.209317763509333</v>
      </c>
      <c r="CD73" s="3">
        <v>12.015984430176005</v>
      </c>
      <c r="CE73" s="3">
        <v>11.209317763509333</v>
      </c>
      <c r="CF73" s="3">
        <v>-0.87734890315733338</v>
      </c>
      <c r="CG73" s="3">
        <v>-1.4106822364906648</v>
      </c>
      <c r="CH73" s="3">
        <v>-2.4873489031573328</v>
      </c>
      <c r="CI73" s="13">
        <f>[1]!dbasum(RecData[[#This Row],[20]:[2000]],RecData[[#Headers],[20]:[2000]])</f>
        <v>39.267682928590744</v>
      </c>
      <c r="CJ73" s="14">
        <v>747</v>
      </c>
      <c r="CK73" s="15" t="s">
        <v>249</v>
      </c>
      <c r="CL73" s="15">
        <f>RecData[[#This Row],[Start Time]]</f>
        <v>43252.140277777777</v>
      </c>
      <c r="CM73" s="16">
        <f>RecData[[#This Row],[Wind Speed avg]]</f>
        <v>1.49</v>
      </c>
      <c r="CN73" s="16">
        <f>RecData[[#This Row],[Wind Dir. avg]]</f>
        <v>188.8</v>
      </c>
      <c r="CO73" s="16">
        <f>RecData[[#This Row],[Amb. Humidity]]</f>
        <v>87.7</v>
      </c>
      <c r="CP73" s="16">
        <f>RecData[[#This Row],[Amb. Temperature]]</f>
        <v>7.8</v>
      </c>
      <c r="CQ73" s="17">
        <f>RecData[[#This Row],[Amb. Rain Gauge]]</f>
        <v>0</v>
      </c>
      <c r="CR73" s="97" t="s">
        <v>1</v>
      </c>
      <c r="CS73" s="97" t="s">
        <v>49</v>
      </c>
      <c r="CT73" s="98">
        <v>1620.1687010000001</v>
      </c>
      <c r="CU73" s="98">
        <v>24.000202178955</v>
      </c>
      <c r="CV73" s="98">
        <v>11.208792686462401</v>
      </c>
      <c r="CW73" s="98">
        <v>15.2606954574584</v>
      </c>
      <c r="CX73" s="97"/>
      <c r="CY73" s="99"/>
      <c r="CZ73" s="2" t="b">
        <f>IF($DP$1="YES",IF(RecData[[#This Row],[Power (kW)]]&gt;=$CR$3, TRUE,FALSE),TRUE)</f>
        <v>1</v>
      </c>
      <c r="DA73" s="16">
        <f>MIN(MOD(180-ABS(ABS($DA$1-RecData[Yaw Angle (°)])-180),360),MOD(180-ABS(ABS($DB$1-RecData[Yaw Angle (°)])-180),360))</f>
        <v>16.470275401267457</v>
      </c>
      <c r="DB73" s="2" t="str">
        <f>IF($DP$2="None","None",IF(RecData[[#This Row],[Relative Wind Direction]]&lt;=45,"DW",IF(RecData[[#This Row],[Relative Wind Direction]]&lt;=135,"CW","UW")))</f>
        <v>DW</v>
      </c>
      <c r="DC73" s="61" t="e">
        <f>IF($CL73-#REF!&gt;1/24,#REF!,IF(SUM($CQ73:$CQ73)&gt;$DS$1,$DS$5,DC74-1))</f>
        <v>#REF!</v>
      </c>
      <c r="DD73" s="61" t="e">
        <f>IF($CL74-$CL73&gt;1/24,#REF!,IF(SUM($CQ73:$CQ73)&gt;$DS$1,$DS$6,#REF!-1))</f>
        <v>#REF!</v>
      </c>
      <c r="DE73" s="18" t="b">
        <v>0</v>
      </c>
      <c r="DF73" s="2" t="b">
        <f>IF(OR(RecData[[#This Row],[WSpd_Avg '[m/s']]]-RecData[[#This Row],[Wind Speed min]]&gt;=$DF$3,RecData[[#This Row],[Wind Speed max]]-RecData[[#This Row],[WSpd_Avg '[m/s']]]&gt;=$DF$2),TRUE,FALSE)</f>
        <v>0</v>
      </c>
      <c r="DG73" s="2" t="b">
        <f>RecData[[#This Row],[Temperature '[°C']]]&lt;=-20</f>
        <v>0</v>
      </c>
      <c r="DH73" s="18" t="b">
        <f>NOT(OR(MOD(RecData[[#This Row],[TIMESTAMP]],1)&gt;0.91632,MOD(RecData[[#This Row],[TIMESTAMP]],1)&lt;0.208681))</f>
        <v>0</v>
      </c>
      <c r="DI73" s="18" t="b">
        <f>RecData[[#This Row],[Overall (dBA)]]-RecData[[#This Row],[L90]]&gt;=$DS$4</f>
        <v>0</v>
      </c>
      <c r="DJ73" s="18" t="b">
        <f>RecData[[#This Row],[Overall (dBA)]]&gt;$DS$2</f>
        <v>0</v>
      </c>
      <c r="DK73" s="18" t="b">
        <f>RecData[[#This Row],[Overall (dBA)]]&lt;$DS$3</f>
        <v>0</v>
      </c>
      <c r="DL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3" s="2">
        <f>IF(AND(RecData[[#This Row],[Turbines ON/OFF]] = "OFF", NOT(OR(RecData[[#This Row],[Junk?]]="YES",RecData[[#This Row],[Gust?]],RecData[[#This Row],[Rain?]:[Min SPL Threshold?]]))),1,0)</f>
        <v>0</v>
      </c>
      <c r="DN73" s="16">
        <f>RecData[[#This Row],[dBA Sum]]</f>
        <v>39.267682928590744</v>
      </c>
      <c r="DO73" s="16">
        <f>RecData[[#This Row],[LAF90.0]]</f>
        <v>39.5</v>
      </c>
      <c r="DP73" s="55">
        <f>IF(AND(RecData[[#This Row],[Useable TON Data?]],RecData[[#This Row],[Turbines ON/OFF]]="ON"),RecData[[#This Row],[dBA Sum]],"")</f>
        <v>39.267682928590744</v>
      </c>
      <c r="DQ73" s="55" t="str">
        <f>IF(AND(RecData[[#This Row],[Useable Background Data?]],RecData[[#This Row],[Turbines ON/OFF]]="OFF"),RecData[[#This Row],[dBA Sum]],"")</f>
        <v/>
      </c>
      <c r="DR73" s="3">
        <f>IF(OR(RecData[[#This Row],[Useable TON Data?]],RecData[[#This Row],[Useable Background Data?]]),ROUND(RecData[[#This Row],[WSpd_Avg '[m/s']]],0),"")</f>
        <v>1</v>
      </c>
      <c r="DS73" s="85">
        <f>(0.00002)^2*(10^(RecData[[#This Row],[Overall (dBA)]]/10))</f>
        <v>3.379311950806659E-6</v>
      </c>
    </row>
    <row r="74" spans="1:123" ht="15" x14ac:dyDescent="0.25">
      <c r="A74" s="3" t="s">
        <v>249</v>
      </c>
      <c r="B74" s="12">
        <v>43252.140972222223</v>
      </c>
      <c r="C74" s="3"/>
      <c r="D74" s="3">
        <v>42.5</v>
      </c>
      <c r="E74" s="3"/>
      <c r="F74" s="3"/>
      <c r="G74" s="3"/>
      <c r="H74" s="3"/>
      <c r="I74" s="3"/>
      <c r="J74" s="3"/>
      <c r="K74" s="3">
        <v>40.299999999999997</v>
      </c>
      <c r="L74" s="3"/>
      <c r="M74" s="3"/>
      <c r="N74" s="3">
        <v>138.19999999999999</v>
      </c>
      <c r="O74" s="3"/>
      <c r="P74" s="3"/>
      <c r="Q74" s="3">
        <v>1.35</v>
      </c>
      <c r="R74" s="3">
        <v>0.5</v>
      </c>
      <c r="S74" s="3">
        <v>2.8</v>
      </c>
      <c r="T74" s="3">
        <v>7.8</v>
      </c>
      <c r="U74" s="3">
        <v>88.1</v>
      </c>
      <c r="V74" s="3">
        <v>964.7</v>
      </c>
      <c r="W74" s="3">
        <v>0</v>
      </c>
      <c r="X74" s="3">
        <v>47.2</v>
      </c>
      <c r="Y74" s="3">
        <v>46.8</v>
      </c>
      <c r="Z74" s="3">
        <v>45.4</v>
      </c>
      <c r="AA74" s="3">
        <v>41</v>
      </c>
      <c r="AB74" s="3">
        <v>37.4</v>
      </c>
      <c r="AC74" s="3">
        <v>35.200000000000003</v>
      </c>
      <c r="AD74" s="3">
        <v>38.700000000000003</v>
      </c>
      <c r="AE74" s="3">
        <v>39.799999999999997</v>
      </c>
      <c r="AF74" s="3">
        <v>43.1</v>
      </c>
      <c r="AG74" s="3">
        <v>37.299999999999997</v>
      </c>
      <c r="AH74" s="3">
        <v>36.1</v>
      </c>
      <c r="AI74" s="3">
        <v>36.6</v>
      </c>
      <c r="AJ74" s="3">
        <v>35.5</v>
      </c>
      <c r="AK74" s="3">
        <v>34.200000000000003</v>
      </c>
      <c r="AL74" s="3">
        <v>32.4</v>
      </c>
      <c r="AM74" s="3">
        <v>31.7</v>
      </c>
      <c r="AN74" s="3">
        <v>30.7</v>
      </c>
      <c r="AO74" s="3">
        <v>29</v>
      </c>
      <c r="AP74" s="3">
        <v>27.5</v>
      </c>
      <c r="AQ74" s="3">
        <v>26.6</v>
      </c>
      <c r="AR74" s="3">
        <v>25.4</v>
      </c>
      <c r="AS74" s="3">
        <v>32.4</v>
      </c>
      <c r="AT74" s="3">
        <v>36.799999999999997</v>
      </c>
      <c r="AU74" s="3">
        <v>19.7</v>
      </c>
      <c r="AV74" s="3">
        <v>18.2</v>
      </c>
      <c r="AW74" s="3">
        <v>16.5</v>
      </c>
      <c r="AX74" s="3">
        <v>12.6</v>
      </c>
      <c r="AY74" s="3">
        <v>11.5</v>
      </c>
      <c r="AZ74" s="3">
        <v>0</v>
      </c>
      <c r="BA74" s="3">
        <v>0</v>
      </c>
      <c r="BB74" s="3">
        <v>0</v>
      </c>
      <c r="BC74" s="3">
        <v>42.462742628920935</v>
      </c>
      <c r="BD74" s="3">
        <v>47.237257371079068</v>
      </c>
      <c r="BE74" s="3">
        <v>46.837257371079062</v>
      </c>
      <c r="BF74" s="3">
        <v>44.197257371079061</v>
      </c>
      <c r="BG74" s="3">
        <v>40.123924037745738</v>
      </c>
      <c r="BH74" s="3">
        <v>36.66392403774573</v>
      </c>
      <c r="BI74" s="3">
        <v>34.877257371079068</v>
      </c>
      <c r="BJ74" s="3">
        <v>39.17059070441239</v>
      </c>
      <c r="BK74" s="3">
        <v>40.14392403774572</v>
      </c>
      <c r="BL74" s="3">
        <v>43.017257371079069</v>
      </c>
      <c r="BM74" s="3">
        <v>37.350590704412397</v>
      </c>
      <c r="BN74" s="3">
        <v>36.43392403774574</v>
      </c>
      <c r="BO74" s="3">
        <v>36.3005907044124</v>
      </c>
      <c r="BP74" s="3">
        <v>34.91725737107906</v>
      </c>
      <c r="BQ74" s="3">
        <v>34.033924037745734</v>
      </c>
      <c r="BR74" s="3">
        <v>32.560590704412405</v>
      </c>
      <c r="BS74" s="3">
        <v>31.66392403774573</v>
      </c>
      <c r="BT74" s="3">
        <v>30.860590704412402</v>
      </c>
      <c r="BU74" s="3">
        <v>29.127257371079068</v>
      </c>
      <c r="BV74" s="3">
        <v>27.343924037745737</v>
      </c>
      <c r="BW74" s="3">
        <v>26.977257371079062</v>
      </c>
      <c r="BX74" s="3">
        <v>25.697257371079061</v>
      </c>
      <c r="BY74" s="3">
        <v>32.517257371079054</v>
      </c>
      <c r="BZ74" s="3">
        <v>37.047257371079056</v>
      </c>
      <c r="CA74" s="3">
        <v>20.047257371079056</v>
      </c>
      <c r="CB74" s="3">
        <v>17.98392403774573</v>
      </c>
      <c r="CC74" s="3">
        <v>16.497257371079058</v>
      </c>
      <c r="CD74" s="3">
        <v>11.903924037745739</v>
      </c>
      <c r="CE74" s="3">
        <v>10.997257371079066</v>
      </c>
      <c r="CF74" s="3">
        <v>-0.88940929558760473</v>
      </c>
      <c r="CG74" s="3">
        <v>-1.4227426289209362</v>
      </c>
      <c r="CH74" s="3">
        <v>-2.4994092955876042</v>
      </c>
      <c r="CI74" s="13">
        <f>[1]!dbasum(RecData[[#This Row],[20]:[2000]],RecData[[#Headers],[20]:[2000]])</f>
        <v>39.419190467499206</v>
      </c>
      <c r="CJ74" s="14">
        <v>748</v>
      </c>
      <c r="CK74" s="15" t="s">
        <v>249</v>
      </c>
      <c r="CL74" s="15">
        <f>RecData[[#This Row],[Start Time]]</f>
        <v>43252.140972222223</v>
      </c>
      <c r="CM74" s="16">
        <f>RecData[[#This Row],[Wind Speed avg]]</f>
        <v>1.35</v>
      </c>
      <c r="CN74" s="16">
        <f>RecData[[#This Row],[Wind Dir. avg]]</f>
        <v>138.19999999999999</v>
      </c>
      <c r="CO74" s="16">
        <f>RecData[[#This Row],[Amb. Humidity]]</f>
        <v>88.1</v>
      </c>
      <c r="CP74" s="16">
        <f>RecData[[#This Row],[Amb. Temperature]]</f>
        <v>7.8</v>
      </c>
      <c r="CQ74" s="17">
        <f>RecData[[#This Row],[Amb. Rain Gauge]]</f>
        <v>0</v>
      </c>
      <c r="CR74" s="97" t="s">
        <v>1</v>
      </c>
      <c r="CS74" s="97" t="s">
        <v>49</v>
      </c>
      <c r="CT74" s="98">
        <v>1620.1687010000001</v>
      </c>
      <c r="CU74" s="98">
        <v>24.000202178955</v>
      </c>
      <c r="CV74" s="98">
        <v>11.208792686462401</v>
      </c>
      <c r="CW74" s="98">
        <v>15.2606954574584</v>
      </c>
      <c r="CX74" s="97"/>
      <c r="CY74" s="99"/>
      <c r="CZ74" s="2" t="b">
        <f>IF($DP$1="YES",IF(RecData[[#This Row],[Power (kW)]]&gt;=$CR$3, TRUE,FALSE),TRUE)</f>
        <v>1</v>
      </c>
      <c r="DA74" s="16">
        <f>MIN(MOD(180-ABS(ABS($DA$1-RecData[Yaw Angle (°)])-180),360),MOD(180-ABS(ABS($DB$1-RecData[Yaw Angle (°)])-180),360))</f>
        <v>16.470275401267457</v>
      </c>
      <c r="DB74" s="2" t="str">
        <f>IF($DP$2="None","None",IF(RecData[[#This Row],[Relative Wind Direction]]&lt;=45,"DW",IF(RecData[[#This Row],[Relative Wind Direction]]&lt;=135,"CW","UW")))</f>
        <v>DW</v>
      </c>
      <c r="DC74" s="61">
        <v>-1</v>
      </c>
      <c r="DD74" s="61">
        <v>-1</v>
      </c>
      <c r="DE74" s="18" t="b">
        <v>0</v>
      </c>
      <c r="DF74" s="2" t="b">
        <f>IF(OR(RecData[[#This Row],[WSpd_Avg '[m/s']]]-RecData[[#This Row],[Wind Speed min]]&gt;=$DF$3,RecData[[#This Row],[Wind Speed max]]-RecData[[#This Row],[WSpd_Avg '[m/s']]]&gt;=$DF$2),TRUE,FALSE)</f>
        <v>0</v>
      </c>
      <c r="DG74" s="2" t="b">
        <f>RecData[[#This Row],[Temperature '[°C']]]&lt;=-20</f>
        <v>0</v>
      </c>
      <c r="DH74" s="18" t="b">
        <f>NOT(OR(MOD(RecData[[#This Row],[TIMESTAMP]],1)&gt;0.91632,MOD(RecData[[#This Row],[TIMESTAMP]],1)&lt;0.208681))</f>
        <v>0</v>
      </c>
      <c r="DI74" s="18" t="b">
        <f>RecData[[#This Row],[Overall (dBA)]]-RecData[[#This Row],[L90]]&gt;=$DS$4</f>
        <v>0</v>
      </c>
      <c r="DJ74" s="18" t="b">
        <f>RecData[[#This Row],[Overall (dBA)]]&gt;$DS$2</f>
        <v>0</v>
      </c>
      <c r="DK74" s="18" t="b">
        <f>RecData[[#This Row],[Overall (dBA)]]&lt;$DS$3</f>
        <v>0</v>
      </c>
      <c r="DL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4" s="2">
        <f>IF(AND(RecData[[#This Row],[Turbines ON/OFF]] = "OFF", NOT(OR(RecData[[#This Row],[Junk?]]="YES",RecData[[#This Row],[Gust?]],RecData[[#This Row],[Rain?]:[Min SPL Threshold?]]))),1,0)</f>
        <v>0</v>
      </c>
      <c r="DN74" s="16">
        <f>RecData[[#This Row],[dBA Sum]]</f>
        <v>39.419190467499206</v>
      </c>
      <c r="DO74" s="16">
        <f>RecData[[#This Row],[LAF90.0]]</f>
        <v>40.299999999999997</v>
      </c>
      <c r="DP74" s="55">
        <f>IF(AND(RecData[[#This Row],[Useable TON Data?]],RecData[[#This Row],[Turbines ON/OFF]]="ON"),RecData[[#This Row],[dBA Sum]],"")</f>
        <v>39.419190467499206</v>
      </c>
      <c r="DQ74" s="55" t="str">
        <f>IF(AND(RecData[[#This Row],[Useable Background Data?]],RecData[[#This Row],[Turbines ON/OFF]]="OFF"),RecData[[#This Row],[dBA Sum]],"")</f>
        <v/>
      </c>
      <c r="DR74" s="3">
        <f>IF(OR(RecData[[#This Row],[Useable TON Data?]],RecData[[#This Row],[Useable Background Data?]]),ROUND(RecData[[#This Row],[WSpd_Avg '[m/s']]],0),"")</f>
        <v>1</v>
      </c>
      <c r="DS74" s="85">
        <f>(0.00002)^2*(10^(RecData[[#This Row],[Overall (dBA)]]/10))</f>
        <v>3.4992827676929474E-6</v>
      </c>
    </row>
    <row r="75" spans="1:123" ht="15" x14ac:dyDescent="0.25">
      <c r="A75" s="3" t="s">
        <v>249</v>
      </c>
      <c r="B75" s="12">
        <v>43252.142361111109</v>
      </c>
      <c r="C75" s="3"/>
      <c r="D75" s="3">
        <v>42.3</v>
      </c>
      <c r="E75" s="3"/>
      <c r="F75" s="3"/>
      <c r="G75" s="3"/>
      <c r="H75" s="3"/>
      <c r="I75" s="3"/>
      <c r="J75" s="3"/>
      <c r="K75" s="3">
        <v>39.799999999999997</v>
      </c>
      <c r="L75" s="3"/>
      <c r="M75" s="3"/>
      <c r="N75" s="3">
        <v>187.8</v>
      </c>
      <c r="O75" s="3"/>
      <c r="P75" s="3"/>
      <c r="Q75" s="3">
        <v>0.93</v>
      </c>
      <c r="R75" s="3">
        <v>0.1</v>
      </c>
      <c r="S75" s="3">
        <v>2.2000000000000002</v>
      </c>
      <c r="T75" s="3">
        <v>7.7</v>
      </c>
      <c r="U75" s="3">
        <v>88.8</v>
      </c>
      <c r="V75" s="3">
        <v>964.7</v>
      </c>
      <c r="W75" s="3">
        <v>0</v>
      </c>
      <c r="X75" s="3">
        <v>47.3</v>
      </c>
      <c r="Y75" s="3">
        <v>48</v>
      </c>
      <c r="Z75" s="3">
        <v>46.7</v>
      </c>
      <c r="AA75" s="3">
        <v>42.6</v>
      </c>
      <c r="AB75" s="3">
        <v>37.200000000000003</v>
      </c>
      <c r="AC75" s="3">
        <v>36.299999999999997</v>
      </c>
      <c r="AD75" s="3">
        <v>39.700000000000003</v>
      </c>
      <c r="AE75" s="3">
        <v>40.5</v>
      </c>
      <c r="AF75" s="3">
        <v>43.9</v>
      </c>
      <c r="AG75" s="3">
        <v>37.9</v>
      </c>
      <c r="AH75" s="3">
        <v>36.299999999999997</v>
      </c>
      <c r="AI75" s="3">
        <v>36.5</v>
      </c>
      <c r="AJ75" s="3">
        <v>35.6</v>
      </c>
      <c r="AK75" s="3">
        <v>34.4</v>
      </c>
      <c r="AL75" s="3">
        <v>32.9</v>
      </c>
      <c r="AM75" s="3">
        <v>32.700000000000003</v>
      </c>
      <c r="AN75" s="3">
        <v>31.9</v>
      </c>
      <c r="AO75" s="3">
        <v>30.3</v>
      </c>
      <c r="AP75" s="3">
        <v>28.5</v>
      </c>
      <c r="AQ75" s="3">
        <v>27.6</v>
      </c>
      <c r="AR75" s="3">
        <v>26</v>
      </c>
      <c r="AS75" s="3">
        <v>30.3</v>
      </c>
      <c r="AT75" s="3">
        <v>35.700000000000003</v>
      </c>
      <c r="AU75" s="3">
        <v>20.5</v>
      </c>
      <c r="AV75" s="3">
        <v>18.399999999999999</v>
      </c>
      <c r="AW75" s="3">
        <v>16.3</v>
      </c>
      <c r="AX75" s="3">
        <v>12.2</v>
      </c>
      <c r="AY75" s="3">
        <v>10.7</v>
      </c>
      <c r="AZ75" s="3">
        <v>0</v>
      </c>
      <c r="BA75" s="3">
        <v>0</v>
      </c>
      <c r="BB75" s="3">
        <v>0</v>
      </c>
      <c r="BC75" s="3">
        <v>42.279537556519635</v>
      </c>
      <c r="BD75" s="3">
        <v>47.320462443480359</v>
      </c>
      <c r="BE75" s="3">
        <v>48.020462443480362</v>
      </c>
      <c r="BF75" s="3">
        <v>45.480462443480356</v>
      </c>
      <c r="BG75" s="3">
        <v>41.707129110147029</v>
      </c>
      <c r="BH75" s="3">
        <v>36.447129110147024</v>
      </c>
      <c r="BI75" s="3">
        <v>35.96046244348036</v>
      </c>
      <c r="BJ75" s="3">
        <v>40.153795776813702</v>
      </c>
      <c r="BK75" s="3">
        <v>40.82712911014702</v>
      </c>
      <c r="BL75" s="3">
        <v>43.800462443480363</v>
      </c>
      <c r="BM75" s="3">
        <v>37.933795776813703</v>
      </c>
      <c r="BN75" s="3">
        <v>36.617129110147026</v>
      </c>
      <c r="BO75" s="3">
        <v>36.183795776813703</v>
      </c>
      <c r="BP75" s="3">
        <v>35.000462443480366</v>
      </c>
      <c r="BQ75" s="3">
        <v>34.21712911014702</v>
      </c>
      <c r="BR75" s="3">
        <v>33.043795776813688</v>
      </c>
      <c r="BS75" s="3">
        <v>32.647129110147041</v>
      </c>
      <c r="BT75" s="3">
        <v>32.043795776813688</v>
      </c>
      <c r="BU75" s="3">
        <v>30.410462443480363</v>
      </c>
      <c r="BV75" s="3">
        <v>28.327129110147034</v>
      </c>
      <c r="BW75" s="3">
        <v>27.960462443480374</v>
      </c>
      <c r="BX75" s="3">
        <v>26.280462443480367</v>
      </c>
      <c r="BY75" s="3">
        <v>30.400462443480357</v>
      </c>
      <c r="BZ75" s="3">
        <v>35.930462443480373</v>
      </c>
      <c r="CA75" s="3">
        <v>20.83046244348035</v>
      </c>
      <c r="CB75" s="3">
        <v>18.167129110147023</v>
      </c>
      <c r="CC75" s="3">
        <v>16.28046244348036</v>
      </c>
      <c r="CD75" s="3">
        <v>11.487129110147031</v>
      </c>
      <c r="CE75" s="3">
        <v>10.180462443480359</v>
      </c>
      <c r="CF75" s="3">
        <v>-0.90620422318630744</v>
      </c>
      <c r="CG75" s="3">
        <v>-1.4395375565196389</v>
      </c>
      <c r="CH75" s="3">
        <v>-2.5162042231863069</v>
      </c>
      <c r="CI75" s="13">
        <f>[1]!dbasum(RecData[[#This Row],[20]:[2000]],RecData[[#Headers],[20]:[2000]])</f>
        <v>40.125701058119915</v>
      </c>
      <c r="CJ75" s="14">
        <v>750</v>
      </c>
      <c r="CK75" s="15" t="s">
        <v>249</v>
      </c>
      <c r="CL75" s="15">
        <f>RecData[[#This Row],[Start Time]]</f>
        <v>43252.142361111109</v>
      </c>
      <c r="CM75" s="16">
        <f>RecData[[#This Row],[Wind Speed avg]]</f>
        <v>0.93</v>
      </c>
      <c r="CN75" s="16">
        <f>RecData[[#This Row],[Wind Dir. avg]]</f>
        <v>187.8</v>
      </c>
      <c r="CO75" s="16">
        <f>RecData[[#This Row],[Amb. Humidity]]</f>
        <v>88.8</v>
      </c>
      <c r="CP75" s="16">
        <f>RecData[[#This Row],[Amb. Temperature]]</f>
        <v>7.7</v>
      </c>
      <c r="CQ75" s="17">
        <f>RecData[[#This Row],[Amb. Rain Gauge]]</f>
        <v>0</v>
      </c>
      <c r="CR75" s="97" t="s">
        <v>1</v>
      </c>
      <c r="CS75" s="97" t="s">
        <v>49</v>
      </c>
      <c r="CT75" s="98">
        <v>1620.1687010000001</v>
      </c>
      <c r="CU75" s="98">
        <v>24.000202178955</v>
      </c>
      <c r="CV75" s="98">
        <v>11.208792686462401</v>
      </c>
      <c r="CW75" s="98">
        <v>15.2606954574584</v>
      </c>
      <c r="CX75" s="97"/>
      <c r="CY75" s="99"/>
      <c r="CZ75" s="2" t="b">
        <f>IF($DP$1="YES",IF(RecData[[#This Row],[Power (kW)]]&gt;=$CR$3, TRUE,FALSE),TRUE)</f>
        <v>1</v>
      </c>
      <c r="DA75" s="16">
        <f>MIN(MOD(180-ABS(ABS($DA$1-RecData[Yaw Angle (°)])-180),360),MOD(180-ABS(ABS($DB$1-RecData[Yaw Angle (°)])-180),360))</f>
        <v>16.470275401267457</v>
      </c>
      <c r="DB75" s="2" t="str">
        <f>IF($DP$2="None","None",IF(RecData[[#This Row],[Relative Wind Direction]]&lt;=45,"DW",IF(RecData[[#This Row],[Relative Wind Direction]]&lt;=135,"CW","UW")))</f>
        <v>DW</v>
      </c>
      <c r="DC75" s="61" t="e">
        <f>IF($CL75-$CL74&gt;1/24,#REF!,IF(SUM($CQ74:$CQ75)&gt;$DS$1,$DS$5,#REF!-1))</f>
        <v>#REF!</v>
      </c>
      <c r="DD75" s="61" t="e">
        <f>IF(#REF!-$CL75&gt;1/24,#REF!,IF(SUM($CQ74:$CQ75)&gt;$DS$1,$DS$6,#REF!-1))</f>
        <v>#REF!</v>
      </c>
      <c r="DE75" s="18" t="b">
        <v>0</v>
      </c>
      <c r="DF75" s="2" t="b">
        <f>IF(OR(RecData[[#This Row],[WSpd_Avg '[m/s']]]-RecData[[#This Row],[Wind Speed min]]&gt;=$DF$3,RecData[[#This Row],[Wind Speed max]]-RecData[[#This Row],[WSpd_Avg '[m/s']]]&gt;=$DF$2),TRUE,FALSE)</f>
        <v>0</v>
      </c>
      <c r="DG75" s="2" t="b">
        <f>RecData[[#This Row],[Temperature '[°C']]]&lt;=-20</f>
        <v>0</v>
      </c>
      <c r="DH75" s="18" t="b">
        <f>NOT(OR(MOD(RecData[[#This Row],[TIMESTAMP]],1)&gt;0.91632,MOD(RecData[[#This Row],[TIMESTAMP]],1)&lt;0.208681))</f>
        <v>0</v>
      </c>
      <c r="DI75" s="18" t="b">
        <f>RecData[[#This Row],[Overall (dBA)]]-RecData[[#This Row],[L90]]&gt;=$DS$4</f>
        <v>0</v>
      </c>
      <c r="DJ75" s="18" t="b">
        <f>RecData[[#This Row],[Overall (dBA)]]&gt;$DS$2</f>
        <v>0</v>
      </c>
      <c r="DK75" s="18" t="b">
        <f>RecData[[#This Row],[Overall (dBA)]]&lt;$DS$3</f>
        <v>0</v>
      </c>
      <c r="DL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5" s="2">
        <f>IF(AND(RecData[[#This Row],[Turbines ON/OFF]] = "OFF", NOT(OR(RecData[[#This Row],[Junk?]]="YES",RecData[[#This Row],[Gust?]],RecData[[#This Row],[Rain?]:[Min SPL Threshold?]]))),1,0)</f>
        <v>0</v>
      </c>
      <c r="DN75" s="16">
        <f>RecData[[#This Row],[dBA Sum]]</f>
        <v>40.125701058119915</v>
      </c>
      <c r="DO75" s="16">
        <f>RecData[[#This Row],[LAF90.0]]</f>
        <v>39.799999999999997</v>
      </c>
      <c r="DP75" s="55">
        <f>IF(AND(RecData[[#This Row],[Useable TON Data?]],RecData[[#This Row],[Turbines ON/OFF]]="ON"),RecData[[#This Row],[dBA Sum]],"")</f>
        <v>40.125701058119915</v>
      </c>
      <c r="DQ75" s="55" t="str">
        <f>IF(AND(RecData[[#This Row],[Useable Background Data?]],RecData[[#This Row],[Turbines ON/OFF]]="OFF"),RecData[[#This Row],[dBA Sum]],"")</f>
        <v/>
      </c>
      <c r="DR75" s="3">
        <f>IF(OR(RecData[[#This Row],[Useable TON Data?]],RecData[[#This Row],[Useable Background Data?]]),ROUND(RecData[[#This Row],[WSpd_Avg '[m/s']]],0),"")</f>
        <v>1</v>
      </c>
      <c r="DS75" s="85">
        <f>(0.00002)^2*(10^(RecData[[#This Row],[Overall (dBA)]]/10))</f>
        <v>4.1174667155421168E-6</v>
      </c>
    </row>
    <row r="76" spans="1:123" ht="15" x14ac:dyDescent="0.25">
      <c r="A76" s="3" t="s">
        <v>249</v>
      </c>
      <c r="B76" s="12">
        <v>43252.145833333336</v>
      </c>
      <c r="C76" s="3"/>
      <c r="D76" s="3">
        <v>41.7</v>
      </c>
      <c r="E76" s="3"/>
      <c r="F76" s="3"/>
      <c r="G76" s="3"/>
      <c r="H76" s="3"/>
      <c r="I76" s="3"/>
      <c r="J76" s="3"/>
      <c r="K76" s="3">
        <v>39.5</v>
      </c>
      <c r="L76" s="3"/>
      <c r="M76" s="3"/>
      <c r="N76" s="3">
        <v>150.6</v>
      </c>
      <c r="O76" s="3"/>
      <c r="P76" s="3"/>
      <c r="Q76" s="3">
        <v>1.24</v>
      </c>
      <c r="R76" s="3">
        <v>0.2</v>
      </c>
      <c r="S76" s="3">
        <v>2.4</v>
      </c>
      <c r="T76" s="3">
        <v>7.6</v>
      </c>
      <c r="U76" s="3">
        <v>88.5</v>
      </c>
      <c r="V76" s="3">
        <v>964.7</v>
      </c>
      <c r="W76" s="3">
        <v>0</v>
      </c>
      <c r="X76" s="3">
        <v>48.1</v>
      </c>
      <c r="Y76" s="3">
        <v>47.1</v>
      </c>
      <c r="Z76" s="3">
        <v>46.6</v>
      </c>
      <c r="AA76" s="3">
        <v>42.4</v>
      </c>
      <c r="AB76" s="3">
        <v>38</v>
      </c>
      <c r="AC76" s="3">
        <v>37.1</v>
      </c>
      <c r="AD76" s="3">
        <v>40.1</v>
      </c>
      <c r="AE76" s="3">
        <v>41.4</v>
      </c>
      <c r="AF76" s="3">
        <v>44.7</v>
      </c>
      <c r="AG76" s="3">
        <v>38.299999999999997</v>
      </c>
      <c r="AH76" s="3">
        <v>37</v>
      </c>
      <c r="AI76" s="3">
        <v>37</v>
      </c>
      <c r="AJ76" s="3">
        <v>36.1</v>
      </c>
      <c r="AK76" s="3">
        <v>34.700000000000003</v>
      </c>
      <c r="AL76" s="3">
        <v>32.9</v>
      </c>
      <c r="AM76" s="3">
        <v>32.299999999999997</v>
      </c>
      <c r="AN76" s="3">
        <v>31.4</v>
      </c>
      <c r="AO76" s="3">
        <v>29.1</v>
      </c>
      <c r="AP76" s="3">
        <v>27.1</v>
      </c>
      <c r="AQ76" s="3">
        <v>25.8</v>
      </c>
      <c r="AR76" s="3">
        <v>23.6</v>
      </c>
      <c r="AS76" s="3">
        <v>28.8</v>
      </c>
      <c r="AT76" s="3">
        <v>34.6</v>
      </c>
      <c r="AU76" s="3">
        <v>17.600000000000001</v>
      </c>
      <c r="AV76" s="3">
        <v>15.7</v>
      </c>
      <c r="AW76" s="3">
        <v>14.4</v>
      </c>
      <c r="AX76" s="3">
        <v>11.5</v>
      </c>
      <c r="AY76" s="3">
        <v>10.6</v>
      </c>
      <c r="AZ76" s="3">
        <v>0</v>
      </c>
      <c r="BA76" s="3">
        <v>0</v>
      </c>
      <c r="BB76" s="3">
        <v>0</v>
      </c>
      <c r="BC76" s="3">
        <v>41.630306926555505</v>
      </c>
      <c r="BD76" s="3">
        <v>48.169693073444506</v>
      </c>
      <c r="BE76" s="3">
        <v>47.169693073444506</v>
      </c>
      <c r="BF76" s="3">
        <v>45.429693073444497</v>
      </c>
      <c r="BG76" s="3">
        <v>41.556359740111162</v>
      </c>
      <c r="BH76" s="3">
        <v>37.296359740111171</v>
      </c>
      <c r="BI76" s="3">
        <v>36.809693073444492</v>
      </c>
      <c r="BJ76" s="3">
        <v>40.603026406777829</v>
      </c>
      <c r="BK76" s="3">
        <v>41.776359740111161</v>
      </c>
      <c r="BL76" s="3">
        <v>44.649693073444496</v>
      </c>
      <c r="BM76" s="3">
        <v>38.38302640677783</v>
      </c>
      <c r="BN76" s="3">
        <v>37.366359740111164</v>
      </c>
      <c r="BO76" s="3">
        <v>36.733026406777839</v>
      </c>
      <c r="BP76" s="3">
        <v>35.549693073444502</v>
      </c>
      <c r="BQ76" s="3">
        <v>34.566359740111153</v>
      </c>
      <c r="BR76" s="3">
        <v>33.093026406777824</v>
      </c>
      <c r="BS76" s="3">
        <v>32.296359740111171</v>
      </c>
      <c r="BT76" s="3">
        <v>31.593026406777824</v>
      </c>
      <c r="BU76" s="3">
        <v>29.25969307344451</v>
      </c>
      <c r="BV76" s="3">
        <v>26.976359740111164</v>
      </c>
      <c r="BW76" s="3">
        <v>26.209693073444498</v>
      </c>
      <c r="BX76" s="3">
        <v>23.929693073444497</v>
      </c>
      <c r="BY76" s="3">
        <v>28.949693073444493</v>
      </c>
      <c r="BZ76" s="3">
        <v>34.8796930734445</v>
      </c>
      <c r="CA76" s="3">
        <v>17.979693073444494</v>
      </c>
      <c r="CB76" s="3">
        <v>15.516359740111163</v>
      </c>
      <c r="CC76" s="3">
        <v>14.429693073444497</v>
      </c>
      <c r="CD76" s="3">
        <v>10.83635974011117</v>
      </c>
      <c r="CE76" s="3">
        <v>10.1296930734445</v>
      </c>
      <c r="CF76" s="3">
        <v>-0.85697359322217181</v>
      </c>
      <c r="CG76" s="3">
        <v>-1.3903069265555033</v>
      </c>
      <c r="CH76" s="3">
        <v>-2.4669735932221712</v>
      </c>
      <c r="CI76" s="13">
        <f>[1]!dbasum(RecData[[#This Row],[20]:[2000]],RecData[[#Headers],[20]:[2000]])</f>
        <v>39.839899080648543</v>
      </c>
      <c r="CJ76" s="14">
        <v>755</v>
      </c>
      <c r="CK76" s="15" t="s">
        <v>249</v>
      </c>
      <c r="CL76" s="15">
        <f>RecData[[#This Row],[Start Time]]</f>
        <v>43252.145833333336</v>
      </c>
      <c r="CM76" s="16">
        <f>RecData[[#This Row],[Wind Speed avg]]</f>
        <v>1.24</v>
      </c>
      <c r="CN76" s="16">
        <f>RecData[[#This Row],[Wind Dir. avg]]</f>
        <v>150.6</v>
      </c>
      <c r="CO76" s="16">
        <f>RecData[[#This Row],[Amb. Humidity]]</f>
        <v>88.5</v>
      </c>
      <c r="CP76" s="16">
        <f>RecData[[#This Row],[Amb. Temperature]]</f>
        <v>7.6</v>
      </c>
      <c r="CQ76" s="17">
        <f>RecData[[#This Row],[Amb. Rain Gauge]]</f>
        <v>0</v>
      </c>
      <c r="CR76" s="97" t="s">
        <v>1</v>
      </c>
      <c r="CS76" s="97" t="s">
        <v>49</v>
      </c>
      <c r="CT76" s="98">
        <v>1620.1687010000001</v>
      </c>
      <c r="CU76" s="98">
        <v>24.000202178955</v>
      </c>
      <c r="CV76" s="98">
        <v>11.208792686462401</v>
      </c>
      <c r="CW76" s="98">
        <v>15.2606954574584</v>
      </c>
      <c r="CX76" s="97"/>
      <c r="CY76" s="99"/>
      <c r="CZ76" s="2" t="b">
        <f>IF($DP$1="YES",IF(RecData[[#This Row],[Power (kW)]]&gt;=$CR$3, TRUE,FALSE),TRUE)</f>
        <v>1</v>
      </c>
      <c r="DA76" s="16">
        <f>MIN(MOD(180-ABS(ABS($DA$1-RecData[Yaw Angle (°)])-180),360),MOD(180-ABS(ABS($DB$1-RecData[Yaw Angle (°)])-180),360))</f>
        <v>16.470275401267457</v>
      </c>
      <c r="DB76" s="2" t="str">
        <f>IF($DP$2="None","None",IF(RecData[[#This Row],[Relative Wind Direction]]&lt;=45,"DW",IF(RecData[[#This Row],[Relative Wind Direction]]&lt;=135,"CW","UW")))</f>
        <v>DW</v>
      </c>
      <c r="DC76" s="61" t="e">
        <f>IF($CL76-#REF!&gt;1/24,#REF!,IF(SUM($CQ76:$CQ76)&gt;$DS$1,$DS$5,#REF!-1))</f>
        <v>#REF!</v>
      </c>
      <c r="DD76" s="61" t="e">
        <f>IF(#REF!-$CL76&gt;1/24,#REF!,IF(SUM($CQ76:$CQ76)&gt;$DS$1,$DS$6,#REF!-1))</f>
        <v>#REF!</v>
      </c>
      <c r="DE76" s="18" t="b">
        <v>0</v>
      </c>
      <c r="DF76" s="2" t="b">
        <f>IF(OR(RecData[[#This Row],[WSpd_Avg '[m/s']]]-RecData[[#This Row],[Wind Speed min]]&gt;=$DF$3,RecData[[#This Row],[Wind Speed max]]-RecData[[#This Row],[WSpd_Avg '[m/s']]]&gt;=$DF$2),TRUE,FALSE)</f>
        <v>0</v>
      </c>
      <c r="DG76" s="2" t="b">
        <f>RecData[[#This Row],[Temperature '[°C']]]&lt;=-20</f>
        <v>0</v>
      </c>
      <c r="DH76" s="18" t="b">
        <f>NOT(OR(MOD(RecData[[#This Row],[TIMESTAMP]],1)&gt;0.91632,MOD(RecData[[#This Row],[TIMESTAMP]],1)&lt;0.208681))</f>
        <v>0</v>
      </c>
      <c r="DI76" s="18" t="b">
        <f>RecData[[#This Row],[Overall (dBA)]]-RecData[[#This Row],[L90]]&gt;=$DS$4</f>
        <v>0</v>
      </c>
      <c r="DJ76" s="18" t="b">
        <f>RecData[[#This Row],[Overall (dBA)]]&gt;$DS$2</f>
        <v>0</v>
      </c>
      <c r="DK76" s="18" t="b">
        <f>RecData[[#This Row],[Overall (dBA)]]&lt;$DS$3</f>
        <v>0</v>
      </c>
      <c r="DL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6" s="2">
        <f>IF(AND(RecData[[#This Row],[Turbines ON/OFF]] = "OFF", NOT(OR(RecData[[#This Row],[Junk?]]="YES",RecData[[#This Row],[Gust?]],RecData[[#This Row],[Rain?]:[Min SPL Threshold?]]))),1,0)</f>
        <v>0</v>
      </c>
      <c r="DN76" s="16">
        <f>RecData[[#This Row],[dBA Sum]]</f>
        <v>39.839899080648543</v>
      </c>
      <c r="DO76" s="16">
        <f>RecData[[#This Row],[LAF90.0]]</f>
        <v>39.5</v>
      </c>
      <c r="DP76" s="55">
        <f>IF(AND(RecData[[#This Row],[Useable TON Data?]],RecData[[#This Row],[Turbines ON/OFF]]="ON"),RecData[[#This Row],[dBA Sum]],"")</f>
        <v>39.839899080648543</v>
      </c>
      <c r="DQ76" s="55" t="str">
        <f>IF(AND(RecData[[#This Row],[Useable Background Data?]],RecData[[#This Row],[Turbines ON/OFF]]="OFF"),RecData[[#This Row],[dBA Sum]],"")</f>
        <v/>
      </c>
      <c r="DR76" s="3">
        <f>IF(OR(RecData[[#This Row],[Useable TON Data?]],RecData[[#This Row],[Useable Background Data?]]),ROUND(RecData[[#This Row],[WSpd_Avg '[m/s']]],0),"")</f>
        <v>1</v>
      </c>
      <c r="DS76" s="85">
        <f>(0.00002)^2*(10^(RecData[[#This Row],[Overall (dBA)]]/10))</f>
        <v>3.8552265074770367E-6</v>
      </c>
    </row>
    <row r="77" spans="1:123" ht="15" x14ac:dyDescent="0.25">
      <c r="A77" s="3" t="s">
        <v>249</v>
      </c>
      <c r="B77" s="12">
        <v>43252.147916666669</v>
      </c>
      <c r="C77" s="3"/>
      <c r="D77" s="3">
        <v>43.2</v>
      </c>
      <c r="E77" s="3"/>
      <c r="F77" s="3"/>
      <c r="G77" s="3"/>
      <c r="H77" s="3"/>
      <c r="I77" s="3"/>
      <c r="J77" s="3"/>
      <c r="K77" s="3">
        <v>41.1</v>
      </c>
      <c r="L77" s="3"/>
      <c r="M77" s="3"/>
      <c r="N77" s="3">
        <v>155.9</v>
      </c>
      <c r="O77" s="3"/>
      <c r="P77" s="3"/>
      <c r="Q77" s="3">
        <v>1.62</v>
      </c>
      <c r="R77" s="3">
        <v>0.5</v>
      </c>
      <c r="S77" s="3">
        <v>2.9</v>
      </c>
      <c r="T77" s="3">
        <v>7.5</v>
      </c>
      <c r="U77" s="3">
        <v>89.1</v>
      </c>
      <c r="V77" s="3">
        <v>964.8</v>
      </c>
      <c r="W77" s="3">
        <v>0</v>
      </c>
      <c r="X77" s="3">
        <v>48.4</v>
      </c>
      <c r="Y77" s="3">
        <v>48.1</v>
      </c>
      <c r="Z77" s="3">
        <v>46.5</v>
      </c>
      <c r="AA77" s="3">
        <v>42.3</v>
      </c>
      <c r="AB77" s="3">
        <v>38.799999999999997</v>
      </c>
      <c r="AC77" s="3">
        <v>36.9</v>
      </c>
      <c r="AD77" s="3">
        <v>39.700000000000003</v>
      </c>
      <c r="AE77" s="3">
        <v>41.2</v>
      </c>
      <c r="AF77" s="3">
        <v>44.1</v>
      </c>
      <c r="AG77" s="3">
        <v>39.200000000000003</v>
      </c>
      <c r="AH77" s="3">
        <v>37.4</v>
      </c>
      <c r="AI77" s="3">
        <v>37.700000000000003</v>
      </c>
      <c r="AJ77" s="3">
        <v>36.799999999999997</v>
      </c>
      <c r="AK77" s="3">
        <v>35.5</v>
      </c>
      <c r="AL77" s="3">
        <v>34</v>
      </c>
      <c r="AM77" s="3">
        <v>33.5</v>
      </c>
      <c r="AN77" s="3">
        <v>32.700000000000003</v>
      </c>
      <c r="AO77" s="3">
        <v>31.3</v>
      </c>
      <c r="AP77" s="3">
        <v>29.9</v>
      </c>
      <c r="AQ77" s="3">
        <v>29.5</v>
      </c>
      <c r="AR77" s="3">
        <v>28.5</v>
      </c>
      <c r="AS77" s="3">
        <v>31.6</v>
      </c>
      <c r="AT77" s="3">
        <v>35.4</v>
      </c>
      <c r="AU77" s="3">
        <v>24.1</v>
      </c>
      <c r="AV77" s="3">
        <v>22.6</v>
      </c>
      <c r="AW77" s="3">
        <v>20.6</v>
      </c>
      <c r="AX77" s="3">
        <v>15.6</v>
      </c>
      <c r="AY77" s="3">
        <v>13.2</v>
      </c>
      <c r="AZ77" s="3">
        <v>0</v>
      </c>
      <c r="BA77" s="3">
        <v>0</v>
      </c>
      <c r="BB77" s="3">
        <v>0</v>
      </c>
      <c r="BC77" s="3">
        <v>43.138340151695587</v>
      </c>
      <c r="BD77" s="3">
        <v>48.461659848304407</v>
      </c>
      <c r="BE77" s="3">
        <v>48.161659848304424</v>
      </c>
      <c r="BF77" s="3">
        <v>45.321659848304421</v>
      </c>
      <c r="BG77" s="3">
        <v>41.448326514971086</v>
      </c>
      <c r="BH77" s="3">
        <v>38.088326514971072</v>
      </c>
      <c r="BI77" s="3">
        <v>36.601659848304422</v>
      </c>
      <c r="BJ77" s="3">
        <v>40.194993181637756</v>
      </c>
      <c r="BK77" s="3">
        <v>41.568326514971091</v>
      </c>
      <c r="BL77" s="3">
        <v>44.04165984830442</v>
      </c>
      <c r="BM77" s="3">
        <v>39.274993181637754</v>
      </c>
      <c r="BN77" s="3">
        <v>37.758326514971088</v>
      </c>
      <c r="BO77" s="3">
        <v>37.424993181637745</v>
      </c>
      <c r="BP77" s="3">
        <v>36.241659848304408</v>
      </c>
      <c r="BQ77" s="3">
        <v>35.358326514971083</v>
      </c>
      <c r="BR77" s="3">
        <v>34.184993181637751</v>
      </c>
      <c r="BS77" s="3">
        <v>33.488326514971078</v>
      </c>
      <c r="BT77" s="3">
        <v>32.884993181637753</v>
      </c>
      <c r="BU77" s="3">
        <v>31.451659848304416</v>
      </c>
      <c r="BV77" s="3">
        <v>29.768326514971079</v>
      </c>
      <c r="BW77" s="3">
        <v>29.901659848304419</v>
      </c>
      <c r="BX77" s="3">
        <v>28.821659848304421</v>
      </c>
      <c r="BY77" s="3">
        <v>31.741659848304408</v>
      </c>
      <c r="BZ77" s="3">
        <v>35.671659848304415</v>
      </c>
      <c r="CA77" s="3">
        <v>24.471659848304412</v>
      </c>
      <c r="CB77" s="3">
        <v>22.40832651497108</v>
      </c>
      <c r="CC77" s="3">
        <v>20.621659848304418</v>
      </c>
      <c r="CD77" s="3">
        <v>14.92832651497109</v>
      </c>
      <c r="CE77" s="3">
        <v>12.721659848304412</v>
      </c>
      <c r="CF77" s="3">
        <v>-0.86500681836225368</v>
      </c>
      <c r="CG77" s="3">
        <v>-1.3983401516955851</v>
      </c>
      <c r="CH77" s="3">
        <v>-2.4750068183622531</v>
      </c>
      <c r="CI77" s="13">
        <f>[1]!dbasum(RecData[[#This Row],[20]:[2000]],RecData[[#Headers],[20]:[2000]])</f>
        <v>41.325384390369067</v>
      </c>
      <c r="CJ77" s="14">
        <v>758</v>
      </c>
      <c r="CK77" s="15" t="s">
        <v>249</v>
      </c>
      <c r="CL77" s="15">
        <f>RecData[[#This Row],[Start Time]]</f>
        <v>43252.147916666669</v>
      </c>
      <c r="CM77" s="16">
        <f>RecData[[#This Row],[Wind Speed avg]]</f>
        <v>1.62</v>
      </c>
      <c r="CN77" s="16">
        <f>RecData[[#This Row],[Wind Dir. avg]]</f>
        <v>155.9</v>
      </c>
      <c r="CO77" s="16">
        <f>RecData[[#This Row],[Amb. Humidity]]</f>
        <v>89.1</v>
      </c>
      <c r="CP77" s="16">
        <f>RecData[[#This Row],[Amb. Temperature]]</f>
        <v>7.5</v>
      </c>
      <c r="CQ77" s="17">
        <f>RecData[[#This Row],[Amb. Rain Gauge]]</f>
        <v>0</v>
      </c>
      <c r="CR77" s="97" t="s">
        <v>1</v>
      </c>
      <c r="CS77" s="97" t="s">
        <v>49</v>
      </c>
      <c r="CT77" s="98">
        <v>1617.7319339999999</v>
      </c>
      <c r="CU77" s="98">
        <v>24.000202178955</v>
      </c>
      <c r="CV77" s="98">
        <v>10.9706878662109</v>
      </c>
      <c r="CW77" s="98">
        <v>15.240164756774901</v>
      </c>
      <c r="CX77" s="97"/>
      <c r="CY77" s="99"/>
      <c r="CZ77" s="2" t="b">
        <f>IF($DP$1="YES",IF(RecData[[#This Row],[Power (kW)]]&gt;=$CR$3, TRUE,FALSE),TRUE)</f>
        <v>1</v>
      </c>
      <c r="DA77" s="16">
        <f>MIN(MOD(180-ABS(ABS($DA$1-RecData[Yaw Angle (°)])-180),360),MOD(180-ABS(ABS($DB$1-RecData[Yaw Angle (°)])-180),360))</f>
        <v>16.470275401267457</v>
      </c>
      <c r="DB77" s="2" t="str">
        <f>IF($DP$2="None","None",IF(RecData[[#This Row],[Relative Wind Direction]]&lt;=45,"DW",IF(RecData[[#This Row],[Relative Wind Direction]]&lt;=135,"CW","UW")))</f>
        <v>DW</v>
      </c>
      <c r="DC77" s="61" t="e">
        <f>IF($CL77-#REF!&gt;1/24,#REF!,IF(SUM($CQ77:$CQ77)&gt;$DS$1,$DS$5,#REF!-1))</f>
        <v>#REF!</v>
      </c>
      <c r="DD77" s="61" t="e">
        <f>IF(#REF!-$CL77&gt;1/24,#REF!,IF(SUM($CQ77:$CQ77)&gt;$DS$1,$DS$6,#REF!-1))</f>
        <v>#REF!</v>
      </c>
      <c r="DE77" s="18" t="b">
        <v>0</v>
      </c>
      <c r="DF77" s="2" t="b">
        <f>IF(OR(RecData[[#This Row],[WSpd_Avg '[m/s']]]-RecData[[#This Row],[Wind Speed min]]&gt;=$DF$3,RecData[[#This Row],[Wind Speed max]]-RecData[[#This Row],[WSpd_Avg '[m/s']]]&gt;=$DF$2),TRUE,FALSE)</f>
        <v>0</v>
      </c>
      <c r="DG77" s="2" t="b">
        <f>RecData[[#This Row],[Temperature '[°C']]]&lt;=-20</f>
        <v>0</v>
      </c>
      <c r="DH77" s="18" t="b">
        <f>NOT(OR(MOD(RecData[[#This Row],[TIMESTAMP]],1)&gt;0.91632,MOD(RecData[[#This Row],[TIMESTAMP]],1)&lt;0.208681))</f>
        <v>0</v>
      </c>
      <c r="DI77" s="18" t="b">
        <f>RecData[[#This Row],[Overall (dBA)]]-RecData[[#This Row],[L90]]&gt;=$DS$4</f>
        <v>0</v>
      </c>
      <c r="DJ77" s="18" t="b">
        <f>RecData[[#This Row],[Overall (dBA)]]&gt;$DS$2</f>
        <v>0</v>
      </c>
      <c r="DK77" s="18" t="b">
        <f>RecData[[#This Row],[Overall (dBA)]]&lt;$DS$3</f>
        <v>0</v>
      </c>
      <c r="DL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7" s="2">
        <f>IF(AND(RecData[[#This Row],[Turbines ON/OFF]] = "OFF", NOT(OR(RecData[[#This Row],[Junk?]]="YES",RecData[[#This Row],[Gust?]],RecData[[#This Row],[Rain?]:[Min SPL Threshold?]]))),1,0)</f>
        <v>0</v>
      </c>
      <c r="DN77" s="16">
        <f>RecData[[#This Row],[dBA Sum]]</f>
        <v>41.325384390369067</v>
      </c>
      <c r="DO77" s="16">
        <f>RecData[[#This Row],[LAF90.0]]</f>
        <v>41.1</v>
      </c>
      <c r="DP77" s="55">
        <f>IF(AND(RecData[[#This Row],[Useable TON Data?]],RecData[[#This Row],[Turbines ON/OFF]]="ON"),RecData[[#This Row],[dBA Sum]],"")</f>
        <v>41.325384390369067</v>
      </c>
      <c r="DQ77" s="55" t="str">
        <f>IF(AND(RecData[[#This Row],[Useable Background Data?]],RecData[[#This Row],[Turbines ON/OFF]]="OFF"),RecData[[#This Row],[dBA Sum]],"")</f>
        <v/>
      </c>
      <c r="DR77" s="3">
        <f>IF(OR(RecData[[#This Row],[Useable TON Data?]],RecData[[#This Row],[Useable Background Data?]]),ROUND(RecData[[#This Row],[WSpd_Avg '[m/s']]],0),"")</f>
        <v>2</v>
      </c>
      <c r="DS77" s="85">
        <f>(0.00002)^2*(10^(RecData[[#This Row],[Overall (dBA)]]/10))</f>
        <v>5.4274824818203815E-6</v>
      </c>
    </row>
    <row r="78" spans="1:123" ht="15" x14ac:dyDescent="0.25">
      <c r="A78" s="3" t="s">
        <v>249</v>
      </c>
      <c r="B78" s="12">
        <v>43252.149305555555</v>
      </c>
      <c r="C78" s="3"/>
      <c r="D78" s="3">
        <v>42.7</v>
      </c>
      <c r="E78" s="3"/>
      <c r="F78" s="3"/>
      <c r="G78" s="3"/>
      <c r="H78" s="3"/>
      <c r="I78" s="3"/>
      <c r="J78" s="3"/>
      <c r="K78" s="3">
        <v>41</v>
      </c>
      <c r="L78" s="3"/>
      <c r="M78" s="3"/>
      <c r="N78" s="3">
        <v>119</v>
      </c>
      <c r="O78" s="3"/>
      <c r="P78" s="3"/>
      <c r="Q78" s="3">
        <v>1.1599999999999999</v>
      </c>
      <c r="R78" s="3">
        <v>0.2</v>
      </c>
      <c r="S78" s="3">
        <v>2</v>
      </c>
      <c r="T78" s="3">
        <v>7.4</v>
      </c>
      <c r="U78" s="3">
        <v>89.1</v>
      </c>
      <c r="V78" s="3">
        <v>964.8</v>
      </c>
      <c r="W78" s="3">
        <v>0</v>
      </c>
      <c r="X78" s="3">
        <v>49.8</v>
      </c>
      <c r="Y78" s="3">
        <v>49.6</v>
      </c>
      <c r="Z78" s="3">
        <v>47.6</v>
      </c>
      <c r="AA78" s="3">
        <v>43.3</v>
      </c>
      <c r="AB78" s="3">
        <v>39.5</v>
      </c>
      <c r="AC78" s="3">
        <v>38.5</v>
      </c>
      <c r="AD78" s="3">
        <v>41.9</v>
      </c>
      <c r="AE78" s="3">
        <v>43.1</v>
      </c>
      <c r="AF78" s="3">
        <v>45.4</v>
      </c>
      <c r="AG78" s="3">
        <v>38.9</v>
      </c>
      <c r="AH78" s="3">
        <v>38.299999999999997</v>
      </c>
      <c r="AI78" s="3">
        <v>38.1</v>
      </c>
      <c r="AJ78" s="3">
        <v>36.9</v>
      </c>
      <c r="AK78" s="3">
        <v>35.6</v>
      </c>
      <c r="AL78" s="3">
        <v>33.4</v>
      </c>
      <c r="AM78" s="3">
        <v>32.9</v>
      </c>
      <c r="AN78" s="3">
        <v>31.9</v>
      </c>
      <c r="AO78" s="3">
        <v>29.6</v>
      </c>
      <c r="AP78" s="3">
        <v>27.3</v>
      </c>
      <c r="AQ78" s="3">
        <v>26</v>
      </c>
      <c r="AR78" s="3">
        <v>23.4</v>
      </c>
      <c r="AS78" s="3">
        <v>31.6</v>
      </c>
      <c r="AT78" s="3">
        <v>36.1</v>
      </c>
      <c r="AU78" s="3">
        <v>16.100000000000001</v>
      </c>
      <c r="AV78" s="3">
        <v>13.9</v>
      </c>
      <c r="AW78" s="3">
        <v>12.7</v>
      </c>
      <c r="AX78" s="3">
        <v>10.3</v>
      </c>
      <c r="AY78" s="3">
        <v>9.9</v>
      </c>
      <c r="AZ78" s="3">
        <v>0</v>
      </c>
      <c r="BA78" s="3">
        <v>0</v>
      </c>
      <c r="BB78" s="3">
        <v>0</v>
      </c>
      <c r="BC78" s="3">
        <v>42.691117162641888</v>
      </c>
      <c r="BD78" s="3">
        <v>49.808882837358112</v>
      </c>
      <c r="BE78" s="3">
        <v>49.608882837358124</v>
      </c>
      <c r="BF78" s="3">
        <v>46.368882837358115</v>
      </c>
      <c r="BG78" s="3">
        <v>42.395549504024785</v>
      </c>
      <c r="BH78" s="3">
        <v>38.735549504024789</v>
      </c>
      <c r="BI78" s="3">
        <v>38.148882837358116</v>
      </c>
      <c r="BJ78" s="3">
        <v>42.342216170691444</v>
      </c>
      <c r="BK78" s="3">
        <v>43.415549504024781</v>
      </c>
      <c r="BL78" s="3">
        <v>45.288882837358116</v>
      </c>
      <c r="BM78" s="3">
        <v>38.922216170691456</v>
      </c>
      <c r="BN78" s="3">
        <v>38.605549504024779</v>
      </c>
      <c r="BO78" s="3">
        <v>37.772216170691451</v>
      </c>
      <c r="BP78" s="3">
        <v>36.288882837358116</v>
      </c>
      <c r="BQ78" s="3">
        <v>35.405549504024776</v>
      </c>
      <c r="BR78" s="3">
        <v>33.532216170691441</v>
      </c>
      <c r="BS78" s="3">
        <v>32.835549504024783</v>
      </c>
      <c r="BT78" s="3">
        <v>32.032216170691441</v>
      </c>
      <c r="BU78" s="3">
        <v>29.698882837358127</v>
      </c>
      <c r="BV78" s="3">
        <v>27.115549504024784</v>
      </c>
      <c r="BW78" s="3">
        <v>26.348882837358119</v>
      </c>
      <c r="BX78" s="3">
        <v>23.668882837358126</v>
      </c>
      <c r="BY78" s="3">
        <v>31.688882837358108</v>
      </c>
      <c r="BZ78" s="3">
        <v>36.318882837358117</v>
      </c>
      <c r="CA78" s="3">
        <v>16.418882837358112</v>
      </c>
      <c r="CB78" s="3">
        <v>13.655549504024776</v>
      </c>
      <c r="CC78" s="3">
        <v>12.668882837358112</v>
      </c>
      <c r="CD78" s="3">
        <v>9.5755495040247851</v>
      </c>
      <c r="CE78" s="3">
        <v>9.3688828373581146</v>
      </c>
      <c r="CF78" s="3">
        <v>-0.91778382930855429</v>
      </c>
      <c r="CG78" s="3">
        <v>-1.4511171626418857</v>
      </c>
      <c r="CH78" s="3">
        <v>-2.5277838293085537</v>
      </c>
      <c r="CI78" s="13">
        <f>[1]!dbasum(RecData[[#This Row],[20]:[2000]],RecData[[#Headers],[20]:[2000]])</f>
        <v>40.44042103385312</v>
      </c>
      <c r="CJ78" s="14">
        <v>760</v>
      </c>
      <c r="CK78" s="15" t="s">
        <v>249</v>
      </c>
      <c r="CL78" s="15">
        <f>RecData[[#This Row],[Start Time]]</f>
        <v>43252.149305555555</v>
      </c>
      <c r="CM78" s="16">
        <f>RecData[[#This Row],[Wind Speed avg]]</f>
        <v>1.1599999999999999</v>
      </c>
      <c r="CN78" s="16">
        <f>RecData[[#This Row],[Wind Dir. avg]]</f>
        <v>119</v>
      </c>
      <c r="CO78" s="16">
        <f>RecData[[#This Row],[Amb. Humidity]]</f>
        <v>89.1</v>
      </c>
      <c r="CP78" s="16">
        <f>RecData[[#This Row],[Amb. Temperature]]</f>
        <v>7.4</v>
      </c>
      <c r="CQ78" s="17">
        <f>RecData[[#This Row],[Amb. Rain Gauge]]</f>
        <v>0</v>
      </c>
      <c r="CR78" s="97" t="s">
        <v>1</v>
      </c>
      <c r="CS78" s="97" t="s">
        <v>49</v>
      </c>
      <c r="CT78" s="98">
        <v>1617.7319339999999</v>
      </c>
      <c r="CU78" s="98">
        <v>24.000202178955</v>
      </c>
      <c r="CV78" s="98">
        <v>10.9706878662109</v>
      </c>
      <c r="CW78" s="98">
        <v>15.240164756774901</v>
      </c>
      <c r="CX78" s="97"/>
      <c r="CY78" s="99"/>
      <c r="CZ78" s="2" t="b">
        <f>IF($DP$1="YES",IF(RecData[[#This Row],[Power (kW)]]&gt;=$CR$3, TRUE,FALSE),TRUE)</f>
        <v>1</v>
      </c>
      <c r="DA78" s="16">
        <f>MIN(MOD(180-ABS(ABS($DA$1-RecData[Yaw Angle (°)])-180),360),MOD(180-ABS(ABS($DB$1-RecData[Yaw Angle (°)])-180),360))</f>
        <v>16.470275401267457</v>
      </c>
      <c r="DB78" s="2" t="str">
        <f>IF($DP$2="None","None",IF(RecData[[#This Row],[Relative Wind Direction]]&lt;=45,"DW",IF(RecData[[#This Row],[Relative Wind Direction]]&lt;=135,"CW","UW")))</f>
        <v>DW</v>
      </c>
      <c r="DC78" s="61" t="e">
        <f>IF($CL78-#REF!&gt;1/24,#REF!,IF(SUM($CQ77:$CQ78)&gt;$DS$1,$DS$5,DC79-1))</f>
        <v>#REF!</v>
      </c>
      <c r="DD78" s="61" t="e">
        <f>IF($CL79-$CL78&gt;1/24,#REF!,IF(SUM($CQ77:$CQ78)&gt;$DS$1,$DS$6,#REF!-1))</f>
        <v>#REF!</v>
      </c>
      <c r="DE78" s="18" t="b">
        <v>0</v>
      </c>
      <c r="DF78" s="2" t="b">
        <f>IF(OR(RecData[[#This Row],[WSpd_Avg '[m/s']]]-RecData[[#This Row],[Wind Speed min]]&gt;=$DF$3,RecData[[#This Row],[Wind Speed max]]-RecData[[#This Row],[WSpd_Avg '[m/s']]]&gt;=$DF$2),TRUE,FALSE)</f>
        <v>0</v>
      </c>
      <c r="DG78" s="2" t="b">
        <f>RecData[[#This Row],[Temperature '[°C']]]&lt;=-20</f>
        <v>0</v>
      </c>
      <c r="DH78" s="18" t="b">
        <f>NOT(OR(MOD(RecData[[#This Row],[TIMESTAMP]],1)&gt;0.91632,MOD(RecData[[#This Row],[TIMESTAMP]],1)&lt;0.208681))</f>
        <v>0</v>
      </c>
      <c r="DI78" s="18" t="b">
        <f>RecData[[#This Row],[Overall (dBA)]]-RecData[[#This Row],[L90]]&gt;=$DS$4</f>
        <v>0</v>
      </c>
      <c r="DJ78" s="18" t="b">
        <f>RecData[[#This Row],[Overall (dBA)]]&gt;$DS$2</f>
        <v>0</v>
      </c>
      <c r="DK78" s="18" t="b">
        <f>RecData[[#This Row],[Overall (dBA)]]&lt;$DS$3</f>
        <v>0</v>
      </c>
      <c r="DL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8" s="2">
        <f>IF(AND(RecData[[#This Row],[Turbines ON/OFF]] = "OFF", NOT(OR(RecData[[#This Row],[Junk?]]="YES",RecData[[#This Row],[Gust?]],RecData[[#This Row],[Rain?]:[Min SPL Threshold?]]))),1,0)</f>
        <v>0</v>
      </c>
      <c r="DN78" s="16">
        <f>RecData[[#This Row],[dBA Sum]]</f>
        <v>40.44042103385312</v>
      </c>
      <c r="DO78" s="16">
        <f>RecData[[#This Row],[LAF90.0]]</f>
        <v>41</v>
      </c>
      <c r="DP78" s="55">
        <f>IF(AND(RecData[[#This Row],[Useable TON Data?]],RecData[[#This Row],[Turbines ON/OFF]]="ON"),RecData[[#This Row],[dBA Sum]],"")</f>
        <v>40.44042103385312</v>
      </c>
      <c r="DQ78" s="55" t="str">
        <f>IF(AND(RecData[[#This Row],[Useable Background Data?]],RecData[[#This Row],[Turbines ON/OFF]]="OFF"),RecData[[#This Row],[dBA Sum]],"")</f>
        <v/>
      </c>
      <c r="DR78" s="3">
        <f>IF(OR(RecData[[#This Row],[Useable TON Data?]],RecData[[#This Row],[Useable Background Data?]]),ROUND(RecData[[#This Row],[WSpd_Avg '[m/s']]],0),"")</f>
        <v>1</v>
      </c>
      <c r="DS78" s="85">
        <f>(0.00002)^2*(10^(RecData[[#This Row],[Overall (dBA)]]/10))</f>
        <v>4.4269242904874384E-6</v>
      </c>
    </row>
    <row r="79" spans="1:123" ht="15" x14ac:dyDescent="0.25">
      <c r="A79" s="3" t="s">
        <v>249</v>
      </c>
      <c r="B79" s="12">
        <v>43252.15</v>
      </c>
      <c r="C79" s="3"/>
      <c r="D79" s="3">
        <v>42.4</v>
      </c>
      <c r="E79" s="3"/>
      <c r="F79" s="3"/>
      <c r="G79" s="3"/>
      <c r="H79" s="3"/>
      <c r="I79" s="3"/>
      <c r="J79" s="3"/>
      <c r="K79" s="3">
        <v>40</v>
      </c>
      <c r="L79" s="3"/>
      <c r="M79" s="3"/>
      <c r="N79" s="3">
        <v>146.69999999999999</v>
      </c>
      <c r="O79" s="3"/>
      <c r="P79" s="3"/>
      <c r="Q79" s="3">
        <v>1.33</v>
      </c>
      <c r="R79" s="3">
        <v>0.4</v>
      </c>
      <c r="S79" s="3">
        <v>2.4</v>
      </c>
      <c r="T79" s="3">
        <v>7.4</v>
      </c>
      <c r="U79" s="3">
        <v>89.3</v>
      </c>
      <c r="V79" s="3">
        <v>964.9</v>
      </c>
      <c r="W79" s="3">
        <v>0</v>
      </c>
      <c r="X79" s="3">
        <v>49.3</v>
      </c>
      <c r="Y79" s="3">
        <v>49.7</v>
      </c>
      <c r="Z79" s="3">
        <v>48</v>
      </c>
      <c r="AA79" s="3">
        <v>42.9</v>
      </c>
      <c r="AB79" s="3">
        <v>39.4</v>
      </c>
      <c r="AC79" s="3">
        <v>38</v>
      </c>
      <c r="AD79" s="3">
        <v>41.8</v>
      </c>
      <c r="AE79" s="3">
        <v>42.9</v>
      </c>
      <c r="AF79" s="3">
        <v>44.2</v>
      </c>
      <c r="AG79" s="3">
        <v>38.200000000000003</v>
      </c>
      <c r="AH79" s="3">
        <v>38.200000000000003</v>
      </c>
      <c r="AI79" s="3">
        <v>37.5</v>
      </c>
      <c r="AJ79" s="3">
        <v>36.9</v>
      </c>
      <c r="AK79" s="3">
        <v>35.1</v>
      </c>
      <c r="AL79" s="3">
        <v>33.4</v>
      </c>
      <c r="AM79" s="3">
        <v>33.1</v>
      </c>
      <c r="AN79" s="3">
        <v>32.200000000000003</v>
      </c>
      <c r="AO79" s="3">
        <v>30.1</v>
      </c>
      <c r="AP79" s="3">
        <v>28.1</v>
      </c>
      <c r="AQ79" s="3">
        <v>26.6</v>
      </c>
      <c r="AR79" s="3">
        <v>24.1</v>
      </c>
      <c r="AS79" s="3">
        <v>30.9</v>
      </c>
      <c r="AT79" s="3">
        <v>35</v>
      </c>
      <c r="AU79" s="3">
        <v>15.7</v>
      </c>
      <c r="AV79" s="3">
        <v>13.3</v>
      </c>
      <c r="AW79" s="3">
        <v>12.2</v>
      </c>
      <c r="AX79" s="3">
        <v>10.199999999999999</v>
      </c>
      <c r="AY79" s="3">
        <v>9.9</v>
      </c>
      <c r="AZ79" s="3">
        <v>0</v>
      </c>
      <c r="BA79" s="3">
        <v>0</v>
      </c>
      <c r="BB79" s="3">
        <v>0</v>
      </c>
      <c r="BC79" s="3">
        <v>42.321423685301994</v>
      </c>
      <c r="BD79" s="3">
        <v>49.378576314697995</v>
      </c>
      <c r="BE79" s="3">
        <v>49.778576314698</v>
      </c>
      <c r="BF79" s="3">
        <v>46.838576314698003</v>
      </c>
      <c r="BG79" s="3">
        <v>42.065242981364662</v>
      </c>
      <c r="BH79" s="3">
        <v>38.705242981364677</v>
      </c>
      <c r="BI79" s="3">
        <v>37.718576314697998</v>
      </c>
      <c r="BJ79" s="3">
        <v>42.311909648031332</v>
      </c>
      <c r="BK79" s="3">
        <v>43.285242981364661</v>
      </c>
      <c r="BL79" s="3">
        <v>44.15857631469801</v>
      </c>
      <c r="BM79" s="3">
        <v>38.29190964803135</v>
      </c>
      <c r="BN79" s="3">
        <v>38.575242981364681</v>
      </c>
      <c r="BO79" s="3">
        <v>37.241909648031339</v>
      </c>
      <c r="BP79" s="3">
        <v>36.358576314698013</v>
      </c>
      <c r="BQ79" s="3">
        <v>34.975242981364659</v>
      </c>
      <c r="BR79" s="3">
        <v>33.601909648031338</v>
      </c>
      <c r="BS79" s="3">
        <v>33.105242981364682</v>
      </c>
      <c r="BT79" s="3">
        <v>32.401909648031335</v>
      </c>
      <c r="BU79" s="3">
        <v>30.268576314698009</v>
      </c>
      <c r="BV79" s="3">
        <v>27.985242981364678</v>
      </c>
      <c r="BW79" s="3">
        <v>27.018576314698009</v>
      </c>
      <c r="BX79" s="3">
        <v>24.438576314698011</v>
      </c>
      <c r="BY79" s="3">
        <v>31.058576314698001</v>
      </c>
      <c r="BZ79" s="3">
        <v>35.288576314698005</v>
      </c>
      <c r="CA79" s="3">
        <v>16.088576314697995</v>
      </c>
      <c r="CB79" s="3">
        <v>13.125242981364671</v>
      </c>
      <c r="CC79" s="3">
        <v>12.238576314698001</v>
      </c>
      <c r="CD79" s="3">
        <v>9.5452429813646731</v>
      </c>
      <c r="CE79" s="3">
        <v>9.438576314698004</v>
      </c>
      <c r="CF79" s="3">
        <v>-0.84809035196866489</v>
      </c>
      <c r="CG79" s="3">
        <v>-1.3814236853019963</v>
      </c>
      <c r="CH79" s="3">
        <v>-2.4580903519686643</v>
      </c>
      <c r="CI79" s="13">
        <f>[1]!dbasum(RecData[[#This Row],[20]:[2000]],RecData[[#Headers],[20]:[2000]])</f>
        <v>40.513470299071258</v>
      </c>
      <c r="CJ79" s="14">
        <v>761</v>
      </c>
      <c r="CK79" s="15" t="s">
        <v>249</v>
      </c>
      <c r="CL79" s="15">
        <f>RecData[[#This Row],[Start Time]]</f>
        <v>43252.15</v>
      </c>
      <c r="CM79" s="16">
        <f>RecData[[#This Row],[Wind Speed avg]]</f>
        <v>1.33</v>
      </c>
      <c r="CN79" s="16">
        <f>RecData[[#This Row],[Wind Dir. avg]]</f>
        <v>146.69999999999999</v>
      </c>
      <c r="CO79" s="16">
        <f>RecData[[#This Row],[Amb. Humidity]]</f>
        <v>89.3</v>
      </c>
      <c r="CP79" s="16">
        <f>RecData[[#This Row],[Amb. Temperature]]</f>
        <v>7.4</v>
      </c>
      <c r="CQ79" s="17">
        <f>RecData[[#This Row],[Amb. Rain Gauge]]</f>
        <v>0</v>
      </c>
      <c r="CR79" s="97" t="s">
        <v>1</v>
      </c>
      <c r="CS79" s="97" t="s">
        <v>49</v>
      </c>
      <c r="CT79" s="98">
        <v>1617.7319339999999</v>
      </c>
      <c r="CU79" s="98">
        <v>24.000202178955</v>
      </c>
      <c r="CV79" s="98">
        <v>10.9706878662109</v>
      </c>
      <c r="CW79" s="98">
        <v>15.240164756774901</v>
      </c>
      <c r="CX79" s="97"/>
      <c r="CY79" s="99"/>
      <c r="CZ79" s="2" t="b">
        <f>IF($DP$1="YES",IF(RecData[[#This Row],[Power (kW)]]&gt;=$CR$3, TRUE,FALSE),TRUE)</f>
        <v>1</v>
      </c>
      <c r="DA79" s="16">
        <f>MIN(MOD(180-ABS(ABS($DA$1-RecData[Yaw Angle (°)])-180),360),MOD(180-ABS(ABS($DB$1-RecData[Yaw Angle (°)])-180),360))</f>
        <v>16.470275401267457</v>
      </c>
      <c r="DB79" s="2" t="str">
        <f>IF($DP$2="None","None",IF(RecData[[#This Row],[Relative Wind Direction]]&lt;=45,"DW",IF(RecData[[#This Row],[Relative Wind Direction]]&lt;=135,"CW","UW")))</f>
        <v>DW</v>
      </c>
      <c r="DC79" s="61" t="e">
        <f>IF($CL79-#REF!&gt;1/24,#REF!,IF(SUM($CQ77:$CQ79)&gt;$DS$1,$DS$5,DC80-1))</f>
        <v>#REF!</v>
      </c>
      <c r="DD79" s="61" t="e">
        <f>IF($CL80-$CL79&gt;1/24,#REF!,IF(SUM($CQ77:$CQ79)&gt;$DS$1,$DS$6,DD78-1))</f>
        <v>#REF!</v>
      </c>
      <c r="DE79" s="18" t="b">
        <v>0</v>
      </c>
      <c r="DF79" s="2" t="b">
        <f>IF(OR(RecData[[#This Row],[WSpd_Avg '[m/s']]]-RecData[[#This Row],[Wind Speed min]]&gt;=$DF$3,RecData[[#This Row],[Wind Speed max]]-RecData[[#This Row],[WSpd_Avg '[m/s']]]&gt;=$DF$2),TRUE,FALSE)</f>
        <v>0</v>
      </c>
      <c r="DG79" s="2" t="b">
        <f>RecData[[#This Row],[Temperature '[°C']]]&lt;=-20</f>
        <v>0</v>
      </c>
      <c r="DH79" s="18" t="b">
        <f>NOT(OR(MOD(RecData[[#This Row],[TIMESTAMP]],1)&gt;0.91632,MOD(RecData[[#This Row],[TIMESTAMP]],1)&lt;0.208681))</f>
        <v>0</v>
      </c>
      <c r="DI79" s="18" t="b">
        <f>RecData[[#This Row],[Overall (dBA)]]-RecData[[#This Row],[L90]]&gt;=$DS$4</f>
        <v>0</v>
      </c>
      <c r="DJ79" s="18" t="b">
        <f>RecData[[#This Row],[Overall (dBA)]]&gt;$DS$2</f>
        <v>0</v>
      </c>
      <c r="DK79" s="18" t="b">
        <f>RecData[[#This Row],[Overall (dBA)]]&lt;$DS$3</f>
        <v>0</v>
      </c>
      <c r="DL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9" s="2">
        <f>IF(AND(RecData[[#This Row],[Turbines ON/OFF]] = "OFF", NOT(OR(RecData[[#This Row],[Junk?]]="YES",RecData[[#This Row],[Gust?]],RecData[[#This Row],[Rain?]:[Min SPL Threshold?]]))),1,0)</f>
        <v>0</v>
      </c>
      <c r="DN79" s="16">
        <f>RecData[[#This Row],[dBA Sum]]</f>
        <v>40.513470299071258</v>
      </c>
      <c r="DO79" s="16">
        <f>RecData[[#This Row],[LAF90.0]]</f>
        <v>40</v>
      </c>
      <c r="DP79" s="55">
        <f>IF(AND(RecData[[#This Row],[Useable TON Data?]],RecData[[#This Row],[Turbines ON/OFF]]="ON"),RecData[[#This Row],[dBA Sum]],"")</f>
        <v>40.513470299071258</v>
      </c>
      <c r="DQ79" s="55" t="str">
        <f>IF(AND(RecData[[#This Row],[Useable Background Data?]],RecData[[#This Row],[Turbines ON/OFF]]="OFF"),RecData[[#This Row],[dBA Sum]],"")</f>
        <v/>
      </c>
      <c r="DR79" s="3">
        <f>IF(OR(RecData[[#This Row],[Useable TON Data?]],RecData[[#This Row],[Useable Background Data?]]),ROUND(RecData[[#This Row],[WSpd_Avg '[m/s']]],0),"")</f>
        <v>1</v>
      </c>
      <c r="DS79" s="85">
        <f>(0.00002)^2*(10^(RecData[[#This Row],[Overall (dBA)]]/10))</f>
        <v>4.5020158662870756E-6</v>
      </c>
    </row>
    <row r="80" spans="1:123" ht="15" x14ac:dyDescent="0.25">
      <c r="A80" s="3" t="s">
        <v>249</v>
      </c>
      <c r="B80" s="12">
        <v>43252.150694444441</v>
      </c>
      <c r="C80" s="3"/>
      <c r="D80" s="3">
        <v>42.2</v>
      </c>
      <c r="E80" s="3"/>
      <c r="F80" s="3"/>
      <c r="G80" s="3"/>
      <c r="H80" s="3"/>
      <c r="I80" s="3"/>
      <c r="J80" s="3"/>
      <c r="K80" s="3">
        <v>40.6</v>
      </c>
      <c r="L80" s="3"/>
      <c r="M80" s="3"/>
      <c r="N80" s="3">
        <v>188.2</v>
      </c>
      <c r="O80" s="3"/>
      <c r="P80" s="3"/>
      <c r="Q80" s="3">
        <v>0.84</v>
      </c>
      <c r="R80" s="3">
        <v>0.1</v>
      </c>
      <c r="S80" s="3">
        <v>2.2999999999999998</v>
      </c>
      <c r="T80" s="3">
        <v>7.4</v>
      </c>
      <c r="U80" s="3">
        <v>89.3</v>
      </c>
      <c r="V80" s="3">
        <v>964.8</v>
      </c>
      <c r="W80" s="3">
        <v>0</v>
      </c>
      <c r="X80" s="3">
        <v>48.4</v>
      </c>
      <c r="Y80" s="3">
        <v>48.6</v>
      </c>
      <c r="Z80" s="3">
        <v>48.2</v>
      </c>
      <c r="AA80" s="3">
        <v>42.9</v>
      </c>
      <c r="AB80" s="3">
        <v>38.700000000000003</v>
      </c>
      <c r="AC80" s="3">
        <v>37.799999999999997</v>
      </c>
      <c r="AD80" s="3">
        <v>41</v>
      </c>
      <c r="AE80" s="3">
        <v>42.3</v>
      </c>
      <c r="AF80" s="3">
        <v>45.2</v>
      </c>
      <c r="AG80" s="3">
        <v>38.700000000000003</v>
      </c>
      <c r="AH80" s="3">
        <v>37.9</v>
      </c>
      <c r="AI80" s="3">
        <v>37.6</v>
      </c>
      <c r="AJ80" s="3">
        <v>36.9</v>
      </c>
      <c r="AK80" s="3">
        <v>35.5</v>
      </c>
      <c r="AL80" s="3">
        <v>33.700000000000003</v>
      </c>
      <c r="AM80" s="3">
        <v>33.4</v>
      </c>
      <c r="AN80" s="3">
        <v>32.5</v>
      </c>
      <c r="AO80" s="3">
        <v>30.2</v>
      </c>
      <c r="AP80" s="3">
        <v>28.3</v>
      </c>
      <c r="AQ80" s="3">
        <v>27.1</v>
      </c>
      <c r="AR80" s="3">
        <v>25.4</v>
      </c>
      <c r="AS80" s="3">
        <v>29.4</v>
      </c>
      <c r="AT80" s="3">
        <v>33.5</v>
      </c>
      <c r="AU80" s="3">
        <v>23</v>
      </c>
      <c r="AV80" s="3">
        <v>21.8</v>
      </c>
      <c r="AW80" s="3">
        <v>20.6</v>
      </c>
      <c r="AX80" s="3">
        <v>16.399999999999999</v>
      </c>
      <c r="AY80" s="3">
        <v>14.9</v>
      </c>
      <c r="AZ80" s="3">
        <v>0</v>
      </c>
      <c r="BA80" s="3">
        <v>0</v>
      </c>
      <c r="BB80" s="3">
        <v>0</v>
      </c>
      <c r="BC80" s="3">
        <v>42.20229893015852</v>
      </c>
      <c r="BD80" s="3">
        <v>48.397701069841474</v>
      </c>
      <c r="BE80" s="3">
        <v>48.597701069841492</v>
      </c>
      <c r="BF80" s="3">
        <v>46.957701069841477</v>
      </c>
      <c r="BG80" s="3">
        <v>41.984367736508148</v>
      </c>
      <c r="BH80" s="3">
        <v>37.924367736508145</v>
      </c>
      <c r="BI80" s="3">
        <v>37.437701069841481</v>
      </c>
      <c r="BJ80" s="3">
        <v>41.431034403174806</v>
      </c>
      <c r="BK80" s="3">
        <v>42.604367736508152</v>
      </c>
      <c r="BL80" s="3">
        <v>45.077701069841481</v>
      </c>
      <c r="BM80" s="3">
        <v>38.711034403174821</v>
      </c>
      <c r="BN80" s="3">
        <v>38.194367736508156</v>
      </c>
      <c r="BO80" s="3">
        <v>37.261034403174818</v>
      </c>
      <c r="BP80" s="3">
        <v>36.277701069841484</v>
      </c>
      <c r="BQ80" s="3">
        <v>35.29436773650815</v>
      </c>
      <c r="BR80" s="3">
        <v>33.821034403174821</v>
      </c>
      <c r="BS80" s="3">
        <v>33.324367736508151</v>
      </c>
      <c r="BT80" s="3">
        <v>32.621034403174818</v>
      </c>
      <c r="BU80" s="3">
        <v>30.287701069841489</v>
      </c>
      <c r="BV80" s="3">
        <v>28.104367736508152</v>
      </c>
      <c r="BW80" s="3">
        <v>27.437701069841495</v>
      </c>
      <c r="BX80" s="3">
        <v>25.657701069841494</v>
      </c>
      <c r="BY80" s="3">
        <v>29.477701069841487</v>
      </c>
      <c r="BZ80" s="3">
        <v>33.707701069841477</v>
      </c>
      <c r="CA80" s="3">
        <v>23.307701069841471</v>
      </c>
      <c r="CB80" s="3">
        <v>21.54436773650815</v>
      </c>
      <c r="CC80" s="3">
        <v>20.557701069841485</v>
      </c>
      <c r="CD80" s="3">
        <v>15.664367736508154</v>
      </c>
      <c r="CE80" s="3">
        <v>14.357701069841482</v>
      </c>
      <c r="CF80" s="3">
        <v>-0.92896559682518642</v>
      </c>
      <c r="CG80" s="3">
        <v>-1.4622989301585179</v>
      </c>
      <c r="CH80" s="3">
        <v>-2.5389655968251859</v>
      </c>
      <c r="CI80" s="13">
        <f>[1]!dbasum(RecData[[#This Row],[20]:[2000]],RecData[[#Headers],[20]:[2000]])</f>
        <v>40.718369555630154</v>
      </c>
      <c r="CJ80" s="14">
        <v>762</v>
      </c>
      <c r="CK80" s="15" t="s">
        <v>249</v>
      </c>
      <c r="CL80" s="15">
        <f>RecData[[#This Row],[Start Time]]</f>
        <v>43252.150694444441</v>
      </c>
      <c r="CM80" s="16">
        <f>RecData[[#This Row],[Wind Speed avg]]</f>
        <v>0.84</v>
      </c>
      <c r="CN80" s="16">
        <f>RecData[[#This Row],[Wind Dir. avg]]</f>
        <v>188.2</v>
      </c>
      <c r="CO80" s="16">
        <f>RecData[[#This Row],[Amb. Humidity]]</f>
        <v>89.3</v>
      </c>
      <c r="CP80" s="16">
        <f>RecData[[#This Row],[Amb. Temperature]]</f>
        <v>7.4</v>
      </c>
      <c r="CQ80" s="17">
        <f>RecData[[#This Row],[Amb. Rain Gauge]]</f>
        <v>0</v>
      </c>
      <c r="CR80" s="97" t="s">
        <v>1</v>
      </c>
      <c r="CS80" s="97" t="s">
        <v>49</v>
      </c>
      <c r="CT80" s="98">
        <v>1617.7319339999999</v>
      </c>
      <c r="CU80" s="98">
        <v>24.000202178955</v>
      </c>
      <c r="CV80" s="98">
        <v>10.9706878662109</v>
      </c>
      <c r="CW80" s="98">
        <v>15.240164756774901</v>
      </c>
      <c r="CX80" s="97"/>
      <c r="CY80" s="99"/>
      <c r="CZ80" s="2" t="b">
        <f>IF($DP$1="YES",IF(RecData[[#This Row],[Power (kW)]]&gt;=$CR$3, TRUE,FALSE),TRUE)</f>
        <v>1</v>
      </c>
      <c r="DA80" s="16">
        <f>MIN(MOD(180-ABS(ABS($DA$1-RecData[Yaw Angle (°)])-180),360),MOD(180-ABS(ABS($DB$1-RecData[Yaw Angle (°)])-180),360))</f>
        <v>16.470275401267457</v>
      </c>
      <c r="DB80" s="2" t="str">
        <f>IF($DP$2="None","None",IF(RecData[[#This Row],[Relative Wind Direction]]&lt;=45,"DW",IF(RecData[[#This Row],[Relative Wind Direction]]&lt;=135,"CW","UW")))</f>
        <v>DW</v>
      </c>
      <c r="DC80" s="61" t="e">
        <f>IF($CL80-$CL77&gt;1/24,#REF!,IF(SUM($CQ77:$CQ80)&gt;$DS$1,$DS$5,#REF!-1))</f>
        <v>#REF!</v>
      </c>
      <c r="DD80" s="61" t="e">
        <f>IF(#REF!-$CL80&gt;1/24,#REF!,IF(SUM($CQ77:$CQ80)&gt;$DS$1,$DS$6,DD79-1))</f>
        <v>#REF!</v>
      </c>
      <c r="DE80" s="18" t="b">
        <v>0</v>
      </c>
      <c r="DF80" s="2" t="b">
        <f>IF(OR(RecData[[#This Row],[WSpd_Avg '[m/s']]]-RecData[[#This Row],[Wind Speed min]]&gt;=$DF$3,RecData[[#This Row],[Wind Speed max]]-RecData[[#This Row],[WSpd_Avg '[m/s']]]&gt;=$DF$2),TRUE,FALSE)</f>
        <v>0</v>
      </c>
      <c r="DG80" s="2" t="b">
        <f>RecData[[#This Row],[Temperature '[°C']]]&lt;=-20</f>
        <v>0</v>
      </c>
      <c r="DH80" s="18" t="b">
        <f>NOT(OR(MOD(RecData[[#This Row],[TIMESTAMP]],1)&gt;0.91632,MOD(RecData[[#This Row],[TIMESTAMP]],1)&lt;0.208681))</f>
        <v>0</v>
      </c>
      <c r="DI80" s="18" t="b">
        <f>RecData[[#This Row],[Overall (dBA)]]-RecData[[#This Row],[L90]]&gt;=$DS$4</f>
        <v>0</v>
      </c>
      <c r="DJ80" s="18" t="b">
        <f>RecData[[#This Row],[Overall (dBA)]]&gt;$DS$2</f>
        <v>0</v>
      </c>
      <c r="DK80" s="18" t="b">
        <f>RecData[[#This Row],[Overall (dBA)]]&lt;$DS$3</f>
        <v>0</v>
      </c>
      <c r="DL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0" s="2">
        <f>IF(AND(RecData[[#This Row],[Turbines ON/OFF]] = "OFF", NOT(OR(RecData[[#This Row],[Junk?]]="YES",RecData[[#This Row],[Gust?]],RecData[[#This Row],[Rain?]:[Min SPL Threshold?]]))),1,0)</f>
        <v>0</v>
      </c>
      <c r="DN80" s="16">
        <f>RecData[[#This Row],[dBA Sum]]</f>
        <v>40.718369555630154</v>
      </c>
      <c r="DO80" s="16">
        <f>RecData[[#This Row],[LAF90.0]]</f>
        <v>40.6</v>
      </c>
      <c r="DP80" s="55">
        <f>IF(AND(RecData[[#This Row],[Useable TON Data?]],RecData[[#This Row],[Turbines ON/OFF]]="ON"),RecData[[#This Row],[dBA Sum]],"")</f>
        <v>40.718369555630154</v>
      </c>
      <c r="DQ80" s="55" t="str">
        <f>IF(AND(RecData[[#This Row],[Useable Background Data?]],RecData[[#This Row],[Turbines ON/OFF]]="OFF"),RecData[[#This Row],[dBA Sum]],"")</f>
        <v/>
      </c>
      <c r="DR80" s="3">
        <f>IF(OR(RecData[[#This Row],[Useable TON Data?]],RecData[[#This Row],[Useable Background Data?]]),ROUND(RecData[[#This Row],[WSpd_Avg '[m/s']]],0),"")</f>
        <v>1</v>
      </c>
      <c r="DS80" s="85">
        <f>(0.00002)^2*(10^(RecData[[#This Row],[Overall (dBA)]]/10))</f>
        <v>4.7195103939668993E-6</v>
      </c>
    </row>
    <row r="81" spans="1:123" ht="15" x14ac:dyDescent="0.25">
      <c r="A81" s="3" t="s">
        <v>249</v>
      </c>
      <c r="B81" s="12">
        <v>43252.152777777781</v>
      </c>
      <c r="C81" s="3"/>
      <c r="D81" s="3">
        <v>42.7</v>
      </c>
      <c r="E81" s="3"/>
      <c r="F81" s="3"/>
      <c r="G81" s="3"/>
      <c r="H81" s="3"/>
      <c r="I81" s="3"/>
      <c r="J81" s="3"/>
      <c r="K81" s="3">
        <v>40.700000000000003</v>
      </c>
      <c r="L81" s="3"/>
      <c r="M81" s="3"/>
      <c r="N81" s="3">
        <v>220.2</v>
      </c>
      <c r="O81" s="3"/>
      <c r="P81" s="3"/>
      <c r="Q81" s="3">
        <v>1.22</v>
      </c>
      <c r="R81" s="3">
        <v>0</v>
      </c>
      <c r="S81" s="3">
        <v>2.4</v>
      </c>
      <c r="T81" s="3">
        <v>7.3</v>
      </c>
      <c r="U81" s="3">
        <v>89.1</v>
      </c>
      <c r="V81" s="3">
        <v>964.9</v>
      </c>
      <c r="W81" s="3">
        <v>0</v>
      </c>
      <c r="X81" s="3">
        <v>48.7</v>
      </c>
      <c r="Y81" s="3">
        <v>48.1</v>
      </c>
      <c r="Z81" s="3">
        <v>46.8</v>
      </c>
      <c r="AA81" s="3">
        <v>42.1</v>
      </c>
      <c r="AB81" s="3">
        <v>38.5</v>
      </c>
      <c r="AC81" s="3">
        <v>37.200000000000003</v>
      </c>
      <c r="AD81" s="3">
        <v>40.700000000000003</v>
      </c>
      <c r="AE81" s="3">
        <v>42.3</v>
      </c>
      <c r="AF81" s="3">
        <v>45.7</v>
      </c>
      <c r="AG81" s="3">
        <v>39.200000000000003</v>
      </c>
      <c r="AH81" s="3">
        <v>38.1</v>
      </c>
      <c r="AI81" s="3">
        <v>38.200000000000003</v>
      </c>
      <c r="AJ81" s="3">
        <v>37.5</v>
      </c>
      <c r="AK81" s="3">
        <v>35.700000000000003</v>
      </c>
      <c r="AL81" s="3">
        <v>33.700000000000003</v>
      </c>
      <c r="AM81" s="3">
        <v>33.1</v>
      </c>
      <c r="AN81" s="3">
        <v>32</v>
      </c>
      <c r="AO81" s="3">
        <v>29.6</v>
      </c>
      <c r="AP81" s="3">
        <v>27.3</v>
      </c>
      <c r="AQ81" s="3">
        <v>25.7</v>
      </c>
      <c r="AR81" s="3">
        <v>23.1</v>
      </c>
      <c r="AS81" s="3">
        <v>31.2</v>
      </c>
      <c r="AT81" s="3">
        <v>35.9</v>
      </c>
      <c r="AU81" s="3">
        <v>15.1</v>
      </c>
      <c r="AV81" s="3">
        <v>13.1</v>
      </c>
      <c r="AW81" s="3">
        <v>11.4</v>
      </c>
      <c r="AX81" s="3">
        <v>9.8000000000000007</v>
      </c>
      <c r="AY81" s="3">
        <v>9.6</v>
      </c>
      <c r="AZ81" s="3">
        <v>0</v>
      </c>
      <c r="BA81" s="3">
        <v>0</v>
      </c>
      <c r="BB81" s="3">
        <v>0</v>
      </c>
      <c r="BC81" s="3">
        <v>42.660784660316303</v>
      </c>
      <c r="BD81" s="3">
        <v>48.739215339683703</v>
      </c>
      <c r="BE81" s="3">
        <v>48.139215339683709</v>
      </c>
      <c r="BF81" s="3">
        <v>45.599215339683688</v>
      </c>
      <c r="BG81" s="3">
        <v>41.225882006350368</v>
      </c>
      <c r="BH81" s="3">
        <v>37.765882006350374</v>
      </c>
      <c r="BI81" s="3">
        <v>36.879215339683704</v>
      </c>
      <c r="BJ81" s="3">
        <v>41.17254867301704</v>
      </c>
      <c r="BK81" s="3">
        <v>42.645882006350369</v>
      </c>
      <c r="BL81" s="3">
        <v>45.619215339683699</v>
      </c>
      <c r="BM81" s="3">
        <v>39.252548673017039</v>
      </c>
      <c r="BN81" s="3">
        <v>38.435882006350361</v>
      </c>
      <c r="BO81" s="3">
        <v>37.90254867301703</v>
      </c>
      <c r="BP81" s="3">
        <v>36.91921533968371</v>
      </c>
      <c r="BQ81" s="3">
        <v>35.535882006350356</v>
      </c>
      <c r="BR81" s="3">
        <v>33.862548673017038</v>
      </c>
      <c r="BS81" s="3">
        <v>33.065882006350371</v>
      </c>
      <c r="BT81" s="3">
        <v>32.162548673017035</v>
      </c>
      <c r="BU81" s="3">
        <v>29.729215339683712</v>
      </c>
      <c r="BV81" s="3">
        <v>27.145882006350369</v>
      </c>
      <c r="BW81" s="3">
        <v>26.079215339683707</v>
      </c>
      <c r="BX81" s="3">
        <v>23.3992153396837</v>
      </c>
      <c r="BY81" s="3">
        <v>31.319215339683701</v>
      </c>
      <c r="BZ81" s="3">
        <v>36.1492153396837</v>
      </c>
      <c r="CA81" s="3">
        <v>15.449215339683697</v>
      </c>
      <c r="CB81" s="3">
        <v>12.885882006350364</v>
      </c>
      <c r="CC81" s="3">
        <v>11.3992153396837</v>
      </c>
      <c r="CD81" s="3">
        <v>9.1058820063503703</v>
      </c>
      <c r="CE81" s="3">
        <v>9.0992153396837026</v>
      </c>
      <c r="CF81" s="3">
        <v>-0.88745132698296914</v>
      </c>
      <c r="CG81" s="3">
        <v>-1.4207846603163006</v>
      </c>
      <c r="CH81" s="3">
        <v>-2.4974513269829686</v>
      </c>
      <c r="CI81" s="13">
        <f>[1]!dbasum(RecData[[#This Row],[20]:[2000]],RecData[[#Headers],[20]:[2000]])</f>
        <v>40.575878092931042</v>
      </c>
      <c r="CJ81" s="14">
        <v>765</v>
      </c>
      <c r="CK81" s="15" t="s">
        <v>249</v>
      </c>
      <c r="CL81" s="15">
        <f>RecData[[#This Row],[Start Time]]</f>
        <v>43252.152777777781</v>
      </c>
      <c r="CM81" s="16">
        <f>RecData[[#This Row],[Wind Speed avg]]</f>
        <v>1.22</v>
      </c>
      <c r="CN81" s="16">
        <f>RecData[[#This Row],[Wind Dir. avg]]</f>
        <v>220.2</v>
      </c>
      <c r="CO81" s="16">
        <f>RecData[[#This Row],[Amb. Humidity]]</f>
        <v>89.1</v>
      </c>
      <c r="CP81" s="16">
        <f>RecData[[#This Row],[Amb. Temperature]]</f>
        <v>7.3</v>
      </c>
      <c r="CQ81" s="17">
        <f>RecData[[#This Row],[Amb. Rain Gauge]]</f>
        <v>0</v>
      </c>
      <c r="CR81" s="97" t="s">
        <v>1</v>
      </c>
      <c r="CS81" s="97" t="s">
        <v>49</v>
      </c>
      <c r="CT81" s="98">
        <v>1617.7319339999999</v>
      </c>
      <c r="CU81" s="98">
        <v>24.000202178955</v>
      </c>
      <c r="CV81" s="98">
        <v>10.9706878662109</v>
      </c>
      <c r="CW81" s="98">
        <v>15.240164756774901</v>
      </c>
      <c r="CX81" s="97"/>
      <c r="CY81" s="99"/>
      <c r="CZ81" s="2" t="b">
        <f>IF($DP$1="YES",IF(RecData[[#This Row],[Power (kW)]]&gt;=$CR$3, TRUE,FALSE),TRUE)</f>
        <v>1</v>
      </c>
      <c r="DA81" s="16">
        <f>MIN(MOD(180-ABS(ABS($DA$1-RecData[Yaw Angle (°)])-180),360),MOD(180-ABS(ABS($DB$1-RecData[Yaw Angle (°)])-180),360))</f>
        <v>16.470275401267457</v>
      </c>
      <c r="DB81" s="2" t="str">
        <f>IF($DP$2="None","None",IF(RecData[[#This Row],[Relative Wind Direction]]&lt;=45,"DW",IF(RecData[[#This Row],[Relative Wind Direction]]&lt;=135,"CW","UW")))</f>
        <v>DW</v>
      </c>
      <c r="DC81" s="61" t="e">
        <f>IF($CL81-$CL79&gt;1/24,#REF!,IF(SUM($CQ79:$CQ81)&gt;$DS$1,$DS$5,#REF!-1))</f>
        <v>#REF!</v>
      </c>
      <c r="DD81" s="61" t="e">
        <f>IF(#REF!-$CL81&gt;1/24,#REF!,IF(SUM($CQ79:$CQ81)&gt;$DS$1,$DS$6,#REF!-1))</f>
        <v>#REF!</v>
      </c>
      <c r="DE81" s="18" t="b">
        <v>0</v>
      </c>
      <c r="DF81" s="2" t="b">
        <f>IF(OR(RecData[[#This Row],[WSpd_Avg '[m/s']]]-RecData[[#This Row],[Wind Speed min]]&gt;=$DF$3,RecData[[#This Row],[Wind Speed max]]-RecData[[#This Row],[WSpd_Avg '[m/s']]]&gt;=$DF$2),TRUE,FALSE)</f>
        <v>0</v>
      </c>
      <c r="DG81" s="2" t="b">
        <f>RecData[[#This Row],[Temperature '[°C']]]&lt;=-20</f>
        <v>0</v>
      </c>
      <c r="DH81" s="18" t="b">
        <f>NOT(OR(MOD(RecData[[#This Row],[TIMESTAMP]],1)&gt;0.91632,MOD(RecData[[#This Row],[TIMESTAMP]],1)&lt;0.208681))</f>
        <v>0</v>
      </c>
      <c r="DI81" s="18" t="b">
        <f>RecData[[#This Row],[Overall (dBA)]]-RecData[[#This Row],[L90]]&gt;=$DS$4</f>
        <v>0</v>
      </c>
      <c r="DJ81" s="18" t="b">
        <f>RecData[[#This Row],[Overall (dBA)]]&gt;$DS$2</f>
        <v>0</v>
      </c>
      <c r="DK81" s="18" t="b">
        <f>RecData[[#This Row],[Overall (dBA)]]&lt;$DS$3</f>
        <v>0</v>
      </c>
      <c r="DL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1" s="2">
        <f>IF(AND(RecData[[#This Row],[Turbines ON/OFF]] = "OFF", NOT(OR(RecData[[#This Row],[Junk?]]="YES",RecData[[#This Row],[Gust?]],RecData[[#This Row],[Rain?]:[Min SPL Threshold?]]))),1,0)</f>
        <v>0</v>
      </c>
      <c r="DN81" s="16">
        <f>RecData[[#This Row],[dBA Sum]]</f>
        <v>40.575878092931042</v>
      </c>
      <c r="DO81" s="16">
        <f>RecData[[#This Row],[LAF90.0]]</f>
        <v>40.700000000000003</v>
      </c>
      <c r="DP81" s="55">
        <f>IF(AND(RecData[[#This Row],[Useable TON Data?]],RecData[[#This Row],[Turbines ON/OFF]]="ON"),RecData[[#This Row],[dBA Sum]],"")</f>
        <v>40.575878092931042</v>
      </c>
      <c r="DQ81" s="55" t="str">
        <f>IF(AND(RecData[[#This Row],[Useable Background Data?]],RecData[[#This Row],[Turbines ON/OFF]]="OFF"),RecData[[#This Row],[dBA Sum]],"")</f>
        <v/>
      </c>
      <c r="DR81" s="3">
        <f>IF(OR(RecData[[#This Row],[Useable TON Data?]],RecData[[#This Row],[Useable Background Data?]]),ROUND(RecData[[#This Row],[WSpd_Avg '[m/s']]],0),"")</f>
        <v>1</v>
      </c>
      <c r="DS81" s="85">
        <f>(0.00002)^2*(10^(RecData[[#This Row],[Overall (dBA)]]/10))</f>
        <v>4.5671765551083896E-6</v>
      </c>
    </row>
    <row r="82" spans="1:123" ht="15" x14ac:dyDescent="0.25">
      <c r="A82" s="3" t="s">
        <v>249</v>
      </c>
      <c r="B82" s="12">
        <v>43252.15625</v>
      </c>
      <c r="C82" s="3"/>
      <c r="D82" s="3">
        <v>42.9</v>
      </c>
      <c r="E82" s="3"/>
      <c r="F82" s="3"/>
      <c r="G82" s="3"/>
      <c r="H82" s="3"/>
      <c r="I82" s="3"/>
      <c r="J82" s="3"/>
      <c r="K82" s="3">
        <v>41.4</v>
      </c>
      <c r="L82" s="3"/>
      <c r="M82" s="3"/>
      <c r="N82" s="3">
        <v>169.4</v>
      </c>
      <c r="O82" s="3"/>
      <c r="P82" s="3"/>
      <c r="Q82" s="3">
        <v>1.3</v>
      </c>
      <c r="R82" s="3">
        <v>0.2</v>
      </c>
      <c r="S82" s="3">
        <v>2.6</v>
      </c>
      <c r="T82" s="3">
        <v>7.2</v>
      </c>
      <c r="U82" s="3">
        <v>89.9</v>
      </c>
      <c r="V82" s="3">
        <v>965</v>
      </c>
      <c r="W82" s="3">
        <v>0</v>
      </c>
      <c r="X82" s="3">
        <v>47.5</v>
      </c>
      <c r="Y82" s="3">
        <v>47.3</v>
      </c>
      <c r="Z82" s="3">
        <v>46.6</v>
      </c>
      <c r="AA82" s="3">
        <v>42.2</v>
      </c>
      <c r="AB82" s="3">
        <v>37.6</v>
      </c>
      <c r="AC82" s="3">
        <v>36.299999999999997</v>
      </c>
      <c r="AD82" s="3">
        <v>39.799999999999997</v>
      </c>
      <c r="AE82" s="3">
        <v>41.9</v>
      </c>
      <c r="AF82" s="3">
        <v>44.7</v>
      </c>
      <c r="AG82" s="3">
        <v>39.1</v>
      </c>
      <c r="AH82" s="3">
        <v>38</v>
      </c>
      <c r="AI82" s="3">
        <v>38</v>
      </c>
      <c r="AJ82" s="3">
        <v>37.1</v>
      </c>
      <c r="AK82" s="3">
        <v>35.5</v>
      </c>
      <c r="AL82" s="3">
        <v>33.9</v>
      </c>
      <c r="AM82" s="3">
        <v>33.5</v>
      </c>
      <c r="AN82" s="3">
        <v>32.6</v>
      </c>
      <c r="AO82" s="3">
        <v>30.7</v>
      </c>
      <c r="AP82" s="3">
        <v>29.1</v>
      </c>
      <c r="AQ82" s="3">
        <v>28.1</v>
      </c>
      <c r="AR82" s="3">
        <v>26.6</v>
      </c>
      <c r="AS82" s="3">
        <v>31.5</v>
      </c>
      <c r="AT82" s="3">
        <v>35.5</v>
      </c>
      <c r="AU82" s="3">
        <v>20.8</v>
      </c>
      <c r="AV82" s="3">
        <v>18.5</v>
      </c>
      <c r="AW82" s="3">
        <v>16.600000000000001</v>
      </c>
      <c r="AX82" s="3">
        <v>12.4</v>
      </c>
      <c r="AY82" s="3">
        <v>11</v>
      </c>
      <c r="AZ82" s="3">
        <v>0</v>
      </c>
      <c r="BA82" s="3">
        <v>0</v>
      </c>
      <c r="BB82" s="3">
        <v>0</v>
      </c>
      <c r="BC82" s="3">
        <v>42.905009621451065</v>
      </c>
      <c r="BD82" s="3">
        <v>47.494990378548941</v>
      </c>
      <c r="BE82" s="3">
        <v>47.294990378548924</v>
      </c>
      <c r="BF82" s="3">
        <v>45.354990378548926</v>
      </c>
      <c r="BG82" s="3">
        <v>41.281657045215603</v>
      </c>
      <c r="BH82" s="3">
        <v>36.821657045215595</v>
      </c>
      <c r="BI82" s="3">
        <v>35.934990378548939</v>
      </c>
      <c r="BJ82" s="3">
        <v>40.228323711882261</v>
      </c>
      <c r="BK82" s="3">
        <v>42.20165704521559</v>
      </c>
      <c r="BL82" s="3">
        <v>44.574990378548939</v>
      </c>
      <c r="BM82" s="3">
        <v>39.108323711882271</v>
      </c>
      <c r="BN82" s="3">
        <v>38.291657045215594</v>
      </c>
      <c r="BO82" s="3">
        <v>37.658323711882268</v>
      </c>
      <c r="BP82" s="3">
        <v>36.474990378548931</v>
      </c>
      <c r="BQ82" s="3">
        <v>35.291657045215594</v>
      </c>
      <c r="BR82" s="3">
        <v>34.018323711882267</v>
      </c>
      <c r="BS82" s="3">
        <v>33.421657045215603</v>
      </c>
      <c r="BT82" s="3">
        <v>32.71832371188227</v>
      </c>
      <c r="BU82" s="3">
        <v>30.784990378548933</v>
      </c>
      <c r="BV82" s="3">
        <v>28.901657045215607</v>
      </c>
      <c r="BW82" s="3">
        <v>28.434990378548939</v>
      </c>
      <c r="BX82" s="3">
        <v>26.854990378548941</v>
      </c>
      <c r="BY82" s="3">
        <v>31.574990378548925</v>
      </c>
      <c r="BZ82" s="3">
        <v>35.704990378548935</v>
      </c>
      <c r="CA82" s="3">
        <v>21.104990378548926</v>
      </c>
      <c r="CB82" s="3">
        <v>18.241657045215597</v>
      </c>
      <c r="CC82" s="3">
        <v>16.554990378548929</v>
      </c>
      <c r="CD82" s="3">
        <v>11.661657045215605</v>
      </c>
      <c r="CE82" s="3">
        <v>10.454990378548935</v>
      </c>
      <c r="CF82" s="3">
        <v>-0.9316762881177354</v>
      </c>
      <c r="CG82" s="3">
        <v>-1.4650096214510668</v>
      </c>
      <c r="CH82" s="3">
        <v>-2.5416762881177348</v>
      </c>
      <c r="CI82" s="13">
        <f>[1]!dbasum(RecData[[#This Row],[20]:[2000]],RecData[[#Headers],[20]:[2000]])</f>
        <v>40.987939447961431</v>
      </c>
      <c r="CJ82" s="14">
        <v>770</v>
      </c>
      <c r="CK82" s="15" t="s">
        <v>249</v>
      </c>
      <c r="CL82" s="15">
        <f>RecData[[#This Row],[Start Time]]</f>
        <v>43252.15625</v>
      </c>
      <c r="CM82" s="16">
        <f>RecData[[#This Row],[Wind Speed avg]]</f>
        <v>1.3</v>
      </c>
      <c r="CN82" s="16">
        <f>RecData[[#This Row],[Wind Dir. avg]]</f>
        <v>169.4</v>
      </c>
      <c r="CO82" s="16">
        <f>RecData[[#This Row],[Amb. Humidity]]</f>
        <v>89.9</v>
      </c>
      <c r="CP82" s="16">
        <f>RecData[[#This Row],[Amb. Temperature]]</f>
        <v>7.2</v>
      </c>
      <c r="CQ82" s="17">
        <f>RecData[[#This Row],[Amb. Rain Gauge]]</f>
        <v>0</v>
      </c>
      <c r="CR82" s="97" t="s">
        <v>1</v>
      </c>
      <c r="CS82" s="97" t="s">
        <v>49</v>
      </c>
      <c r="CT82" s="98">
        <v>1596.4254149999999</v>
      </c>
      <c r="CU82" s="98">
        <v>24.000202178955</v>
      </c>
      <c r="CV82" s="98">
        <v>10.187614440917899</v>
      </c>
      <c r="CW82" s="98">
        <v>15.209653854370099</v>
      </c>
      <c r="CX82" s="97"/>
      <c r="CY82" s="99"/>
      <c r="CZ82" s="2" t="b">
        <f>IF($DP$1="YES",IF(RecData[[#This Row],[Power (kW)]]&gt;=$CR$3, TRUE,FALSE),TRUE)</f>
        <v>1</v>
      </c>
      <c r="DA82" s="16">
        <f>MIN(MOD(180-ABS(ABS($DA$1-RecData[Yaw Angle (°)])-180),360),MOD(180-ABS(ABS($DB$1-RecData[Yaw Angle (°)])-180),360))</f>
        <v>16.470275401267457</v>
      </c>
      <c r="DB82" s="2" t="str">
        <f>IF($DP$2="None","None",IF(RecData[[#This Row],[Relative Wind Direction]]&lt;=45,"DW",IF(RecData[[#This Row],[Relative Wind Direction]]&lt;=135,"CW","UW")))</f>
        <v>DW</v>
      </c>
      <c r="DC82" s="61" t="e">
        <f>IF($CL82-#REF!&gt;1/24,#REF!,IF(SUM($CQ82:$CQ82)&gt;$DS$1,$DS$5,#REF!-1))</f>
        <v>#REF!</v>
      </c>
      <c r="DD82" s="61" t="e">
        <f>IF(#REF!-$CL82&gt;1/24,#REF!,IF(SUM($CQ82:$CQ82)&gt;$DS$1,$DS$6,#REF!-1))</f>
        <v>#REF!</v>
      </c>
      <c r="DE82" s="18" t="b">
        <v>0</v>
      </c>
      <c r="DF82" s="2" t="b">
        <f>IF(OR(RecData[[#This Row],[WSpd_Avg '[m/s']]]-RecData[[#This Row],[Wind Speed min]]&gt;=$DF$3,RecData[[#This Row],[Wind Speed max]]-RecData[[#This Row],[WSpd_Avg '[m/s']]]&gt;=$DF$2),TRUE,FALSE)</f>
        <v>0</v>
      </c>
      <c r="DG82" s="2" t="b">
        <f>RecData[[#This Row],[Temperature '[°C']]]&lt;=-20</f>
        <v>0</v>
      </c>
      <c r="DH82" s="18" t="b">
        <f>NOT(OR(MOD(RecData[[#This Row],[TIMESTAMP]],1)&gt;0.91632,MOD(RecData[[#This Row],[TIMESTAMP]],1)&lt;0.208681))</f>
        <v>0</v>
      </c>
      <c r="DI82" s="18" t="b">
        <f>RecData[[#This Row],[Overall (dBA)]]-RecData[[#This Row],[L90]]&gt;=$DS$4</f>
        <v>0</v>
      </c>
      <c r="DJ82" s="18" t="b">
        <f>RecData[[#This Row],[Overall (dBA)]]&gt;$DS$2</f>
        <v>0</v>
      </c>
      <c r="DK82" s="18" t="b">
        <f>RecData[[#This Row],[Overall (dBA)]]&lt;$DS$3</f>
        <v>0</v>
      </c>
      <c r="DL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2" s="2">
        <f>IF(AND(RecData[[#This Row],[Turbines ON/OFF]] = "OFF", NOT(OR(RecData[[#This Row],[Junk?]]="YES",RecData[[#This Row],[Gust?]],RecData[[#This Row],[Rain?]:[Min SPL Threshold?]]))),1,0)</f>
        <v>0</v>
      </c>
      <c r="DN82" s="16">
        <f>RecData[[#This Row],[dBA Sum]]</f>
        <v>40.987939447961431</v>
      </c>
      <c r="DO82" s="16">
        <f>RecData[[#This Row],[LAF90.0]]</f>
        <v>41.4</v>
      </c>
      <c r="DP82" s="55">
        <f>IF(AND(RecData[[#This Row],[Useable TON Data?]],RecData[[#This Row],[Turbines ON/OFF]]="ON"),RecData[[#This Row],[dBA Sum]],"")</f>
        <v>40.987939447961431</v>
      </c>
      <c r="DQ82" s="55" t="str">
        <f>IF(AND(RecData[[#This Row],[Useable Background Data?]],RecData[[#This Row],[Turbines ON/OFF]]="OFF"),RecData[[#This Row],[dBA Sum]],"")</f>
        <v/>
      </c>
      <c r="DR82" s="3">
        <f>IF(OR(RecData[[#This Row],[Useable TON Data?]],RecData[[#This Row],[Useable Background Data?]]),ROUND(RecData[[#This Row],[WSpd_Avg '[m/s']]],0),"")</f>
        <v>1</v>
      </c>
      <c r="DS82" s="85">
        <f>(0.00002)^2*(10^(RecData[[#This Row],[Overall (dBA)]]/10))</f>
        <v>5.0217366780834836E-6</v>
      </c>
    </row>
    <row r="83" spans="1:123" ht="15" x14ac:dyDescent="0.25">
      <c r="A83" s="3" t="s">
        <v>249</v>
      </c>
      <c r="B83" s="12">
        <v>43252.158333333333</v>
      </c>
      <c r="C83" s="3"/>
      <c r="D83" s="3">
        <v>40.700000000000003</v>
      </c>
      <c r="E83" s="3"/>
      <c r="F83" s="3"/>
      <c r="G83" s="3"/>
      <c r="H83" s="3"/>
      <c r="I83" s="3"/>
      <c r="J83" s="3"/>
      <c r="K83" s="3">
        <v>38.700000000000003</v>
      </c>
      <c r="L83" s="3"/>
      <c r="M83" s="3"/>
      <c r="N83" s="3">
        <v>181.6</v>
      </c>
      <c r="O83" s="3"/>
      <c r="P83" s="3"/>
      <c r="Q83" s="3">
        <v>1.66</v>
      </c>
      <c r="R83" s="3">
        <v>0.8</v>
      </c>
      <c r="S83" s="3">
        <v>2.9</v>
      </c>
      <c r="T83" s="3">
        <v>7.2</v>
      </c>
      <c r="U83" s="3">
        <v>89.7</v>
      </c>
      <c r="V83" s="3">
        <v>965.1</v>
      </c>
      <c r="W83" s="3">
        <v>0</v>
      </c>
      <c r="X83" s="3">
        <v>46.4</v>
      </c>
      <c r="Y83" s="3">
        <v>45.6</v>
      </c>
      <c r="Z83" s="3">
        <v>45.4</v>
      </c>
      <c r="AA83" s="3">
        <v>41.4</v>
      </c>
      <c r="AB83" s="3">
        <v>35.799999999999997</v>
      </c>
      <c r="AC83" s="3">
        <v>34.799999999999997</v>
      </c>
      <c r="AD83" s="3">
        <v>37.200000000000003</v>
      </c>
      <c r="AE83" s="3">
        <v>39.5</v>
      </c>
      <c r="AF83" s="3">
        <v>43.5</v>
      </c>
      <c r="AG83" s="3">
        <v>38.5</v>
      </c>
      <c r="AH83" s="3">
        <v>35.4</v>
      </c>
      <c r="AI83" s="3">
        <v>36.1</v>
      </c>
      <c r="AJ83" s="3">
        <v>34.9</v>
      </c>
      <c r="AK83" s="3">
        <v>33.4</v>
      </c>
      <c r="AL83" s="3">
        <v>31.6</v>
      </c>
      <c r="AM83" s="3">
        <v>31.8</v>
      </c>
      <c r="AN83" s="3">
        <v>31.1</v>
      </c>
      <c r="AO83" s="3">
        <v>28.4</v>
      </c>
      <c r="AP83" s="3">
        <v>26.2</v>
      </c>
      <c r="AQ83" s="3">
        <v>25</v>
      </c>
      <c r="AR83" s="3">
        <v>22.5</v>
      </c>
      <c r="AS83" s="3">
        <v>28.6</v>
      </c>
      <c r="AT83" s="3">
        <v>33.299999999999997</v>
      </c>
      <c r="AU83" s="3">
        <v>17.600000000000001</v>
      </c>
      <c r="AV83" s="3">
        <v>16.399999999999999</v>
      </c>
      <c r="AW83" s="3">
        <v>15.3</v>
      </c>
      <c r="AX83" s="3">
        <v>12.2</v>
      </c>
      <c r="AY83" s="3">
        <v>11.3</v>
      </c>
      <c r="AZ83" s="3">
        <v>0</v>
      </c>
      <c r="BA83" s="3">
        <v>0</v>
      </c>
      <c r="BB83" s="3">
        <v>0</v>
      </c>
      <c r="BC83" s="3">
        <v>40.702394977338784</v>
      </c>
      <c r="BD83" s="3">
        <v>46.39760502266121</v>
      </c>
      <c r="BE83" s="3">
        <v>45.597605022661227</v>
      </c>
      <c r="BF83" s="3">
        <v>44.157605022661215</v>
      </c>
      <c r="BG83" s="3">
        <v>40.484271689327883</v>
      </c>
      <c r="BH83" s="3">
        <v>35.024271689327875</v>
      </c>
      <c r="BI83" s="3">
        <v>34.437605022661216</v>
      </c>
      <c r="BJ83" s="3">
        <v>37.630938355994559</v>
      </c>
      <c r="BK83" s="3">
        <v>39.804271689327877</v>
      </c>
      <c r="BL83" s="3">
        <v>43.377605022661228</v>
      </c>
      <c r="BM83" s="3">
        <v>38.510938355994554</v>
      </c>
      <c r="BN83" s="3">
        <v>35.694271689327891</v>
      </c>
      <c r="BO83" s="3">
        <v>35.760938355994554</v>
      </c>
      <c r="BP83" s="3">
        <v>34.27760502266122</v>
      </c>
      <c r="BQ83" s="3">
        <v>33.194271689327877</v>
      </c>
      <c r="BR83" s="3">
        <v>31.720938355994562</v>
      </c>
      <c r="BS83" s="3">
        <v>31.724271689327892</v>
      </c>
      <c r="BT83" s="3">
        <v>31.220938355994562</v>
      </c>
      <c r="BU83" s="3">
        <v>28.487605022661214</v>
      </c>
      <c r="BV83" s="3">
        <v>26.004271689327894</v>
      </c>
      <c r="BW83" s="3">
        <v>25.337605022661222</v>
      </c>
      <c r="BX83" s="3">
        <v>22.757605022661224</v>
      </c>
      <c r="BY83" s="3">
        <v>28.677605022661211</v>
      </c>
      <c r="BZ83" s="3">
        <v>33.507605022661224</v>
      </c>
      <c r="CA83" s="3">
        <v>17.907605022661215</v>
      </c>
      <c r="CB83" s="3">
        <v>16.14427168932788</v>
      </c>
      <c r="CC83" s="3">
        <v>15.257605022661217</v>
      </c>
      <c r="CD83" s="3">
        <v>11.464271689327887</v>
      </c>
      <c r="CE83" s="3">
        <v>10.757605022661217</v>
      </c>
      <c r="CF83" s="3">
        <v>-0.92906164400545066</v>
      </c>
      <c r="CG83" s="3">
        <v>-1.4623949773387821</v>
      </c>
      <c r="CH83" s="3">
        <v>-2.5390616440054501</v>
      </c>
      <c r="CI83" s="13">
        <f>[1]!dbasum(RecData[[#This Row],[20]:[2000]],RecData[[#Headers],[20]:[2000]])</f>
        <v>38.873846810399371</v>
      </c>
      <c r="CJ83" s="14">
        <v>773</v>
      </c>
      <c r="CK83" s="15" t="s">
        <v>249</v>
      </c>
      <c r="CL83" s="15">
        <f>RecData[[#This Row],[Start Time]]</f>
        <v>43252.158333333333</v>
      </c>
      <c r="CM83" s="16">
        <f>RecData[[#This Row],[Wind Speed avg]]</f>
        <v>1.66</v>
      </c>
      <c r="CN83" s="16">
        <f>RecData[[#This Row],[Wind Dir. avg]]</f>
        <v>181.6</v>
      </c>
      <c r="CO83" s="16">
        <f>RecData[[#This Row],[Amb. Humidity]]</f>
        <v>89.7</v>
      </c>
      <c r="CP83" s="16">
        <f>RecData[[#This Row],[Amb. Temperature]]</f>
        <v>7.2</v>
      </c>
      <c r="CQ83" s="17">
        <f>RecData[[#This Row],[Amb. Rain Gauge]]</f>
        <v>0</v>
      </c>
      <c r="CR83" s="97" t="s">
        <v>1</v>
      </c>
      <c r="CS83" s="97" t="s">
        <v>49</v>
      </c>
      <c r="CT83" s="98">
        <v>1596.4254149999999</v>
      </c>
      <c r="CU83" s="98">
        <v>24.000202178955</v>
      </c>
      <c r="CV83" s="98">
        <v>10.187614440917899</v>
      </c>
      <c r="CW83" s="98">
        <v>15.209653854370099</v>
      </c>
      <c r="CX83" s="97"/>
      <c r="CY83" s="99"/>
      <c r="CZ83" s="2" t="b">
        <f>IF($DP$1="YES",IF(RecData[[#This Row],[Power (kW)]]&gt;=$CR$3, TRUE,FALSE),TRUE)</f>
        <v>1</v>
      </c>
      <c r="DA83" s="16">
        <f>MIN(MOD(180-ABS(ABS($DA$1-RecData[Yaw Angle (°)])-180),360),MOD(180-ABS(ABS($DB$1-RecData[Yaw Angle (°)])-180),360))</f>
        <v>16.470275401267457</v>
      </c>
      <c r="DB83" s="2" t="str">
        <f>IF($DP$2="None","None",IF(RecData[[#This Row],[Relative Wind Direction]]&lt;=45,"DW",IF(RecData[[#This Row],[Relative Wind Direction]]&lt;=135,"CW","UW")))</f>
        <v>DW</v>
      </c>
      <c r="DC83" s="61" t="e">
        <f>IF($CL83-#REF!&gt;1/24,#REF!,IF(SUM($CQ82:$CQ83)&gt;$DS$1,$DS$5,DC84-1))</f>
        <v>#REF!</v>
      </c>
      <c r="DD83" s="61" t="e">
        <f>IF($CL84-$CL83&gt;1/24,#REF!,IF(SUM($CQ82:$CQ83)&gt;$DS$1,$DS$6,#REF!-1))</f>
        <v>#REF!</v>
      </c>
      <c r="DE83" s="18" t="b">
        <v>0</v>
      </c>
      <c r="DF83" s="2" t="b">
        <f>IF(OR(RecData[[#This Row],[WSpd_Avg '[m/s']]]-RecData[[#This Row],[Wind Speed min]]&gt;=$DF$3,RecData[[#This Row],[Wind Speed max]]-RecData[[#This Row],[WSpd_Avg '[m/s']]]&gt;=$DF$2),TRUE,FALSE)</f>
        <v>0</v>
      </c>
      <c r="DG83" s="2" t="b">
        <f>RecData[[#This Row],[Temperature '[°C']]]&lt;=-20</f>
        <v>0</v>
      </c>
      <c r="DH83" s="18" t="b">
        <f>NOT(OR(MOD(RecData[[#This Row],[TIMESTAMP]],1)&gt;0.91632,MOD(RecData[[#This Row],[TIMESTAMP]],1)&lt;0.208681))</f>
        <v>0</v>
      </c>
      <c r="DI83" s="18" t="b">
        <f>RecData[[#This Row],[Overall (dBA)]]-RecData[[#This Row],[L90]]&gt;=$DS$4</f>
        <v>0</v>
      </c>
      <c r="DJ83" s="18" t="b">
        <f>RecData[[#This Row],[Overall (dBA)]]&gt;$DS$2</f>
        <v>0</v>
      </c>
      <c r="DK83" s="18" t="b">
        <f>RecData[[#This Row],[Overall (dBA)]]&lt;$DS$3</f>
        <v>0</v>
      </c>
      <c r="DL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3" s="2">
        <f>IF(AND(RecData[[#This Row],[Turbines ON/OFF]] = "OFF", NOT(OR(RecData[[#This Row],[Junk?]]="YES",RecData[[#This Row],[Gust?]],RecData[[#This Row],[Rain?]:[Min SPL Threshold?]]))),1,0)</f>
        <v>0</v>
      </c>
      <c r="DN83" s="16">
        <f>RecData[[#This Row],[dBA Sum]]</f>
        <v>38.873846810399371</v>
      </c>
      <c r="DO83" s="16">
        <f>RecData[[#This Row],[LAF90.0]]</f>
        <v>38.700000000000003</v>
      </c>
      <c r="DP83" s="55">
        <f>IF(AND(RecData[[#This Row],[Useable TON Data?]],RecData[[#This Row],[Turbines ON/OFF]]="ON"),RecData[[#This Row],[dBA Sum]],"")</f>
        <v>38.873846810399371</v>
      </c>
      <c r="DQ83" s="55" t="str">
        <f>IF(AND(RecData[[#This Row],[Useable Background Data?]],RecData[[#This Row],[Turbines ON/OFF]]="OFF"),RecData[[#This Row],[dBA Sum]],"")</f>
        <v/>
      </c>
      <c r="DR83" s="3">
        <f>IF(OR(RecData[[#This Row],[Useable TON Data?]],RecData[[#This Row],[Useable Background Data?]]),ROUND(RecData[[#This Row],[WSpd_Avg '[m/s']]],0),"")</f>
        <v>2</v>
      </c>
      <c r="DS83" s="85">
        <f>(0.00002)^2*(10^(RecData[[#This Row],[Overall (dBA)]]/10))</f>
        <v>3.0863464306545134E-6</v>
      </c>
    </row>
    <row r="84" spans="1:123" ht="15" x14ac:dyDescent="0.25">
      <c r="A84" s="3" t="s">
        <v>249</v>
      </c>
      <c r="B84" s="12">
        <v>43252.15902777778</v>
      </c>
      <c r="C84" s="3"/>
      <c r="D84" s="3">
        <v>40.6</v>
      </c>
      <c r="E84" s="3"/>
      <c r="F84" s="3"/>
      <c r="G84" s="3"/>
      <c r="H84" s="3"/>
      <c r="I84" s="3"/>
      <c r="J84" s="3"/>
      <c r="K84" s="3">
        <v>38.700000000000003</v>
      </c>
      <c r="L84" s="3"/>
      <c r="M84" s="3"/>
      <c r="N84" s="3">
        <v>160.19999999999999</v>
      </c>
      <c r="O84" s="3"/>
      <c r="P84" s="3"/>
      <c r="Q84" s="3">
        <v>0.8</v>
      </c>
      <c r="R84" s="3">
        <v>0.1</v>
      </c>
      <c r="S84" s="3">
        <v>2</v>
      </c>
      <c r="T84" s="3">
        <v>7.2</v>
      </c>
      <c r="U84" s="3">
        <v>90</v>
      </c>
      <c r="V84" s="3">
        <v>965.1</v>
      </c>
      <c r="W84" s="3">
        <v>0</v>
      </c>
      <c r="X84" s="3">
        <v>47.1</v>
      </c>
      <c r="Y84" s="3">
        <v>46</v>
      </c>
      <c r="Z84" s="3">
        <v>45.8</v>
      </c>
      <c r="AA84" s="3">
        <v>41.9</v>
      </c>
      <c r="AB84" s="3">
        <v>36.700000000000003</v>
      </c>
      <c r="AC84" s="3">
        <v>36.200000000000003</v>
      </c>
      <c r="AD84" s="3">
        <v>38.6</v>
      </c>
      <c r="AE84" s="3">
        <v>39.799999999999997</v>
      </c>
      <c r="AF84" s="3">
        <v>45</v>
      </c>
      <c r="AG84" s="3">
        <v>37.5</v>
      </c>
      <c r="AH84" s="3">
        <v>36.299999999999997</v>
      </c>
      <c r="AI84" s="3">
        <v>37</v>
      </c>
      <c r="AJ84" s="3">
        <v>35.200000000000003</v>
      </c>
      <c r="AK84" s="3">
        <v>33.700000000000003</v>
      </c>
      <c r="AL84" s="3">
        <v>30.9</v>
      </c>
      <c r="AM84" s="3">
        <v>29.9</v>
      </c>
      <c r="AN84" s="3">
        <v>28.5</v>
      </c>
      <c r="AO84" s="3">
        <v>26.1</v>
      </c>
      <c r="AP84" s="3">
        <v>24</v>
      </c>
      <c r="AQ84" s="3">
        <v>23.2</v>
      </c>
      <c r="AR84" s="3">
        <v>21.4</v>
      </c>
      <c r="AS84" s="3">
        <v>29.5</v>
      </c>
      <c r="AT84" s="3">
        <v>34.200000000000003</v>
      </c>
      <c r="AU84" s="3">
        <v>17.899999999999999</v>
      </c>
      <c r="AV84" s="3">
        <v>16.8</v>
      </c>
      <c r="AW84" s="3">
        <v>15</v>
      </c>
      <c r="AX84" s="3">
        <v>12.1</v>
      </c>
      <c r="AY84" s="3">
        <v>11</v>
      </c>
      <c r="AZ84" s="3">
        <v>0</v>
      </c>
      <c r="BA84" s="3">
        <v>0</v>
      </c>
      <c r="BB84" s="3">
        <v>0</v>
      </c>
      <c r="BC84" s="3">
        <v>40.612156988069884</v>
      </c>
      <c r="BD84" s="3">
        <v>47.087843011930119</v>
      </c>
      <c r="BE84" s="3">
        <v>45.98784301193011</v>
      </c>
      <c r="BF84" s="3">
        <v>44.547843011930112</v>
      </c>
      <c r="BG84" s="3">
        <v>40.974509678596789</v>
      </c>
      <c r="BH84" s="3">
        <v>35.914509678596787</v>
      </c>
      <c r="BI84" s="3">
        <v>35.827843011930113</v>
      </c>
      <c r="BJ84" s="3">
        <v>39.021176345263441</v>
      </c>
      <c r="BK84" s="3">
        <v>40.094509678596779</v>
      </c>
      <c r="BL84" s="3">
        <v>44.86784301193012</v>
      </c>
      <c r="BM84" s="3">
        <v>37.50117634526346</v>
      </c>
      <c r="BN84" s="3">
        <v>36.584509678596774</v>
      </c>
      <c r="BO84" s="3">
        <v>36.651176345263451</v>
      </c>
      <c r="BP84" s="3">
        <v>34.567843011930123</v>
      </c>
      <c r="BQ84" s="3">
        <v>33.48450967859678</v>
      </c>
      <c r="BR84" s="3">
        <v>31.011176345263451</v>
      </c>
      <c r="BS84" s="3">
        <v>29.814509678596778</v>
      </c>
      <c r="BT84" s="3">
        <v>28.611176345263445</v>
      </c>
      <c r="BU84" s="3">
        <v>26.177843011930122</v>
      </c>
      <c r="BV84" s="3">
        <v>23.794509678596782</v>
      </c>
      <c r="BW84" s="3">
        <v>23.527843011930116</v>
      </c>
      <c r="BX84" s="3">
        <v>21.647843011930121</v>
      </c>
      <c r="BY84" s="3">
        <v>29.567843011930123</v>
      </c>
      <c r="BZ84" s="3">
        <v>34.397843011930121</v>
      </c>
      <c r="CA84" s="3">
        <v>18.197843011930104</v>
      </c>
      <c r="CB84" s="3">
        <v>16.534509678596784</v>
      </c>
      <c r="CC84" s="3">
        <v>14.947843011930118</v>
      </c>
      <c r="CD84" s="3">
        <v>11.354509678596784</v>
      </c>
      <c r="CE84" s="3">
        <v>10.447843011930118</v>
      </c>
      <c r="CF84" s="3">
        <v>-0.93882365473655227</v>
      </c>
      <c r="CG84" s="3">
        <v>-1.4721569880698837</v>
      </c>
      <c r="CH84" s="3">
        <v>-2.5488236547365517</v>
      </c>
      <c r="CI84" s="13">
        <f>[1]!dbasum(RecData[[#This Row],[20]:[2000]],RecData[[#Headers],[20]:[2000]])</f>
        <v>38.155497734844566</v>
      </c>
      <c r="CJ84" s="14">
        <v>774</v>
      </c>
      <c r="CK84" s="15" t="s">
        <v>249</v>
      </c>
      <c r="CL84" s="15">
        <f>RecData[[#This Row],[Start Time]]</f>
        <v>43252.15902777778</v>
      </c>
      <c r="CM84" s="16">
        <f>RecData[[#This Row],[Wind Speed avg]]</f>
        <v>0.8</v>
      </c>
      <c r="CN84" s="16">
        <f>RecData[[#This Row],[Wind Dir. avg]]</f>
        <v>160.19999999999999</v>
      </c>
      <c r="CO84" s="16">
        <f>RecData[[#This Row],[Amb. Humidity]]</f>
        <v>90</v>
      </c>
      <c r="CP84" s="16">
        <f>RecData[[#This Row],[Amb. Temperature]]</f>
        <v>7.2</v>
      </c>
      <c r="CQ84" s="17">
        <f>RecData[[#This Row],[Amb. Rain Gauge]]</f>
        <v>0</v>
      </c>
      <c r="CR84" s="97" t="s">
        <v>1</v>
      </c>
      <c r="CS84" s="97" t="s">
        <v>49</v>
      </c>
      <c r="CT84" s="98">
        <v>1596.4254149999999</v>
      </c>
      <c r="CU84" s="98">
        <v>24.000202178955</v>
      </c>
      <c r="CV84" s="98">
        <v>10.187614440917899</v>
      </c>
      <c r="CW84" s="98">
        <v>15.209653854370099</v>
      </c>
      <c r="CX84" s="97"/>
      <c r="CY84" s="99"/>
      <c r="CZ84" s="2" t="b">
        <f>IF($DP$1="YES",IF(RecData[[#This Row],[Power (kW)]]&gt;=$CR$3, TRUE,FALSE),TRUE)</f>
        <v>1</v>
      </c>
      <c r="DA84" s="16">
        <f>MIN(MOD(180-ABS(ABS($DA$1-RecData[Yaw Angle (°)])-180),360),MOD(180-ABS(ABS($DB$1-RecData[Yaw Angle (°)])-180),360))</f>
        <v>16.470275401267457</v>
      </c>
      <c r="DB84" s="2" t="str">
        <f>IF($DP$2="None","None",IF(RecData[[#This Row],[Relative Wind Direction]]&lt;=45,"DW",IF(RecData[[#This Row],[Relative Wind Direction]]&lt;=135,"CW","UW")))</f>
        <v>DW</v>
      </c>
      <c r="DC84" s="61" t="e">
        <f>IF($CL84-$CL82&gt;1/24,#REF!,IF(SUM($CQ82:$CQ84)&gt;$DS$1,$DS$5,#REF!-1))</f>
        <v>#REF!</v>
      </c>
      <c r="DD84" s="61" t="e">
        <f>IF(#REF!-$CL84&gt;1/24,#REF!,IF(SUM($CQ82:$CQ84)&gt;$DS$1,$DS$6,DD83-1))</f>
        <v>#REF!</v>
      </c>
      <c r="DE84" s="18" t="b">
        <v>0</v>
      </c>
      <c r="DF84" s="2" t="b">
        <f>IF(OR(RecData[[#This Row],[WSpd_Avg '[m/s']]]-RecData[[#This Row],[Wind Speed min]]&gt;=$DF$3,RecData[[#This Row],[Wind Speed max]]-RecData[[#This Row],[WSpd_Avg '[m/s']]]&gt;=$DF$2),TRUE,FALSE)</f>
        <v>0</v>
      </c>
      <c r="DG84" s="2" t="b">
        <f>RecData[[#This Row],[Temperature '[°C']]]&lt;=-20</f>
        <v>0</v>
      </c>
      <c r="DH84" s="18" t="b">
        <f>NOT(OR(MOD(RecData[[#This Row],[TIMESTAMP]],1)&gt;0.91632,MOD(RecData[[#This Row],[TIMESTAMP]],1)&lt;0.208681))</f>
        <v>0</v>
      </c>
      <c r="DI84" s="18" t="b">
        <f>RecData[[#This Row],[Overall (dBA)]]-RecData[[#This Row],[L90]]&gt;=$DS$4</f>
        <v>0</v>
      </c>
      <c r="DJ84" s="18" t="b">
        <f>RecData[[#This Row],[Overall (dBA)]]&gt;$DS$2</f>
        <v>0</v>
      </c>
      <c r="DK84" s="18" t="b">
        <f>RecData[[#This Row],[Overall (dBA)]]&lt;$DS$3</f>
        <v>0</v>
      </c>
      <c r="DL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4" s="2">
        <f>IF(AND(RecData[[#This Row],[Turbines ON/OFF]] = "OFF", NOT(OR(RecData[[#This Row],[Junk?]]="YES",RecData[[#This Row],[Gust?]],RecData[[#This Row],[Rain?]:[Min SPL Threshold?]]))),1,0)</f>
        <v>0</v>
      </c>
      <c r="DN84" s="16">
        <f>RecData[[#This Row],[dBA Sum]]</f>
        <v>38.155497734844566</v>
      </c>
      <c r="DO84" s="16">
        <f>RecData[[#This Row],[LAF90.0]]</f>
        <v>38.700000000000003</v>
      </c>
      <c r="DP84" s="55">
        <f>IF(AND(RecData[[#This Row],[Useable TON Data?]],RecData[[#This Row],[Turbines ON/OFF]]="ON"),RecData[[#This Row],[dBA Sum]],"")</f>
        <v>38.155497734844566</v>
      </c>
      <c r="DQ84" s="55" t="str">
        <f>IF(AND(RecData[[#This Row],[Useable Background Data?]],RecData[[#This Row],[Turbines ON/OFF]]="OFF"),RecData[[#This Row],[dBA Sum]],"")</f>
        <v/>
      </c>
      <c r="DR84" s="3">
        <f>IF(OR(RecData[[#This Row],[Useable TON Data?]],RecData[[#This Row],[Useable Background Data?]]),ROUND(RecData[[#This Row],[WSpd_Avg '[m/s']]],0),"")</f>
        <v>1</v>
      </c>
      <c r="DS84" s="85">
        <f>(0.00002)^2*(10^(RecData[[#This Row],[Overall (dBA)]]/10))</f>
        <v>2.6158314972281532E-6</v>
      </c>
    </row>
    <row r="85" spans="1:123" ht="15" x14ac:dyDescent="0.25">
      <c r="A85" s="3" t="s">
        <v>249</v>
      </c>
      <c r="B85" s="12">
        <v>43252.160416666666</v>
      </c>
      <c r="C85" s="3"/>
      <c r="D85" s="3">
        <v>41.4</v>
      </c>
      <c r="E85" s="3"/>
      <c r="F85" s="3"/>
      <c r="G85" s="3"/>
      <c r="H85" s="3"/>
      <c r="I85" s="3"/>
      <c r="J85" s="3"/>
      <c r="K85" s="3">
        <v>39.799999999999997</v>
      </c>
      <c r="L85" s="3"/>
      <c r="M85" s="3"/>
      <c r="N85" s="3">
        <v>179.5</v>
      </c>
      <c r="O85" s="3"/>
      <c r="P85" s="3"/>
      <c r="Q85" s="3">
        <v>1.4</v>
      </c>
      <c r="R85" s="3">
        <v>0.6</v>
      </c>
      <c r="S85" s="3">
        <v>2.5</v>
      </c>
      <c r="T85" s="3">
        <v>7.2</v>
      </c>
      <c r="U85" s="3">
        <v>90.2</v>
      </c>
      <c r="V85" s="3">
        <v>965.1</v>
      </c>
      <c r="W85" s="3">
        <v>0</v>
      </c>
      <c r="X85" s="3">
        <v>48.9</v>
      </c>
      <c r="Y85" s="3">
        <v>47.2</v>
      </c>
      <c r="Z85" s="3">
        <v>45.9</v>
      </c>
      <c r="AA85" s="3">
        <v>42.9</v>
      </c>
      <c r="AB85" s="3">
        <v>38.299999999999997</v>
      </c>
      <c r="AC85" s="3">
        <v>37.1</v>
      </c>
      <c r="AD85" s="3">
        <v>40.200000000000003</v>
      </c>
      <c r="AE85" s="3">
        <v>42.6</v>
      </c>
      <c r="AF85" s="3">
        <v>45.3</v>
      </c>
      <c r="AG85" s="3">
        <v>40</v>
      </c>
      <c r="AH85" s="3">
        <v>39.5</v>
      </c>
      <c r="AI85" s="3">
        <v>39.299999999999997</v>
      </c>
      <c r="AJ85" s="3">
        <v>38.5</v>
      </c>
      <c r="AK85" s="3">
        <v>36.200000000000003</v>
      </c>
      <c r="AL85" s="3">
        <v>33.5</v>
      </c>
      <c r="AM85" s="3">
        <v>32.1</v>
      </c>
      <c r="AN85" s="3">
        <v>30.5</v>
      </c>
      <c r="AO85" s="3">
        <v>27.7</v>
      </c>
      <c r="AP85" s="3">
        <v>25.4</v>
      </c>
      <c r="AQ85" s="3">
        <v>24.1</v>
      </c>
      <c r="AR85" s="3">
        <v>21.5</v>
      </c>
      <c r="AS85" s="3">
        <v>27.3</v>
      </c>
      <c r="AT85" s="3">
        <v>32</v>
      </c>
      <c r="AU85" s="3">
        <v>15.4</v>
      </c>
      <c r="AV85" s="3">
        <v>14</v>
      </c>
      <c r="AW85" s="3">
        <v>12.2</v>
      </c>
      <c r="AX85" s="3">
        <v>10.3</v>
      </c>
      <c r="AY85" s="3">
        <v>9.8000000000000007</v>
      </c>
      <c r="AZ85" s="3">
        <v>0</v>
      </c>
      <c r="BA85" s="3">
        <v>0</v>
      </c>
      <c r="BB85" s="3">
        <v>0</v>
      </c>
      <c r="BC85" s="3">
        <v>41.412554168402878</v>
      </c>
      <c r="BD85" s="3">
        <v>48.88744583159712</v>
      </c>
      <c r="BE85" s="3">
        <v>47.187445831597117</v>
      </c>
      <c r="BF85" s="3">
        <v>44.647445831597125</v>
      </c>
      <c r="BG85" s="3">
        <v>41.974112498263779</v>
      </c>
      <c r="BH85" s="3">
        <v>37.514112498263785</v>
      </c>
      <c r="BI85" s="3">
        <v>36.727445831597123</v>
      </c>
      <c r="BJ85" s="3">
        <v>40.620779164930454</v>
      </c>
      <c r="BK85" s="3">
        <v>42.894112498263794</v>
      </c>
      <c r="BL85" s="3">
        <v>45.167445831597121</v>
      </c>
      <c r="BM85" s="3">
        <v>40.000779164930449</v>
      </c>
      <c r="BN85" s="3">
        <v>39.784112498263781</v>
      </c>
      <c r="BO85" s="3">
        <v>38.950779164930452</v>
      </c>
      <c r="BP85" s="3">
        <v>37.867445831597124</v>
      </c>
      <c r="BQ85" s="3">
        <v>35.984112498263784</v>
      </c>
      <c r="BR85" s="3">
        <v>33.610779164930463</v>
      </c>
      <c r="BS85" s="3">
        <v>32.014112498263799</v>
      </c>
      <c r="BT85" s="3">
        <v>30.610779164930463</v>
      </c>
      <c r="BU85" s="3">
        <v>27.77744583159712</v>
      </c>
      <c r="BV85" s="3">
        <v>25.194112498263792</v>
      </c>
      <c r="BW85" s="3">
        <v>24.427445831597126</v>
      </c>
      <c r="BX85" s="3">
        <v>21.747445831597126</v>
      </c>
      <c r="BY85" s="3">
        <v>27.367445831597124</v>
      </c>
      <c r="BZ85" s="3">
        <v>32.197445831597122</v>
      </c>
      <c r="CA85" s="3">
        <v>15.697445831597115</v>
      </c>
      <c r="CB85" s="3">
        <v>13.734112498263784</v>
      </c>
      <c r="CC85" s="3">
        <v>12.147445831597118</v>
      </c>
      <c r="CD85" s="3">
        <v>9.5541124982637911</v>
      </c>
      <c r="CE85" s="3">
        <v>9.2474458315971191</v>
      </c>
      <c r="CF85" s="3">
        <v>-0.93922083506954834</v>
      </c>
      <c r="CG85" s="3">
        <v>-1.4725541684028798</v>
      </c>
      <c r="CH85" s="3">
        <v>-2.5492208350695478</v>
      </c>
      <c r="CI85" s="13">
        <f>[1]!dbasum(RecData[[#This Row],[20]:[2000]],RecData[[#Headers],[20]:[2000]])</f>
        <v>40.28285845069361</v>
      </c>
      <c r="CJ85" s="14">
        <v>776</v>
      </c>
      <c r="CK85" s="15" t="s">
        <v>249</v>
      </c>
      <c r="CL85" s="15">
        <f>RecData[[#This Row],[Start Time]]</f>
        <v>43252.160416666666</v>
      </c>
      <c r="CM85" s="16">
        <f>RecData[[#This Row],[Wind Speed avg]]</f>
        <v>1.4</v>
      </c>
      <c r="CN85" s="16">
        <f>RecData[[#This Row],[Wind Dir. avg]]</f>
        <v>179.5</v>
      </c>
      <c r="CO85" s="16">
        <f>RecData[[#This Row],[Amb. Humidity]]</f>
        <v>90.2</v>
      </c>
      <c r="CP85" s="16">
        <f>RecData[[#This Row],[Amb. Temperature]]</f>
        <v>7.2</v>
      </c>
      <c r="CQ85" s="17">
        <f>RecData[[#This Row],[Amb. Rain Gauge]]</f>
        <v>0</v>
      </c>
      <c r="CR85" s="97" t="s">
        <v>1</v>
      </c>
      <c r="CS85" s="97" t="s">
        <v>49</v>
      </c>
      <c r="CT85" s="98">
        <v>1416.949341</v>
      </c>
      <c r="CU85" s="98">
        <v>24.000202178955</v>
      </c>
      <c r="CV85" s="98">
        <v>9.0218715667724592</v>
      </c>
      <c r="CW85" s="98">
        <v>15.070339202880801</v>
      </c>
      <c r="CX85" s="97"/>
      <c r="CY85" s="99"/>
      <c r="CZ85" s="2" t="b">
        <f>IF($DP$1="YES",IF(RecData[[#This Row],[Power (kW)]]&gt;=$CR$3, TRUE,FALSE),TRUE)</f>
        <v>1</v>
      </c>
      <c r="DA85" s="16">
        <f>MIN(MOD(180-ABS(ABS($DA$1-RecData[Yaw Angle (°)])-180),360),MOD(180-ABS(ABS($DB$1-RecData[Yaw Angle (°)])-180),360))</f>
        <v>16.470275401267457</v>
      </c>
      <c r="DB85" s="2" t="str">
        <f>IF($DP$2="None","None",IF(RecData[[#This Row],[Relative Wind Direction]]&lt;=45,"DW",IF(RecData[[#This Row],[Relative Wind Direction]]&lt;=135,"CW","UW")))</f>
        <v>DW</v>
      </c>
      <c r="DC85" s="61" t="e">
        <f>IF($CL85-#REF!&gt;1/24,#REF!,IF(SUM($CQ85:$CQ85)&gt;$DS$1,$DS$5,#REF!-1))</f>
        <v>#REF!</v>
      </c>
      <c r="DD85" s="61" t="e">
        <f>IF(#REF!-$CL85&gt;1/24,#REF!,IF(SUM($CQ85:$CQ85)&gt;$DS$1,$DS$6,#REF!-1))</f>
        <v>#REF!</v>
      </c>
      <c r="DE85" s="18" t="b">
        <v>0</v>
      </c>
      <c r="DF85" s="2" t="b">
        <f>IF(OR(RecData[[#This Row],[WSpd_Avg '[m/s']]]-RecData[[#This Row],[Wind Speed min]]&gt;=$DF$3,RecData[[#This Row],[Wind Speed max]]-RecData[[#This Row],[WSpd_Avg '[m/s']]]&gt;=$DF$2),TRUE,FALSE)</f>
        <v>0</v>
      </c>
      <c r="DG85" s="2" t="b">
        <f>RecData[[#This Row],[Temperature '[°C']]]&lt;=-20</f>
        <v>0</v>
      </c>
      <c r="DH85" s="18" t="b">
        <f>NOT(OR(MOD(RecData[[#This Row],[TIMESTAMP]],1)&gt;0.91632,MOD(RecData[[#This Row],[TIMESTAMP]],1)&lt;0.208681))</f>
        <v>0</v>
      </c>
      <c r="DI85" s="18" t="b">
        <f>RecData[[#This Row],[Overall (dBA)]]-RecData[[#This Row],[L90]]&gt;=$DS$4</f>
        <v>0</v>
      </c>
      <c r="DJ85" s="18" t="b">
        <f>RecData[[#This Row],[Overall (dBA)]]&gt;$DS$2</f>
        <v>0</v>
      </c>
      <c r="DK85" s="18" t="b">
        <f>RecData[[#This Row],[Overall (dBA)]]&lt;$DS$3</f>
        <v>0</v>
      </c>
      <c r="DL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5" s="2">
        <f>IF(AND(RecData[[#This Row],[Turbines ON/OFF]] = "OFF", NOT(OR(RecData[[#This Row],[Junk?]]="YES",RecData[[#This Row],[Gust?]],RecData[[#This Row],[Rain?]:[Min SPL Threshold?]]))),1,0)</f>
        <v>0</v>
      </c>
      <c r="DN85" s="16">
        <f>RecData[[#This Row],[dBA Sum]]</f>
        <v>40.28285845069361</v>
      </c>
      <c r="DO85" s="16">
        <f>RecData[[#This Row],[LAF90.0]]</f>
        <v>39.799999999999997</v>
      </c>
      <c r="DP85" s="55">
        <f>IF(AND(RecData[[#This Row],[Useable TON Data?]],RecData[[#This Row],[Turbines ON/OFF]]="ON"),RecData[[#This Row],[dBA Sum]],"")</f>
        <v>40.28285845069361</v>
      </c>
      <c r="DQ85" s="55" t="str">
        <f>IF(AND(RecData[[#This Row],[Useable Background Data?]],RecData[[#This Row],[Turbines ON/OFF]]="OFF"),RecData[[#This Row],[dBA Sum]],"")</f>
        <v/>
      </c>
      <c r="DR85" s="3">
        <f>IF(OR(RecData[[#This Row],[Useable TON Data?]],RecData[[#This Row],[Useable Background Data?]]),ROUND(RecData[[#This Row],[WSpd_Avg '[m/s']]],0),"")</f>
        <v>1</v>
      </c>
      <c r="DS85" s="85">
        <f>(0.00002)^2*(10^(RecData[[#This Row],[Overall (dBA)]]/10))</f>
        <v>4.2691934692461034E-6</v>
      </c>
    </row>
    <row r="86" spans="1:123" ht="15" x14ac:dyDescent="0.25">
      <c r="A86" s="3" t="s">
        <v>249</v>
      </c>
      <c r="B86" s="12">
        <v>43252.161805555559</v>
      </c>
      <c r="C86" s="3"/>
      <c r="D86" s="3">
        <v>42.4</v>
      </c>
      <c r="E86" s="3"/>
      <c r="F86" s="3"/>
      <c r="G86" s="3"/>
      <c r="H86" s="3"/>
      <c r="I86" s="3"/>
      <c r="J86" s="3"/>
      <c r="K86" s="3">
        <v>40.799999999999997</v>
      </c>
      <c r="L86" s="3"/>
      <c r="M86" s="3"/>
      <c r="N86" s="3">
        <v>157.6</v>
      </c>
      <c r="O86" s="3"/>
      <c r="P86" s="3"/>
      <c r="Q86" s="3">
        <v>1.73</v>
      </c>
      <c r="R86" s="3">
        <v>0.4</v>
      </c>
      <c r="S86" s="3">
        <v>3</v>
      </c>
      <c r="T86" s="3">
        <v>7.1</v>
      </c>
      <c r="U86" s="3">
        <v>90.2</v>
      </c>
      <c r="V86" s="3">
        <v>965.1</v>
      </c>
      <c r="W86" s="3">
        <v>0</v>
      </c>
      <c r="X86" s="3">
        <v>47.3</v>
      </c>
      <c r="Y86" s="3">
        <v>45.8</v>
      </c>
      <c r="Z86" s="3">
        <v>46</v>
      </c>
      <c r="AA86" s="3">
        <v>41.9</v>
      </c>
      <c r="AB86" s="3">
        <v>37</v>
      </c>
      <c r="AC86" s="3">
        <v>36.6</v>
      </c>
      <c r="AD86" s="3">
        <v>40.299999999999997</v>
      </c>
      <c r="AE86" s="3">
        <v>42.2</v>
      </c>
      <c r="AF86" s="3">
        <v>45</v>
      </c>
      <c r="AG86" s="3">
        <v>40</v>
      </c>
      <c r="AH86" s="3">
        <v>38.700000000000003</v>
      </c>
      <c r="AI86" s="3">
        <v>38.4</v>
      </c>
      <c r="AJ86" s="3">
        <v>37.700000000000003</v>
      </c>
      <c r="AK86" s="3">
        <v>36</v>
      </c>
      <c r="AL86" s="3">
        <v>33.9</v>
      </c>
      <c r="AM86" s="3">
        <v>33.4</v>
      </c>
      <c r="AN86" s="3">
        <v>32.5</v>
      </c>
      <c r="AO86" s="3">
        <v>30.1</v>
      </c>
      <c r="AP86" s="3">
        <v>28.1</v>
      </c>
      <c r="AQ86" s="3">
        <v>27</v>
      </c>
      <c r="AR86" s="3">
        <v>25</v>
      </c>
      <c r="AS86" s="3">
        <v>29.5</v>
      </c>
      <c r="AT86" s="3">
        <v>34.1</v>
      </c>
      <c r="AU86" s="3">
        <v>18.8</v>
      </c>
      <c r="AV86" s="3">
        <v>17.100000000000001</v>
      </c>
      <c r="AW86" s="3">
        <v>15.6</v>
      </c>
      <c r="AX86" s="3">
        <v>12</v>
      </c>
      <c r="AY86" s="3">
        <v>10.9</v>
      </c>
      <c r="AZ86" s="3">
        <v>0</v>
      </c>
      <c r="BA86" s="3">
        <v>0</v>
      </c>
      <c r="BB86" s="3">
        <v>0</v>
      </c>
      <c r="BC86" s="3">
        <v>42.382994575882847</v>
      </c>
      <c r="BD86" s="3">
        <v>47.317005424117141</v>
      </c>
      <c r="BE86" s="3">
        <v>45.817005424117141</v>
      </c>
      <c r="BF86" s="3">
        <v>44.777005424117149</v>
      </c>
      <c r="BG86" s="3">
        <v>41.003672090783809</v>
      </c>
      <c r="BH86" s="3">
        <v>36.243672090783818</v>
      </c>
      <c r="BI86" s="3">
        <v>36.257005424117153</v>
      </c>
      <c r="BJ86" s="3">
        <v>40.750338757450479</v>
      </c>
      <c r="BK86" s="3">
        <v>42.523672090783819</v>
      </c>
      <c r="BL86" s="3">
        <v>44.897005424117154</v>
      </c>
      <c r="BM86" s="3">
        <v>40.03033875745048</v>
      </c>
      <c r="BN86" s="3">
        <v>39.013672090783828</v>
      </c>
      <c r="BO86" s="3">
        <v>38.080338757450491</v>
      </c>
      <c r="BP86" s="3">
        <v>37.097005424117157</v>
      </c>
      <c r="BQ86" s="3">
        <v>35.813672090783811</v>
      </c>
      <c r="BR86" s="3">
        <v>34.040338757450485</v>
      </c>
      <c r="BS86" s="3">
        <v>33.343672090783812</v>
      </c>
      <c r="BT86" s="3">
        <v>32.640338757450493</v>
      </c>
      <c r="BU86" s="3">
        <v>30.207005424117156</v>
      </c>
      <c r="BV86" s="3">
        <v>27.923672090783825</v>
      </c>
      <c r="BW86" s="3">
        <v>27.357005424117162</v>
      </c>
      <c r="BX86" s="3">
        <v>25.277005424117149</v>
      </c>
      <c r="BY86" s="3">
        <v>29.597005424117143</v>
      </c>
      <c r="BZ86" s="3">
        <v>34.327005424117161</v>
      </c>
      <c r="CA86" s="3">
        <v>19.127005424117144</v>
      </c>
      <c r="CB86" s="3">
        <v>16.863672090783822</v>
      </c>
      <c r="CC86" s="3">
        <v>15.577005424117147</v>
      </c>
      <c r="CD86" s="3">
        <v>11.283672090783824</v>
      </c>
      <c r="CE86" s="3">
        <v>10.377005424117151</v>
      </c>
      <c r="CF86" s="3">
        <v>-0.90966124254951808</v>
      </c>
      <c r="CG86" s="3">
        <v>-1.4429945758828495</v>
      </c>
      <c r="CH86" s="3">
        <v>-2.5196612425495175</v>
      </c>
      <c r="CI86" s="13">
        <f>[1]!dbasum(RecData[[#This Row],[20]:[2000]],RecData[[#Headers],[20]:[2000]])</f>
        <v>40.945313876878416</v>
      </c>
      <c r="CJ86" s="14">
        <v>778</v>
      </c>
      <c r="CK86" s="15" t="s">
        <v>249</v>
      </c>
      <c r="CL86" s="15">
        <f>RecData[[#This Row],[Start Time]]</f>
        <v>43252.161805555559</v>
      </c>
      <c r="CM86" s="16">
        <f>RecData[[#This Row],[Wind Speed avg]]</f>
        <v>1.73</v>
      </c>
      <c r="CN86" s="16">
        <f>RecData[[#This Row],[Wind Dir. avg]]</f>
        <v>157.6</v>
      </c>
      <c r="CO86" s="16">
        <f>RecData[[#This Row],[Amb. Humidity]]</f>
        <v>90.2</v>
      </c>
      <c r="CP86" s="16">
        <f>RecData[[#This Row],[Amb. Temperature]]</f>
        <v>7.1</v>
      </c>
      <c r="CQ86" s="17">
        <f>RecData[[#This Row],[Amb. Rain Gauge]]</f>
        <v>0</v>
      </c>
      <c r="CR86" s="97" t="s">
        <v>1</v>
      </c>
      <c r="CS86" s="97" t="s">
        <v>49</v>
      </c>
      <c r="CT86" s="98">
        <v>1416.949341</v>
      </c>
      <c r="CU86" s="98">
        <v>24.000202178955</v>
      </c>
      <c r="CV86" s="98">
        <v>9.0218715667724592</v>
      </c>
      <c r="CW86" s="98">
        <v>15.070339202880801</v>
      </c>
      <c r="CX86" s="97"/>
      <c r="CY86" s="99"/>
      <c r="CZ86" s="2" t="b">
        <f>IF($DP$1="YES",IF(RecData[[#This Row],[Power (kW)]]&gt;=$CR$3, TRUE,FALSE),TRUE)</f>
        <v>1</v>
      </c>
      <c r="DA86" s="16">
        <f>MIN(MOD(180-ABS(ABS($DA$1-RecData[Yaw Angle (°)])-180),360),MOD(180-ABS(ABS($DB$1-RecData[Yaw Angle (°)])-180),360))</f>
        <v>16.470275401267457</v>
      </c>
      <c r="DB86" s="2" t="str">
        <f>IF($DP$2="None","None",IF(RecData[[#This Row],[Relative Wind Direction]]&lt;=45,"DW",IF(RecData[[#This Row],[Relative Wind Direction]]&lt;=135,"CW","UW")))</f>
        <v>DW</v>
      </c>
      <c r="DC86" s="61" t="e">
        <f>IF($CL86-#REF!&gt;1/24,#REF!,IF(SUM($CQ85:$CQ86)&gt;$DS$1,$DS$5,#REF!-1))</f>
        <v>#REF!</v>
      </c>
      <c r="DD86" s="61" t="e">
        <f>IF(#REF!-$CL86&gt;1/24,#REF!,IF(SUM($CQ85:$CQ86)&gt;$DS$1,$DS$6,#REF!-1))</f>
        <v>#REF!</v>
      </c>
      <c r="DE86" s="18" t="b">
        <v>0</v>
      </c>
      <c r="DF86" s="2" t="b">
        <f>IF(OR(RecData[[#This Row],[WSpd_Avg '[m/s']]]-RecData[[#This Row],[Wind Speed min]]&gt;=$DF$3,RecData[[#This Row],[Wind Speed max]]-RecData[[#This Row],[WSpd_Avg '[m/s']]]&gt;=$DF$2),TRUE,FALSE)</f>
        <v>0</v>
      </c>
      <c r="DG86" s="2" t="b">
        <f>RecData[[#This Row],[Temperature '[°C']]]&lt;=-20</f>
        <v>0</v>
      </c>
      <c r="DH86" s="18" t="b">
        <f>NOT(OR(MOD(RecData[[#This Row],[TIMESTAMP]],1)&gt;0.91632,MOD(RecData[[#This Row],[TIMESTAMP]],1)&lt;0.208681))</f>
        <v>0</v>
      </c>
      <c r="DI86" s="18" t="b">
        <f>RecData[[#This Row],[Overall (dBA)]]-RecData[[#This Row],[L90]]&gt;=$DS$4</f>
        <v>0</v>
      </c>
      <c r="DJ86" s="18" t="b">
        <f>RecData[[#This Row],[Overall (dBA)]]&gt;$DS$2</f>
        <v>0</v>
      </c>
      <c r="DK86" s="18" t="b">
        <f>RecData[[#This Row],[Overall (dBA)]]&lt;$DS$3</f>
        <v>0</v>
      </c>
      <c r="DL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6" s="2">
        <f>IF(AND(RecData[[#This Row],[Turbines ON/OFF]] = "OFF", NOT(OR(RecData[[#This Row],[Junk?]]="YES",RecData[[#This Row],[Gust?]],RecData[[#This Row],[Rain?]:[Min SPL Threshold?]]))),1,0)</f>
        <v>0</v>
      </c>
      <c r="DN86" s="16">
        <f>RecData[[#This Row],[dBA Sum]]</f>
        <v>40.945313876878416</v>
      </c>
      <c r="DO86" s="16">
        <f>RecData[[#This Row],[LAF90.0]]</f>
        <v>40.799999999999997</v>
      </c>
      <c r="DP86" s="55">
        <f>IF(AND(RecData[[#This Row],[Useable TON Data?]],RecData[[#This Row],[Turbines ON/OFF]]="ON"),RecData[[#This Row],[dBA Sum]],"")</f>
        <v>40.945313876878416</v>
      </c>
      <c r="DQ86" s="55" t="str">
        <f>IF(AND(RecData[[#This Row],[Useable Background Data?]],RecData[[#This Row],[Turbines ON/OFF]]="OFF"),RecData[[#This Row],[dBA Sum]],"")</f>
        <v/>
      </c>
      <c r="DR86" s="3">
        <f>IF(OR(RecData[[#This Row],[Useable TON Data?]],RecData[[#This Row],[Useable Background Data?]]),ROUND(RecData[[#This Row],[WSpd_Avg '[m/s']]],0),"")</f>
        <v>2</v>
      </c>
      <c r="DS86" s="85">
        <f>(0.00002)^2*(10^(RecData[[#This Row],[Overall (dBA)]]/10))</f>
        <v>4.9726899207258663E-6</v>
      </c>
    </row>
    <row r="87" spans="1:123" ht="15" x14ac:dyDescent="0.25">
      <c r="A87" s="3" t="s">
        <v>249</v>
      </c>
      <c r="B87" s="12">
        <v>43252.163194444445</v>
      </c>
      <c r="C87" s="3"/>
      <c r="D87" s="3">
        <v>41.4</v>
      </c>
      <c r="E87" s="3"/>
      <c r="F87" s="3"/>
      <c r="G87" s="3"/>
      <c r="H87" s="3"/>
      <c r="I87" s="3"/>
      <c r="J87" s="3"/>
      <c r="K87" s="3">
        <v>40</v>
      </c>
      <c r="L87" s="3"/>
      <c r="M87" s="3"/>
      <c r="N87" s="3">
        <v>184.2</v>
      </c>
      <c r="O87" s="3"/>
      <c r="P87" s="3"/>
      <c r="Q87" s="3">
        <v>1.86</v>
      </c>
      <c r="R87" s="3">
        <v>0.9</v>
      </c>
      <c r="S87" s="3">
        <v>2.8</v>
      </c>
      <c r="T87" s="3">
        <v>7.1</v>
      </c>
      <c r="U87" s="3">
        <v>89.9</v>
      </c>
      <c r="V87" s="3">
        <v>965.1</v>
      </c>
      <c r="W87" s="3">
        <v>0</v>
      </c>
      <c r="X87" s="3">
        <v>46.5</v>
      </c>
      <c r="Y87" s="3">
        <v>45.7</v>
      </c>
      <c r="Z87" s="3">
        <v>45.2</v>
      </c>
      <c r="AA87" s="3">
        <v>41.1</v>
      </c>
      <c r="AB87" s="3">
        <v>36.1</v>
      </c>
      <c r="AC87" s="3">
        <v>36.1</v>
      </c>
      <c r="AD87" s="3">
        <v>38.700000000000003</v>
      </c>
      <c r="AE87" s="3">
        <v>41.2</v>
      </c>
      <c r="AF87" s="3">
        <v>44.8</v>
      </c>
      <c r="AG87" s="3">
        <v>39.5</v>
      </c>
      <c r="AH87" s="3">
        <v>38.200000000000003</v>
      </c>
      <c r="AI87" s="3">
        <v>39</v>
      </c>
      <c r="AJ87" s="3">
        <v>37.4</v>
      </c>
      <c r="AK87" s="3">
        <v>35.5</v>
      </c>
      <c r="AL87" s="3">
        <v>33</v>
      </c>
      <c r="AM87" s="3">
        <v>31.8</v>
      </c>
      <c r="AN87" s="3">
        <v>30.4</v>
      </c>
      <c r="AO87" s="3">
        <v>28.2</v>
      </c>
      <c r="AP87" s="3">
        <v>26.4</v>
      </c>
      <c r="AQ87" s="3">
        <v>25.5</v>
      </c>
      <c r="AR87" s="3">
        <v>23.9</v>
      </c>
      <c r="AS87" s="3">
        <v>28.2</v>
      </c>
      <c r="AT87" s="3">
        <v>32.9</v>
      </c>
      <c r="AU87" s="3">
        <v>18.8</v>
      </c>
      <c r="AV87" s="3">
        <v>16.899999999999999</v>
      </c>
      <c r="AW87" s="3">
        <v>15.1</v>
      </c>
      <c r="AX87" s="3">
        <v>11.8</v>
      </c>
      <c r="AY87" s="3">
        <v>10.8</v>
      </c>
      <c r="AZ87" s="3">
        <v>0</v>
      </c>
      <c r="BA87" s="3">
        <v>0</v>
      </c>
      <c r="BB87" s="3">
        <v>0</v>
      </c>
      <c r="BC87" s="3">
        <v>41.390551505066014</v>
      </c>
      <c r="BD87" s="3">
        <v>46.509448494933991</v>
      </c>
      <c r="BE87" s="3">
        <v>45.70944849493398</v>
      </c>
      <c r="BF87" s="3">
        <v>43.969448494933985</v>
      </c>
      <c r="BG87" s="3">
        <v>40.196115161600659</v>
      </c>
      <c r="BH87" s="3">
        <v>35.336115161600645</v>
      </c>
      <c r="BI87" s="3">
        <v>35.749448494933986</v>
      </c>
      <c r="BJ87" s="3">
        <v>39.142781828267317</v>
      </c>
      <c r="BK87" s="3">
        <v>41.516115161600652</v>
      </c>
      <c r="BL87" s="3">
        <v>44.689448494933984</v>
      </c>
      <c r="BM87" s="3">
        <v>39.522781828267313</v>
      </c>
      <c r="BN87" s="3">
        <v>38.506115161600661</v>
      </c>
      <c r="BO87" s="3">
        <v>38.672781828267318</v>
      </c>
      <c r="BP87" s="3">
        <v>36.789448494933993</v>
      </c>
      <c r="BQ87" s="3">
        <v>35.306115161600644</v>
      </c>
      <c r="BR87" s="3">
        <v>33.132781828267326</v>
      </c>
      <c r="BS87" s="3">
        <v>31.736115161600651</v>
      </c>
      <c r="BT87" s="3">
        <v>30.532781828267318</v>
      </c>
      <c r="BU87" s="3">
        <v>28.299448494933984</v>
      </c>
      <c r="BV87" s="3">
        <v>26.216115161600655</v>
      </c>
      <c r="BW87" s="3">
        <v>25.849448494933995</v>
      </c>
      <c r="BX87" s="3">
        <v>24.169448494933988</v>
      </c>
      <c r="BY87" s="3">
        <v>28.289448494933978</v>
      </c>
      <c r="BZ87" s="3">
        <v>33.119448494933977</v>
      </c>
      <c r="CA87" s="3">
        <v>19.119448494933977</v>
      </c>
      <c r="CB87" s="3">
        <v>16.656115161600653</v>
      </c>
      <c r="CC87" s="3">
        <v>15.06944849493398</v>
      </c>
      <c r="CD87" s="3">
        <v>11.076115161600654</v>
      </c>
      <c r="CE87" s="3">
        <v>10.269448494933982</v>
      </c>
      <c r="CF87" s="3">
        <v>-0.91721817173268505</v>
      </c>
      <c r="CG87" s="3">
        <v>-1.4505515050660165</v>
      </c>
      <c r="CH87" s="3">
        <v>-2.5272181717326845</v>
      </c>
      <c r="CI87" s="13">
        <f>[1]!dbasum(RecData[[#This Row],[20]:[2000]],RecData[[#Headers],[20]:[2000]])</f>
        <v>39.98604216599788</v>
      </c>
      <c r="CJ87" s="14">
        <v>780</v>
      </c>
      <c r="CK87" s="15" t="s">
        <v>249</v>
      </c>
      <c r="CL87" s="15">
        <f>RecData[[#This Row],[Start Time]]</f>
        <v>43252.163194444445</v>
      </c>
      <c r="CM87" s="16">
        <f>RecData[[#This Row],[Wind Speed avg]]</f>
        <v>1.86</v>
      </c>
      <c r="CN87" s="16">
        <f>RecData[[#This Row],[Wind Dir. avg]]</f>
        <v>184.2</v>
      </c>
      <c r="CO87" s="16">
        <f>RecData[[#This Row],[Amb. Humidity]]</f>
        <v>89.9</v>
      </c>
      <c r="CP87" s="16">
        <f>RecData[[#This Row],[Amb. Temperature]]</f>
        <v>7.1</v>
      </c>
      <c r="CQ87" s="17">
        <f>RecData[[#This Row],[Amb. Rain Gauge]]</f>
        <v>0</v>
      </c>
      <c r="CR87" s="97" t="s">
        <v>1</v>
      </c>
      <c r="CS87" s="97" t="s">
        <v>49</v>
      </c>
      <c r="CT87" s="98">
        <v>1416.949341</v>
      </c>
      <c r="CU87" s="98">
        <v>24.000202178955</v>
      </c>
      <c r="CV87" s="98">
        <v>9.0218715667724592</v>
      </c>
      <c r="CW87" s="98">
        <v>15.070339202880801</v>
      </c>
      <c r="CX87" s="97"/>
      <c r="CY87" s="99"/>
      <c r="CZ87" s="2" t="b">
        <f>IF($DP$1="YES",IF(RecData[[#This Row],[Power (kW)]]&gt;=$CR$3, TRUE,FALSE),TRUE)</f>
        <v>1</v>
      </c>
      <c r="DA87" s="16">
        <f>MIN(MOD(180-ABS(ABS($DA$1-RecData[Yaw Angle (°)])-180),360),MOD(180-ABS(ABS($DB$1-RecData[Yaw Angle (°)])-180),360))</f>
        <v>16.470275401267457</v>
      </c>
      <c r="DB87" s="2" t="str">
        <f>IF($DP$2="None","None",IF(RecData[[#This Row],[Relative Wind Direction]]&lt;=45,"DW",IF(RecData[[#This Row],[Relative Wind Direction]]&lt;=135,"CW","UW")))</f>
        <v>DW</v>
      </c>
      <c r="DC87" s="61" t="e">
        <f>IF($CL87-$CL85&gt;1/24,#REF!,IF(SUM($CQ85:$CQ87)&gt;$DS$1,$DS$5,#REF!-1))</f>
        <v>#REF!</v>
      </c>
      <c r="DD87" s="61" t="e">
        <f>IF(#REF!-$CL87&gt;1/24,#REF!,IF(SUM($CQ85:$CQ87)&gt;$DS$1,$DS$6,#REF!-1))</f>
        <v>#REF!</v>
      </c>
      <c r="DE87" s="18" t="b">
        <v>0</v>
      </c>
      <c r="DF87" s="2" t="b">
        <f>IF(OR(RecData[[#This Row],[WSpd_Avg '[m/s']]]-RecData[[#This Row],[Wind Speed min]]&gt;=$DF$3,RecData[[#This Row],[Wind Speed max]]-RecData[[#This Row],[WSpd_Avg '[m/s']]]&gt;=$DF$2),TRUE,FALSE)</f>
        <v>0</v>
      </c>
      <c r="DG87" s="2" t="b">
        <f>RecData[[#This Row],[Temperature '[°C']]]&lt;=-20</f>
        <v>0</v>
      </c>
      <c r="DH87" s="18" t="b">
        <f>NOT(OR(MOD(RecData[[#This Row],[TIMESTAMP]],1)&gt;0.91632,MOD(RecData[[#This Row],[TIMESTAMP]],1)&lt;0.208681))</f>
        <v>0</v>
      </c>
      <c r="DI87" s="18" t="b">
        <f>RecData[[#This Row],[Overall (dBA)]]-RecData[[#This Row],[L90]]&gt;=$DS$4</f>
        <v>0</v>
      </c>
      <c r="DJ87" s="18" t="b">
        <f>RecData[[#This Row],[Overall (dBA)]]&gt;$DS$2</f>
        <v>0</v>
      </c>
      <c r="DK87" s="18" t="b">
        <f>RecData[[#This Row],[Overall (dBA)]]&lt;$DS$3</f>
        <v>0</v>
      </c>
      <c r="DL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7" s="2">
        <f>IF(AND(RecData[[#This Row],[Turbines ON/OFF]] = "OFF", NOT(OR(RecData[[#This Row],[Junk?]]="YES",RecData[[#This Row],[Gust?]],RecData[[#This Row],[Rain?]:[Min SPL Threshold?]]))),1,0)</f>
        <v>0</v>
      </c>
      <c r="DN87" s="16">
        <f>RecData[[#This Row],[dBA Sum]]</f>
        <v>39.98604216599788</v>
      </c>
      <c r="DO87" s="16">
        <f>RecData[[#This Row],[LAF90.0]]</f>
        <v>40</v>
      </c>
      <c r="DP87" s="55">
        <f>IF(AND(RecData[[#This Row],[Useable TON Data?]],RecData[[#This Row],[Turbines ON/OFF]]="ON"),RecData[[#This Row],[dBA Sum]],"")</f>
        <v>39.98604216599788</v>
      </c>
      <c r="DQ87" s="55" t="str">
        <f>IF(AND(RecData[[#This Row],[Useable Background Data?]],RecData[[#This Row],[Turbines ON/OFF]]="OFF"),RecData[[#This Row],[dBA Sum]],"")</f>
        <v/>
      </c>
      <c r="DR87" s="3">
        <f>IF(OR(RecData[[#This Row],[Useable TON Data?]],RecData[[#This Row],[Useable Background Data?]]),ROUND(RecData[[#This Row],[WSpd_Avg '[m/s']]],0),"")</f>
        <v>2</v>
      </c>
      <c r="DS87" s="85">
        <f>(0.00002)^2*(10^(RecData[[#This Row],[Overall (dBA)]]/10))</f>
        <v>3.9871649961204398E-6</v>
      </c>
    </row>
    <row r="88" spans="1:123" ht="15" x14ac:dyDescent="0.25">
      <c r="A88" s="3" t="s">
        <v>249</v>
      </c>
      <c r="B88" s="12">
        <v>43252.174305555563</v>
      </c>
      <c r="C88" s="3"/>
      <c r="D88" s="3">
        <v>41.1</v>
      </c>
      <c r="E88" s="3"/>
      <c r="F88" s="3"/>
      <c r="G88" s="3"/>
      <c r="H88" s="3"/>
      <c r="I88" s="3"/>
      <c r="J88" s="3"/>
      <c r="K88" s="3">
        <v>39.5</v>
      </c>
      <c r="L88" s="3"/>
      <c r="M88" s="3"/>
      <c r="N88" s="3">
        <v>196</v>
      </c>
      <c r="O88" s="3"/>
      <c r="P88" s="3"/>
      <c r="Q88" s="3">
        <v>1.39</v>
      </c>
      <c r="R88" s="3">
        <v>0.4</v>
      </c>
      <c r="S88" s="3">
        <v>2.4</v>
      </c>
      <c r="T88" s="3">
        <v>6.9</v>
      </c>
      <c r="U88" s="3">
        <v>90.2</v>
      </c>
      <c r="V88" s="3">
        <v>965.4</v>
      </c>
      <c r="W88" s="3">
        <v>0</v>
      </c>
      <c r="X88" s="3">
        <v>48.1</v>
      </c>
      <c r="Y88" s="3">
        <v>46.9</v>
      </c>
      <c r="Z88" s="3">
        <v>46.9</v>
      </c>
      <c r="AA88" s="3">
        <v>43.8</v>
      </c>
      <c r="AB88" s="3">
        <v>39.1</v>
      </c>
      <c r="AC88" s="3">
        <v>36.4</v>
      </c>
      <c r="AD88" s="3">
        <v>39.299999999999997</v>
      </c>
      <c r="AE88" s="3">
        <v>41.4</v>
      </c>
      <c r="AF88" s="3">
        <v>46.2</v>
      </c>
      <c r="AG88" s="3">
        <v>39.700000000000003</v>
      </c>
      <c r="AH88" s="3">
        <v>37.6</v>
      </c>
      <c r="AI88" s="3">
        <v>37.799999999999997</v>
      </c>
      <c r="AJ88" s="3">
        <v>36.6</v>
      </c>
      <c r="AK88" s="3">
        <v>35</v>
      </c>
      <c r="AL88" s="3">
        <v>32.799999999999997</v>
      </c>
      <c r="AM88" s="3">
        <v>32.5</v>
      </c>
      <c r="AN88" s="3">
        <v>31.4</v>
      </c>
      <c r="AO88" s="3">
        <v>28.7</v>
      </c>
      <c r="AP88" s="3">
        <v>26.6</v>
      </c>
      <c r="AQ88" s="3">
        <v>25.3</v>
      </c>
      <c r="AR88" s="3">
        <v>22.9</v>
      </c>
      <c r="AS88" s="3">
        <v>26.6</v>
      </c>
      <c r="AT88" s="3">
        <v>31.2</v>
      </c>
      <c r="AU88" s="3">
        <v>19.399999999999999</v>
      </c>
      <c r="AV88" s="3">
        <v>17.2</v>
      </c>
      <c r="AW88" s="3">
        <v>15.4</v>
      </c>
      <c r="AX88" s="3">
        <v>11.7</v>
      </c>
      <c r="AY88" s="3">
        <v>10.6</v>
      </c>
      <c r="AZ88" s="3">
        <v>0</v>
      </c>
      <c r="BA88" s="3">
        <v>0</v>
      </c>
      <c r="BB88" s="3">
        <v>0</v>
      </c>
      <c r="BC88" s="3">
        <v>41.0490967748514</v>
      </c>
      <c r="BD88" s="3">
        <v>48.150903225148603</v>
      </c>
      <c r="BE88" s="3">
        <v>46.9509032251486</v>
      </c>
      <c r="BF88" s="3">
        <v>45.710903225148591</v>
      </c>
      <c r="BG88" s="3">
        <v>42.937569891815265</v>
      </c>
      <c r="BH88" s="3">
        <v>38.377569891815277</v>
      </c>
      <c r="BI88" s="3">
        <v>36.090903225148601</v>
      </c>
      <c r="BJ88" s="3">
        <v>39.784236558481929</v>
      </c>
      <c r="BK88" s="3">
        <v>41.757569891815272</v>
      </c>
      <c r="BL88" s="3">
        <v>46.130903225148607</v>
      </c>
      <c r="BM88" s="3">
        <v>39.764236558481933</v>
      </c>
      <c r="BN88" s="3">
        <v>37.94756989181527</v>
      </c>
      <c r="BO88" s="3">
        <v>37.514236558481933</v>
      </c>
      <c r="BP88" s="3">
        <v>36.030903225148613</v>
      </c>
      <c r="BQ88" s="3">
        <v>34.847569891815262</v>
      </c>
      <c r="BR88" s="3">
        <v>32.974236558481941</v>
      </c>
      <c r="BS88" s="3">
        <v>32.477569891815271</v>
      </c>
      <c r="BT88" s="3">
        <v>31.574236558481935</v>
      </c>
      <c r="BU88" s="3">
        <v>28.840903225148601</v>
      </c>
      <c r="BV88" s="3">
        <v>26.457569891815275</v>
      </c>
      <c r="BW88" s="3">
        <v>25.69090322514861</v>
      </c>
      <c r="BX88" s="3">
        <v>23.210903225148606</v>
      </c>
      <c r="BY88" s="3">
        <v>26.730903225148602</v>
      </c>
      <c r="BZ88" s="3">
        <v>31.460903225148606</v>
      </c>
      <c r="CA88" s="3">
        <v>19.760903225148589</v>
      </c>
      <c r="CB88" s="3">
        <v>16.997569891815267</v>
      </c>
      <c r="CC88" s="3">
        <v>15.410903225148601</v>
      </c>
      <c r="CD88" s="3">
        <v>11.01756989181527</v>
      </c>
      <c r="CE88" s="3">
        <v>10.110903225148597</v>
      </c>
      <c r="CF88" s="3">
        <v>-0.87576344151806751</v>
      </c>
      <c r="CG88" s="3">
        <v>-1.4090967748513989</v>
      </c>
      <c r="CH88" s="3">
        <v>-2.4857634415180669</v>
      </c>
      <c r="CI88" s="13">
        <f>[1]!dbasum(RecData[[#This Row],[20]:[2000]],RecData[[#Headers],[20]:[2000]])</f>
        <v>40.062306377226335</v>
      </c>
      <c r="CJ88" s="14">
        <v>796</v>
      </c>
      <c r="CK88" s="15" t="s">
        <v>249</v>
      </c>
      <c r="CL88" s="15">
        <f>RecData[[#This Row],[Start Time]]</f>
        <v>43252.174305555563</v>
      </c>
      <c r="CM88" s="16">
        <f>RecData[[#This Row],[Wind Speed avg]]</f>
        <v>1.39</v>
      </c>
      <c r="CN88" s="16">
        <f>RecData[[#This Row],[Wind Dir. avg]]</f>
        <v>196</v>
      </c>
      <c r="CO88" s="16">
        <f>RecData[[#This Row],[Amb. Humidity]]</f>
        <v>90.2</v>
      </c>
      <c r="CP88" s="16">
        <f>RecData[[#This Row],[Amb. Temperature]]</f>
        <v>6.9</v>
      </c>
      <c r="CQ88" s="17">
        <f>RecData[[#This Row],[Amb. Rain Gauge]]</f>
        <v>0</v>
      </c>
      <c r="CR88" s="97" t="s">
        <v>1</v>
      </c>
      <c r="CS88" s="97" t="s">
        <v>49</v>
      </c>
      <c r="CT88" s="98">
        <v>1616.5852050000001</v>
      </c>
      <c r="CU88" s="98">
        <v>24.000202178955</v>
      </c>
      <c r="CV88" s="98">
        <v>10.6661663055419</v>
      </c>
      <c r="CW88" s="98">
        <v>15.229895591735801</v>
      </c>
      <c r="CX88" s="97"/>
      <c r="CY88" s="99"/>
      <c r="CZ88" s="2" t="b">
        <f>IF($DP$1="YES",IF(RecData[[#This Row],[Power (kW)]]&gt;=$CR$3, TRUE,FALSE),TRUE)</f>
        <v>1</v>
      </c>
      <c r="DA88" s="16">
        <f>MIN(MOD(180-ABS(ABS($DA$1-RecData[Yaw Angle (°)])-180),360),MOD(180-ABS(ABS($DB$1-RecData[Yaw Angle (°)])-180),360))</f>
        <v>16.470275401267457</v>
      </c>
      <c r="DB88" s="2" t="str">
        <f>IF($DP$2="None","None",IF(RecData[[#This Row],[Relative Wind Direction]]&lt;=45,"DW",IF(RecData[[#This Row],[Relative Wind Direction]]&lt;=135,"CW","UW")))</f>
        <v>DW</v>
      </c>
      <c r="DC88" s="61" t="e">
        <f>IF($CL88-#REF!&gt;1/24,#REF!,IF(SUM($CQ88:$CQ88)&gt;$DS$1,$DS$5,#REF!-1))</f>
        <v>#REF!</v>
      </c>
      <c r="DD88" s="61" t="e">
        <f>IF(#REF!-$CL88&gt;1/24,#REF!,IF(SUM($CQ88:$CQ88)&gt;$DS$1,$DS$6,#REF!-1))</f>
        <v>#REF!</v>
      </c>
      <c r="DE88" s="18" t="b">
        <v>0</v>
      </c>
      <c r="DF88" s="2" t="b">
        <f>IF(OR(RecData[[#This Row],[WSpd_Avg '[m/s']]]-RecData[[#This Row],[Wind Speed min]]&gt;=$DF$3,RecData[[#This Row],[Wind Speed max]]-RecData[[#This Row],[WSpd_Avg '[m/s']]]&gt;=$DF$2),TRUE,FALSE)</f>
        <v>0</v>
      </c>
      <c r="DG88" s="2" t="b">
        <f>RecData[[#This Row],[Temperature '[°C']]]&lt;=-20</f>
        <v>0</v>
      </c>
      <c r="DH88" s="18" t="b">
        <f>NOT(OR(MOD(RecData[[#This Row],[TIMESTAMP]],1)&gt;0.91632,MOD(RecData[[#This Row],[TIMESTAMP]],1)&lt;0.208681))</f>
        <v>0</v>
      </c>
      <c r="DI88" s="18" t="b">
        <f>RecData[[#This Row],[Overall (dBA)]]-RecData[[#This Row],[L90]]&gt;=$DS$4</f>
        <v>0</v>
      </c>
      <c r="DJ88" s="18" t="b">
        <f>RecData[[#This Row],[Overall (dBA)]]&gt;$DS$2</f>
        <v>0</v>
      </c>
      <c r="DK88" s="18" t="b">
        <f>RecData[[#This Row],[Overall (dBA)]]&lt;$DS$3</f>
        <v>0</v>
      </c>
      <c r="DL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8" s="2">
        <f>IF(AND(RecData[[#This Row],[Turbines ON/OFF]] = "OFF", NOT(OR(RecData[[#This Row],[Junk?]]="YES",RecData[[#This Row],[Gust?]],RecData[[#This Row],[Rain?]:[Min SPL Threshold?]]))),1,0)</f>
        <v>0</v>
      </c>
      <c r="DN88" s="16">
        <f>RecData[[#This Row],[dBA Sum]]</f>
        <v>40.062306377226335</v>
      </c>
      <c r="DO88" s="16">
        <f>RecData[[#This Row],[LAF90.0]]</f>
        <v>39.5</v>
      </c>
      <c r="DP88" s="55">
        <f>IF(AND(RecData[[#This Row],[Useable TON Data?]],RecData[[#This Row],[Turbines ON/OFF]]="ON"),RecData[[#This Row],[dBA Sum]],"")</f>
        <v>40.062306377226335</v>
      </c>
      <c r="DQ88" s="55" t="str">
        <f>IF(AND(RecData[[#This Row],[Useable Background Data?]],RecData[[#This Row],[Turbines ON/OFF]]="OFF"),RecData[[#This Row],[dBA Sum]],"")</f>
        <v/>
      </c>
      <c r="DR88" s="3">
        <f>IF(OR(RecData[[#This Row],[Useable TON Data?]],RecData[[#This Row],[Useable Background Data?]]),ROUND(RecData[[#This Row],[WSpd_Avg '[m/s']]],0),"")</f>
        <v>1</v>
      </c>
      <c r="DS88" s="85">
        <f>(0.00002)^2*(10^(RecData[[#This Row],[Overall (dBA)]]/10))</f>
        <v>4.0577999181665956E-6</v>
      </c>
    </row>
    <row r="89" spans="1:123" ht="15" x14ac:dyDescent="0.25">
      <c r="A89" s="3" t="s">
        <v>249</v>
      </c>
      <c r="B89" s="12">
        <v>43252.177083333336</v>
      </c>
      <c r="C89" s="3"/>
      <c r="D89" s="3">
        <v>41.2</v>
      </c>
      <c r="E89" s="3"/>
      <c r="F89" s="3"/>
      <c r="G89" s="3"/>
      <c r="H89" s="3"/>
      <c r="I89" s="3"/>
      <c r="J89" s="3"/>
      <c r="K89" s="3">
        <v>39.9</v>
      </c>
      <c r="L89" s="3"/>
      <c r="M89" s="3"/>
      <c r="N89" s="3">
        <v>186.9</v>
      </c>
      <c r="O89" s="3"/>
      <c r="P89" s="3"/>
      <c r="Q89" s="3">
        <v>0.69</v>
      </c>
      <c r="R89" s="3">
        <v>0.2</v>
      </c>
      <c r="S89" s="3">
        <v>1.7</v>
      </c>
      <c r="T89" s="3">
        <v>6.9</v>
      </c>
      <c r="U89" s="3">
        <v>90.4</v>
      </c>
      <c r="V89" s="3">
        <v>965.5</v>
      </c>
      <c r="W89" s="3">
        <v>0</v>
      </c>
      <c r="X89" s="3">
        <v>48.2</v>
      </c>
      <c r="Y89" s="3">
        <v>46.3</v>
      </c>
      <c r="Z89" s="3">
        <v>46.4</v>
      </c>
      <c r="AA89" s="3">
        <v>43.2</v>
      </c>
      <c r="AB89" s="3">
        <v>38.6</v>
      </c>
      <c r="AC89" s="3">
        <v>36.4</v>
      </c>
      <c r="AD89" s="3">
        <v>39.799999999999997</v>
      </c>
      <c r="AE89" s="3">
        <v>41.2</v>
      </c>
      <c r="AF89" s="3">
        <v>46.6</v>
      </c>
      <c r="AG89" s="3">
        <v>39.9</v>
      </c>
      <c r="AH89" s="3">
        <v>38</v>
      </c>
      <c r="AI89" s="3">
        <v>38.6</v>
      </c>
      <c r="AJ89" s="3">
        <v>37</v>
      </c>
      <c r="AK89" s="3">
        <v>35.299999999999997</v>
      </c>
      <c r="AL89" s="3">
        <v>33</v>
      </c>
      <c r="AM89" s="3">
        <v>32.4</v>
      </c>
      <c r="AN89" s="3">
        <v>30.9</v>
      </c>
      <c r="AO89" s="3">
        <v>28.3</v>
      </c>
      <c r="AP89" s="3">
        <v>26</v>
      </c>
      <c r="AQ89" s="3">
        <v>24.3</v>
      </c>
      <c r="AR89" s="3">
        <v>21.3</v>
      </c>
      <c r="AS89" s="3">
        <v>27.7</v>
      </c>
      <c r="AT89" s="3">
        <v>31.9</v>
      </c>
      <c r="AU89" s="3">
        <v>14.9</v>
      </c>
      <c r="AV89" s="3">
        <v>13.1</v>
      </c>
      <c r="AW89" s="3">
        <v>11.8</v>
      </c>
      <c r="AX89" s="3">
        <v>10.199999999999999</v>
      </c>
      <c r="AY89" s="3">
        <v>9.9</v>
      </c>
      <c r="AZ89" s="3">
        <v>0</v>
      </c>
      <c r="BA89" s="3">
        <v>0</v>
      </c>
      <c r="BB89" s="3">
        <v>0</v>
      </c>
      <c r="BC89" s="3">
        <v>41.195787626164105</v>
      </c>
      <c r="BD89" s="3">
        <v>48.204212373835901</v>
      </c>
      <c r="BE89" s="3">
        <v>46.304212373835895</v>
      </c>
      <c r="BF89" s="3">
        <v>45.164212373835895</v>
      </c>
      <c r="BG89" s="3">
        <v>42.290879040502574</v>
      </c>
      <c r="BH89" s="3">
        <v>37.830879040502566</v>
      </c>
      <c r="BI89" s="3">
        <v>36.044212373835904</v>
      </c>
      <c r="BJ89" s="3">
        <v>40.237545707169232</v>
      </c>
      <c r="BK89" s="3">
        <v>41.510879040502573</v>
      </c>
      <c r="BL89" s="3">
        <v>46.484212373835902</v>
      </c>
      <c r="BM89" s="3">
        <v>39.917545707169239</v>
      </c>
      <c r="BN89" s="3">
        <v>38.300879040502565</v>
      </c>
      <c r="BO89" s="3">
        <v>38.267545707169234</v>
      </c>
      <c r="BP89" s="3">
        <v>36.384212373835908</v>
      </c>
      <c r="BQ89" s="3">
        <v>35.100879040502548</v>
      </c>
      <c r="BR89" s="3">
        <v>33.127545707169233</v>
      </c>
      <c r="BS89" s="3">
        <v>32.330879040502566</v>
      </c>
      <c r="BT89" s="3">
        <v>31.027545707169224</v>
      </c>
      <c r="BU89" s="3">
        <v>28.394212373835899</v>
      </c>
      <c r="BV89" s="3">
        <v>25.81087904050257</v>
      </c>
      <c r="BW89" s="3">
        <v>24.644212373835899</v>
      </c>
      <c r="BX89" s="3">
        <v>21.5642123738359</v>
      </c>
      <c r="BY89" s="3">
        <v>27.784212373835899</v>
      </c>
      <c r="BZ89" s="3">
        <v>32.114212373835898</v>
      </c>
      <c r="CA89" s="3">
        <v>15.214212373835892</v>
      </c>
      <c r="CB89" s="3">
        <v>12.850879040502562</v>
      </c>
      <c r="CC89" s="3">
        <v>11.764212373835896</v>
      </c>
      <c r="CD89" s="3">
        <v>9.4708790405025667</v>
      </c>
      <c r="CE89" s="3">
        <v>9.3642123738358976</v>
      </c>
      <c r="CF89" s="3">
        <v>-0.92245429283077129</v>
      </c>
      <c r="CG89" s="3">
        <v>-1.4557876261641027</v>
      </c>
      <c r="CH89" s="3">
        <v>-2.5324542928307707</v>
      </c>
      <c r="CI89" s="13">
        <f>[1]!dbasum(RecData[[#This Row],[20]:[2000]],RecData[[#Headers],[20]:[2000]])</f>
        <v>40.036107674585224</v>
      </c>
      <c r="CJ89" s="14">
        <v>800</v>
      </c>
      <c r="CK89" s="15" t="s">
        <v>249</v>
      </c>
      <c r="CL89" s="15">
        <f>RecData[[#This Row],[Start Time]]</f>
        <v>43252.177083333336</v>
      </c>
      <c r="CM89" s="16">
        <f>RecData[[#This Row],[Wind Speed avg]]</f>
        <v>0.69</v>
      </c>
      <c r="CN89" s="16">
        <f>RecData[[#This Row],[Wind Dir. avg]]</f>
        <v>186.9</v>
      </c>
      <c r="CO89" s="16">
        <f>RecData[[#This Row],[Amb. Humidity]]</f>
        <v>90.4</v>
      </c>
      <c r="CP89" s="16">
        <f>RecData[[#This Row],[Amb. Temperature]]</f>
        <v>6.9</v>
      </c>
      <c r="CQ89" s="17">
        <f>RecData[[#This Row],[Amb. Rain Gauge]]</f>
        <v>0</v>
      </c>
      <c r="CR89" s="97" t="s">
        <v>1</v>
      </c>
      <c r="CS89" s="97" t="s">
        <v>49</v>
      </c>
      <c r="CT89" s="98">
        <v>1616.5852050000001</v>
      </c>
      <c r="CU89" s="98">
        <v>24.000202178955</v>
      </c>
      <c r="CV89" s="98">
        <v>10.6661663055419</v>
      </c>
      <c r="CW89" s="98">
        <v>15.229895591735801</v>
      </c>
      <c r="CX89" s="97"/>
      <c r="CY89" s="99"/>
      <c r="CZ89" s="2" t="b">
        <f>IF($DP$1="YES",IF(RecData[[#This Row],[Power (kW)]]&gt;=$CR$3, TRUE,FALSE),TRUE)</f>
        <v>1</v>
      </c>
      <c r="DA89" s="16">
        <f>MIN(MOD(180-ABS(ABS($DA$1-RecData[Yaw Angle (°)])-180),360),MOD(180-ABS(ABS($DB$1-RecData[Yaw Angle (°)])-180),360))</f>
        <v>16.470275401267457</v>
      </c>
      <c r="DB89" s="2" t="str">
        <f>IF($DP$2="None","None",IF(RecData[[#This Row],[Relative Wind Direction]]&lt;=45,"DW",IF(RecData[[#This Row],[Relative Wind Direction]]&lt;=135,"CW","UW")))</f>
        <v>DW</v>
      </c>
      <c r="DC89" s="61" t="e">
        <f>IF($CL89-$CL88&gt;1/24,#REF!,IF(SUM($CQ88:$CQ89)&gt;$DS$1,$DS$5,#REF!-1))</f>
        <v>#REF!</v>
      </c>
      <c r="DD89" s="61" t="e">
        <f>IF(#REF!-$CL89&gt;1/24,#REF!,IF(SUM($CQ88:$CQ89)&gt;$DS$1,$DS$6,#REF!-1))</f>
        <v>#REF!</v>
      </c>
      <c r="DE89" s="18" t="b">
        <v>0</v>
      </c>
      <c r="DF89" s="2" t="b">
        <f>IF(OR(RecData[[#This Row],[WSpd_Avg '[m/s']]]-RecData[[#This Row],[Wind Speed min]]&gt;=$DF$3,RecData[[#This Row],[Wind Speed max]]-RecData[[#This Row],[WSpd_Avg '[m/s']]]&gt;=$DF$2),TRUE,FALSE)</f>
        <v>0</v>
      </c>
      <c r="DG89" s="2" t="b">
        <f>RecData[[#This Row],[Temperature '[°C']]]&lt;=-20</f>
        <v>0</v>
      </c>
      <c r="DH89" s="18" t="b">
        <f>NOT(OR(MOD(RecData[[#This Row],[TIMESTAMP]],1)&gt;0.91632,MOD(RecData[[#This Row],[TIMESTAMP]],1)&lt;0.208681))</f>
        <v>0</v>
      </c>
      <c r="DI89" s="18" t="b">
        <f>RecData[[#This Row],[Overall (dBA)]]-RecData[[#This Row],[L90]]&gt;=$DS$4</f>
        <v>0</v>
      </c>
      <c r="DJ89" s="18" t="b">
        <f>RecData[[#This Row],[Overall (dBA)]]&gt;$DS$2</f>
        <v>0</v>
      </c>
      <c r="DK89" s="18" t="b">
        <f>RecData[[#This Row],[Overall (dBA)]]&lt;$DS$3</f>
        <v>0</v>
      </c>
      <c r="DL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9" s="2">
        <f>IF(AND(RecData[[#This Row],[Turbines ON/OFF]] = "OFF", NOT(OR(RecData[[#This Row],[Junk?]]="YES",RecData[[#This Row],[Gust?]],RecData[[#This Row],[Rain?]:[Min SPL Threshold?]]))),1,0)</f>
        <v>0</v>
      </c>
      <c r="DN89" s="16">
        <f>RecData[[#This Row],[dBA Sum]]</f>
        <v>40.036107674585224</v>
      </c>
      <c r="DO89" s="16">
        <f>RecData[[#This Row],[LAF90.0]]</f>
        <v>39.9</v>
      </c>
      <c r="DP89" s="55">
        <f>IF(AND(RecData[[#This Row],[Useable TON Data?]],RecData[[#This Row],[Turbines ON/OFF]]="ON"),RecData[[#This Row],[dBA Sum]],"")</f>
        <v>40.036107674585224</v>
      </c>
      <c r="DQ89" s="55" t="str">
        <f>IF(AND(RecData[[#This Row],[Useable Background Data?]],RecData[[#This Row],[Turbines ON/OFF]]="OFF"),RecData[[#This Row],[dBA Sum]],"")</f>
        <v/>
      </c>
      <c r="DR89" s="3">
        <f>IF(OR(RecData[[#This Row],[Useable TON Data?]],RecData[[#This Row],[Useable Background Data?]]),ROUND(RecData[[#This Row],[WSpd_Avg '[m/s']]],0),"")</f>
        <v>1</v>
      </c>
      <c r="DS89" s="85">
        <f>(0.00002)^2*(10^(RecData[[#This Row],[Overall (dBA)]]/10))</f>
        <v>4.0333950297271302E-6</v>
      </c>
    </row>
    <row r="90" spans="1:123" ht="15" x14ac:dyDescent="0.25">
      <c r="A90" s="3" t="s">
        <v>249</v>
      </c>
      <c r="B90" s="12">
        <v>43252.179166666669</v>
      </c>
      <c r="C90" s="3"/>
      <c r="D90" s="3">
        <v>41.4</v>
      </c>
      <c r="E90" s="3"/>
      <c r="F90" s="3"/>
      <c r="G90" s="3"/>
      <c r="H90" s="3"/>
      <c r="I90" s="3"/>
      <c r="J90" s="3"/>
      <c r="K90" s="3">
        <v>40.200000000000003</v>
      </c>
      <c r="L90" s="3"/>
      <c r="M90" s="3"/>
      <c r="N90" s="3">
        <v>159.6</v>
      </c>
      <c r="O90" s="3"/>
      <c r="P90" s="3"/>
      <c r="Q90" s="3">
        <v>1.57</v>
      </c>
      <c r="R90" s="3">
        <v>0.2</v>
      </c>
      <c r="S90" s="3">
        <v>2.8</v>
      </c>
      <c r="T90" s="3">
        <v>6.9</v>
      </c>
      <c r="U90" s="3">
        <v>90.4</v>
      </c>
      <c r="V90" s="3">
        <v>965.6</v>
      </c>
      <c r="W90" s="3">
        <v>0</v>
      </c>
      <c r="X90" s="3">
        <v>46.3</v>
      </c>
      <c r="Y90" s="3">
        <v>45.4</v>
      </c>
      <c r="Z90" s="3">
        <v>45.8</v>
      </c>
      <c r="AA90" s="3">
        <v>42.8</v>
      </c>
      <c r="AB90" s="3">
        <v>37.299999999999997</v>
      </c>
      <c r="AC90" s="3">
        <v>35.1</v>
      </c>
      <c r="AD90" s="3">
        <v>37.6</v>
      </c>
      <c r="AE90" s="3">
        <v>39.4</v>
      </c>
      <c r="AF90" s="3">
        <v>45.3</v>
      </c>
      <c r="AG90" s="3">
        <v>39.9</v>
      </c>
      <c r="AH90" s="3">
        <v>36.299999999999997</v>
      </c>
      <c r="AI90" s="3">
        <v>37.200000000000003</v>
      </c>
      <c r="AJ90" s="3">
        <v>35.799999999999997</v>
      </c>
      <c r="AK90" s="3">
        <v>34.5</v>
      </c>
      <c r="AL90" s="3">
        <v>32.9</v>
      </c>
      <c r="AM90" s="3">
        <v>32.5</v>
      </c>
      <c r="AN90" s="3">
        <v>31.7</v>
      </c>
      <c r="AO90" s="3">
        <v>29.4</v>
      </c>
      <c r="AP90" s="3">
        <v>27.5</v>
      </c>
      <c r="AQ90" s="3">
        <v>26.5</v>
      </c>
      <c r="AR90" s="3">
        <v>24.5</v>
      </c>
      <c r="AS90" s="3">
        <v>27.6</v>
      </c>
      <c r="AT90" s="3">
        <v>33.299999999999997</v>
      </c>
      <c r="AU90" s="3">
        <v>19.100000000000001</v>
      </c>
      <c r="AV90" s="3">
        <v>17.2</v>
      </c>
      <c r="AW90" s="3">
        <v>15.6</v>
      </c>
      <c r="AX90" s="3">
        <v>12.1</v>
      </c>
      <c r="AY90" s="3">
        <v>11</v>
      </c>
      <c r="AZ90" s="3">
        <v>0</v>
      </c>
      <c r="BA90" s="3">
        <v>0</v>
      </c>
      <c r="BB90" s="3">
        <v>0</v>
      </c>
      <c r="BC90" s="3">
        <v>41.401158038099474</v>
      </c>
      <c r="BD90" s="3">
        <v>46.298841961900514</v>
      </c>
      <c r="BE90" s="3">
        <v>45.398841961900523</v>
      </c>
      <c r="BF90" s="3">
        <v>44.558841961900519</v>
      </c>
      <c r="BG90" s="3">
        <v>41.885508628567187</v>
      </c>
      <c r="BH90" s="3">
        <v>36.525508628567188</v>
      </c>
      <c r="BI90" s="3">
        <v>34.738841961900526</v>
      </c>
      <c r="BJ90" s="3">
        <v>38.032175295233863</v>
      </c>
      <c r="BK90" s="3">
        <v>39.705508628567181</v>
      </c>
      <c r="BL90" s="3">
        <v>45.178841961900524</v>
      </c>
      <c r="BM90" s="3">
        <v>39.912175295233858</v>
      </c>
      <c r="BN90" s="3">
        <v>36.595508628567195</v>
      </c>
      <c r="BO90" s="3">
        <v>36.862175295233861</v>
      </c>
      <c r="BP90" s="3">
        <v>35.178841961900524</v>
      </c>
      <c r="BQ90" s="3">
        <v>34.295508628567184</v>
      </c>
      <c r="BR90" s="3">
        <v>33.022175295233858</v>
      </c>
      <c r="BS90" s="3">
        <v>32.425508628567194</v>
      </c>
      <c r="BT90" s="3">
        <v>31.822175295233855</v>
      </c>
      <c r="BU90" s="3">
        <v>29.488841961900526</v>
      </c>
      <c r="BV90" s="3">
        <v>27.305508628567189</v>
      </c>
      <c r="BW90" s="3">
        <v>26.838841961900535</v>
      </c>
      <c r="BX90" s="3">
        <v>24.758841961900522</v>
      </c>
      <c r="BY90" s="3">
        <v>27.678841961900524</v>
      </c>
      <c r="BZ90" s="3">
        <v>33.508841961900522</v>
      </c>
      <c r="CA90" s="3">
        <v>19.408841961900514</v>
      </c>
      <c r="CB90" s="3">
        <v>16.94550862856719</v>
      </c>
      <c r="CC90" s="3">
        <v>15.558841961900519</v>
      </c>
      <c r="CD90" s="3">
        <v>11.365508628567191</v>
      </c>
      <c r="CE90" s="3">
        <v>10.458841961900525</v>
      </c>
      <c r="CF90" s="3">
        <v>-0.9278247047661452</v>
      </c>
      <c r="CG90" s="3">
        <v>-1.4611580380994766</v>
      </c>
      <c r="CH90" s="3">
        <v>-2.5378247047661446</v>
      </c>
      <c r="CI90" s="13">
        <f>[1]!dbasum(RecData[[#This Row],[20]:[2000]],RecData[[#Headers],[20]:[2000]])</f>
        <v>39.960593876910373</v>
      </c>
      <c r="CJ90" s="14">
        <v>803</v>
      </c>
      <c r="CK90" s="15" t="s">
        <v>249</v>
      </c>
      <c r="CL90" s="15">
        <f>RecData[[#This Row],[Start Time]]</f>
        <v>43252.179166666669</v>
      </c>
      <c r="CM90" s="16">
        <f>RecData[[#This Row],[Wind Speed avg]]</f>
        <v>1.57</v>
      </c>
      <c r="CN90" s="16">
        <f>RecData[[#This Row],[Wind Dir. avg]]</f>
        <v>159.6</v>
      </c>
      <c r="CO90" s="16">
        <f>RecData[[#This Row],[Amb. Humidity]]</f>
        <v>90.4</v>
      </c>
      <c r="CP90" s="16">
        <f>RecData[[#This Row],[Amb. Temperature]]</f>
        <v>6.9</v>
      </c>
      <c r="CQ90" s="17">
        <f>RecData[[#This Row],[Amb. Rain Gauge]]</f>
        <v>0</v>
      </c>
      <c r="CR90" s="97" t="s">
        <v>1</v>
      </c>
      <c r="CS90" s="97" t="s">
        <v>49</v>
      </c>
      <c r="CT90" s="98">
        <v>1616.5852050000001</v>
      </c>
      <c r="CU90" s="98">
        <v>24.000202178955</v>
      </c>
      <c r="CV90" s="98">
        <v>10.6661663055419</v>
      </c>
      <c r="CW90" s="98">
        <v>15.229895591735801</v>
      </c>
      <c r="CX90" s="97"/>
      <c r="CY90" s="99"/>
      <c r="CZ90" s="2" t="b">
        <f>IF($DP$1="YES",IF(RecData[[#This Row],[Power (kW)]]&gt;=$CR$3, TRUE,FALSE),TRUE)</f>
        <v>1</v>
      </c>
      <c r="DA90" s="16">
        <f>MIN(MOD(180-ABS(ABS($DA$1-RecData[Yaw Angle (°)])-180),360),MOD(180-ABS(ABS($DB$1-RecData[Yaw Angle (°)])-180),360))</f>
        <v>16.470275401267457</v>
      </c>
      <c r="DB90" s="2" t="str">
        <f>IF($DP$2="None","None",IF(RecData[[#This Row],[Relative Wind Direction]]&lt;=45,"DW",IF(RecData[[#This Row],[Relative Wind Direction]]&lt;=135,"CW","UW")))</f>
        <v>DW</v>
      </c>
      <c r="DC90" s="61" t="e">
        <f>IF($CL90-#REF!&gt;1/24,#REF!,IF(SUM($CQ90:$CQ90)&gt;$DS$1,$DS$5,DC91-1))</f>
        <v>#REF!</v>
      </c>
      <c r="DD90" s="61" t="e">
        <f>IF($CL91-$CL90&gt;1/24,#REF!,IF(SUM($CQ90:$CQ90)&gt;$DS$1,$DS$6,#REF!-1))</f>
        <v>#REF!</v>
      </c>
      <c r="DE90" s="18" t="b">
        <v>0</v>
      </c>
      <c r="DF90" s="2" t="b">
        <f>IF(OR(RecData[[#This Row],[WSpd_Avg '[m/s']]]-RecData[[#This Row],[Wind Speed min]]&gt;=$DF$3,RecData[[#This Row],[Wind Speed max]]-RecData[[#This Row],[WSpd_Avg '[m/s']]]&gt;=$DF$2),TRUE,FALSE)</f>
        <v>0</v>
      </c>
      <c r="DG90" s="2" t="b">
        <f>RecData[[#This Row],[Temperature '[°C']]]&lt;=-20</f>
        <v>0</v>
      </c>
      <c r="DH90" s="18" t="b">
        <f>NOT(OR(MOD(RecData[[#This Row],[TIMESTAMP]],1)&gt;0.91632,MOD(RecData[[#This Row],[TIMESTAMP]],1)&lt;0.208681))</f>
        <v>0</v>
      </c>
      <c r="DI90" s="18" t="b">
        <f>RecData[[#This Row],[Overall (dBA)]]-RecData[[#This Row],[L90]]&gt;=$DS$4</f>
        <v>0</v>
      </c>
      <c r="DJ90" s="18" t="b">
        <f>RecData[[#This Row],[Overall (dBA)]]&gt;$DS$2</f>
        <v>0</v>
      </c>
      <c r="DK90" s="18" t="b">
        <f>RecData[[#This Row],[Overall (dBA)]]&lt;$DS$3</f>
        <v>0</v>
      </c>
      <c r="DL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" s="2">
        <f>IF(AND(RecData[[#This Row],[Turbines ON/OFF]] = "OFF", NOT(OR(RecData[[#This Row],[Junk?]]="YES",RecData[[#This Row],[Gust?]],RecData[[#This Row],[Rain?]:[Min SPL Threshold?]]))),1,0)</f>
        <v>0</v>
      </c>
      <c r="DN90" s="16">
        <f>RecData[[#This Row],[dBA Sum]]</f>
        <v>39.960593876910373</v>
      </c>
      <c r="DO90" s="16">
        <f>RecData[[#This Row],[LAF90.0]]</f>
        <v>40.200000000000003</v>
      </c>
      <c r="DP90" s="55">
        <f>IF(AND(RecData[[#This Row],[Useable TON Data?]],RecData[[#This Row],[Turbines ON/OFF]]="ON"),RecData[[#This Row],[dBA Sum]],"")</f>
        <v>39.960593876910373</v>
      </c>
      <c r="DQ90" s="55" t="str">
        <f>IF(AND(RecData[[#This Row],[Useable Background Data?]],RecData[[#This Row],[Turbines ON/OFF]]="OFF"),RecData[[#This Row],[dBA Sum]],"")</f>
        <v/>
      </c>
      <c r="DR90" s="3">
        <f>IF(OR(RecData[[#This Row],[Useable TON Data?]],RecData[[#This Row],[Useable Background Data?]]),ROUND(RecData[[#This Row],[WSpd_Avg '[m/s']]],0),"")</f>
        <v>2</v>
      </c>
      <c r="DS90" s="85">
        <f>(0.00002)^2*(10^(RecData[[#This Row],[Overall (dBA)]]/10))</f>
        <v>3.9638697827261962E-6</v>
      </c>
    </row>
    <row r="91" spans="1:123" ht="15" x14ac:dyDescent="0.25">
      <c r="A91" s="3" t="s">
        <v>249</v>
      </c>
      <c r="B91" s="12">
        <v>43252.179861111115</v>
      </c>
      <c r="C91" s="3"/>
      <c r="D91" s="3">
        <v>41.8</v>
      </c>
      <c r="E91" s="3"/>
      <c r="F91" s="3"/>
      <c r="G91" s="3"/>
      <c r="H91" s="3"/>
      <c r="I91" s="3"/>
      <c r="J91" s="3"/>
      <c r="K91" s="3">
        <v>40.4</v>
      </c>
      <c r="L91" s="3"/>
      <c r="M91" s="3"/>
      <c r="N91" s="3">
        <v>184.9</v>
      </c>
      <c r="O91" s="3"/>
      <c r="P91" s="3"/>
      <c r="Q91" s="3">
        <v>1.08</v>
      </c>
      <c r="R91" s="3">
        <v>0.1</v>
      </c>
      <c r="S91" s="3">
        <v>2</v>
      </c>
      <c r="T91" s="3">
        <v>6.9</v>
      </c>
      <c r="U91" s="3">
        <v>90.3</v>
      </c>
      <c r="V91" s="3">
        <v>965.7</v>
      </c>
      <c r="W91" s="3">
        <v>0</v>
      </c>
      <c r="X91" s="3">
        <v>45.5</v>
      </c>
      <c r="Y91" s="3">
        <v>45.2</v>
      </c>
      <c r="Z91" s="3">
        <v>45.6</v>
      </c>
      <c r="AA91" s="3">
        <v>42.3</v>
      </c>
      <c r="AB91" s="3">
        <v>37.700000000000003</v>
      </c>
      <c r="AC91" s="3">
        <v>35.799999999999997</v>
      </c>
      <c r="AD91" s="3">
        <v>37.9</v>
      </c>
      <c r="AE91" s="3">
        <v>39.5</v>
      </c>
      <c r="AF91" s="3">
        <v>44.8</v>
      </c>
      <c r="AG91" s="3">
        <v>39.700000000000003</v>
      </c>
      <c r="AH91" s="3">
        <v>37.1</v>
      </c>
      <c r="AI91" s="3">
        <v>38.299999999999997</v>
      </c>
      <c r="AJ91" s="3">
        <v>37</v>
      </c>
      <c r="AK91" s="3">
        <v>35.4</v>
      </c>
      <c r="AL91" s="3">
        <v>33.5</v>
      </c>
      <c r="AM91" s="3">
        <v>32.5</v>
      </c>
      <c r="AN91" s="3">
        <v>31.5</v>
      </c>
      <c r="AO91" s="3">
        <v>29.6</v>
      </c>
      <c r="AP91" s="3">
        <v>28.1</v>
      </c>
      <c r="AQ91" s="3">
        <v>27.5</v>
      </c>
      <c r="AR91" s="3">
        <v>26.3</v>
      </c>
      <c r="AS91" s="3">
        <v>29.5</v>
      </c>
      <c r="AT91" s="3">
        <v>32.5</v>
      </c>
      <c r="AU91" s="3">
        <v>20.9</v>
      </c>
      <c r="AV91" s="3">
        <v>18.8</v>
      </c>
      <c r="AW91" s="3">
        <v>16.3</v>
      </c>
      <c r="AX91" s="3">
        <v>11.9</v>
      </c>
      <c r="AY91" s="3">
        <v>10.199999999999999</v>
      </c>
      <c r="AZ91" s="3">
        <v>0</v>
      </c>
      <c r="BA91" s="3">
        <v>0</v>
      </c>
      <c r="BB91" s="3">
        <v>0</v>
      </c>
      <c r="BC91" s="3">
        <v>41.773258290124787</v>
      </c>
      <c r="BD91" s="3">
        <v>45.526741709875211</v>
      </c>
      <c r="BE91" s="3">
        <v>45.226741709875213</v>
      </c>
      <c r="BF91" s="3">
        <v>44.38674170987521</v>
      </c>
      <c r="BG91" s="3">
        <v>41.413408376541881</v>
      </c>
      <c r="BH91" s="3">
        <v>36.953408376541873</v>
      </c>
      <c r="BI91" s="3">
        <v>35.466741709875208</v>
      </c>
      <c r="BJ91" s="3">
        <v>38.360075043208539</v>
      </c>
      <c r="BK91" s="3">
        <v>39.833408376541868</v>
      </c>
      <c r="BL91" s="3">
        <v>44.706741709875203</v>
      </c>
      <c r="BM91" s="3">
        <v>39.740075043208549</v>
      </c>
      <c r="BN91" s="3">
        <v>37.423408376541872</v>
      </c>
      <c r="BO91" s="3">
        <v>37.990075043208535</v>
      </c>
      <c r="BP91" s="3">
        <v>36.40674170987522</v>
      </c>
      <c r="BQ91" s="3">
        <v>35.223408376541869</v>
      </c>
      <c r="BR91" s="3">
        <v>33.650075043208545</v>
      </c>
      <c r="BS91" s="3">
        <v>32.453408376541873</v>
      </c>
      <c r="BT91" s="3">
        <v>31.650075043208545</v>
      </c>
      <c r="BU91" s="3">
        <v>29.716741709875222</v>
      </c>
      <c r="BV91" s="3">
        <v>27.933408376541877</v>
      </c>
      <c r="BW91" s="3">
        <v>27.866741709875214</v>
      </c>
      <c r="BX91" s="3">
        <v>26.586741709875213</v>
      </c>
      <c r="BY91" s="3">
        <v>29.606741709875209</v>
      </c>
      <c r="BZ91" s="3">
        <v>32.736741709875204</v>
      </c>
      <c r="CA91" s="3">
        <v>21.236741709875204</v>
      </c>
      <c r="CB91" s="3">
        <v>18.573408376541877</v>
      </c>
      <c r="CC91" s="3">
        <v>16.286741709875209</v>
      </c>
      <c r="CD91" s="3">
        <v>11.193408376541882</v>
      </c>
      <c r="CE91" s="3">
        <v>9.6867417098752071</v>
      </c>
      <c r="CF91" s="3">
        <v>-0.8999249567914589</v>
      </c>
      <c r="CG91" s="3">
        <v>-1.4332582901247903</v>
      </c>
      <c r="CH91" s="3">
        <v>-2.5099249567914583</v>
      </c>
      <c r="CI91" s="13">
        <f>[1]!dbasum(RecData[[#This Row],[20]:[2000]],RecData[[#Headers],[20]:[2000]])</f>
        <v>40.474491804712684</v>
      </c>
      <c r="CJ91" s="14">
        <v>804</v>
      </c>
      <c r="CK91" s="15" t="s">
        <v>249</v>
      </c>
      <c r="CL91" s="15">
        <f>RecData[[#This Row],[Start Time]]</f>
        <v>43252.179861111115</v>
      </c>
      <c r="CM91" s="16">
        <f>RecData[[#This Row],[Wind Speed avg]]</f>
        <v>1.08</v>
      </c>
      <c r="CN91" s="16">
        <f>RecData[[#This Row],[Wind Dir. avg]]</f>
        <v>184.9</v>
      </c>
      <c r="CO91" s="16">
        <f>RecData[[#This Row],[Amb. Humidity]]</f>
        <v>90.3</v>
      </c>
      <c r="CP91" s="16">
        <f>RecData[[#This Row],[Amb. Temperature]]</f>
        <v>6.9</v>
      </c>
      <c r="CQ91" s="17">
        <f>RecData[[#This Row],[Amb. Rain Gauge]]</f>
        <v>0</v>
      </c>
      <c r="CR91" s="97" t="s">
        <v>1</v>
      </c>
      <c r="CS91" s="97" t="s">
        <v>49</v>
      </c>
      <c r="CT91" s="98">
        <v>1616.5852050000001</v>
      </c>
      <c r="CU91" s="98">
        <v>24.000202178955</v>
      </c>
      <c r="CV91" s="98">
        <v>10.6661663055419</v>
      </c>
      <c r="CW91" s="98">
        <v>15.229895591735801</v>
      </c>
      <c r="CX91" s="97"/>
      <c r="CY91" s="99"/>
      <c r="CZ91" s="2" t="b">
        <f>IF($DP$1="YES",IF(RecData[[#This Row],[Power (kW)]]&gt;=$CR$3, TRUE,FALSE),TRUE)</f>
        <v>1</v>
      </c>
      <c r="DA91" s="16">
        <f>MIN(MOD(180-ABS(ABS($DA$1-RecData[Yaw Angle (°)])-180),360),MOD(180-ABS(ABS($DB$1-RecData[Yaw Angle (°)])-180),360))</f>
        <v>16.470275401267457</v>
      </c>
      <c r="DB91" s="2" t="str">
        <f>IF($DP$2="None","None",IF(RecData[[#This Row],[Relative Wind Direction]]&lt;=45,"DW",IF(RecData[[#This Row],[Relative Wind Direction]]&lt;=135,"CW","UW")))</f>
        <v>DW</v>
      </c>
      <c r="DC91" s="61" t="e">
        <f>IF($CL91-#REF!&gt;1/24,#REF!,IF(SUM($CQ90:$CQ91)&gt;$DS$1,$DS$5,#REF!-1))</f>
        <v>#REF!</v>
      </c>
      <c r="DD91" s="61" t="e">
        <f>IF(#REF!-$CL91&gt;1/24,#REF!,IF(SUM($CQ90:$CQ91)&gt;$DS$1,$DS$6,DD90-1))</f>
        <v>#REF!</v>
      </c>
      <c r="DE91" s="18" t="b">
        <v>0</v>
      </c>
      <c r="DF91" s="2" t="b">
        <f>IF(OR(RecData[[#This Row],[WSpd_Avg '[m/s']]]-RecData[[#This Row],[Wind Speed min]]&gt;=$DF$3,RecData[[#This Row],[Wind Speed max]]-RecData[[#This Row],[WSpd_Avg '[m/s']]]&gt;=$DF$2),TRUE,FALSE)</f>
        <v>0</v>
      </c>
      <c r="DG91" s="2" t="b">
        <f>RecData[[#This Row],[Temperature '[°C']]]&lt;=-20</f>
        <v>0</v>
      </c>
      <c r="DH91" s="18" t="b">
        <f>NOT(OR(MOD(RecData[[#This Row],[TIMESTAMP]],1)&gt;0.91632,MOD(RecData[[#This Row],[TIMESTAMP]],1)&lt;0.208681))</f>
        <v>0</v>
      </c>
      <c r="DI91" s="18" t="b">
        <f>RecData[[#This Row],[Overall (dBA)]]-RecData[[#This Row],[L90]]&gt;=$DS$4</f>
        <v>0</v>
      </c>
      <c r="DJ91" s="18" t="b">
        <f>RecData[[#This Row],[Overall (dBA)]]&gt;$DS$2</f>
        <v>0</v>
      </c>
      <c r="DK91" s="18" t="b">
        <f>RecData[[#This Row],[Overall (dBA)]]&lt;$DS$3</f>
        <v>0</v>
      </c>
      <c r="DL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" s="2">
        <f>IF(AND(RecData[[#This Row],[Turbines ON/OFF]] = "OFF", NOT(OR(RecData[[#This Row],[Junk?]]="YES",RecData[[#This Row],[Gust?]],RecData[[#This Row],[Rain?]:[Min SPL Threshold?]]))),1,0)</f>
        <v>0</v>
      </c>
      <c r="DN91" s="16">
        <f>RecData[[#This Row],[dBA Sum]]</f>
        <v>40.474491804712684</v>
      </c>
      <c r="DO91" s="16">
        <f>RecData[[#This Row],[LAF90.0]]</f>
        <v>40.4</v>
      </c>
      <c r="DP91" s="55">
        <f>IF(AND(RecData[[#This Row],[Useable TON Data?]],RecData[[#This Row],[Turbines ON/OFF]]="ON"),RecData[[#This Row],[dBA Sum]],"")</f>
        <v>40.474491804712684</v>
      </c>
      <c r="DQ91" s="55" t="str">
        <f>IF(AND(RecData[[#This Row],[Useable Background Data?]],RecData[[#This Row],[Turbines ON/OFF]]="OFF"),RecData[[#This Row],[dBA Sum]],"")</f>
        <v/>
      </c>
      <c r="DR91" s="3">
        <f>IF(OR(RecData[[#This Row],[Useable TON Data?]],RecData[[#This Row],[Useable Background Data?]]),ROUND(RecData[[#This Row],[WSpd_Avg '[m/s']]],0),"")</f>
        <v>1</v>
      </c>
      <c r="DS91" s="85">
        <f>(0.00002)^2*(10^(RecData[[#This Row],[Overall (dBA)]]/10))</f>
        <v>4.4617904726902907E-6</v>
      </c>
    </row>
    <row r="92" spans="1:123" ht="15" x14ac:dyDescent="0.25">
      <c r="A92" s="3" t="s">
        <v>249</v>
      </c>
      <c r="B92" s="12">
        <v>43252.181250000001</v>
      </c>
      <c r="C92" s="3"/>
      <c r="D92" s="3">
        <v>41.3</v>
      </c>
      <c r="E92" s="3"/>
      <c r="F92" s="3"/>
      <c r="G92" s="3"/>
      <c r="H92" s="3"/>
      <c r="I92" s="3"/>
      <c r="J92" s="3"/>
      <c r="K92" s="3">
        <v>39.200000000000003</v>
      </c>
      <c r="L92" s="3"/>
      <c r="M92" s="3"/>
      <c r="N92" s="3">
        <v>129.69999999999999</v>
      </c>
      <c r="O92" s="3"/>
      <c r="P92" s="3"/>
      <c r="Q92" s="3">
        <v>1.95</v>
      </c>
      <c r="R92" s="3">
        <v>1.2</v>
      </c>
      <c r="S92" s="3">
        <v>2.8</v>
      </c>
      <c r="T92" s="3">
        <v>6.8</v>
      </c>
      <c r="U92" s="3">
        <v>90</v>
      </c>
      <c r="V92" s="3">
        <v>965.7</v>
      </c>
      <c r="W92" s="3">
        <v>0</v>
      </c>
      <c r="X92" s="3">
        <v>46.6</v>
      </c>
      <c r="Y92" s="3">
        <v>44.9</v>
      </c>
      <c r="Z92" s="3">
        <v>45</v>
      </c>
      <c r="AA92" s="3">
        <v>42.1</v>
      </c>
      <c r="AB92" s="3">
        <v>36.799999999999997</v>
      </c>
      <c r="AC92" s="3">
        <v>36</v>
      </c>
      <c r="AD92" s="3">
        <v>39.1</v>
      </c>
      <c r="AE92" s="3">
        <v>41.4</v>
      </c>
      <c r="AF92" s="3">
        <v>45.7</v>
      </c>
      <c r="AG92" s="3">
        <v>39</v>
      </c>
      <c r="AH92" s="3">
        <v>37.9</v>
      </c>
      <c r="AI92" s="3">
        <v>38.700000000000003</v>
      </c>
      <c r="AJ92" s="3">
        <v>36.700000000000003</v>
      </c>
      <c r="AK92" s="3">
        <v>35.1</v>
      </c>
      <c r="AL92" s="3">
        <v>32.5</v>
      </c>
      <c r="AM92" s="3">
        <v>31.5</v>
      </c>
      <c r="AN92" s="3">
        <v>29.9</v>
      </c>
      <c r="AO92" s="3">
        <v>27.6</v>
      </c>
      <c r="AP92" s="3">
        <v>25.7</v>
      </c>
      <c r="AQ92" s="3">
        <v>24.6</v>
      </c>
      <c r="AR92" s="3">
        <v>22.6</v>
      </c>
      <c r="AS92" s="3">
        <v>30.1</v>
      </c>
      <c r="AT92" s="3">
        <v>33</v>
      </c>
      <c r="AU92" s="3">
        <v>17.8</v>
      </c>
      <c r="AV92" s="3">
        <v>15.6</v>
      </c>
      <c r="AW92" s="3">
        <v>13.9</v>
      </c>
      <c r="AX92" s="3">
        <v>11.2</v>
      </c>
      <c r="AY92" s="3">
        <v>10.4</v>
      </c>
      <c r="AZ92" s="3">
        <v>0</v>
      </c>
      <c r="BA92" s="3">
        <v>0</v>
      </c>
      <c r="BB92" s="3">
        <v>0</v>
      </c>
      <c r="BC92" s="3">
        <v>41.279934559727323</v>
      </c>
      <c r="BD92" s="3">
        <v>46.620065440272683</v>
      </c>
      <c r="BE92" s="3">
        <v>44.920065440272666</v>
      </c>
      <c r="BF92" s="3">
        <v>43.780065440272679</v>
      </c>
      <c r="BG92" s="3">
        <v>41.206732106939342</v>
      </c>
      <c r="BH92" s="3">
        <v>36.046732106939331</v>
      </c>
      <c r="BI92" s="3">
        <v>35.660065440272675</v>
      </c>
      <c r="BJ92" s="3">
        <v>39.553398773606006</v>
      </c>
      <c r="BK92" s="3">
        <v>41.726732106939338</v>
      </c>
      <c r="BL92" s="3">
        <v>45.600065440272672</v>
      </c>
      <c r="BM92" s="3">
        <v>39.03339877360601</v>
      </c>
      <c r="BN92" s="3">
        <v>38.216732106939347</v>
      </c>
      <c r="BO92" s="3">
        <v>38.383398773606004</v>
      </c>
      <c r="BP92" s="3">
        <v>36.100065440272672</v>
      </c>
      <c r="BQ92" s="3">
        <v>34.916732106939335</v>
      </c>
      <c r="BR92" s="3">
        <v>32.643398773606009</v>
      </c>
      <c r="BS92" s="3">
        <v>31.446732106939336</v>
      </c>
      <c r="BT92" s="3">
        <v>30.043398773606</v>
      </c>
      <c r="BU92" s="3">
        <v>27.710065440272686</v>
      </c>
      <c r="BV92" s="3">
        <v>25.526732106939349</v>
      </c>
      <c r="BW92" s="3">
        <v>24.960065440272686</v>
      </c>
      <c r="BX92" s="3">
        <v>22.880065440272674</v>
      </c>
      <c r="BY92" s="3">
        <v>30.200065440272667</v>
      </c>
      <c r="BZ92" s="3">
        <v>33.230065440272668</v>
      </c>
      <c r="CA92" s="3">
        <v>18.130065440272666</v>
      </c>
      <c r="CB92" s="3">
        <v>15.366732106939338</v>
      </c>
      <c r="CC92" s="3">
        <v>13.880065440272674</v>
      </c>
      <c r="CD92" s="3">
        <v>10.486732106939343</v>
      </c>
      <c r="CE92" s="3">
        <v>9.8800654402726735</v>
      </c>
      <c r="CF92" s="3">
        <v>-0.90660122639399532</v>
      </c>
      <c r="CG92" s="3">
        <v>-1.4399345597273268</v>
      </c>
      <c r="CH92" s="3">
        <v>-2.5166012263939948</v>
      </c>
      <c r="CI92" s="13">
        <f>[1]!dbasum(RecData[[#This Row],[20]:[2000]],RecData[[#Headers],[20]:[2000]])</f>
        <v>39.615259331660681</v>
      </c>
      <c r="CJ92" s="14">
        <v>806</v>
      </c>
      <c r="CK92" s="15" t="s">
        <v>249</v>
      </c>
      <c r="CL92" s="15">
        <f>RecData[[#This Row],[Start Time]]</f>
        <v>43252.181250000001</v>
      </c>
      <c r="CM92" s="16">
        <f>RecData[[#This Row],[Wind Speed avg]]</f>
        <v>1.95</v>
      </c>
      <c r="CN92" s="16">
        <f>RecData[[#This Row],[Wind Dir. avg]]</f>
        <v>129.69999999999999</v>
      </c>
      <c r="CO92" s="16">
        <f>RecData[[#This Row],[Amb. Humidity]]</f>
        <v>90</v>
      </c>
      <c r="CP92" s="16">
        <f>RecData[[#This Row],[Amb. Temperature]]</f>
        <v>6.8</v>
      </c>
      <c r="CQ92" s="17">
        <f>RecData[[#This Row],[Amb. Rain Gauge]]</f>
        <v>0</v>
      </c>
      <c r="CR92" s="97" t="s">
        <v>1</v>
      </c>
      <c r="CS92" s="97" t="s">
        <v>49</v>
      </c>
      <c r="CT92" s="98">
        <v>1560.737183</v>
      </c>
      <c r="CU92" s="98">
        <v>24.000202178955</v>
      </c>
      <c r="CV92" s="98">
        <v>10.091533660888601</v>
      </c>
      <c r="CW92" s="98">
        <v>15.2478380203247</v>
      </c>
      <c r="CX92" s="97"/>
      <c r="CY92" s="99"/>
      <c r="CZ92" s="2" t="b">
        <f>IF($DP$1="YES",IF(RecData[[#This Row],[Power (kW)]]&gt;=$CR$3, TRUE,FALSE),TRUE)</f>
        <v>1</v>
      </c>
      <c r="DA92" s="16">
        <f>MIN(MOD(180-ABS(ABS($DA$1-RecData[Yaw Angle (°)])-180),360),MOD(180-ABS(ABS($DB$1-RecData[Yaw Angle (°)])-180),360))</f>
        <v>16.470275401267457</v>
      </c>
      <c r="DB92" s="2" t="str">
        <f>IF($DP$2="None","None",IF(RecData[[#This Row],[Relative Wind Direction]]&lt;=45,"DW",IF(RecData[[#This Row],[Relative Wind Direction]]&lt;=135,"CW","UW")))</f>
        <v>DW</v>
      </c>
      <c r="DC92" s="61" t="e">
        <f>IF($CL92-#REF!&gt;1/24,#REF!,IF(SUM($CQ90:$CQ92)&gt;$DS$1,$DS$5,#REF!-1))</f>
        <v>#REF!</v>
      </c>
      <c r="DD92" s="61" t="e">
        <f>IF(#REF!-$CL92&gt;1/24,#REF!,IF(SUM($CQ90:$CQ92)&gt;$DS$1,$DS$6,#REF!-1))</f>
        <v>#REF!</v>
      </c>
      <c r="DE92" s="18" t="b">
        <v>0</v>
      </c>
      <c r="DF92" s="2" t="b">
        <f>IF(OR(RecData[[#This Row],[WSpd_Avg '[m/s']]]-RecData[[#This Row],[Wind Speed min]]&gt;=$DF$3,RecData[[#This Row],[Wind Speed max]]-RecData[[#This Row],[WSpd_Avg '[m/s']]]&gt;=$DF$2),TRUE,FALSE)</f>
        <v>0</v>
      </c>
      <c r="DG92" s="2" t="b">
        <f>RecData[[#This Row],[Temperature '[°C']]]&lt;=-20</f>
        <v>0</v>
      </c>
      <c r="DH92" s="18" t="b">
        <f>NOT(OR(MOD(RecData[[#This Row],[TIMESTAMP]],1)&gt;0.91632,MOD(RecData[[#This Row],[TIMESTAMP]],1)&lt;0.208681))</f>
        <v>0</v>
      </c>
      <c r="DI92" s="18" t="b">
        <f>RecData[[#This Row],[Overall (dBA)]]-RecData[[#This Row],[L90]]&gt;=$DS$4</f>
        <v>0</v>
      </c>
      <c r="DJ92" s="18" t="b">
        <f>RecData[[#This Row],[Overall (dBA)]]&gt;$DS$2</f>
        <v>0</v>
      </c>
      <c r="DK92" s="18" t="b">
        <f>RecData[[#This Row],[Overall (dBA)]]&lt;$DS$3</f>
        <v>0</v>
      </c>
      <c r="DL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" s="2">
        <f>IF(AND(RecData[[#This Row],[Turbines ON/OFF]] = "OFF", NOT(OR(RecData[[#This Row],[Junk?]]="YES",RecData[[#This Row],[Gust?]],RecData[[#This Row],[Rain?]:[Min SPL Threshold?]]))),1,0)</f>
        <v>0</v>
      </c>
      <c r="DN92" s="16">
        <f>RecData[[#This Row],[dBA Sum]]</f>
        <v>39.615259331660681</v>
      </c>
      <c r="DO92" s="16">
        <f>RecData[[#This Row],[LAF90.0]]</f>
        <v>39.200000000000003</v>
      </c>
      <c r="DP92" s="55">
        <f>IF(AND(RecData[[#This Row],[Useable TON Data?]],RecData[[#This Row],[Turbines ON/OFF]]="ON"),RecData[[#This Row],[dBA Sum]],"")</f>
        <v>39.615259331660681</v>
      </c>
      <c r="DQ92" s="55" t="str">
        <f>IF(AND(RecData[[#This Row],[Useable Background Data?]],RecData[[#This Row],[Turbines ON/OFF]]="OFF"),RecData[[#This Row],[dBA Sum]],"")</f>
        <v/>
      </c>
      <c r="DR92" s="3">
        <f>IF(OR(RecData[[#This Row],[Useable TON Data?]],RecData[[#This Row],[Useable Background Data?]]),ROUND(RecData[[#This Row],[WSpd_Avg '[m/s']]],0),"")</f>
        <v>2</v>
      </c>
      <c r="DS92" s="85">
        <f>(0.00002)^2*(10^(RecData[[#This Row],[Overall (dBA)]]/10))</f>
        <v>3.6608836341202576E-6</v>
      </c>
    </row>
    <row r="93" spans="1:123" ht="15" x14ac:dyDescent="0.25">
      <c r="A93" s="3" t="s">
        <v>249</v>
      </c>
      <c r="B93" s="12">
        <v>43252.182638888895</v>
      </c>
      <c r="C93" s="3"/>
      <c r="D93" s="3">
        <v>41.8</v>
      </c>
      <c r="E93" s="3"/>
      <c r="F93" s="3"/>
      <c r="G93" s="3"/>
      <c r="H93" s="3"/>
      <c r="I93" s="3"/>
      <c r="J93" s="3"/>
      <c r="K93" s="3">
        <v>40.299999999999997</v>
      </c>
      <c r="L93" s="3"/>
      <c r="M93" s="3"/>
      <c r="N93" s="3">
        <v>175.4</v>
      </c>
      <c r="O93" s="3"/>
      <c r="P93" s="3"/>
      <c r="Q93" s="3">
        <v>1.74</v>
      </c>
      <c r="R93" s="3">
        <v>0.5</v>
      </c>
      <c r="S93" s="3">
        <v>3.2</v>
      </c>
      <c r="T93" s="3">
        <v>6.8</v>
      </c>
      <c r="U93" s="3">
        <v>89.9</v>
      </c>
      <c r="V93" s="3">
        <v>965.8</v>
      </c>
      <c r="W93" s="3">
        <v>0</v>
      </c>
      <c r="X93" s="3">
        <v>47.5</v>
      </c>
      <c r="Y93" s="3">
        <v>45.7</v>
      </c>
      <c r="Z93" s="3">
        <v>45.1</v>
      </c>
      <c r="AA93" s="3">
        <v>42.3</v>
      </c>
      <c r="AB93" s="3">
        <v>37.700000000000003</v>
      </c>
      <c r="AC93" s="3">
        <v>34.799999999999997</v>
      </c>
      <c r="AD93" s="3">
        <v>38.799999999999997</v>
      </c>
      <c r="AE93" s="3">
        <v>41.6</v>
      </c>
      <c r="AF93" s="3">
        <v>45.8</v>
      </c>
      <c r="AG93" s="3">
        <v>40.299999999999997</v>
      </c>
      <c r="AH93" s="3">
        <v>38.799999999999997</v>
      </c>
      <c r="AI93" s="3">
        <v>38.4</v>
      </c>
      <c r="AJ93" s="3">
        <v>37.6</v>
      </c>
      <c r="AK93" s="3">
        <v>35.9</v>
      </c>
      <c r="AL93" s="3">
        <v>33.700000000000003</v>
      </c>
      <c r="AM93" s="3">
        <v>33.299999999999997</v>
      </c>
      <c r="AN93" s="3">
        <v>32.200000000000003</v>
      </c>
      <c r="AO93" s="3">
        <v>29.3</v>
      </c>
      <c r="AP93" s="3">
        <v>27.3</v>
      </c>
      <c r="AQ93" s="3">
        <v>25.8</v>
      </c>
      <c r="AR93" s="3">
        <v>23.5</v>
      </c>
      <c r="AS93" s="3">
        <v>27.6</v>
      </c>
      <c r="AT93" s="3">
        <v>32.5</v>
      </c>
      <c r="AU93" s="3">
        <v>18.399999999999999</v>
      </c>
      <c r="AV93" s="3">
        <v>16.7</v>
      </c>
      <c r="AW93" s="3">
        <v>14.7</v>
      </c>
      <c r="AX93" s="3">
        <v>11.7</v>
      </c>
      <c r="AY93" s="3">
        <v>10.8</v>
      </c>
      <c r="AZ93" s="3">
        <v>0</v>
      </c>
      <c r="BA93" s="3">
        <v>0</v>
      </c>
      <c r="BB93" s="3">
        <v>0</v>
      </c>
      <c r="BC93" s="3">
        <v>41.808529845712563</v>
      </c>
      <c r="BD93" s="3">
        <v>47.491470154287434</v>
      </c>
      <c r="BE93" s="3">
        <v>45.691470154287437</v>
      </c>
      <c r="BF93" s="3">
        <v>43.851470154287433</v>
      </c>
      <c r="BG93" s="3">
        <v>41.378136820954104</v>
      </c>
      <c r="BH93" s="3">
        <v>36.918136820954096</v>
      </c>
      <c r="BI93" s="3">
        <v>34.431470154287432</v>
      </c>
      <c r="BJ93" s="3">
        <v>39.224803487620768</v>
      </c>
      <c r="BK93" s="3">
        <v>41.8981368209541</v>
      </c>
      <c r="BL93" s="3">
        <v>45.671470154287427</v>
      </c>
      <c r="BM93" s="3">
        <v>40.304803487620767</v>
      </c>
      <c r="BN93" s="3">
        <v>39.088136820954098</v>
      </c>
      <c r="BO93" s="3">
        <v>38.054803487620767</v>
      </c>
      <c r="BP93" s="3">
        <v>36.971470154287438</v>
      </c>
      <c r="BQ93" s="3">
        <v>35.688136820954092</v>
      </c>
      <c r="BR93" s="3">
        <v>33.814803487620772</v>
      </c>
      <c r="BS93" s="3">
        <v>33.218136820954108</v>
      </c>
      <c r="BT93" s="3">
        <v>32.314803487620772</v>
      </c>
      <c r="BU93" s="3">
        <v>29.381470154287435</v>
      </c>
      <c r="BV93" s="3">
        <v>27.098136820954103</v>
      </c>
      <c r="BW93" s="3">
        <v>26.131470154287435</v>
      </c>
      <c r="BX93" s="3">
        <v>23.751470154287439</v>
      </c>
      <c r="BY93" s="3">
        <v>27.671470154287427</v>
      </c>
      <c r="BZ93" s="3">
        <v>32.701470154287428</v>
      </c>
      <c r="CA93" s="3">
        <v>18.701470154287428</v>
      </c>
      <c r="CB93" s="3">
        <v>16.438136820954099</v>
      </c>
      <c r="CC93" s="3">
        <v>14.651470154287431</v>
      </c>
      <c r="CD93" s="3">
        <v>10.958136820954103</v>
      </c>
      <c r="CE93" s="3">
        <v>10.251470154287432</v>
      </c>
      <c r="CF93" s="3">
        <v>-0.9351965123792354</v>
      </c>
      <c r="CG93" s="3">
        <v>-1.4685298457125668</v>
      </c>
      <c r="CH93" s="3">
        <v>-2.5451965123792348</v>
      </c>
      <c r="CI93" s="13">
        <f>[1]!dbasum(RecData[[#This Row],[20]:[2000]],RecData[[#Headers],[20]:[2000]])</f>
        <v>40.674292069940279</v>
      </c>
      <c r="CJ93" s="14">
        <v>808</v>
      </c>
      <c r="CK93" s="15" t="s">
        <v>249</v>
      </c>
      <c r="CL93" s="15">
        <f>RecData[[#This Row],[Start Time]]</f>
        <v>43252.182638888895</v>
      </c>
      <c r="CM93" s="16">
        <f>RecData[[#This Row],[Wind Speed avg]]</f>
        <v>1.74</v>
      </c>
      <c r="CN93" s="16">
        <f>RecData[[#This Row],[Wind Dir. avg]]</f>
        <v>175.4</v>
      </c>
      <c r="CO93" s="16">
        <f>RecData[[#This Row],[Amb. Humidity]]</f>
        <v>89.9</v>
      </c>
      <c r="CP93" s="16">
        <f>RecData[[#This Row],[Amb. Temperature]]</f>
        <v>6.8</v>
      </c>
      <c r="CQ93" s="17">
        <f>RecData[[#This Row],[Amb. Rain Gauge]]</f>
        <v>0</v>
      </c>
      <c r="CR93" s="97" t="s">
        <v>1</v>
      </c>
      <c r="CS93" s="97" t="s">
        <v>49</v>
      </c>
      <c r="CT93" s="98">
        <v>1560.737183</v>
      </c>
      <c r="CU93" s="98">
        <v>24.000202178955</v>
      </c>
      <c r="CV93" s="98">
        <v>10.091533660888601</v>
      </c>
      <c r="CW93" s="98">
        <v>15.2478380203247</v>
      </c>
      <c r="CX93" s="97"/>
      <c r="CY93" s="99"/>
      <c r="CZ93" s="2" t="b">
        <f>IF($DP$1="YES",IF(RecData[[#This Row],[Power (kW)]]&gt;=$CR$3, TRUE,FALSE),TRUE)</f>
        <v>1</v>
      </c>
      <c r="DA93" s="16">
        <f>MIN(MOD(180-ABS(ABS($DA$1-RecData[Yaw Angle (°)])-180),360),MOD(180-ABS(ABS($DB$1-RecData[Yaw Angle (°)])-180),360))</f>
        <v>16.470275401267457</v>
      </c>
      <c r="DB93" s="2" t="str">
        <f>IF($DP$2="None","None",IF(RecData[[#This Row],[Relative Wind Direction]]&lt;=45,"DW",IF(RecData[[#This Row],[Relative Wind Direction]]&lt;=135,"CW","UW")))</f>
        <v>DW</v>
      </c>
      <c r="DC93" s="61" t="e">
        <f>IF($CL93-$CL91&gt;1/24,#REF!,IF(SUM($CQ91:$CQ93)&gt;$DS$1,$DS$5,DC94-1))</f>
        <v>#REF!</v>
      </c>
      <c r="DD93" s="61" t="e">
        <f>IF($CL94-$CL93&gt;1/24,#REF!,IF(SUM($CQ91:$CQ93)&gt;$DS$1,$DS$6,#REF!-1))</f>
        <v>#REF!</v>
      </c>
      <c r="DE93" s="18" t="b">
        <v>0</v>
      </c>
      <c r="DF93" s="2" t="b">
        <f>IF(OR(RecData[[#This Row],[WSpd_Avg '[m/s']]]-RecData[[#This Row],[Wind Speed min]]&gt;=$DF$3,RecData[[#This Row],[Wind Speed max]]-RecData[[#This Row],[WSpd_Avg '[m/s']]]&gt;=$DF$2),TRUE,FALSE)</f>
        <v>0</v>
      </c>
      <c r="DG93" s="2" t="b">
        <f>RecData[[#This Row],[Temperature '[°C']]]&lt;=-20</f>
        <v>0</v>
      </c>
      <c r="DH93" s="18" t="b">
        <f>NOT(OR(MOD(RecData[[#This Row],[TIMESTAMP]],1)&gt;0.91632,MOD(RecData[[#This Row],[TIMESTAMP]],1)&lt;0.208681))</f>
        <v>0</v>
      </c>
      <c r="DI93" s="18" t="b">
        <f>RecData[[#This Row],[Overall (dBA)]]-RecData[[#This Row],[L90]]&gt;=$DS$4</f>
        <v>0</v>
      </c>
      <c r="DJ93" s="18" t="b">
        <f>RecData[[#This Row],[Overall (dBA)]]&gt;$DS$2</f>
        <v>0</v>
      </c>
      <c r="DK93" s="18" t="b">
        <f>RecData[[#This Row],[Overall (dBA)]]&lt;$DS$3</f>
        <v>0</v>
      </c>
      <c r="DL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" s="2">
        <f>IF(AND(RecData[[#This Row],[Turbines ON/OFF]] = "OFF", NOT(OR(RecData[[#This Row],[Junk?]]="YES",RecData[[#This Row],[Gust?]],RecData[[#This Row],[Rain?]:[Min SPL Threshold?]]))),1,0)</f>
        <v>0</v>
      </c>
      <c r="DN93" s="16">
        <f>RecData[[#This Row],[dBA Sum]]</f>
        <v>40.674292069940279</v>
      </c>
      <c r="DO93" s="16">
        <f>RecData[[#This Row],[LAF90.0]]</f>
        <v>40.299999999999997</v>
      </c>
      <c r="DP93" s="55">
        <f>IF(AND(RecData[[#This Row],[Useable TON Data?]],RecData[[#This Row],[Turbines ON/OFF]]="ON"),RecData[[#This Row],[dBA Sum]],"")</f>
        <v>40.674292069940279</v>
      </c>
      <c r="DQ93" s="55" t="str">
        <f>IF(AND(RecData[[#This Row],[Useable Background Data?]],RecData[[#This Row],[Turbines ON/OFF]]="OFF"),RecData[[#This Row],[dBA Sum]],"")</f>
        <v/>
      </c>
      <c r="DR93" s="3">
        <f>IF(OR(RecData[[#This Row],[Useable TON Data?]],RecData[[#This Row],[Useable Background Data?]]),ROUND(RecData[[#This Row],[WSpd_Avg '[m/s']]],0),"")</f>
        <v>2</v>
      </c>
      <c r="DS93" s="85">
        <f>(0.00002)^2*(10^(RecData[[#This Row],[Overall (dBA)]]/10))</f>
        <v>4.6718533129530681E-6</v>
      </c>
    </row>
    <row r="94" spans="1:123" ht="15" x14ac:dyDescent="0.25">
      <c r="A94" s="3" t="s">
        <v>249</v>
      </c>
      <c r="B94" s="12">
        <v>43252.183333333342</v>
      </c>
      <c r="C94" s="3"/>
      <c r="D94" s="3">
        <v>41.8</v>
      </c>
      <c r="E94" s="3"/>
      <c r="F94" s="3"/>
      <c r="G94" s="3"/>
      <c r="H94" s="3"/>
      <c r="I94" s="3"/>
      <c r="J94" s="3"/>
      <c r="K94" s="3">
        <v>40</v>
      </c>
      <c r="L94" s="3"/>
      <c r="M94" s="3"/>
      <c r="N94" s="3">
        <v>167.4</v>
      </c>
      <c r="O94" s="3"/>
      <c r="P94" s="3"/>
      <c r="Q94" s="3">
        <v>2.11</v>
      </c>
      <c r="R94" s="3">
        <v>0.7</v>
      </c>
      <c r="S94" s="3">
        <v>3.2</v>
      </c>
      <c r="T94" s="3">
        <v>6.8</v>
      </c>
      <c r="U94" s="3">
        <v>89.8</v>
      </c>
      <c r="V94" s="3">
        <v>965.8</v>
      </c>
      <c r="W94" s="3">
        <v>0</v>
      </c>
      <c r="X94" s="3">
        <v>47.9</v>
      </c>
      <c r="Y94" s="3">
        <v>46.4</v>
      </c>
      <c r="Z94" s="3">
        <v>45.9</v>
      </c>
      <c r="AA94" s="3">
        <v>42.6</v>
      </c>
      <c r="AB94" s="3">
        <v>38.4</v>
      </c>
      <c r="AC94" s="3">
        <v>36.200000000000003</v>
      </c>
      <c r="AD94" s="3">
        <v>38.9</v>
      </c>
      <c r="AE94" s="3">
        <v>41.1</v>
      </c>
      <c r="AF94" s="3">
        <v>44.7</v>
      </c>
      <c r="AG94" s="3">
        <v>40.6</v>
      </c>
      <c r="AH94" s="3">
        <v>37.4</v>
      </c>
      <c r="AI94" s="3">
        <v>37.6</v>
      </c>
      <c r="AJ94" s="3">
        <v>36.6</v>
      </c>
      <c r="AK94" s="3">
        <v>34.9</v>
      </c>
      <c r="AL94" s="3">
        <v>33.4</v>
      </c>
      <c r="AM94" s="3">
        <v>32.700000000000003</v>
      </c>
      <c r="AN94" s="3">
        <v>32.1</v>
      </c>
      <c r="AO94" s="3">
        <v>30</v>
      </c>
      <c r="AP94" s="3">
        <v>28.2</v>
      </c>
      <c r="AQ94" s="3">
        <v>27.2</v>
      </c>
      <c r="AR94" s="3">
        <v>25.7</v>
      </c>
      <c r="AS94" s="3">
        <v>29.2</v>
      </c>
      <c r="AT94" s="3">
        <v>32.700000000000003</v>
      </c>
      <c r="AU94" s="3">
        <v>21.4</v>
      </c>
      <c r="AV94" s="3">
        <v>19.8</v>
      </c>
      <c r="AW94" s="3">
        <v>18.100000000000001</v>
      </c>
      <c r="AX94" s="3">
        <v>14</v>
      </c>
      <c r="AY94" s="3">
        <v>12.4</v>
      </c>
      <c r="AZ94" s="3">
        <v>0</v>
      </c>
      <c r="BA94" s="3">
        <v>0</v>
      </c>
      <c r="BB94" s="3">
        <v>0</v>
      </c>
      <c r="BC94" s="3">
        <v>41.805594342378612</v>
      </c>
      <c r="BD94" s="3">
        <v>47.894405657621377</v>
      </c>
      <c r="BE94" s="3">
        <v>46.394405657621377</v>
      </c>
      <c r="BF94" s="3">
        <v>44.654405657621382</v>
      </c>
      <c r="BG94" s="3">
        <v>41.681072324288053</v>
      </c>
      <c r="BH94" s="3">
        <v>37.62107232428805</v>
      </c>
      <c r="BI94" s="3">
        <v>35.834405657621389</v>
      </c>
      <c r="BJ94" s="3">
        <v>39.327738990954714</v>
      </c>
      <c r="BK94" s="3">
        <v>41.401072324288052</v>
      </c>
      <c r="BL94" s="3">
        <v>44.574405657621384</v>
      </c>
      <c r="BM94" s="3">
        <v>40.607738990954715</v>
      </c>
      <c r="BN94" s="3">
        <v>37.691072324288058</v>
      </c>
      <c r="BO94" s="3">
        <v>37.257738990954721</v>
      </c>
      <c r="BP94" s="3">
        <v>35.974405657621389</v>
      </c>
      <c r="BQ94" s="3">
        <v>34.691072324288044</v>
      </c>
      <c r="BR94" s="3">
        <v>33.517738990954712</v>
      </c>
      <c r="BS94" s="3">
        <v>32.621072324288065</v>
      </c>
      <c r="BT94" s="3">
        <v>32.217738990954729</v>
      </c>
      <c r="BU94" s="3">
        <v>30.084405657621389</v>
      </c>
      <c r="BV94" s="3">
        <v>28.00107232428806</v>
      </c>
      <c r="BW94" s="3">
        <v>27.534405657621392</v>
      </c>
      <c r="BX94" s="3">
        <v>25.954405657621393</v>
      </c>
      <c r="BY94" s="3">
        <v>29.274405657621386</v>
      </c>
      <c r="BZ94" s="3">
        <v>32.904405657621396</v>
      </c>
      <c r="CA94" s="3">
        <v>21.704405657621379</v>
      </c>
      <c r="CB94" s="3">
        <v>19.541072324288052</v>
      </c>
      <c r="CC94" s="3">
        <v>18.054405657621388</v>
      </c>
      <c r="CD94" s="3">
        <v>13.261072324288058</v>
      </c>
      <c r="CE94" s="3">
        <v>11.854405657621385</v>
      </c>
      <c r="CF94" s="3">
        <v>-0.93226100904528408</v>
      </c>
      <c r="CG94" s="3">
        <v>-1.4655943423786155</v>
      </c>
      <c r="CH94" s="3">
        <v>-2.5422610090452835</v>
      </c>
      <c r="CI94" s="13">
        <f>[1]!dbasum(RecData[[#This Row],[20]:[2000]],RecData[[#Headers],[20]:[2000]])</f>
        <v>40.457731284876417</v>
      </c>
      <c r="CJ94" s="14">
        <v>809</v>
      </c>
      <c r="CK94" s="15" t="s">
        <v>249</v>
      </c>
      <c r="CL94" s="15">
        <f>RecData[[#This Row],[Start Time]]</f>
        <v>43252.183333333342</v>
      </c>
      <c r="CM94" s="16">
        <f>RecData[[#This Row],[Wind Speed avg]]</f>
        <v>2.11</v>
      </c>
      <c r="CN94" s="16">
        <f>RecData[[#This Row],[Wind Dir. avg]]</f>
        <v>167.4</v>
      </c>
      <c r="CO94" s="16">
        <f>RecData[[#This Row],[Amb. Humidity]]</f>
        <v>89.8</v>
      </c>
      <c r="CP94" s="16">
        <f>RecData[[#This Row],[Amb. Temperature]]</f>
        <v>6.8</v>
      </c>
      <c r="CQ94" s="17">
        <f>RecData[[#This Row],[Amb. Rain Gauge]]</f>
        <v>0</v>
      </c>
      <c r="CR94" s="97" t="s">
        <v>1</v>
      </c>
      <c r="CS94" s="97" t="s">
        <v>49</v>
      </c>
      <c r="CT94" s="98">
        <v>1560.737183</v>
      </c>
      <c r="CU94" s="98">
        <v>24.000202178955</v>
      </c>
      <c r="CV94" s="98">
        <v>10.091533660888601</v>
      </c>
      <c r="CW94" s="98">
        <v>15.2478380203247</v>
      </c>
      <c r="CX94" s="97"/>
      <c r="CY94" s="99"/>
      <c r="CZ94" s="2" t="b">
        <f>IF($DP$1="YES",IF(RecData[[#This Row],[Power (kW)]]&gt;=$CR$3, TRUE,FALSE),TRUE)</f>
        <v>1</v>
      </c>
      <c r="DA94" s="16">
        <f>MIN(MOD(180-ABS(ABS($DA$1-RecData[Yaw Angle (°)])-180),360),MOD(180-ABS(ABS($DB$1-RecData[Yaw Angle (°)])-180),360))</f>
        <v>16.470275401267457</v>
      </c>
      <c r="DB94" s="2" t="str">
        <f>IF($DP$2="None","None",IF(RecData[[#This Row],[Relative Wind Direction]]&lt;=45,"DW",IF(RecData[[#This Row],[Relative Wind Direction]]&lt;=135,"CW","UW")))</f>
        <v>DW</v>
      </c>
      <c r="DC94" s="61" t="e">
        <f>IF($CL94-#REF!&gt;1/24,#REF!,IF(SUM($CQ92:$CQ94)&gt;$DS$1,$DS$5,#REF!-1))</f>
        <v>#REF!</v>
      </c>
      <c r="DD94" s="61" t="e">
        <f>IF(#REF!-$CL94&gt;1/24,#REF!,IF(SUM($CQ92:$CQ94)&gt;$DS$1,$DS$6,DD93-1))</f>
        <v>#REF!</v>
      </c>
      <c r="DE94" s="18" t="b">
        <v>0</v>
      </c>
      <c r="DF94" s="2" t="b">
        <f>IF(OR(RecData[[#This Row],[WSpd_Avg '[m/s']]]-RecData[[#This Row],[Wind Speed min]]&gt;=$DF$3,RecData[[#This Row],[Wind Speed max]]-RecData[[#This Row],[WSpd_Avg '[m/s']]]&gt;=$DF$2),TRUE,FALSE)</f>
        <v>0</v>
      </c>
      <c r="DG94" s="2" t="b">
        <f>RecData[[#This Row],[Temperature '[°C']]]&lt;=-20</f>
        <v>0</v>
      </c>
      <c r="DH94" s="18" t="b">
        <f>NOT(OR(MOD(RecData[[#This Row],[TIMESTAMP]],1)&gt;0.91632,MOD(RecData[[#This Row],[TIMESTAMP]],1)&lt;0.208681))</f>
        <v>0</v>
      </c>
      <c r="DI94" s="18" t="b">
        <f>RecData[[#This Row],[Overall (dBA)]]-RecData[[#This Row],[L90]]&gt;=$DS$4</f>
        <v>0</v>
      </c>
      <c r="DJ94" s="18" t="b">
        <f>RecData[[#This Row],[Overall (dBA)]]&gt;$DS$2</f>
        <v>0</v>
      </c>
      <c r="DK94" s="18" t="b">
        <f>RecData[[#This Row],[Overall (dBA)]]&lt;$DS$3</f>
        <v>0</v>
      </c>
      <c r="DL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" s="2">
        <f>IF(AND(RecData[[#This Row],[Turbines ON/OFF]] = "OFF", NOT(OR(RecData[[#This Row],[Junk?]]="YES",RecData[[#This Row],[Gust?]],RecData[[#This Row],[Rain?]:[Min SPL Threshold?]]))),1,0)</f>
        <v>0</v>
      </c>
      <c r="DN94" s="16">
        <f>RecData[[#This Row],[dBA Sum]]</f>
        <v>40.457731284876417</v>
      </c>
      <c r="DO94" s="16">
        <f>RecData[[#This Row],[LAF90.0]]</f>
        <v>40</v>
      </c>
      <c r="DP94" s="55">
        <f>IF(AND(RecData[[#This Row],[Useable TON Data?]],RecData[[#This Row],[Turbines ON/OFF]]="ON"),RecData[[#This Row],[dBA Sum]],"")</f>
        <v>40.457731284876417</v>
      </c>
      <c r="DQ94" s="55" t="str">
        <f>IF(AND(RecData[[#This Row],[Useable Background Data?]],RecData[[#This Row],[Turbines ON/OFF]]="OFF"),RecData[[#This Row],[dBA Sum]],"")</f>
        <v/>
      </c>
      <c r="DR94" s="3">
        <f>IF(OR(RecData[[#This Row],[Useable TON Data?]],RecData[[#This Row],[Useable Background Data?]]),ROUND(RecData[[#This Row],[WSpd_Avg '[m/s']]],0),"")</f>
        <v>2</v>
      </c>
      <c r="DS94" s="85">
        <f>(0.00002)^2*(10^(RecData[[#This Row],[Overall (dBA)]]/10))</f>
        <v>4.4446044813591202E-6</v>
      </c>
    </row>
    <row r="95" spans="1:123" ht="15" x14ac:dyDescent="0.25">
      <c r="A95" s="3" t="s">
        <v>249</v>
      </c>
      <c r="B95" s="12">
        <v>43252.19027777778</v>
      </c>
      <c r="C95" s="3"/>
      <c r="D95" s="3">
        <v>42.8</v>
      </c>
      <c r="E95" s="3"/>
      <c r="F95" s="3"/>
      <c r="G95" s="3"/>
      <c r="H95" s="3"/>
      <c r="I95" s="3"/>
      <c r="J95" s="3"/>
      <c r="K95" s="3">
        <v>40.4</v>
      </c>
      <c r="L95" s="3"/>
      <c r="M95" s="3"/>
      <c r="N95" s="3">
        <v>205.4</v>
      </c>
      <c r="O95" s="3"/>
      <c r="P95" s="3"/>
      <c r="Q95" s="3">
        <v>1.55</v>
      </c>
      <c r="R95" s="3">
        <v>0.3</v>
      </c>
      <c r="S95" s="3">
        <v>2.9</v>
      </c>
      <c r="T95" s="3">
        <v>6.7</v>
      </c>
      <c r="U95" s="3">
        <v>88.4</v>
      </c>
      <c r="V95" s="3">
        <v>965.9</v>
      </c>
      <c r="W95" s="3">
        <v>0</v>
      </c>
      <c r="X95" s="3">
        <v>50.2</v>
      </c>
      <c r="Y95" s="3">
        <v>49.3</v>
      </c>
      <c r="Z95" s="3">
        <v>48.9</v>
      </c>
      <c r="AA95" s="3">
        <v>45.7</v>
      </c>
      <c r="AB95" s="3">
        <v>40.6</v>
      </c>
      <c r="AC95" s="3">
        <v>38.700000000000003</v>
      </c>
      <c r="AD95" s="3">
        <v>41.4</v>
      </c>
      <c r="AE95" s="3">
        <v>42.6</v>
      </c>
      <c r="AF95" s="3">
        <v>45.8</v>
      </c>
      <c r="AG95" s="3">
        <v>40.4</v>
      </c>
      <c r="AH95" s="3">
        <v>38.200000000000003</v>
      </c>
      <c r="AI95" s="3">
        <v>38.700000000000003</v>
      </c>
      <c r="AJ95" s="3">
        <v>37.4</v>
      </c>
      <c r="AK95" s="3">
        <v>35.9</v>
      </c>
      <c r="AL95" s="3">
        <v>34.4</v>
      </c>
      <c r="AM95" s="3">
        <v>34.1</v>
      </c>
      <c r="AN95" s="3">
        <v>33.4</v>
      </c>
      <c r="AO95" s="3">
        <v>31.4</v>
      </c>
      <c r="AP95" s="3">
        <v>29.8</v>
      </c>
      <c r="AQ95" s="3">
        <v>28.7</v>
      </c>
      <c r="AR95" s="3">
        <v>27.3</v>
      </c>
      <c r="AS95" s="3">
        <v>30</v>
      </c>
      <c r="AT95" s="3">
        <v>32.200000000000003</v>
      </c>
      <c r="AU95" s="3">
        <v>23.6</v>
      </c>
      <c r="AV95" s="3">
        <v>21.9</v>
      </c>
      <c r="AW95" s="3">
        <v>20</v>
      </c>
      <c r="AX95" s="3">
        <v>15.8</v>
      </c>
      <c r="AY95" s="3">
        <v>13.9</v>
      </c>
      <c r="AZ95" s="3">
        <v>0</v>
      </c>
      <c r="BA95" s="3">
        <v>0</v>
      </c>
      <c r="BB95" s="3">
        <v>0</v>
      </c>
      <c r="BC95" s="3">
        <v>42.7484702038698</v>
      </c>
      <c r="BD95" s="3">
        <v>50.2515297961302</v>
      </c>
      <c r="BE95" s="3">
        <v>49.351529796130194</v>
      </c>
      <c r="BF95" s="3">
        <v>47.711529796130193</v>
      </c>
      <c r="BG95" s="3">
        <v>44.838196462796873</v>
      </c>
      <c r="BH95" s="3">
        <v>39.878196462796865</v>
      </c>
      <c r="BI95" s="3">
        <v>38.3915297961302</v>
      </c>
      <c r="BJ95" s="3">
        <v>41.884863129463525</v>
      </c>
      <c r="BK95" s="3">
        <v>42.958196462796863</v>
      </c>
      <c r="BL95" s="3">
        <v>45.731529796130189</v>
      </c>
      <c r="BM95" s="3">
        <v>40.464863129463538</v>
      </c>
      <c r="BN95" s="3">
        <v>38.548196462796867</v>
      </c>
      <c r="BO95" s="3">
        <v>38.414863129463527</v>
      </c>
      <c r="BP95" s="3">
        <v>36.831529796130198</v>
      </c>
      <c r="BQ95" s="3">
        <v>35.748196462796855</v>
      </c>
      <c r="BR95" s="3">
        <v>34.574863129463523</v>
      </c>
      <c r="BS95" s="3">
        <v>34.078196462796868</v>
      </c>
      <c r="BT95" s="3">
        <v>33.574863129463523</v>
      </c>
      <c r="BU95" s="3">
        <v>31.541529796130192</v>
      </c>
      <c r="BV95" s="3">
        <v>29.658196462796866</v>
      </c>
      <c r="BW95" s="3">
        <v>29.091529796130203</v>
      </c>
      <c r="BX95" s="3">
        <v>27.611529796130199</v>
      </c>
      <c r="BY95" s="3">
        <v>30.131529796130195</v>
      </c>
      <c r="BZ95" s="3">
        <v>32.461529796130208</v>
      </c>
      <c r="CA95" s="3">
        <v>23.961529796130193</v>
      </c>
      <c r="CB95" s="3">
        <v>21.698196462796858</v>
      </c>
      <c r="CC95" s="3">
        <v>20.011529796130191</v>
      </c>
      <c r="CD95" s="3">
        <v>15.118196462796867</v>
      </c>
      <c r="CE95" s="3">
        <v>13.411529796130196</v>
      </c>
      <c r="CF95" s="3">
        <v>-0.8751368705364726</v>
      </c>
      <c r="CG95" s="3">
        <v>-1.408470203869804</v>
      </c>
      <c r="CH95" s="3">
        <v>-2.485136870536472</v>
      </c>
      <c r="CI95" s="13">
        <f>[1]!dbasum(RecData[[#This Row],[20]:[2000]],RecData[[#Headers],[20]:[2000]])</f>
        <v>41.69663070817883</v>
      </c>
      <c r="CJ95" s="14">
        <v>819</v>
      </c>
      <c r="CK95" s="15" t="s">
        <v>249</v>
      </c>
      <c r="CL95" s="15">
        <f>RecData[[#This Row],[Start Time]]</f>
        <v>43252.19027777778</v>
      </c>
      <c r="CM95" s="16">
        <f>RecData[[#This Row],[Wind Speed avg]]</f>
        <v>1.55</v>
      </c>
      <c r="CN95" s="16">
        <f>RecData[[#This Row],[Wind Dir. avg]]</f>
        <v>205.4</v>
      </c>
      <c r="CO95" s="16">
        <f>RecData[[#This Row],[Amb. Humidity]]</f>
        <v>88.4</v>
      </c>
      <c r="CP95" s="16">
        <f>RecData[[#This Row],[Amb. Temperature]]</f>
        <v>6.7</v>
      </c>
      <c r="CQ95" s="17">
        <f>RecData[[#This Row],[Amb. Rain Gauge]]</f>
        <v>0</v>
      </c>
      <c r="CR95" s="97" t="s">
        <v>1</v>
      </c>
      <c r="CS95" s="97" t="s">
        <v>49</v>
      </c>
      <c r="CT95" s="98">
        <v>1618.3240969999999</v>
      </c>
      <c r="CU95" s="98">
        <v>24.000202178955</v>
      </c>
      <c r="CV95" s="98">
        <v>11.834153175354</v>
      </c>
      <c r="CW95" s="98">
        <v>15.280405998229901</v>
      </c>
      <c r="CX95" s="97"/>
      <c r="CY95" s="99"/>
      <c r="CZ95" s="2" t="b">
        <f>IF($DP$1="YES",IF(RecData[[#This Row],[Power (kW)]]&gt;=$CR$3, TRUE,FALSE),TRUE)</f>
        <v>1</v>
      </c>
      <c r="DA95" s="16">
        <f>MIN(MOD(180-ABS(ABS($DA$1-RecData[Yaw Angle (°)])-180),360),MOD(180-ABS(ABS($DB$1-RecData[Yaw Angle (°)])-180),360))</f>
        <v>16.470275401267457</v>
      </c>
      <c r="DB95" s="2" t="str">
        <f>IF($DP$2="None","None",IF(RecData[[#This Row],[Relative Wind Direction]]&lt;=45,"DW",IF(RecData[[#This Row],[Relative Wind Direction]]&lt;=135,"CW","UW")))</f>
        <v>DW</v>
      </c>
      <c r="DC95" s="61" t="e">
        <f>IF($CL95-#REF!&gt;1/24,#REF!,IF(SUM($CQ95:$CQ95)&gt;$DS$1,$DS$5,DC96-1))</f>
        <v>#REF!</v>
      </c>
      <c r="DD95" s="61" t="e">
        <f>IF($CL96-$CL95&gt;1/24,#REF!,IF(SUM($CQ95:$CQ95)&gt;$DS$1,$DS$6,#REF!-1))</f>
        <v>#REF!</v>
      </c>
      <c r="DE95" s="18" t="b">
        <v>0</v>
      </c>
      <c r="DF95" s="2" t="b">
        <f>IF(OR(RecData[[#This Row],[WSpd_Avg '[m/s']]]-RecData[[#This Row],[Wind Speed min]]&gt;=$DF$3,RecData[[#This Row],[Wind Speed max]]-RecData[[#This Row],[WSpd_Avg '[m/s']]]&gt;=$DF$2),TRUE,FALSE)</f>
        <v>0</v>
      </c>
      <c r="DG95" s="2" t="b">
        <f>RecData[[#This Row],[Temperature '[°C']]]&lt;=-20</f>
        <v>0</v>
      </c>
      <c r="DH95" s="18" t="b">
        <f>NOT(OR(MOD(RecData[[#This Row],[TIMESTAMP]],1)&gt;0.91632,MOD(RecData[[#This Row],[TIMESTAMP]],1)&lt;0.208681))</f>
        <v>0</v>
      </c>
      <c r="DI95" s="18" t="b">
        <f>RecData[[#This Row],[Overall (dBA)]]-RecData[[#This Row],[L90]]&gt;=$DS$4</f>
        <v>0</v>
      </c>
      <c r="DJ95" s="18" t="b">
        <f>RecData[[#This Row],[Overall (dBA)]]&gt;$DS$2</f>
        <v>0</v>
      </c>
      <c r="DK95" s="18" t="b">
        <f>RecData[[#This Row],[Overall (dBA)]]&lt;$DS$3</f>
        <v>0</v>
      </c>
      <c r="DL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" s="2">
        <f>IF(AND(RecData[[#This Row],[Turbines ON/OFF]] = "OFF", NOT(OR(RecData[[#This Row],[Junk?]]="YES",RecData[[#This Row],[Gust?]],RecData[[#This Row],[Rain?]:[Min SPL Threshold?]]))),1,0)</f>
        <v>0</v>
      </c>
      <c r="DN95" s="16">
        <f>RecData[[#This Row],[dBA Sum]]</f>
        <v>41.69663070817883</v>
      </c>
      <c r="DO95" s="16">
        <f>RecData[[#This Row],[LAF90.0]]</f>
        <v>40.4</v>
      </c>
      <c r="DP95" s="55">
        <f>IF(AND(RecData[[#This Row],[Useable TON Data?]],RecData[[#This Row],[Turbines ON/OFF]]="ON"),RecData[[#This Row],[dBA Sum]],"")</f>
        <v>41.69663070817883</v>
      </c>
      <c r="DQ95" s="55" t="str">
        <f>IF(AND(RecData[[#This Row],[Useable Background Data?]],RecData[[#This Row],[Turbines ON/OFF]]="OFF"),RecData[[#This Row],[dBA Sum]],"")</f>
        <v/>
      </c>
      <c r="DR95" s="3">
        <f>IF(OR(RecData[[#This Row],[Useable TON Data?]],RecData[[#This Row],[Useable Background Data?]]),ROUND(RecData[[#This Row],[WSpd_Avg '[m/s']]],0),"")</f>
        <v>2</v>
      </c>
      <c r="DS95" s="85">
        <f>(0.00002)^2*(10^(RecData[[#This Row],[Overall (dBA)]]/10))</f>
        <v>5.9118453155536657E-6</v>
      </c>
    </row>
    <row r="96" spans="1:123" ht="15" x14ac:dyDescent="0.25">
      <c r="A96" s="3" t="s">
        <v>249</v>
      </c>
      <c r="B96" s="12">
        <v>43252.190972222226</v>
      </c>
      <c r="C96" s="3"/>
      <c r="D96" s="3">
        <v>41.9</v>
      </c>
      <c r="E96" s="3"/>
      <c r="F96" s="3"/>
      <c r="G96" s="3"/>
      <c r="H96" s="3"/>
      <c r="I96" s="3"/>
      <c r="J96" s="3"/>
      <c r="K96" s="3">
        <v>40.4</v>
      </c>
      <c r="L96" s="3"/>
      <c r="M96" s="3"/>
      <c r="N96" s="3">
        <v>158.69999999999999</v>
      </c>
      <c r="O96" s="3"/>
      <c r="P96" s="3"/>
      <c r="Q96" s="3">
        <v>2.13</v>
      </c>
      <c r="R96" s="3">
        <v>0.8</v>
      </c>
      <c r="S96" s="3">
        <v>3.3</v>
      </c>
      <c r="T96" s="3">
        <v>6.7</v>
      </c>
      <c r="U96" s="3">
        <v>88.2</v>
      </c>
      <c r="V96" s="3">
        <v>965.9</v>
      </c>
      <c r="W96" s="3">
        <v>0</v>
      </c>
      <c r="X96" s="3">
        <v>49.1</v>
      </c>
      <c r="Y96" s="3">
        <v>48.9</v>
      </c>
      <c r="Z96" s="3">
        <v>47.6</v>
      </c>
      <c r="AA96" s="3">
        <v>43.2</v>
      </c>
      <c r="AB96" s="3">
        <v>38.6</v>
      </c>
      <c r="AC96" s="3">
        <v>37.5</v>
      </c>
      <c r="AD96" s="3">
        <v>40.200000000000003</v>
      </c>
      <c r="AE96" s="3">
        <v>41.6</v>
      </c>
      <c r="AF96" s="3">
        <v>44.2</v>
      </c>
      <c r="AG96" s="3">
        <v>38.799999999999997</v>
      </c>
      <c r="AH96" s="3">
        <v>36.9</v>
      </c>
      <c r="AI96" s="3">
        <v>37</v>
      </c>
      <c r="AJ96" s="3">
        <v>36.1</v>
      </c>
      <c r="AK96" s="3">
        <v>34.9</v>
      </c>
      <c r="AL96" s="3">
        <v>33.700000000000003</v>
      </c>
      <c r="AM96" s="3">
        <v>33.299999999999997</v>
      </c>
      <c r="AN96" s="3">
        <v>32.700000000000003</v>
      </c>
      <c r="AO96" s="3">
        <v>30.8</v>
      </c>
      <c r="AP96" s="3">
        <v>29</v>
      </c>
      <c r="AQ96" s="3">
        <v>27.7</v>
      </c>
      <c r="AR96" s="3">
        <v>25.5</v>
      </c>
      <c r="AS96" s="3">
        <v>29.4</v>
      </c>
      <c r="AT96" s="3">
        <v>32.4</v>
      </c>
      <c r="AU96" s="3">
        <v>19.100000000000001</v>
      </c>
      <c r="AV96" s="3">
        <v>17.2</v>
      </c>
      <c r="AW96" s="3">
        <v>15.6</v>
      </c>
      <c r="AX96" s="3">
        <v>12.3</v>
      </c>
      <c r="AY96" s="3">
        <v>11.2</v>
      </c>
      <c r="AZ96" s="3">
        <v>0</v>
      </c>
      <c r="BA96" s="3">
        <v>0</v>
      </c>
      <c r="BB96" s="3">
        <v>0</v>
      </c>
      <c r="BC96" s="3">
        <v>41.84023624484081</v>
      </c>
      <c r="BD96" s="3">
        <v>49.15976375515919</v>
      </c>
      <c r="BE96" s="3">
        <v>48.959763755159187</v>
      </c>
      <c r="BF96" s="3">
        <v>46.419763755159181</v>
      </c>
      <c r="BG96" s="3">
        <v>42.346430421825858</v>
      </c>
      <c r="BH96" s="3">
        <v>37.88643042182585</v>
      </c>
      <c r="BI96" s="3">
        <v>37.199763755159182</v>
      </c>
      <c r="BJ96" s="3">
        <v>40.693097088492522</v>
      </c>
      <c r="BK96" s="3">
        <v>41.966430421825862</v>
      </c>
      <c r="BL96" s="3">
        <v>44.139763755159194</v>
      </c>
      <c r="BM96" s="3">
        <v>38.873097088492528</v>
      </c>
      <c r="BN96" s="3">
        <v>37.256430421825854</v>
      </c>
      <c r="BO96" s="3">
        <v>36.723097088492523</v>
      </c>
      <c r="BP96" s="3">
        <v>35.539763755159186</v>
      </c>
      <c r="BQ96" s="3">
        <v>34.756430421825854</v>
      </c>
      <c r="BR96" s="3">
        <v>33.883097088492519</v>
      </c>
      <c r="BS96" s="3">
        <v>33.286430421825855</v>
      </c>
      <c r="BT96" s="3">
        <v>32.883097088492519</v>
      </c>
      <c r="BU96" s="3">
        <v>30.949763755159196</v>
      </c>
      <c r="BV96" s="3">
        <v>28.866430421825854</v>
      </c>
      <c r="BW96" s="3">
        <v>28.099763755159188</v>
      </c>
      <c r="BX96" s="3">
        <v>25.819763755159187</v>
      </c>
      <c r="BY96" s="3">
        <v>29.539763755159186</v>
      </c>
      <c r="BZ96" s="3">
        <v>32.669763755159181</v>
      </c>
      <c r="CA96" s="3">
        <v>19.469763755159178</v>
      </c>
      <c r="CB96" s="3">
        <v>17.006430421825854</v>
      </c>
      <c r="CC96" s="3">
        <v>15.619763755159184</v>
      </c>
      <c r="CD96" s="3">
        <v>11.626430421825859</v>
      </c>
      <c r="CE96" s="3">
        <v>10.719763755159185</v>
      </c>
      <c r="CF96" s="3">
        <v>-0.86690291150748067</v>
      </c>
      <c r="CG96" s="3">
        <v>-1.4002362448408121</v>
      </c>
      <c r="CH96" s="3">
        <v>-2.4769029115074801</v>
      </c>
      <c r="CI96" s="13">
        <f>[1]!dbasum(RecData[[#This Row],[20]:[2000]],RecData[[#Headers],[20]:[2000]])</f>
        <v>40.683255191284374</v>
      </c>
      <c r="CJ96" s="14">
        <v>820</v>
      </c>
      <c r="CK96" s="15" t="s">
        <v>249</v>
      </c>
      <c r="CL96" s="15">
        <f>RecData[[#This Row],[Start Time]]</f>
        <v>43252.190972222226</v>
      </c>
      <c r="CM96" s="16">
        <f>RecData[[#This Row],[Wind Speed avg]]</f>
        <v>2.13</v>
      </c>
      <c r="CN96" s="16">
        <f>RecData[[#This Row],[Wind Dir. avg]]</f>
        <v>158.69999999999999</v>
      </c>
      <c r="CO96" s="16">
        <f>RecData[[#This Row],[Amb. Humidity]]</f>
        <v>88.2</v>
      </c>
      <c r="CP96" s="16">
        <f>RecData[[#This Row],[Amb. Temperature]]</f>
        <v>6.7</v>
      </c>
      <c r="CQ96" s="17">
        <f>RecData[[#This Row],[Amb. Rain Gauge]]</f>
        <v>0</v>
      </c>
      <c r="CR96" s="97" t="s">
        <v>1</v>
      </c>
      <c r="CS96" s="97" t="s">
        <v>49</v>
      </c>
      <c r="CT96" s="98">
        <v>1618.3240969999999</v>
      </c>
      <c r="CU96" s="98">
        <v>24.000202178955</v>
      </c>
      <c r="CV96" s="98">
        <v>11.834153175354</v>
      </c>
      <c r="CW96" s="98">
        <v>15.280405998229901</v>
      </c>
      <c r="CX96" s="97"/>
      <c r="CY96" s="99"/>
      <c r="CZ96" s="2" t="b">
        <f>IF($DP$1="YES",IF(RecData[[#This Row],[Power (kW)]]&gt;=$CR$3, TRUE,FALSE),TRUE)</f>
        <v>1</v>
      </c>
      <c r="DA96" s="16">
        <f>MIN(MOD(180-ABS(ABS($DA$1-RecData[Yaw Angle (°)])-180),360),MOD(180-ABS(ABS($DB$1-RecData[Yaw Angle (°)])-180),360))</f>
        <v>16.470275401267457</v>
      </c>
      <c r="DB96" s="2" t="str">
        <f>IF($DP$2="None","None",IF(RecData[[#This Row],[Relative Wind Direction]]&lt;=45,"DW",IF(RecData[[#This Row],[Relative Wind Direction]]&lt;=135,"CW","UW")))</f>
        <v>DW</v>
      </c>
      <c r="DC96" s="61">
        <v>-1</v>
      </c>
      <c r="DD96" s="61">
        <v>-1</v>
      </c>
      <c r="DE96" s="18" t="b">
        <v>0</v>
      </c>
      <c r="DF96" s="2" t="b">
        <f>IF(OR(RecData[[#This Row],[WSpd_Avg '[m/s']]]-RecData[[#This Row],[Wind Speed min]]&gt;=$DF$3,RecData[[#This Row],[Wind Speed max]]-RecData[[#This Row],[WSpd_Avg '[m/s']]]&gt;=$DF$2),TRUE,FALSE)</f>
        <v>0</v>
      </c>
      <c r="DG96" s="2" t="b">
        <f>RecData[[#This Row],[Temperature '[°C']]]&lt;=-20</f>
        <v>0</v>
      </c>
      <c r="DH96" s="18" t="b">
        <f>NOT(OR(MOD(RecData[[#This Row],[TIMESTAMP]],1)&gt;0.91632,MOD(RecData[[#This Row],[TIMESTAMP]],1)&lt;0.208681))</f>
        <v>0</v>
      </c>
      <c r="DI96" s="18" t="b">
        <f>RecData[[#This Row],[Overall (dBA)]]-RecData[[#This Row],[L90]]&gt;=$DS$4</f>
        <v>0</v>
      </c>
      <c r="DJ96" s="18" t="b">
        <f>RecData[[#This Row],[Overall (dBA)]]&gt;$DS$2</f>
        <v>0</v>
      </c>
      <c r="DK96" s="18" t="b">
        <f>RecData[[#This Row],[Overall (dBA)]]&lt;$DS$3</f>
        <v>0</v>
      </c>
      <c r="DL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" s="2">
        <f>IF(AND(RecData[[#This Row],[Turbines ON/OFF]] = "OFF", NOT(OR(RecData[[#This Row],[Junk?]]="YES",RecData[[#This Row],[Gust?]],RecData[[#This Row],[Rain?]:[Min SPL Threshold?]]))),1,0)</f>
        <v>0</v>
      </c>
      <c r="DN96" s="16">
        <f>RecData[[#This Row],[dBA Sum]]</f>
        <v>40.683255191284374</v>
      </c>
      <c r="DO96" s="16">
        <f>RecData[[#This Row],[LAF90.0]]</f>
        <v>40.4</v>
      </c>
      <c r="DP96" s="55">
        <f>IF(AND(RecData[[#This Row],[Useable TON Data?]],RecData[[#This Row],[Turbines ON/OFF]]="ON"),RecData[[#This Row],[dBA Sum]],"")</f>
        <v>40.683255191284374</v>
      </c>
      <c r="DQ96" s="55" t="str">
        <f>IF(AND(RecData[[#This Row],[Useable Background Data?]],RecData[[#This Row],[Turbines ON/OFF]]="OFF"),RecData[[#This Row],[dBA Sum]],"")</f>
        <v/>
      </c>
      <c r="DR96" s="3">
        <f>IF(OR(RecData[[#This Row],[Useable TON Data?]],RecData[[#This Row],[Useable Background Data?]]),ROUND(RecData[[#This Row],[WSpd_Avg '[m/s']]],0),"")</f>
        <v>2</v>
      </c>
      <c r="DS96" s="85">
        <f>(0.00002)^2*(10^(RecData[[#This Row],[Overall (dBA)]]/10))</f>
        <v>4.6815052036741479E-6</v>
      </c>
    </row>
    <row r="97" spans="1:123" ht="15" x14ac:dyDescent="0.25">
      <c r="A97" s="3" t="s">
        <v>249</v>
      </c>
      <c r="B97" s="12">
        <v>43252.191666666673</v>
      </c>
      <c r="C97" s="3"/>
      <c r="D97" s="3">
        <v>43.4</v>
      </c>
      <c r="E97" s="3"/>
      <c r="F97" s="3"/>
      <c r="G97" s="3"/>
      <c r="H97" s="3"/>
      <c r="I97" s="3"/>
      <c r="J97" s="3"/>
      <c r="K97" s="3">
        <v>42.4</v>
      </c>
      <c r="L97" s="3"/>
      <c r="M97" s="3"/>
      <c r="N97" s="3">
        <v>206.7</v>
      </c>
      <c r="O97" s="3"/>
      <c r="P97" s="3"/>
      <c r="Q97" s="3">
        <v>1.58</v>
      </c>
      <c r="R97" s="3">
        <v>0.2</v>
      </c>
      <c r="S97" s="3">
        <v>2.8</v>
      </c>
      <c r="T97" s="3">
        <v>6.6</v>
      </c>
      <c r="U97" s="3">
        <v>88.2</v>
      </c>
      <c r="V97" s="3">
        <v>965.9</v>
      </c>
      <c r="W97" s="3">
        <v>0</v>
      </c>
      <c r="X97" s="3">
        <v>49.4</v>
      </c>
      <c r="Y97" s="3">
        <v>48.7</v>
      </c>
      <c r="Z97" s="3">
        <v>47.6</v>
      </c>
      <c r="AA97" s="3">
        <v>42.9</v>
      </c>
      <c r="AB97" s="3">
        <v>39</v>
      </c>
      <c r="AC97" s="3">
        <v>38.200000000000003</v>
      </c>
      <c r="AD97" s="3">
        <v>41.9</v>
      </c>
      <c r="AE97" s="3">
        <v>43</v>
      </c>
      <c r="AF97" s="3">
        <v>45.2</v>
      </c>
      <c r="AG97" s="3">
        <v>39.4</v>
      </c>
      <c r="AH97" s="3">
        <v>38.200000000000003</v>
      </c>
      <c r="AI97" s="3">
        <v>38.299999999999997</v>
      </c>
      <c r="AJ97" s="3">
        <v>37.4</v>
      </c>
      <c r="AK97" s="3">
        <v>36.200000000000003</v>
      </c>
      <c r="AL97" s="3">
        <v>34.9</v>
      </c>
      <c r="AM97" s="3">
        <v>34.5</v>
      </c>
      <c r="AN97" s="3">
        <v>33.9</v>
      </c>
      <c r="AO97" s="3">
        <v>32.200000000000003</v>
      </c>
      <c r="AP97" s="3">
        <v>30.7</v>
      </c>
      <c r="AQ97" s="3">
        <v>30</v>
      </c>
      <c r="AR97" s="3">
        <v>28.8</v>
      </c>
      <c r="AS97" s="3">
        <v>31.2</v>
      </c>
      <c r="AT97" s="3">
        <v>34</v>
      </c>
      <c r="AU97" s="3">
        <v>23.1</v>
      </c>
      <c r="AV97" s="3">
        <v>20.9</v>
      </c>
      <c r="AW97" s="3">
        <v>18.8</v>
      </c>
      <c r="AX97" s="3">
        <v>13.5</v>
      </c>
      <c r="AY97" s="3">
        <v>11.5</v>
      </c>
      <c r="AZ97" s="3">
        <v>0</v>
      </c>
      <c r="BA97" s="3">
        <v>0</v>
      </c>
      <c r="BB97" s="3">
        <v>0</v>
      </c>
      <c r="BC97" s="3">
        <v>43.3753646921936</v>
      </c>
      <c r="BD97" s="3">
        <v>49.424635307806398</v>
      </c>
      <c r="BE97" s="3">
        <v>48.724635307806395</v>
      </c>
      <c r="BF97" s="3">
        <v>46.384635307806391</v>
      </c>
      <c r="BG97" s="3">
        <v>42.011301974473056</v>
      </c>
      <c r="BH97" s="3">
        <v>38.251301974473066</v>
      </c>
      <c r="BI97" s="3">
        <v>37.86463530780641</v>
      </c>
      <c r="BJ97" s="3">
        <v>42.35796864113972</v>
      </c>
      <c r="BK97" s="3">
        <v>43.331301974473064</v>
      </c>
      <c r="BL97" s="3">
        <v>45.104635307806404</v>
      </c>
      <c r="BM97" s="3">
        <v>39.437968641139733</v>
      </c>
      <c r="BN97" s="3">
        <v>38.521301974473076</v>
      </c>
      <c r="BO97" s="3">
        <v>37.98796864113973</v>
      </c>
      <c r="BP97" s="3">
        <v>36.804635307806407</v>
      </c>
      <c r="BQ97" s="3">
        <v>36.021301974473062</v>
      </c>
      <c r="BR97" s="3">
        <v>35.047968641139732</v>
      </c>
      <c r="BS97" s="3">
        <v>34.451301974473068</v>
      </c>
      <c r="BT97" s="3">
        <v>34.047968641139732</v>
      </c>
      <c r="BU97" s="3">
        <v>32.314635307806398</v>
      </c>
      <c r="BV97" s="3">
        <v>30.531301974473067</v>
      </c>
      <c r="BW97" s="3">
        <v>30.36463530780641</v>
      </c>
      <c r="BX97" s="3">
        <v>29.084635307806408</v>
      </c>
      <c r="BY97" s="3">
        <v>31.304635307806393</v>
      </c>
      <c r="BZ97" s="3">
        <v>34.2346353078064</v>
      </c>
      <c r="CA97" s="3">
        <v>23.434635307806388</v>
      </c>
      <c r="CB97" s="3">
        <v>20.671301974473067</v>
      </c>
      <c r="CC97" s="3">
        <v>18.784635307806397</v>
      </c>
      <c r="CD97" s="3">
        <v>12.791301974473072</v>
      </c>
      <c r="CE97" s="3">
        <v>10.9846353078064</v>
      </c>
      <c r="CF97" s="3">
        <v>-0.90203135886027042</v>
      </c>
      <c r="CG97" s="3">
        <v>-1.4353646921936019</v>
      </c>
      <c r="CH97" s="3">
        <v>-2.5120313588602698</v>
      </c>
      <c r="CI97" s="13">
        <f>[1]!dbasum(RecData[[#This Row],[20]:[2000]],RecData[[#Headers],[20]:[2000]])</f>
        <v>42.105513127209633</v>
      </c>
      <c r="CJ97" s="14">
        <v>821</v>
      </c>
      <c r="CK97" s="15" t="s">
        <v>249</v>
      </c>
      <c r="CL97" s="15">
        <f>RecData[[#This Row],[Start Time]]</f>
        <v>43252.191666666673</v>
      </c>
      <c r="CM97" s="16">
        <f>RecData[[#This Row],[Wind Speed avg]]</f>
        <v>1.58</v>
      </c>
      <c r="CN97" s="16">
        <f>RecData[[#This Row],[Wind Dir. avg]]</f>
        <v>206.7</v>
      </c>
      <c r="CO97" s="16">
        <f>RecData[[#This Row],[Amb. Humidity]]</f>
        <v>88.2</v>
      </c>
      <c r="CP97" s="16">
        <f>RecData[[#This Row],[Amb. Temperature]]</f>
        <v>6.6</v>
      </c>
      <c r="CQ97" s="17">
        <f>RecData[[#This Row],[Amb. Rain Gauge]]</f>
        <v>0</v>
      </c>
      <c r="CR97" s="97" t="s">
        <v>1</v>
      </c>
      <c r="CS97" s="97" t="s">
        <v>49</v>
      </c>
      <c r="CT97" s="98">
        <v>1618.3240969999999</v>
      </c>
      <c r="CU97" s="98">
        <v>24.000202178955</v>
      </c>
      <c r="CV97" s="98">
        <v>11.834153175354</v>
      </c>
      <c r="CW97" s="98">
        <v>15.280405998229901</v>
      </c>
      <c r="CX97" s="97"/>
      <c r="CY97" s="99"/>
      <c r="CZ97" s="2" t="b">
        <f>IF($DP$1="YES",IF(RecData[[#This Row],[Power (kW)]]&gt;=$CR$3, TRUE,FALSE),TRUE)</f>
        <v>1</v>
      </c>
      <c r="DA97" s="16">
        <f>MIN(MOD(180-ABS(ABS($DA$1-RecData[Yaw Angle (°)])-180),360),MOD(180-ABS(ABS($DB$1-RecData[Yaw Angle (°)])-180),360))</f>
        <v>16.470275401267457</v>
      </c>
      <c r="DB97" s="2" t="str">
        <f>IF($DP$2="None","None",IF(RecData[[#This Row],[Relative Wind Direction]]&lt;=45,"DW",IF(RecData[[#This Row],[Relative Wind Direction]]&lt;=135,"CW","UW")))</f>
        <v>DW</v>
      </c>
      <c r="DC97" s="61" t="e">
        <f>IF($CL97-$CL96&gt;1/24,#REF!,IF(SUM($CQ96:$CQ97)&gt;$DS$1,$DS$5,DC98-1))</f>
        <v>#REF!</v>
      </c>
      <c r="DD97" s="61">
        <f>IF($CL98-$CL97&gt;1/24,#REF!,IF(SUM($CQ96:$CQ97)&gt;$DS$1,$DS$6,DD96-1))</f>
        <v>-2</v>
      </c>
      <c r="DE97" s="18" t="b">
        <v>0</v>
      </c>
      <c r="DF97" s="2" t="b">
        <f>IF(OR(RecData[[#This Row],[WSpd_Avg '[m/s']]]-RecData[[#This Row],[Wind Speed min]]&gt;=$DF$3,RecData[[#This Row],[Wind Speed max]]-RecData[[#This Row],[WSpd_Avg '[m/s']]]&gt;=$DF$2),TRUE,FALSE)</f>
        <v>0</v>
      </c>
      <c r="DG97" s="2" t="b">
        <f>RecData[[#This Row],[Temperature '[°C']]]&lt;=-20</f>
        <v>0</v>
      </c>
      <c r="DH97" s="18" t="b">
        <f>NOT(OR(MOD(RecData[[#This Row],[TIMESTAMP]],1)&gt;0.91632,MOD(RecData[[#This Row],[TIMESTAMP]],1)&lt;0.208681))</f>
        <v>0</v>
      </c>
      <c r="DI97" s="18" t="b">
        <f>RecData[[#This Row],[Overall (dBA)]]-RecData[[#This Row],[L90]]&gt;=$DS$4</f>
        <v>0</v>
      </c>
      <c r="DJ97" s="18" t="b">
        <f>RecData[[#This Row],[Overall (dBA)]]&gt;$DS$2</f>
        <v>0</v>
      </c>
      <c r="DK97" s="18" t="b">
        <f>RecData[[#This Row],[Overall (dBA)]]&lt;$DS$3</f>
        <v>0</v>
      </c>
      <c r="DL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" s="2">
        <f>IF(AND(RecData[[#This Row],[Turbines ON/OFF]] = "OFF", NOT(OR(RecData[[#This Row],[Junk?]]="YES",RecData[[#This Row],[Gust?]],RecData[[#This Row],[Rain?]:[Min SPL Threshold?]]))),1,0)</f>
        <v>0</v>
      </c>
      <c r="DN97" s="16">
        <f>RecData[[#This Row],[dBA Sum]]</f>
        <v>42.105513127209633</v>
      </c>
      <c r="DO97" s="16">
        <f>RecData[[#This Row],[LAF90.0]]</f>
        <v>42.4</v>
      </c>
      <c r="DP97" s="55">
        <f>IF(AND(RecData[[#This Row],[Useable TON Data?]],RecData[[#This Row],[Turbines ON/OFF]]="ON"),RecData[[#This Row],[dBA Sum]],"")</f>
        <v>42.105513127209633</v>
      </c>
      <c r="DQ97" s="55" t="str">
        <f>IF(AND(RecData[[#This Row],[Useable Background Data?]],RecData[[#This Row],[Turbines ON/OFF]]="OFF"),RecData[[#This Row],[dBA Sum]],"")</f>
        <v/>
      </c>
      <c r="DR97" s="3">
        <f>IF(OR(RecData[[#This Row],[Useable TON Data?]],RecData[[#This Row],[Useable Background Data?]]),ROUND(RecData[[#This Row],[WSpd_Avg '[m/s']]],0),"")</f>
        <v>2</v>
      </c>
      <c r="DS97" s="85">
        <f>(0.00002)^2*(10^(RecData[[#This Row],[Overall (dBA)]]/10))</f>
        <v>6.4954808100340121E-6</v>
      </c>
    </row>
    <row r="98" spans="1:123" ht="15" x14ac:dyDescent="0.25">
      <c r="A98" s="3" t="s">
        <v>249</v>
      </c>
      <c r="B98" s="12">
        <v>43252.192361111112</v>
      </c>
      <c r="C98" s="3"/>
      <c r="D98" s="3">
        <v>42.1</v>
      </c>
      <c r="E98" s="3"/>
      <c r="F98" s="3"/>
      <c r="G98" s="3"/>
      <c r="H98" s="3"/>
      <c r="I98" s="3"/>
      <c r="J98" s="3"/>
      <c r="K98" s="3">
        <v>41</v>
      </c>
      <c r="L98" s="3"/>
      <c r="M98" s="3"/>
      <c r="N98" s="3">
        <v>118.6</v>
      </c>
      <c r="O98" s="3"/>
      <c r="P98" s="3"/>
      <c r="Q98" s="3">
        <v>1.47</v>
      </c>
      <c r="R98" s="3">
        <v>0.4</v>
      </c>
      <c r="S98" s="3">
        <v>2.5</v>
      </c>
      <c r="T98" s="3">
        <v>6.6</v>
      </c>
      <c r="U98" s="3">
        <v>88.3</v>
      </c>
      <c r="V98" s="3">
        <v>965.9</v>
      </c>
      <c r="W98" s="3">
        <v>0</v>
      </c>
      <c r="X98" s="3">
        <v>48.8</v>
      </c>
      <c r="Y98" s="3">
        <v>48.9</v>
      </c>
      <c r="Z98" s="3">
        <v>47.5</v>
      </c>
      <c r="AA98" s="3">
        <v>43.1</v>
      </c>
      <c r="AB98" s="3">
        <v>38.6</v>
      </c>
      <c r="AC98" s="3">
        <v>38</v>
      </c>
      <c r="AD98" s="3">
        <v>42.1</v>
      </c>
      <c r="AE98" s="3">
        <v>42.6</v>
      </c>
      <c r="AF98" s="3">
        <v>44.3</v>
      </c>
      <c r="AG98" s="3">
        <v>38.700000000000003</v>
      </c>
      <c r="AH98" s="3">
        <v>38</v>
      </c>
      <c r="AI98" s="3">
        <v>37.4</v>
      </c>
      <c r="AJ98" s="3">
        <v>36.799999999999997</v>
      </c>
      <c r="AK98" s="3">
        <v>35.4</v>
      </c>
      <c r="AL98" s="3">
        <v>33.700000000000003</v>
      </c>
      <c r="AM98" s="3">
        <v>33.700000000000003</v>
      </c>
      <c r="AN98" s="3">
        <v>33.1</v>
      </c>
      <c r="AO98" s="3">
        <v>31</v>
      </c>
      <c r="AP98" s="3">
        <v>29</v>
      </c>
      <c r="AQ98" s="3">
        <v>27.7</v>
      </c>
      <c r="AR98" s="3">
        <v>25.3</v>
      </c>
      <c r="AS98" s="3">
        <v>28.2</v>
      </c>
      <c r="AT98" s="3">
        <v>32.9</v>
      </c>
      <c r="AU98" s="3">
        <v>18</v>
      </c>
      <c r="AV98" s="3">
        <v>16.100000000000001</v>
      </c>
      <c r="AW98" s="3">
        <v>14</v>
      </c>
      <c r="AX98" s="3">
        <v>11.2</v>
      </c>
      <c r="AY98" s="3">
        <v>10.3</v>
      </c>
      <c r="AZ98" s="3">
        <v>0</v>
      </c>
      <c r="BA98" s="3">
        <v>0</v>
      </c>
      <c r="BB98" s="3">
        <v>0</v>
      </c>
      <c r="BC98" s="3">
        <v>42.06518153009241</v>
      </c>
      <c r="BD98" s="3">
        <v>48.834818469907596</v>
      </c>
      <c r="BE98" s="3">
        <v>48.93481846990759</v>
      </c>
      <c r="BF98" s="3">
        <v>46.29481846990759</v>
      </c>
      <c r="BG98" s="3">
        <v>42.221485136574252</v>
      </c>
      <c r="BH98" s="3">
        <v>37.861485136574267</v>
      </c>
      <c r="BI98" s="3">
        <v>37.674818469907599</v>
      </c>
      <c r="BJ98" s="3">
        <v>42.568151803240916</v>
      </c>
      <c r="BK98" s="3">
        <v>42.941485136574251</v>
      </c>
      <c r="BL98" s="3">
        <v>44.214818469907591</v>
      </c>
      <c r="BM98" s="3">
        <v>38.748151803240923</v>
      </c>
      <c r="BN98" s="3">
        <v>38.331485136574265</v>
      </c>
      <c r="BO98" s="3">
        <v>37.098151803240917</v>
      </c>
      <c r="BP98" s="3">
        <v>36.214818469907591</v>
      </c>
      <c r="BQ98" s="3">
        <v>35.231485136574243</v>
      </c>
      <c r="BR98" s="3">
        <v>33.858151803240936</v>
      </c>
      <c r="BS98" s="3">
        <v>33.661485136574264</v>
      </c>
      <c r="BT98" s="3">
        <v>33.258151803240928</v>
      </c>
      <c r="BU98" s="3">
        <v>31.124818469907588</v>
      </c>
      <c r="BV98" s="3">
        <v>28.841485136574256</v>
      </c>
      <c r="BW98" s="3">
        <v>28.074818469907591</v>
      </c>
      <c r="BX98" s="3">
        <v>25.594818469907601</v>
      </c>
      <c r="BY98" s="3">
        <v>28.314818469907586</v>
      </c>
      <c r="BZ98" s="3">
        <v>33.144818469907598</v>
      </c>
      <c r="CA98" s="3">
        <v>18.344818469907587</v>
      </c>
      <c r="CB98" s="3">
        <v>15.881485136574256</v>
      </c>
      <c r="CC98" s="3">
        <v>13.994818469907592</v>
      </c>
      <c r="CD98" s="3">
        <v>10.50148513657426</v>
      </c>
      <c r="CE98" s="3">
        <v>9.7948184699075895</v>
      </c>
      <c r="CF98" s="3">
        <v>-0.89184819675907789</v>
      </c>
      <c r="CG98" s="3">
        <v>-1.4251815300924093</v>
      </c>
      <c r="CH98" s="3">
        <v>-2.5018481967590773</v>
      </c>
      <c r="CI98" s="13">
        <f>[1]!dbasum(RecData[[#This Row],[20]:[2000]],RecData[[#Headers],[20]:[2000]])</f>
        <v>40.967141940073674</v>
      </c>
      <c r="CJ98" s="14">
        <v>822</v>
      </c>
      <c r="CK98" s="15" t="s">
        <v>249</v>
      </c>
      <c r="CL98" s="15">
        <f>RecData[[#This Row],[Start Time]]</f>
        <v>43252.192361111112</v>
      </c>
      <c r="CM98" s="16">
        <f>RecData[[#This Row],[Wind Speed avg]]</f>
        <v>1.47</v>
      </c>
      <c r="CN98" s="16">
        <f>RecData[[#This Row],[Wind Dir. avg]]</f>
        <v>118.6</v>
      </c>
      <c r="CO98" s="16">
        <f>RecData[[#This Row],[Amb. Humidity]]</f>
        <v>88.3</v>
      </c>
      <c r="CP98" s="16">
        <f>RecData[[#This Row],[Amb. Temperature]]</f>
        <v>6.6</v>
      </c>
      <c r="CQ98" s="17">
        <f>RecData[[#This Row],[Amb. Rain Gauge]]</f>
        <v>0</v>
      </c>
      <c r="CR98" s="97" t="s">
        <v>1</v>
      </c>
      <c r="CS98" s="97" t="s">
        <v>49</v>
      </c>
      <c r="CT98" s="98">
        <v>1618.3240969999999</v>
      </c>
      <c r="CU98" s="98">
        <v>24.000202178955</v>
      </c>
      <c r="CV98" s="98">
        <v>11.834153175354</v>
      </c>
      <c r="CW98" s="98">
        <v>15.280405998229901</v>
      </c>
      <c r="CX98" s="97"/>
      <c r="CY98" s="99"/>
      <c r="CZ98" s="2" t="b">
        <f>IF($DP$1="YES",IF(RecData[[#This Row],[Power (kW)]]&gt;=$CR$3, TRUE,FALSE),TRUE)</f>
        <v>1</v>
      </c>
      <c r="DA98" s="16">
        <f>MIN(MOD(180-ABS(ABS($DA$1-RecData[Yaw Angle (°)])-180),360),MOD(180-ABS(ABS($DB$1-RecData[Yaw Angle (°)])-180),360))</f>
        <v>16.470275401267457</v>
      </c>
      <c r="DB98" s="2" t="str">
        <f>IF($DP$2="None","None",IF(RecData[[#This Row],[Relative Wind Direction]]&lt;=45,"DW",IF(RecData[[#This Row],[Relative Wind Direction]]&lt;=135,"CW","UW")))</f>
        <v>DW</v>
      </c>
      <c r="DC98" s="61" t="e">
        <f>IF($CL98-$CL96&gt;1/24,#REF!,IF(SUM($CQ96:$CQ98)&gt;$DS$1,$DS$5,DC99-1))</f>
        <v>#REF!</v>
      </c>
      <c r="DD98" s="61">
        <f>IF($CL99-$CL98&gt;1/24,#REF!,IF(SUM($CQ96:$CQ98)&gt;$DS$1,$DS$6,DD97-1))</f>
        <v>-3</v>
      </c>
      <c r="DE98" s="18" t="b">
        <v>0</v>
      </c>
      <c r="DF98" s="2" t="b">
        <f>IF(OR(RecData[[#This Row],[WSpd_Avg '[m/s']]]-RecData[[#This Row],[Wind Speed min]]&gt;=$DF$3,RecData[[#This Row],[Wind Speed max]]-RecData[[#This Row],[WSpd_Avg '[m/s']]]&gt;=$DF$2),TRUE,FALSE)</f>
        <v>0</v>
      </c>
      <c r="DG98" s="2" t="b">
        <f>RecData[[#This Row],[Temperature '[°C']]]&lt;=-20</f>
        <v>0</v>
      </c>
      <c r="DH98" s="18" t="b">
        <f>NOT(OR(MOD(RecData[[#This Row],[TIMESTAMP]],1)&gt;0.91632,MOD(RecData[[#This Row],[TIMESTAMP]],1)&lt;0.208681))</f>
        <v>0</v>
      </c>
      <c r="DI98" s="18" t="b">
        <f>RecData[[#This Row],[Overall (dBA)]]-RecData[[#This Row],[L90]]&gt;=$DS$4</f>
        <v>0</v>
      </c>
      <c r="DJ98" s="18" t="b">
        <f>RecData[[#This Row],[Overall (dBA)]]&gt;$DS$2</f>
        <v>0</v>
      </c>
      <c r="DK98" s="18" t="b">
        <f>RecData[[#This Row],[Overall (dBA)]]&lt;$DS$3</f>
        <v>0</v>
      </c>
      <c r="DL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" s="2">
        <f>IF(AND(RecData[[#This Row],[Turbines ON/OFF]] = "OFF", NOT(OR(RecData[[#This Row],[Junk?]]="YES",RecData[[#This Row],[Gust?]],RecData[[#This Row],[Rain?]:[Min SPL Threshold?]]))),1,0)</f>
        <v>0</v>
      </c>
      <c r="DN98" s="16">
        <f>RecData[[#This Row],[dBA Sum]]</f>
        <v>40.967141940073674</v>
      </c>
      <c r="DO98" s="16">
        <f>RecData[[#This Row],[LAF90.0]]</f>
        <v>41</v>
      </c>
      <c r="DP98" s="55">
        <f>IF(AND(RecData[[#This Row],[Useable TON Data?]],RecData[[#This Row],[Turbines ON/OFF]]="ON"),RecData[[#This Row],[dBA Sum]],"")</f>
        <v>40.967141940073674</v>
      </c>
      <c r="DQ98" s="55" t="str">
        <f>IF(AND(RecData[[#This Row],[Useable Background Data?]],RecData[[#This Row],[Turbines ON/OFF]]="OFF"),RecData[[#This Row],[dBA Sum]],"")</f>
        <v/>
      </c>
      <c r="DR98" s="3">
        <f>IF(OR(RecData[[#This Row],[Useable TON Data?]],RecData[[#This Row],[Useable Background Data?]]),ROUND(RecData[[#This Row],[WSpd_Avg '[m/s']]],0),"")</f>
        <v>1</v>
      </c>
      <c r="DS98" s="85">
        <f>(0.00002)^2*(10^(RecData[[#This Row],[Overall (dBA)]]/10))</f>
        <v>4.9977460586183421E-6</v>
      </c>
    </row>
    <row r="99" spans="1:123" ht="15" x14ac:dyDescent="0.25">
      <c r="A99" s="3" t="s">
        <v>249</v>
      </c>
      <c r="B99" s="12">
        <v>43252.193055555559</v>
      </c>
      <c r="C99" s="3"/>
      <c r="D99" s="3">
        <v>40.799999999999997</v>
      </c>
      <c r="E99" s="3"/>
      <c r="F99" s="3"/>
      <c r="G99" s="3"/>
      <c r="H99" s="3"/>
      <c r="I99" s="3"/>
      <c r="J99" s="3"/>
      <c r="K99" s="3">
        <v>39.1</v>
      </c>
      <c r="L99" s="3"/>
      <c r="M99" s="3"/>
      <c r="N99" s="3">
        <v>178.3</v>
      </c>
      <c r="O99" s="3"/>
      <c r="P99" s="3"/>
      <c r="Q99" s="3">
        <v>0.94</v>
      </c>
      <c r="R99" s="3">
        <v>0.3</v>
      </c>
      <c r="S99" s="3">
        <v>1.5</v>
      </c>
      <c r="T99" s="3">
        <v>6.6</v>
      </c>
      <c r="U99" s="3">
        <v>88.5</v>
      </c>
      <c r="V99" s="3">
        <v>966</v>
      </c>
      <c r="W99" s="3">
        <v>0</v>
      </c>
      <c r="X99" s="3">
        <v>48.5</v>
      </c>
      <c r="Y99" s="3">
        <v>47.8</v>
      </c>
      <c r="Z99" s="3">
        <v>46.8</v>
      </c>
      <c r="AA99" s="3">
        <v>42.2</v>
      </c>
      <c r="AB99" s="3">
        <v>38</v>
      </c>
      <c r="AC99" s="3">
        <v>36.700000000000003</v>
      </c>
      <c r="AD99" s="3">
        <v>39.299999999999997</v>
      </c>
      <c r="AE99" s="3">
        <v>41</v>
      </c>
      <c r="AF99" s="3">
        <v>43.9</v>
      </c>
      <c r="AG99" s="3">
        <v>38.1</v>
      </c>
      <c r="AH99" s="3">
        <v>36.299999999999997</v>
      </c>
      <c r="AI99" s="3">
        <v>36.299999999999997</v>
      </c>
      <c r="AJ99" s="3">
        <v>35.4</v>
      </c>
      <c r="AK99" s="3">
        <v>34</v>
      </c>
      <c r="AL99" s="3">
        <v>32.4</v>
      </c>
      <c r="AM99" s="3">
        <v>32.5</v>
      </c>
      <c r="AN99" s="3">
        <v>31.8</v>
      </c>
      <c r="AO99" s="3">
        <v>29.4</v>
      </c>
      <c r="AP99" s="3">
        <v>27.1</v>
      </c>
      <c r="AQ99" s="3">
        <v>25.8</v>
      </c>
      <c r="AR99" s="3">
        <v>23.5</v>
      </c>
      <c r="AS99" s="3">
        <v>28.5</v>
      </c>
      <c r="AT99" s="3">
        <v>31.8</v>
      </c>
      <c r="AU99" s="3">
        <v>15.4</v>
      </c>
      <c r="AV99" s="3">
        <v>13.5</v>
      </c>
      <c r="AW99" s="3">
        <v>12.2</v>
      </c>
      <c r="AX99" s="3">
        <v>10</v>
      </c>
      <c r="AY99" s="3">
        <v>9.6999999999999993</v>
      </c>
      <c r="AZ99" s="3">
        <v>0</v>
      </c>
      <c r="BA99" s="3">
        <v>0</v>
      </c>
      <c r="BB99" s="3">
        <v>0</v>
      </c>
      <c r="BC99" s="3">
        <v>40.840816768549566</v>
      </c>
      <c r="BD99" s="3">
        <v>48.459183231450432</v>
      </c>
      <c r="BE99" s="3">
        <v>47.759183231450429</v>
      </c>
      <c r="BF99" s="3">
        <v>45.51918323145042</v>
      </c>
      <c r="BG99" s="3">
        <v>41.245849898117108</v>
      </c>
      <c r="BH99" s="3">
        <v>37.185849898117105</v>
      </c>
      <c r="BI99" s="3">
        <v>36.299183231450435</v>
      </c>
      <c r="BJ99" s="3">
        <v>39.692516564783766</v>
      </c>
      <c r="BK99" s="3">
        <v>41.265849898117089</v>
      </c>
      <c r="BL99" s="3">
        <v>43.739183231450433</v>
      </c>
      <c r="BM99" s="3">
        <v>38.072516564783761</v>
      </c>
      <c r="BN99" s="3">
        <v>36.555849898117096</v>
      </c>
      <c r="BO99" s="3">
        <v>35.922516564783756</v>
      </c>
      <c r="BP99" s="3">
        <v>34.739183231450433</v>
      </c>
      <c r="BQ99" s="3">
        <v>33.755849898117098</v>
      </c>
      <c r="BR99" s="3">
        <v>32.482516564783758</v>
      </c>
      <c r="BS99" s="3">
        <v>32.385849898117094</v>
      </c>
      <c r="BT99" s="3">
        <v>31.882516564783764</v>
      </c>
      <c r="BU99" s="3">
        <v>29.449183231450426</v>
      </c>
      <c r="BV99" s="3">
        <v>26.865849898117098</v>
      </c>
      <c r="BW99" s="3">
        <v>26.099183231450432</v>
      </c>
      <c r="BX99" s="3">
        <v>23.719183231450437</v>
      </c>
      <c r="BY99" s="3">
        <v>28.53918323145043</v>
      </c>
      <c r="BZ99" s="3">
        <v>31.969183231450437</v>
      </c>
      <c r="CA99" s="3">
        <v>15.669183231450425</v>
      </c>
      <c r="CB99" s="3">
        <v>13.205849898117094</v>
      </c>
      <c r="CC99" s="3">
        <v>12.119183231450428</v>
      </c>
      <c r="CD99" s="3">
        <v>9.2258498981171044</v>
      </c>
      <c r="CE99" s="3">
        <v>9.1191832314504282</v>
      </c>
      <c r="CF99" s="3">
        <v>-0.96748343521623781</v>
      </c>
      <c r="CG99" s="3">
        <v>-1.5008167685495692</v>
      </c>
      <c r="CH99" s="3">
        <v>-2.5774834352162372</v>
      </c>
      <c r="CI99" s="13">
        <f>[1]!dbasum(RecData[[#This Row],[20]:[2000]],RecData[[#Headers],[20]:[2000]])</f>
        <v>39.514938212349023</v>
      </c>
      <c r="CJ99" s="14">
        <v>823</v>
      </c>
      <c r="CK99" s="15" t="s">
        <v>249</v>
      </c>
      <c r="CL99" s="15">
        <f>RecData[[#This Row],[Start Time]]</f>
        <v>43252.193055555559</v>
      </c>
      <c r="CM99" s="16">
        <f>RecData[[#This Row],[Wind Speed avg]]</f>
        <v>0.94</v>
      </c>
      <c r="CN99" s="16">
        <f>RecData[[#This Row],[Wind Dir. avg]]</f>
        <v>178.3</v>
      </c>
      <c r="CO99" s="16">
        <f>RecData[[#This Row],[Amb. Humidity]]</f>
        <v>88.5</v>
      </c>
      <c r="CP99" s="16">
        <f>RecData[[#This Row],[Amb. Temperature]]</f>
        <v>6.6</v>
      </c>
      <c r="CQ99" s="17">
        <f>RecData[[#This Row],[Amb. Rain Gauge]]</f>
        <v>0</v>
      </c>
      <c r="CR99" s="4" t="s">
        <v>1</v>
      </c>
      <c r="CS99" s="4" t="s">
        <v>49</v>
      </c>
      <c r="CT99" s="70">
        <v>1618.3240969999999</v>
      </c>
      <c r="CU99" s="70">
        <v>24.000202178955</v>
      </c>
      <c r="CV99" s="70">
        <v>11.834153175354</v>
      </c>
      <c r="CW99" s="70">
        <v>15.280405998229901</v>
      </c>
      <c r="CX99" s="97"/>
      <c r="CY99" s="99"/>
      <c r="CZ99" s="2" t="b">
        <f>IF($DP$1="YES",IF(RecData[[#This Row],[Power (kW)]]&gt;=$CR$3, TRUE,FALSE),TRUE)</f>
        <v>1</v>
      </c>
      <c r="DA99" s="16">
        <f>MIN(MOD(180-ABS(ABS($DA$1-RecData[Yaw Angle (°)])-180),360),MOD(180-ABS(ABS($DB$1-RecData[Yaw Angle (°)])-180),360))</f>
        <v>16.470275401267457</v>
      </c>
      <c r="DB99" s="2" t="str">
        <f>IF($DP$2="None","None",IF(RecData[[#This Row],[Relative Wind Direction]]&lt;=45,"DW",IF(RecData[[#This Row],[Relative Wind Direction]]&lt;=135,"CW","UW")))</f>
        <v>DW</v>
      </c>
      <c r="DC99" s="61" t="e">
        <f>IF($CL99-$CL96&gt;1/24,#REF!,IF(SUM($CQ96:$CQ99)&gt;$DS$1,$DS$5,DC100-1))</f>
        <v>#REF!</v>
      </c>
      <c r="DD99" s="61">
        <f>IF($CL100-$CL99&gt;1/24,#REF!,IF(SUM($CQ96:$CQ99)&gt;$DS$1,$DS$6,DD98-1))</f>
        <v>-4</v>
      </c>
      <c r="DE99" s="18" t="b">
        <v>0</v>
      </c>
      <c r="DF99" s="2" t="b">
        <f>IF(OR(RecData[[#This Row],[WSpd_Avg '[m/s']]]-RecData[[#This Row],[Wind Speed min]]&gt;=$DF$3,RecData[[#This Row],[Wind Speed max]]-RecData[[#This Row],[WSpd_Avg '[m/s']]]&gt;=$DF$2),TRUE,FALSE)</f>
        <v>0</v>
      </c>
      <c r="DG99" s="2" t="b">
        <f>RecData[[#This Row],[Temperature '[°C']]]&lt;=-20</f>
        <v>0</v>
      </c>
      <c r="DH99" s="18" t="b">
        <f>NOT(OR(MOD(RecData[[#This Row],[TIMESTAMP]],1)&gt;0.91632,MOD(RecData[[#This Row],[TIMESTAMP]],1)&lt;0.208681))</f>
        <v>0</v>
      </c>
      <c r="DI99" s="18" t="b">
        <f>RecData[[#This Row],[Overall (dBA)]]-RecData[[#This Row],[L90]]&gt;=$DS$4</f>
        <v>0</v>
      </c>
      <c r="DJ99" s="18" t="b">
        <f>RecData[[#This Row],[Overall (dBA)]]&gt;$DS$2</f>
        <v>0</v>
      </c>
      <c r="DK99" s="18" t="b">
        <f>RecData[[#This Row],[Overall (dBA)]]&lt;$DS$3</f>
        <v>0</v>
      </c>
      <c r="DL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" s="2">
        <f>IF(AND(RecData[[#This Row],[Turbines ON/OFF]] = "OFF", NOT(OR(RecData[[#This Row],[Junk?]]="YES",RecData[[#This Row],[Gust?]],RecData[[#This Row],[Rain?]:[Min SPL Threshold?]]))),1,0)</f>
        <v>0</v>
      </c>
      <c r="DN99" s="16">
        <f>RecData[[#This Row],[dBA Sum]]</f>
        <v>39.514938212349023</v>
      </c>
      <c r="DO99" s="16">
        <f>RecData[[#This Row],[LAF90.0]]</f>
        <v>39.1</v>
      </c>
      <c r="DP99" s="55">
        <f>IF(AND(RecData[[#This Row],[Useable TON Data?]],RecData[[#This Row],[Turbines ON/OFF]]="ON"),RecData[[#This Row],[dBA Sum]],"")</f>
        <v>39.514938212349023</v>
      </c>
      <c r="DQ99" s="55" t="str">
        <f>IF(AND(RecData[[#This Row],[Useable Background Data?]],RecData[[#This Row],[Turbines ON/OFF]]="OFF"),RecData[[#This Row],[dBA Sum]],"")</f>
        <v/>
      </c>
      <c r="DR99" s="3">
        <f>IF(OR(RecData[[#This Row],[Useable TON Data?]],RecData[[#This Row],[Useable Background Data?]]),ROUND(RecData[[#This Row],[WSpd_Avg '[m/s']]],0),"")</f>
        <v>1</v>
      </c>
      <c r="DS99" s="85">
        <f>(0.00002)^2*(10^(RecData[[#This Row],[Overall (dBA)]]/10))</f>
        <v>3.5772872328290728E-6</v>
      </c>
    </row>
    <row r="100" spans="1:123" ht="15" x14ac:dyDescent="0.25">
      <c r="A100" s="3" t="s">
        <v>249</v>
      </c>
      <c r="B100" s="12">
        <v>43252.193750000006</v>
      </c>
      <c r="C100" s="3"/>
      <c r="D100" s="3">
        <v>41.5</v>
      </c>
      <c r="E100" s="3"/>
      <c r="F100" s="3"/>
      <c r="G100" s="3"/>
      <c r="H100" s="3"/>
      <c r="I100" s="3"/>
      <c r="J100" s="3"/>
      <c r="K100" s="3">
        <v>39.4</v>
      </c>
      <c r="L100" s="3"/>
      <c r="M100" s="3"/>
      <c r="N100" s="3">
        <v>155.9</v>
      </c>
      <c r="O100" s="3"/>
      <c r="P100" s="3"/>
      <c r="Q100" s="3">
        <v>1.69</v>
      </c>
      <c r="R100" s="3">
        <v>0.3</v>
      </c>
      <c r="S100" s="3">
        <v>2.8</v>
      </c>
      <c r="T100" s="3">
        <v>6.6</v>
      </c>
      <c r="U100" s="3">
        <v>88.4</v>
      </c>
      <c r="V100" s="3">
        <v>966</v>
      </c>
      <c r="W100" s="3">
        <v>0</v>
      </c>
      <c r="X100" s="3">
        <v>47.1</v>
      </c>
      <c r="Y100" s="3">
        <v>48.5</v>
      </c>
      <c r="Z100" s="3">
        <v>47.6</v>
      </c>
      <c r="AA100" s="3">
        <v>42.7</v>
      </c>
      <c r="AB100" s="3">
        <v>38.299999999999997</v>
      </c>
      <c r="AC100" s="3">
        <v>37.200000000000003</v>
      </c>
      <c r="AD100" s="3">
        <v>39.299999999999997</v>
      </c>
      <c r="AE100" s="3">
        <v>41</v>
      </c>
      <c r="AF100" s="3">
        <v>44.9</v>
      </c>
      <c r="AG100" s="3">
        <v>38.4</v>
      </c>
      <c r="AH100" s="3">
        <v>36.4</v>
      </c>
      <c r="AI100" s="3">
        <v>36.700000000000003</v>
      </c>
      <c r="AJ100" s="3">
        <v>35.700000000000003</v>
      </c>
      <c r="AK100" s="3">
        <v>34.4</v>
      </c>
      <c r="AL100" s="3">
        <v>32.6</v>
      </c>
      <c r="AM100" s="3">
        <v>32.5</v>
      </c>
      <c r="AN100" s="3">
        <v>31.8</v>
      </c>
      <c r="AO100" s="3">
        <v>29.3</v>
      </c>
      <c r="AP100" s="3">
        <v>27</v>
      </c>
      <c r="AQ100" s="3">
        <v>25.6</v>
      </c>
      <c r="AR100" s="3">
        <v>22.9</v>
      </c>
      <c r="AS100" s="3">
        <v>29.5</v>
      </c>
      <c r="AT100" s="3">
        <v>33.799999999999997</v>
      </c>
      <c r="AU100" s="3">
        <v>16.5</v>
      </c>
      <c r="AV100" s="3">
        <v>15.4</v>
      </c>
      <c r="AW100" s="3">
        <v>14.5</v>
      </c>
      <c r="AX100" s="3">
        <v>11.7</v>
      </c>
      <c r="AY100" s="3">
        <v>11.2</v>
      </c>
      <c r="AZ100" s="3">
        <v>0</v>
      </c>
      <c r="BA100" s="3">
        <v>0</v>
      </c>
      <c r="BB100" s="3">
        <v>0</v>
      </c>
      <c r="BC100" s="3">
        <v>41.434539285607308</v>
      </c>
      <c r="BD100" s="3">
        <v>47.165460714392687</v>
      </c>
      <c r="BE100" s="3">
        <v>48.565460714392692</v>
      </c>
      <c r="BF100" s="3">
        <v>46.425460714392692</v>
      </c>
      <c r="BG100" s="3">
        <v>41.852127381059354</v>
      </c>
      <c r="BH100" s="3">
        <v>37.592127381059363</v>
      </c>
      <c r="BI100" s="3">
        <v>36.905460714392696</v>
      </c>
      <c r="BJ100" s="3">
        <v>39.798794047726012</v>
      </c>
      <c r="BK100" s="3">
        <v>41.372127381059364</v>
      </c>
      <c r="BL100" s="3">
        <v>44.845460714392694</v>
      </c>
      <c r="BM100" s="3">
        <v>38.478794047726019</v>
      </c>
      <c r="BN100" s="3">
        <v>36.762127381059351</v>
      </c>
      <c r="BO100" s="3">
        <v>36.428794047726036</v>
      </c>
      <c r="BP100" s="3">
        <v>35.145460714392705</v>
      </c>
      <c r="BQ100" s="3">
        <v>34.262127381059351</v>
      </c>
      <c r="BR100" s="3">
        <v>32.788794047726022</v>
      </c>
      <c r="BS100" s="3">
        <v>32.492127381059369</v>
      </c>
      <c r="BT100" s="3">
        <v>31.988794047726024</v>
      </c>
      <c r="BU100" s="3">
        <v>29.455460714392693</v>
      </c>
      <c r="BV100" s="3">
        <v>26.872127381059364</v>
      </c>
      <c r="BW100" s="3">
        <v>26.00546071439269</v>
      </c>
      <c r="BX100" s="3">
        <v>23.225460714392689</v>
      </c>
      <c r="BY100" s="3">
        <v>29.645460714392691</v>
      </c>
      <c r="BZ100" s="3">
        <v>34.075460714392683</v>
      </c>
      <c r="CA100" s="3">
        <v>16.87546071439268</v>
      </c>
      <c r="CB100" s="3">
        <v>15.212127381059354</v>
      </c>
      <c r="CC100" s="3">
        <v>14.525460714392693</v>
      </c>
      <c r="CD100" s="3">
        <v>11.032127381059361</v>
      </c>
      <c r="CE100" s="3">
        <v>10.725460714392689</v>
      </c>
      <c r="CF100" s="3">
        <v>-0.861205952273977</v>
      </c>
      <c r="CG100" s="3">
        <v>-1.3945392856073084</v>
      </c>
      <c r="CH100" s="3">
        <v>-2.4712059522739764</v>
      </c>
      <c r="CI100" s="13">
        <f>[1]!dbasum(RecData[[#This Row],[20]:[2000]],RecData[[#Headers],[20]:[2000]])</f>
        <v>39.763511055285207</v>
      </c>
      <c r="CJ100" s="14">
        <v>824</v>
      </c>
      <c r="CK100" s="15" t="s">
        <v>249</v>
      </c>
      <c r="CL100" s="15">
        <f>RecData[[#This Row],[Start Time]]</f>
        <v>43252.193750000006</v>
      </c>
      <c r="CM100" s="16">
        <f>RecData[[#This Row],[Wind Speed avg]]</f>
        <v>1.69</v>
      </c>
      <c r="CN100" s="16">
        <f>RecData[[#This Row],[Wind Dir. avg]]</f>
        <v>155.9</v>
      </c>
      <c r="CO100" s="16">
        <f>RecData[[#This Row],[Amb. Humidity]]</f>
        <v>88.4</v>
      </c>
      <c r="CP100" s="16">
        <f>RecData[[#This Row],[Amb. Temperature]]</f>
        <v>6.6</v>
      </c>
      <c r="CQ100" s="17">
        <f>RecData[[#This Row],[Amb. Rain Gauge]]</f>
        <v>0</v>
      </c>
      <c r="CR100" s="4" t="s">
        <v>1</v>
      </c>
      <c r="CS100" s="4" t="s">
        <v>49</v>
      </c>
      <c r="CT100" s="70">
        <v>1618.3240969999999</v>
      </c>
      <c r="CU100" s="70">
        <v>24.000202178955</v>
      </c>
      <c r="CV100" s="70">
        <v>11.834153175354</v>
      </c>
      <c r="CW100" s="70">
        <v>15.280405998229901</v>
      </c>
      <c r="CX100" s="97"/>
      <c r="CY100" s="99"/>
      <c r="CZ100" s="2" t="b">
        <f>IF($DP$1="YES",IF(RecData[[#This Row],[Power (kW)]]&gt;=$CR$3, TRUE,FALSE),TRUE)</f>
        <v>1</v>
      </c>
      <c r="DA100" s="16">
        <f>MIN(MOD(180-ABS(ABS($DA$1-RecData[Yaw Angle (°)])-180),360),MOD(180-ABS(ABS($DB$1-RecData[Yaw Angle (°)])-180),360))</f>
        <v>16.470275401267457</v>
      </c>
      <c r="DB100" s="2" t="str">
        <f>IF($DP$2="None","None",IF(RecData[[#This Row],[Relative Wind Direction]]&lt;=45,"DW",IF(RecData[[#This Row],[Relative Wind Direction]]&lt;=135,"CW","UW")))</f>
        <v>DW</v>
      </c>
      <c r="DC100" s="61" t="e">
        <f>IF($CL100-$CL96&gt;1/24,#REF!,IF(SUM($CQ96:$CQ100)&gt;$DS$1,$DS$5,#REF!-1))</f>
        <v>#REF!</v>
      </c>
      <c r="DD100" s="61" t="e">
        <f>IF(#REF!-$CL100&gt;1/24,#REF!,IF(SUM($CQ96:$CQ100)&gt;$DS$1,$DS$6,DD99-1))</f>
        <v>#REF!</v>
      </c>
      <c r="DE100" s="18" t="b">
        <v>0</v>
      </c>
      <c r="DF100" s="2" t="b">
        <f>IF(OR(RecData[[#This Row],[WSpd_Avg '[m/s']]]-RecData[[#This Row],[Wind Speed min]]&gt;=$DF$3,RecData[[#This Row],[Wind Speed max]]-RecData[[#This Row],[WSpd_Avg '[m/s']]]&gt;=$DF$2),TRUE,FALSE)</f>
        <v>0</v>
      </c>
      <c r="DG100" s="2" t="b">
        <f>RecData[[#This Row],[Temperature '[°C']]]&lt;=-20</f>
        <v>0</v>
      </c>
      <c r="DH100" s="18" t="b">
        <f>NOT(OR(MOD(RecData[[#This Row],[TIMESTAMP]],1)&gt;0.91632,MOD(RecData[[#This Row],[TIMESTAMP]],1)&lt;0.208681))</f>
        <v>0</v>
      </c>
      <c r="DI100" s="18" t="b">
        <f>RecData[[#This Row],[Overall (dBA)]]-RecData[[#This Row],[L90]]&gt;=$DS$4</f>
        <v>0</v>
      </c>
      <c r="DJ100" s="18" t="b">
        <f>RecData[[#This Row],[Overall (dBA)]]&gt;$DS$2</f>
        <v>0</v>
      </c>
      <c r="DK100" s="18" t="b">
        <f>RecData[[#This Row],[Overall (dBA)]]&lt;$DS$3</f>
        <v>0</v>
      </c>
      <c r="DL1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" s="2">
        <f>IF(AND(RecData[[#This Row],[Turbines ON/OFF]] = "OFF", NOT(OR(RecData[[#This Row],[Junk?]]="YES",RecData[[#This Row],[Gust?]],RecData[[#This Row],[Rain?]:[Min SPL Threshold?]]))),1,0)</f>
        <v>0</v>
      </c>
      <c r="DN100" s="16">
        <f>RecData[[#This Row],[dBA Sum]]</f>
        <v>39.763511055285207</v>
      </c>
      <c r="DO100" s="16">
        <f>RecData[[#This Row],[LAF90.0]]</f>
        <v>39.4</v>
      </c>
      <c r="DP100" s="55">
        <f>IF(AND(RecData[[#This Row],[Useable TON Data?]],RecData[[#This Row],[Turbines ON/OFF]]="ON"),RecData[[#This Row],[dBA Sum]],"")</f>
        <v>39.763511055285207</v>
      </c>
      <c r="DQ100" s="55" t="str">
        <f>IF(AND(RecData[[#This Row],[Useable Background Data?]],RecData[[#This Row],[Turbines ON/OFF]]="OFF"),RecData[[#This Row],[dBA Sum]],"")</f>
        <v/>
      </c>
      <c r="DR100" s="3">
        <f>IF(OR(RecData[[#This Row],[Useable TON Data?]],RecData[[#This Row],[Useable Background Data?]]),ROUND(RecData[[#This Row],[WSpd_Avg '[m/s']]],0),"")</f>
        <v>2</v>
      </c>
      <c r="DS100" s="85">
        <f>(0.00002)^2*(10^(RecData[[#This Row],[Overall (dBA)]]/10))</f>
        <v>3.788009825782619E-6</v>
      </c>
    </row>
    <row r="101" spans="1:123" ht="15" x14ac:dyDescent="0.25">
      <c r="A101" s="3" t="s">
        <v>249</v>
      </c>
      <c r="B101" s="12">
        <v>43252.195138888892</v>
      </c>
      <c r="C101" s="3"/>
      <c r="D101" s="3">
        <v>42</v>
      </c>
      <c r="E101" s="3"/>
      <c r="F101" s="3"/>
      <c r="G101" s="3"/>
      <c r="H101" s="3"/>
      <c r="I101" s="3"/>
      <c r="J101" s="3"/>
      <c r="K101" s="3">
        <v>40.5</v>
      </c>
      <c r="L101" s="3"/>
      <c r="M101" s="3"/>
      <c r="N101" s="3">
        <v>177.6</v>
      </c>
      <c r="O101" s="3"/>
      <c r="P101" s="3"/>
      <c r="Q101" s="3">
        <v>1.55</v>
      </c>
      <c r="R101" s="3">
        <v>0.4</v>
      </c>
      <c r="S101" s="3">
        <v>2.7</v>
      </c>
      <c r="T101" s="3">
        <v>6.6</v>
      </c>
      <c r="U101" s="3">
        <v>88.3</v>
      </c>
      <c r="V101" s="3">
        <v>966.1</v>
      </c>
      <c r="W101" s="3">
        <v>0</v>
      </c>
      <c r="X101" s="3">
        <v>47.2</v>
      </c>
      <c r="Y101" s="3">
        <v>46.9</v>
      </c>
      <c r="Z101" s="3">
        <v>46.5</v>
      </c>
      <c r="AA101" s="3">
        <v>42</v>
      </c>
      <c r="AB101" s="3">
        <v>37.9</v>
      </c>
      <c r="AC101" s="3">
        <v>35.9</v>
      </c>
      <c r="AD101" s="3">
        <v>38.5</v>
      </c>
      <c r="AE101" s="3">
        <v>40.9</v>
      </c>
      <c r="AF101" s="3">
        <v>44.9</v>
      </c>
      <c r="AG101" s="3">
        <v>38.799999999999997</v>
      </c>
      <c r="AH101" s="3">
        <v>36.4</v>
      </c>
      <c r="AI101" s="3">
        <v>36.9</v>
      </c>
      <c r="AJ101" s="3">
        <v>35.9</v>
      </c>
      <c r="AK101" s="3">
        <v>34.799999999999997</v>
      </c>
      <c r="AL101" s="3">
        <v>33.299999999999997</v>
      </c>
      <c r="AM101" s="3">
        <v>33.1</v>
      </c>
      <c r="AN101" s="3">
        <v>32.5</v>
      </c>
      <c r="AO101" s="3">
        <v>30.3</v>
      </c>
      <c r="AP101" s="3">
        <v>28.3</v>
      </c>
      <c r="AQ101" s="3">
        <v>27.3</v>
      </c>
      <c r="AR101" s="3">
        <v>25.4</v>
      </c>
      <c r="AS101" s="3">
        <v>29.9</v>
      </c>
      <c r="AT101" s="3">
        <v>33.799999999999997</v>
      </c>
      <c r="AU101" s="3">
        <v>20.9</v>
      </c>
      <c r="AV101" s="3">
        <v>19.3</v>
      </c>
      <c r="AW101" s="3">
        <v>17.7</v>
      </c>
      <c r="AX101" s="3">
        <v>13.7</v>
      </c>
      <c r="AY101" s="3">
        <v>12.2</v>
      </c>
      <c r="AZ101" s="3">
        <v>0</v>
      </c>
      <c r="BA101" s="3">
        <v>0</v>
      </c>
      <c r="BB101" s="3">
        <v>0</v>
      </c>
      <c r="BC101" s="3">
        <v>41.978366339580298</v>
      </c>
      <c r="BD101" s="3">
        <v>47.221633660419705</v>
      </c>
      <c r="BE101" s="3">
        <v>46.921633660419708</v>
      </c>
      <c r="BF101" s="3">
        <v>45.281633660419693</v>
      </c>
      <c r="BG101" s="3">
        <v>41.108300327086376</v>
      </c>
      <c r="BH101" s="3">
        <v>37.148300327086368</v>
      </c>
      <c r="BI101" s="3">
        <v>35.561633660419695</v>
      </c>
      <c r="BJ101" s="3">
        <v>38.95496699375304</v>
      </c>
      <c r="BK101" s="3">
        <v>41.228300327086366</v>
      </c>
      <c r="BL101" s="3">
        <v>44.801633660419704</v>
      </c>
      <c r="BM101" s="3">
        <v>38.834966993753035</v>
      </c>
      <c r="BN101" s="3">
        <v>36.718300327086361</v>
      </c>
      <c r="BO101" s="3">
        <v>36.584966993753035</v>
      </c>
      <c r="BP101" s="3">
        <v>35.301633660419704</v>
      </c>
      <c r="BQ101" s="3">
        <v>34.618300327086367</v>
      </c>
      <c r="BR101" s="3">
        <v>33.444966993753035</v>
      </c>
      <c r="BS101" s="3">
        <v>33.048300327086373</v>
      </c>
      <c r="BT101" s="3">
        <v>32.644966993753037</v>
      </c>
      <c r="BU101" s="3">
        <v>30.411633660419703</v>
      </c>
      <c r="BV101" s="3">
        <v>28.128300327086372</v>
      </c>
      <c r="BW101" s="3">
        <v>27.661633660419703</v>
      </c>
      <c r="BX101" s="3">
        <v>25.681633660419699</v>
      </c>
      <c r="BY101" s="3">
        <v>30.001633660419692</v>
      </c>
      <c r="BZ101" s="3">
        <v>34.031633660419693</v>
      </c>
      <c r="CA101" s="3">
        <v>21.231633660419696</v>
      </c>
      <c r="CB101" s="3">
        <v>19.068300327086369</v>
      </c>
      <c r="CC101" s="3">
        <v>17.681633660419699</v>
      </c>
      <c r="CD101" s="3">
        <v>12.988300327086371</v>
      </c>
      <c r="CE101" s="3">
        <v>11.681633660419699</v>
      </c>
      <c r="CF101" s="3">
        <v>-0.90503300624696692</v>
      </c>
      <c r="CG101" s="3">
        <v>-1.4383663395802984</v>
      </c>
      <c r="CH101" s="3">
        <v>-2.5150330062469664</v>
      </c>
      <c r="CI101" s="13">
        <f>[1]!dbasum(RecData[[#This Row],[20]:[2000]],RecData[[#Headers],[20]:[2000]])</f>
        <v>40.395240741116581</v>
      </c>
      <c r="CJ101" s="14">
        <v>826</v>
      </c>
      <c r="CK101" s="15" t="s">
        <v>249</v>
      </c>
      <c r="CL101" s="15">
        <f>RecData[[#This Row],[Start Time]]</f>
        <v>43252.195138888892</v>
      </c>
      <c r="CM101" s="16">
        <f>RecData[[#This Row],[Wind Speed avg]]</f>
        <v>1.55</v>
      </c>
      <c r="CN101" s="16">
        <f>RecData[[#This Row],[Wind Dir. avg]]</f>
        <v>177.6</v>
      </c>
      <c r="CO101" s="16">
        <f>RecData[[#This Row],[Amb. Humidity]]</f>
        <v>88.3</v>
      </c>
      <c r="CP101" s="16">
        <f>RecData[[#This Row],[Amb. Temperature]]</f>
        <v>6.6</v>
      </c>
      <c r="CQ101" s="17">
        <f>RecData[[#This Row],[Amb. Rain Gauge]]</f>
        <v>0</v>
      </c>
      <c r="CR101" s="4" t="s">
        <v>1</v>
      </c>
      <c r="CS101" s="4" t="s">
        <v>49</v>
      </c>
      <c r="CT101" s="70">
        <v>1602.8939210000001</v>
      </c>
      <c r="CU101" s="70">
        <v>24.000202178955</v>
      </c>
      <c r="CV101" s="70">
        <v>10.6580305099487</v>
      </c>
      <c r="CW101" s="70">
        <v>15.2282457351684</v>
      </c>
      <c r="CX101" s="97"/>
      <c r="CY101" s="99"/>
      <c r="CZ101" s="2" t="b">
        <f>IF($DP$1="YES",IF(RecData[[#This Row],[Power (kW)]]&gt;=$CR$3, TRUE,FALSE),TRUE)</f>
        <v>1</v>
      </c>
      <c r="DA101" s="16">
        <f>MIN(MOD(180-ABS(ABS($DA$1-RecData[Yaw Angle (°)])-180),360),MOD(180-ABS(ABS($DB$1-RecData[Yaw Angle (°)])-180),360))</f>
        <v>16.470275401267457</v>
      </c>
      <c r="DB101" s="2" t="str">
        <f>IF($DP$2="None","None",IF(RecData[[#This Row],[Relative Wind Direction]]&lt;=45,"DW",IF(RecData[[#This Row],[Relative Wind Direction]]&lt;=135,"CW","UW")))</f>
        <v>DW</v>
      </c>
      <c r="DC101" s="61" t="e">
        <f>IF($CL101-$CL98&gt;1/24,#REF!,IF(SUM($CQ98:$CQ101)&gt;$DS$1,$DS$5,#REF!-1))</f>
        <v>#REF!</v>
      </c>
      <c r="DD101" s="61" t="e">
        <f>IF(#REF!-$CL101&gt;1/24,#REF!,IF(SUM($CQ98:$CQ101)&gt;$DS$1,$DS$6,#REF!-1))</f>
        <v>#REF!</v>
      </c>
      <c r="DE101" s="18" t="b">
        <v>0</v>
      </c>
      <c r="DF101" s="2" t="b">
        <f>IF(OR(RecData[[#This Row],[WSpd_Avg '[m/s']]]-RecData[[#This Row],[Wind Speed min]]&gt;=$DF$3,RecData[[#This Row],[Wind Speed max]]-RecData[[#This Row],[WSpd_Avg '[m/s']]]&gt;=$DF$2),TRUE,FALSE)</f>
        <v>0</v>
      </c>
      <c r="DG101" s="2" t="b">
        <f>RecData[[#This Row],[Temperature '[°C']]]&lt;=-20</f>
        <v>0</v>
      </c>
      <c r="DH101" s="18" t="b">
        <f>NOT(OR(MOD(RecData[[#This Row],[TIMESTAMP]],1)&gt;0.91632,MOD(RecData[[#This Row],[TIMESTAMP]],1)&lt;0.208681))</f>
        <v>0</v>
      </c>
      <c r="DI101" s="18" t="b">
        <f>RecData[[#This Row],[Overall (dBA)]]-RecData[[#This Row],[L90]]&gt;=$DS$4</f>
        <v>0</v>
      </c>
      <c r="DJ101" s="18" t="b">
        <f>RecData[[#This Row],[Overall (dBA)]]&gt;$DS$2</f>
        <v>0</v>
      </c>
      <c r="DK101" s="18" t="b">
        <f>RecData[[#This Row],[Overall (dBA)]]&lt;$DS$3</f>
        <v>0</v>
      </c>
      <c r="DL1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" s="2">
        <f>IF(AND(RecData[[#This Row],[Turbines ON/OFF]] = "OFF", NOT(OR(RecData[[#This Row],[Junk?]]="YES",RecData[[#This Row],[Gust?]],RecData[[#This Row],[Rain?]:[Min SPL Threshold?]]))),1,0)</f>
        <v>0</v>
      </c>
      <c r="DN101" s="16">
        <f>RecData[[#This Row],[dBA Sum]]</f>
        <v>40.395240741116581</v>
      </c>
      <c r="DO101" s="16">
        <f>RecData[[#This Row],[LAF90.0]]</f>
        <v>40.5</v>
      </c>
      <c r="DP101" s="55">
        <f>IF(AND(RecData[[#This Row],[Useable TON Data?]],RecData[[#This Row],[Turbines ON/OFF]]="ON"),RecData[[#This Row],[dBA Sum]],"")</f>
        <v>40.395240741116581</v>
      </c>
      <c r="DQ101" s="55" t="str">
        <f>IF(AND(RecData[[#This Row],[Useable Background Data?]],RecData[[#This Row],[Turbines ON/OFF]]="OFF"),RecData[[#This Row],[dBA Sum]],"")</f>
        <v/>
      </c>
      <c r="DR101" s="3">
        <f>IF(OR(RecData[[#This Row],[Useable TON Data?]],RecData[[#This Row],[Useable Background Data?]]),ROUND(RecData[[#This Row],[WSpd_Avg '[m/s']]],0),"")</f>
        <v>2</v>
      </c>
      <c r="DS101" s="85">
        <f>(0.00002)^2*(10^(RecData[[#This Row],[Overall (dBA)]]/10))</f>
        <v>4.3811090713997477E-6</v>
      </c>
    </row>
    <row r="102" spans="1:123" ht="15" x14ac:dyDescent="0.25">
      <c r="A102" s="3" t="s">
        <v>249</v>
      </c>
      <c r="B102" s="12">
        <v>43252.196527777785</v>
      </c>
      <c r="C102" s="3"/>
      <c r="D102" s="3">
        <v>40.9</v>
      </c>
      <c r="E102" s="3"/>
      <c r="F102" s="3"/>
      <c r="G102" s="3"/>
      <c r="H102" s="3"/>
      <c r="I102" s="3"/>
      <c r="J102" s="3"/>
      <c r="K102" s="3">
        <v>39.200000000000003</v>
      </c>
      <c r="L102" s="3"/>
      <c r="M102" s="3"/>
      <c r="N102" s="3">
        <v>123.3</v>
      </c>
      <c r="O102" s="3"/>
      <c r="P102" s="3"/>
      <c r="Q102" s="3">
        <v>1.61</v>
      </c>
      <c r="R102" s="3">
        <v>0.7</v>
      </c>
      <c r="S102" s="3">
        <v>2.8</v>
      </c>
      <c r="T102" s="3">
        <v>6.5</v>
      </c>
      <c r="U102" s="3">
        <v>87.9</v>
      </c>
      <c r="V102" s="3">
        <v>966.2</v>
      </c>
      <c r="W102" s="3">
        <v>0</v>
      </c>
      <c r="X102" s="3">
        <v>48.6</v>
      </c>
      <c r="Y102" s="3">
        <v>48</v>
      </c>
      <c r="Z102" s="3">
        <v>46.7</v>
      </c>
      <c r="AA102" s="3">
        <v>42.7</v>
      </c>
      <c r="AB102" s="3">
        <v>38.6</v>
      </c>
      <c r="AC102" s="3">
        <v>36.700000000000003</v>
      </c>
      <c r="AD102" s="3">
        <v>40.299999999999997</v>
      </c>
      <c r="AE102" s="3">
        <v>41.6</v>
      </c>
      <c r="AF102" s="3">
        <v>43.8</v>
      </c>
      <c r="AG102" s="3">
        <v>37.299999999999997</v>
      </c>
      <c r="AH102" s="3">
        <v>36.700000000000003</v>
      </c>
      <c r="AI102" s="3">
        <v>37</v>
      </c>
      <c r="AJ102" s="3">
        <v>36</v>
      </c>
      <c r="AK102" s="3">
        <v>34.700000000000003</v>
      </c>
      <c r="AL102" s="3">
        <v>32.9</v>
      </c>
      <c r="AM102" s="3">
        <v>32.9</v>
      </c>
      <c r="AN102" s="3">
        <v>32.200000000000003</v>
      </c>
      <c r="AO102" s="3">
        <v>29.8</v>
      </c>
      <c r="AP102" s="3">
        <v>27.7</v>
      </c>
      <c r="AQ102" s="3">
        <v>26.4</v>
      </c>
      <c r="AR102" s="3">
        <v>24.4</v>
      </c>
      <c r="AS102" s="3">
        <v>27.2</v>
      </c>
      <c r="AT102" s="3">
        <v>29.6</v>
      </c>
      <c r="AU102" s="3">
        <v>19.899999999999999</v>
      </c>
      <c r="AV102" s="3">
        <v>18.5</v>
      </c>
      <c r="AW102" s="3">
        <v>16.399999999999999</v>
      </c>
      <c r="AX102" s="3">
        <v>13.1</v>
      </c>
      <c r="AY102" s="3">
        <v>11.5</v>
      </c>
      <c r="AZ102" s="3">
        <v>0</v>
      </c>
      <c r="BA102" s="3">
        <v>0</v>
      </c>
      <c r="BB102" s="3">
        <v>0</v>
      </c>
      <c r="BC102" s="3">
        <v>40.890204339676821</v>
      </c>
      <c r="BD102" s="3">
        <v>48.609795660323179</v>
      </c>
      <c r="BE102" s="3">
        <v>48.009795660323185</v>
      </c>
      <c r="BF102" s="3">
        <v>45.469795660323179</v>
      </c>
      <c r="BG102" s="3">
        <v>41.796462326989847</v>
      </c>
      <c r="BH102" s="3">
        <v>37.836462326989839</v>
      </c>
      <c r="BI102" s="3">
        <v>36.349795660323188</v>
      </c>
      <c r="BJ102" s="3">
        <v>40.743128993656505</v>
      </c>
      <c r="BK102" s="3">
        <v>41.916462326989851</v>
      </c>
      <c r="BL102" s="3">
        <v>43.689795660323178</v>
      </c>
      <c r="BM102" s="3">
        <v>37.323128993656518</v>
      </c>
      <c r="BN102" s="3">
        <v>37.006462326989855</v>
      </c>
      <c r="BO102" s="3">
        <v>36.673128993656512</v>
      </c>
      <c r="BP102" s="3">
        <v>35.38979566032318</v>
      </c>
      <c r="BQ102" s="3">
        <v>34.506462326989841</v>
      </c>
      <c r="BR102" s="3">
        <v>33.033128993656511</v>
      </c>
      <c r="BS102" s="3">
        <v>32.836462326989839</v>
      </c>
      <c r="BT102" s="3">
        <v>32.333128993656508</v>
      </c>
      <c r="BU102" s="3">
        <v>29.899795660323186</v>
      </c>
      <c r="BV102" s="3">
        <v>27.516462326989846</v>
      </c>
      <c r="BW102" s="3">
        <v>26.74979566032318</v>
      </c>
      <c r="BX102" s="3">
        <v>24.669795660323182</v>
      </c>
      <c r="BY102" s="3">
        <v>27.289795660323172</v>
      </c>
      <c r="BZ102" s="3">
        <v>29.819795660323187</v>
      </c>
      <c r="CA102" s="3">
        <v>20.219795660323165</v>
      </c>
      <c r="CB102" s="3">
        <v>18.256462326989841</v>
      </c>
      <c r="CC102" s="3">
        <v>16.36979566032317</v>
      </c>
      <c r="CD102" s="3">
        <v>12.376462326989845</v>
      </c>
      <c r="CE102" s="3">
        <v>10.969795660323179</v>
      </c>
      <c r="CF102" s="3">
        <v>-0.9168710063434915</v>
      </c>
      <c r="CG102" s="3">
        <v>-1.4502043396768229</v>
      </c>
      <c r="CH102" s="3">
        <v>-2.5268710063434909</v>
      </c>
      <c r="CI102" s="13">
        <f>[1]!dbasum(RecData[[#This Row],[20]:[2000]],RecData[[#Headers],[20]:[2000]])</f>
        <v>40.019494928661238</v>
      </c>
      <c r="CJ102" s="14">
        <v>828</v>
      </c>
      <c r="CK102" s="15" t="s">
        <v>249</v>
      </c>
      <c r="CL102" s="15">
        <f>RecData[[#This Row],[Start Time]]</f>
        <v>43252.196527777785</v>
      </c>
      <c r="CM102" s="16">
        <f>RecData[[#This Row],[Wind Speed avg]]</f>
        <v>1.61</v>
      </c>
      <c r="CN102" s="16">
        <f>RecData[[#This Row],[Wind Dir. avg]]</f>
        <v>123.3</v>
      </c>
      <c r="CO102" s="16">
        <f>RecData[[#This Row],[Amb. Humidity]]</f>
        <v>87.9</v>
      </c>
      <c r="CP102" s="16">
        <f>RecData[[#This Row],[Amb. Temperature]]</f>
        <v>6.5</v>
      </c>
      <c r="CQ102" s="17">
        <f>RecData[[#This Row],[Amb. Rain Gauge]]</f>
        <v>0</v>
      </c>
      <c r="CR102" s="4" t="s">
        <v>1</v>
      </c>
      <c r="CS102" s="4" t="s">
        <v>49</v>
      </c>
      <c r="CT102" s="70">
        <v>1602.8939210000001</v>
      </c>
      <c r="CU102" s="70">
        <v>24.000202178955</v>
      </c>
      <c r="CV102" s="70">
        <v>10.6580305099487</v>
      </c>
      <c r="CW102" s="70">
        <v>15.2282457351684</v>
      </c>
      <c r="CX102" s="97"/>
      <c r="CY102" s="99"/>
      <c r="CZ102" s="2" t="b">
        <f>IF($DP$1="YES",IF(RecData[[#This Row],[Power (kW)]]&gt;=$CR$3, TRUE,FALSE),TRUE)</f>
        <v>1</v>
      </c>
      <c r="DA102" s="16">
        <f>MIN(MOD(180-ABS(ABS($DA$1-RecData[Yaw Angle (°)])-180),360),MOD(180-ABS(ABS($DB$1-RecData[Yaw Angle (°)])-180),360))</f>
        <v>16.470275401267457</v>
      </c>
      <c r="DB102" s="2" t="str">
        <f>IF($DP$2="None","None",IF(RecData[[#This Row],[Relative Wind Direction]]&lt;=45,"DW",IF(RecData[[#This Row],[Relative Wind Direction]]&lt;=135,"CW","UW")))</f>
        <v>DW</v>
      </c>
      <c r="DC102" s="61">
        <f>IF($CL102-$CL100&gt;1/24,#REF!,IF(SUM($CQ100:$CQ102)&gt;$DS$1,$DS$5,DC103-1))</f>
        <v>-2</v>
      </c>
      <c r="DD102" s="61" t="e">
        <f>IF($CL103-$CL102&gt;1/24,#REF!,IF(SUM($CQ100:$CQ102)&gt;$DS$1,$DS$6,#REF!-1))</f>
        <v>#REF!</v>
      </c>
      <c r="DE102" s="18" t="b">
        <v>0</v>
      </c>
      <c r="DF102" s="2" t="b">
        <f>IF(OR(RecData[[#This Row],[WSpd_Avg '[m/s']]]-RecData[[#This Row],[Wind Speed min]]&gt;=$DF$3,RecData[[#This Row],[Wind Speed max]]-RecData[[#This Row],[WSpd_Avg '[m/s']]]&gt;=$DF$2),TRUE,FALSE)</f>
        <v>0</v>
      </c>
      <c r="DG102" s="2" t="b">
        <f>RecData[[#This Row],[Temperature '[°C']]]&lt;=-20</f>
        <v>0</v>
      </c>
      <c r="DH102" s="18" t="b">
        <f>NOT(OR(MOD(RecData[[#This Row],[TIMESTAMP]],1)&gt;0.91632,MOD(RecData[[#This Row],[TIMESTAMP]],1)&lt;0.208681))</f>
        <v>0</v>
      </c>
      <c r="DI102" s="18" t="b">
        <f>RecData[[#This Row],[Overall (dBA)]]-RecData[[#This Row],[L90]]&gt;=$DS$4</f>
        <v>0</v>
      </c>
      <c r="DJ102" s="18" t="b">
        <f>RecData[[#This Row],[Overall (dBA)]]&gt;$DS$2</f>
        <v>0</v>
      </c>
      <c r="DK102" s="18" t="b">
        <f>RecData[[#This Row],[Overall (dBA)]]&lt;$DS$3</f>
        <v>0</v>
      </c>
      <c r="DL1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" s="2">
        <f>IF(AND(RecData[[#This Row],[Turbines ON/OFF]] = "OFF", NOT(OR(RecData[[#This Row],[Junk?]]="YES",RecData[[#This Row],[Gust?]],RecData[[#This Row],[Rain?]:[Min SPL Threshold?]]))),1,0)</f>
        <v>0</v>
      </c>
      <c r="DN102" s="16">
        <f>RecData[[#This Row],[dBA Sum]]</f>
        <v>40.019494928661238</v>
      </c>
      <c r="DO102" s="16">
        <f>RecData[[#This Row],[LAF90.0]]</f>
        <v>39.200000000000003</v>
      </c>
      <c r="DP102" s="55">
        <f>IF(AND(RecData[[#This Row],[Useable TON Data?]],RecData[[#This Row],[Turbines ON/OFF]]="ON"),RecData[[#This Row],[dBA Sum]],"")</f>
        <v>40.019494928661238</v>
      </c>
      <c r="DQ102" s="55" t="str">
        <f>IF(AND(RecData[[#This Row],[Useable Background Data?]],RecData[[#This Row],[Turbines ON/OFF]]="OFF"),RecData[[#This Row],[dBA Sum]],"")</f>
        <v/>
      </c>
      <c r="DR102" s="3">
        <f>IF(OR(RecData[[#This Row],[Useable TON Data?]],RecData[[#This Row],[Useable Background Data?]]),ROUND(RecData[[#This Row],[WSpd_Avg '[m/s']]],0),"")</f>
        <v>2</v>
      </c>
      <c r="DS102" s="85">
        <f>(0.00002)^2*(10^(RecData[[#This Row],[Overall (dBA)]]/10))</f>
        <v>4.0179958531833847E-6</v>
      </c>
    </row>
    <row r="103" spans="1:123" ht="15" x14ac:dyDescent="0.25">
      <c r="A103" s="3" t="s">
        <v>249</v>
      </c>
      <c r="B103" s="12">
        <v>43252.197222222225</v>
      </c>
      <c r="C103" s="3"/>
      <c r="D103" s="3">
        <v>42.5</v>
      </c>
      <c r="E103" s="3"/>
      <c r="F103" s="3"/>
      <c r="G103" s="3"/>
      <c r="H103" s="3"/>
      <c r="I103" s="3"/>
      <c r="J103" s="3"/>
      <c r="K103" s="3">
        <v>40.9</v>
      </c>
      <c r="L103" s="3"/>
      <c r="M103" s="3"/>
      <c r="N103" s="3">
        <v>183.4</v>
      </c>
      <c r="O103" s="3"/>
      <c r="P103" s="3"/>
      <c r="Q103" s="3">
        <v>1.34</v>
      </c>
      <c r="R103" s="3">
        <v>0.3</v>
      </c>
      <c r="S103" s="3">
        <v>2.4</v>
      </c>
      <c r="T103" s="3">
        <v>6.5</v>
      </c>
      <c r="U103" s="3">
        <v>88</v>
      </c>
      <c r="V103" s="3">
        <v>966.2</v>
      </c>
      <c r="W103" s="3">
        <v>0</v>
      </c>
      <c r="X103" s="3">
        <v>48.5</v>
      </c>
      <c r="Y103" s="3">
        <v>48.8</v>
      </c>
      <c r="Z103" s="3">
        <v>48.3</v>
      </c>
      <c r="AA103" s="3">
        <v>44.6</v>
      </c>
      <c r="AB103" s="3">
        <v>39.5</v>
      </c>
      <c r="AC103" s="3">
        <v>36.6</v>
      </c>
      <c r="AD103" s="3">
        <v>38.6</v>
      </c>
      <c r="AE103" s="3">
        <v>41.2</v>
      </c>
      <c r="AF103" s="3">
        <v>46</v>
      </c>
      <c r="AG103" s="3">
        <v>39.700000000000003</v>
      </c>
      <c r="AH103" s="3">
        <v>36.700000000000003</v>
      </c>
      <c r="AI103" s="3">
        <v>37.6</v>
      </c>
      <c r="AJ103" s="3">
        <v>36.200000000000003</v>
      </c>
      <c r="AK103" s="3">
        <v>35.200000000000003</v>
      </c>
      <c r="AL103" s="3">
        <v>33.700000000000003</v>
      </c>
      <c r="AM103" s="3">
        <v>33.799999999999997</v>
      </c>
      <c r="AN103" s="3">
        <v>33</v>
      </c>
      <c r="AO103" s="3">
        <v>30.8</v>
      </c>
      <c r="AP103" s="3">
        <v>29</v>
      </c>
      <c r="AQ103" s="3">
        <v>27.9</v>
      </c>
      <c r="AR103" s="3">
        <v>26.1</v>
      </c>
      <c r="AS103" s="3">
        <v>30.9</v>
      </c>
      <c r="AT103" s="3">
        <v>33.5</v>
      </c>
      <c r="AU103" s="3">
        <v>22.5</v>
      </c>
      <c r="AV103" s="3">
        <v>21.2</v>
      </c>
      <c r="AW103" s="3">
        <v>19.8</v>
      </c>
      <c r="AX103" s="3">
        <v>15.3</v>
      </c>
      <c r="AY103" s="3">
        <v>13.5</v>
      </c>
      <c r="AZ103" s="3">
        <v>0</v>
      </c>
      <c r="BA103" s="3">
        <v>0</v>
      </c>
      <c r="BB103" s="3">
        <v>0</v>
      </c>
      <c r="BC103" s="3">
        <v>42.464772360018216</v>
      </c>
      <c r="BD103" s="3">
        <v>48.535227639981784</v>
      </c>
      <c r="BE103" s="3">
        <v>48.835227639981781</v>
      </c>
      <c r="BF103" s="3">
        <v>47.095227639981786</v>
      </c>
      <c r="BG103" s="3">
        <v>43.721894306648451</v>
      </c>
      <c r="BH103" s="3">
        <v>38.761894306648443</v>
      </c>
      <c r="BI103" s="3">
        <v>36.275227639981793</v>
      </c>
      <c r="BJ103" s="3">
        <v>39.068560973315115</v>
      </c>
      <c r="BK103" s="3">
        <v>41.541894306648445</v>
      </c>
      <c r="BL103" s="3">
        <v>45.915227639981779</v>
      </c>
      <c r="BM103" s="3">
        <v>39.748560973315122</v>
      </c>
      <c r="BN103" s="3">
        <v>37.031894306648454</v>
      </c>
      <c r="BO103" s="3">
        <v>37.298560973315119</v>
      </c>
      <c r="BP103" s="3">
        <v>35.615227639981796</v>
      </c>
      <c r="BQ103" s="3">
        <v>35.031894306648454</v>
      </c>
      <c r="BR103" s="3">
        <v>33.858560973315122</v>
      </c>
      <c r="BS103" s="3">
        <v>33.761894306648443</v>
      </c>
      <c r="BT103" s="3">
        <v>33.158560973315119</v>
      </c>
      <c r="BU103" s="3">
        <v>30.925227639981784</v>
      </c>
      <c r="BV103" s="3">
        <v>28.841894306648456</v>
      </c>
      <c r="BW103" s="3">
        <v>28.275227639981793</v>
      </c>
      <c r="BX103" s="3">
        <v>26.395227639981798</v>
      </c>
      <c r="BY103" s="3">
        <v>31.015227639981774</v>
      </c>
      <c r="BZ103" s="3">
        <v>33.745227639981792</v>
      </c>
      <c r="CA103" s="3">
        <v>22.845227639981772</v>
      </c>
      <c r="CB103" s="3">
        <v>20.981894306648449</v>
      </c>
      <c r="CC103" s="3">
        <v>19.795227639981782</v>
      </c>
      <c r="CD103" s="3">
        <v>14.601894306648454</v>
      </c>
      <c r="CE103" s="3">
        <v>12.995227639981785</v>
      </c>
      <c r="CF103" s="3">
        <v>-0.8914390266848855</v>
      </c>
      <c r="CG103" s="3">
        <v>-1.4247723600182169</v>
      </c>
      <c r="CH103" s="3">
        <v>-2.5014390266848849</v>
      </c>
      <c r="CI103" s="13">
        <f>[1]!dbasum(RecData[[#This Row],[20]:[2000]],RecData[[#Headers],[20]:[2000]])</f>
        <v>40.990152128725931</v>
      </c>
      <c r="CJ103" s="14">
        <v>829</v>
      </c>
      <c r="CK103" s="15" t="s">
        <v>249</v>
      </c>
      <c r="CL103" s="15">
        <f>RecData[[#This Row],[Start Time]]</f>
        <v>43252.197222222225</v>
      </c>
      <c r="CM103" s="16">
        <f>RecData[[#This Row],[Wind Speed avg]]</f>
        <v>1.34</v>
      </c>
      <c r="CN103" s="16">
        <f>RecData[[#This Row],[Wind Dir. avg]]</f>
        <v>183.4</v>
      </c>
      <c r="CO103" s="16">
        <f>RecData[[#This Row],[Amb. Humidity]]</f>
        <v>88</v>
      </c>
      <c r="CP103" s="16">
        <f>RecData[[#This Row],[Amb. Temperature]]</f>
        <v>6.5</v>
      </c>
      <c r="CQ103" s="17">
        <f>RecData[[#This Row],[Amb. Rain Gauge]]</f>
        <v>0</v>
      </c>
      <c r="CR103" s="4" t="s">
        <v>1</v>
      </c>
      <c r="CS103" s="4" t="s">
        <v>49</v>
      </c>
      <c r="CT103" s="70">
        <v>1602.8939210000001</v>
      </c>
      <c r="CU103" s="70">
        <v>24.000202178955</v>
      </c>
      <c r="CV103" s="70">
        <v>10.6580305099487</v>
      </c>
      <c r="CW103" s="70">
        <v>15.2282457351684</v>
      </c>
      <c r="CX103" s="97"/>
      <c r="CY103" s="99"/>
      <c r="CZ103" s="2" t="b">
        <f>IF($DP$1="YES",IF(RecData[[#This Row],[Power (kW)]]&gt;=$CR$3, TRUE,FALSE),TRUE)</f>
        <v>1</v>
      </c>
      <c r="DA103" s="16">
        <f>MIN(MOD(180-ABS(ABS($DA$1-RecData[Yaw Angle (°)])-180),360),MOD(180-ABS(ABS($DB$1-RecData[Yaw Angle (°)])-180),360))</f>
        <v>16.470275401267457</v>
      </c>
      <c r="DB103" s="2" t="str">
        <f>IF($DP$2="None","None",IF(RecData[[#This Row],[Relative Wind Direction]]&lt;=45,"DW",IF(RecData[[#This Row],[Relative Wind Direction]]&lt;=135,"CW","UW")))</f>
        <v>DW</v>
      </c>
      <c r="DC103" s="61">
        <v>-1</v>
      </c>
      <c r="DD103" s="61">
        <v>-1</v>
      </c>
      <c r="DE103" s="18" t="b">
        <v>0</v>
      </c>
      <c r="DF103" s="2" t="b">
        <f>IF(OR(RecData[[#This Row],[WSpd_Avg '[m/s']]]-RecData[[#This Row],[Wind Speed min]]&gt;=$DF$3,RecData[[#This Row],[Wind Speed max]]-RecData[[#This Row],[WSpd_Avg '[m/s']]]&gt;=$DF$2),TRUE,FALSE)</f>
        <v>0</v>
      </c>
      <c r="DG103" s="2" t="b">
        <f>RecData[[#This Row],[Temperature '[°C']]]&lt;=-20</f>
        <v>0</v>
      </c>
      <c r="DH103" s="18" t="b">
        <f>NOT(OR(MOD(RecData[[#This Row],[TIMESTAMP]],1)&gt;0.91632,MOD(RecData[[#This Row],[TIMESTAMP]],1)&lt;0.208681))</f>
        <v>0</v>
      </c>
      <c r="DI103" s="18" t="b">
        <f>RecData[[#This Row],[Overall (dBA)]]-RecData[[#This Row],[L90]]&gt;=$DS$4</f>
        <v>0</v>
      </c>
      <c r="DJ103" s="18" t="b">
        <f>RecData[[#This Row],[Overall (dBA)]]&gt;$DS$2</f>
        <v>0</v>
      </c>
      <c r="DK103" s="18" t="b">
        <f>RecData[[#This Row],[Overall (dBA)]]&lt;$DS$3</f>
        <v>0</v>
      </c>
      <c r="DL1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" s="2">
        <f>IF(AND(RecData[[#This Row],[Turbines ON/OFF]] = "OFF", NOT(OR(RecData[[#This Row],[Junk?]]="YES",RecData[[#This Row],[Gust?]],RecData[[#This Row],[Rain?]:[Min SPL Threshold?]]))),1,0)</f>
        <v>0</v>
      </c>
      <c r="DN103" s="16">
        <f>RecData[[#This Row],[dBA Sum]]</f>
        <v>40.990152128725931</v>
      </c>
      <c r="DO103" s="16">
        <f>RecData[[#This Row],[LAF90.0]]</f>
        <v>40.9</v>
      </c>
      <c r="DP103" s="55">
        <f>IF(AND(RecData[[#This Row],[Useable TON Data?]],RecData[[#This Row],[Turbines ON/OFF]]="ON"),RecData[[#This Row],[dBA Sum]],"")</f>
        <v>40.990152128725931</v>
      </c>
      <c r="DQ103" s="55" t="str">
        <f>IF(AND(RecData[[#This Row],[Useable Background Data?]],RecData[[#This Row],[Turbines ON/OFF]]="OFF"),RecData[[#This Row],[dBA Sum]],"")</f>
        <v/>
      </c>
      <c r="DR103" s="3">
        <f>IF(OR(RecData[[#This Row],[Useable TON Data?]],RecData[[#This Row],[Useable Background Data?]]),ROUND(RecData[[#This Row],[WSpd_Avg '[m/s']]],0),"")</f>
        <v>1</v>
      </c>
      <c r="DS103" s="85">
        <f>(0.00002)^2*(10^(RecData[[#This Row],[Overall (dBA)]]/10))</f>
        <v>5.0242958474229678E-6</v>
      </c>
    </row>
    <row r="104" spans="1:123" ht="15" x14ac:dyDescent="0.25">
      <c r="A104" s="3" t="s">
        <v>249</v>
      </c>
      <c r="B104" s="12">
        <v>43252.197916666672</v>
      </c>
      <c r="C104" s="3"/>
      <c r="D104" s="3">
        <v>41.5</v>
      </c>
      <c r="E104" s="3"/>
      <c r="F104" s="3"/>
      <c r="G104" s="3"/>
      <c r="H104" s="3"/>
      <c r="I104" s="3"/>
      <c r="J104" s="3"/>
      <c r="K104" s="3">
        <v>40.299999999999997</v>
      </c>
      <c r="L104" s="3"/>
      <c r="M104" s="3"/>
      <c r="N104" s="3">
        <v>139.69999999999999</v>
      </c>
      <c r="O104" s="3"/>
      <c r="P104" s="3"/>
      <c r="Q104" s="3">
        <v>0.72</v>
      </c>
      <c r="R104" s="3">
        <v>0.1</v>
      </c>
      <c r="S104" s="3">
        <v>1.9</v>
      </c>
      <c r="T104" s="3">
        <v>6.5</v>
      </c>
      <c r="U104" s="3">
        <v>88.4</v>
      </c>
      <c r="V104" s="3">
        <v>966.2</v>
      </c>
      <c r="W104" s="3">
        <v>0</v>
      </c>
      <c r="X104" s="3">
        <v>48.8</v>
      </c>
      <c r="Y104" s="3">
        <v>48.7</v>
      </c>
      <c r="Z104" s="3">
        <v>48.2</v>
      </c>
      <c r="AA104" s="3">
        <v>44.4</v>
      </c>
      <c r="AB104" s="3">
        <v>39</v>
      </c>
      <c r="AC104" s="3">
        <v>38.1</v>
      </c>
      <c r="AD104" s="3">
        <v>40.299999999999997</v>
      </c>
      <c r="AE104" s="3">
        <v>42.2</v>
      </c>
      <c r="AF104" s="3">
        <v>46.3</v>
      </c>
      <c r="AG104" s="3">
        <v>39.700000000000003</v>
      </c>
      <c r="AH104" s="3">
        <v>37.799999999999997</v>
      </c>
      <c r="AI104" s="3">
        <v>38.299999999999997</v>
      </c>
      <c r="AJ104" s="3">
        <v>37</v>
      </c>
      <c r="AK104" s="3">
        <v>35.5</v>
      </c>
      <c r="AL104" s="3">
        <v>33.6</v>
      </c>
      <c r="AM104" s="3">
        <v>32.700000000000003</v>
      </c>
      <c r="AN104" s="3">
        <v>31.5</v>
      </c>
      <c r="AO104" s="3">
        <v>29.1</v>
      </c>
      <c r="AP104" s="3">
        <v>26.7</v>
      </c>
      <c r="AQ104" s="3">
        <v>25.3</v>
      </c>
      <c r="AR104" s="3">
        <v>23.1</v>
      </c>
      <c r="AS104" s="3">
        <v>28.9</v>
      </c>
      <c r="AT104" s="3">
        <v>31.2</v>
      </c>
      <c r="AU104" s="3">
        <v>20.100000000000001</v>
      </c>
      <c r="AV104" s="3">
        <v>18.8</v>
      </c>
      <c r="AW104" s="3">
        <v>17.399999999999999</v>
      </c>
      <c r="AX104" s="3">
        <v>13.7</v>
      </c>
      <c r="AY104" s="3">
        <v>12.4</v>
      </c>
      <c r="AZ104" s="3">
        <v>0</v>
      </c>
      <c r="BA104" s="3">
        <v>0</v>
      </c>
      <c r="BB104" s="3">
        <v>0</v>
      </c>
      <c r="BC104" s="3">
        <v>41.466918316244488</v>
      </c>
      <c r="BD104" s="3">
        <v>48.833081683755509</v>
      </c>
      <c r="BE104" s="3">
        <v>48.733081683755515</v>
      </c>
      <c r="BF104" s="3">
        <v>46.99308168375552</v>
      </c>
      <c r="BG104" s="3">
        <v>43.519748350422176</v>
      </c>
      <c r="BH104" s="3">
        <v>38.259748350422171</v>
      </c>
      <c r="BI104" s="3">
        <v>37.773081683755521</v>
      </c>
      <c r="BJ104" s="3">
        <v>40.766415017088832</v>
      </c>
      <c r="BK104" s="3">
        <v>42.539748350422173</v>
      </c>
      <c r="BL104" s="3">
        <v>46.213081683755519</v>
      </c>
      <c r="BM104" s="3">
        <v>39.74641501708885</v>
      </c>
      <c r="BN104" s="3">
        <v>38.129748350422176</v>
      </c>
      <c r="BO104" s="3">
        <v>37.99641501708885</v>
      </c>
      <c r="BP104" s="3">
        <v>36.413081683755507</v>
      </c>
      <c r="BQ104" s="3">
        <v>35.329748350422165</v>
      </c>
      <c r="BR104" s="3">
        <v>33.756415017088841</v>
      </c>
      <c r="BS104" s="3">
        <v>32.659748350422177</v>
      </c>
      <c r="BT104" s="3">
        <v>31.656415017088847</v>
      </c>
      <c r="BU104" s="3">
        <v>29.22308168375551</v>
      </c>
      <c r="BV104" s="3">
        <v>26.539748350422173</v>
      </c>
      <c r="BW104" s="3">
        <v>25.673081683755512</v>
      </c>
      <c r="BX104" s="3">
        <v>23.393081683755526</v>
      </c>
      <c r="BY104" s="3">
        <v>29.013081683755502</v>
      </c>
      <c r="BZ104" s="3">
        <v>31.443081683755508</v>
      </c>
      <c r="CA104" s="3">
        <v>20.443081683755508</v>
      </c>
      <c r="CB104" s="3">
        <v>18.579748350422179</v>
      </c>
      <c r="CC104" s="3">
        <v>17.393081683755511</v>
      </c>
      <c r="CD104" s="3">
        <v>12.99974835042218</v>
      </c>
      <c r="CE104" s="3">
        <v>11.893081683755511</v>
      </c>
      <c r="CF104" s="3">
        <v>-0.89358498291115751</v>
      </c>
      <c r="CG104" s="3">
        <v>-1.4269183162444889</v>
      </c>
      <c r="CH104" s="3">
        <v>-2.5035849829111569</v>
      </c>
      <c r="CI104" s="13">
        <f>[1]!dbasum(RecData[[#This Row],[20]:[2000]],RecData[[#Headers],[20]:[2000]])</f>
        <v>40.364944928322871</v>
      </c>
      <c r="CJ104" s="14">
        <v>830</v>
      </c>
      <c r="CK104" s="15" t="s">
        <v>249</v>
      </c>
      <c r="CL104" s="15">
        <f>RecData[[#This Row],[Start Time]]</f>
        <v>43252.197916666672</v>
      </c>
      <c r="CM104" s="16">
        <f>RecData[[#This Row],[Wind Speed avg]]</f>
        <v>0.72</v>
      </c>
      <c r="CN104" s="16">
        <f>RecData[[#This Row],[Wind Dir. avg]]</f>
        <v>139.69999999999999</v>
      </c>
      <c r="CO104" s="16">
        <f>RecData[[#This Row],[Amb. Humidity]]</f>
        <v>88.4</v>
      </c>
      <c r="CP104" s="16">
        <f>RecData[[#This Row],[Amb. Temperature]]</f>
        <v>6.5</v>
      </c>
      <c r="CQ104" s="17">
        <f>RecData[[#This Row],[Amb. Rain Gauge]]</f>
        <v>0</v>
      </c>
      <c r="CR104" s="4" t="s">
        <v>1</v>
      </c>
      <c r="CS104" s="4" t="s">
        <v>49</v>
      </c>
      <c r="CT104" s="70">
        <v>1602.8939210000001</v>
      </c>
      <c r="CU104" s="70">
        <v>24.000202178955</v>
      </c>
      <c r="CV104" s="70">
        <v>10.6580305099487</v>
      </c>
      <c r="CW104" s="70">
        <v>15.2282457351684</v>
      </c>
      <c r="CX104" s="97"/>
      <c r="CY104" s="99"/>
      <c r="CZ104" s="2" t="b">
        <f>IF($DP$1="YES",IF(RecData[[#This Row],[Power (kW)]]&gt;=$CR$3, TRUE,FALSE),TRUE)</f>
        <v>1</v>
      </c>
      <c r="DA104" s="16">
        <f>MIN(MOD(180-ABS(ABS($DA$1-RecData[Yaw Angle (°)])-180),360),MOD(180-ABS(ABS($DB$1-RecData[Yaw Angle (°)])-180),360))</f>
        <v>16.470275401267457</v>
      </c>
      <c r="DB104" s="2" t="str">
        <f>IF($DP$2="None","None",IF(RecData[[#This Row],[Relative Wind Direction]]&lt;=45,"DW",IF(RecData[[#This Row],[Relative Wind Direction]]&lt;=135,"CW","UW")))</f>
        <v>DW</v>
      </c>
      <c r="DC104" s="61" t="e">
        <f>IF($CL104-$CL103&gt;1/24,#REF!,IF(SUM($CQ103:$CQ104)&gt;$DS$1,$DS$5,DC105-1))</f>
        <v>#REF!</v>
      </c>
      <c r="DD104" s="61">
        <f>IF($CL105-$CL104&gt;1/24,#REF!,IF(SUM($CQ103:$CQ104)&gt;$DS$1,$DS$6,DD103-1))</f>
        <v>-2</v>
      </c>
      <c r="DE104" s="18" t="b">
        <v>0</v>
      </c>
      <c r="DF104" s="2" t="b">
        <f>IF(OR(RecData[[#This Row],[WSpd_Avg '[m/s']]]-RecData[[#This Row],[Wind Speed min]]&gt;=$DF$3,RecData[[#This Row],[Wind Speed max]]-RecData[[#This Row],[WSpd_Avg '[m/s']]]&gt;=$DF$2),TRUE,FALSE)</f>
        <v>0</v>
      </c>
      <c r="DG104" s="2" t="b">
        <f>RecData[[#This Row],[Temperature '[°C']]]&lt;=-20</f>
        <v>0</v>
      </c>
      <c r="DH104" s="18" t="b">
        <f>NOT(OR(MOD(RecData[[#This Row],[TIMESTAMP]],1)&gt;0.91632,MOD(RecData[[#This Row],[TIMESTAMP]],1)&lt;0.208681))</f>
        <v>0</v>
      </c>
      <c r="DI104" s="18" t="b">
        <f>RecData[[#This Row],[Overall (dBA)]]-RecData[[#This Row],[L90]]&gt;=$DS$4</f>
        <v>0</v>
      </c>
      <c r="DJ104" s="18" t="b">
        <f>RecData[[#This Row],[Overall (dBA)]]&gt;$DS$2</f>
        <v>0</v>
      </c>
      <c r="DK104" s="18" t="b">
        <f>RecData[[#This Row],[Overall (dBA)]]&lt;$DS$3</f>
        <v>0</v>
      </c>
      <c r="DL1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" s="2">
        <f>IF(AND(RecData[[#This Row],[Turbines ON/OFF]] = "OFF", NOT(OR(RecData[[#This Row],[Junk?]]="YES",RecData[[#This Row],[Gust?]],RecData[[#This Row],[Rain?]:[Min SPL Threshold?]]))),1,0)</f>
        <v>0</v>
      </c>
      <c r="DN104" s="16">
        <f>RecData[[#This Row],[dBA Sum]]</f>
        <v>40.364944928322871</v>
      </c>
      <c r="DO104" s="16">
        <f>RecData[[#This Row],[LAF90.0]]</f>
        <v>40.299999999999997</v>
      </c>
      <c r="DP104" s="55">
        <f>IF(AND(RecData[[#This Row],[Useable TON Data?]],RecData[[#This Row],[Turbines ON/OFF]]="ON"),RecData[[#This Row],[dBA Sum]],"")</f>
        <v>40.364944928322871</v>
      </c>
      <c r="DQ104" s="55" t="str">
        <f>IF(AND(RecData[[#This Row],[Useable Background Data?]],RecData[[#This Row],[Turbines ON/OFF]]="OFF"),RecData[[#This Row],[dBA Sum]],"")</f>
        <v/>
      </c>
      <c r="DR104" s="3">
        <f>IF(OR(RecData[[#This Row],[Useable TON Data?]],RecData[[#This Row],[Useable Background Data?]]),ROUND(RecData[[#This Row],[WSpd_Avg '[m/s']]],0),"")</f>
        <v>1</v>
      </c>
      <c r="DS104" s="85">
        <f>(0.00002)^2*(10^(RecData[[#This Row],[Overall (dBA)]]/10))</f>
        <v>4.3506533807469522E-6</v>
      </c>
    </row>
    <row r="105" spans="1:123" ht="15" x14ac:dyDescent="0.25">
      <c r="A105" s="3" t="s">
        <v>249</v>
      </c>
      <c r="B105" s="12">
        <v>43252.198611111118</v>
      </c>
      <c r="C105" s="3"/>
      <c r="D105" s="3">
        <v>41.8</v>
      </c>
      <c r="E105" s="3"/>
      <c r="F105" s="3"/>
      <c r="G105" s="3"/>
      <c r="H105" s="3"/>
      <c r="I105" s="3"/>
      <c r="J105" s="3"/>
      <c r="K105" s="3">
        <v>40.200000000000003</v>
      </c>
      <c r="L105" s="3"/>
      <c r="M105" s="3"/>
      <c r="N105" s="3">
        <v>155.69999999999999</v>
      </c>
      <c r="O105" s="3"/>
      <c r="P105" s="3"/>
      <c r="Q105" s="3">
        <v>1.82</v>
      </c>
      <c r="R105" s="3">
        <v>0.7</v>
      </c>
      <c r="S105" s="3">
        <v>3.2</v>
      </c>
      <c r="T105" s="3">
        <v>6.5</v>
      </c>
      <c r="U105" s="3">
        <v>88.4</v>
      </c>
      <c r="V105" s="3">
        <v>966.2</v>
      </c>
      <c r="W105" s="3">
        <v>0</v>
      </c>
      <c r="X105" s="3">
        <v>49.1</v>
      </c>
      <c r="Y105" s="3">
        <v>49.2</v>
      </c>
      <c r="Z105" s="3">
        <v>47.7</v>
      </c>
      <c r="AA105" s="3">
        <v>42.8</v>
      </c>
      <c r="AB105" s="3">
        <v>40</v>
      </c>
      <c r="AC105" s="3">
        <v>38.700000000000003</v>
      </c>
      <c r="AD105" s="3">
        <v>41.7</v>
      </c>
      <c r="AE105" s="3">
        <v>43.5</v>
      </c>
      <c r="AF105" s="3">
        <v>45.4</v>
      </c>
      <c r="AG105" s="3">
        <v>38.5</v>
      </c>
      <c r="AH105" s="3">
        <v>38.799999999999997</v>
      </c>
      <c r="AI105" s="3">
        <v>38.1</v>
      </c>
      <c r="AJ105" s="3">
        <v>37.1</v>
      </c>
      <c r="AK105" s="3">
        <v>35.299999999999997</v>
      </c>
      <c r="AL105" s="3">
        <v>33.4</v>
      </c>
      <c r="AM105" s="3">
        <v>32.5</v>
      </c>
      <c r="AN105" s="3">
        <v>31.6</v>
      </c>
      <c r="AO105" s="3">
        <v>29.1</v>
      </c>
      <c r="AP105" s="3">
        <v>26.7</v>
      </c>
      <c r="AQ105" s="3">
        <v>25.1</v>
      </c>
      <c r="AR105" s="3">
        <v>22.8</v>
      </c>
      <c r="AS105" s="3">
        <v>30.2</v>
      </c>
      <c r="AT105" s="3">
        <v>33</v>
      </c>
      <c r="AU105" s="3">
        <v>17.3</v>
      </c>
      <c r="AV105" s="3">
        <v>16</v>
      </c>
      <c r="AW105" s="3">
        <v>14.4</v>
      </c>
      <c r="AX105" s="3">
        <v>11.7</v>
      </c>
      <c r="AY105" s="3">
        <v>10.8</v>
      </c>
      <c r="AZ105" s="3">
        <v>0</v>
      </c>
      <c r="BA105" s="3">
        <v>0</v>
      </c>
      <c r="BB105" s="3">
        <v>0</v>
      </c>
      <c r="BC105" s="3">
        <v>41.725381575854982</v>
      </c>
      <c r="BD105" s="3">
        <v>49.174618424145024</v>
      </c>
      <c r="BE105" s="3">
        <v>49.274618424145018</v>
      </c>
      <c r="BF105" s="3">
        <v>46.534618424145009</v>
      </c>
      <c r="BG105" s="3">
        <v>41.961285090811685</v>
      </c>
      <c r="BH105" s="3">
        <v>39.301285090811689</v>
      </c>
      <c r="BI105" s="3">
        <v>38.414618424145019</v>
      </c>
      <c r="BJ105" s="3">
        <v>42.207951757478355</v>
      </c>
      <c r="BK105" s="3">
        <v>43.881285090811673</v>
      </c>
      <c r="BL105" s="3">
        <v>45.354618424145016</v>
      </c>
      <c r="BM105" s="3">
        <v>38.587951757478351</v>
      </c>
      <c r="BN105" s="3">
        <v>39.171285090811679</v>
      </c>
      <c r="BO105" s="3">
        <v>37.837951757478351</v>
      </c>
      <c r="BP105" s="3">
        <v>36.554618424145019</v>
      </c>
      <c r="BQ105" s="3">
        <v>35.171285090811665</v>
      </c>
      <c r="BR105" s="3">
        <v>33.597951757478342</v>
      </c>
      <c r="BS105" s="3">
        <v>32.501285090811677</v>
      </c>
      <c r="BT105" s="3">
        <v>31.797951757478359</v>
      </c>
      <c r="BU105" s="3">
        <v>29.264618424145027</v>
      </c>
      <c r="BV105" s="3">
        <v>26.58128509081169</v>
      </c>
      <c r="BW105" s="3">
        <v>25.514618424145027</v>
      </c>
      <c r="BX105" s="3">
        <v>23.134618424145017</v>
      </c>
      <c r="BY105" s="3">
        <v>30.354618424145016</v>
      </c>
      <c r="BZ105" s="3">
        <v>33.284618424145009</v>
      </c>
      <c r="CA105" s="3">
        <v>17.684618424145008</v>
      </c>
      <c r="CB105" s="3">
        <v>15.821285090811678</v>
      </c>
      <c r="CC105" s="3">
        <v>14.434618424145015</v>
      </c>
      <c r="CD105" s="3">
        <v>11.041285090811684</v>
      </c>
      <c r="CE105" s="3">
        <v>10.334618424145013</v>
      </c>
      <c r="CF105" s="3">
        <v>-0.85204824252165423</v>
      </c>
      <c r="CG105" s="3">
        <v>-1.3853815758549857</v>
      </c>
      <c r="CH105" s="3">
        <v>-2.4620482425216537</v>
      </c>
      <c r="CI105" s="13">
        <f>[1]!dbasum(RecData[[#This Row],[20]:[2000]],RecData[[#Headers],[20]:[2000]])</f>
        <v>40.31068775709835</v>
      </c>
      <c r="CJ105" s="14">
        <v>831</v>
      </c>
      <c r="CK105" s="15" t="s">
        <v>249</v>
      </c>
      <c r="CL105" s="15">
        <f>RecData[[#This Row],[Start Time]]</f>
        <v>43252.198611111118</v>
      </c>
      <c r="CM105" s="16">
        <f>RecData[[#This Row],[Wind Speed avg]]</f>
        <v>1.82</v>
      </c>
      <c r="CN105" s="16">
        <f>RecData[[#This Row],[Wind Dir. avg]]</f>
        <v>155.69999999999999</v>
      </c>
      <c r="CO105" s="16">
        <f>RecData[[#This Row],[Amb. Humidity]]</f>
        <v>88.4</v>
      </c>
      <c r="CP105" s="16">
        <f>RecData[[#This Row],[Amb. Temperature]]</f>
        <v>6.5</v>
      </c>
      <c r="CQ105" s="17">
        <f>RecData[[#This Row],[Amb. Rain Gauge]]</f>
        <v>0</v>
      </c>
      <c r="CR105" s="4" t="s">
        <v>1</v>
      </c>
      <c r="CS105" s="4" t="s">
        <v>49</v>
      </c>
      <c r="CT105" s="70">
        <v>1602.8939210000001</v>
      </c>
      <c r="CU105" s="70">
        <v>24.000202178955</v>
      </c>
      <c r="CV105" s="70">
        <v>10.6580305099487</v>
      </c>
      <c r="CW105" s="70">
        <v>15.2282457351684</v>
      </c>
      <c r="CX105" s="97"/>
      <c r="CY105" s="99"/>
      <c r="CZ105" s="2" t="b">
        <f>IF($DP$1="YES",IF(RecData[[#This Row],[Power (kW)]]&gt;=$CR$3, TRUE,FALSE),TRUE)</f>
        <v>1</v>
      </c>
      <c r="DA105" s="16">
        <f>MIN(MOD(180-ABS(ABS($DA$1-RecData[Yaw Angle (°)])-180),360),MOD(180-ABS(ABS($DB$1-RecData[Yaw Angle (°)])-180),360))</f>
        <v>16.470275401267457</v>
      </c>
      <c r="DB105" s="2" t="str">
        <f>IF($DP$2="None","None",IF(RecData[[#This Row],[Relative Wind Direction]]&lt;=45,"DW",IF(RecData[[#This Row],[Relative Wind Direction]]&lt;=135,"CW","UW")))</f>
        <v>DW</v>
      </c>
      <c r="DC105" s="61" t="e">
        <f>IF($CL105-$CL103&gt;1/24,#REF!,IF(SUM($CQ103:$CQ105)&gt;$DS$1,$DS$5,DC106-1))</f>
        <v>#REF!</v>
      </c>
      <c r="DD105" s="61">
        <f>IF($CL106-$CL105&gt;1/24,#REF!,IF(SUM($CQ103:$CQ105)&gt;$DS$1,$DS$6,DD104-1))</f>
        <v>-3</v>
      </c>
      <c r="DE105" s="18" t="b">
        <v>0</v>
      </c>
      <c r="DF105" s="2" t="b">
        <f>IF(OR(RecData[[#This Row],[WSpd_Avg '[m/s']]]-RecData[[#This Row],[Wind Speed min]]&gt;=$DF$3,RecData[[#This Row],[Wind Speed max]]-RecData[[#This Row],[WSpd_Avg '[m/s']]]&gt;=$DF$2),TRUE,FALSE)</f>
        <v>0</v>
      </c>
      <c r="DG105" s="2" t="b">
        <f>RecData[[#This Row],[Temperature '[°C']]]&lt;=-20</f>
        <v>0</v>
      </c>
      <c r="DH105" s="18" t="b">
        <f>NOT(OR(MOD(RecData[[#This Row],[TIMESTAMP]],1)&gt;0.91632,MOD(RecData[[#This Row],[TIMESTAMP]],1)&lt;0.208681))</f>
        <v>0</v>
      </c>
      <c r="DI105" s="18" t="b">
        <f>RecData[[#This Row],[Overall (dBA)]]-RecData[[#This Row],[L90]]&gt;=$DS$4</f>
        <v>0</v>
      </c>
      <c r="DJ105" s="18" t="b">
        <f>RecData[[#This Row],[Overall (dBA)]]&gt;$DS$2</f>
        <v>0</v>
      </c>
      <c r="DK105" s="18" t="b">
        <f>RecData[[#This Row],[Overall (dBA)]]&lt;$DS$3</f>
        <v>0</v>
      </c>
      <c r="DL1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" s="2">
        <f>IF(AND(RecData[[#This Row],[Turbines ON/OFF]] = "OFF", NOT(OR(RecData[[#This Row],[Junk?]]="YES",RecData[[#This Row],[Gust?]],RecData[[#This Row],[Rain?]:[Min SPL Threshold?]]))),1,0)</f>
        <v>0</v>
      </c>
      <c r="DN105" s="16">
        <f>RecData[[#This Row],[dBA Sum]]</f>
        <v>40.31068775709835</v>
      </c>
      <c r="DO105" s="16">
        <f>RecData[[#This Row],[LAF90.0]]</f>
        <v>40.200000000000003</v>
      </c>
      <c r="DP105" s="55">
        <f>IF(AND(RecData[[#This Row],[Useable TON Data?]],RecData[[#This Row],[Turbines ON/OFF]]="ON"),RecData[[#This Row],[dBA Sum]],"")</f>
        <v>40.31068775709835</v>
      </c>
      <c r="DQ105" s="55" t="str">
        <f>IF(AND(RecData[[#This Row],[Useable Background Data?]],RecData[[#This Row],[Turbines ON/OFF]]="OFF"),RecData[[#This Row],[dBA Sum]],"")</f>
        <v/>
      </c>
      <c r="DR105" s="3">
        <f>IF(OR(RecData[[#This Row],[Useable TON Data?]],RecData[[#This Row],[Useable Background Data?]]),ROUND(RecData[[#This Row],[WSpd_Avg '[m/s']]],0),"")</f>
        <v>2</v>
      </c>
      <c r="DS105" s="85">
        <f>(0.00002)^2*(10^(RecData[[#This Row],[Overall (dBA)]]/10))</f>
        <v>4.2966380193556628E-6</v>
      </c>
    </row>
    <row r="106" spans="1:123" ht="15" x14ac:dyDescent="0.25">
      <c r="A106" s="3" t="s">
        <v>249</v>
      </c>
      <c r="B106" s="12">
        <v>43252.199305555558</v>
      </c>
      <c r="C106" s="3"/>
      <c r="D106" s="3">
        <v>41.7</v>
      </c>
      <c r="E106" s="3"/>
      <c r="F106" s="3"/>
      <c r="G106" s="3"/>
      <c r="H106" s="3"/>
      <c r="I106" s="3"/>
      <c r="J106" s="3"/>
      <c r="K106" s="3">
        <v>40.299999999999997</v>
      </c>
      <c r="L106" s="3"/>
      <c r="M106" s="3"/>
      <c r="N106" s="3">
        <v>182.3</v>
      </c>
      <c r="O106" s="3"/>
      <c r="P106" s="3"/>
      <c r="Q106" s="3">
        <v>1.29</v>
      </c>
      <c r="R106" s="3">
        <v>0.4</v>
      </c>
      <c r="S106" s="3">
        <v>2.4</v>
      </c>
      <c r="T106" s="3">
        <v>6.5</v>
      </c>
      <c r="U106" s="3">
        <v>88.5</v>
      </c>
      <c r="V106" s="3">
        <v>966.2</v>
      </c>
      <c r="W106" s="3">
        <v>0</v>
      </c>
      <c r="X106" s="3">
        <v>48.5</v>
      </c>
      <c r="Y106" s="3">
        <v>48.4</v>
      </c>
      <c r="Z106" s="3">
        <v>47.5</v>
      </c>
      <c r="AA106" s="3">
        <v>43.3</v>
      </c>
      <c r="AB106" s="3">
        <v>39</v>
      </c>
      <c r="AC106" s="3">
        <v>36.799999999999997</v>
      </c>
      <c r="AD106" s="3">
        <v>40.1</v>
      </c>
      <c r="AE106" s="3">
        <v>41.6</v>
      </c>
      <c r="AF106" s="3">
        <v>45.1</v>
      </c>
      <c r="AG106" s="3">
        <v>39.4</v>
      </c>
      <c r="AH106" s="3">
        <v>37.6</v>
      </c>
      <c r="AI106" s="3">
        <v>37.9</v>
      </c>
      <c r="AJ106" s="3">
        <v>36.799999999999997</v>
      </c>
      <c r="AK106" s="3">
        <v>35.299999999999997</v>
      </c>
      <c r="AL106" s="3">
        <v>33.5</v>
      </c>
      <c r="AM106" s="3">
        <v>33</v>
      </c>
      <c r="AN106" s="3">
        <v>32.1</v>
      </c>
      <c r="AO106" s="3">
        <v>29.8</v>
      </c>
      <c r="AP106" s="3">
        <v>27.5</v>
      </c>
      <c r="AQ106" s="3">
        <v>26.4</v>
      </c>
      <c r="AR106" s="3">
        <v>24.3</v>
      </c>
      <c r="AS106" s="3">
        <v>28.9</v>
      </c>
      <c r="AT106" s="3">
        <v>32.299999999999997</v>
      </c>
      <c r="AU106" s="3">
        <v>18.899999999999999</v>
      </c>
      <c r="AV106" s="3">
        <v>17</v>
      </c>
      <c r="AW106" s="3">
        <v>15.3</v>
      </c>
      <c r="AX106" s="3">
        <v>11.9</v>
      </c>
      <c r="AY106" s="3">
        <v>10.7</v>
      </c>
      <c r="AZ106" s="3">
        <v>0</v>
      </c>
      <c r="BA106" s="3">
        <v>0</v>
      </c>
      <c r="BB106" s="3">
        <v>0</v>
      </c>
      <c r="BC106" s="3">
        <v>41.644831604763766</v>
      </c>
      <c r="BD106" s="3">
        <v>48.555168395236237</v>
      </c>
      <c r="BE106" s="3">
        <v>48.455168395236228</v>
      </c>
      <c r="BF106" s="3">
        <v>46.315168395236242</v>
      </c>
      <c r="BG106" s="3">
        <v>42.441835061902907</v>
      </c>
      <c r="BH106" s="3">
        <v>38.28183506190291</v>
      </c>
      <c r="BI106" s="3">
        <v>36.495168395236234</v>
      </c>
      <c r="BJ106" s="3">
        <v>40.588501728569568</v>
      </c>
      <c r="BK106" s="3">
        <v>41.961835061902903</v>
      </c>
      <c r="BL106" s="3">
        <v>45.035168395236241</v>
      </c>
      <c r="BM106" s="3">
        <v>39.468501728569578</v>
      </c>
      <c r="BN106" s="3">
        <v>37.951835061902898</v>
      </c>
      <c r="BO106" s="3">
        <v>37.618501728569569</v>
      </c>
      <c r="BP106" s="3">
        <v>36.235168395236229</v>
      </c>
      <c r="BQ106" s="3">
        <v>35.151835061902887</v>
      </c>
      <c r="BR106" s="3">
        <v>33.678501728569572</v>
      </c>
      <c r="BS106" s="3">
        <v>32.981835061902899</v>
      </c>
      <c r="BT106" s="3">
        <v>32.27850172856958</v>
      </c>
      <c r="BU106" s="3">
        <v>29.945168395236237</v>
      </c>
      <c r="BV106" s="3">
        <v>27.361835061902909</v>
      </c>
      <c r="BW106" s="3">
        <v>26.795168395236232</v>
      </c>
      <c r="BX106" s="3">
        <v>24.615168395236239</v>
      </c>
      <c r="BY106" s="3">
        <v>29.035168395236241</v>
      </c>
      <c r="BZ106" s="3">
        <v>32.565168395236242</v>
      </c>
      <c r="CA106" s="3">
        <v>19.26516839523623</v>
      </c>
      <c r="CB106" s="3">
        <v>16.801835061902906</v>
      </c>
      <c r="CC106" s="3">
        <v>15.315168395236235</v>
      </c>
      <c r="CD106" s="3">
        <v>11.221835061902908</v>
      </c>
      <c r="CE106" s="3">
        <v>10.215168395236233</v>
      </c>
      <c r="CF106" s="3">
        <v>-0.87149827143043268</v>
      </c>
      <c r="CG106" s="3">
        <v>-1.4048316047637641</v>
      </c>
      <c r="CH106" s="3">
        <v>-2.4814982714304321</v>
      </c>
      <c r="CI106" s="13">
        <f>[1]!dbasum(RecData[[#This Row],[20]:[2000]],RecData[[#Headers],[20]:[2000]])</f>
        <v>40.47095022461184</v>
      </c>
      <c r="CJ106" s="14">
        <v>832</v>
      </c>
      <c r="CK106" s="15" t="s">
        <v>249</v>
      </c>
      <c r="CL106" s="15">
        <f>RecData[[#This Row],[Start Time]]</f>
        <v>43252.199305555558</v>
      </c>
      <c r="CM106" s="16">
        <f>RecData[[#This Row],[Wind Speed avg]]</f>
        <v>1.29</v>
      </c>
      <c r="CN106" s="16">
        <f>RecData[[#This Row],[Wind Dir. avg]]</f>
        <v>182.3</v>
      </c>
      <c r="CO106" s="16">
        <f>RecData[[#This Row],[Amb. Humidity]]</f>
        <v>88.5</v>
      </c>
      <c r="CP106" s="16">
        <f>RecData[[#This Row],[Amb. Temperature]]</f>
        <v>6.5</v>
      </c>
      <c r="CQ106" s="17">
        <f>RecData[[#This Row],[Amb. Rain Gauge]]</f>
        <v>0</v>
      </c>
      <c r="CR106" s="4" t="s">
        <v>1</v>
      </c>
      <c r="CS106" s="4" t="s">
        <v>49</v>
      </c>
      <c r="CT106" s="70">
        <v>1602.8939210000001</v>
      </c>
      <c r="CU106" s="70">
        <v>24.000202178955</v>
      </c>
      <c r="CV106" s="70">
        <v>10.6580305099487</v>
      </c>
      <c r="CW106" s="70">
        <v>15.2282457351684</v>
      </c>
      <c r="CX106" s="97"/>
      <c r="CY106" s="99"/>
      <c r="CZ106" s="2" t="b">
        <f>IF($DP$1="YES",IF(RecData[[#This Row],[Power (kW)]]&gt;=$CR$3, TRUE,FALSE),TRUE)</f>
        <v>1</v>
      </c>
      <c r="DA106" s="16">
        <f>MIN(MOD(180-ABS(ABS($DA$1-RecData[Yaw Angle (°)])-180),360),MOD(180-ABS(ABS($DB$1-RecData[Yaw Angle (°)])-180),360))</f>
        <v>16.470275401267457</v>
      </c>
      <c r="DB106" s="2" t="str">
        <f>IF($DP$2="None","None",IF(RecData[[#This Row],[Relative Wind Direction]]&lt;=45,"DW",IF(RecData[[#This Row],[Relative Wind Direction]]&lt;=135,"CW","UW")))</f>
        <v>DW</v>
      </c>
      <c r="DC106" s="61" t="e">
        <f>IF($CL106-$CL103&gt;1/24,#REF!,IF(SUM($CQ103:$CQ106)&gt;$DS$1,$DS$5,DC107-1))</f>
        <v>#REF!</v>
      </c>
      <c r="DD106" s="61">
        <f>IF($CL107-$CL106&gt;1/24,#REF!,IF(SUM($CQ103:$CQ106)&gt;$DS$1,$DS$6,DD105-1))</f>
        <v>-4</v>
      </c>
      <c r="DE106" s="18" t="b">
        <v>0</v>
      </c>
      <c r="DF106" s="2" t="b">
        <f>IF(OR(RecData[[#This Row],[WSpd_Avg '[m/s']]]-RecData[[#This Row],[Wind Speed min]]&gt;=$DF$3,RecData[[#This Row],[Wind Speed max]]-RecData[[#This Row],[WSpd_Avg '[m/s']]]&gt;=$DF$2),TRUE,FALSE)</f>
        <v>0</v>
      </c>
      <c r="DG106" s="2" t="b">
        <f>RecData[[#This Row],[Temperature '[°C']]]&lt;=-20</f>
        <v>0</v>
      </c>
      <c r="DH106" s="18" t="b">
        <f>NOT(OR(MOD(RecData[[#This Row],[TIMESTAMP]],1)&gt;0.91632,MOD(RecData[[#This Row],[TIMESTAMP]],1)&lt;0.208681))</f>
        <v>0</v>
      </c>
      <c r="DI106" s="18" t="b">
        <f>RecData[[#This Row],[Overall (dBA)]]-RecData[[#This Row],[L90]]&gt;=$DS$4</f>
        <v>0</v>
      </c>
      <c r="DJ106" s="18" t="b">
        <f>RecData[[#This Row],[Overall (dBA)]]&gt;$DS$2</f>
        <v>0</v>
      </c>
      <c r="DK106" s="18" t="b">
        <f>RecData[[#This Row],[Overall (dBA)]]&lt;$DS$3</f>
        <v>0</v>
      </c>
      <c r="DL1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" s="2">
        <f>IF(AND(RecData[[#This Row],[Turbines ON/OFF]] = "OFF", NOT(OR(RecData[[#This Row],[Junk?]]="YES",RecData[[#This Row],[Gust?]],RecData[[#This Row],[Rain?]:[Min SPL Threshold?]]))),1,0)</f>
        <v>0</v>
      </c>
      <c r="DN106" s="16">
        <f>RecData[[#This Row],[dBA Sum]]</f>
        <v>40.47095022461184</v>
      </c>
      <c r="DO106" s="16">
        <f>RecData[[#This Row],[LAF90.0]]</f>
        <v>40.299999999999997</v>
      </c>
      <c r="DP106" s="55">
        <f>IF(AND(RecData[[#This Row],[Useable TON Data?]],RecData[[#This Row],[Turbines ON/OFF]]="ON"),RecData[[#This Row],[dBA Sum]],"")</f>
        <v>40.47095022461184</v>
      </c>
      <c r="DQ106" s="55" t="str">
        <f>IF(AND(RecData[[#This Row],[Useable Background Data?]],RecData[[#This Row],[Turbines ON/OFF]]="OFF"),RecData[[#This Row],[dBA Sum]],"")</f>
        <v/>
      </c>
      <c r="DR106" s="3">
        <f>IF(OR(RecData[[#This Row],[Useable TON Data?]],RecData[[#This Row],[Useable Background Data?]]),ROUND(RecData[[#This Row],[WSpd_Avg '[m/s']]],0),"")</f>
        <v>1</v>
      </c>
      <c r="DS106" s="85">
        <f>(0.00002)^2*(10^(RecData[[#This Row],[Overall (dBA)]]/10))</f>
        <v>4.4581534596154039E-6</v>
      </c>
    </row>
    <row r="107" spans="1:123" ht="15" x14ac:dyDescent="0.25">
      <c r="A107" s="3" t="s">
        <v>249</v>
      </c>
      <c r="B107" s="12">
        <v>43252.200000000004</v>
      </c>
      <c r="C107" s="3"/>
      <c r="D107" s="3">
        <v>42.3</v>
      </c>
      <c r="E107" s="3"/>
      <c r="F107" s="3"/>
      <c r="G107" s="3"/>
      <c r="H107" s="3"/>
      <c r="I107" s="3"/>
      <c r="J107" s="3"/>
      <c r="K107" s="3">
        <v>39.9</v>
      </c>
      <c r="L107" s="3"/>
      <c r="M107" s="3"/>
      <c r="N107" s="3">
        <v>154</v>
      </c>
      <c r="O107" s="3"/>
      <c r="P107" s="3"/>
      <c r="Q107" s="3">
        <v>0.7</v>
      </c>
      <c r="R107" s="3">
        <v>0.1</v>
      </c>
      <c r="S107" s="3">
        <v>1.7</v>
      </c>
      <c r="T107" s="3">
        <v>6.5</v>
      </c>
      <c r="U107" s="3">
        <v>88.1</v>
      </c>
      <c r="V107" s="3">
        <v>966.2</v>
      </c>
      <c r="W107" s="3">
        <v>0</v>
      </c>
      <c r="X107" s="3">
        <v>47.6</v>
      </c>
      <c r="Y107" s="3">
        <v>47.3</v>
      </c>
      <c r="Z107" s="3">
        <v>46.8</v>
      </c>
      <c r="AA107" s="3">
        <v>42.3</v>
      </c>
      <c r="AB107" s="3">
        <v>38</v>
      </c>
      <c r="AC107" s="3">
        <v>36.5</v>
      </c>
      <c r="AD107" s="3">
        <v>39.6</v>
      </c>
      <c r="AE107" s="3">
        <v>41.7</v>
      </c>
      <c r="AF107" s="3">
        <v>48.6</v>
      </c>
      <c r="AG107" s="3">
        <v>38.9</v>
      </c>
      <c r="AH107" s="3">
        <v>38.1</v>
      </c>
      <c r="AI107" s="3">
        <v>38.4</v>
      </c>
      <c r="AJ107" s="3">
        <v>36.6</v>
      </c>
      <c r="AK107" s="3">
        <v>35.299999999999997</v>
      </c>
      <c r="AL107" s="3">
        <v>33.200000000000003</v>
      </c>
      <c r="AM107" s="3">
        <v>32.6</v>
      </c>
      <c r="AN107" s="3">
        <v>31.4</v>
      </c>
      <c r="AO107" s="3">
        <v>29.5</v>
      </c>
      <c r="AP107" s="3">
        <v>27.4</v>
      </c>
      <c r="AQ107" s="3">
        <v>26.5</v>
      </c>
      <c r="AR107" s="3">
        <v>25.2</v>
      </c>
      <c r="AS107" s="3">
        <v>31</v>
      </c>
      <c r="AT107" s="3">
        <v>33.200000000000003</v>
      </c>
      <c r="AU107" s="3">
        <v>23.4</v>
      </c>
      <c r="AV107" s="3">
        <v>22</v>
      </c>
      <c r="AW107" s="3">
        <v>20.7</v>
      </c>
      <c r="AX107" s="3">
        <v>16.399999999999999</v>
      </c>
      <c r="AY107" s="3">
        <v>14.6</v>
      </c>
      <c r="AZ107" s="3">
        <v>0</v>
      </c>
      <c r="BA107" s="3">
        <v>0</v>
      </c>
      <c r="BB107" s="3">
        <v>0</v>
      </c>
      <c r="BC107" s="3">
        <v>42.261489700303272</v>
      </c>
      <c r="BD107" s="3">
        <v>47.638510299696733</v>
      </c>
      <c r="BE107" s="3">
        <v>47.338510299696722</v>
      </c>
      <c r="BF107" s="3">
        <v>45.598510299696713</v>
      </c>
      <c r="BG107" s="3">
        <v>41.425176966363395</v>
      </c>
      <c r="BH107" s="3">
        <v>37.265176966363398</v>
      </c>
      <c r="BI107" s="3">
        <v>36.178510299696725</v>
      </c>
      <c r="BJ107" s="3">
        <v>40.071843633030056</v>
      </c>
      <c r="BK107" s="3">
        <v>42.0451769663634</v>
      </c>
      <c r="BL107" s="3">
        <v>48.518510299696729</v>
      </c>
      <c r="BM107" s="3">
        <v>38.951843633030066</v>
      </c>
      <c r="BN107" s="3">
        <v>38.435176966363386</v>
      </c>
      <c r="BO107" s="3">
        <v>38.101843633030057</v>
      </c>
      <c r="BP107" s="3">
        <v>36.018510299696729</v>
      </c>
      <c r="BQ107" s="3">
        <v>35.135176966363375</v>
      </c>
      <c r="BR107" s="3">
        <v>33.361843633030063</v>
      </c>
      <c r="BS107" s="3">
        <v>32.565176966363396</v>
      </c>
      <c r="BT107" s="3">
        <v>31.561843633030051</v>
      </c>
      <c r="BU107" s="3">
        <v>29.628510299696728</v>
      </c>
      <c r="BV107" s="3">
        <v>27.245176966363388</v>
      </c>
      <c r="BW107" s="3">
        <v>26.878510299696728</v>
      </c>
      <c r="BX107" s="3">
        <v>25.498510299696733</v>
      </c>
      <c r="BY107" s="3">
        <v>31.118510299696723</v>
      </c>
      <c r="BZ107" s="3">
        <v>33.448510299696736</v>
      </c>
      <c r="CA107" s="3">
        <v>23.748510299696719</v>
      </c>
      <c r="CB107" s="3">
        <v>21.785176966363395</v>
      </c>
      <c r="CC107" s="3">
        <v>20.698510299696721</v>
      </c>
      <c r="CD107" s="3">
        <v>15.705176966363396</v>
      </c>
      <c r="CE107" s="3">
        <v>14.098510299696727</v>
      </c>
      <c r="CF107" s="3">
        <v>-0.8881563669699446</v>
      </c>
      <c r="CG107" s="3">
        <v>-1.421489700303276</v>
      </c>
      <c r="CH107" s="3">
        <v>-2.498156366969944</v>
      </c>
      <c r="CI107" s="13">
        <f>[1]!dbasum(RecData[[#This Row],[20]:[2000]],RecData[[#Headers],[20]:[2000]])</f>
        <v>40.696521477871038</v>
      </c>
      <c r="CJ107" s="14">
        <v>833</v>
      </c>
      <c r="CK107" s="15" t="s">
        <v>249</v>
      </c>
      <c r="CL107" s="15">
        <f>RecData[[#This Row],[Start Time]]</f>
        <v>43252.200000000004</v>
      </c>
      <c r="CM107" s="16">
        <f>RecData[[#This Row],[Wind Speed avg]]</f>
        <v>0.7</v>
      </c>
      <c r="CN107" s="16">
        <f>RecData[[#This Row],[Wind Dir. avg]]</f>
        <v>154</v>
      </c>
      <c r="CO107" s="16">
        <f>RecData[[#This Row],[Amb. Humidity]]</f>
        <v>88.1</v>
      </c>
      <c r="CP107" s="16">
        <f>RecData[[#This Row],[Amb. Temperature]]</f>
        <v>6.5</v>
      </c>
      <c r="CQ107" s="17">
        <f>RecData[[#This Row],[Amb. Rain Gauge]]</f>
        <v>0</v>
      </c>
      <c r="CR107" s="4" t="s">
        <v>1</v>
      </c>
      <c r="CS107" s="4" t="s">
        <v>49</v>
      </c>
      <c r="CT107" s="70">
        <v>1602.8939210000001</v>
      </c>
      <c r="CU107" s="70">
        <v>24.000202178955</v>
      </c>
      <c r="CV107" s="70">
        <v>10.6580305099487</v>
      </c>
      <c r="CW107" s="70">
        <v>15.2282457351684</v>
      </c>
      <c r="CX107" s="97"/>
      <c r="CY107" s="99"/>
      <c r="CZ107" s="2" t="b">
        <f>IF($DP$1="YES",IF(RecData[[#This Row],[Power (kW)]]&gt;=$CR$3, TRUE,FALSE),TRUE)</f>
        <v>1</v>
      </c>
      <c r="DA107" s="16">
        <f>MIN(MOD(180-ABS(ABS($DA$1-RecData[Yaw Angle (°)])-180),360),MOD(180-ABS(ABS($DB$1-RecData[Yaw Angle (°)])-180),360))</f>
        <v>16.470275401267457</v>
      </c>
      <c r="DB107" s="2" t="str">
        <f>IF($DP$2="None","None",IF(RecData[[#This Row],[Relative Wind Direction]]&lt;=45,"DW",IF(RecData[[#This Row],[Relative Wind Direction]]&lt;=135,"CW","UW")))</f>
        <v>DW</v>
      </c>
      <c r="DC107" s="61" t="e">
        <f>IF($CL107-$CL103&gt;1/24,#REF!,IF(SUM($CQ103:$CQ107)&gt;$DS$1,$DS$5,#REF!-1))</f>
        <v>#REF!</v>
      </c>
      <c r="DD107" s="61" t="e">
        <f>IF(#REF!-$CL107&gt;1/24,#REF!,IF(SUM($CQ103:$CQ107)&gt;$DS$1,$DS$6,DD106-1))</f>
        <v>#REF!</v>
      </c>
      <c r="DE107" s="18" t="b">
        <v>0</v>
      </c>
      <c r="DF107" s="2" t="b">
        <f>IF(OR(RecData[[#This Row],[WSpd_Avg '[m/s']]]-RecData[[#This Row],[Wind Speed min]]&gt;=$DF$3,RecData[[#This Row],[Wind Speed max]]-RecData[[#This Row],[WSpd_Avg '[m/s']]]&gt;=$DF$2),TRUE,FALSE)</f>
        <v>0</v>
      </c>
      <c r="DG107" s="2" t="b">
        <f>RecData[[#This Row],[Temperature '[°C']]]&lt;=-20</f>
        <v>0</v>
      </c>
      <c r="DH107" s="18" t="b">
        <f>NOT(OR(MOD(RecData[[#This Row],[TIMESTAMP]],1)&gt;0.91632,MOD(RecData[[#This Row],[TIMESTAMP]],1)&lt;0.208681))</f>
        <v>0</v>
      </c>
      <c r="DI107" s="18" t="b">
        <f>RecData[[#This Row],[Overall (dBA)]]-RecData[[#This Row],[L90]]&gt;=$DS$4</f>
        <v>0</v>
      </c>
      <c r="DJ107" s="18" t="b">
        <f>RecData[[#This Row],[Overall (dBA)]]&gt;$DS$2</f>
        <v>0</v>
      </c>
      <c r="DK107" s="18" t="b">
        <f>RecData[[#This Row],[Overall (dBA)]]&lt;$DS$3</f>
        <v>0</v>
      </c>
      <c r="DL1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" s="2">
        <f>IF(AND(RecData[[#This Row],[Turbines ON/OFF]] = "OFF", NOT(OR(RecData[[#This Row],[Junk?]]="YES",RecData[[#This Row],[Gust?]],RecData[[#This Row],[Rain?]:[Min SPL Threshold?]]))),1,0)</f>
        <v>0</v>
      </c>
      <c r="DN107" s="16">
        <f>RecData[[#This Row],[dBA Sum]]</f>
        <v>40.696521477871038</v>
      </c>
      <c r="DO107" s="16">
        <f>RecData[[#This Row],[LAF90.0]]</f>
        <v>39.9</v>
      </c>
      <c r="DP107" s="55">
        <f>IF(AND(RecData[[#This Row],[Useable TON Data?]],RecData[[#This Row],[Turbines ON/OFF]]="ON"),RecData[[#This Row],[dBA Sum]],"")</f>
        <v>40.696521477871038</v>
      </c>
      <c r="DQ107" s="55" t="str">
        <f>IF(AND(RecData[[#This Row],[Useable Background Data?]],RecData[[#This Row],[Turbines ON/OFF]]="OFF"),RecData[[#This Row],[dBA Sum]],"")</f>
        <v/>
      </c>
      <c r="DR107" s="3">
        <f>IF(OR(RecData[[#This Row],[Useable TON Data?]],RecData[[#This Row],[Useable Background Data?]]),ROUND(RecData[[#This Row],[WSpd_Avg '[m/s']]],0),"")</f>
        <v>1</v>
      </c>
      <c r="DS107" s="85">
        <f>(0.00002)^2*(10^(RecData[[#This Row],[Overall (dBA)]]/10))</f>
        <v>4.6958275462468929E-6</v>
      </c>
    </row>
    <row r="108" spans="1:123" ht="15" x14ac:dyDescent="0.25">
      <c r="A108" s="3" t="s">
        <v>249</v>
      </c>
      <c r="B108" s="12">
        <v>43252.202083333337</v>
      </c>
      <c r="C108" s="3"/>
      <c r="D108" s="3">
        <v>41.3</v>
      </c>
      <c r="E108" s="3"/>
      <c r="F108" s="3"/>
      <c r="G108" s="3"/>
      <c r="H108" s="3"/>
      <c r="I108" s="3"/>
      <c r="J108" s="3"/>
      <c r="K108" s="3">
        <v>40.1</v>
      </c>
      <c r="L108" s="3"/>
      <c r="M108" s="3"/>
      <c r="N108" s="3">
        <v>140.5</v>
      </c>
      <c r="O108" s="3"/>
      <c r="P108" s="3"/>
      <c r="Q108" s="3">
        <v>1.26</v>
      </c>
      <c r="R108" s="3">
        <v>0.6</v>
      </c>
      <c r="S108" s="3">
        <v>2.2999999999999998</v>
      </c>
      <c r="T108" s="3">
        <v>6.5</v>
      </c>
      <c r="U108" s="3">
        <v>88.4</v>
      </c>
      <c r="V108" s="3">
        <v>966.2</v>
      </c>
      <c r="W108" s="3">
        <v>0</v>
      </c>
      <c r="X108" s="3">
        <v>49.9</v>
      </c>
      <c r="Y108" s="3">
        <v>50.2</v>
      </c>
      <c r="Z108" s="3">
        <v>49.3</v>
      </c>
      <c r="AA108" s="3">
        <v>44.3</v>
      </c>
      <c r="AB108" s="3">
        <v>39.9</v>
      </c>
      <c r="AC108" s="3">
        <v>38.4</v>
      </c>
      <c r="AD108" s="3">
        <v>41.6</v>
      </c>
      <c r="AE108" s="3">
        <v>43.4</v>
      </c>
      <c r="AF108" s="3">
        <v>47.4</v>
      </c>
      <c r="AG108" s="3">
        <v>39.700000000000003</v>
      </c>
      <c r="AH108" s="3">
        <v>38.200000000000003</v>
      </c>
      <c r="AI108" s="3">
        <v>38.4</v>
      </c>
      <c r="AJ108" s="3">
        <v>37.299999999999997</v>
      </c>
      <c r="AK108" s="3">
        <v>35.700000000000003</v>
      </c>
      <c r="AL108" s="3">
        <v>33.4</v>
      </c>
      <c r="AM108" s="3">
        <v>32.700000000000003</v>
      </c>
      <c r="AN108" s="3">
        <v>31.5</v>
      </c>
      <c r="AO108" s="3">
        <v>28.7</v>
      </c>
      <c r="AP108" s="3">
        <v>26.5</v>
      </c>
      <c r="AQ108" s="3">
        <v>24.9</v>
      </c>
      <c r="AR108" s="3">
        <v>22.4</v>
      </c>
      <c r="AS108" s="3">
        <v>27.6</v>
      </c>
      <c r="AT108" s="3">
        <v>30.1</v>
      </c>
      <c r="AU108" s="3">
        <v>15.2</v>
      </c>
      <c r="AV108" s="3">
        <v>13.6</v>
      </c>
      <c r="AW108" s="3">
        <v>11.7</v>
      </c>
      <c r="AX108" s="3">
        <v>10</v>
      </c>
      <c r="AY108" s="3">
        <v>9.6</v>
      </c>
      <c r="AZ108" s="3">
        <v>0</v>
      </c>
      <c r="BA108" s="3">
        <v>0</v>
      </c>
      <c r="BB108" s="3">
        <v>0</v>
      </c>
      <c r="BC108" s="3">
        <v>41.312302751354373</v>
      </c>
      <c r="BD108" s="3">
        <v>49.887697248645615</v>
      </c>
      <c r="BE108" s="3">
        <v>50.187697248645627</v>
      </c>
      <c r="BF108" s="3">
        <v>48.047697248645612</v>
      </c>
      <c r="BG108" s="3">
        <v>43.374363915312294</v>
      </c>
      <c r="BH108" s="3">
        <v>39.114363915312289</v>
      </c>
      <c r="BI108" s="3">
        <v>38.02769724864563</v>
      </c>
      <c r="BJ108" s="3">
        <v>42.021030581978955</v>
      </c>
      <c r="BK108" s="3">
        <v>43.694363915312287</v>
      </c>
      <c r="BL108" s="3">
        <v>47.267697248645625</v>
      </c>
      <c r="BM108" s="3">
        <v>39.701030581978962</v>
      </c>
      <c r="BN108" s="3">
        <v>38.484363915312294</v>
      </c>
      <c r="BO108" s="3">
        <v>38.051030581978956</v>
      </c>
      <c r="BP108" s="3">
        <v>36.667697248645617</v>
      </c>
      <c r="BQ108" s="3">
        <v>35.484363915312279</v>
      </c>
      <c r="BR108" s="3">
        <v>33.51103058197895</v>
      </c>
      <c r="BS108" s="3">
        <v>32.614363915312303</v>
      </c>
      <c r="BT108" s="3">
        <v>31.611030581978959</v>
      </c>
      <c r="BU108" s="3">
        <v>28.77769724864563</v>
      </c>
      <c r="BV108" s="3">
        <v>26.294363915312296</v>
      </c>
      <c r="BW108" s="3">
        <v>25.227697248645619</v>
      </c>
      <c r="BX108" s="3">
        <v>22.647697248645628</v>
      </c>
      <c r="BY108" s="3">
        <v>27.667697248645617</v>
      </c>
      <c r="BZ108" s="3">
        <v>30.297697248645626</v>
      </c>
      <c r="CA108" s="3">
        <v>15.497697248645615</v>
      </c>
      <c r="CB108" s="3">
        <v>13.334363915312288</v>
      </c>
      <c r="CC108" s="3">
        <v>11.647697248645621</v>
      </c>
      <c r="CD108" s="3">
        <v>9.2543639153122967</v>
      </c>
      <c r="CE108" s="3">
        <v>9.0476972486456262</v>
      </c>
      <c r="CF108" s="3">
        <v>-0.9389694180210455</v>
      </c>
      <c r="CG108" s="3">
        <v>-1.4723027513543769</v>
      </c>
      <c r="CH108" s="3">
        <v>-2.5489694180210449</v>
      </c>
      <c r="CI108" s="13">
        <f>[1]!dbasum(RecData[[#This Row],[20]:[2000]],RecData[[#Headers],[20]:[2000]])</f>
        <v>40.457082699843632</v>
      </c>
      <c r="CJ108" s="14">
        <v>836</v>
      </c>
      <c r="CK108" s="15" t="s">
        <v>249</v>
      </c>
      <c r="CL108" s="15">
        <f>RecData[[#This Row],[Start Time]]</f>
        <v>43252.202083333337</v>
      </c>
      <c r="CM108" s="16">
        <f>RecData[[#This Row],[Wind Speed avg]]</f>
        <v>1.26</v>
      </c>
      <c r="CN108" s="16">
        <f>RecData[[#This Row],[Wind Dir. avg]]</f>
        <v>140.5</v>
      </c>
      <c r="CO108" s="16">
        <f>RecData[[#This Row],[Amb. Humidity]]</f>
        <v>88.4</v>
      </c>
      <c r="CP108" s="16">
        <f>RecData[[#This Row],[Amb. Temperature]]</f>
        <v>6.5</v>
      </c>
      <c r="CQ108" s="17">
        <f>RecData[[#This Row],[Amb. Rain Gauge]]</f>
        <v>0</v>
      </c>
      <c r="CR108" s="4" t="s">
        <v>1</v>
      </c>
      <c r="CS108" s="4" t="s">
        <v>49</v>
      </c>
      <c r="CT108" s="70">
        <v>1616.4487300000001</v>
      </c>
      <c r="CU108" s="70">
        <v>24.1275310516357</v>
      </c>
      <c r="CV108" s="70">
        <v>12.4158725738525</v>
      </c>
      <c r="CW108" s="70">
        <v>15.2957210540771</v>
      </c>
      <c r="CX108" s="97"/>
      <c r="CY108" s="99"/>
      <c r="CZ108" s="2" t="b">
        <f>IF($DP$1="YES",IF(RecData[[#This Row],[Power (kW)]]&gt;=$CR$3, TRUE,FALSE),TRUE)</f>
        <v>1</v>
      </c>
      <c r="DA108" s="16">
        <f>MIN(MOD(180-ABS(ABS($DA$1-RecData[Yaw Angle (°)])-180),360),MOD(180-ABS(ABS($DB$1-RecData[Yaw Angle (°)])-180),360))</f>
        <v>16.59760427394815</v>
      </c>
      <c r="DB108" s="2" t="str">
        <f>IF($DP$2="None","None",IF(RecData[[#This Row],[Relative Wind Direction]]&lt;=45,"DW",IF(RecData[[#This Row],[Relative Wind Direction]]&lt;=135,"CW","UW")))</f>
        <v>DW</v>
      </c>
      <c r="DC108" s="61" t="e">
        <f>IF($CL108-$CL106&gt;1/24,#REF!,IF(SUM($CQ106:$CQ108)&gt;$DS$1,$DS$5,#REF!-1))</f>
        <v>#REF!</v>
      </c>
      <c r="DD108" s="61" t="e">
        <f>IF(#REF!-$CL108&gt;1/24,#REF!,IF(SUM($CQ106:$CQ108)&gt;$DS$1,$DS$6,#REF!-1))</f>
        <v>#REF!</v>
      </c>
      <c r="DE108" s="18" t="b">
        <v>0</v>
      </c>
      <c r="DF108" s="2" t="b">
        <f>IF(OR(RecData[[#This Row],[WSpd_Avg '[m/s']]]-RecData[[#This Row],[Wind Speed min]]&gt;=$DF$3,RecData[[#This Row],[Wind Speed max]]-RecData[[#This Row],[WSpd_Avg '[m/s']]]&gt;=$DF$2),TRUE,FALSE)</f>
        <v>0</v>
      </c>
      <c r="DG108" s="2" t="b">
        <f>RecData[[#This Row],[Temperature '[°C']]]&lt;=-20</f>
        <v>0</v>
      </c>
      <c r="DH108" s="18" t="b">
        <f>NOT(OR(MOD(RecData[[#This Row],[TIMESTAMP]],1)&gt;0.91632,MOD(RecData[[#This Row],[TIMESTAMP]],1)&lt;0.208681))</f>
        <v>0</v>
      </c>
      <c r="DI108" s="18" t="b">
        <f>RecData[[#This Row],[Overall (dBA)]]-RecData[[#This Row],[L90]]&gt;=$DS$4</f>
        <v>0</v>
      </c>
      <c r="DJ108" s="18" t="b">
        <f>RecData[[#This Row],[Overall (dBA)]]&gt;$DS$2</f>
        <v>0</v>
      </c>
      <c r="DK108" s="18" t="b">
        <f>RecData[[#This Row],[Overall (dBA)]]&lt;$DS$3</f>
        <v>0</v>
      </c>
      <c r="DL1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" s="2">
        <f>IF(AND(RecData[[#This Row],[Turbines ON/OFF]] = "OFF", NOT(OR(RecData[[#This Row],[Junk?]]="YES",RecData[[#This Row],[Gust?]],RecData[[#This Row],[Rain?]:[Min SPL Threshold?]]))),1,0)</f>
        <v>0</v>
      </c>
      <c r="DN108" s="16">
        <f>RecData[[#This Row],[dBA Sum]]</f>
        <v>40.457082699843632</v>
      </c>
      <c r="DO108" s="16">
        <f>RecData[[#This Row],[LAF90.0]]</f>
        <v>40.1</v>
      </c>
      <c r="DP108" s="55">
        <f>IF(AND(RecData[[#This Row],[Useable TON Data?]],RecData[[#This Row],[Turbines ON/OFF]]="ON"),RecData[[#This Row],[dBA Sum]],"")</f>
        <v>40.457082699843632</v>
      </c>
      <c r="DQ108" s="55" t="str">
        <f>IF(AND(RecData[[#This Row],[Useable Background Data?]],RecData[[#This Row],[Turbines ON/OFF]]="OFF"),RecData[[#This Row],[dBA Sum]],"")</f>
        <v/>
      </c>
      <c r="DR108" s="3">
        <f>IF(OR(RecData[[#This Row],[Useable TON Data?]],RecData[[#This Row],[Useable Background Data?]]),ROUND(RecData[[#This Row],[WSpd_Avg '[m/s']]],0),"")</f>
        <v>1</v>
      </c>
      <c r="DS108" s="85">
        <f>(0.00002)^2*(10^(RecData[[#This Row],[Overall (dBA)]]/10))</f>
        <v>4.4439407638081606E-6</v>
      </c>
    </row>
    <row r="109" spans="1:123" ht="15" x14ac:dyDescent="0.25">
      <c r="A109" s="3" t="s">
        <v>249</v>
      </c>
      <c r="B109" s="12">
        <v>43252.203472222231</v>
      </c>
      <c r="C109" s="3"/>
      <c r="D109" s="3">
        <v>42.4</v>
      </c>
      <c r="E109" s="3"/>
      <c r="F109" s="3"/>
      <c r="G109" s="3"/>
      <c r="H109" s="3"/>
      <c r="I109" s="3"/>
      <c r="J109" s="3"/>
      <c r="K109" s="3">
        <v>40.9</v>
      </c>
      <c r="L109" s="3"/>
      <c r="M109" s="3"/>
      <c r="N109" s="3">
        <v>130.80000000000001</v>
      </c>
      <c r="O109" s="3"/>
      <c r="P109" s="3"/>
      <c r="Q109" s="3">
        <v>0.95</v>
      </c>
      <c r="R109" s="3">
        <v>0.2</v>
      </c>
      <c r="S109" s="3">
        <v>2</v>
      </c>
      <c r="T109" s="3">
        <v>6.5</v>
      </c>
      <c r="U109" s="3">
        <v>88.1</v>
      </c>
      <c r="V109" s="3">
        <v>966.3</v>
      </c>
      <c r="W109" s="3">
        <v>0</v>
      </c>
      <c r="X109" s="3">
        <v>50.2</v>
      </c>
      <c r="Y109" s="3">
        <v>50.1</v>
      </c>
      <c r="Z109" s="3">
        <v>49.4</v>
      </c>
      <c r="AA109" s="3">
        <v>44.2</v>
      </c>
      <c r="AB109" s="3">
        <v>38.799999999999997</v>
      </c>
      <c r="AC109" s="3">
        <v>40.200000000000003</v>
      </c>
      <c r="AD109" s="3">
        <v>44.1</v>
      </c>
      <c r="AE109" s="3">
        <v>44.7</v>
      </c>
      <c r="AF109" s="3">
        <v>45.9</v>
      </c>
      <c r="AG109" s="3">
        <v>39.9</v>
      </c>
      <c r="AH109" s="3">
        <v>38.5</v>
      </c>
      <c r="AI109" s="3">
        <v>38.299999999999997</v>
      </c>
      <c r="AJ109" s="3">
        <v>37.200000000000003</v>
      </c>
      <c r="AK109" s="3">
        <v>35.5</v>
      </c>
      <c r="AL109" s="3">
        <v>33.9</v>
      </c>
      <c r="AM109" s="3">
        <v>34.299999999999997</v>
      </c>
      <c r="AN109" s="3">
        <v>33.700000000000003</v>
      </c>
      <c r="AO109" s="3">
        <v>31.3</v>
      </c>
      <c r="AP109" s="3">
        <v>28.9</v>
      </c>
      <c r="AQ109" s="3">
        <v>27.3</v>
      </c>
      <c r="AR109" s="3">
        <v>23.8</v>
      </c>
      <c r="AS109" s="3">
        <v>30</v>
      </c>
      <c r="AT109" s="3">
        <v>31.6</v>
      </c>
      <c r="AU109" s="3">
        <v>15.3</v>
      </c>
      <c r="AV109" s="3">
        <v>13.5</v>
      </c>
      <c r="AW109" s="3">
        <v>12.3</v>
      </c>
      <c r="AX109" s="3">
        <v>10</v>
      </c>
      <c r="AY109" s="3">
        <v>9.6</v>
      </c>
      <c r="AZ109" s="3">
        <v>0</v>
      </c>
      <c r="BA109" s="3">
        <v>0</v>
      </c>
      <c r="BB109" s="3">
        <v>0</v>
      </c>
      <c r="BC109" s="3">
        <v>42.35057719721398</v>
      </c>
      <c r="BD109" s="3">
        <v>50.249422802786015</v>
      </c>
      <c r="BE109" s="3">
        <v>50.14942280278602</v>
      </c>
      <c r="BF109" s="3">
        <v>48.209422802786023</v>
      </c>
      <c r="BG109" s="3">
        <v>43.336089469452688</v>
      </c>
      <c r="BH109" s="3">
        <v>38.076089469452683</v>
      </c>
      <c r="BI109" s="3">
        <v>39.889422802786029</v>
      </c>
      <c r="BJ109" s="3">
        <v>44.582756136119357</v>
      </c>
      <c r="BK109" s="3">
        <v>45.056089469452687</v>
      </c>
      <c r="BL109" s="3">
        <v>45.829422802786027</v>
      </c>
      <c r="BM109" s="3">
        <v>39.962756136119353</v>
      </c>
      <c r="BN109" s="3">
        <v>38.846089469452679</v>
      </c>
      <c r="BO109" s="3">
        <v>38.01275613611935</v>
      </c>
      <c r="BP109" s="3">
        <v>36.629422802786024</v>
      </c>
      <c r="BQ109" s="3">
        <v>35.346089469452679</v>
      </c>
      <c r="BR109" s="3">
        <v>34.072756136119352</v>
      </c>
      <c r="BS109" s="3">
        <v>34.276089469452685</v>
      </c>
      <c r="BT109" s="3">
        <v>33.872756136119349</v>
      </c>
      <c r="BU109" s="3">
        <v>31.439422802786027</v>
      </c>
      <c r="BV109" s="3">
        <v>28.756089469452689</v>
      </c>
      <c r="BW109" s="3">
        <v>27.689422802786027</v>
      </c>
      <c r="BX109" s="3">
        <v>24.109422802786028</v>
      </c>
      <c r="BY109" s="3">
        <v>30.12942280278601</v>
      </c>
      <c r="BZ109" s="3">
        <v>31.859422802786028</v>
      </c>
      <c r="CA109" s="3">
        <v>15.659422802786011</v>
      </c>
      <c r="CB109" s="3">
        <v>13.296089469452681</v>
      </c>
      <c r="CC109" s="3">
        <v>12.309422802786017</v>
      </c>
      <c r="CD109" s="3">
        <v>9.3160894694526917</v>
      </c>
      <c r="CE109" s="3">
        <v>9.109422802786014</v>
      </c>
      <c r="CF109" s="3">
        <v>-0.87724386388065057</v>
      </c>
      <c r="CG109" s="3">
        <v>-1.410577197213982</v>
      </c>
      <c r="CH109" s="3">
        <v>-2.48724386388065</v>
      </c>
      <c r="CI109" s="13">
        <f>[1]!dbasum(RecData[[#This Row],[20]:[2000]],RecData[[#Headers],[20]:[2000]])</f>
        <v>41.430566019922011</v>
      </c>
      <c r="CJ109" s="14">
        <v>838</v>
      </c>
      <c r="CK109" s="15" t="s">
        <v>249</v>
      </c>
      <c r="CL109" s="15">
        <f>RecData[[#This Row],[Start Time]]</f>
        <v>43252.203472222231</v>
      </c>
      <c r="CM109" s="16">
        <f>RecData[[#This Row],[Wind Speed avg]]</f>
        <v>0.95</v>
      </c>
      <c r="CN109" s="16">
        <f>RecData[[#This Row],[Wind Dir. avg]]</f>
        <v>130.80000000000001</v>
      </c>
      <c r="CO109" s="16">
        <f>RecData[[#This Row],[Amb. Humidity]]</f>
        <v>88.1</v>
      </c>
      <c r="CP109" s="16">
        <f>RecData[[#This Row],[Amb. Temperature]]</f>
        <v>6.5</v>
      </c>
      <c r="CQ109" s="17">
        <f>RecData[[#This Row],[Amb. Rain Gauge]]</f>
        <v>0</v>
      </c>
      <c r="CR109" s="4" t="s">
        <v>1</v>
      </c>
      <c r="CS109" s="4" t="s">
        <v>49</v>
      </c>
      <c r="CT109" s="70">
        <v>1616.4487300000001</v>
      </c>
      <c r="CU109" s="70">
        <v>24.1275310516357</v>
      </c>
      <c r="CV109" s="70">
        <v>12.4158725738525</v>
      </c>
      <c r="CW109" s="70">
        <v>15.2957210540771</v>
      </c>
      <c r="CX109" s="97"/>
      <c r="CY109" s="99"/>
      <c r="CZ109" s="2" t="b">
        <f>IF($DP$1="YES",IF(RecData[[#This Row],[Power (kW)]]&gt;=$CR$3, TRUE,FALSE),TRUE)</f>
        <v>1</v>
      </c>
      <c r="DA109" s="16">
        <f>MIN(MOD(180-ABS(ABS($DA$1-RecData[Yaw Angle (°)])-180),360),MOD(180-ABS(ABS($DB$1-RecData[Yaw Angle (°)])-180),360))</f>
        <v>16.59760427394815</v>
      </c>
      <c r="DB109" s="2" t="str">
        <f>IF($DP$2="None","None",IF(RecData[[#This Row],[Relative Wind Direction]]&lt;=45,"DW",IF(RecData[[#This Row],[Relative Wind Direction]]&lt;=135,"CW","UW")))</f>
        <v>DW</v>
      </c>
      <c r="DC109" s="61">
        <v>-1</v>
      </c>
      <c r="DD109" s="61">
        <v>-1</v>
      </c>
      <c r="DE109" s="18" t="b">
        <v>0</v>
      </c>
      <c r="DF109" s="2" t="b">
        <f>IF(OR(RecData[[#This Row],[WSpd_Avg '[m/s']]]-RecData[[#This Row],[Wind Speed min]]&gt;=$DF$3,RecData[[#This Row],[Wind Speed max]]-RecData[[#This Row],[WSpd_Avg '[m/s']]]&gt;=$DF$2),TRUE,FALSE)</f>
        <v>0</v>
      </c>
      <c r="DG109" s="2" t="b">
        <f>RecData[[#This Row],[Temperature '[°C']]]&lt;=-20</f>
        <v>0</v>
      </c>
      <c r="DH109" s="18" t="b">
        <f>NOT(OR(MOD(RecData[[#This Row],[TIMESTAMP]],1)&gt;0.91632,MOD(RecData[[#This Row],[TIMESTAMP]],1)&lt;0.208681))</f>
        <v>0</v>
      </c>
      <c r="DI109" s="18" t="b">
        <f>RecData[[#This Row],[Overall (dBA)]]-RecData[[#This Row],[L90]]&gt;=$DS$4</f>
        <v>0</v>
      </c>
      <c r="DJ109" s="18" t="b">
        <f>RecData[[#This Row],[Overall (dBA)]]&gt;$DS$2</f>
        <v>0</v>
      </c>
      <c r="DK109" s="18" t="b">
        <f>RecData[[#This Row],[Overall (dBA)]]&lt;$DS$3</f>
        <v>0</v>
      </c>
      <c r="DL1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" s="2">
        <f>IF(AND(RecData[[#This Row],[Turbines ON/OFF]] = "OFF", NOT(OR(RecData[[#This Row],[Junk?]]="YES",RecData[[#This Row],[Gust?]],RecData[[#This Row],[Rain?]:[Min SPL Threshold?]]))),1,0)</f>
        <v>0</v>
      </c>
      <c r="DN109" s="16">
        <f>RecData[[#This Row],[dBA Sum]]</f>
        <v>41.430566019922011</v>
      </c>
      <c r="DO109" s="16">
        <f>RecData[[#This Row],[LAF90.0]]</f>
        <v>40.9</v>
      </c>
      <c r="DP109" s="55">
        <f>IF(AND(RecData[[#This Row],[Useable TON Data?]],RecData[[#This Row],[Turbines ON/OFF]]="ON"),RecData[[#This Row],[dBA Sum]],"")</f>
        <v>41.430566019922011</v>
      </c>
      <c r="DQ109" s="55" t="str">
        <f>IF(AND(RecData[[#This Row],[Useable Background Data?]],RecData[[#This Row],[Turbines ON/OFF]]="OFF"),RecData[[#This Row],[dBA Sum]],"")</f>
        <v/>
      </c>
      <c r="DR109" s="3">
        <f>IF(OR(RecData[[#This Row],[Useable TON Data?]],RecData[[#This Row],[Useable Background Data?]]),ROUND(RecData[[#This Row],[WSpd_Avg '[m/s']]],0),"")</f>
        <v>1</v>
      </c>
      <c r="DS109" s="85">
        <f>(0.00002)^2*(10^(RecData[[#This Row],[Overall (dBA)]]/10))</f>
        <v>5.5605351872042046E-6</v>
      </c>
    </row>
    <row r="110" spans="1:123" ht="15" x14ac:dyDescent="0.25">
      <c r="A110" s="3" t="s">
        <v>249</v>
      </c>
      <c r="B110" s="12">
        <v>43252.204861111117</v>
      </c>
      <c r="C110" s="3"/>
      <c r="D110" s="3">
        <v>41.6</v>
      </c>
      <c r="E110" s="3"/>
      <c r="F110" s="3"/>
      <c r="G110" s="3"/>
      <c r="H110" s="3"/>
      <c r="I110" s="3"/>
      <c r="J110" s="3"/>
      <c r="K110" s="3">
        <v>40.200000000000003</v>
      </c>
      <c r="L110" s="3"/>
      <c r="M110" s="3"/>
      <c r="N110" s="3">
        <v>145.5</v>
      </c>
      <c r="O110" s="3"/>
      <c r="P110" s="3"/>
      <c r="Q110" s="3">
        <v>1.85</v>
      </c>
      <c r="R110" s="3">
        <v>0.6</v>
      </c>
      <c r="S110" s="3">
        <v>3.3</v>
      </c>
      <c r="T110" s="3">
        <v>6.5</v>
      </c>
      <c r="U110" s="3">
        <v>87.9</v>
      </c>
      <c r="V110" s="3">
        <v>966.3</v>
      </c>
      <c r="W110" s="3">
        <v>0</v>
      </c>
      <c r="X110" s="3">
        <v>50.4</v>
      </c>
      <c r="Y110" s="3">
        <v>49.7</v>
      </c>
      <c r="Z110" s="3">
        <v>48.6</v>
      </c>
      <c r="AA110" s="3">
        <v>44.3</v>
      </c>
      <c r="AB110" s="3">
        <v>39.799999999999997</v>
      </c>
      <c r="AC110" s="3">
        <v>39.4</v>
      </c>
      <c r="AD110" s="3">
        <v>42.4</v>
      </c>
      <c r="AE110" s="3">
        <v>43.6</v>
      </c>
      <c r="AF110" s="3">
        <v>45.2</v>
      </c>
      <c r="AG110" s="3">
        <v>39.4</v>
      </c>
      <c r="AH110" s="3">
        <v>37.799999999999997</v>
      </c>
      <c r="AI110" s="3">
        <v>37</v>
      </c>
      <c r="AJ110" s="3">
        <v>36.200000000000003</v>
      </c>
      <c r="AK110" s="3">
        <v>34.6</v>
      </c>
      <c r="AL110" s="3">
        <v>33.1</v>
      </c>
      <c r="AM110" s="3">
        <v>33.1</v>
      </c>
      <c r="AN110" s="3">
        <v>32.5</v>
      </c>
      <c r="AO110" s="3">
        <v>29.9</v>
      </c>
      <c r="AP110" s="3">
        <v>27.5</v>
      </c>
      <c r="AQ110" s="3">
        <v>26</v>
      </c>
      <c r="AR110" s="3">
        <v>23</v>
      </c>
      <c r="AS110" s="3">
        <v>29.9</v>
      </c>
      <c r="AT110" s="3">
        <v>32.200000000000003</v>
      </c>
      <c r="AU110" s="3">
        <v>17.3</v>
      </c>
      <c r="AV110" s="3">
        <v>15.9</v>
      </c>
      <c r="AW110" s="3">
        <v>14.4</v>
      </c>
      <c r="AX110" s="3">
        <v>11.8</v>
      </c>
      <c r="AY110" s="3">
        <v>10.9</v>
      </c>
      <c r="AZ110" s="3">
        <v>0</v>
      </c>
      <c r="BA110" s="3">
        <v>0</v>
      </c>
      <c r="BB110" s="3">
        <v>0</v>
      </c>
      <c r="BC110" s="3">
        <v>41.603239721763217</v>
      </c>
      <c r="BD110" s="3">
        <v>50.396760278236783</v>
      </c>
      <c r="BE110" s="3">
        <v>49.696760278236795</v>
      </c>
      <c r="BF110" s="3">
        <v>47.356760278236791</v>
      </c>
      <c r="BG110" s="3">
        <v>43.383426944903448</v>
      </c>
      <c r="BH110" s="3">
        <v>39.023426944903449</v>
      </c>
      <c r="BI110" s="3">
        <v>39.036760278236784</v>
      </c>
      <c r="BJ110" s="3">
        <v>42.830093611570121</v>
      </c>
      <c r="BK110" s="3">
        <v>43.903426944903444</v>
      </c>
      <c r="BL110" s="3">
        <v>45.07676027823679</v>
      </c>
      <c r="BM110" s="3">
        <v>39.410093611570119</v>
      </c>
      <c r="BN110" s="3">
        <v>38.093426944903442</v>
      </c>
      <c r="BO110" s="3">
        <v>36.660093611570119</v>
      </c>
      <c r="BP110" s="3">
        <v>35.57676027823679</v>
      </c>
      <c r="BQ110" s="3">
        <v>34.393426944903453</v>
      </c>
      <c r="BR110" s="3">
        <v>33.220093611570121</v>
      </c>
      <c r="BS110" s="3">
        <v>33.023426944903449</v>
      </c>
      <c r="BT110" s="3">
        <v>32.620093611570113</v>
      </c>
      <c r="BU110" s="3">
        <v>29.986760278236787</v>
      </c>
      <c r="BV110" s="3">
        <v>27.30342694490345</v>
      </c>
      <c r="BW110" s="3">
        <v>26.336760278236781</v>
      </c>
      <c r="BX110" s="3">
        <v>23.256760278236797</v>
      </c>
      <c r="BY110" s="3">
        <v>29.976760278236782</v>
      </c>
      <c r="BZ110" s="3">
        <v>32.406760278236789</v>
      </c>
      <c r="CA110" s="3">
        <v>17.606760278236777</v>
      </c>
      <c r="CB110" s="3">
        <v>15.643426944903453</v>
      </c>
      <c r="CC110" s="3">
        <v>14.356760278236784</v>
      </c>
      <c r="CD110" s="3">
        <v>11.063426944903455</v>
      </c>
      <c r="CE110" s="3">
        <v>10.356760278236784</v>
      </c>
      <c r="CF110" s="3">
        <v>-0.9299063884298846</v>
      </c>
      <c r="CG110" s="3">
        <v>-1.463239721763216</v>
      </c>
      <c r="CH110" s="3">
        <v>-2.539906388429884</v>
      </c>
      <c r="CI110" s="13">
        <f>[1]!dbasum(RecData[[#This Row],[20]:[2000]],RecData[[#Headers],[20]:[2000]])</f>
        <v>40.305082123982999</v>
      </c>
      <c r="CJ110" s="14">
        <v>840</v>
      </c>
      <c r="CK110" s="15" t="s">
        <v>249</v>
      </c>
      <c r="CL110" s="15">
        <f>RecData[[#This Row],[Start Time]]</f>
        <v>43252.204861111117</v>
      </c>
      <c r="CM110" s="16">
        <f>RecData[[#This Row],[Wind Speed avg]]</f>
        <v>1.85</v>
      </c>
      <c r="CN110" s="16">
        <f>RecData[[#This Row],[Wind Dir. avg]]</f>
        <v>145.5</v>
      </c>
      <c r="CO110" s="16">
        <f>RecData[[#This Row],[Amb. Humidity]]</f>
        <v>87.9</v>
      </c>
      <c r="CP110" s="16">
        <f>RecData[[#This Row],[Amb. Temperature]]</f>
        <v>6.5</v>
      </c>
      <c r="CQ110" s="17">
        <f>RecData[[#This Row],[Amb. Rain Gauge]]</f>
        <v>0</v>
      </c>
      <c r="CR110" s="4" t="s">
        <v>1</v>
      </c>
      <c r="CS110" s="4" t="s">
        <v>49</v>
      </c>
      <c r="CT110" s="70">
        <v>1616.4487300000001</v>
      </c>
      <c r="CU110" s="70">
        <v>24.1275310516357</v>
      </c>
      <c r="CV110" s="70">
        <v>12.4158725738525</v>
      </c>
      <c r="CW110" s="70">
        <v>15.2957210540771</v>
      </c>
      <c r="CX110" s="97"/>
      <c r="CY110" s="99"/>
      <c r="CZ110" s="2" t="b">
        <f>IF($DP$1="YES",IF(RecData[[#This Row],[Power (kW)]]&gt;=$CR$3, TRUE,FALSE),TRUE)</f>
        <v>1</v>
      </c>
      <c r="DA110" s="16">
        <f>MIN(MOD(180-ABS(ABS($DA$1-RecData[Yaw Angle (°)])-180),360),MOD(180-ABS(ABS($DB$1-RecData[Yaw Angle (°)])-180),360))</f>
        <v>16.59760427394815</v>
      </c>
      <c r="DB110" s="2" t="str">
        <f>IF($DP$2="None","None",IF(RecData[[#This Row],[Relative Wind Direction]]&lt;=45,"DW",IF(RecData[[#This Row],[Relative Wind Direction]]&lt;=135,"CW","UW")))</f>
        <v>DW</v>
      </c>
      <c r="DC110" s="61" t="e">
        <f>IF($CL110-$CL109&gt;1/24,#REF!,IF(SUM($CQ109:$CQ110)&gt;$DS$1,$DS$5,#REF!-1))</f>
        <v>#REF!</v>
      </c>
      <c r="DD110" s="61" t="e">
        <f>IF(#REF!-$CL110&gt;1/24,#REF!,IF(SUM($CQ109:$CQ110)&gt;$DS$1,$DS$6,#REF!-1))</f>
        <v>#REF!</v>
      </c>
      <c r="DE110" s="18" t="b">
        <v>0</v>
      </c>
      <c r="DF110" s="2" t="b">
        <f>IF(OR(RecData[[#This Row],[WSpd_Avg '[m/s']]]-RecData[[#This Row],[Wind Speed min]]&gt;=$DF$3,RecData[[#This Row],[Wind Speed max]]-RecData[[#This Row],[WSpd_Avg '[m/s']]]&gt;=$DF$2),TRUE,FALSE)</f>
        <v>0</v>
      </c>
      <c r="DG110" s="2" t="b">
        <f>RecData[[#This Row],[Temperature '[°C']]]&lt;=-20</f>
        <v>0</v>
      </c>
      <c r="DH110" s="18" t="b">
        <f>NOT(OR(MOD(RecData[[#This Row],[TIMESTAMP]],1)&gt;0.91632,MOD(RecData[[#This Row],[TIMESTAMP]],1)&lt;0.208681))</f>
        <v>0</v>
      </c>
      <c r="DI110" s="18" t="b">
        <f>RecData[[#This Row],[Overall (dBA)]]-RecData[[#This Row],[L90]]&gt;=$DS$4</f>
        <v>0</v>
      </c>
      <c r="DJ110" s="18" t="b">
        <f>RecData[[#This Row],[Overall (dBA)]]&gt;$DS$2</f>
        <v>0</v>
      </c>
      <c r="DK110" s="18" t="b">
        <f>RecData[[#This Row],[Overall (dBA)]]&lt;$DS$3</f>
        <v>0</v>
      </c>
      <c r="DL1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" s="2">
        <f>IF(AND(RecData[[#This Row],[Turbines ON/OFF]] = "OFF", NOT(OR(RecData[[#This Row],[Junk?]]="YES",RecData[[#This Row],[Gust?]],RecData[[#This Row],[Rain?]:[Min SPL Threshold?]]))),1,0)</f>
        <v>0</v>
      </c>
      <c r="DN110" s="16">
        <f>RecData[[#This Row],[dBA Sum]]</f>
        <v>40.305082123982999</v>
      </c>
      <c r="DO110" s="16">
        <f>RecData[[#This Row],[LAF90.0]]</f>
        <v>40.200000000000003</v>
      </c>
      <c r="DP110" s="55">
        <f>IF(AND(RecData[[#This Row],[Useable TON Data?]],RecData[[#This Row],[Turbines ON/OFF]]="ON"),RecData[[#This Row],[dBA Sum]],"")</f>
        <v>40.305082123982999</v>
      </c>
      <c r="DQ110" s="55" t="str">
        <f>IF(AND(RecData[[#This Row],[Useable Background Data?]],RecData[[#This Row],[Turbines ON/OFF]]="OFF"),RecData[[#This Row],[dBA Sum]],"")</f>
        <v/>
      </c>
      <c r="DR110" s="3">
        <f>IF(OR(RecData[[#This Row],[Useable TON Data?]],RecData[[#This Row],[Useable Background Data?]]),ROUND(RecData[[#This Row],[WSpd_Avg '[m/s']]],0),"")</f>
        <v>2</v>
      </c>
      <c r="DS110" s="85">
        <f>(0.00002)^2*(10^(RecData[[#This Row],[Overall (dBA)]]/10))</f>
        <v>4.2910957341049019E-6</v>
      </c>
    </row>
    <row r="111" spans="1:123" ht="15" x14ac:dyDescent="0.25">
      <c r="A111" s="3" t="s">
        <v>249</v>
      </c>
      <c r="B111" s="12">
        <v>43252.916666666672</v>
      </c>
      <c r="C111" s="3"/>
      <c r="D111" s="3">
        <v>42.3</v>
      </c>
      <c r="E111" s="3"/>
      <c r="F111" s="3"/>
      <c r="G111" s="3"/>
      <c r="H111" s="3"/>
      <c r="I111" s="3"/>
      <c r="J111" s="3"/>
      <c r="K111" s="3">
        <v>40.299999999999997</v>
      </c>
      <c r="L111" s="3"/>
      <c r="M111" s="3"/>
      <c r="N111" s="3">
        <v>120.7</v>
      </c>
      <c r="O111" s="3"/>
      <c r="P111" s="3"/>
      <c r="Q111" s="3">
        <v>0.69</v>
      </c>
      <c r="R111" s="3">
        <v>0.2</v>
      </c>
      <c r="S111" s="3">
        <v>2</v>
      </c>
      <c r="T111" s="3">
        <v>10</v>
      </c>
      <c r="U111" s="3">
        <v>60.1</v>
      </c>
      <c r="V111" s="3">
        <v>975</v>
      </c>
      <c r="W111" s="3">
        <v>0</v>
      </c>
      <c r="X111" s="3">
        <v>46.5</v>
      </c>
      <c r="Y111" s="3">
        <v>46.3</v>
      </c>
      <c r="Z111" s="3">
        <v>45.8</v>
      </c>
      <c r="AA111" s="3">
        <v>42</v>
      </c>
      <c r="AB111" s="3">
        <v>37.1</v>
      </c>
      <c r="AC111" s="3">
        <v>35.700000000000003</v>
      </c>
      <c r="AD111" s="3">
        <v>38.200000000000003</v>
      </c>
      <c r="AE111" s="3">
        <v>40.200000000000003</v>
      </c>
      <c r="AF111" s="3">
        <v>42.7</v>
      </c>
      <c r="AG111" s="3">
        <v>37.9</v>
      </c>
      <c r="AH111" s="3">
        <v>36.5</v>
      </c>
      <c r="AI111" s="3">
        <v>36.5</v>
      </c>
      <c r="AJ111" s="3">
        <v>35.6</v>
      </c>
      <c r="AK111" s="3">
        <v>33.6</v>
      </c>
      <c r="AL111" s="3">
        <v>31.8</v>
      </c>
      <c r="AM111" s="3">
        <v>31.5</v>
      </c>
      <c r="AN111" s="3">
        <v>30</v>
      </c>
      <c r="AO111" s="3">
        <v>26.5</v>
      </c>
      <c r="AP111" s="3">
        <v>24.2</v>
      </c>
      <c r="AQ111" s="3">
        <v>21.9</v>
      </c>
      <c r="AR111" s="3">
        <v>18.399999999999999</v>
      </c>
      <c r="AS111" s="3">
        <v>32.700000000000003</v>
      </c>
      <c r="AT111" s="3">
        <v>37.299999999999997</v>
      </c>
      <c r="AU111" s="3">
        <v>22.1</v>
      </c>
      <c r="AV111" s="3">
        <v>15.5</v>
      </c>
      <c r="AW111" s="3">
        <v>10.6</v>
      </c>
      <c r="AX111" s="3">
        <v>9.8000000000000007</v>
      </c>
      <c r="AY111" s="3">
        <v>9.6999999999999993</v>
      </c>
      <c r="AZ111" s="3">
        <v>0</v>
      </c>
      <c r="BA111" s="3">
        <v>0</v>
      </c>
      <c r="BB111" s="3">
        <v>0</v>
      </c>
      <c r="BC111" s="3">
        <v>42.246375524068839</v>
      </c>
      <c r="BD111" s="3">
        <v>46.553624475931159</v>
      </c>
      <c r="BE111" s="3">
        <v>46.353624475931156</v>
      </c>
      <c r="BF111" s="3">
        <v>44.613624475931147</v>
      </c>
      <c r="BG111" s="3">
        <v>41.140291142597817</v>
      </c>
      <c r="BH111" s="3">
        <v>36.380291142597827</v>
      </c>
      <c r="BI111" s="3">
        <v>35.393624475931162</v>
      </c>
      <c r="BJ111" s="3">
        <v>38.686957809264499</v>
      </c>
      <c r="BK111" s="3">
        <v>40.560291142597833</v>
      </c>
      <c r="BL111" s="3">
        <v>42.633624475931157</v>
      </c>
      <c r="BM111" s="3">
        <v>37.9669578092645</v>
      </c>
      <c r="BN111" s="3">
        <v>36.850291142597825</v>
      </c>
      <c r="BO111" s="3">
        <v>36.2169578092645</v>
      </c>
      <c r="BP111" s="3">
        <v>35.033624475931163</v>
      </c>
      <c r="BQ111" s="3">
        <v>33.45029114259782</v>
      </c>
      <c r="BR111" s="3">
        <v>31.976957809264491</v>
      </c>
      <c r="BS111" s="3">
        <v>31.480291142597821</v>
      </c>
      <c r="BT111" s="3">
        <v>30.176957809264493</v>
      </c>
      <c r="BU111" s="3">
        <v>26.643624475931162</v>
      </c>
      <c r="BV111" s="3">
        <v>24.060291142597833</v>
      </c>
      <c r="BW111" s="3">
        <v>22.293624475931153</v>
      </c>
      <c r="BX111" s="3">
        <v>18.713624475931162</v>
      </c>
      <c r="BY111" s="3">
        <v>32.83362447593116</v>
      </c>
      <c r="BZ111" s="3">
        <v>37.563624475931164</v>
      </c>
      <c r="CA111" s="3">
        <v>22.463624475931155</v>
      </c>
      <c r="CB111" s="3">
        <v>15.300291142597821</v>
      </c>
      <c r="CC111" s="3">
        <v>10.613624475931161</v>
      </c>
      <c r="CD111" s="3">
        <v>9.1202911425978286</v>
      </c>
      <c r="CE111" s="3">
        <v>9.2136244759311552</v>
      </c>
      <c r="CF111" s="3">
        <v>-0.87304219073551081</v>
      </c>
      <c r="CG111" s="3">
        <v>-1.4063755240688423</v>
      </c>
      <c r="CH111" s="3">
        <v>-2.4830421907355102</v>
      </c>
      <c r="CI111" s="13">
        <f>[1]!dbasum(RecData[[#This Row],[20]:[2000]],RecData[[#Headers],[20]:[2000]])</f>
        <v>38.395460998768989</v>
      </c>
      <c r="CJ111" s="14">
        <v>849</v>
      </c>
      <c r="CK111" s="15" t="s">
        <v>249</v>
      </c>
      <c r="CL111" s="15">
        <f>RecData[[#This Row],[Start Time]]</f>
        <v>43252.916666666672</v>
      </c>
      <c r="CM111" s="16">
        <f>RecData[[#This Row],[Wind Speed avg]]</f>
        <v>0.69</v>
      </c>
      <c r="CN111" s="16">
        <f>RecData[[#This Row],[Wind Dir. avg]]</f>
        <v>120.7</v>
      </c>
      <c r="CO111" s="16">
        <f>RecData[[#This Row],[Amb. Humidity]]</f>
        <v>60.1</v>
      </c>
      <c r="CP111" s="16">
        <f>RecData[[#This Row],[Amb. Temperature]]</f>
        <v>10</v>
      </c>
      <c r="CQ111" s="17">
        <f>RecData[[#This Row],[Amb. Rain Gauge]]</f>
        <v>0</v>
      </c>
      <c r="CR111" s="4" t="s">
        <v>1</v>
      </c>
      <c r="CS111" s="4" t="s">
        <v>49</v>
      </c>
      <c r="CT111" s="70">
        <v>1501.5463870000001</v>
      </c>
      <c r="CU111" s="70">
        <v>30.000257492065401</v>
      </c>
      <c r="CV111" s="70">
        <v>10.2892293930053</v>
      </c>
      <c r="CW111" s="70">
        <v>15.040127754211399</v>
      </c>
      <c r="CX111" s="97"/>
      <c r="CY111" s="99"/>
      <c r="CZ111" s="2" t="b">
        <f>IF($DP$1="YES",IF(RecData[[#This Row],[Power (kW)]]&gt;=$CR$3, TRUE,FALSE),TRUE)</f>
        <v>1</v>
      </c>
      <c r="DA111" s="16">
        <f>MIN(MOD(180-ABS(ABS($DA$1-RecData[Yaw Angle (°)])-180),360),MOD(180-ABS(ABS($DB$1-RecData[Yaw Angle (°)])-180),360))</f>
        <v>22.470330714377837</v>
      </c>
      <c r="DB111" s="2" t="str">
        <f>IF($DP$2="None","None",IF(RecData[[#This Row],[Relative Wind Direction]]&lt;=45,"DW",IF(RecData[[#This Row],[Relative Wind Direction]]&lt;=135,"CW","UW")))</f>
        <v>DW</v>
      </c>
      <c r="DC111" s="61" t="e">
        <f>IF($CL111-#REF!&gt;1/24,#REF!,IF(SUM($CQ111:$CQ111)&gt;$DS$1,$DS$5,DC112-1))</f>
        <v>#REF!</v>
      </c>
      <c r="DD111" s="61" t="e">
        <f>IF($CL112-$CL111&gt;1/24,#REF!,IF(SUM($CQ111:$CQ111)&gt;$DS$1,$DS$6,#REF!-1))</f>
        <v>#REF!</v>
      </c>
      <c r="DE111" s="18" t="b">
        <v>0</v>
      </c>
      <c r="DF111" s="2" t="b">
        <f>IF(OR(RecData[[#This Row],[WSpd_Avg '[m/s']]]-RecData[[#This Row],[Wind Speed min]]&gt;=$DF$3,RecData[[#This Row],[Wind Speed max]]-RecData[[#This Row],[WSpd_Avg '[m/s']]]&gt;=$DF$2),TRUE,FALSE)</f>
        <v>0</v>
      </c>
      <c r="DG111" s="2" t="b">
        <f>RecData[[#This Row],[Temperature '[°C']]]&lt;=-20</f>
        <v>0</v>
      </c>
      <c r="DH111" s="18" t="b">
        <f>NOT(OR(MOD(RecData[[#This Row],[TIMESTAMP]],1)&gt;0.91632,MOD(RecData[[#This Row],[TIMESTAMP]],1)&lt;0.208681))</f>
        <v>0</v>
      </c>
      <c r="DI111" s="18" t="b">
        <f>RecData[[#This Row],[Overall (dBA)]]-RecData[[#This Row],[L90]]&gt;=$DS$4</f>
        <v>0</v>
      </c>
      <c r="DJ111" s="18" t="b">
        <f>RecData[[#This Row],[Overall (dBA)]]&gt;$DS$2</f>
        <v>0</v>
      </c>
      <c r="DK111" s="18" t="b">
        <f>RecData[[#This Row],[Overall (dBA)]]&lt;$DS$3</f>
        <v>0</v>
      </c>
      <c r="DL1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" s="2">
        <f>IF(AND(RecData[[#This Row],[Turbines ON/OFF]] = "OFF", NOT(OR(RecData[[#This Row],[Junk?]]="YES",RecData[[#This Row],[Gust?]],RecData[[#This Row],[Rain?]:[Min SPL Threshold?]]))),1,0)</f>
        <v>0</v>
      </c>
      <c r="DN111" s="16">
        <f>RecData[[#This Row],[dBA Sum]]</f>
        <v>38.395460998768989</v>
      </c>
      <c r="DO111" s="16">
        <f>RecData[[#This Row],[LAF90.0]]</f>
        <v>40.299999999999997</v>
      </c>
      <c r="DP111" s="55">
        <f>IF(AND(RecData[[#This Row],[Useable TON Data?]],RecData[[#This Row],[Turbines ON/OFF]]="ON"),RecData[[#This Row],[dBA Sum]],"")</f>
        <v>38.395460998768989</v>
      </c>
      <c r="DQ111" s="55" t="str">
        <f>IF(AND(RecData[[#This Row],[Useable Background Data?]],RecData[[#This Row],[Turbines ON/OFF]]="OFF"),RecData[[#This Row],[dBA Sum]],"")</f>
        <v/>
      </c>
      <c r="DR111" s="3">
        <f>IF(OR(RecData[[#This Row],[Useable TON Data?]],RecData[[#This Row],[Useable Background Data?]]),ROUND(RecData[[#This Row],[WSpd_Avg '[m/s']]],0),"")</f>
        <v>1</v>
      </c>
      <c r="DS111" s="85">
        <f>(0.00002)^2*(10^(RecData[[#This Row],[Overall (dBA)]]/10))</f>
        <v>2.7644331435539034E-6</v>
      </c>
    </row>
    <row r="112" spans="1:123" ht="15" x14ac:dyDescent="0.25">
      <c r="A112" s="3" t="s">
        <v>249</v>
      </c>
      <c r="B112" s="12">
        <v>43252.917361111118</v>
      </c>
      <c r="C112" s="3"/>
      <c r="D112" s="3">
        <v>42.7</v>
      </c>
      <c r="E112" s="3"/>
      <c r="F112" s="3"/>
      <c r="G112" s="3"/>
      <c r="H112" s="3"/>
      <c r="I112" s="3"/>
      <c r="J112" s="3"/>
      <c r="K112" s="3">
        <v>41.3</v>
      </c>
      <c r="L112" s="3"/>
      <c r="M112" s="3"/>
      <c r="N112" s="3">
        <v>178.7</v>
      </c>
      <c r="O112" s="3"/>
      <c r="P112" s="3"/>
      <c r="Q112" s="3">
        <v>0.74</v>
      </c>
      <c r="R112" s="3">
        <v>0.1</v>
      </c>
      <c r="S112" s="3">
        <v>1.3</v>
      </c>
      <c r="T112" s="3">
        <v>10</v>
      </c>
      <c r="U112" s="3">
        <v>60</v>
      </c>
      <c r="V112" s="3">
        <v>975</v>
      </c>
      <c r="W112" s="3">
        <v>0</v>
      </c>
      <c r="X112" s="3">
        <v>48.6</v>
      </c>
      <c r="Y112" s="3">
        <v>46.8</v>
      </c>
      <c r="Z112" s="3">
        <v>46.1</v>
      </c>
      <c r="AA112" s="3">
        <v>42.8</v>
      </c>
      <c r="AB112" s="3">
        <v>38.5</v>
      </c>
      <c r="AC112" s="3">
        <v>37.799999999999997</v>
      </c>
      <c r="AD112" s="3">
        <v>40.6</v>
      </c>
      <c r="AE112" s="3">
        <v>41.7</v>
      </c>
      <c r="AF112" s="3">
        <v>46.3</v>
      </c>
      <c r="AG112" s="3">
        <v>38.9</v>
      </c>
      <c r="AH112" s="3">
        <v>37.6</v>
      </c>
      <c r="AI112" s="3">
        <v>38.299999999999997</v>
      </c>
      <c r="AJ112" s="3">
        <v>36.4</v>
      </c>
      <c r="AK112" s="3">
        <v>34.9</v>
      </c>
      <c r="AL112" s="3">
        <v>32</v>
      </c>
      <c r="AM112" s="3">
        <v>31</v>
      </c>
      <c r="AN112" s="3">
        <v>29</v>
      </c>
      <c r="AO112" s="3">
        <v>25.9</v>
      </c>
      <c r="AP112" s="3">
        <v>24.1</v>
      </c>
      <c r="AQ112" s="3">
        <v>21.6</v>
      </c>
      <c r="AR112" s="3">
        <v>18.899999999999999</v>
      </c>
      <c r="AS112" s="3">
        <v>33.700000000000003</v>
      </c>
      <c r="AT112" s="3">
        <v>37.4</v>
      </c>
      <c r="AU112" s="3">
        <v>12.9</v>
      </c>
      <c r="AV112" s="3">
        <v>10.199999999999999</v>
      </c>
      <c r="AW112" s="3">
        <v>9.8000000000000007</v>
      </c>
      <c r="AX112" s="3">
        <v>9.1999999999999993</v>
      </c>
      <c r="AY112" s="3">
        <v>9.4</v>
      </c>
      <c r="AZ112" s="3">
        <v>0</v>
      </c>
      <c r="BA112" s="3">
        <v>0</v>
      </c>
      <c r="BB112" s="3">
        <v>0</v>
      </c>
      <c r="BC112" s="3">
        <v>42.708336373541904</v>
      </c>
      <c r="BD112" s="3">
        <v>48.591663626458107</v>
      </c>
      <c r="BE112" s="3">
        <v>46.791663626458096</v>
      </c>
      <c r="BF112" s="3">
        <v>44.851663626458098</v>
      </c>
      <c r="BG112" s="3">
        <v>41.878330293124769</v>
      </c>
      <c r="BH112" s="3">
        <v>37.718330293124772</v>
      </c>
      <c r="BI112" s="3">
        <v>37.431663626458096</v>
      </c>
      <c r="BJ112" s="3">
        <v>41.02499695979143</v>
      </c>
      <c r="BK112" s="3">
        <v>41.998330293124774</v>
      </c>
      <c r="BL112" s="3">
        <v>46.171663626458091</v>
      </c>
      <c r="BM112" s="3">
        <v>38.90499695979144</v>
      </c>
      <c r="BN112" s="3">
        <v>37.88833029312476</v>
      </c>
      <c r="BO112" s="3">
        <v>37.954996959791423</v>
      </c>
      <c r="BP112" s="3">
        <v>35.7716636264581</v>
      </c>
      <c r="BQ112" s="3">
        <v>34.688330293124757</v>
      </c>
      <c r="BR112" s="3">
        <v>32.114996959791434</v>
      </c>
      <c r="BS112" s="3">
        <v>30.918330293124761</v>
      </c>
      <c r="BT112" s="3">
        <v>29.114996959791434</v>
      </c>
      <c r="BU112" s="3">
        <v>25.981663626458094</v>
      </c>
      <c r="BV112" s="3">
        <v>23.898330293124765</v>
      </c>
      <c r="BW112" s="3">
        <v>21.931663626458111</v>
      </c>
      <c r="BX112" s="3">
        <v>19.151663626458102</v>
      </c>
      <c r="BY112" s="3">
        <v>33.7716636264581</v>
      </c>
      <c r="BZ112" s="3">
        <v>37.601663626458098</v>
      </c>
      <c r="CA112" s="3">
        <v>13.201663626458092</v>
      </c>
      <c r="CB112" s="3">
        <v>9.9383302931247641</v>
      </c>
      <c r="CC112" s="3">
        <v>9.7516636264580967</v>
      </c>
      <c r="CD112" s="3">
        <v>8.4583302931247673</v>
      </c>
      <c r="CE112" s="3">
        <v>8.8516636264580981</v>
      </c>
      <c r="CF112" s="3">
        <v>-0.93500304020857072</v>
      </c>
      <c r="CG112" s="3">
        <v>-1.4683363735419022</v>
      </c>
      <c r="CH112" s="3">
        <v>-2.5450030402085702</v>
      </c>
      <c r="CI112" s="13">
        <f>[1]!dbasum(RecData[[#This Row],[20]:[2000]],RecData[[#Headers],[20]:[2000]])</f>
        <v>39.047373701887935</v>
      </c>
      <c r="CJ112" s="14">
        <v>850</v>
      </c>
      <c r="CK112" s="15" t="s">
        <v>249</v>
      </c>
      <c r="CL112" s="15">
        <f>RecData[[#This Row],[Start Time]]</f>
        <v>43252.917361111118</v>
      </c>
      <c r="CM112" s="16">
        <f>RecData[[#This Row],[Wind Speed avg]]</f>
        <v>0.74</v>
      </c>
      <c r="CN112" s="16">
        <f>RecData[[#This Row],[Wind Dir. avg]]</f>
        <v>178.7</v>
      </c>
      <c r="CO112" s="16">
        <f>RecData[[#This Row],[Amb. Humidity]]</f>
        <v>60</v>
      </c>
      <c r="CP112" s="16">
        <f>RecData[[#This Row],[Amb. Temperature]]</f>
        <v>10</v>
      </c>
      <c r="CQ112" s="17">
        <f>RecData[[#This Row],[Amb. Rain Gauge]]</f>
        <v>0</v>
      </c>
      <c r="CR112" s="4" t="s">
        <v>1</v>
      </c>
      <c r="CS112" s="4" t="s">
        <v>49</v>
      </c>
      <c r="CT112" s="70">
        <v>1475.7539059999999</v>
      </c>
      <c r="CU112" s="70">
        <v>30.000255584716701</v>
      </c>
      <c r="CV112" s="70">
        <v>9.79431056976318</v>
      </c>
      <c r="CW112" s="70">
        <v>15.0198707580566</v>
      </c>
      <c r="CX112" s="97"/>
      <c r="CY112" s="99"/>
      <c r="CZ112" s="2" t="b">
        <f>IF($DP$1="YES",IF(RecData[[#This Row],[Power (kW)]]&gt;=$CR$3, TRUE,FALSE),TRUE)</f>
        <v>1</v>
      </c>
      <c r="DA112" s="16">
        <f>MIN(MOD(180-ABS(ABS($DA$1-RecData[Yaw Angle (°)])-180),360),MOD(180-ABS(ABS($DB$1-RecData[Yaw Angle (°)])-180),360))</f>
        <v>22.470328807029148</v>
      </c>
      <c r="DB112" s="2" t="str">
        <f>IF($DP$2="None","None",IF(RecData[[#This Row],[Relative Wind Direction]]&lt;=45,"DW",IF(RecData[[#This Row],[Relative Wind Direction]]&lt;=135,"CW","UW")))</f>
        <v>DW</v>
      </c>
      <c r="DC112" s="61" t="e">
        <f>IF($CL112-#REF!&gt;1/24,#REF!,IF(SUM($CQ111:$CQ112)&gt;$DS$1,$DS$5,DC113-1))</f>
        <v>#REF!</v>
      </c>
      <c r="DD112" s="61" t="e">
        <f>IF($CL113-$CL112&gt;1/24,#REF!,IF(SUM($CQ111:$CQ112)&gt;$DS$1,$DS$6,DD111-1))</f>
        <v>#REF!</v>
      </c>
      <c r="DE112" s="18" t="b">
        <v>0</v>
      </c>
      <c r="DF112" s="2" t="b">
        <f>IF(OR(RecData[[#This Row],[WSpd_Avg '[m/s']]]-RecData[[#This Row],[Wind Speed min]]&gt;=$DF$3,RecData[[#This Row],[Wind Speed max]]-RecData[[#This Row],[WSpd_Avg '[m/s']]]&gt;=$DF$2),TRUE,FALSE)</f>
        <v>0</v>
      </c>
      <c r="DG112" s="2" t="b">
        <f>RecData[[#This Row],[Temperature '[°C']]]&lt;=-20</f>
        <v>0</v>
      </c>
      <c r="DH112" s="18" t="b">
        <f>NOT(OR(MOD(RecData[[#This Row],[TIMESTAMP]],1)&gt;0.91632,MOD(RecData[[#This Row],[TIMESTAMP]],1)&lt;0.208681))</f>
        <v>0</v>
      </c>
      <c r="DI112" s="18" t="b">
        <f>RecData[[#This Row],[Overall (dBA)]]-RecData[[#This Row],[L90]]&gt;=$DS$4</f>
        <v>0</v>
      </c>
      <c r="DJ112" s="18" t="b">
        <f>RecData[[#This Row],[Overall (dBA)]]&gt;$DS$2</f>
        <v>0</v>
      </c>
      <c r="DK112" s="18" t="b">
        <f>RecData[[#This Row],[Overall (dBA)]]&lt;$DS$3</f>
        <v>0</v>
      </c>
      <c r="DL1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" s="2">
        <f>IF(AND(RecData[[#This Row],[Turbines ON/OFF]] = "OFF", NOT(OR(RecData[[#This Row],[Junk?]]="YES",RecData[[#This Row],[Gust?]],RecData[[#This Row],[Rain?]:[Min SPL Threshold?]]))),1,0)</f>
        <v>0</v>
      </c>
      <c r="DN112" s="16">
        <f>RecData[[#This Row],[dBA Sum]]</f>
        <v>39.047373701887935</v>
      </c>
      <c r="DO112" s="16">
        <f>RecData[[#This Row],[LAF90.0]]</f>
        <v>41.3</v>
      </c>
      <c r="DP112" s="55">
        <f>IF(AND(RecData[[#This Row],[Useable TON Data?]],RecData[[#This Row],[Turbines ON/OFF]]="ON"),RecData[[#This Row],[dBA Sum]],"")</f>
        <v>39.047373701887935</v>
      </c>
      <c r="DQ112" s="55" t="str">
        <f>IF(AND(RecData[[#This Row],[Useable Background Data?]],RecData[[#This Row],[Turbines ON/OFF]]="OFF"),RecData[[#This Row],[dBA Sum]],"")</f>
        <v/>
      </c>
      <c r="DR112" s="3">
        <f>IF(OR(RecData[[#This Row],[Useable TON Data?]],RecData[[#This Row],[Useable Background Data?]]),ROUND(RecData[[#This Row],[WSpd_Avg '[m/s']]],0),"")</f>
        <v>1</v>
      </c>
      <c r="DS112" s="85">
        <f>(0.00002)^2*(10^(RecData[[#This Row],[Overall (dBA)]]/10))</f>
        <v>3.212161418981053E-6</v>
      </c>
    </row>
    <row r="113" spans="1:123" ht="15" x14ac:dyDescent="0.25">
      <c r="A113" s="3" t="s">
        <v>249</v>
      </c>
      <c r="B113" s="12">
        <v>43252.918055555558</v>
      </c>
      <c r="C113" s="3"/>
      <c r="D113" s="3">
        <v>42.3</v>
      </c>
      <c r="E113" s="3"/>
      <c r="F113" s="3"/>
      <c r="G113" s="3"/>
      <c r="H113" s="3"/>
      <c r="I113" s="3"/>
      <c r="J113" s="3"/>
      <c r="K113" s="3">
        <v>40.5</v>
      </c>
      <c r="L113" s="3"/>
      <c r="M113" s="3"/>
      <c r="N113" s="3">
        <v>202.4</v>
      </c>
      <c r="O113" s="3"/>
      <c r="P113" s="3"/>
      <c r="Q113" s="3">
        <v>0.77</v>
      </c>
      <c r="R113" s="3">
        <v>0.1</v>
      </c>
      <c r="S113" s="3">
        <v>1.6</v>
      </c>
      <c r="T113" s="3">
        <v>9.9</v>
      </c>
      <c r="U113" s="3">
        <v>60.4</v>
      </c>
      <c r="V113" s="3">
        <v>975</v>
      </c>
      <c r="W113" s="3">
        <v>0</v>
      </c>
      <c r="X113" s="3">
        <v>47.2</v>
      </c>
      <c r="Y113" s="3">
        <v>45.4</v>
      </c>
      <c r="Z113" s="3">
        <v>44.8</v>
      </c>
      <c r="AA113" s="3">
        <v>41.2</v>
      </c>
      <c r="AB113" s="3">
        <v>36.4</v>
      </c>
      <c r="AC113" s="3">
        <v>34.700000000000003</v>
      </c>
      <c r="AD113" s="3">
        <v>37.9</v>
      </c>
      <c r="AE113" s="3">
        <v>39.799999999999997</v>
      </c>
      <c r="AF113" s="3">
        <v>43</v>
      </c>
      <c r="AG113" s="3">
        <v>39</v>
      </c>
      <c r="AH113" s="3">
        <v>35.6</v>
      </c>
      <c r="AI113" s="3">
        <v>36.4</v>
      </c>
      <c r="AJ113" s="3">
        <v>34.6</v>
      </c>
      <c r="AK113" s="3">
        <v>33.4</v>
      </c>
      <c r="AL113" s="3">
        <v>31.3</v>
      </c>
      <c r="AM113" s="3">
        <v>31</v>
      </c>
      <c r="AN113" s="3">
        <v>29.6</v>
      </c>
      <c r="AO113" s="3">
        <v>26.4</v>
      </c>
      <c r="AP113" s="3">
        <v>24.4</v>
      </c>
      <c r="AQ113" s="3">
        <v>22.1</v>
      </c>
      <c r="AR113" s="3">
        <v>18.8</v>
      </c>
      <c r="AS113" s="3">
        <v>33.6</v>
      </c>
      <c r="AT113" s="3">
        <v>37.299999999999997</v>
      </c>
      <c r="AU113" s="3">
        <v>12.4</v>
      </c>
      <c r="AV113" s="3">
        <v>9.9</v>
      </c>
      <c r="AW113" s="3">
        <v>9.6</v>
      </c>
      <c r="AX113" s="3">
        <v>9.1999999999999993</v>
      </c>
      <c r="AY113" s="3">
        <v>9.4</v>
      </c>
      <c r="AZ113" s="3">
        <v>0</v>
      </c>
      <c r="BA113" s="3">
        <v>0</v>
      </c>
      <c r="BB113" s="3">
        <v>0</v>
      </c>
      <c r="BC113" s="3">
        <v>42.233946807602869</v>
      </c>
      <c r="BD113" s="3">
        <v>47.266053192397131</v>
      </c>
      <c r="BE113" s="3">
        <v>45.466053192397119</v>
      </c>
      <c r="BF113" s="3">
        <v>43.626053192397116</v>
      </c>
      <c r="BG113" s="3">
        <v>40.352719859063804</v>
      </c>
      <c r="BH113" s="3">
        <v>35.692719859063793</v>
      </c>
      <c r="BI113" s="3">
        <v>34.406053192397131</v>
      </c>
      <c r="BJ113" s="3">
        <v>38.399386525730456</v>
      </c>
      <c r="BK113" s="3">
        <v>40.172719859063797</v>
      </c>
      <c r="BL113" s="3">
        <v>42.946053192397137</v>
      </c>
      <c r="BM113" s="3">
        <v>39.079386525730463</v>
      </c>
      <c r="BN113" s="3">
        <v>35.962719859063789</v>
      </c>
      <c r="BO113" s="3">
        <v>36.12938652573046</v>
      </c>
      <c r="BP113" s="3">
        <v>34.046053192397132</v>
      </c>
      <c r="BQ113" s="3">
        <v>33.262719859063786</v>
      </c>
      <c r="BR113" s="3">
        <v>31.48938652573046</v>
      </c>
      <c r="BS113" s="3">
        <v>30.99271985906379</v>
      </c>
      <c r="BT113" s="3">
        <v>29.789386525730471</v>
      </c>
      <c r="BU113" s="3">
        <v>26.556053192397123</v>
      </c>
      <c r="BV113" s="3">
        <v>24.272719859063791</v>
      </c>
      <c r="BW113" s="3">
        <v>22.50605319239714</v>
      </c>
      <c r="BX113" s="3">
        <v>19.12605319239713</v>
      </c>
      <c r="BY113" s="3">
        <v>33.74605319239712</v>
      </c>
      <c r="BZ113" s="3">
        <v>37.576053192397133</v>
      </c>
      <c r="CA113" s="3">
        <v>12.776053192397121</v>
      </c>
      <c r="CB113" s="3">
        <v>9.7127198590637889</v>
      </c>
      <c r="CC113" s="3">
        <v>9.62605319239713</v>
      </c>
      <c r="CD113" s="3">
        <v>8.5327198590637963</v>
      </c>
      <c r="CE113" s="3">
        <v>8.9260531923971271</v>
      </c>
      <c r="CF113" s="3">
        <v>-0.86061347426954171</v>
      </c>
      <c r="CG113" s="3">
        <v>-1.3939468076028732</v>
      </c>
      <c r="CH113" s="3">
        <v>-2.4706134742695411</v>
      </c>
      <c r="CI113" s="13">
        <f>[1]!dbasum(RecData[[#This Row],[20]:[2000]],RecData[[#Headers],[20]:[2000]])</f>
        <v>38.150650494054396</v>
      </c>
      <c r="CJ113" s="14">
        <v>851</v>
      </c>
      <c r="CK113" s="15" t="s">
        <v>249</v>
      </c>
      <c r="CL113" s="15">
        <f>RecData[[#This Row],[Start Time]]</f>
        <v>43252.918055555558</v>
      </c>
      <c r="CM113" s="16">
        <f>RecData[[#This Row],[Wind Speed avg]]</f>
        <v>0.77</v>
      </c>
      <c r="CN113" s="16">
        <f>RecData[[#This Row],[Wind Dir. avg]]</f>
        <v>202.4</v>
      </c>
      <c r="CO113" s="16">
        <f>RecData[[#This Row],[Amb. Humidity]]</f>
        <v>60.4</v>
      </c>
      <c r="CP113" s="16">
        <f>RecData[[#This Row],[Amb. Temperature]]</f>
        <v>9.9</v>
      </c>
      <c r="CQ113" s="17">
        <f>RecData[[#This Row],[Amb. Rain Gauge]]</f>
        <v>0</v>
      </c>
      <c r="CR113" s="4" t="s">
        <v>1</v>
      </c>
      <c r="CS113" s="4" t="s">
        <v>49</v>
      </c>
      <c r="CT113" s="70">
        <v>1475.7539059999999</v>
      </c>
      <c r="CU113" s="70">
        <v>30.000255584716701</v>
      </c>
      <c r="CV113" s="70">
        <v>9.79431056976318</v>
      </c>
      <c r="CW113" s="70">
        <v>15.0198707580566</v>
      </c>
      <c r="CX113" s="97"/>
      <c r="CY113" s="99"/>
      <c r="CZ113" s="2" t="b">
        <f>IF($DP$1="YES",IF(RecData[[#This Row],[Power (kW)]]&gt;=$CR$3, TRUE,FALSE),TRUE)</f>
        <v>1</v>
      </c>
      <c r="DA113" s="16">
        <f>MIN(MOD(180-ABS(ABS($DA$1-RecData[Yaw Angle (°)])-180),360),MOD(180-ABS(ABS($DB$1-RecData[Yaw Angle (°)])-180),360))</f>
        <v>22.470328807029148</v>
      </c>
      <c r="DB113" s="2" t="str">
        <f>IF($DP$2="None","None",IF(RecData[[#This Row],[Relative Wind Direction]]&lt;=45,"DW",IF(RecData[[#This Row],[Relative Wind Direction]]&lt;=135,"CW","UW")))</f>
        <v>DW</v>
      </c>
      <c r="DC113" s="61" t="e">
        <f>IF($CL113-#REF!&gt;1/24,#REF!,IF(SUM($CQ111:$CQ113)&gt;$DS$1,$DS$5,DC114-1))</f>
        <v>#REF!</v>
      </c>
      <c r="DD113" s="61" t="e">
        <f>IF($CL114-$CL113&gt;1/24,#REF!,IF(SUM($CQ111:$CQ113)&gt;$DS$1,$DS$6,DD112-1))</f>
        <v>#REF!</v>
      </c>
      <c r="DE113" s="18" t="b">
        <v>0</v>
      </c>
      <c r="DF113" s="2" t="b">
        <f>IF(OR(RecData[[#This Row],[WSpd_Avg '[m/s']]]-RecData[[#This Row],[Wind Speed min]]&gt;=$DF$3,RecData[[#This Row],[Wind Speed max]]-RecData[[#This Row],[WSpd_Avg '[m/s']]]&gt;=$DF$2),TRUE,FALSE)</f>
        <v>0</v>
      </c>
      <c r="DG113" s="2" t="b">
        <f>RecData[[#This Row],[Temperature '[°C']]]&lt;=-20</f>
        <v>0</v>
      </c>
      <c r="DH113" s="18" t="b">
        <f>NOT(OR(MOD(RecData[[#This Row],[TIMESTAMP]],1)&gt;0.91632,MOD(RecData[[#This Row],[TIMESTAMP]],1)&lt;0.208681))</f>
        <v>0</v>
      </c>
      <c r="DI113" s="18" t="b">
        <f>RecData[[#This Row],[Overall (dBA)]]-RecData[[#This Row],[L90]]&gt;=$DS$4</f>
        <v>0</v>
      </c>
      <c r="DJ113" s="18" t="b">
        <f>RecData[[#This Row],[Overall (dBA)]]&gt;$DS$2</f>
        <v>0</v>
      </c>
      <c r="DK113" s="18" t="b">
        <f>RecData[[#This Row],[Overall (dBA)]]&lt;$DS$3</f>
        <v>0</v>
      </c>
      <c r="DL1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" s="2">
        <f>IF(AND(RecData[[#This Row],[Turbines ON/OFF]] = "OFF", NOT(OR(RecData[[#This Row],[Junk?]]="YES",RecData[[#This Row],[Gust?]],RecData[[#This Row],[Rain?]:[Min SPL Threshold?]]))),1,0)</f>
        <v>0</v>
      </c>
      <c r="DN113" s="16">
        <f>RecData[[#This Row],[dBA Sum]]</f>
        <v>38.150650494054396</v>
      </c>
      <c r="DO113" s="16">
        <f>RecData[[#This Row],[LAF90.0]]</f>
        <v>40.5</v>
      </c>
      <c r="DP113" s="55">
        <f>IF(AND(RecData[[#This Row],[Useable TON Data?]],RecData[[#This Row],[Turbines ON/OFF]]="ON"),RecData[[#This Row],[dBA Sum]],"")</f>
        <v>38.150650494054396</v>
      </c>
      <c r="DQ113" s="55" t="str">
        <f>IF(AND(RecData[[#This Row],[Useable Background Data?]],RecData[[#This Row],[Turbines ON/OFF]]="OFF"),RecData[[#This Row],[dBA Sum]],"")</f>
        <v/>
      </c>
      <c r="DR113" s="3">
        <f>IF(OR(RecData[[#This Row],[Useable TON Data?]],RecData[[#This Row],[Useable Background Data?]]),ROUND(RecData[[#This Row],[WSpd_Avg '[m/s']]],0),"")</f>
        <v>1</v>
      </c>
      <c r="DS113" s="85">
        <f>(0.00002)^2*(10^(RecData[[#This Row],[Overall (dBA)]]/10))</f>
        <v>2.6129135481532211E-6</v>
      </c>
    </row>
    <row r="114" spans="1:123" ht="15" x14ac:dyDescent="0.25">
      <c r="A114" s="3" t="s">
        <v>249</v>
      </c>
      <c r="B114" s="12">
        <v>43252.918750000004</v>
      </c>
      <c r="C114" s="3"/>
      <c r="D114" s="3">
        <v>43.1</v>
      </c>
      <c r="E114" s="3"/>
      <c r="F114" s="3"/>
      <c r="G114" s="3"/>
      <c r="H114" s="3"/>
      <c r="I114" s="3"/>
      <c r="J114" s="3"/>
      <c r="K114" s="3">
        <v>41.2</v>
      </c>
      <c r="L114" s="3"/>
      <c r="M114" s="3"/>
      <c r="N114" s="3">
        <v>176.2</v>
      </c>
      <c r="O114" s="3"/>
      <c r="P114" s="3"/>
      <c r="Q114" s="3">
        <v>1.59</v>
      </c>
      <c r="R114" s="3">
        <v>0.4</v>
      </c>
      <c r="S114" s="3">
        <v>2.8</v>
      </c>
      <c r="T114" s="3">
        <v>9.9</v>
      </c>
      <c r="U114" s="3">
        <v>60.2</v>
      </c>
      <c r="V114" s="3">
        <v>975</v>
      </c>
      <c r="W114" s="3">
        <v>0</v>
      </c>
      <c r="X114" s="3">
        <v>47.3</v>
      </c>
      <c r="Y114" s="3">
        <v>46.8</v>
      </c>
      <c r="Z114" s="3">
        <v>46.2</v>
      </c>
      <c r="AA114" s="3">
        <v>42.9</v>
      </c>
      <c r="AB114" s="3">
        <v>37.6</v>
      </c>
      <c r="AC114" s="3">
        <v>36.4</v>
      </c>
      <c r="AD114" s="3">
        <v>39.200000000000003</v>
      </c>
      <c r="AE114" s="3">
        <v>40.9</v>
      </c>
      <c r="AF114" s="3">
        <v>46.4</v>
      </c>
      <c r="AG114" s="3">
        <v>39.4</v>
      </c>
      <c r="AH114" s="3">
        <v>36.299999999999997</v>
      </c>
      <c r="AI114" s="3">
        <v>37.4</v>
      </c>
      <c r="AJ114" s="3">
        <v>35.4</v>
      </c>
      <c r="AK114" s="3">
        <v>33.700000000000003</v>
      </c>
      <c r="AL114" s="3">
        <v>31.6</v>
      </c>
      <c r="AM114" s="3">
        <v>31.5</v>
      </c>
      <c r="AN114" s="3">
        <v>29.7</v>
      </c>
      <c r="AO114" s="3">
        <v>26.6</v>
      </c>
      <c r="AP114" s="3">
        <v>25.1</v>
      </c>
      <c r="AQ114" s="3">
        <v>22.4</v>
      </c>
      <c r="AR114" s="3">
        <v>19.100000000000001</v>
      </c>
      <c r="AS114" s="3">
        <v>34.6</v>
      </c>
      <c r="AT114" s="3">
        <v>38</v>
      </c>
      <c r="AU114" s="3">
        <v>12.9</v>
      </c>
      <c r="AV114" s="3">
        <v>10.6</v>
      </c>
      <c r="AW114" s="3">
        <v>10.3</v>
      </c>
      <c r="AX114" s="3">
        <v>9.5</v>
      </c>
      <c r="AY114" s="3">
        <v>9.5</v>
      </c>
      <c r="AZ114" s="3">
        <v>0</v>
      </c>
      <c r="BA114" s="3">
        <v>0</v>
      </c>
      <c r="BB114" s="3">
        <v>0</v>
      </c>
      <c r="BC114" s="3">
        <v>43.024930560112004</v>
      </c>
      <c r="BD114" s="3">
        <v>47.375069439888001</v>
      </c>
      <c r="BE114" s="3">
        <v>46.875069439888001</v>
      </c>
      <c r="BF114" s="3">
        <v>45.035069439887998</v>
      </c>
      <c r="BG114" s="3">
        <v>42.061736106554669</v>
      </c>
      <c r="BH114" s="3">
        <v>36.901736106554672</v>
      </c>
      <c r="BI114" s="3">
        <v>36.115069439887996</v>
      </c>
      <c r="BJ114" s="3">
        <v>39.70840277322133</v>
      </c>
      <c r="BK114" s="3">
        <v>41.281736106554668</v>
      </c>
      <c r="BL114" s="3">
        <v>46.355069439887991</v>
      </c>
      <c r="BM114" s="3">
        <v>39.488402773221331</v>
      </c>
      <c r="BN114" s="3">
        <v>36.671736106554654</v>
      </c>
      <c r="BO114" s="3">
        <v>37.138402773221323</v>
      </c>
      <c r="BP114" s="3">
        <v>34.855069439887991</v>
      </c>
      <c r="BQ114" s="3">
        <v>33.57173610655466</v>
      </c>
      <c r="BR114" s="3">
        <v>31.798402773221333</v>
      </c>
      <c r="BS114" s="3">
        <v>31.501736106554667</v>
      </c>
      <c r="BT114" s="3">
        <v>29.898402773221328</v>
      </c>
      <c r="BU114" s="3">
        <v>26.765069439888002</v>
      </c>
      <c r="BV114" s="3">
        <v>24.981736106554671</v>
      </c>
      <c r="BW114" s="3">
        <v>22.815069439887999</v>
      </c>
      <c r="BX114" s="3">
        <v>19.435069439888004</v>
      </c>
      <c r="BY114" s="3">
        <v>34.755069439887997</v>
      </c>
      <c r="BZ114" s="3">
        <v>38.285069439887998</v>
      </c>
      <c r="CA114" s="3">
        <v>13.285069439887991</v>
      </c>
      <c r="CB114" s="3">
        <v>10.421736106554661</v>
      </c>
      <c r="CC114" s="3">
        <v>10.335069439887995</v>
      </c>
      <c r="CD114" s="3">
        <v>8.84173610655467</v>
      </c>
      <c r="CE114" s="3">
        <v>9.035069439887998</v>
      </c>
      <c r="CF114" s="3">
        <v>-0.85159722677867222</v>
      </c>
      <c r="CG114" s="3">
        <v>-1.3849305601120037</v>
      </c>
      <c r="CH114" s="3">
        <v>-2.4615972267786717</v>
      </c>
      <c r="CI114" s="13">
        <f>[1]!dbasum(RecData[[#This Row],[20]:[2000]],RecData[[#Headers],[20]:[2000]])</f>
        <v>38.938194100756519</v>
      </c>
      <c r="CJ114" s="14">
        <v>852</v>
      </c>
      <c r="CK114" s="15" t="s">
        <v>249</v>
      </c>
      <c r="CL114" s="15">
        <f>RecData[[#This Row],[Start Time]]</f>
        <v>43252.918750000004</v>
      </c>
      <c r="CM114" s="16">
        <f>RecData[[#This Row],[Wind Speed avg]]</f>
        <v>1.59</v>
      </c>
      <c r="CN114" s="16">
        <f>RecData[[#This Row],[Wind Dir. avg]]</f>
        <v>176.2</v>
      </c>
      <c r="CO114" s="16">
        <f>RecData[[#This Row],[Amb. Humidity]]</f>
        <v>60.2</v>
      </c>
      <c r="CP114" s="16">
        <f>RecData[[#This Row],[Amb. Temperature]]</f>
        <v>9.9</v>
      </c>
      <c r="CQ114" s="17">
        <f>RecData[[#This Row],[Amb. Rain Gauge]]</f>
        <v>0</v>
      </c>
      <c r="CR114" s="4" t="s">
        <v>1</v>
      </c>
      <c r="CS114" s="4" t="s">
        <v>49</v>
      </c>
      <c r="CT114" s="70">
        <v>1475.7539059999999</v>
      </c>
      <c r="CU114" s="70">
        <v>30.000255584716701</v>
      </c>
      <c r="CV114" s="70">
        <v>9.79431056976318</v>
      </c>
      <c r="CW114" s="70">
        <v>15.0198707580566</v>
      </c>
      <c r="CX114" s="97"/>
      <c r="CY114" s="99"/>
      <c r="CZ114" s="2" t="b">
        <f>IF($DP$1="YES",IF(RecData[[#This Row],[Power (kW)]]&gt;=$CR$3, TRUE,FALSE),TRUE)</f>
        <v>1</v>
      </c>
      <c r="DA114" s="16">
        <f>MIN(MOD(180-ABS(ABS($DA$1-RecData[Yaw Angle (°)])-180),360),MOD(180-ABS(ABS($DB$1-RecData[Yaw Angle (°)])-180),360))</f>
        <v>22.470328807029148</v>
      </c>
      <c r="DB114" s="2" t="str">
        <f>IF($DP$2="None","None",IF(RecData[[#This Row],[Relative Wind Direction]]&lt;=45,"DW",IF(RecData[[#This Row],[Relative Wind Direction]]&lt;=135,"CW","UW")))</f>
        <v>DW</v>
      </c>
      <c r="DC114" s="61" t="e">
        <f>IF($CL114-#REF!&gt;1/24,#REF!,IF(SUM($CQ111:$CQ114)&gt;$DS$1,$DS$5,DC115-1))</f>
        <v>#REF!</v>
      </c>
      <c r="DD114" s="61" t="e">
        <f>IF($CL115-$CL114&gt;1/24,#REF!,IF(SUM($CQ111:$CQ114)&gt;$DS$1,$DS$6,DD113-1))</f>
        <v>#REF!</v>
      </c>
      <c r="DE114" s="18" t="b">
        <v>0</v>
      </c>
      <c r="DF114" s="2" t="b">
        <f>IF(OR(RecData[[#This Row],[WSpd_Avg '[m/s']]]-RecData[[#This Row],[Wind Speed min]]&gt;=$DF$3,RecData[[#This Row],[Wind Speed max]]-RecData[[#This Row],[WSpd_Avg '[m/s']]]&gt;=$DF$2),TRUE,FALSE)</f>
        <v>0</v>
      </c>
      <c r="DG114" s="2" t="b">
        <f>RecData[[#This Row],[Temperature '[°C']]]&lt;=-20</f>
        <v>0</v>
      </c>
      <c r="DH114" s="18" t="b">
        <f>NOT(OR(MOD(RecData[[#This Row],[TIMESTAMP]],1)&gt;0.91632,MOD(RecData[[#This Row],[TIMESTAMP]],1)&lt;0.208681))</f>
        <v>0</v>
      </c>
      <c r="DI114" s="18" t="b">
        <f>RecData[[#This Row],[Overall (dBA)]]-RecData[[#This Row],[L90]]&gt;=$DS$4</f>
        <v>0</v>
      </c>
      <c r="DJ114" s="18" t="b">
        <f>RecData[[#This Row],[Overall (dBA)]]&gt;$DS$2</f>
        <v>0</v>
      </c>
      <c r="DK114" s="18" t="b">
        <f>RecData[[#This Row],[Overall (dBA)]]&lt;$DS$3</f>
        <v>0</v>
      </c>
      <c r="DL1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" s="2">
        <f>IF(AND(RecData[[#This Row],[Turbines ON/OFF]] = "OFF", NOT(OR(RecData[[#This Row],[Junk?]]="YES",RecData[[#This Row],[Gust?]],RecData[[#This Row],[Rain?]:[Min SPL Threshold?]]))),1,0)</f>
        <v>0</v>
      </c>
      <c r="DN114" s="16">
        <f>RecData[[#This Row],[dBA Sum]]</f>
        <v>38.938194100756519</v>
      </c>
      <c r="DO114" s="16">
        <f>RecData[[#This Row],[LAF90.0]]</f>
        <v>41.2</v>
      </c>
      <c r="DP114" s="55">
        <f>IF(AND(RecData[[#This Row],[Useable TON Data?]],RecData[[#This Row],[Turbines ON/OFF]]="ON"),RecData[[#This Row],[dBA Sum]],"")</f>
        <v>38.938194100756519</v>
      </c>
      <c r="DQ114" s="55" t="str">
        <f>IF(AND(RecData[[#This Row],[Useable Background Data?]],RecData[[#This Row],[Turbines ON/OFF]]="OFF"),RecData[[#This Row],[dBA Sum]],"")</f>
        <v/>
      </c>
      <c r="DR114" s="3">
        <f>IF(OR(RecData[[#This Row],[Useable TON Data?]],RecData[[#This Row],[Useable Background Data?]]),ROUND(RecData[[#This Row],[WSpd_Avg '[m/s']]],0),"")</f>
        <v>2</v>
      </c>
      <c r="DS114" s="85">
        <f>(0.00002)^2*(10^(RecData[[#This Row],[Overall (dBA)]]/10))</f>
        <v>3.132415767601966E-6</v>
      </c>
    </row>
    <row r="115" spans="1:123" ht="15" x14ac:dyDescent="0.25">
      <c r="A115" s="3" t="s">
        <v>249</v>
      </c>
      <c r="B115" s="12">
        <v>43252.919444444451</v>
      </c>
      <c r="C115" s="3"/>
      <c r="D115" s="3">
        <v>42.5</v>
      </c>
      <c r="E115" s="3"/>
      <c r="F115" s="3"/>
      <c r="G115" s="3"/>
      <c r="H115" s="3"/>
      <c r="I115" s="3"/>
      <c r="J115" s="3"/>
      <c r="K115" s="3">
        <v>41</v>
      </c>
      <c r="L115" s="3"/>
      <c r="M115" s="3"/>
      <c r="N115" s="3">
        <v>174.9</v>
      </c>
      <c r="O115" s="3"/>
      <c r="P115" s="3"/>
      <c r="Q115" s="3">
        <v>0.62</v>
      </c>
      <c r="R115" s="3">
        <v>0</v>
      </c>
      <c r="S115" s="3">
        <v>1.6</v>
      </c>
      <c r="T115" s="3">
        <v>9.9</v>
      </c>
      <c r="U115" s="3">
        <v>60.5</v>
      </c>
      <c r="V115" s="3">
        <v>975.1</v>
      </c>
      <c r="W115" s="3">
        <v>0</v>
      </c>
      <c r="X115" s="3">
        <v>47.7</v>
      </c>
      <c r="Y115" s="3">
        <v>46</v>
      </c>
      <c r="Z115" s="3">
        <v>45.7</v>
      </c>
      <c r="AA115" s="3">
        <v>42.6</v>
      </c>
      <c r="AB115" s="3">
        <v>37.700000000000003</v>
      </c>
      <c r="AC115" s="3">
        <v>36.4</v>
      </c>
      <c r="AD115" s="3">
        <v>39.200000000000003</v>
      </c>
      <c r="AE115" s="3">
        <v>40.9</v>
      </c>
      <c r="AF115" s="3">
        <v>44.2</v>
      </c>
      <c r="AG115" s="3">
        <v>38.700000000000003</v>
      </c>
      <c r="AH115" s="3">
        <v>36.700000000000003</v>
      </c>
      <c r="AI115" s="3">
        <v>37.299999999999997</v>
      </c>
      <c r="AJ115" s="3">
        <v>36.1</v>
      </c>
      <c r="AK115" s="3">
        <v>34.6</v>
      </c>
      <c r="AL115" s="3">
        <v>32.6</v>
      </c>
      <c r="AM115" s="3">
        <v>32.4</v>
      </c>
      <c r="AN115" s="3">
        <v>30.8</v>
      </c>
      <c r="AO115" s="3">
        <v>27.4</v>
      </c>
      <c r="AP115" s="3">
        <v>25</v>
      </c>
      <c r="AQ115" s="3">
        <v>22.7</v>
      </c>
      <c r="AR115" s="3">
        <v>18.7</v>
      </c>
      <c r="AS115" s="3">
        <v>33.4</v>
      </c>
      <c r="AT115" s="3">
        <v>36.799999999999997</v>
      </c>
      <c r="AU115" s="3">
        <v>11.6</v>
      </c>
      <c r="AV115" s="3">
        <v>9</v>
      </c>
      <c r="AW115" s="3">
        <v>9.1</v>
      </c>
      <c r="AX115" s="3">
        <v>9.1</v>
      </c>
      <c r="AY115" s="3">
        <v>9.3000000000000007</v>
      </c>
      <c r="AZ115" s="3">
        <v>0</v>
      </c>
      <c r="BA115" s="3">
        <v>0</v>
      </c>
      <c r="BB115" s="3">
        <v>0</v>
      </c>
      <c r="BC115" s="3">
        <v>42.470809936888216</v>
      </c>
      <c r="BD115" s="3">
        <v>47.729190063111787</v>
      </c>
      <c r="BE115" s="3">
        <v>46.029190063111784</v>
      </c>
      <c r="BF115" s="3">
        <v>44.489190063111792</v>
      </c>
      <c r="BG115" s="3">
        <v>41.715856729778451</v>
      </c>
      <c r="BH115" s="3">
        <v>36.955856729778461</v>
      </c>
      <c r="BI115" s="3">
        <v>36.069190063111776</v>
      </c>
      <c r="BJ115" s="3">
        <v>39.66252339644511</v>
      </c>
      <c r="BK115" s="3">
        <v>41.235856729778448</v>
      </c>
      <c r="BL115" s="3">
        <v>44.109190063111797</v>
      </c>
      <c r="BM115" s="3">
        <v>38.742523396445122</v>
      </c>
      <c r="BN115" s="3">
        <v>37.025856729778454</v>
      </c>
      <c r="BO115" s="3">
        <v>36.992523396445122</v>
      </c>
      <c r="BP115" s="3">
        <v>35.509190063111788</v>
      </c>
      <c r="BQ115" s="3">
        <v>34.425856729778445</v>
      </c>
      <c r="BR115" s="3">
        <v>32.752523396445113</v>
      </c>
      <c r="BS115" s="3">
        <v>32.355856729778452</v>
      </c>
      <c r="BT115" s="3">
        <v>30.952523396445116</v>
      </c>
      <c r="BU115" s="3">
        <v>27.519190063111793</v>
      </c>
      <c r="BV115" s="3">
        <v>24.835856729778456</v>
      </c>
      <c r="BW115" s="3">
        <v>23.06919006311179</v>
      </c>
      <c r="BX115" s="3">
        <v>18.989190063111792</v>
      </c>
      <c r="BY115" s="3">
        <v>33.509190063111774</v>
      </c>
      <c r="BZ115" s="3">
        <v>37.039190063111775</v>
      </c>
      <c r="CA115" s="3">
        <v>11.939190063111781</v>
      </c>
      <c r="CB115" s="3">
        <v>8.7758567297784467</v>
      </c>
      <c r="CC115" s="3">
        <v>9.0891900631117863</v>
      </c>
      <c r="CD115" s="3">
        <v>8.3958567297784583</v>
      </c>
      <c r="CE115" s="3">
        <v>8.7891900631117821</v>
      </c>
      <c r="CF115" s="3">
        <v>-0.89747660355488534</v>
      </c>
      <c r="CG115" s="3">
        <v>-1.4308099368882168</v>
      </c>
      <c r="CH115" s="3">
        <v>-2.5074766035548848</v>
      </c>
      <c r="CI115" s="13">
        <f>[1]!dbasum(RecData[[#This Row],[20]:[2000]],RecData[[#Headers],[20]:[2000]])</f>
        <v>39.191681651670883</v>
      </c>
      <c r="CJ115" s="14">
        <v>853</v>
      </c>
      <c r="CK115" s="15" t="s">
        <v>249</v>
      </c>
      <c r="CL115" s="15">
        <f>RecData[[#This Row],[Start Time]]</f>
        <v>43252.919444444451</v>
      </c>
      <c r="CM115" s="16">
        <f>RecData[[#This Row],[Wind Speed avg]]</f>
        <v>0.62</v>
      </c>
      <c r="CN115" s="16">
        <f>RecData[[#This Row],[Wind Dir. avg]]</f>
        <v>174.9</v>
      </c>
      <c r="CO115" s="16">
        <f>RecData[[#This Row],[Amb. Humidity]]</f>
        <v>60.5</v>
      </c>
      <c r="CP115" s="16">
        <f>RecData[[#This Row],[Amb. Temperature]]</f>
        <v>9.9</v>
      </c>
      <c r="CQ115" s="17">
        <f>RecData[[#This Row],[Amb. Rain Gauge]]</f>
        <v>0</v>
      </c>
      <c r="CR115" s="4" t="s">
        <v>1</v>
      </c>
      <c r="CS115" s="4" t="s">
        <v>49</v>
      </c>
      <c r="CT115" s="70">
        <v>1475.7539059999999</v>
      </c>
      <c r="CU115" s="70">
        <v>30.000255584716701</v>
      </c>
      <c r="CV115" s="70">
        <v>9.79431056976318</v>
      </c>
      <c r="CW115" s="70">
        <v>15.0198707580566</v>
      </c>
      <c r="CX115" s="97"/>
      <c r="CY115" s="99"/>
      <c r="CZ115" s="2" t="b">
        <f>IF($DP$1="YES",IF(RecData[[#This Row],[Power (kW)]]&gt;=$CR$3, TRUE,FALSE),TRUE)</f>
        <v>1</v>
      </c>
      <c r="DA115" s="16">
        <f>MIN(MOD(180-ABS(ABS($DA$1-RecData[Yaw Angle (°)])-180),360),MOD(180-ABS(ABS($DB$1-RecData[Yaw Angle (°)])-180),360))</f>
        <v>22.470328807029148</v>
      </c>
      <c r="DB115" s="2" t="str">
        <f>IF($DP$2="None","None",IF(RecData[[#This Row],[Relative Wind Direction]]&lt;=45,"DW",IF(RecData[[#This Row],[Relative Wind Direction]]&lt;=135,"CW","UW")))</f>
        <v>DW</v>
      </c>
      <c r="DC115" s="61">
        <f>IF($CL115-$CL111&gt;1/24,#REF!,IF(SUM($CQ111:$CQ115)&gt;$DS$1,$DS$5,DC116-1))</f>
        <v>-4</v>
      </c>
      <c r="DD115" s="61" t="e">
        <f>IF($CL116-$CL115&gt;1/24,#REF!,IF(SUM($CQ111:$CQ115)&gt;$DS$1,$DS$6,DD114-1))</f>
        <v>#REF!</v>
      </c>
      <c r="DE115" s="18" t="b">
        <v>0</v>
      </c>
      <c r="DF115" s="2" t="b">
        <f>IF(OR(RecData[[#This Row],[WSpd_Avg '[m/s']]]-RecData[[#This Row],[Wind Speed min]]&gt;=$DF$3,RecData[[#This Row],[Wind Speed max]]-RecData[[#This Row],[WSpd_Avg '[m/s']]]&gt;=$DF$2),TRUE,FALSE)</f>
        <v>0</v>
      </c>
      <c r="DG115" s="2" t="b">
        <f>RecData[[#This Row],[Temperature '[°C']]]&lt;=-20</f>
        <v>0</v>
      </c>
      <c r="DH115" s="18" t="b">
        <f>NOT(OR(MOD(RecData[[#This Row],[TIMESTAMP]],1)&gt;0.91632,MOD(RecData[[#This Row],[TIMESTAMP]],1)&lt;0.208681))</f>
        <v>0</v>
      </c>
      <c r="DI115" s="18" t="b">
        <f>RecData[[#This Row],[Overall (dBA)]]-RecData[[#This Row],[L90]]&gt;=$DS$4</f>
        <v>0</v>
      </c>
      <c r="DJ115" s="18" t="b">
        <f>RecData[[#This Row],[Overall (dBA)]]&gt;$DS$2</f>
        <v>0</v>
      </c>
      <c r="DK115" s="18" t="b">
        <f>RecData[[#This Row],[Overall (dBA)]]&lt;$DS$3</f>
        <v>0</v>
      </c>
      <c r="DL1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" s="2">
        <f>IF(AND(RecData[[#This Row],[Turbines ON/OFF]] = "OFF", NOT(OR(RecData[[#This Row],[Junk?]]="YES",RecData[[#This Row],[Gust?]],RecData[[#This Row],[Rain?]:[Min SPL Threshold?]]))),1,0)</f>
        <v>0</v>
      </c>
      <c r="DN115" s="16">
        <f>RecData[[#This Row],[dBA Sum]]</f>
        <v>39.191681651670883</v>
      </c>
      <c r="DO115" s="16">
        <f>RecData[[#This Row],[LAF90.0]]</f>
        <v>41</v>
      </c>
      <c r="DP115" s="55">
        <f>IF(AND(RecData[[#This Row],[Useable TON Data?]],RecData[[#This Row],[Turbines ON/OFF]]="ON"),RecData[[#This Row],[dBA Sum]],"")</f>
        <v>39.191681651670883</v>
      </c>
      <c r="DQ115" s="55" t="str">
        <f>IF(AND(RecData[[#This Row],[Useable Background Data?]],RecData[[#This Row],[Turbines ON/OFF]]="OFF"),RecData[[#This Row],[dBA Sum]],"")</f>
        <v/>
      </c>
      <c r="DR115" s="3">
        <f>IF(OR(RecData[[#This Row],[Useable TON Data?]],RecData[[#This Row],[Useable Background Data?]]),ROUND(RecData[[#This Row],[WSpd_Avg '[m/s']]],0),"")</f>
        <v>1</v>
      </c>
      <c r="DS115" s="85">
        <f>(0.00002)^2*(10^(RecData[[#This Row],[Overall (dBA)]]/10))</f>
        <v>3.3206886402923298E-6</v>
      </c>
    </row>
    <row r="116" spans="1:123" ht="15" x14ac:dyDescent="0.25">
      <c r="A116" s="3" t="s">
        <v>249</v>
      </c>
      <c r="B116" s="12">
        <v>43252.920138888891</v>
      </c>
      <c r="C116" s="3"/>
      <c r="D116" s="3">
        <v>43.1</v>
      </c>
      <c r="E116" s="3"/>
      <c r="F116" s="3"/>
      <c r="G116" s="3"/>
      <c r="H116" s="3"/>
      <c r="I116" s="3"/>
      <c r="J116" s="3"/>
      <c r="K116" s="3">
        <v>41.3</v>
      </c>
      <c r="L116" s="3"/>
      <c r="M116" s="3"/>
      <c r="N116" s="3">
        <v>185.4</v>
      </c>
      <c r="O116" s="3"/>
      <c r="P116" s="3"/>
      <c r="Q116" s="3">
        <v>0.75</v>
      </c>
      <c r="R116" s="3">
        <v>0.2</v>
      </c>
      <c r="S116" s="3">
        <v>1.5</v>
      </c>
      <c r="T116" s="3">
        <v>9.8000000000000007</v>
      </c>
      <c r="U116" s="3">
        <v>59.9</v>
      </c>
      <c r="V116" s="3">
        <v>975.1</v>
      </c>
      <c r="W116" s="3">
        <v>0</v>
      </c>
      <c r="X116" s="3">
        <v>46.9</v>
      </c>
      <c r="Y116" s="3">
        <v>46.6</v>
      </c>
      <c r="Z116" s="3">
        <v>46.8</v>
      </c>
      <c r="AA116" s="3">
        <v>42.2</v>
      </c>
      <c r="AB116" s="3">
        <v>38.200000000000003</v>
      </c>
      <c r="AC116" s="3">
        <v>37.1</v>
      </c>
      <c r="AD116" s="3">
        <v>39.9</v>
      </c>
      <c r="AE116" s="3">
        <v>40.700000000000003</v>
      </c>
      <c r="AF116" s="3">
        <v>46.3</v>
      </c>
      <c r="AG116" s="3">
        <v>39</v>
      </c>
      <c r="AH116" s="3">
        <v>37.299999999999997</v>
      </c>
      <c r="AI116" s="3">
        <v>37.799999999999997</v>
      </c>
      <c r="AJ116" s="3">
        <v>36.200000000000003</v>
      </c>
      <c r="AK116" s="3">
        <v>34.6</v>
      </c>
      <c r="AL116" s="3">
        <v>31.9</v>
      </c>
      <c r="AM116" s="3">
        <v>31</v>
      </c>
      <c r="AN116" s="3">
        <v>28.9</v>
      </c>
      <c r="AO116" s="3">
        <v>25.5</v>
      </c>
      <c r="AP116" s="3">
        <v>23.2</v>
      </c>
      <c r="AQ116" s="3">
        <v>21.1</v>
      </c>
      <c r="AR116" s="3">
        <v>18.100000000000001</v>
      </c>
      <c r="AS116" s="3">
        <v>35.200000000000003</v>
      </c>
      <c r="AT116" s="3">
        <v>37.700000000000003</v>
      </c>
      <c r="AU116" s="3">
        <v>12.4</v>
      </c>
      <c r="AV116" s="3">
        <v>9.8000000000000007</v>
      </c>
      <c r="AW116" s="3">
        <v>9.6</v>
      </c>
      <c r="AX116" s="3">
        <v>9.3000000000000007</v>
      </c>
      <c r="AY116" s="3">
        <v>9.4</v>
      </c>
      <c r="AZ116" s="3">
        <v>0</v>
      </c>
      <c r="BA116" s="3">
        <v>0</v>
      </c>
      <c r="BB116" s="3">
        <v>0</v>
      </c>
      <c r="BC116" s="3">
        <v>43.015388826271355</v>
      </c>
      <c r="BD116" s="3">
        <v>46.984611173728645</v>
      </c>
      <c r="BE116" s="3">
        <v>46.684611173728648</v>
      </c>
      <c r="BF116" s="3">
        <v>45.644611173728642</v>
      </c>
      <c r="BG116" s="3">
        <v>41.371277840395315</v>
      </c>
      <c r="BH116" s="3">
        <v>37.511277840395316</v>
      </c>
      <c r="BI116" s="3">
        <v>36.824611173728648</v>
      </c>
      <c r="BJ116" s="3">
        <v>40.417944507061982</v>
      </c>
      <c r="BK116" s="3">
        <v>41.091277840395314</v>
      </c>
      <c r="BL116" s="3">
        <v>46.264611173728646</v>
      </c>
      <c r="BM116" s="3">
        <v>39.097944507061989</v>
      </c>
      <c r="BN116" s="3">
        <v>37.681277840395303</v>
      </c>
      <c r="BO116" s="3">
        <v>37.547944507061978</v>
      </c>
      <c r="BP116" s="3">
        <v>35.664611173728652</v>
      </c>
      <c r="BQ116" s="3">
        <v>34.481277840395315</v>
      </c>
      <c r="BR116" s="3">
        <v>32.10794450706198</v>
      </c>
      <c r="BS116" s="3">
        <v>31.011277840395316</v>
      </c>
      <c r="BT116" s="3">
        <v>29.10794450706198</v>
      </c>
      <c r="BU116" s="3">
        <v>25.674611173728643</v>
      </c>
      <c r="BV116" s="3">
        <v>23.091277840395314</v>
      </c>
      <c r="BW116" s="3">
        <v>21.524611173728651</v>
      </c>
      <c r="BX116" s="3">
        <v>18.444611173728653</v>
      </c>
      <c r="BY116" s="3">
        <v>35.36461117372864</v>
      </c>
      <c r="BZ116" s="3">
        <v>37.99461117372865</v>
      </c>
      <c r="CA116" s="3">
        <v>12.79461117372864</v>
      </c>
      <c r="CB116" s="3">
        <v>9.6312778403953132</v>
      </c>
      <c r="CC116" s="3">
        <v>9.6446111737286415</v>
      </c>
      <c r="CD116" s="3">
        <v>8.6512778403953163</v>
      </c>
      <c r="CE116" s="3">
        <v>8.9446111737286458</v>
      </c>
      <c r="CF116" s="3">
        <v>-0.84205549293802306</v>
      </c>
      <c r="CG116" s="3">
        <v>-1.3753888262713545</v>
      </c>
      <c r="CH116" s="3">
        <v>-2.4520554929380225</v>
      </c>
      <c r="CI116" s="13">
        <f>[1]!dbasum(RecData[[#This Row],[20]:[2000]],RecData[[#Headers],[20]:[2000]])</f>
        <v>38.899990735419323</v>
      </c>
      <c r="CJ116" s="14">
        <v>854</v>
      </c>
      <c r="CK116" s="15" t="s">
        <v>249</v>
      </c>
      <c r="CL116" s="15">
        <f>RecData[[#This Row],[Start Time]]</f>
        <v>43252.920138888891</v>
      </c>
      <c r="CM116" s="16">
        <f>RecData[[#This Row],[Wind Speed avg]]</f>
        <v>0.75</v>
      </c>
      <c r="CN116" s="16">
        <f>RecData[[#This Row],[Wind Dir. avg]]</f>
        <v>185.4</v>
      </c>
      <c r="CO116" s="16">
        <f>RecData[[#This Row],[Amb. Humidity]]</f>
        <v>59.9</v>
      </c>
      <c r="CP116" s="16">
        <f>RecData[[#This Row],[Amb. Temperature]]</f>
        <v>9.8000000000000007</v>
      </c>
      <c r="CQ116" s="17">
        <f>RecData[[#This Row],[Amb. Rain Gauge]]</f>
        <v>0</v>
      </c>
      <c r="CR116" s="4" t="s">
        <v>1</v>
      </c>
      <c r="CS116" s="4" t="s">
        <v>49</v>
      </c>
      <c r="CT116" s="70">
        <v>1475.7539059999999</v>
      </c>
      <c r="CU116" s="70">
        <v>30.000255584716701</v>
      </c>
      <c r="CV116" s="70">
        <v>9.79431056976318</v>
      </c>
      <c r="CW116" s="70">
        <v>15.0198707580566</v>
      </c>
      <c r="CX116" s="97"/>
      <c r="CY116" s="99"/>
      <c r="CZ116" s="2" t="b">
        <f>IF($DP$1="YES",IF(RecData[[#This Row],[Power (kW)]]&gt;=$CR$3, TRUE,FALSE),TRUE)</f>
        <v>1</v>
      </c>
      <c r="DA116" s="16">
        <f>MIN(MOD(180-ABS(ABS($DA$1-RecData[Yaw Angle (°)])-180),360),MOD(180-ABS(ABS($DB$1-RecData[Yaw Angle (°)])-180),360))</f>
        <v>22.470328807029148</v>
      </c>
      <c r="DB116" s="2" t="str">
        <f>IF($DP$2="None","None",IF(RecData[[#This Row],[Relative Wind Direction]]&lt;=45,"DW",IF(RecData[[#This Row],[Relative Wind Direction]]&lt;=135,"CW","UW")))</f>
        <v>DW</v>
      </c>
      <c r="DC116" s="61">
        <f>IF($CL116-$CL112&gt;1/24,#REF!,IF(SUM($CQ112:$CQ116)&gt;$DS$1,$DS$5,DC117-1))</f>
        <v>-3</v>
      </c>
      <c r="DD116" s="61" t="e">
        <f>IF($CL117-$CL116&gt;1/24,#REF!,IF(SUM($CQ112:$CQ116)&gt;$DS$1,$DS$6,DD115-1))</f>
        <v>#REF!</v>
      </c>
      <c r="DE116" s="18" t="b">
        <v>0</v>
      </c>
      <c r="DF116" s="2" t="b">
        <f>IF(OR(RecData[[#This Row],[WSpd_Avg '[m/s']]]-RecData[[#This Row],[Wind Speed min]]&gt;=$DF$3,RecData[[#This Row],[Wind Speed max]]-RecData[[#This Row],[WSpd_Avg '[m/s']]]&gt;=$DF$2),TRUE,FALSE)</f>
        <v>0</v>
      </c>
      <c r="DG116" s="2" t="b">
        <f>RecData[[#This Row],[Temperature '[°C']]]&lt;=-20</f>
        <v>0</v>
      </c>
      <c r="DH116" s="18" t="b">
        <f>NOT(OR(MOD(RecData[[#This Row],[TIMESTAMP]],1)&gt;0.91632,MOD(RecData[[#This Row],[TIMESTAMP]],1)&lt;0.208681))</f>
        <v>0</v>
      </c>
      <c r="DI116" s="18" t="b">
        <f>RecData[[#This Row],[Overall (dBA)]]-RecData[[#This Row],[L90]]&gt;=$DS$4</f>
        <v>0</v>
      </c>
      <c r="DJ116" s="18" t="b">
        <f>RecData[[#This Row],[Overall (dBA)]]&gt;$DS$2</f>
        <v>0</v>
      </c>
      <c r="DK116" s="18" t="b">
        <f>RecData[[#This Row],[Overall (dBA)]]&lt;$DS$3</f>
        <v>0</v>
      </c>
      <c r="DL1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" s="2">
        <f>IF(AND(RecData[[#This Row],[Turbines ON/OFF]] = "OFF", NOT(OR(RecData[[#This Row],[Junk?]]="YES",RecData[[#This Row],[Gust?]],RecData[[#This Row],[Rain?]:[Min SPL Threshold?]]))),1,0)</f>
        <v>0</v>
      </c>
      <c r="DN116" s="16">
        <f>RecData[[#This Row],[dBA Sum]]</f>
        <v>38.899990735419323</v>
      </c>
      <c r="DO116" s="16">
        <f>RecData[[#This Row],[LAF90.0]]</f>
        <v>41.3</v>
      </c>
      <c r="DP116" s="55">
        <f>IF(AND(RecData[[#This Row],[Useable TON Data?]],RecData[[#This Row],[Turbines ON/OFF]]="ON"),RecData[[#This Row],[dBA Sum]],"")</f>
        <v>38.899990735419323</v>
      </c>
      <c r="DQ116" s="55" t="str">
        <f>IF(AND(RecData[[#This Row],[Useable Background Data?]],RecData[[#This Row],[Turbines ON/OFF]]="OFF"),RecData[[#This Row],[dBA Sum]],"")</f>
        <v/>
      </c>
      <c r="DR116" s="3">
        <f>IF(OR(RecData[[#This Row],[Useable TON Data?]],RecData[[#This Row],[Useable Background Data?]]),ROUND(RecData[[#This Row],[WSpd_Avg '[m/s']]],0),"")</f>
        <v>1</v>
      </c>
      <c r="DS116" s="85">
        <f>(0.00002)^2*(10^(RecData[[#This Row],[Overall (dBA)]]/10))</f>
        <v>3.1049818428097325E-6</v>
      </c>
    </row>
    <row r="117" spans="1:123" ht="15" x14ac:dyDescent="0.25">
      <c r="A117" s="3" t="s">
        <v>249</v>
      </c>
      <c r="B117" s="12">
        <v>43252.920833333337</v>
      </c>
      <c r="C117" s="3"/>
      <c r="D117" s="3">
        <v>42.8</v>
      </c>
      <c r="E117" s="3"/>
      <c r="F117" s="3"/>
      <c r="G117" s="3"/>
      <c r="H117" s="3"/>
      <c r="I117" s="3"/>
      <c r="J117" s="3"/>
      <c r="K117" s="3">
        <v>41.2</v>
      </c>
      <c r="L117" s="3"/>
      <c r="M117" s="3"/>
      <c r="N117" s="3">
        <v>141.5</v>
      </c>
      <c r="O117" s="3"/>
      <c r="P117" s="3"/>
      <c r="Q117" s="3">
        <v>1.43</v>
      </c>
      <c r="R117" s="3">
        <v>0.4</v>
      </c>
      <c r="S117" s="3">
        <v>2.5</v>
      </c>
      <c r="T117" s="3">
        <v>9.8000000000000007</v>
      </c>
      <c r="U117" s="3">
        <v>60.2</v>
      </c>
      <c r="V117" s="3">
        <v>975.1</v>
      </c>
      <c r="W117" s="3">
        <v>0</v>
      </c>
      <c r="X117" s="3">
        <v>48.4</v>
      </c>
      <c r="Y117" s="3">
        <v>47.9</v>
      </c>
      <c r="Z117" s="3">
        <v>47.6</v>
      </c>
      <c r="AA117" s="3">
        <v>43.9</v>
      </c>
      <c r="AB117" s="3">
        <v>39.1</v>
      </c>
      <c r="AC117" s="3">
        <v>37.9</v>
      </c>
      <c r="AD117" s="3">
        <v>40.5</v>
      </c>
      <c r="AE117" s="3">
        <v>42.2</v>
      </c>
      <c r="AF117" s="3">
        <v>45.9</v>
      </c>
      <c r="AG117" s="3">
        <v>40.200000000000003</v>
      </c>
      <c r="AH117" s="3">
        <v>38.200000000000003</v>
      </c>
      <c r="AI117" s="3">
        <v>38.299999999999997</v>
      </c>
      <c r="AJ117" s="3">
        <v>37</v>
      </c>
      <c r="AK117" s="3">
        <v>35</v>
      </c>
      <c r="AL117" s="3">
        <v>32.799999999999997</v>
      </c>
      <c r="AM117" s="3">
        <v>31.9</v>
      </c>
      <c r="AN117" s="3">
        <v>30</v>
      </c>
      <c r="AO117" s="3">
        <v>26.3</v>
      </c>
      <c r="AP117" s="3">
        <v>24.2</v>
      </c>
      <c r="AQ117" s="3">
        <v>21.6</v>
      </c>
      <c r="AR117" s="3">
        <v>18.3</v>
      </c>
      <c r="AS117" s="3">
        <v>33.200000000000003</v>
      </c>
      <c r="AT117" s="3">
        <v>37.299999999999997</v>
      </c>
      <c r="AU117" s="3">
        <v>13.1</v>
      </c>
      <c r="AV117" s="3">
        <v>11</v>
      </c>
      <c r="AW117" s="3">
        <v>10.5</v>
      </c>
      <c r="AX117" s="3">
        <v>9.6</v>
      </c>
      <c r="AY117" s="3">
        <v>9.5</v>
      </c>
      <c r="AZ117" s="3">
        <v>0</v>
      </c>
      <c r="BA117" s="3">
        <v>0</v>
      </c>
      <c r="BB117" s="3">
        <v>0</v>
      </c>
      <c r="BC117" s="3">
        <v>42.78637340289378</v>
      </c>
      <c r="BD117" s="3">
        <v>48.413626597106209</v>
      </c>
      <c r="BE117" s="3">
        <v>47.913626597106209</v>
      </c>
      <c r="BF117" s="3">
        <v>46.373626597106217</v>
      </c>
      <c r="BG117" s="3">
        <v>43.000293263772882</v>
      </c>
      <c r="BH117" s="3">
        <v>38.340293263772885</v>
      </c>
      <c r="BI117" s="3">
        <v>37.553626597106224</v>
      </c>
      <c r="BJ117" s="3">
        <v>40.94695993043954</v>
      </c>
      <c r="BK117" s="3">
        <v>42.520293263772892</v>
      </c>
      <c r="BL117" s="3">
        <v>45.793626597106218</v>
      </c>
      <c r="BM117" s="3">
        <v>40.226959930439556</v>
      </c>
      <c r="BN117" s="3">
        <v>38.510293263772887</v>
      </c>
      <c r="BO117" s="3">
        <v>37.976959930439541</v>
      </c>
      <c r="BP117" s="3">
        <v>36.393626597106227</v>
      </c>
      <c r="BQ117" s="3">
        <v>34.810293263772884</v>
      </c>
      <c r="BR117" s="3">
        <v>32.936959930439549</v>
      </c>
      <c r="BS117" s="3">
        <v>31.840293263772885</v>
      </c>
      <c r="BT117" s="3">
        <v>30.136959930439552</v>
      </c>
      <c r="BU117" s="3">
        <v>26.403626597106218</v>
      </c>
      <c r="BV117" s="3">
        <v>24.020293263772892</v>
      </c>
      <c r="BW117" s="3">
        <v>21.953626597106229</v>
      </c>
      <c r="BX117" s="3">
        <v>18.57362659710622</v>
      </c>
      <c r="BY117" s="3">
        <v>33.293626597106218</v>
      </c>
      <c r="BZ117" s="3">
        <v>37.523626597106222</v>
      </c>
      <c r="CA117" s="3">
        <v>13.423626597106214</v>
      </c>
      <c r="CB117" s="3">
        <v>10.76029326377288</v>
      </c>
      <c r="CC117" s="3">
        <v>10.473626597106218</v>
      </c>
      <c r="CD117" s="3">
        <v>8.8802932637728915</v>
      </c>
      <c r="CE117" s="3">
        <v>8.9736265971062181</v>
      </c>
      <c r="CF117" s="3">
        <v>-0.91304006956045214</v>
      </c>
      <c r="CG117" s="3">
        <v>-1.4463734028937836</v>
      </c>
      <c r="CH117" s="3">
        <v>-2.5230400695604516</v>
      </c>
      <c r="CI117" s="13">
        <f>[1]!dbasum(RecData[[#This Row],[20]:[2000]],RecData[[#Headers],[20]:[2000]])</f>
        <v>39.497099077836609</v>
      </c>
      <c r="CJ117" s="14">
        <v>855</v>
      </c>
      <c r="CK117" s="15" t="s">
        <v>249</v>
      </c>
      <c r="CL117" s="15">
        <f>RecData[[#This Row],[Start Time]]</f>
        <v>43252.920833333337</v>
      </c>
      <c r="CM117" s="16">
        <f>RecData[[#This Row],[Wind Speed avg]]</f>
        <v>1.43</v>
      </c>
      <c r="CN117" s="16">
        <f>RecData[[#This Row],[Wind Dir. avg]]</f>
        <v>141.5</v>
      </c>
      <c r="CO117" s="16">
        <f>RecData[[#This Row],[Amb. Humidity]]</f>
        <v>60.2</v>
      </c>
      <c r="CP117" s="16">
        <f>RecData[[#This Row],[Amb. Temperature]]</f>
        <v>9.8000000000000007</v>
      </c>
      <c r="CQ117" s="17">
        <f>RecData[[#This Row],[Amb. Rain Gauge]]</f>
        <v>0</v>
      </c>
      <c r="CR117" s="4" t="s">
        <v>1</v>
      </c>
      <c r="CS117" s="4" t="s">
        <v>49</v>
      </c>
      <c r="CT117" s="70">
        <v>1475.7539059999999</v>
      </c>
      <c r="CU117" s="70">
        <v>30.000255584716701</v>
      </c>
      <c r="CV117" s="70">
        <v>9.79431056976318</v>
      </c>
      <c r="CW117" s="70">
        <v>15.0198707580566</v>
      </c>
      <c r="CX117" s="97"/>
      <c r="CY117" s="99"/>
      <c r="CZ117" s="2" t="b">
        <f>IF($DP$1="YES",IF(RecData[[#This Row],[Power (kW)]]&gt;=$CR$3, TRUE,FALSE),TRUE)</f>
        <v>1</v>
      </c>
      <c r="DA117" s="16">
        <f>MIN(MOD(180-ABS(ABS($DA$1-RecData[Yaw Angle (°)])-180),360),MOD(180-ABS(ABS($DB$1-RecData[Yaw Angle (°)])-180),360))</f>
        <v>22.470328807029148</v>
      </c>
      <c r="DB117" s="2" t="str">
        <f>IF($DP$2="None","None",IF(RecData[[#This Row],[Relative Wind Direction]]&lt;=45,"DW",IF(RecData[[#This Row],[Relative Wind Direction]]&lt;=135,"CW","UW")))</f>
        <v>DW</v>
      </c>
      <c r="DC117" s="61">
        <f>IF($CL117-$CL113&gt;1/24,#REF!,IF(SUM($CQ113:$CQ117)&gt;$DS$1,$DS$5,DC118-1))</f>
        <v>-2</v>
      </c>
      <c r="DD117" s="61" t="e">
        <f>IF($CL118-$CL117&gt;1/24,#REF!,IF(SUM($CQ113:$CQ117)&gt;$DS$1,$DS$6,DD116-1))</f>
        <v>#REF!</v>
      </c>
      <c r="DE117" s="18" t="b">
        <v>0</v>
      </c>
      <c r="DF117" s="2" t="b">
        <f>IF(OR(RecData[[#This Row],[WSpd_Avg '[m/s']]]-RecData[[#This Row],[Wind Speed min]]&gt;=$DF$3,RecData[[#This Row],[Wind Speed max]]-RecData[[#This Row],[WSpd_Avg '[m/s']]]&gt;=$DF$2),TRUE,FALSE)</f>
        <v>0</v>
      </c>
      <c r="DG117" s="2" t="b">
        <f>RecData[[#This Row],[Temperature '[°C']]]&lt;=-20</f>
        <v>0</v>
      </c>
      <c r="DH117" s="18" t="b">
        <f>NOT(OR(MOD(RecData[[#This Row],[TIMESTAMP]],1)&gt;0.91632,MOD(RecData[[#This Row],[TIMESTAMP]],1)&lt;0.208681))</f>
        <v>0</v>
      </c>
      <c r="DI117" s="18" t="b">
        <f>RecData[[#This Row],[Overall (dBA)]]-RecData[[#This Row],[L90]]&gt;=$DS$4</f>
        <v>0</v>
      </c>
      <c r="DJ117" s="18" t="b">
        <f>RecData[[#This Row],[Overall (dBA)]]&gt;$DS$2</f>
        <v>0</v>
      </c>
      <c r="DK117" s="18" t="b">
        <f>RecData[[#This Row],[Overall (dBA)]]&lt;$DS$3</f>
        <v>0</v>
      </c>
      <c r="DL1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" s="2">
        <f>IF(AND(RecData[[#This Row],[Turbines ON/OFF]] = "OFF", NOT(OR(RecData[[#This Row],[Junk?]]="YES",RecData[[#This Row],[Gust?]],RecData[[#This Row],[Rain?]:[Min SPL Threshold?]]))),1,0)</f>
        <v>0</v>
      </c>
      <c r="DN117" s="16">
        <f>RecData[[#This Row],[dBA Sum]]</f>
        <v>39.497099077836609</v>
      </c>
      <c r="DO117" s="16">
        <f>RecData[[#This Row],[LAF90.0]]</f>
        <v>41.2</v>
      </c>
      <c r="DP117" s="55">
        <f>IF(AND(RecData[[#This Row],[Useable TON Data?]],RecData[[#This Row],[Turbines ON/OFF]]="ON"),RecData[[#This Row],[dBA Sum]],"")</f>
        <v>39.497099077836609</v>
      </c>
      <c r="DQ117" s="55" t="str">
        <f>IF(AND(RecData[[#This Row],[Useable Background Data?]],RecData[[#This Row],[Turbines ON/OFF]]="OFF"),RecData[[#This Row],[dBA Sum]],"")</f>
        <v/>
      </c>
      <c r="DR117" s="3">
        <f>IF(OR(RecData[[#This Row],[Useable TON Data?]],RecData[[#This Row],[Useable Background Data?]]),ROUND(RecData[[#This Row],[WSpd_Avg '[m/s']]],0),"")</f>
        <v>1</v>
      </c>
      <c r="DS117" s="85">
        <f>(0.00002)^2*(10^(RecData[[#This Row],[Overall (dBA)]]/10))</f>
        <v>3.5626232605799254E-6</v>
      </c>
    </row>
    <row r="118" spans="1:123" ht="15" x14ac:dyDescent="0.25">
      <c r="A118" s="3" t="s">
        <v>249</v>
      </c>
      <c r="B118" s="12">
        <v>43252.921527777784</v>
      </c>
      <c r="C118" s="3"/>
      <c r="D118" s="3">
        <v>42.3</v>
      </c>
      <c r="E118" s="3"/>
      <c r="F118" s="3"/>
      <c r="G118" s="3"/>
      <c r="H118" s="3"/>
      <c r="I118" s="3"/>
      <c r="J118" s="3"/>
      <c r="K118" s="3">
        <v>40.700000000000003</v>
      </c>
      <c r="L118" s="3"/>
      <c r="M118" s="3"/>
      <c r="N118" s="3">
        <v>117.5</v>
      </c>
      <c r="O118" s="3"/>
      <c r="P118" s="3"/>
      <c r="Q118" s="3">
        <v>1.31</v>
      </c>
      <c r="R118" s="3">
        <v>0.8</v>
      </c>
      <c r="S118" s="3">
        <v>1.9</v>
      </c>
      <c r="T118" s="3">
        <v>9.8000000000000007</v>
      </c>
      <c r="U118" s="3">
        <v>59.7</v>
      </c>
      <c r="V118" s="3">
        <v>975.1</v>
      </c>
      <c r="W118" s="3">
        <v>0</v>
      </c>
      <c r="X118" s="3">
        <v>48.9</v>
      </c>
      <c r="Y118" s="3">
        <v>48.1</v>
      </c>
      <c r="Z118" s="3">
        <v>48.1</v>
      </c>
      <c r="AA118" s="3">
        <v>43.9</v>
      </c>
      <c r="AB118" s="3">
        <v>39.6</v>
      </c>
      <c r="AC118" s="3">
        <v>38.299999999999997</v>
      </c>
      <c r="AD118" s="3">
        <v>41</v>
      </c>
      <c r="AE118" s="3">
        <v>42.1</v>
      </c>
      <c r="AF118" s="3">
        <v>44.8</v>
      </c>
      <c r="AG118" s="3">
        <v>40.200000000000003</v>
      </c>
      <c r="AH118" s="3">
        <v>37.6</v>
      </c>
      <c r="AI118" s="3">
        <v>37.6</v>
      </c>
      <c r="AJ118" s="3">
        <v>36.299999999999997</v>
      </c>
      <c r="AK118" s="3">
        <v>34.799999999999997</v>
      </c>
      <c r="AL118" s="3">
        <v>32.5</v>
      </c>
      <c r="AM118" s="3">
        <v>31.9</v>
      </c>
      <c r="AN118" s="3">
        <v>30.3</v>
      </c>
      <c r="AO118" s="3">
        <v>26.7</v>
      </c>
      <c r="AP118" s="3">
        <v>24.3</v>
      </c>
      <c r="AQ118" s="3">
        <v>21.8</v>
      </c>
      <c r="AR118" s="3">
        <v>18.2</v>
      </c>
      <c r="AS118" s="3">
        <v>33</v>
      </c>
      <c r="AT118" s="3">
        <v>36.4</v>
      </c>
      <c r="AU118" s="3">
        <v>12.3</v>
      </c>
      <c r="AV118" s="3">
        <v>10.5</v>
      </c>
      <c r="AW118" s="3">
        <v>10.199999999999999</v>
      </c>
      <c r="AX118" s="3">
        <v>9.5</v>
      </c>
      <c r="AY118" s="3">
        <v>9.6</v>
      </c>
      <c r="AZ118" s="3">
        <v>0</v>
      </c>
      <c r="BA118" s="3">
        <v>0</v>
      </c>
      <c r="BB118" s="3">
        <v>0</v>
      </c>
      <c r="BC118" s="3">
        <v>42.297913952482268</v>
      </c>
      <c r="BD118" s="3">
        <v>48.90208604751772</v>
      </c>
      <c r="BE118" s="3">
        <v>48.102086047517737</v>
      </c>
      <c r="BF118" s="3">
        <v>46.862086047517728</v>
      </c>
      <c r="BG118" s="3">
        <v>42.988752714184393</v>
      </c>
      <c r="BH118" s="3">
        <v>38.828752714184397</v>
      </c>
      <c r="BI118" s="3">
        <v>37.942086047517726</v>
      </c>
      <c r="BJ118" s="3">
        <v>41.435419380851052</v>
      </c>
      <c r="BK118" s="3">
        <v>42.408752714184395</v>
      </c>
      <c r="BL118" s="3">
        <v>44.682086047517721</v>
      </c>
      <c r="BM118" s="3">
        <v>40.215419380851067</v>
      </c>
      <c r="BN118" s="3">
        <v>37.89875271418439</v>
      </c>
      <c r="BO118" s="3">
        <v>37.265419380851064</v>
      </c>
      <c r="BP118" s="3">
        <v>35.682086047517721</v>
      </c>
      <c r="BQ118" s="3">
        <v>34.598752714184378</v>
      </c>
      <c r="BR118" s="3">
        <v>32.625419380851064</v>
      </c>
      <c r="BS118" s="3">
        <v>31.828752714184397</v>
      </c>
      <c r="BT118" s="3">
        <v>30.425419380851061</v>
      </c>
      <c r="BU118" s="3">
        <v>26.792086047517735</v>
      </c>
      <c r="BV118" s="3">
        <v>24.108752714184398</v>
      </c>
      <c r="BW118" s="3">
        <v>22.142086047517729</v>
      </c>
      <c r="BX118" s="3">
        <v>18.462086047517737</v>
      </c>
      <c r="BY118" s="3">
        <v>33.082086047517727</v>
      </c>
      <c r="BZ118" s="3">
        <v>36.612086047517728</v>
      </c>
      <c r="CA118" s="3">
        <v>12.612086047517721</v>
      </c>
      <c r="CB118" s="3">
        <v>10.248752714184391</v>
      </c>
      <c r="CC118" s="3">
        <v>10.162086047517725</v>
      </c>
      <c r="CD118" s="3">
        <v>8.7687527141844015</v>
      </c>
      <c r="CE118" s="3">
        <v>9.0620860475177309</v>
      </c>
      <c r="CF118" s="3">
        <v>-0.92458061914894074</v>
      </c>
      <c r="CG118" s="3">
        <v>-1.4579139524822722</v>
      </c>
      <c r="CH118" s="3">
        <v>-2.5345806191489402</v>
      </c>
      <c r="CI118" s="13">
        <f>[1]!dbasum(RecData[[#This Row],[20]:[2000]],RecData[[#Headers],[20]:[2000]])</f>
        <v>39.219233771410025</v>
      </c>
      <c r="CJ118" s="14">
        <v>856</v>
      </c>
      <c r="CK118" s="15" t="s">
        <v>249</v>
      </c>
      <c r="CL118" s="15">
        <f>RecData[[#This Row],[Start Time]]</f>
        <v>43252.921527777784</v>
      </c>
      <c r="CM118" s="16">
        <f>RecData[[#This Row],[Wind Speed avg]]</f>
        <v>1.31</v>
      </c>
      <c r="CN118" s="16">
        <f>RecData[[#This Row],[Wind Dir. avg]]</f>
        <v>117.5</v>
      </c>
      <c r="CO118" s="16">
        <f>RecData[[#This Row],[Amb. Humidity]]</f>
        <v>59.7</v>
      </c>
      <c r="CP118" s="16">
        <f>RecData[[#This Row],[Amb. Temperature]]</f>
        <v>9.8000000000000007</v>
      </c>
      <c r="CQ118" s="17">
        <f>RecData[[#This Row],[Amb. Rain Gauge]]</f>
        <v>0</v>
      </c>
      <c r="CR118" s="4" t="s">
        <v>1</v>
      </c>
      <c r="CS118" s="4" t="s">
        <v>49</v>
      </c>
      <c r="CT118" s="70">
        <v>1475.7539059999999</v>
      </c>
      <c r="CU118" s="70">
        <v>30.000255584716701</v>
      </c>
      <c r="CV118" s="70">
        <v>9.79431056976318</v>
      </c>
      <c r="CW118" s="70">
        <v>15.0198707580566</v>
      </c>
      <c r="CX118" s="97"/>
      <c r="CY118" s="99"/>
      <c r="CZ118" s="2" t="b">
        <f>IF($DP$1="YES",IF(RecData[[#This Row],[Power (kW)]]&gt;=$CR$3, TRUE,FALSE),TRUE)</f>
        <v>1</v>
      </c>
      <c r="DA118" s="16">
        <f>MIN(MOD(180-ABS(ABS($DA$1-RecData[Yaw Angle (°)])-180),360),MOD(180-ABS(ABS($DB$1-RecData[Yaw Angle (°)])-180),360))</f>
        <v>22.470328807029148</v>
      </c>
      <c r="DB118" s="2" t="str">
        <f>IF($DP$2="None","None",IF(RecData[[#This Row],[Relative Wind Direction]]&lt;=45,"DW",IF(RecData[[#This Row],[Relative Wind Direction]]&lt;=135,"CW","UW")))</f>
        <v>DW</v>
      </c>
      <c r="DC118" s="61">
        <v>-1</v>
      </c>
      <c r="DD118" s="61">
        <v>-1</v>
      </c>
      <c r="DE118" s="18" t="b">
        <v>0</v>
      </c>
      <c r="DF118" s="2" t="b">
        <f>IF(OR(RecData[[#This Row],[WSpd_Avg '[m/s']]]-RecData[[#This Row],[Wind Speed min]]&gt;=$DF$3,RecData[[#This Row],[Wind Speed max]]-RecData[[#This Row],[WSpd_Avg '[m/s']]]&gt;=$DF$2),TRUE,FALSE)</f>
        <v>0</v>
      </c>
      <c r="DG118" s="2" t="b">
        <f>RecData[[#This Row],[Temperature '[°C']]]&lt;=-20</f>
        <v>0</v>
      </c>
      <c r="DH118" s="18" t="b">
        <f>NOT(OR(MOD(RecData[[#This Row],[TIMESTAMP]],1)&gt;0.91632,MOD(RecData[[#This Row],[TIMESTAMP]],1)&lt;0.208681))</f>
        <v>0</v>
      </c>
      <c r="DI118" s="18" t="b">
        <f>RecData[[#This Row],[Overall (dBA)]]-RecData[[#This Row],[L90]]&gt;=$DS$4</f>
        <v>0</v>
      </c>
      <c r="DJ118" s="18" t="b">
        <f>RecData[[#This Row],[Overall (dBA)]]&gt;$DS$2</f>
        <v>0</v>
      </c>
      <c r="DK118" s="18" t="b">
        <f>RecData[[#This Row],[Overall (dBA)]]&lt;$DS$3</f>
        <v>0</v>
      </c>
      <c r="DL1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" s="2">
        <f>IF(AND(RecData[[#This Row],[Turbines ON/OFF]] = "OFF", NOT(OR(RecData[[#This Row],[Junk?]]="YES",RecData[[#This Row],[Gust?]],RecData[[#This Row],[Rain?]:[Min SPL Threshold?]]))),1,0)</f>
        <v>0</v>
      </c>
      <c r="DN118" s="16">
        <f>RecData[[#This Row],[dBA Sum]]</f>
        <v>39.219233771410025</v>
      </c>
      <c r="DO118" s="16">
        <f>RecData[[#This Row],[LAF90.0]]</f>
        <v>40.700000000000003</v>
      </c>
      <c r="DP118" s="55">
        <f>IF(AND(RecData[[#This Row],[Useable TON Data?]],RecData[[#This Row],[Turbines ON/OFF]]="ON"),RecData[[#This Row],[dBA Sum]],"")</f>
        <v>39.219233771410025</v>
      </c>
      <c r="DQ118" s="55" t="str">
        <f>IF(AND(RecData[[#This Row],[Useable Background Data?]],RecData[[#This Row],[Turbines ON/OFF]]="OFF"),RecData[[#This Row],[dBA Sum]],"")</f>
        <v/>
      </c>
      <c r="DR118" s="3">
        <f>IF(OR(RecData[[#This Row],[Useable TON Data?]],RecData[[#This Row],[Useable Background Data?]]),ROUND(RecData[[#This Row],[WSpd_Avg '[m/s']]],0),"")</f>
        <v>1</v>
      </c>
      <c r="DS118" s="85">
        <f>(0.00002)^2*(10^(RecData[[#This Row],[Overall (dBA)]]/10))</f>
        <v>3.3418224209985417E-6</v>
      </c>
    </row>
    <row r="119" spans="1:123" ht="15" x14ac:dyDescent="0.25">
      <c r="A119" s="3" t="s">
        <v>249</v>
      </c>
      <c r="B119" s="12">
        <v>43252.922222222231</v>
      </c>
      <c r="C119" s="3"/>
      <c r="D119" s="3">
        <v>41.6</v>
      </c>
      <c r="E119" s="3"/>
      <c r="F119" s="3"/>
      <c r="G119" s="3"/>
      <c r="H119" s="3"/>
      <c r="I119" s="3"/>
      <c r="J119" s="3"/>
      <c r="K119" s="3">
        <v>39.9</v>
      </c>
      <c r="L119" s="3"/>
      <c r="M119" s="3"/>
      <c r="N119" s="3">
        <v>150.19999999999999</v>
      </c>
      <c r="O119" s="3"/>
      <c r="P119" s="3"/>
      <c r="Q119" s="3">
        <v>1.87</v>
      </c>
      <c r="R119" s="3">
        <v>1</v>
      </c>
      <c r="S119" s="3">
        <v>3.1</v>
      </c>
      <c r="T119" s="3">
        <v>9.8000000000000007</v>
      </c>
      <c r="U119" s="3">
        <v>59.6</v>
      </c>
      <c r="V119" s="3">
        <v>975.1</v>
      </c>
      <c r="W119" s="3">
        <v>0</v>
      </c>
      <c r="X119" s="3">
        <v>48.3</v>
      </c>
      <c r="Y119" s="3">
        <v>47.5</v>
      </c>
      <c r="Z119" s="3">
        <v>47.2</v>
      </c>
      <c r="AA119" s="3">
        <v>44.1</v>
      </c>
      <c r="AB119" s="3">
        <v>38.799999999999997</v>
      </c>
      <c r="AC119" s="3">
        <v>37.700000000000003</v>
      </c>
      <c r="AD119" s="3">
        <v>40.299999999999997</v>
      </c>
      <c r="AE119" s="3">
        <v>41.3</v>
      </c>
      <c r="AF119" s="3">
        <v>45.6</v>
      </c>
      <c r="AG119" s="3">
        <v>38.9</v>
      </c>
      <c r="AH119" s="3">
        <v>37.4</v>
      </c>
      <c r="AI119" s="3">
        <v>37.799999999999997</v>
      </c>
      <c r="AJ119" s="3">
        <v>35.799999999999997</v>
      </c>
      <c r="AK119" s="3">
        <v>34.1</v>
      </c>
      <c r="AL119" s="3">
        <v>31.5</v>
      </c>
      <c r="AM119" s="3">
        <v>30.3</v>
      </c>
      <c r="AN119" s="3">
        <v>28.3</v>
      </c>
      <c r="AO119" s="3">
        <v>25</v>
      </c>
      <c r="AP119" s="3">
        <v>22.7</v>
      </c>
      <c r="AQ119" s="3">
        <v>20.6</v>
      </c>
      <c r="AR119" s="3">
        <v>18.100000000000001</v>
      </c>
      <c r="AS119" s="3">
        <v>31.8</v>
      </c>
      <c r="AT119" s="3">
        <v>35.9</v>
      </c>
      <c r="AU119" s="3">
        <v>14.7</v>
      </c>
      <c r="AV119" s="3">
        <v>13.8</v>
      </c>
      <c r="AW119" s="3">
        <v>13</v>
      </c>
      <c r="AX119" s="3">
        <v>10.8</v>
      </c>
      <c r="AY119" s="3">
        <v>10.4</v>
      </c>
      <c r="AZ119" s="3">
        <v>0</v>
      </c>
      <c r="BA119" s="3">
        <v>0</v>
      </c>
      <c r="BB119" s="3">
        <v>0</v>
      </c>
      <c r="BC119" s="3">
        <v>41.577262736719767</v>
      </c>
      <c r="BD119" s="3">
        <v>48.322737263280239</v>
      </c>
      <c r="BE119" s="3">
        <v>47.522737263280227</v>
      </c>
      <c r="BF119" s="3">
        <v>45.982737263280235</v>
      </c>
      <c r="BG119" s="3">
        <v>43.209403929946895</v>
      </c>
      <c r="BH119" s="3">
        <v>38.049403929946898</v>
      </c>
      <c r="BI119" s="3">
        <v>37.362737263280231</v>
      </c>
      <c r="BJ119" s="3">
        <v>40.756070596613561</v>
      </c>
      <c r="BK119" s="3">
        <v>41.629403929946896</v>
      </c>
      <c r="BL119" s="3">
        <v>45.502737263280245</v>
      </c>
      <c r="BM119" s="3">
        <v>38.936070596613568</v>
      </c>
      <c r="BN119" s="3">
        <v>37.7194039299469</v>
      </c>
      <c r="BO119" s="3">
        <v>37.486070596613565</v>
      </c>
      <c r="BP119" s="3">
        <v>35.202737263280234</v>
      </c>
      <c r="BQ119" s="3">
        <v>33.919403929946903</v>
      </c>
      <c r="BR119" s="3">
        <v>31.646070596613562</v>
      </c>
      <c r="BS119" s="3">
        <v>30.249403929946901</v>
      </c>
      <c r="BT119" s="3">
        <v>28.446070596613573</v>
      </c>
      <c r="BU119" s="3">
        <v>25.112737263280231</v>
      </c>
      <c r="BV119" s="3">
        <v>22.529403929946902</v>
      </c>
      <c r="BW119" s="3">
        <v>20.962737263280239</v>
      </c>
      <c r="BX119" s="3">
        <v>18.382737263280241</v>
      </c>
      <c r="BY119" s="3">
        <v>31.902737263280237</v>
      </c>
      <c r="BZ119" s="3">
        <v>36.132737263280241</v>
      </c>
      <c r="CA119" s="3">
        <v>15.032737263280225</v>
      </c>
      <c r="CB119" s="3">
        <v>13.569403929946901</v>
      </c>
      <c r="CC119" s="3">
        <v>12.982737263280235</v>
      </c>
      <c r="CD119" s="3">
        <v>10.089403929946904</v>
      </c>
      <c r="CE119" s="3">
        <v>9.8827372632802337</v>
      </c>
      <c r="CF119" s="3">
        <v>-0.90392940338643513</v>
      </c>
      <c r="CG119" s="3">
        <v>-1.4372627367197666</v>
      </c>
      <c r="CH119" s="3">
        <v>-2.5139294033864346</v>
      </c>
      <c r="CI119" s="13">
        <f>[1]!dbasum(RecData[[#This Row],[20]:[2000]],RecData[[#Headers],[20]:[2000]])</f>
        <v>38.460755225912344</v>
      </c>
      <c r="CJ119" s="14">
        <v>857</v>
      </c>
      <c r="CK119" s="15" t="s">
        <v>249</v>
      </c>
      <c r="CL119" s="15">
        <f>RecData[[#This Row],[Start Time]]</f>
        <v>43252.922222222231</v>
      </c>
      <c r="CM119" s="16">
        <f>RecData[[#This Row],[Wind Speed avg]]</f>
        <v>1.87</v>
      </c>
      <c r="CN119" s="16">
        <f>RecData[[#This Row],[Wind Dir. avg]]</f>
        <v>150.19999999999999</v>
      </c>
      <c r="CO119" s="16">
        <f>RecData[[#This Row],[Amb. Humidity]]</f>
        <v>59.6</v>
      </c>
      <c r="CP119" s="16">
        <f>RecData[[#This Row],[Amb. Temperature]]</f>
        <v>9.8000000000000007</v>
      </c>
      <c r="CQ119" s="17">
        <f>RecData[[#This Row],[Amb. Rain Gauge]]</f>
        <v>0</v>
      </c>
      <c r="CR119" s="4" t="s">
        <v>1</v>
      </c>
      <c r="CS119" s="4" t="s">
        <v>49</v>
      </c>
      <c r="CT119" s="70">
        <v>1475.7539059999999</v>
      </c>
      <c r="CU119" s="70">
        <v>30.000255584716701</v>
      </c>
      <c r="CV119" s="70">
        <v>9.79431056976318</v>
      </c>
      <c r="CW119" s="70">
        <v>15.0198707580566</v>
      </c>
      <c r="CX119" s="97"/>
      <c r="CY119" s="99"/>
      <c r="CZ119" s="2" t="b">
        <f>IF($DP$1="YES",IF(RecData[[#This Row],[Power (kW)]]&gt;=$CR$3, TRUE,FALSE),TRUE)</f>
        <v>1</v>
      </c>
      <c r="DA119" s="16">
        <f>MIN(MOD(180-ABS(ABS($DA$1-RecData[Yaw Angle (°)])-180),360),MOD(180-ABS(ABS($DB$1-RecData[Yaw Angle (°)])-180),360))</f>
        <v>22.470328807029148</v>
      </c>
      <c r="DB119" s="2" t="str">
        <f>IF($DP$2="None","None",IF(RecData[[#This Row],[Relative Wind Direction]]&lt;=45,"DW",IF(RecData[[#This Row],[Relative Wind Direction]]&lt;=135,"CW","UW")))</f>
        <v>DW</v>
      </c>
      <c r="DC119" s="61" t="e">
        <f>IF($CL119-$CL118&gt;1/24,#REF!,IF(SUM($CQ118:$CQ119)&gt;$DS$1,$DS$5,DC120-1))</f>
        <v>#REF!</v>
      </c>
      <c r="DD119" s="61">
        <f>IF($CL120-$CL119&gt;1/24,#REF!,IF(SUM($CQ118:$CQ119)&gt;$DS$1,$DS$6,DD118-1))</f>
        <v>-2</v>
      </c>
      <c r="DE119" s="18" t="b">
        <v>0</v>
      </c>
      <c r="DF119" s="2" t="b">
        <f>IF(OR(RecData[[#This Row],[WSpd_Avg '[m/s']]]-RecData[[#This Row],[Wind Speed min]]&gt;=$DF$3,RecData[[#This Row],[Wind Speed max]]-RecData[[#This Row],[WSpd_Avg '[m/s']]]&gt;=$DF$2),TRUE,FALSE)</f>
        <v>0</v>
      </c>
      <c r="DG119" s="2" t="b">
        <f>RecData[[#This Row],[Temperature '[°C']]]&lt;=-20</f>
        <v>0</v>
      </c>
      <c r="DH119" s="18" t="b">
        <f>NOT(OR(MOD(RecData[[#This Row],[TIMESTAMP]],1)&gt;0.91632,MOD(RecData[[#This Row],[TIMESTAMP]],1)&lt;0.208681))</f>
        <v>0</v>
      </c>
      <c r="DI119" s="18" t="b">
        <f>RecData[[#This Row],[Overall (dBA)]]-RecData[[#This Row],[L90]]&gt;=$DS$4</f>
        <v>0</v>
      </c>
      <c r="DJ119" s="18" t="b">
        <f>RecData[[#This Row],[Overall (dBA)]]&gt;$DS$2</f>
        <v>0</v>
      </c>
      <c r="DK119" s="18" t="b">
        <f>RecData[[#This Row],[Overall (dBA)]]&lt;$DS$3</f>
        <v>0</v>
      </c>
      <c r="DL1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" s="2">
        <f>IF(AND(RecData[[#This Row],[Turbines ON/OFF]] = "OFF", NOT(OR(RecData[[#This Row],[Junk?]]="YES",RecData[[#This Row],[Gust?]],RecData[[#This Row],[Rain?]:[Min SPL Threshold?]]))),1,0)</f>
        <v>0</v>
      </c>
      <c r="DN119" s="16">
        <f>RecData[[#This Row],[dBA Sum]]</f>
        <v>38.460755225912344</v>
      </c>
      <c r="DO119" s="16">
        <f>RecData[[#This Row],[LAF90.0]]</f>
        <v>39.9</v>
      </c>
      <c r="DP119" s="55">
        <f>IF(AND(RecData[[#This Row],[Useable TON Data?]],RecData[[#This Row],[Turbines ON/OFF]]="ON"),RecData[[#This Row],[dBA Sum]],"")</f>
        <v>38.460755225912344</v>
      </c>
      <c r="DQ119" s="55" t="str">
        <f>IF(AND(RecData[[#This Row],[Useable Background Data?]],RecData[[#This Row],[Turbines ON/OFF]]="OFF"),RecData[[#This Row],[dBA Sum]],"")</f>
        <v/>
      </c>
      <c r="DR119" s="3">
        <f>IF(OR(RecData[[#This Row],[Useable TON Data?]],RecData[[#This Row],[Useable Background Data?]]),ROUND(RecData[[#This Row],[WSpd_Avg '[m/s']]],0),"")</f>
        <v>2</v>
      </c>
      <c r="DS119" s="85">
        <f>(0.00002)^2*(10^(RecData[[#This Row],[Overall (dBA)]]/10))</f>
        <v>2.8063091605356585E-6</v>
      </c>
    </row>
    <row r="120" spans="1:123" ht="15" x14ac:dyDescent="0.25">
      <c r="A120" s="3" t="s">
        <v>249</v>
      </c>
      <c r="B120" s="12">
        <v>43252.92291666667</v>
      </c>
      <c r="C120" s="3"/>
      <c r="D120" s="3">
        <v>42.3</v>
      </c>
      <c r="E120" s="3"/>
      <c r="F120" s="3"/>
      <c r="G120" s="3"/>
      <c r="H120" s="3"/>
      <c r="I120" s="3"/>
      <c r="J120" s="3"/>
      <c r="K120" s="3">
        <v>41</v>
      </c>
      <c r="L120" s="3"/>
      <c r="M120" s="3"/>
      <c r="N120" s="3">
        <v>187.4</v>
      </c>
      <c r="O120" s="3"/>
      <c r="P120" s="3"/>
      <c r="Q120" s="3">
        <v>0.89</v>
      </c>
      <c r="R120" s="3">
        <v>0.3</v>
      </c>
      <c r="S120" s="3">
        <v>1.6</v>
      </c>
      <c r="T120" s="3">
        <v>9.8000000000000007</v>
      </c>
      <c r="U120" s="3">
        <v>60.6</v>
      </c>
      <c r="V120" s="3">
        <v>975.1</v>
      </c>
      <c r="W120" s="3">
        <v>0</v>
      </c>
      <c r="X120" s="3">
        <v>48.6</v>
      </c>
      <c r="Y120" s="3">
        <v>47.3</v>
      </c>
      <c r="Z120" s="3">
        <v>47.6</v>
      </c>
      <c r="AA120" s="3">
        <v>44.2</v>
      </c>
      <c r="AB120" s="3">
        <v>39.200000000000003</v>
      </c>
      <c r="AC120" s="3">
        <v>37.6</v>
      </c>
      <c r="AD120" s="3">
        <v>40.9</v>
      </c>
      <c r="AE120" s="3">
        <v>42.6</v>
      </c>
      <c r="AF120" s="3">
        <v>44.9</v>
      </c>
      <c r="AG120" s="3">
        <v>40.1</v>
      </c>
      <c r="AH120" s="3">
        <v>37.4</v>
      </c>
      <c r="AI120" s="3">
        <v>37.9</v>
      </c>
      <c r="AJ120" s="3">
        <v>36.299999999999997</v>
      </c>
      <c r="AK120" s="3">
        <v>34.6</v>
      </c>
      <c r="AL120" s="3">
        <v>32.4</v>
      </c>
      <c r="AM120" s="3">
        <v>32</v>
      </c>
      <c r="AN120" s="3">
        <v>30.5</v>
      </c>
      <c r="AO120" s="3">
        <v>27.2</v>
      </c>
      <c r="AP120" s="3">
        <v>25</v>
      </c>
      <c r="AQ120" s="3">
        <v>22.7</v>
      </c>
      <c r="AR120" s="3">
        <v>18.8</v>
      </c>
      <c r="AS120" s="3">
        <v>32.700000000000003</v>
      </c>
      <c r="AT120" s="3">
        <v>36.299999999999997</v>
      </c>
      <c r="AU120" s="3">
        <v>12.3</v>
      </c>
      <c r="AV120" s="3">
        <v>10.6</v>
      </c>
      <c r="AW120" s="3">
        <v>10.1</v>
      </c>
      <c r="AX120" s="3">
        <v>9.4</v>
      </c>
      <c r="AY120" s="3">
        <v>9.5</v>
      </c>
      <c r="AZ120" s="3">
        <v>0</v>
      </c>
      <c r="BA120" s="3">
        <v>0</v>
      </c>
      <c r="BB120" s="3">
        <v>0</v>
      </c>
      <c r="BC120" s="3">
        <v>42.276792256154579</v>
      </c>
      <c r="BD120" s="3">
        <v>48.623207743845427</v>
      </c>
      <c r="BE120" s="3">
        <v>47.323207743845416</v>
      </c>
      <c r="BF120" s="3">
        <v>46.383207743845418</v>
      </c>
      <c r="BG120" s="3">
        <v>43.309874410512094</v>
      </c>
      <c r="BH120" s="3">
        <v>38.449874410512081</v>
      </c>
      <c r="BI120" s="3">
        <v>37.263207743845413</v>
      </c>
      <c r="BJ120" s="3">
        <v>41.356541077178747</v>
      </c>
      <c r="BK120" s="3">
        <v>42.929874410512085</v>
      </c>
      <c r="BL120" s="3">
        <v>44.803207743845419</v>
      </c>
      <c r="BM120" s="3">
        <v>40.136541077178748</v>
      </c>
      <c r="BN120" s="3">
        <v>37.719874410512091</v>
      </c>
      <c r="BO120" s="3">
        <v>37.586541077178751</v>
      </c>
      <c r="BP120" s="3">
        <v>35.703207743845411</v>
      </c>
      <c r="BQ120" s="3">
        <v>34.41987441051208</v>
      </c>
      <c r="BR120" s="3">
        <v>32.546541077178745</v>
      </c>
      <c r="BS120" s="3">
        <v>31.949874410512081</v>
      </c>
      <c r="BT120" s="3">
        <v>30.646541077178753</v>
      </c>
      <c r="BU120" s="3">
        <v>27.313207743845425</v>
      </c>
      <c r="BV120" s="3">
        <v>24.82987441051209</v>
      </c>
      <c r="BW120" s="3">
        <v>23.063207743845425</v>
      </c>
      <c r="BX120" s="3">
        <v>19.083207743845421</v>
      </c>
      <c r="BY120" s="3">
        <v>32.803207743845419</v>
      </c>
      <c r="BZ120" s="3">
        <v>36.533207743845423</v>
      </c>
      <c r="CA120" s="3">
        <v>12.633207743845411</v>
      </c>
      <c r="CB120" s="3">
        <v>10.369874410512082</v>
      </c>
      <c r="CC120" s="3">
        <v>10.083207743845421</v>
      </c>
      <c r="CD120" s="3">
        <v>8.6898744105120898</v>
      </c>
      <c r="CE120" s="3">
        <v>8.9832077438454192</v>
      </c>
      <c r="CF120" s="3">
        <v>-0.90345892282125106</v>
      </c>
      <c r="CG120" s="3">
        <v>-1.4367922561545825</v>
      </c>
      <c r="CH120" s="3">
        <v>-2.5134589228212505</v>
      </c>
      <c r="CI120" s="13">
        <f>[1]!dbasum(RecData[[#This Row],[20]:[2000]],RecData[[#Headers],[20]:[2000]])</f>
        <v>39.357558741738941</v>
      </c>
      <c r="CJ120" s="14">
        <v>858</v>
      </c>
      <c r="CK120" s="15" t="s">
        <v>249</v>
      </c>
      <c r="CL120" s="15">
        <f>RecData[[#This Row],[Start Time]]</f>
        <v>43252.92291666667</v>
      </c>
      <c r="CM120" s="16">
        <f>RecData[[#This Row],[Wind Speed avg]]</f>
        <v>0.89</v>
      </c>
      <c r="CN120" s="16">
        <f>RecData[[#This Row],[Wind Dir. avg]]</f>
        <v>187.4</v>
      </c>
      <c r="CO120" s="16">
        <f>RecData[[#This Row],[Amb. Humidity]]</f>
        <v>60.6</v>
      </c>
      <c r="CP120" s="16">
        <f>RecData[[#This Row],[Amb. Temperature]]</f>
        <v>9.8000000000000007</v>
      </c>
      <c r="CQ120" s="17">
        <f>RecData[[#This Row],[Amb. Rain Gauge]]</f>
        <v>0</v>
      </c>
      <c r="CR120" s="4" t="s">
        <v>1</v>
      </c>
      <c r="CS120" s="4" t="s">
        <v>49</v>
      </c>
      <c r="CT120" s="70">
        <v>1475.7539059999999</v>
      </c>
      <c r="CU120" s="70">
        <v>30.000255584716701</v>
      </c>
      <c r="CV120" s="70">
        <v>9.79431056976318</v>
      </c>
      <c r="CW120" s="70">
        <v>15.0198707580566</v>
      </c>
      <c r="CX120" s="97"/>
      <c r="CY120" s="99"/>
      <c r="CZ120" s="2" t="b">
        <f>IF($DP$1="YES",IF(RecData[[#This Row],[Power (kW)]]&gt;=$CR$3, TRUE,FALSE),TRUE)</f>
        <v>1</v>
      </c>
      <c r="DA120" s="16">
        <f>MIN(MOD(180-ABS(ABS($DA$1-RecData[Yaw Angle (°)])-180),360),MOD(180-ABS(ABS($DB$1-RecData[Yaw Angle (°)])-180),360))</f>
        <v>22.470328807029148</v>
      </c>
      <c r="DB120" s="2" t="str">
        <f>IF($DP$2="None","None",IF(RecData[[#This Row],[Relative Wind Direction]]&lt;=45,"DW",IF(RecData[[#This Row],[Relative Wind Direction]]&lt;=135,"CW","UW")))</f>
        <v>DW</v>
      </c>
      <c r="DC120" s="61" t="e">
        <f>IF($CL120-$CL118&gt;1/24,#REF!,IF(SUM($CQ118:$CQ120)&gt;$DS$1,$DS$5,#REF!-1))</f>
        <v>#REF!</v>
      </c>
      <c r="DD120" s="61" t="e">
        <f>IF(#REF!-$CL120&gt;1/24,#REF!,IF(SUM($CQ118:$CQ120)&gt;$DS$1,$DS$6,DD119-1))</f>
        <v>#REF!</v>
      </c>
      <c r="DE120" s="18" t="b">
        <v>0</v>
      </c>
      <c r="DF120" s="2" t="b">
        <f>IF(OR(RecData[[#This Row],[WSpd_Avg '[m/s']]]-RecData[[#This Row],[Wind Speed min]]&gt;=$DF$3,RecData[[#This Row],[Wind Speed max]]-RecData[[#This Row],[WSpd_Avg '[m/s']]]&gt;=$DF$2),TRUE,FALSE)</f>
        <v>0</v>
      </c>
      <c r="DG120" s="2" t="b">
        <f>RecData[[#This Row],[Temperature '[°C']]]&lt;=-20</f>
        <v>0</v>
      </c>
      <c r="DH120" s="18" t="b">
        <f>NOT(OR(MOD(RecData[[#This Row],[TIMESTAMP]],1)&gt;0.91632,MOD(RecData[[#This Row],[TIMESTAMP]],1)&lt;0.208681))</f>
        <v>0</v>
      </c>
      <c r="DI120" s="18" t="b">
        <f>RecData[[#This Row],[Overall (dBA)]]-RecData[[#This Row],[L90]]&gt;=$DS$4</f>
        <v>0</v>
      </c>
      <c r="DJ120" s="18" t="b">
        <f>RecData[[#This Row],[Overall (dBA)]]&gt;$DS$2</f>
        <v>0</v>
      </c>
      <c r="DK120" s="18" t="b">
        <f>RecData[[#This Row],[Overall (dBA)]]&lt;$DS$3</f>
        <v>0</v>
      </c>
      <c r="DL1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" s="2">
        <f>IF(AND(RecData[[#This Row],[Turbines ON/OFF]] = "OFF", NOT(OR(RecData[[#This Row],[Junk?]]="YES",RecData[[#This Row],[Gust?]],RecData[[#This Row],[Rain?]:[Min SPL Threshold?]]))),1,0)</f>
        <v>0</v>
      </c>
      <c r="DN120" s="16">
        <f>RecData[[#This Row],[dBA Sum]]</f>
        <v>39.357558741738941</v>
      </c>
      <c r="DO120" s="16">
        <f>RecData[[#This Row],[LAF90.0]]</f>
        <v>41</v>
      </c>
      <c r="DP120" s="55">
        <f>IF(AND(RecData[[#This Row],[Useable TON Data?]],RecData[[#This Row],[Turbines ON/OFF]]="ON"),RecData[[#This Row],[dBA Sum]],"")</f>
        <v>39.357558741738941</v>
      </c>
      <c r="DQ120" s="55" t="str">
        <f>IF(AND(RecData[[#This Row],[Useable Background Data?]],RecData[[#This Row],[Turbines ON/OFF]]="OFF"),RecData[[#This Row],[dBA Sum]],"")</f>
        <v/>
      </c>
      <c r="DR120" s="3">
        <f>IF(OR(RecData[[#This Row],[Useable TON Data?]],RecData[[#This Row],[Useable Background Data?]]),ROUND(RecData[[#This Row],[WSpd_Avg '[m/s']]],0),"")</f>
        <v>1</v>
      </c>
      <c r="DS120" s="85">
        <f>(0.00002)^2*(10^(RecData[[#This Row],[Overall (dBA)]]/10))</f>
        <v>3.4499743446430349E-6</v>
      </c>
    </row>
    <row r="121" spans="1:123" ht="15" x14ac:dyDescent="0.25">
      <c r="A121" s="3" t="s">
        <v>249</v>
      </c>
      <c r="B121" s="12">
        <v>43252.924305555563</v>
      </c>
      <c r="C121" s="3"/>
      <c r="D121" s="3">
        <v>42.2</v>
      </c>
      <c r="E121" s="3"/>
      <c r="F121" s="3"/>
      <c r="G121" s="3"/>
      <c r="H121" s="3"/>
      <c r="I121" s="3"/>
      <c r="J121" s="3"/>
      <c r="K121" s="3">
        <v>40.4</v>
      </c>
      <c r="L121" s="3"/>
      <c r="M121" s="3"/>
      <c r="N121" s="3">
        <v>195.3</v>
      </c>
      <c r="O121" s="3"/>
      <c r="P121" s="3"/>
      <c r="Q121" s="3">
        <v>1.18</v>
      </c>
      <c r="R121" s="3">
        <v>0.1</v>
      </c>
      <c r="S121" s="3">
        <v>1.8</v>
      </c>
      <c r="T121" s="3">
        <v>9.8000000000000007</v>
      </c>
      <c r="U121" s="3">
        <v>60</v>
      </c>
      <c r="V121" s="3">
        <v>975.2</v>
      </c>
      <c r="W121" s="3">
        <v>0</v>
      </c>
      <c r="X121" s="3">
        <v>48.8</v>
      </c>
      <c r="Y121" s="3">
        <v>47.4</v>
      </c>
      <c r="Z121" s="3">
        <v>46.7</v>
      </c>
      <c r="AA121" s="3">
        <v>43.7</v>
      </c>
      <c r="AB121" s="3">
        <v>38.700000000000003</v>
      </c>
      <c r="AC121" s="3">
        <v>37.9</v>
      </c>
      <c r="AD121" s="3">
        <v>41.3</v>
      </c>
      <c r="AE121" s="3">
        <v>42.1</v>
      </c>
      <c r="AF121" s="3">
        <v>45.1</v>
      </c>
      <c r="AG121" s="3">
        <v>40.799999999999997</v>
      </c>
      <c r="AH121" s="3">
        <v>37.4</v>
      </c>
      <c r="AI121" s="3">
        <v>37.799999999999997</v>
      </c>
      <c r="AJ121" s="3">
        <v>36.299999999999997</v>
      </c>
      <c r="AK121" s="3">
        <v>34.799999999999997</v>
      </c>
      <c r="AL121" s="3">
        <v>32.9</v>
      </c>
      <c r="AM121" s="3">
        <v>32.4</v>
      </c>
      <c r="AN121" s="3">
        <v>31</v>
      </c>
      <c r="AO121" s="3">
        <v>27.8</v>
      </c>
      <c r="AP121" s="3">
        <v>25.7</v>
      </c>
      <c r="AQ121" s="3">
        <v>23.4</v>
      </c>
      <c r="AR121" s="3">
        <v>20.2</v>
      </c>
      <c r="AS121" s="3">
        <v>31.6</v>
      </c>
      <c r="AT121" s="3">
        <v>35.700000000000003</v>
      </c>
      <c r="AU121" s="3">
        <v>14.8</v>
      </c>
      <c r="AV121" s="3">
        <v>12.9</v>
      </c>
      <c r="AW121" s="3">
        <v>11.8</v>
      </c>
      <c r="AX121" s="3">
        <v>10</v>
      </c>
      <c r="AY121" s="3">
        <v>9.6999999999999993</v>
      </c>
      <c r="AZ121" s="3">
        <v>0</v>
      </c>
      <c r="BA121" s="3">
        <v>0</v>
      </c>
      <c r="BB121" s="3">
        <v>0</v>
      </c>
      <c r="BC121" s="3">
        <v>42.121734955879703</v>
      </c>
      <c r="BD121" s="3">
        <v>48.878265044120297</v>
      </c>
      <c r="BE121" s="3">
        <v>47.478265044120292</v>
      </c>
      <c r="BF121" s="3">
        <v>45.538265044120294</v>
      </c>
      <c r="BG121" s="3">
        <v>42.864931710786976</v>
      </c>
      <c r="BH121" s="3">
        <v>38.004931710786963</v>
      </c>
      <c r="BI121" s="3">
        <v>37.618265044120307</v>
      </c>
      <c r="BJ121" s="3">
        <v>41.811598377453635</v>
      </c>
      <c r="BK121" s="3">
        <v>42.484931710786967</v>
      </c>
      <c r="BL121" s="3">
        <v>45.058265044120304</v>
      </c>
      <c r="BM121" s="3">
        <v>40.891598377453633</v>
      </c>
      <c r="BN121" s="3">
        <v>37.774931710786973</v>
      </c>
      <c r="BO121" s="3">
        <v>37.541598377453624</v>
      </c>
      <c r="BP121" s="3">
        <v>35.758265044120293</v>
      </c>
      <c r="BQ121" s="3">
        <v>34.67493171078695</v>
      </c>
      <c r="BR121" s="3">
        <v>33.101598377453627</v>
      </c>
      <c r="BS121" s="3">
        <v>32.404931710786968</v>
      </c>
      <c r="BT121" s="3">
        <v>31.201598377453635</v>
      </c>
      <c r="BU121" s="3">
        <v>27.968265044120301</v>
      </c>
      <c r="BV121" s="3">
        <v>25.584931710786975</v>
      </c>
      <c r="BW121" s="3">
        <v>23.818265044120295</v>
      </c>
      <c r="BX121" s="3">
        <v>20.538265044120308</v>
      </c>
      <c r="BY121" s="3">
        <v>31.758265044120293</v>
      </c>
      <c r="BZ121" s="3">
        <v>35.988265044120311</v>
      </c>
      <c r="CA121" s="3">
        <v>15.188265044120293</v>
      </c>
      <c r="CB121" s="3">
        <v>12.724931710786962</v>
      </c>
      <c r="CC121" s="3">
        <v>11.838265044120298</v>
      </c>
      <c r="CD121" s="3">
        <v>9.3449317107869732</v>
      </c>
      <c r="CE121" s="3">
        <v>9.2382650441202969</v>
      </c>
      <c r="CF121" s="3">
        <v>-0.84840162254636908</v>
      </c>
      <c r="CG121" s="3">
        <v>-1.3817349558797005</v>
      </c>
      <c r="CH121" s="3">
        <v>-2.4584016225463685</v>
      </c>
      <c r="CI121" s="13">
        <f>[1]!dbasum(RecData[[#This Row],[20]:[2000]],RecData[[#Headers],[20]:[2000]])</f>
        <v>39.737409096121127</v>
      </c>
      <c r="CJ121" s="14">
        <v>860</v>
      </c>
      <c r="CK121" s="15" t="s">
        <v>249</v>
      </c>
      <c r="CL121" s="15">
        <f>RecData[[#This Row],[Start Time]]</f>
        <v>43252.924305555563</v>
      </c>
      <c r="CM121" s="16">
        <f>RecData[[#This Row],[Wind Speed avg]]</f>
        <v>1.18</v>
      </c>
      <c r="CN121" s="16">
        <f>RecData[[#This Row],[Wind Dir. avg]]</f>
        <v>195.3</v>
      </c>
      <c r="CO121" s="16">
        <f>RecData[[#This Row],[Amb. Humidity]]</f>
        <v>60</v>
      </c>
      <c r="CP121" s="16">
        <f>RecData[[#This Row],[Amb. Temperature]]</f>
        <v>9.8000000000000007</v>
      </c>
      <c r="CQ121" s="17">
        <f>RecData[[#This Row],[Amb. Rain Gauge]]</f>
        <v>0</v>
      </c>
      <c r="CR121" s="4" t="s">
        <v>1</v>
      </c>
      <c r="CS121" s="4" t="s">
        <v>49</v>
      </c>
      <c r="CT121" s="70">
        <v>1547.6492920000001</v>
      </c>
      <c r="CU121" s="70">
        <v>30.000255584716701</v>
      </c>
      <c r="CV121" s="70">
        <v>10.2132349014282</v>
      </c>
      <c r="CW121" s="70">
        <v>15.094129562377899</v>
      </c>
      <c r="CX121" s="97"/>
      <c r="CY121" s="99"/>
      <c r="CZ121" s="2" t="b">
        <f>IF($DP$1="YES",IF(RecData[[#This Row],[Power (kW)]]&gt;=$CR$3, TRUE,FALSE),TRUE)</f>
        <v>1</v>
      </c>
      <c r="DA121" s="16">
        <f>MIN(MOD(180-ABS(ABS($DA$1-RecData[Yaw Angle (°)])-180),360),MOD(180-ABS(ABS($DB$1-RecData[Yaw Angle (°)])-180),360))</f>
        <v>22.470328807029148</v>
      </c>
      <c r="DB121" s="2" t="str">
        <f>IF($DP$2="None","None",IF(RecData[[#This Row],[Relative Wind Direction]]&lt;=45,"DW",IF(RecData[[#This Row],[Relative Wind Direction]]&lt;=135,"CW","UW")))</f>
        <v>DW</v>
      </c>
      <c r="DC121" s="61" t="e">
        <f>IF($CL121-$CL118&gt;1/24,#REF!,IF(SUM($CQ118:$CQ121)&gt;$DS$1,$DS$5,#REF!-1))</f>
        <v>#REF!</v>
      </c>
      <c r="DD121" s="61" t="e">
        <f>IF(#REF!-$CL121&gt;1/24,#REF!,IF(SUM($CQ118:$CQ121)&gt;$DS$1,$DS$6,#REF!-1))</f>
        <v>#REF!</v>
      </c>
      <c r="DE121" s="18" t="b">
        <v>0</v>
      </c>
      <c r="DF121" s="2" t="b">
        <f>IF(OR(RecData[[#This Row],[WSpd_Avg '[m/s']]]-RecData[[#This Row],[Wind Speed min]]&gt;=$DF$3,RecData[[#This Row],[Wind Speed max]]-RecData[[#This Row],[WSpd_Avg '[m/s']]]&gt;=$DF$2),TRUE,FALSE)</f>
        <v>0</v>
      </c>
      <c r="DG121" s="2" t="b">
        <f>RecData[[#This Row],[Temperature '[°C']]]&lt;=-20</f>
        <v>0</v>
      </c>
      <c r="DH121" s="18" t="b">
        <f>NOT(OR(MOD(RecData[[#This Row],[TIMESTAMP]],1)&gt;0.91632,MOD(RecData[[#This Row],[TIMESTAMP]],1)&lt;0.208681))</f>
        <v>0</v>
      </c>
      <c r="DI121" s="18" t="b">
        <f>RecData[[#This Row],[Overall (dBA)]]-RecData[[#This Row],[L90]]&gt;=$DS$4</f>
        <v>0</v>
      </c>
      <c r="DJ121" s="18" t="b">
        <f>RecData[[#This Row],[Overall (dBA)]]&gt;$DS$2</f>
        <v>0</v>
      </c>
      <c r="DK121" s="18" t="b">
        <f>RecData[[#This Row],[Overall (dBA)]]&lt;$DS$3</f>
        <v>0</v>
      </c>
      <c r="DL1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" s="2">
        <f>IF(AND(RecData[[#This Row],[Turbines ON/OFF]] = "OFF", NOT(OR(RecData[[#This Row],[Junk?]]="YES",RecData[[#This Row],[Gust?]],RecData[[#This Row],[Rain?]:[Min SPL Threshold?]]))),1,0)</f>
        <v>0</v>
      </c>
      <c r="DN121" s="16">
        <f>RecData[[#This Row],[dBA Sum]]</f>
        <v>39.737409096121127</v>
      </c>
      <c r="DO121" s="16">
        <f>RecData[[#This Row],[LAF90.0]]</f>
        <v>40.4</v>
      </c>
      <c r="DP121" s="55">
        <f>IF(AND(RecData[[#This Row],[Useable TON Data?]],RecData[[#This Row],[Turbines ON/OFF]]="ON"),RecData[[#This Row],[dBA Sum]],"")</f>
        <v>39.737409096121127</v>
      </c>
      <c r="DQ121" s="55" t="str">
        <f>IF(AND(RecData[[#This Row],[Useable Background Data?]],RecData[[#This Row],[Turbines ON/OFF]]="OFF"),RecData[[#This Row],[dBA Sum]],"")</f>
        <v/>
      </c>
      <c r="DR121" s="3">
        <f>IF(OR(RecData[[#This Row],[Useable TON Data?]],RecData[[#This Row],[Useable Background Data?]]),ROUND(RecData[[#This Row],[WSpd_Avg '[m/s']]],0),"")</f>
        <v>1</v>
      </c>
      <c r="DS121" s="85">
        <f>(0.00002)^2*(10^(RecData[[#This Row],[Overall (dBA)]]/10))</f>
        <v>3.7653114152200301E-6</v>
      </c>
    </row>
    <row r="122" spans="1:123" ht="15" x14ac:dyDescent="0.25">
      <c r="A122" s="3" t="s">
        <v>249</v>
      </c>
      <c r="B122" s="12">
        <v>43252.92569444445</v>
      </c>
      <c r="C122" s="3"/>
      <c r="D122" s="3">
        <v>42.8</v>
      </c>
      <c r="E122" s="3"/>
      <c r="F122" s="3"/>
      <c r="G122" s="3"/>
      <c r="H122" s="3"/>
      <c r="I122" s="3"/>
      <c r="J122" s="3"/>
      <c r="K122" s="3">
        <v>41.2</v>
      </c>
      <c r="L122" s="3"/>
      <c r="M122" s="3"/>
      <c r="N122" s="3">
        <v>164.9</v>
      </c>
      <c r="O122" s="3"/>
      <c r="P122" s="3"/>
      <c r="Q122" s="3">
        <v>1.57</v>
      </c>
      <c r="R122" s="3">
        <v>0.7</v>
      </c>
      <c r="S122" s="3">
        <v>2.6</v>
      </c>
      <c r="T122" s="3">
        <v>9.6999999999999993</v>
      </c>
      <c r="U122" s="3">
        <v>59.7</v>
      </c>
      <c r="V122" s="3">
        <v>975.2</v>
      </c>
      <c r="W122" s="3">
        <v>0</v>
      </c>
      <c r="X122" s="3">
        <v>48.2</v>
      </c>
      <c r="Y122" s="3">
        <v>47.6</v>
      </c>
      <c r="Z122" s="3">
        <v>47.9</v>
      </c>
      <c r="AA122" s="3">
        <v>44</v>
      </c>
      <c r="AB122" s="3">
        <v>38.700000000000003</v>
      </c>
      <c r="AC122" s="3">
        <v>37.299999999999997</v>
      </c>
      <c r="AD122" s="3">
        <v>39.4</v>
      </c>
      <c r="AE122" s="3">
        <v>40.9</v>
      </c>
      <c r="AF122" s="3">
        <v>45.3</v>
      </c>
      <c r="AG122" s="3">
        <v>40.4</v>
      </c>
      <c r="AH122" s="3">
        <v>36.6</v>
      </c>
      <c r="AI122" s="3">
        <v>37.200000000000003</v>
      </c>
      <c r="AJ122" s="3">
        <v>35.799999999999997</v>
      </c>
      <c r="AK122" s="3">
        <v>34.299999999999997</v>
      </c>
      <c r="AL122" s="3">
        <v>32.299999999999997</v>
      </c>
      <c r="AM122" s="3">
        <v>32</v>
      </c>
      <c r="AN122" s="3">
        <v>30.7</v>
      </c>
      <c r="AO122" s="3">
        <v>27.7</v>
      </c>
      <c r="AP122" s="3">
        <v>25.6</v>
      </c>
      <c r="AQ122" s="3">
        <v>23.7</v>
      </c>
      <c r="AR122" s="3">
        <v>20.8</v>
      </c>
      <c r="AS122" s="3">
        <v>33.799999999999997</v>
      </c>
      <c r="AT122" s="3">
        <v>37.200000000000003</v>
      </c>
      <c r="AU122" s="3">
        <v>16.8</v>
      </c>
      <c r="AV122" s="3">
        <v>15</v>
      </c>
      <c r="AW122" s="3">
        <v>13.9</v>
      </c>
      <c r="AX122" s="3">
        <v>11.1</v>
      </c>
      <c r="AY122" s="3">
        <v>10.5</v>
      </c>
      <c r="AZ122" s="3">
        <v>0</v>
      </c>
      <c r="BA122" s="3">
        <v>0</v>
      </c>
      <c r="BB122" s="3">
        <v>0</v>
      </c>
      <c r="BC122" s="3">
        <v>42.76314426994886</v>
      </c>
      <c r="BD122" s="3">
        <v>48.23685573005114</v>
      </c>
      <c r="BE122" s="3">
        <v>47.636855730051145</v>
      </c>
      <c r="BF122" s="3">
        <v>46.696855730051134</v>
      </c>
      <c r="BG122" s="3">
        <v>43.123522396717796</v>
      </c>
      <c r="BH122" s="3">
        <v>37.963522396717799</v>
      </c>
      <c r="BI122" s="3">
        <v>36.976855730051135</v>
      </c>
      <c r="BJ122" s="3">
        <v>39.870189063384466</v>
      </c>
      <c r="BK122" s="3">
        <v>41.2435223967178</v>
      </c>
      <c r="BL122" s="3">
        <v>45.21685573005113</v>
      </c>
      <c r="BM122" s="3">
        <v>40.450189063384478</v>
      </c>
      <c r="BN122" s="3">
        <v>36.933522396717798</v>
      </c>
      <c r="BO122" s="3">
        <v>36.900189063384467</v>
      </c>
      <c r="BP122" s="3">
        <v>35.21685573005113</v>
      </c>
      <c r="BQ122" s="3">
        <v>34.133522396717787</v>
      </c>
      <c r="BR122" s="3">
        <v>32.460189063384469</v>
      </c>
      <c r="BS122" s="3">
        <v>31.963522396717799</v>
      </c>
      <c r="BT122" s="3">
        <v>30.860189063384475</v>
      </c>
      <c r="BU122" s="3">
        <v>27.826855730051143</v>
      </c>
      <c r="BV122" s="3">
        <v>25.443522396717803</v>
      </c>
      <c r="BW122" s="3">
        <v>24.076855730051143</v>
      </c>
      <c r="BX122" s="3">
        <v>21.096855730051139</v>
      </c>
      <c r="BY122" s="3">
        <v>33.916855730051132</v>
      </c>
      <c r="BZ122" s="3">
        <v>37.446855730051148</v>
      </c>
      <c r="CA122" s="3">
        <v>17.146855730051129</v>
      </c>
      <c r="CB122" s="3">
        <v>14.7835223967178</v>
      </c>
      <c r="CC122" s="3">
        <v>13.896855730051136</v>
      </c>
      <c r="CD122" s="3">
        <v>10.403522396717811</v>
      </c>
      <c r="CE122" s="3">
        <v>9.9968557300511378</v>
      </c>
      <c r="CF122" s="3">
        <v>-0.88981093661553246</v>
      </c>
      <c r="CG122" s="3">
        <v>-1.4231442699488639</v>
      </c>
      <c r="CH122" s="3">
        <v>-2.4998109366155319</v>
      </c>
      <c r="CI122" s="13">
        <f>[1]!dbasum(RecData[[#This Row],[20]:[2000]],RecData[[#Headers],[20]:[2000]])</f>
        <v>39.334855934739508</v>
      </c>
      <c r="CJ122" s="14">
        <v>862</v>
      </c>
      <c r="CK122" s="15" t="s">
        <v>249</v>
      </c>
      <c r="CL122" s="15">
        <f>RecData[[#This Row],[Start Time]]</f>
        <v>43252.92569444445</v>
      </c>
      <c r="CM122" s="16">
        <f>RecData[[#This Row],[Wind Speed avg]]</f>
        <v>1.57</v>
      </c>
      <c r="CN122" s="16">
        <f>RecData[[#This Row],[Wind Dir. avg]]</f>
        <v>164.9</v>
      </c>
      <c r="CO122" s="16">
        <f>RecData[[#This Row],[Amb. Humidity]]</f>
        <v>59.7</v>
      </c>
      <c r="CP122" s="16">
        <f>RecData[[#This Row],[Amb. Temperature]]</f>
        <v>9.6999999999999993</v>
      </c>
      <c r="CQ122" s="17">
        <f>RecData[[#This Row],[Amb. Rain Gauge]]</f>
        <v>0</v>
      </c>
      <c r="CR122" s="4" t="s">
        <v>1</v>
      </c>
      <c r="CS122" s="4" t="s">
        <v>49</v>
      </c>
      <c r="CT122" s="70">
        <v>1547.6492920000001</v>
      </c>
      <c r="CU122" s="70">
        <v>30.000255584716701</v>
      </c>
      <c r="CV122" s="70">
        <v>10.2132349014282</v>
      </c>
      <c r="CW122" s="70">
        <v>15.094129562377899</v>
      </c>
      <c r="CX122" s="97"/>
      <c r="CY122" s="99"/>
      <c r="CZ122" s="2" t="b">
        <f>IF($DP$1="YES",IF(RecData[[#This Row],[Power (kW)]]&gt;=$CR$3, TRUE,FALSE),TRUE)</f>
        <v>1</v>
      </c>
      <c r="DA122" s="16">
        <f>MIN(MOD(180-ABS(ABS($DA$1-RecData[Yaw Angle (°)])-180),360),MOD(180-ABS(ABS($DB$1-RecData[Yaw Angle (°)])-180),360))</f>
        <v>22.470328807029148</v>
      </c>
      <c r="DB122" s="2" t="str">
        <f>IF($DP$2="None","None",IF(RecData[[#This Row],[Relative Wind Direction]]&lt;=45,"DW",IF(RecData[[#This Row],[Relative Wind Direction]]&lt;=135,"CW","UW")))</f>
        <v>DW</v>
      </c>
      <c r="DC122" s="61" t="e">
        <f>IF($CL122-$CL120&gt;1/24,#REF!,IF(SUM($CQ120:$CQ122)&gt;$DS$1,$DS$5,#REF!-1))</f>
        <v>#REF!</v>
      </c>
      <c r="DD122" s="61" t="e">
        <f>IF(#REF!-$CL122&gt;1/24,#REF!,IF(SUM($CQ120:$CQ122)&gt;$DS$1,$DS$6,#REF!-1))</f>
        <v>#REF!</v>
      </c>
      <c r="DE122" s="18" t="b">
        <v>0</v>
      </c>
      <c r="DF122" s="2" t="b">
        <f>IF(OR(RecData[[#This Row],[WSpd_Avg '[m/s']]]-RecData[[#This Row],[Wind Speed min]]&gt;=$DF$3,RecData[[#This Row],[Wind Speed max]]-RecData[[#This Row],[WSpd_Avg '[m/s']]]&gt;=$DF$2),TRUE,FALSE)</f>
        <v>0</v>
      </c>
      <c r="DG122" s="2" t="b">
        <f>RecData[[#This Row],[Temperature '[°C']]]&lt;=-20</f>
        <v>0</v>
      </c>
      <c r="DH122" s="18" t="b">
        <f>NOT(OR(MOD(RecData[[#This Row],[TIMESTAMP]],1)&gt;0.91632,MOD(RecData[[#This Row],[TIMESTAMP]],1)&lt;0.208681))</f>
        <v>0</v>
      </c>
      <c r="DI122" s="18" t="b">
        <f>RecData[[#This Row],[Overall (dBA)]]-RecData[[#This Row],[L90]]&gt;=$DS$4</f>
        <v>0</v>
      </c>
      <c r="DJ122" s="18" t="b">
        <f>RecData[[#This Row],[Overall (dBA)]]&gt;$DS$2</f>
        <v>0</v>
      </c>
      <c r="DK122" s="18" t="b">
        <f>RecData[[#This Row],[Overall (dBA)]]&lt;$DS$3</f>
        <v>0</v>
      </c>
      <c r="DL1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" s="2">
        <f>IF(AND(RecData[[#This Row],[Turbines ON/OFF]] = "OFF", NOT(OR(RecData[[#This Row],[Junk?]]="YES",RecData[[#This Row],[Gust?]],RecData[[#This Row],[Rain?]:[Min SPL Threshold?]]))),1,0)</f>
        <v>0</v>
      </c>
      <c r="DN122" s="16">
        <f>RecData[[#This Row],[dBA Sum]]</f>
        <v>39.334855934739508</v>
      </c>
      <c r="DO122" s="16">
        <f>RecData[[#This Row],[LAF90.0]]</f>
        <v>41.2</v>
      </c>
      <c r="DP122" s="55">
        <f>IF(AND(RecData[[#This Row],[Useable TON Data?]],RecData[[#This Row],[Turbines ON/OFF]]="ON"),RecData[[#This Row],[dBA Sum]],"")</f>
        <v>39.334855934739508</v>
      </c>
      <c r="DQ122" s="55" t="str">
        <f>IF(AND(RecData[[#This Row],[Useable Background Data?]],RecData[[#This Row],[Turbines ON/OFF]]="OFF"),RecData[[#This Row],[dBA Sum]],"")</f>
        <v/>
      </c>
      <c r="DR122" s="3">
        <f>IF(OR(RecData[[#This Row],[Useable TON Data?]],RecData[[#This Row],[Useable Background Data?]]),ROUND(RecData[[#This Row],[WSpd_Avg '[m/s']]],0),"")</f>
        <v>2</v>
      </c>
      <c r="DS122" s="85">
        <f>(0.00002)^2*(10^(RecData[[#This Row],[Overall (dBA)]]/10))</f>
        <v>3.4319866102770012E-6</v>
      </c>
    </row>
    <row r="123" spans="1:123" ht="15" x14ac:dyDescent="0.25">
      <c r="A123" s="3" t="s">
        <v>249</v>
      </c>
      <c r="B123" s="12">
        <v>43252.927083333336</v>
      </c>
      <c r="C123" s="3"/>
      <c r="D123" s="3">
        <v>42.5</v>
      </c>
      <c r="E123" s="3"/>
      <c r="F123" s="3"/>
      <c r="G123" s="3"/>
      <c r="H123" s="3"/>
      <c r="I123" s="3"/>
      <c r="J123" s="3"/>
      <c r="K123" s="3">
        <v>40.5</v>
      </c>
      <c r="L123" s="3"/>
      <c r="M123" s="3"/>
      <c r="N123" s="3">
        <v>164.5</v>
      </c>
      <c r="O123" s="3"/>
      <c r="P123" s="3"/>
      <c r="Q123" s="3">
        <v>0.45</v>
      </c>
      <c r="R123" s="3">
        <v>0.1</v>
      </c>
      <c r="S123" s="3">
        <v>1</v>
      </c>
      <c r="T123" s="3">
        <v>9.8000000000000007</v>
      </c>
      <c r="U123" s="3">
        <v>60.2</v>
      </c>
      <c r="V123" s="3">
        <v>975.2</v>
      </c>
      <c r="W123" s="3">
        <v>0</v>
      </c>
      <c r="X123" s="3">
        <v>47.8</v>
      </c>
      <c r="Y123" s="3">
        <v>47</v>
      </c>
      <c r="Z123" s="3">
        <v>47.1</v>
      </c>
      <c r="AA123" s="3">
        <v>43.1</v>
      </c>
      <c r="AB123" s="3">
        <v>37.799999999999997</v>
      </c>
      <c r="AC123" s="3">
        <v>36.700000000000003</v>
      </c>
      <c r="AD123" s="3">
        <v>39.6</v>
      </c>
      <c r="AE123" s="3">
        <v>41.2</v>
      </c>
      <c r="AF123" s="3">
        <v>45.6</v>
      </c>
      <c r="AG123" s="3">
        <v>39.799999999999997</v>
      </c>
      <c r="AH123" s="3">
        <v>37</v>
      </c>
      <c r="AI123" s="3">
        <v>37.799999999999997</v>
      </c>
      <c r="AJ123" s="3">
        <v>36</v>
      </c>
      <c r="AK123" s="3">
        <v>34.1</v>
      </c>
      <c r="AL123" s="3">
        <v>32.1</v>
      </c>
      <c r="AM123" s="3">
        <v>31.7</v>
      </c>
      <c r="AN123" s="3">
        <v>30.1</v>
      </c>
      <c r="AO123" s="3">
        <v>26.8</v>
      </c>
      <c r="AP123" s="3">
        <v>24.6</v>
      </c>
      <c r="AQ123" s="3">
        <v>22</v>
      </c>
      <c r="AR123" s="3">
        <v>18</v>
      </c>
      <c r="AS123" s="3">
        <v>33.9</v>
      </c>
      <c r="AT123" s="3">
        <v>36.799999999999997</v>
      </c>
      <c r="AU123" s="3">
        <v>11.5</v>
      </c>
      <c r="AV123" s="3">
        <v>9.4</v>
      </c>
      <c r="AW123" s="3">
        <v>9.4</v>
      </c>
      <c r="AX123" s="3">
        <v>9.1</v>
      </c>
      <c r="AY123" s="3">
        <v>9.3000000000000007</v>
      </c>
      <c r="AZ123" s="3">
        <v>0</v>
      </c>
      <c r="BA123" s="3">
        <v>0</v>
      </c>
      <c r="BB123" s="3">
        <v>0</v>
      </c>
      <c r="BC123" s="3">
        <v>42.507458850748854</v>
      </c>
      <c r="BD123" s="3">
        <v>47.792541149251143</v>
      </c>
      <c r="BE123" s="3">
        <v>46.992541149251146</v>
      </c>
      <c r="BF123" s="3">
        <v>45.852541149251145</v>
      </c>
      <c r="BG123" s="3">
        <v>42.179207815917813</v>
      </c>
      <c r="BH123" s="3">
        <v>37.019207815917817</v>
      </c>
      <c r="BI123" s="3">
        <v>36.332541149251149</v>
      </c>
      <c r="BJ123" s="3">
        <v>40.025874482584477</v>
      </c>
      <c r="BK123" s="3">
        <v>41.499207815917806</v>
      </c>
      <c r="BL123" s="3">
        <v>45.47254114925115</v>
      </c>
      <c r="BM123" s="3">
        <v>39.805874482584478</v>
      </c>
      <c r="BN123" s="3">
        <v>37.289207815917813</v>
      </c>
      <c r="BO123" s="3">
        <v>37.455874482584484</v>
      </c>
      <c r="BP123" s="3">
        <v>35.372541149251141</v>
      </c>
      <c r="BQ123" s="3">
        <v>33.889207815917807</v>
      </c>
      <c r="BR123" s="3">
        <v>32.215874482584475</v>
      </c>
      <c r="BS123" s="3">
        <v>31.619207815917811</v>
      </c>
      <c r="BT123" s="3">
        <v>30.215874482584475</v>
      </c>
      <c r="BU123" s="3">
        <v>26.882541149251146</v>
      </c>
      <c r="BV123" s="3">
        <v>24.399207815917812</v>
      </c>
      <c r="BW123" s="3">
        <v>22.332541149251149</v>
      </c>
      <c r="BX123" s="3">
        <v>18.252541149251151</v>
      </c>
      <c r="BY123" s="3">
        <v>33.972541149251136</v>
      </c>
      <c r="BZ123" s="3">
        <v>37.002541149251137</v>
      </c>
      <c r="CA123" s="3">
        <v>11.802541149251141</v>
      </c>
      <c r="CB123" s="3">
        <v>9.139207815917807</v>
      </c>
      <c r="CC123" s="3">
        <v>9.3525411492511452</v>
      </c>
      <c r="CD123" s="3">
        <v>8.35920781591782</v>
      </c>
      <c r="CE123" s="3">
        <v>8.7525411492511438</v>
      </c>
      <c r="CF123" s="3">
        <v>-0.93412551741552363</v>
      </c>
      <c r="CG123" s="3">
        <v>-1.4674588507488551</v>
      </c>
      <c r="CH123" s="3">
        <v>-2.5441255174155231</v>
      </c>
      <c r="CI123" s="13">
        <f>[1]!dbasum(RecData[[#This Row],[20]:[2000]],RecData[[#Headers],[20]:[2000]])</f>
        <v>39.037829541800093</v>
      </c>
      <c r="CJ123" s="14">
        <v>864</v>
      </c>
      <c r="CK123" s="15" t="s">
        <v>249</v>
      </c>
      <c r="CL123" s="15">
        <f>RecData[[#This Row],[Start Time]]</f>
        <v>43252.927083333336</v>
      </c>
      <c r="CM123" s="16">
        <f>RecData[[#This Row],[Wind Speed avg]]</f>
        <v>0.45</v>
      </c>
      <c r="CN123" s="16">
        <f>RecData[[#This Row],[Wind Dir. avg]]</f>
        <v>164.5</v>
      </c>
      <c r="CO123" s="16">
        <f>RecData[[#This Row],[Amb. Humidity]]</f>
        <v>60.2</v>
      </c>
      <c r="CP123" s="16">
        <f>RecData[[#This Row],[Amb. Temperature]]</f>
        <v>9.8000000000000007</v>
      </c>
      <c r="CQ123" s="17">
        <f>RecData[[#This Row],[Amb. Rain Gauge]]</f>
        <v>0</v>
      </c>
      <c r="CR123" s="4" t="s">
        <v>1</v>
      </c>
      <c r="CS123" s="4" t="s">
        <v>49</v>
      </c>
      <c r="CT123" s="70">
        <v>1547.6492920000001</v>
      </c>
      <c r="CU123" s="70">
        <v>30.000255584716701</v>
      </c>
      <c r="CV123" s="70">
        <v>10.2132349014282</v>
      </c>
      <c r="CW123" s="70">
        <v>15.094129562377899</v>
      </c>
      <c r="CX123" s="97"/>
      <c r="CY123" s="99"/>
      <c r="CZ123" s="2" t="b">
        <f>IF($DP$1="YES",IF(RecData[[#This Row],[Power (kW)]]&gt;=$CR$3, TRUE,FALSE),TRUE)</f>
        <v>1</v>
      </c>
      <c r="DA123" s="16">
        <f>MIN(MOD(180-ABS(ABS($DA$1-RecData[Yaw Angle (°)])-180),360),MOD(180-ABS(ABS($DB$1-RecData[Yaw Angle (°)])-180),360))</f>
        <v>22.470328807029148</v>
      </c>
      <c r="DB123" s="2" t="str">
        <f>IF($DP$2="None","None",IF(RecData[[#This Row],[Relative Wind Direction]]&lt;=45,"DW",IF(RecData[[#This Row],[Relative Wind Direction]]&lt;=135,"CW","UW")))</f>
        <v>DW</v>
      </c>
      <c r="DC123" s="61" t="e">
        <f>IF($CL123-$CL121&gt;1/24,#REF!,IF(SUM($CQ121:$CQ123)&gt;$DS$1,$DS$5,#REF!-1))</f>
        <v>#REF!</v>
      </c>
      <c r="DD123" s="61" t="e">
        <f>IF(#REF!-$CL123&gt;1/24,#REF!,IF(SUM($CQ121:$CQ123)&gt;$DS$1,$DS$6,#REF!-1))</f>
        <v>#REF!</v>
      </c>
      <c r="DE123" s="18" t="b">
        <v>0</v>
      </c>
      <c r="DF123" s="2" t="b">
        <f>IF(OR(RecData[[#This Row],[WSpd_Avg '[m/s']]]-RecData[[#This Row],[Wind Speed min]]&gt;=$DF$3,RecData[[#This Row],[Wind Speed max]]-RecData[[#This Row],[WSpd_Avg '[m/s']]]&gt;=$DF$2),TRUE,FALSE)</f>
        <v>0</v>
      </c>
      <c r="DG123" s="2" t="b">
        <f>RecData[[#This Row],[Temperature '[°C']]]&lt;=-20</f>
        <v>0</v>
      </c>
      <c r="DH123" s="18" t="b">
        <f>NOT(OR(MOD(RecData[[#This Row],[TIMESTAMP]],1)&gt;0.91632,MOD(RecData[[#This Row],[TIMESTAMP]],1)&lt;0.208681))</f>
        <v>0</v>
      </c>
      <c r="DI123" s="18" t="b">
        <f>RecData[[#This Row],[Overall (dBA)]]-RecData[[#This Row],[L90]]&gt;=$DS$4</f>
        <v>0</v>
      </c>
      <c r="DJ123" s="18" t="b">
        <f>RecData[[#This Row],[Overall (dBA)]]&gt;$DS$2</f>
        <v>0</v>
      </c>
      <c r="DK123" s="18" t="b">
        <f>RecData[[#This Row],[Overall (dBA)]]&lt;$DS$3</f>
        <v>0</v>
      </c>
      <c r="DL1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" s="2">
        <f>IF(AND(RecData[[#This Row],[Turbines ON/OFF]] = "OFF", NOT(OR(RecData[[#This Row],[Junk?]]="YES",RecData[[#This Row],[Gust?]],RecData[[#This Row],[Rain?]:[Min SPL Threshold?]]))),1,0)</f>
        <v>0</v>
      </c>
      <c r="DN123" s="16">
        <f>RecData[[#This Row],[dBA Sum]]</f>
        <v>39.037829541800093</v>
      </c>
      <c r="DO123" s="16">
        <f>RecData[[#This Row],[LAF90.0]]</f>
        <v>40.5</v>
      </c>
      <c r="DP123" s="55">
        <f>IF(AND(RecData[[#This Row],[Useable TON Data?]],RecData[[#This Row],[Turbines ON/OFF]]="ON"),RecData[[#This Row],[dBA Sum]],"")</f>
        <v>39.037829541800093</v>
      </c>
      <c r="DQ123" s="55" t="str">
        <f>IF(AND(RecData[[#This Row],[Useable Background Data?]],RecData[[#This Row],[Turbines ON/OFF]]="OFF"),RecData[[#This Row],[dBA Sum]],"")</f>
        <v/>
      </c>
      <c r="DR123" s="3">
        <f>IF(OR(RecData[[#This Row],[Useable TON Data?]],RecData[[#This Row],[Useable Background Data?]]),ROUND(RecData[[#This Row],[WSpd_Avg '[m/s']]],0),"")</f>
        <v>0</v>
      </c>
      <c r="DS123" s="85">
        <f>(0.00002)^2*(10^(RecData[[#This Row],[Overall (dBA)]]/10))</f>
        <v>3.2051100466866992E-6</v>
      </c>
    </row>
    <row r="124" spans="1:123" ht="15" x14ac:dyDescent="0.25">
      <c r="A124" s="3" t="s">
        <v>249</v>
      </c>
      <c r="B124" s="12">
        <v>43252.928472222229</v>
      </c>
      <c r="C124" s="3"/>
      <c r="D124" s="3">
        <v>42.3</v>
      </c>
      <c r="E124" s="3"/>
      <c r="F124" s="3"/>
      <c r="G124" s="3"/>
      <c r="H124" s="3"/>
      <c r="I124" s="3"/>
      <c r="J124" s="3"/>
      <c r="K124" s="3">
        <v>40.5</v>
      </c>
      <c r="L124" s="3"/>
      <c r="M124" s="3"/>
      <c r="N124" s="3">
        <v>159.4</v>
      </c>
      <c r="O124" s="3"/>
      <c r="P124" s="3"/>
      <c r="Q124" s="3">
        <v>1.6</v>
      </c>
      <c r="R124" s="3">
        <v>0.5</v>
      </c>
      <c r="S124" s="3">
        <v>2.8</v>
      </c>
      <c r="T124" s="3">
        <v>9.8000000000000007</v>
      </c>
      <c r="U124" s="3">
        <v>60.2</v>
      </c>
      <c r="V124" s="3">
        <v>975.2</v>
      </c>
      <c r="W124" s="3">
        <v>0</v>
      </c>
      <c r="X124" s="3">
        <v>48.2</v>
      </c>
      <c r="Y124" s="3">
        <v>47.2</v>
      </c>
      <c r="Z124" s="3">
        <v>47.2</v>
      </c>
      <c r="AA124" s="3">
        <v>43.8</v>
      </c>
      <c r="AB124" s="3">
        <v>38.700000000000003</v>
      </c>
      <c r="AC124" s="3">
        <v>37.299999999999997</v>
      </c>
      <c r="AD124" s="3">
        <v>39.9</v>
      </c>
      <c r="AE124" s="3">
        <v>41.7</v>
      </c>
      <c r="AF124" s="3">
        <v>46</v>
      </c>
      <c r="AG124" s="3">
        <v>39.6</v>
      </c>
      <c r="AH124" s="3">
        <v>36.799999999999997</v>
      </c>
      <c r="AI124" s="3">
        <v>37.1</v>
      </c>
      <c r="AJ124" s="3">
        <v>35.299999999999997</v>
      </c>
      <c r="AK124" s="3">
        <v>33.700000000000003</v>
      </c>
      <c r="AL124" s="3">
        <v>31.6</v>
      </c>
      <c r="AM124" s="3">
        <v>31.8</v>
      </c>
      <c r="AN124" s="3">
        <v>30.1</v>
      </c>
      <c r="AO124" s="3">
        <v>26.9</v>
      </c>
      <c r="AP124" s="3">
        <v>25</v>
      </c>
      <c r="AQ124" s="3">
        <v>22.2</v>
      </c>
      <c r="AR124" s="3">
        <v>18.399999999999999</v>
      </c>
      <c r="AS124" s="3">
        <v>33.700000000000003</v>
      </c>
      <c r="AT124" s="3">
        <v>36.299999999999997</v>
      </c>
      <c r="AU124" s="3">
        <v>13.4</v>
      </c>
      <c r="AV124" s="3">
        <v>12.1</v>
      </c>
      <c r="AW124" s="3">
        <v>11.6</v>
      </c>
      <c r="AX124" s="3">
        <v>10.1</v>
      </c>
      <c r="AY124" s="3">
        <v>9.9</v>
      </c>
      <c r="AZ124" s="3">
        <v>0</v>
      </c>
      <c r="BA124" s="3">
        <v>0</v>
      </c>
      <c r="BB124" s="3">
        <v>0</v>
      </c>
      <c r="BC124" s="3">
        <v>42.240879222507665</v>
      </c>
      <c r="BD124" s="3">
        <v>48.259120777492335</v>
      </c>
      <c r="BE124" s="3">
        <v>47.259120777492335</v>
      </c>
      <c r="BF124" s="3">
        <v>46.019120777492326</v>
      </c>
      <c r="BG124" s="3">
        <v>42.945787444159002</v>
      </c>
      <c r="BH124" s="3">
        <v>37.985787444158994</v>
      </c>
      <c r="BI124" s="3">
        <v>36.99912077749233</v>
      </c>
      <c r="BJ124" s="3">
        <v>40.392454110825661</v>
      </c>
      <c r="BK124" s="3">
        <v>42.065787444159007</v>
      </c>
      <c r="BL124" s="3">
        <v>45.939120777492342</v>
      </c>
      <c r="BM124" s="3">
        <v>39.672454110825662</v>
      </c>
      <c r="BN124" s="3">
        <v>37.155787444158996</v>
      </c>
      <c r="BO124" s="3">
        <v>36.822454110825667</v>
      </c>
      <c r="BP124" s="3">
        <v>34.739120777492325</v>
      </c>
      <c r="BQ124" s="3">
        <v>33.555787444158987</v>
      </c>
      <c r="BR124" s="3">
        <v>31.782454110825675</v>
      </c>
      <c r="BS124" s="3">
        <v>31.785787444159006</v>
      </c>
      <c r="BT124" s="3">
        <v>30.282454110825675</v>
      </c>
      <c r="BU124" s="3">
        <v>27.049120777492327</v>
      </c>
      <c r="BV124" s="3">
        <v>24.865787444159004</v>
      </c>
      <c r="BW124" s="3">
        <v>22.599120777492338</v>
      </c>
      <c r="BX124" s="3">
        <v>18.719120777492336</v>
      </c>
      <c r="BY124" s="3">
        <v>33.839120777492333</v>
      </c>
      <c r="BZ124" s="3">
        <v>36.569120777492337</v>
      </c>
      <c r="CA124" s="3">
        <v>13.769120777492326</v>
      </c>
      <c r="CB124" s="3">
        <v>11.905787444158996</v>
      </c>
      <c r="CC124" s="3">
        <v>11.619120777492334</v>
      </c>
      <c r="CD124" s="3">
        <v>9.4257874441590062</v>
      </c>
      <c r="CE124" s="3">
        <v>9.4191207774923313</v>
      </c>
      <c r="CF124" s="3">
        <v>-0.8675458891743375</v>
      </c>
      <c r="CG124" s="3">
        <v>-1.4008792225076689</v>
      </c>
      <c r="CH124" s="3">
        <v>-2.4775458891743369</v>
      </c>
      <c r="CI124" s="13">
        <f>[1]!dbasum(RecData[[#This Row],[20]:[2000]],RecData[[#Headers],[20]:[2000]])</f>
        <v>38.978968185917367</v>
      </c>
      <c r="CJ124" s="14">
        <v>866</v>
      </c>
      <c r="CK124" s="15" t="s">
        <v>249</v>
      </c>
      <c r="CL124" s="15">
        <f>RecData[[#This Row],[Start Time]]</f>
        <v>43252.928472222229</v>
      </c>
      <c r="CM124" s="16">
        <f>RecData[[#This Row],[Wind Speed avg]]</f>
        <v>1.6</v>
      </c>
      <c r="CN124" s="16">
        <f>RecData[[#This Row],[Wind Dir. avg]]</f>
        <v>159.4</v>
      </c>
      <c r="CO124" s="16">
        <f>RecData[[#This Row],[Amb. Humidity]]</f>
        <v>60.2</v>
      </c>
      <c r="CP124" s="16">
        <f>RecData[[#This Row],[Amb. Temperature]]</f>
        <v>9.8000000000000007</v>
      </c>
      <c r="CQ124" s="17">
        <f>RecData[[#This Row],[Amb. Rain Gauge]]</f>
        <v>0</v>
      </c>
      <c r="CR124" s="4" t="s">
        <v>1</v>
      </c>
      <c r="CS124" s="4" t="s">
        <v>49</v>
      </c>
      <c r="CT124" s="70">
        <v>1547.6492920000001</v>
      </c>
      <c r="CU124" s="70">
        <v>30.000255584716701</v>
      </c>
      <c r="CV124" s="70">
        <v>10.2132349014282</v>
      </c>
      <c r="CW124" s="70">
        <v>15.094129562377899</v>
      </c>
      <c r="CX124" s="97"/>
      <c r="CY124" s="99"/>
      <c r="CZ124" s="2" t="b">
        <f>IF($DP$1="YES",IF(RecData[[#This Row],[Power (kW)]]&gt;=$CR$3, TRUE,FALSE),TRUE)</f>
        <v>1</v>
      </c>
      <c r="DA124" s="16">
        <f>MIN(MOD(180-ABS(ABS($DA$1-RecData[Yaw Angle (°)])-180),360),MOD(180-ABS(ABS($DB$1-RecData[Yaw Angle (°)])-180),360))</f>
        <v>22.470328807029148</v>
      </c>
      <c r="DB124" s="2" t="str">
        <f>IF($DP$2="None","None",IF(RecData[[#This Row],[Relative Wind Direction]]&lt;=45,"DW",IF(RecData[[#This Row],[Relative Wind Direction]]&lt;=135,"CW","UW")))</f>
        <v>DW</v>
      </c>
      <c r="DC124" s="61" t="e">
        <f>IF($CL124-#REF!&gt;1/24,#REF!,IF(SUM($CQ124:$CQ124)&gt;$DS$1,$DS$5,#REF!-1))</f>
        <v>#REF!</v>
      </c>
      <c r="DD124" s="61" t="e">
        <f>IF(#REF!-$CL124&gt;1/24,#REF!,IF(SUM($CQ124:$CQ124)&gt;$DS$1,$DS$6,#REF!-1))</f>
        <v>#REF!</v>
      </c>
      <c r="DE124" s="18" t="b">
        <v>0</v>
      </c>
      <c r="DF124" s="2" t="b">
        <f>IF(OR(RecData[[#This Row],[WSpd_Avg '[m/s']]]-RecData[[#This Row],[Wind Speed min]]&gt;=$DF$3,RecData[[#This Row],[Wind Speed max]]-RecData[[#This Row],[WSpd_Avg '[m/s']]]&gt;=$DF$2),TRUE,FALSE)</f>
        <v>0</v>
      </c>
      <c r="DG124" s="2" t="b">
        <f>RecData[[#This Row],[Temperature '[°C']]]&lt;=-20</f>
        <v>0</v>
      </c>
      <c r="DH124" s="18" t="b">
        <f>NOT(OR(MOD(RecData[[#This Row],[TIMESTAMP]],1)&gt;0.91632,MOD(RecData[[#This Row],[TIMESTAMP]],1)&lt;0.208681))</f>
        <v>0</v>
      </c>
      <c r="DI124" s="18" t="b">
        <f>RecData[[#This Row],[Overall (dBA)]]-RecData[[#This Row],[L90]]&gt;=$DS$4</f>
        <v>0</v>
      </c>
      <c r="DJ124" s="18" t="b">
        <f>RecData[[#This Row],[Overall (dBA)]]&gt;$DS$2</f>
        <v>0</v>
      </c>
      <c r="DK124" s="18" t="b">
        <f>RecData[[#This Row],[Overall (dBA)]]&lt;$DS$3</f>
        <v>0</v>
      </c>
      <c r="DL1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" s="2">
        <f>IF(AND(RecData[[#This Row],[Turbines ON/OFF]] = "OFF", NOT(OR(RecData[[#This Row],[Junk?]]="YES",RecData[[#This Row],[Gust?]],RecData[[#This Row],[Rain?]:[Min SPL Threshold?]]))),1,0)</f>
        <v>0</v>
      </c>
      <c r="DN124" s="16">
        <f>RecData[[#This Row],[dBA Sum]]</f>
        <v>38.978968185917367</v>
      </c>
      <c r="DO124" s="16">
        <f>RecData[[#This Row],[LAF90.0]]</f>
        <v>40.5</v>
      </c>
      <c r="DP124" s="55">
        <f>IF(AND(RecData[[#This Row],[Useable TON Data?]],RecData[[#This Row],[Turbines ON/OFF]]="ON"),RecData[[#This Row],[dBA Sum]],"")</f>
        <v>38.978968185917367</v>
      </c>
      <c r="DQ124" s="55" t="str">
        <f>IF(AND(RecData[[#This Row],[Useable Background Data?]],RecData[[#This Row],[Turbines ON/OFF]]="OFF"),RecData[[#This Row],[dBA Sum]],"")</f>
        <v/>
      </c>
      <c r="DR124" s="3">
        <f>IF(OR(RecData[[#This Row],[Useable TON Data?]],RecData[[#This Row],[Useable Background Data?]]),ROUND(RecData[[#This Row],[WSpd_Avg '[m/s']]],0),"")</f>
        <v>2</v>
      </c>
      <c r="DS124" s="85">
        <f>(0.00002)^2*(10^(RecData[[#This Row],[Overall (dBA)]]/10))</f>
        <v>3.1619631909759828E-6</v>
      </c>
    </row>
    <row r="125" spans="1:123" ht="15" x14ac:dyDescent="0.25">
      <c r="A125" s="3" t="s">
        <v>249</v>
      </c>
      <c r="B125" s="12">
        <v>43252.929861111115</v>
      </c>
      <c r="C125" s="3"/>
      <c r="D125" s="3">
        <v>43.2</v>
      </c>
      <c r="E125" s="3"/>
      <c r="F125" s="3"/>
      <c r="G125" s="3"/>
      <c r="H125" s="3"/>
      <c r="I125" s="3"/>
      <c r="J125" s="3"/>
      <c r="K125" s="3">
        <v>41.7</v>
      </c>
      <c r="L125" s="3"/>
      <c r="M125" s="3"/>
      <c r="N125" s="3">
        <v>169.3</v>
      </c>
      <c r="O125" s="3"/>
      <c r="P125" s="3"/>
      <c r="Q125" s="3">
        <v>1.07</v>
      </c>
      <c r="R125" s="3">
        <v>0.2</v>
      </c>
      <c r="S125" s="3">
        <v>2.2999999999999998</v>
      </c>
      <c r="T125" s="3">
        <v>9.6999999999999993</v>
      </c>
      <c r="U125" s="3">
        <v>60.3</v>
      </c>
      <c r="V125" s="3">
        <v>975.3</v>
      </c>
      <c r="W125" s="3">
        <v>0</v>
      </c>
      <c r="X125" s="3">
        <v>49.3</v>
      </c>
      <c r="Y125" s="3">
        <v>48.1</v>
      </c>
      <c r="Z125" s="3">
        <v>47.7</v>
      </c>
      <c r="AA125" s="3">
        <v>43.8</v>
      </c>
      <c r="AB125" s="3">
        <v>39.1</v>
      </c>
      <c r="AC125" s="3">
        <v>38.1</v>
      </c>
      <c r="AD125" s="3">
        <v>40.799999999999997</v>
      </c>
      <c r="AE125" s="3">
        <v>42.3</v>
      </c>
      <c r="AF125" s="3">
        <v>46.7</v>
      </c>
      <c r="AG125" s="3">
        <v>40.1</v>
      </c>
      <c r="AH125" s="3">
        <v>37.9</v>
      </c>
      <c r="AI125" s="3">
        <v>37.799999999999997</v>
      </c>
      <c r="AJ125" s="3">
        <v>36.700000000000003</v>
      </c>
      <c r="AK125" s="3">
        <v>34.9</v>
      </c>
      <c r="AL125" s="3">
        <v>32.799999999999997</v>
      </c>
      <c r="AM125" s="3">
        <v>32.700000000000003</v>
      </c>
      <c r="AN125" s="3">
        <v>31</v>
      </c>
      <c r="AO125" s="3">
        <v>27.7</v>
      </c>
      <c r="AP125" s="3">
        <v>25.7</v>
      </c>
      <c r="AQ125" s="3">
        <v>23.4</v>
      </c>
      <c r="AR125" s="3">
        <v>21</v>
      </c>
      <c r="AS125" s="3">
        <v>34.700000000000003</v>
      </c>
      <c r="AT125" s="3">
        <v>37.1</v>
      </c>
      <c r="AU125" s="3">
        <v>17.5</v>
      </c>
      <c r="AV125" s="3">
        <v>16.600000000000001</v>
      </c>
      <c r="AW125" s="3">
        <v>15.9</v>
      </c>
      <c r="AX125" s="3">
        <v>12.8</v>
      </c>
      <c r="AY125" s="3">
        <v>11.7</v>
      </c>
      <c r="AZ125" s="3">
        <v>0</v>
      </c>
      <c r="BA125" s="3">
        <v>0</v>
      </c>
      <c r="BB125" s="3">
        <v>0</v>
      </c>
      <c r="BC125" s="3">
        <v>43.176282549309875</v>
      </c>
      <c r="BD125" s="3">
        <v>49.323717450690125</v>
      </c>
      <c r="BE125" s="3">
        <v>48.123717450690137</v>
      </c>
      <c r="BF125" s="3">
        <v>46.483717450690122</v>
      </c>
      <c r="BG125" s="3">
        <v>42.910384117356799</v>
      </c>
      <c r="BH125" s="3">
        <v>38.350384117356796</v>
      </c>
      <c r="BI125" s="3">
        <v>37.763717450690123</v>
      </c>
      <c r="BJ125" s="3">
        <v>41.257050784023463</v>
      </c>
      <c r="BK125" s="3">
        <v>42.630384117356797</v>
      </c>
      <c r="BL125" s="3">
        <v>46.603717450690127</v>
      </c>
      <c r="BM125" s="3">
        <v>40.137050784023458</v>
      </c>
      <c r="BN125" s="3">
        <v>38.220384117356801</v>
      </c>
      <c r="BO125" s="3">
        <v>37.487050784023452</v>
      </c>
      <c r="BP125" s="3">
        <v>36.103717450690127</v>
      </c>
      <c r="BQ125" s="3">
        <v>34.720384117356787</v>
      </c>
      <c r="BR125" s="3">
        <v>32.94705078402346</v>
      </c>
      <c r="BS125" s="3">
        <v>32.650384117356808</v>
      </c>
      <c r="BT125" s="3">
        <v>31.147050784023463</v>
      </c>
      <c r="BU125" s="3">
        <v>27.813717450690135</v>
      </c>
      <c r="BV125" s="3">
        <v>25.530384117356803</v>
      </c>
      <c r="BW125" s="3">
        <v>23.763717450690123</v>
      </c>
      <c r="BX125" s="3">
        <v>21.283717450690133</v>
      </c>
      <c r="BY125" s="3">
        <v>34.803717450690129</v>
      </c>
      <c r="BZ125" s="3">
        <v>37.333717450690131</v>
      </c>
      <c r="CA125" s="3">
        <v>17.833717450690116</v>
      </c>
      <c r="CB125" s="3">
        <v>16.370384117356792</v>
      </c>
      <c r="CC125" s="3">
        <v>15.883717450690128</v>
      </c>
      <c r="CD125" s="3">
        <v>12.090384117356798</v>
      </c>
      <c r="CE125" s="3">
        <v>11.183717450690125</v>
      </c>
      <c r="CF125" s="3">
        <v>-0.9029492159765411</v>
      </c>
      <c r="CG125" s="3">
        <v>-1.4362825493098725</v>
      </c>
      <c r="CH125" s="3">
        <v>-2.5129492159765405</v>
      </c>
      <c r="CI125" s="13">
        <f>[1]!dbasum(RecData[[#This Row],[20]:[2000]],RecData[[#Headers],[20]:[2000]])</f>
        <v>39.905599702844754</v>
      </c>
      <c r="CJ125" s="14">
        <v>868</v>
      </c>
      <c r="CK125" s="15" t="s">
        <v>249</v>
      </c>
      <c r="CL125" s="15">
        <f>RecData[[#This Row],[Start Time]]</f>
        <v>43252.929861111115</v>
      </c>
      <c r="CM125" s="16">
        <f>RecData[[#This Row],[Wind Speed avg]]</f>
        <v>1.07</v>
      </c>
      <c r="CN125" s="16">
        <f>RecData[[#This Row],[Wind Dir. avg]]</f>
        <v>169.3</v>
      </c>
      <c r="CO125" s="16">
        <f>RecData[[#This Row],[Amb. Humidity]]</f>
        <v>60.3</v>
      </c>
      <c r="CP125" s="16">
        <f>RecData[[#This Row],[Amb. Temperature]]</f>
        <v>9.6999999999999993</v>
      </c>
      <c r="CQ125" s="17">
        <f>RecData[[#This Row],[Amb. Rain Gauge]]</f>
        <v>0</v>
      </c>
      <c r="CR125" s="4" t="s">
        <v>1</v>
      </c>
      <c r="CS125" s="4" t="s">
        <v>49</v>
      </c>
      <c r="CT125" s="70">
        <v>1547.6492920000001</v>
      </c>
      <c r="CU125" s="70">
        <v>30.000255584716701</v>
      </c>
      <c r="CV125" s="70">
        <v>10.2132349014282</v>
      </c>
      <c r="CW125" s="70">
        <v>15.094129562377899</v>
      </c>
      <c r="CX125" s="97"/>
      <c r="CY125" s="99"/>
      <c r="CZ125" s="2" t="b">
        <f>IF($DP$1="YES",IF(RecData[[#This Row],[Power (kW)]]&gt;=$CR$3, TRUE,FALSE),TRUE)</f>
        <v>1</v>
      </c>
      <c r="DA125" s="16">
        <f>MIN(MOD(180-ABS(ABS($DA$1-RecData[Yaw Angle (°)])-180),360),MOD(180-ABS(ABS($DB$1-RecData[Yaw Angle (°)])-180),360))</f>
        <v>22.470328807029148</v>
      </c>
      <c r="DB125" s="2" t="str">
        <f>IF($DP$2="None","None",IF(RecData[[#This Row],[Relative Wind Direction]]&lt;=45,"DW",IF(RecData[[#This Row],[Relative Wind Direction]]&lt;=135,"CW","UW")))</f>
        <v>DW</v>
      </c>
      <c r="DC125" s="61" t="e">
        <f>IF($CL125-#REF!&gt;1/24,#REF!,IF(SUM($CQ124:$CQ125)&gt;$DS$1,$DS$5,DC126-1))</f>
        <v>#REF!</v>
      </c>
      <c r="DD125" s="61" t="e">
        <f>IF($CL126-$CL125&gt;1/24,#REF!,IF(SUM($CQ124:$CQ125)&gt;$DS$1,$DS$6,#REF!-1))</f>
        <v>#REF!</v>
      </c>
      <c r="DE125" s="18" t="b">
        <v>0</v>
      </c>
      <c r="DF125" s="2" t="b">
        <f>IF(OR(RecData[[#This Row],[WSpd_Avg '[m/s']]]-RecData[[#This Row],[Wind Speed min]]&gt;=$DF$3,RecData[[#This Row],[Wind Speed max]]-RecData[[#This Row],[WSpd_Avg '[m/s']]]&gt;=$DF$2),TRUE,FALSE)</f>
        <v>0</v>
      </c>
      <c r="DG125" s="2" t="b">
        <f>RecData[[#This Row],[Temperature '[°C']]]&lt;=-20</f>
        <v>0</v>
      </c>
      <c r="DH125" s="18" t="b">
        <f>NOT(OR(MOD(RecData[[#This Row],[TIMESTAMP]],1)&gt;0.91632,MOD(RecData[[#This Row],[TIMESTAMP]],1)&lt;0.208681))</f>
        <v>0</v>
      </c>
      <c r="DI125" s="18" t="b">
        <f>RecData[[#This Row],[Overall (dBA)]]-RecData[[#This Row],[L90]]&gt;=$DS$4</f>
        <v>0</v>
      </c>
      <c r="DJ125" s="18" t="b">
        <f>RecData[[#This Row],[Overall (dBA)]]&gt;$DS$2</f>
        <v>0</v>
      </c>
      <c r="DK125" s="18" t="b">
        <f>RecData[[#This Row],[Overall (dBA)]]&lt;$DS$3</f>
        <v>0</v>
      </c>
      <c r="DL1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" s="2">
        <f>IF(AND(RecData[[#This Row],[Turbines ON/OFF]] = "OFF", NOT(OR(RecData[[#This Row],[Junk?]]="YES",RecData[[#This Row],[Gust?]],RecData[[#This Row],[Rain?]:[Min SPL Threshold?]]))),1,0)</f>
        <v>0</v>
      </c>
      <c r="DN125" s="16">
        <f>RecData[[#This Row],[dBA Sum]]</f>
        <v>39.905599702844754</v>
      </c>
      <c r="DO125" s="16">
        <f>RecData[[#This Row],[LAF90.0]]</f>
        <v>41.7</v>
      </c>
      <c r="DP125" s="55">
        <f>IF(AND(RecData[[#This Row],[Useable TON Data?]],RecData[[#This Row],[Turbines ON/OFF]]="ON"),RecData[[#This Row],[dBA Sum]],"")</f>
        <v>39.905599702844754</v>
      </c>
      <c r="DQ125" s="55" t="str">
        <f>IF(AND(RecData[[#This Row],[Useable Background Data?]],RecData[[#This Row],[Turbines ON/OFF]]="OFF"),RecData[[#This Row],[dBA Sum]],"")</f>
        <v/>
      </c>
      <c r="DR125" s="3">
        <f>IF(OR(RecData[[#This Row],[Useable TON Data?]],RecData[[#This Row],[Useable Background Data?]]),ROUND(RecData[[#This Row],[WSpd_Avg '[m/s']]],0),"")</f>
        <v>1</v>
      </c>
      <c r="DS125" s="85">
        <f>(0.00002)^2*(10^(RecData[[#This Row],[Overall (dBA)]]/10))</f>
        <v>3.9139922520318226E-6</v>
      </c>
    </row>
    <row r="126" spans="1:123" ht="15" x14ac:dyDescent="0.25">
      <c r="A126" s="3" t="s">
        <v>249</v>
      </c>
      <c r="B126" s="12">
        <v>43252.930555555562</v>
      </c>
      <c r="C126" s="3"/>
      <c r="D126" s="3">
        <v>43.1</v>
      </c>
      <c r="E126" s="3"/>
      <c r="F126" s="3"/>
      <c r="G126" s="3"/>
      <c r="H126" s="3"/>
      <c r="I126" s="3"/>
      <c r="J126" s="3"/>
      <c r="K126" s="3">
        <v>40.5</v>
      </c>
      <c r="L126" s="3"/>
      <c r="M126" s="3"/>
      <c r="N126" s="3">
        <v>180.3</v>
      </c>
      <c r="O126" s="3"/>
      <c r="P126" s="3"/>
      <c r="Q126" s="3">
        <v>0.86</v>
      </c>
      <c r="R126" s="3">
        <v>0.1</v>
      </c>
      <c r="S126" s="3">
        <v>1.4</v>
      </c>
      <c r="T126" s="3">
        <v>9.6999999999999993</v>
      </c>
      <c r="U126" s="3">
        <v>60.4</v>
      </c>
      <c r="V126" s="3">
        <v>975.2</v>
      </c>
      <c r="W126" s="3">
        <v>0</v>
      </c>
      <c r="X126" s="3">
        <v>48.6</v>
      </c>
      <c r="Y126" s="3">
        <v>47.6</v>
      </c>
      <c r="Z126" s="3">
        <v>47.5</v>
      </c>
      <c r="AA126" s="3">
        <v>43.6</v>
      </c>
      <c r="AB126" s="3">
        <v>38.4</v>
      </c>
      <c r="AC126" s="3">
        <v>37.4</v>
      </c>
      <c r="AD126" s="3">
        <v>39.5</v>
      </c>
      <c r="AE126" s="3">
        <v>40.9</v>
      </c>
      <c r="AF126" s="3">
        <v>45.9</v>
      </c>
      <c r="AG126" s="3">
        <v>39.1</v>
      </c>
      <c r="AH126" s="3">
        <v>36.4</v>
      </c>
      <c r="AI126" s="3">
        <v>36.700000000000003</v>
      </c>
      <c r="AJ126" s="3">
        <v>35.4</v>
      </c>
      <c r="AK126" s="3">
        <v>33.9</v>
      </c>
      <c r="AL126" s="3">
        <v>31.9</v>
      </c>
      <c r="AM126" s="3">
        <v>31.7</v>
      </c>
      <c r="AN126" s="3">
        <v>30.2</v>
      </c>
      <c r="AO126" s="3">
        <v>27.1</v>
      </c>
      <c r="AP126" s="3">
        <v>25.4</v>
      </c>
      <c r="AQ126" s="3">
        <v>23</v>
      </c>
      <c r="AR126" s="3">
        <v>19.8</v>
      </c>
      <c r="AS126" s="3">
        <v>35.299999999999997</v>
      </c>
      <c r="AT126" s="3">
        <v>37.700000000000003</v>
      </c>
      <c r="AU126" s="3">
        <v>14.8</v>
      </c>
      <c r="AV126" s="3">
        <v>12.9</v>
      </c>
      <c r="AW126" s="3">
        <v>11.9</v>
      </c>
      <c r="AX126" s="3">
        <v>10.199999999999999</v>
      </c>
      <c r="AY126" s="3">
        <v>9.9</v>
      </c>
      <c r="AZ126" s="3">
        <v>0</v>
      </c>
      <c r="BA126" s="3">
        <v>0</v>
      </c>
      <c r="BB126" s="3">
        <v>0</v>
      </c>
      <c r="BC126" s="3">
        <v>43.083372475227804</v>
      </c>
      <c r="BD126" s="3">
        <v>48.616627524772198</v>
      </c>
      <c r="BE126" s="3">
        <v>47.616627524772198</v>
      </c>
      <c r="BF126" s="3">
        <v>46.276627524772195</v>
      </c>
      <c r="BG126" s="3">
        <v>42.703294191438857</v>
      </c>
      <c r="BH126" s="3">
        <v>37.643294191438855</v>
      </c>
      <c r="BI126" s="3">
        <v>37.056627524772196</v>
      </c>
      <c r="BJ126" s="3">
        <v>39.949960858105527</v>
      </c>
      <c r="BK126" s="3">
        <v>41.223294191438868</v>
      </c>
      <c r="BL126" s="3">
        <v>45.796627524772191</v>
      </c>
      <c r="BM126" s="3">
        <v>39.129960858105534</v>
      </c>
      <c r="BN126" s="3">
        <v>36.713294191438862</v>
      </c>
      <c r="BO126" s="3">
        <v>36.379960858105534</v>
      </c>
      <c r="BP126" s="3">
        <v>34.796627524772191</v>
      </c>
      <c r="BQ126" s="3">
        <v>33.713294191438848</v>
      </c>
      <c r="BR126" s="3">
        <v>32.03996085810553</v>
      </c>
      <c r="BS126" s="3">
        <v>31.643294191438855</v>
      </c>
      <c r="BT126" s="3">
        <v>30.339960858105528</v>
      </c>
      <c r="BU126" s="3">
        <v>27.206627524772202</v>
      </c>
      <c r="BV126" s="3">
        <v>25.223294191438868</v>
      </c>
      <c r="BW126" s="3">
        <v>23.356627524772193</v>
      </c>
      <c r="BX126" s="3">
        <v>20.076627524772206</v>
      </c>
      <c r="BY126" s="3">
        <v>35.396627524772185</v>
      </c>
      <c r="BZ126" s="3">
        <v>37.926627524772201</v>
      </c>
      <c r="CA126" s="3">
        <v>15.126627524772189</v>
      </c>
      <c r="CB126" s="3">
        <v>12.663294191438865</v>
      </c>
      <c r="CC126" s="3">
        <v>11.876627524772196</v>
      </c>
      <c r="CD126" s="3">
        <v>9.4832941914388655</v>
      </c>
      <c r="CE126" s="3">
        <v>9.3766275247721964</v>
      </c>
      <c r="CF126" s="3">
        <v>-0.91003914189447244</v>
      </c>
      <c r="CG126" s="3">
        <v>-1.4433724752278039</v>
      </c>
      <c r="CH126" s="3">
        <v>-2.5200391418944719</v>
      </c>
      <c r="CI126" s="13">
        <f>[1]!dbasum(RecData[[#This Row],[20]:[2000]],RecData[[#Headers],[20]:[2000]])</f>
        <v>38.957725169331816</v>
      </c>
      <c r="CJ126" s="14">
        <v>869</v>
      </c>
      <c r="CK126" s="15" t="s">
        <v>249</v>
      </c>
      <c r="CL126" s="15">
        <f>RecData[[#This Row],[Start Time]]</f>
        <v>43252.930555555562</v>
      </c>
      <c r="CM126" s="16">
        <f>RecData[[#This Row],[Wind Speed avg]]</f>
        <v>0.86</v>
      </c>
      <c r="CN126" s="16">
        <f>RecData[[#This Row],[Wind Dir. avg]]</f>
        <v>180.3</v>
      </c>
      <c r="CO126" s="16">
        <f>RecData[[#This Row],[Amb. Humidity]]</f>
        <v>60.4</v>
      </c>
      <c r="CP126" s="16">
        <f>RecData[[#This Row],[Amb. Temperature]]</f>
        <v>9.6999999999999993</v>
      </c>
      <c r="CQ126" s="17">
        <f>RecData[[#This Row],[Amb. Rain Gauge]]</f>
        <v>0</v>
      </c>
      <c r="CR126" s="4" t="s">
        <v>1</v>
      </c>
      <c r="CS126" s="4" t="s">
        <v>49</v>
      </c>
      <c r="CT126" s="70">
        <v>1547.6492920000001</v>
      </c>
      <c r="CU126" s="70">
        <v>30.000255584716701</v>
      </c>
      <c r="CV126" s="70">
        <v>10.2132349014282</v>
      </c>
      <c r="CW126" s="70">
        <v>15.094129562377899</v>
      </c>
      <c r="CX126" s="97"/>
      <c r="CY126" s="99"/>
      <c r="CZ126" s="2" t="b">
        <f>IF($DP$1="YES",IF(RecData[[#This Row],[Power (kW)]]&gt;=$CR$3, TRUE,FALSE),TRUE)</f>
        <v>1</v>
      </c>
      <c r="DA126" s="16">
        <f>MIN(MOD(180-ABS(ABS($DA$1-RecData[Yaw Angle (°)])-180),360),MOD(180-ABS(ABS($DB$1-RecData[Yaw Angle (°)])-180),360))</f>
        <v>22.470328807029148</v>
      </c>
      <c r="DB126" s="2" t="str">
        <f>IF($DP$2="None","None",IF(RecData[[#This Row],[Relative Wind Direction]]&lt;=45,"DW",IF(RecData[[#This Row],[Relative Wind Direction]]&lt;=135,"CW","UW")))</f>
        <v>DW</v>
      </c>
      <c r="DC126" s="61" t="e">
        <f>IF($CL126-#REF!&gt;1/24,#REF!,IF(SUM($CQ124:$CQ126)&gt;$DS$1,$DS$5,DC127-1))</f>
        <v>#REF!</v>
      </c>
      <c r="DD126" s="61" t="e">
        <f>IF($CL127-$CL126&gt;1/24,#REF!,IF(SUM($CQ124:$CQ126)&gt;$DS$1,$DS$6,DD125-1))</f>
        <v>#REF!</v>
      </c>
      <c r="DE126" s="18" t="b">
        <v>0</v>
      </c>
      <c r="DF126" s="2" t="b">
        <f>IF(OR(RecData[[#This Row],[WSpd_Avg '[m/s']]]-RecData[[#This Row],[Wind Speed min]]&gt;=$DF$3,RecData[[#This Row],[Wind Speed max]]-RecData[[#This Row],[WSpd_Avg '[m/s']]]&gt;=$DF$2),TRUE,FALSE)</f>
        <v>0</v>
      </c>
      <c r="DG126" s="2" t="b">
        <f>RecData[[#This Row],[Temperature '[°C']]]&lt;=-20</f>
        <v>0</v>
      </c>
      <c r="DH126" s="18" t="b">
        <f>NOT(OR(MOD(RecData[[#This Row],[TIMESTAMP]],1)&gt;0.91632,MOD(RecData[[#This Row],[TIMESTAMP]],1)&lt;0.208681))</f>
        <v>0</v>
      </c>
      <c r="DI126" s="18" t="b">
        <f>RecData[[#This Row],[Overall (dBA)]]-RecData[[#This Row],[L90]]&gt;=$DS$4</f>
        <v>0</v>
      </c>
      <c r="DJ126" s="18" t="b">
        <f>RecData[[#This Row],[Overall (dBA)]]&gt;$DS$2</f>
        <v>0</v>
      </c>
      <c r="DK126" s="18" t="b">
        <f>RecData[[#This Row],[Overall (dBA)]]&lt;$DS$3</f>
        <v>0</v>
      </c>
      <c r="DL1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6" s="2">
        <f>IF(AND(RecData[[#This Row],[Turbines ON/OFF]] = "OFF", NOT(OR(RecData[[#This Row],[Junk?]]="YES",RecData[[#This Row],[Gust?]],RecData[[#This Row],[Rain?]:[Min SPL Threshold?]]))),1,0)</f>
        <v>0</v>
      </c>
      <c r="DN126" s="16">
        <f>RecData[[#This Row],[dBA Sum]]</f>
        <v>38.957725169331816</v>
      </c>
      <c r="DO126" s="16">
        <f>RecData[[#This Row],[LAF90.0]]</f>
        <v>40.5</v>
      </c>
      <c r="DP126" s="55">
        <f>IF(AND(RecData[[#This Row],[Useable TON Data?]],RecData[[#This Row],[Turbines ON/OFF]]="ON"),RecData[[#This Row],[dBA Sum]],"")</f>
        <v>38.957725169331816</v>
      </c>
      <c r="DQ126" s="55" t="str">
        <f>IF(AND(RecData[[#This Row],[Useable Background Data?]],RecData[[#This Row],[Turbines ON/OFF]]="OFF"),RecData[[#This Row],[dBA Sum]],"")</f>
        <v/>
      </c>
      <c r="DR126" s="3">
        <f>IF(OR(RecData[[#This Row],[Useable TON Data?]],RecData[[#This Row],[Useable Background Data?]]),ROUND(RecData[[#This Row],[WSpd_Avg '[m/s']]],0),"")</f>
        <v>1</v>
      </c>
      <c r="DS126" s="85">
        <f>(0.00002)^2*(10^(RecData[[#This Row],[Overall (dBA)]]/10))</f>
        <v>3.1465345750178025E-6</v>
      </c>
    </row>
    <row r="127" spans="1:123" ht="15" x14ac:dyDescent="0.25">
      <c r="A127" s="3" t="s">
        <v>249</v>
      </c>
      <c r="B127" s="12">
        <v>43252.931250000001</v>
      </c>
      <c r="C127" s="3"/>
      <c r="D127" s="3">
        <v>43.1</v>
      </c>
      <c r="E127" s="3"/>
      <c r="F127" s="3"/>
      <c r="G127" s="3"/>
      <c r="H127" s="3"/>
      <c r="I127" s="3"/>
      <c r="J127" s="3"/>
      <c r="K127" s="3">
        <v>41.5</v>
      </c>
      <c r="L127" s="3"/>
      <c r="M127" s="3"/>
      <c r="N127" s="3">
        <v>164.8</v>
      </c>
      <c r="O127" s="3"/>
      <c r="P127" s="3"/>
      <c r="Q127" s="3">
        <v>1.39</v>
      </c>
      <c r="R127" s="3">
        <v>0.8</v>
      </c>
      <c r="S127" s="3">
        <v>1.9</v>
      </c>
      <c r="T127" s="3">
        <v>9.6999999999999993</v>
      </c>
      <c r="U127" s="3">
        <v>60.3</v>
      </c>
      <c r="V127" s="3">
        <v>975.2</v>
      </c>
      <c r="W127" s="3">
        <v>0</v>
      </c>
      <c r="X127" s="3">
        <v>48.2</v>
      </c>
      <c r="Y127" s="3">
        <v>47.1</v>
      </c>
      <c r="Z127" s="3">
        <v>46.8</v>
      </c>
      <c r="AA127" s="3">
        <v>43.4</v>
      </c>
      <c r="AB127" s="3">
        <v>38.6</v>
      </c>
      <c r="AC127" s="3">
        <v>36.200000000000003</v>
      </c>
      <c r="AD127" s="3">
        <v>39.700000000000003</v>
      </c>
      <c r="AE127" s="3">
        <v>41.7</v>
      </c>
      <c r="AF127" s="3">
        <v>47</v>
      </c>
      <c r="AG127" s="3">
        <v>40.200000000000003</v>
      </c>
      <c r="AH127" s="3">
        <v>38.1</v>
      </c>
      <c r="AI127" s="3">
        <v>38.700000000000003</v>
      </c>
      <c r="AJ127" s="3">
        <v>37.1</v>
      </c>
      <c r="AK127" s="3">
        <v>35.299999999999997</v>
      </c>
      <c r="AL127" s="3">
        <v>32.799999999999997</v>
      </c>
      <c r="AM127" s="3">
        <v>32.1</v>
      </c>
      <c r="AN127" s="3">
        <v>30</v>
      </c>
      <c r="AO127" s="3">
        <v>26.4</v>
      </c>
      <c r="AP127" s="3">
        <v>25.2</v>
      </c>
      <c r="AQ127" s="3">
        <v>22.5</v>
      </c>
      <c r="AR127" s="3">
        <v>19.3</v>
      </c>
      <c r="AS127" s="3">
        <v>34.4</v>
      </c>
      <c r="AT127" s="3">
        <v>37</v>
      </c>
      <c r="AU127" s="3">
        <v>12.4</v>
      </c>
      <c r="AV127" s="3">
        <v>9.9</v>
      </c>
      <c r="AW127" s="3">
        <v>9.5</v>
      </c>
      <c r="AX127" s="3">
        <v>9.1999999999999993</v>
      </c>
      <c r="AY127" s="3">
        <v>9.3000000000000007</v>
      </c>
      <c r="AZ127" s="3">
        <v>0</v>
      </c>
      <c r="BA127" s="3">
        <v>0</v>
      </c>
      <c r="BB127" s="3">
        <v>0</v>
      </c>
      <c r="BC127" s="3">
        <v>43.011900227382057</v>
      </c>
      <c r="BD127" s="3">
        <v>48.288099772617954</v>
      </c>
      <c r="BE127" s="3">
        <v>47.188099772617946</v>
      </c>
      <c r="BF127" s="3">
        <v>45.64809977261794</v>
      </c>
      <c r="BG127" s="3">
        <v>42.574766439284616</v>
      </c>
      <c r="BH127" s="3">
        <v>37.91476643928462</v>
      </c>
      <c r="BI127" s="3">
        <v>35.928099772617941</v>
      </c>
      <c r="BJ127" s="3">
        <v>40.221433105951277</v>
      </c>
      <c r="BK127" s="3">
        <v>42.094766439284612</v>
      </c>
      <c r="BL127" s="3">
        <v>46.968099772617947</v>
      </c>
      <c r="BM127" s="3">
        <v>40.301433105951276</v>
      </c>
      <c r="BN127" s="3">
        <v>38.484766439284613</v>
      </c>
      <c r="BO127" s="3">
        <v>38.451433105951281</v>
      </c>
      <c r="BP127" s="3">
        <v>36.568099772617956</v>
      </c>
      <c r="BQ127" s="3">
        <v>35.184766439284601</v>
      </c>
      <c r="BR127" s="3">
        <v>33.011433105951284</v>
      </c>
      <c r="BS127" s="3">
        <v>32.114766439284608</v>
      </c>
      <c r="BT127" s="3">
        <v>30.211433105951272</v>
      </c>
      <c r="BU127" s="3">
        <v>26.578099772617946</v>
      </c>
      <c r="BV127" s="3">
        <v>25.094766439284612</v>
      </c>
      <c r="BW127" s="3">
        <v>22.928099772617941</v>
      </c>
      <c r="BX127" s="3">
        <v>19.648099772617954</v>
      </c>
      <c r="BY127" s="3">
        <v>34.568099772617941</v>
      </c>
      <c r="BZ127" s="3">
        <v>37.298099772617945</v>
      </c>
      <c r="CA127" s="3">
        <v>12.798099772617938</v>
      </c>
      <c r="CB127" s="3">
        <v>9.7347664392846127</v>
      </c>
      <c r="CC127" s="3">
        <v>9.5480997726179453</v>
      </c>
      <c r="CD127" s="3">
        <v>8.554766439284613</v>
      </c>
      <c r="CE127" s="3">
        <v>8.8480997726179424</v>
      </c>
      <c r="CF127" s="3">
        <v>-0.83856689404872498</v>
      </c>
      <c r="CG127" s="3">
        <v>-1.3719002273820564</v>
      </c>
      <c r="CH127" s="3">
        <v>-2.4485668940487244</v>
      </c>
      <c r="CI127" s="13">
        <f>[1]!dbasum(RecData[[#This Row],[20]:[2000]],RecData[[#Headers],[20]:[2000]])</f>
        <v>39.847358089452001</v>
      </c>
      <c r="CJ127" s="14">
        <v>870</v>
      </c>
      <c r="CK127" s="15" t="s">
        <v>249</v>
      </c>
      <c r="CL127" s="15">
        <f>RecData[[#This Row],[Start Time]]</f>
        <v>43252.931250000001</v>
      </c>
      <c r="CM127" s="16">
        <f>RecData[[#This Row],[Wind Speed avg]]</f>
        <v>1.39</v>
      </c>
      <c r="CN127" s="16">
        <f>RecData[[#This Row],[Wind Dir. avg]]</f>
        <v>164.8</v>
      </c>
      <c r="CO127" s="16">
        <f>RecData[[#This Row],[Amb. Humidity]]</f>
        <v>60.3</v>
      </c>
      <c r="CP127" s="16">
        <f>RecData[[#This Row],[Amb. Temperature]]</f>
        <v>9.6999999999999993</v>
      </c>
      <c r="CQ127" s="17">
        <f>RecData[[#This Row],[Amb. Rain Gauge]]</f>
        <v>0</v>
      </c>
      <c r="CR127" s="4" t="s">
        <v>1</v>
      </c>
      <c r="CS127" s="4" t="s">
        <v>49</v>
      </c>
      <c r="CT127" s="70">
        <v>1601.7791749999999</v>
      </c>
      <c r="CU127" s="70">
        <v>31.673099517822202</v>
      </c>
      <c r="CV127" s="70">
        <v>10.956259727478001</v>
      </c>
      <c r="CW127" s="70">
        <v>15.243344306945801</v>
      </c>
      <c r="CX127" s="97"/>
      <c r="CY127" s="99"/>
      <c r="CZ127" s="2" t="b">
        <f>IF($DP$1="YES",IF(RecData[[#This Row],[Power (kW)]]&gt;=$CR$3, TRUE,FALSE),TRUE)</f>
        <v>1</v>
      </c>
      <c r="DA127" s="16">
        <f>MIN(MOD(180-ABS(ABS($DA$1-RecData[Yaw Angle (°)])-180),360),MOD(180-ABS(ABS($DB$1-RecData[Yaw Angle (°)])-180),360))</f>
        <v>24.143172740134645</v>
      </c>
      <c r="DB127" s="2" t="str">
        <f>IF($DP$2="None","None",IF(RecData[[#This Row],[Relative Wind Direction]]&lt;=45,"DW",IF(RecData[[#This Row],[Relative Wind Direction]]&lt;=135,"CW","UW")))</f>
        <v>DW</v>
      </c>
      <c r="DC127" s="61" t="e">
        <f>IF($CL127-$CL124&gt;1/24,#REF!,IF(SUM($CQ124:$CQ127)&gt;$DS$1,$DS$5,DC128-1))</f>
        <v>#REF!</v>
      </c>
      <c r="DD127" s="61" t="e">
        <f>IF($CL128-$CL127&gt;1/24,#REF!,IF(SUM($CQ124:$CQ127)&gt;$DS$1,$DS$6,DD126-1))</f>
        <v>#REF!</v>
      </c>
      <c r="DE127" s="18" t="b">
        <v>0</v>
      </c>
      <c r="DF127" s="2" t="b">
        <f>IF(OR(RecData[[#This Row],[WSpd_Avg '[m/s']]]-RecData[[#This Row],[Wind Speed min]]&gt;=$DF$3,RecData[[#This Row],[Wind Speed max]]-RecData[[#This Row],[WSpd_Avg '[m/s']]]&gt;=$DF$2),TRUE,FALSE)</f>
        <v>0</v>
      </c>
      <c r="DG127" s="2" t="b">
        <f>RecData[[#This Row],[Temperature '[°C']]]&lt;=-20</f>
        <v>0</v>
      </c>
      <c r="DH127" s="18" t="b">
        <f>NOT(OR(MOD(RecData[[#This Row],[TIMESTAMP]],1)&gt;0.91632,MOD(RecData[[#This Row],[TIMESTAMP]],1)&lt;0.208681))</f>
        <v>0</v>
      </c>
      <c r="DI127" s="18" t="b">
        <f>RecData[[#This Row],[Overall (dBA)]]-RecData[[#This Row],[L90]]&gt;=$DS$4</f>
        <v>0</v>
      </c>
      <c r="DJ127" s="18" t="b">
        <f>RecData[[#This Row],[Overall (dBA)]]&gt;$DS$2</f>
        <v>0</v>
      </c>
      <c r="DK127" s="18" t="b">
        <f>RecData[[#This Row],[Overall (dBA)]]&lt;$DS$3</f>
        <v>0</v>
      </c>
      <c r="DL1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7" s="2">
        <f>IF(AND(RecData[[#This Row],[Turbines ON/OFF]] = "OFF", NOT(OR(RecData[[#This Row],[Junk?]]="YES",RecData[[#This Row],[Gust?]],RecData[[#This Row],[Rain?]:[Min SPL Threshold?]]))),1,0)</f>
        <v>0</v>
      </c>
      <c r="DN127" s="16">
        <f>RecData[[#This Row],[dBA Sum]]</f>
        <v>39.847358089452001</v>
      </c>
      <c r="DO127" s="16">
        <f>RecData[[#This Row],[LAF90.0]]</f>
        <v>41.5</v>
      </c>
      <c r="DP127" s="55">
        <f>IF(AND(RecData[[#This Row],[Useable TON Data?]],RecData[[#This Row],[Turbines ON/OFF]]="ON"),RecData[[#This Row],[dBA Sum]],"")</f>
        <v>39.847358089452001</v>
      </c>
      <c r="DQ127" s="55" t="str">
        <f>IF(AND(RecData[[#This Row],[Useable Background Data?]],RecData[[#This Row],[Turbines ON/OFF]]="OFF"),RecData[[#This Row],[dBA Sum]],"")</f>
        <v/>
      </c>
      <c r="DR127" s="3">
        <f>IF(OR(RecData[[#This Row],[Useable TON Data?]],RecData[[#This Row],[Useable Background Data?]]),ROUND(RecData[[#This Row],[WSpd_Avg '[m/s']]],0),"")</f>
        <v>1</v>
      </c>
      <c r="DS127" s="85">
        <f>(0.00002)^2*(10^(RecData[[#This Row],[Overall (dBA)]]/10))</f>
        <v>3.8618535493034218E-6</v>
      </c>
    </row>
    <row r="128" spans="1:123" ht="15" x14ac:dyDescent="0.25">
      <c r="A128" s="3" t="s">
        <v>249</v>
      </c>
      <c r="B128" s="12">
        <v>43252.931944444448</v>
      </c>
      <c r="C128" s="3"/>
      <c r="D128" s="3">
        <v>42.5</v>
      </c>
      <c r="E128" s="3"/>
      <c r="F128" s="3"/>
      <c r="G128" s="3"/>
      <c r="H128" s="3"/>
      <c r="I128" s="3"/>
      <c r="J128" s="3"/>
      <c r="K128" s="3">
        <v>41.2</v>
      </c>
      <c r="L128" s="3"/>
      <c r="M128" s="3"/>
      <c r="N128" s="3">
        <v>147.19999999999999</v>
      </c>
      <c r="O128" s="3"/>
      <c r="P128" s="3"/>
      <c r="Q128" s="3">
        <v>1.73</v>
      </c>
      <c r="R128" s="3">
        <v>0.8</v>
      </c>
      <c r="S128" s="3">
        <v>2.8</v>
      </c>
      <c r="T128" s="3">
        <v>9.6</v>
      </c>
      <c r="U128" s="3">
        <v>60.3</v>
      </c>
      <c r="V128" s="3">
        <v>975.2</v>
      </c>
      <c r="W128" s="3">
        <v>0</v>
      </c>
      <c r="X128" s="3">
        <v>49.6</v>
      </c>
      <c r="Y128" s="3">
        <v>48.4</v>
      </c>
      <c r="Z128" s="3">
        <v>47.1</v>
      </c>
      <c r="AA128" s="3">
        <v>44</v>
      </c>
      <c r="AB128" s="3">
        <v>39.799999999999997</v>
      </c>
      <c r="AC128" s="3">
        <v>38.200000000000003</v>
      </c>
      <c r="AD128" s="3">
        <v>40.6</v>
      </c>
      <c r="AE128" s="3">
        <v>41.8</v>
      </c>
      <c r="AF128" s="3">
        <v>44.6</v>
      </c>
      <c r="AG128" s="3">
        <v>41.6</v>
      </c>
      <c r="AH128" s="3">
        <v>37.299999999999997</v>
      </c>
      <c r="AI128" s="3">
        <v>37.4</v>
      </c>
      <c r="AJ128" s="3">
        <v>36.299999999999997</v>
      </c>
      <c r="AK128" s="3">
        <v>34.5</v>
      </c>
      <c r="AL128" s="3">
        <v>32.6</v>
      </c>
      <c r="AM128" s="3">
        <v>32.4</v>
      </c>
      <c r="AN128" s="3">
        <v>31</v>
      </c>
      <c r="AO128" s="3">
        <v>27.8</v>
      </c>
      <c r="AP128" s="3">
        <v>25.6</v>
      </c>
      <c r="AQ128" s="3">
        <v>23.4</v>
      </c>
      <c r="AR128" s="3">
        <v>19.7</v>
      </c>
      <c r="AS128" s="3">
        <v>33.1</v>
      </c>
      <c r="AT128" s="3">
        <v>36.299999999999997</v>
      </c>
      <c r="AU128" s="3">
        <v>12.8</v>
      </c>
      <c r="AV128" s="3">
        <v>11</v>
      </c>
      <c r="AW128" s="3">
        <v>10.6</v>
      </c>
      <c r="AX128" s="3">
        <v>9.6</v>
      </c>
      <c r="AY128" s="3">
        <v>9.6</v>
      </c>
      <c r="AZ128" s="3">
        <v>0</v>
      </c>
      <c r="BA128" s="3">
        <v>0</v>
      </c>
      <c r="BB128" s="3">
        <v>0</v>
      </c>
      <c r="BC128" s="3">
        <v>42.448223987096839</v>
      </c>
      <c r="BD128" s="3">
        <v>49.651776012903156</v>
      </c>
      <c r="BE128" s="3">
        <v>48.451776012903167</v>
      </c>
      <c r="BF128" s="3">
        <v>45.911776012903161</v>
      </c>
      <c r="BG128" s="3">
        <v>43.138442679569835</v>
      </c>
      <c r="BH128" s="3">
        <v>39.078442679569832</v>
      </c>
      <c r="BI128" s="3">
        <v>37.891776012903165</v>
      </c>
      <c r="BJ128" s="3">
        <v>41.085109346236493</v>
      </c>
      <c r="BK128" s="3">
        <v>42.158442679569816</v>
      </c>
      <c r="BL128" s="3">
        <v>44.531776012903165</v>
      </c>
      <c r="BM128" s="3">
        <v>41.665109346236505</v>
      </c>
      <c r="BN128" s="3">
        <v>37.648442679569825</v>
      </c>
      <c r="BO128" s="3">
        <v>37.115109346236494</v>
      </c>
      <c r="BP128" s="3">
        <v>35.731776012903168</v>
      </c>
      <c r="BQ128" s="3">
        <v>34.348442679569814</v>
      </c>
      <c r="BR128" s="3">
        <v>32.775109346236491</v>
      </c>
      <c r="BS128" s="3">
        <v>32.378442679569829</v>
      </c>
      <c r="BT128" s="3">
        <v>31.175109346236496</v>
      </c>
      <c r="BU128" s="3">
        <v>27.941776012903162</v>
      </c>
      <c r="BV128" s="3">
        <v>25.458442679569828</v>
      </c>
      <c r="BW128" s="3">
        <v>23.791776012903171</v>
      </c>
      <c r="BX128" s="3">
        <v>20.011776012903169</v>
      </c>
      <c r="BY128" s="3">
        <v>33.231776012903168</v>
      </c>
      <c r="BZ128" s="3">
        <v>36.561776012903152</v>
      </c>
      <c r="CA128" s="3">
        <v>13.161776012903154</v>
      </c>
      <c r="CB128" s="3">
        <v>10.798442679569824</v>
      </c>
      <c r="CC128" s="3">
        <v>10.611776012903164</v>
      </c>
      <c r="CD128" s="3">
        <v>8.9184426795698357</v>
      </c>
      <c r="CE128" s="3">
        <v>9.1117760129031637</v>
      </c>
      <c r="CF128" s="3">
        <v>-0.87489065376350794</v>
      </c>
      <c r="CG128" s="3">
        <v>-1.4082239870968394</v>
      </c>
      <c r="CH128" s="3">
        <v>-2.4848906537635074</v>
      </c>
      <c r="CI128" s="13">
        <f>[1]!dbasum(RecData[[#This Row],[20]:[2000]],RecData[[#Headers],[20]:[2000]])</f>
        <v>39.606533726359523</v>
      </c>
      <c r="CJ128" s="14">
        <v>871</v>
      </c>
      <c r="CK128" s="15" t="s">
        <v>249</v>
      </c>
      <c r="CL128" s="15">
        <f>RecData[[#This Row],[Start Time]]</f>
        <v>43252.931944444448</v>
      </c>
      <c r="CM128" s="16">
        <f>RecData[[#This Row],[Wind Speed avg]]</f>
        <v>1.73</v>
      </c>
      <c r="CN128" s="16">
        <f>RecData[[#This Row],[Wind Dir. avg]]</f>
        <v>147.19999999999999</v>
      </c>
      <c r="CO128" s="16">
        <f>RecData[[#This Row],[Amb. Humidity]]</f>
        <v>60.3</v>
      </c>
      <c r="CP128" s="16">
        <f>RecData[[#This Row],[Amb. Temperature]]</f>
        <v>9.6</v>
      </c>
      <c r="CQ128" s="17">
        <f>RecData[[#This Row],[Amb. Rain Gauge]]</f>
        <v>0</v>
      </c>
      <c r="CR128" s="4" t="s">
        <v>1</v>
      </c>
      <c r="CS128" s="4" t="s">
        <v>49</v>
      </c>
      <c r="CT128" s="70">
        <v>1601.7791749999999</v>
      </c>
      <c r="CU128" s="70">
        <v>31.673099517822202</v>
      </c>
      <c r="CV128" s="70">
        <v>10.956259727478001</v>
      </c>
      <c r="CW128" s="70">
        <v>15.243344306945801</v>
      </c>
      <c r="CX128" s="97"/>
      <c r="CY128" s="99"/>
      <c r="CZ128" s="2" t="b">
        <f>IF($DP$1="YES",IF(RecData[[#This Row],[Power (kW)]]&gt;=$CR$3, TRUE,FALSE),TRUE)</f>
        <v>1</v>
      </c>
      <c r="DA128" s="16">
        <f>MIN(MOD(180-ABS(ABS($DA$1-RecData[Yaw Angle (°)])-180),360),MOD(180-ABS(ABS($DB$1-RecData[Yaw Angle (°)])-180),360))</f>
        <v>24.143172740134645</v>
      </c>
      <c r="DB128" s="2" t="str">
        <f>IF($DP$2="None","None",IF(RecData[[#This Row],[Relative Wind Direction]]&lt;=45,"DW",IF(RecData[[#This Row],[Relative Wind Direction]]&lt;=135,"CW","UW")))</f>
        <v>DW</v>
      </c>
      <c r="DC128" s="61" t="e">
        <f>IF($CL128-#REF!&gt;1/24,#REF!,IF(SUM($CQ125:$CQ128)&gt;$DS$1,$DS$5,DC129-1))</f>
        <v>#REF!</v>
      </c>
      <c r="DD128" s="61" t="e">
        <f>IF($CL129-$CL128&gt;1/24,#REF!,IF(SUM($CQ125:$CQ128)&gt;$DS$1,$DS$6,DD127-1))</f>
        <v>#REF!</v>
      </c>
      <c r="DE128" s="18" t="b">
        <v>0</v>
      </c>
      <c r="DF128" s="2" t="b">
        <f>IF(OR(RecData[[#This Row],[WSpd_Avg '[m/s']]]-RecData[[#This Row],[Wind Speed min]]&gt;=$DF$3,RecData[[#This Row],[Wind Speed max]]-RecData[[#This Row],[WSpd_Avg '[m/s']]]&gt;=$DF$2),TRUE,FALSE)</f>
        <v>0</v>
      </c>
      <c r="DG128" s="2" t="b">
        <f>RecData[[#This Row],[Temperature '[°C']]]&lt;=-20</f>
        <v>0</v>
      </c>
      <c r="DH128" s="18" t="b">
        <f>NOT(OR(MOD(RecData[[#This Row],[TIMESTAMP]],1)&gt;0.91632,MOD(RecData[[#This Row],[TIMESTAMP]],1)&lt;0.208681))</f>
        <v>0</v>
      </c>
      <c r="DI128" s="18" t="b">
        <f>RecData[[#This Row],[Overall (dBA)]]-RecData[[#This Row],[L90]]&gt;=$DS$4</f>
        <v>0</v>
      </c>
      <c r="DJ128" s="18" t="b">
        <f>RecData[[#This Row],[Overall (dBA)]]&gt;$DS$2</f>
        <v>0</v>
      </c>
      <c r="DK128" s="18" t="b">
        <f>RecData[[#This Row],[Overall (dBA)]]&lt;$DS$3</f>
        <v>0</v>
      </c>
      <c r="DL1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8" s="2">
        <f>IF(AND(RecData[[#This Row],[Turbines ON/OFF]] = "OFF", NOT(OR(RecData[[#This Row],[Junk?]]="YES",RecData[[#This Row],[Gust?]],RecData[[#This Row],[Rain?]:[Min SPL Threshold?]]))),1,0)</f>
        <v>0</v>
      </c>
      <c r="DN128" s="16">
        <f>RecData[[#This Row],[dBA Sum]]</f>
        <v>39.606533726359523</v>
      </c>
      <c r="DO128" s="16">
        <f>RecData[[#This Row],[LAF90.0]]</f>
        <v>41.2</v>
      </c>
      <c r="DP128" s="55">
        <f>IF(AND(RecData[[#This Row],[Useable TON Data?]],RecData[[#This Row],[Turbines ON/OFF]]="ON"),RecData[[#This Row],[dBA Sum]],"")</f>
        <v>39.606533726359523</v>
      </c>
      <c r="DQ128" s="55" t="str">
        <f>IF(AND(RecData[[#This Row],[Useable Background Data?]],RecData[[#This Row],[Turbines ON/OFF]]="OFF"),RecData[[#This Row],[dBA Sum]],"")</f>
        <v/>
      </c>
      <c r="DR128" s="3">
        <f>IF(OR(RecData[[#This Row],[Useable TON Data?]],RecData[[#This Row],[Useable Background Data?]]),ROUND(RecData[[#This Row],[WSpd_Avg '[m/s']]],0),"")</f>
        <v>2</v>
      </c>
      <c r="DS128" s="85">
        <f>(0.00002)^2*(10^(RecData[[#This Row],[Overall (dBA)]]/10))</f>
        <v>3.653535772480363E-6</v>
      </c>
    </row>
    <row r="129" spans="1:123" ht="15" x14ac:dyDescent="0.25">
      <c r="A129" s="3" t="s">
        <v>249</v>
      </c>
      <c r="B129" s="12">
        <v>43252.932638888895</v>
      </c>
      <c r="C129" s="3"/>
      <c r="D129" s="3">
        <v>42.7</v>
      </c>
      <c r="E129" s="3"/>
      <c r="F129" s="3"/>
      <c r="G129" s="3"/>
      <c r="H129" s="3"/>
      <c r="I129" s="3"/>
      <c r="J129" s="3"/>
      <c r="K129" s="3">
        <v>41.3</v>
      </c>
      <c r="L129" s="3"/>
      <c r="M129" s="3"/>
      <c r="N129" s="3">
        <v>179.6</v>
      </c>
      <c r="O129" s="3"/>
      <c r="P129" s="3"/>
      <c r="Q129" s="3">
        <v>0.83</v>
      </c>
      <c r="R129" s="3">
        <v>0.2</v>
      </c>
      <c r="S129" s="3">
        <v>1.8</v>
      </c>
      <c r="T129" s="3">
        <v>9.6</v>
      </c>
      <c r="U129" s="3">
        <v>60.4</v>
      </c>
      <c r="V129" s="3">
        <v>975.3</v>
      </c>
      <c r="W129" s="3">
        <v>0</v>
      </c>
      <c r="X129" s="3">
        <v>48.6</v>
      </c>
      <c r="Y129" s="3">
        <v>48</v>
      </c>
      <c r="Z129" s="3">
        <v>47.2</v>
      </c>
      <c r="AA129" s="3">
        <v>43.6</v>
      </c>
      <c r="AB129" s="3">
        <v>37.700000000000003</v>
      </c>
      <c r="AC129" s="3">
        <v>36.700000000000003</v>
      </c>
      <c r="AD129" s="3">
        <v>39.799999999999997</v>
      </c>
      <c r="AE129" s="3">
        <v>41.1</v>
      </c>
      <c r="AF129" s="3">
        <v>46.4</v>
      </c>
      <c r="AG129" s="3">
        <v>39</v>
      </c>
      <c r="AH129" s="3">
        <v>36.5</v>
      </c>
      <c r="AI129" s="3">
        <v>36.299999999999997</v>
      </c>
      <c r="AJ129" s="3">
        <v>35</v>
      </c>
      <c r="AK129" s="3">
        <v>33.5</v>
      </c>
      <c r="AL129" s="3">
        <v>31.6</v>
      </c>
      <c r="AM129" s="3">
        <v>31.8</v>
      </c>
      <c r="AN129" s="3">
        <v>30.6</v>
      </c>
      <c r="AO129" s="3">
        <v>27.5</v>
      </c>
      <c r="AP129" s="3">
        <v>25.7</v>
      </c>
      <c r="AQ129" s="3">
        <v>23.5</v>
      </c>
      <c r="AR129" s="3">
        <v>20.5</v>
      </c>
      <c r="AS129" s="3">
        <v>34.299999999999997</v>
      </c>
      <c r="AT129" s="3">
        <v>37.1</v>
      </c>
      <c r="AU129" s="3">
        <v>14.4</v>
      </c>
      <c r="AV129" s="3">
        <v>11.9</v>
      </c>
      <c r="AW129" s="3">
        <v>10.9</v>
      </c>
      <c r="AX129" s="3">
        <v>9.5</v>
      </c>
      <c r="AY129" s="3">
        <v>9.4</v>
      </c>
      <c r="AZ129" s="3">
        <v>0</v>
      </c>
      <c r="BA129" s="3">
        <v>0</v>
      </c>
      <c r="BB129" s="3">
        <v>0</v>
      </c>
      <c r="BC129" s="3">
        <v>42.673526652764473</v>
      </c>
      <c r="BD129" s="3">
        <v>48.626473347235539</v>
      </c>
      <c r="BE129" s="3">
        <v>48.02647334723553</v>
      </c>
      <c r="BF129" s="3">
        <v>45.986473347235524</v>
      </c>
      <c r="BG129" s="3">
        <v>42.713140013902198</v>
      </c>
      <c r="BH129" s="3">
        <v>36.953140013902193</v>
      </c>
      <c r="BI129" s="3">
        <v>36.366473347235534</v>
      </c>
      <c r="BJ129" s="3">
        <v>40.259806680568865</v>
      </c>
      <c r="BK129" s="3">
        <v>41.433140013902197</v>
      </c>
      <c r="BL129" s="3">
        <v>46.306473347235531</v>
      </c>
      <c r="BM129" s="3">
        <v>39.039806680568866</v>
      </c>
      <c r="BN129" s="3">
        <v>36.823140013902197</v>
      </c>
      <c r="BO129" s="3">
        <v>35.989806680568854</v>
      </c>
      <c r="BP129" s="3">
        <v>34.40647334723554</v>
      </c>
      <c r="BQ129" s="3">
        <v>33.323140013902197</v>
      </c>
      <c r="BR129" s="3">
        <v>31.749806680568874</v>
      </c>
      <c r="BS129" s="3">
        <v>31.753140013902204</v>
      </c>
      <c r="BT129" s="3">
        <v>30.749806680568874</v>
      </c>
      <c r="BU129" s="3">
        <v>27.616473347235534</v>
      </c>
      <c r="BV129" s="3">
        <v>25.533140013902205</v>
      </c>
      <c r="BW129" s="3">
        <v>23.866473347235534</v>
      </c>
      <c r="BX129" s="3">
        <v>20.786473347235535</v>
      </c>
      <c r="BY129" s="3">
        <v>34.406473347235526</v>
      </c>
      <c r="BZ129" s="3">
        <v>37.336473347235533</v>
      </c>
      <c r="CA129" s="3">
        <v>14.736473347235524</v>
      </c>
      <c r="CB129" s="3">
        <v>11.673140013902191</v>
      </c>
      <c r="CC129" s="3">
        <v>10.88647334723553</v>
      </c>
      <c r="CD129" s="3">
        <v>8.7931400139022031</v>
      </c>
      <c r="CE129" s="3">
        <v>8.8864733472355297</v>
      </c>
      <c r="CF129" s="3">
        <v>-0.90019331943113912</v>
      </c>
      <c r="CG129" s="3">
        <v>-1.4335266527644706</v>
      </c>
      <c r="CH129" s="3">
        <v>-2.5101933194311385</v>
      </c>
      <c r="CI129" s="13">
        <f>[1]!dbasum(RecData[[#This Row],[20]:[2000]],RecData[[#Headers],[20]:[2000]])</f>
        <v>39.041458087015044</v>
      </c>
      <c r="CJ129" s="14">
        <v>872</v>
      </c>
      <c r="CK129" s="15" t="s">
        <v>249</v>
      </c>
      <c r="CL129" s="15">
        <f>RecData[[#This Row],[Start Time]]</f>
        <v>43252.932638888895</v>
      </c>
      <c r="CM129" s="16">
        <f>RecData[[#This Row],[Wind Speed avg]]</f>
        <v>0.83</v>
      </c>
      <c r="CN129" s="16">
        <f>RecData[[#This Row],[Wind Dir. avg]]</f>
        <v>179.6</v>
      </c>
      <c r="CO129" s="16">
        <f>RecData[[#This Row],[Amb. Humidity]]</f>
        <v>60.4</v>
      </c>
      <c r="CP129" s="16">
        <f>RecData[[#This Row],[Amb. Temperature]]</f>
        <v>9.6</v>
      </c>
      <c r="CQ129" s="17">
        <f>RecData[[#This Row],[Amb. Rain Gauge]]</f>
        <v>0</v>
      </c>
      <c r="CR129" s="4" t="s">
        <v>1</v>
      </c>
      <c r="CS129" s="4" t="s">
        <v>49</v>
      </c>
      <c r="CT129" s="70">
        <v>1601.7791749999999</v>
      </c>
      <c r="CU129" s="70">
        <v>31.673099517822202</v>
      </c>
      <c r="CV129" s="70">
        <v>10.956259727478001</v>
      </c>
      <c r="CW129" s="70">
        <v>15.243344306945801</v>
      </c>
      <c r="CX129" s="97"/>
      <c r="CY129" s="99"/>
      <c r="CZ129" s="2" t="b">
        <f>IF($DP$1="YES",IF(RecData[[#This Row],[Power (kW)]]&gt;=$CR$3, TRUE,FALSE),TRUE)</f>
        <v>1</v>
      </c>
      <c r="DA129" s="16">
        <f>MIN(MOD(180-ABS(ABS($DA$1-RecData[Yaw Angle (°)])-180),360),MOD(180-ABS(ABS($DB$1-RecData[Yaw Angle (°)])-180),360))</f>
        <v>24.143172740134645</v>
      </c>
      <c r="DB129" s="2" t="str">
        <f>IF($DP$2="None","None",IF(RecData[[#This Row],[Relative Wind Direction]]&lt;=45,"DW",IF(RecData[[#This Row],[Relative Wind Direction]]&lt;=135,"CW","UW")))</f>
        <v>DW</v>
      </c>
      <c r="DC129" s="61">
        <f>IF($CL129-$CL125&gt;1/24,#REF!,IF(SUM($CQ125:$CQ129)&gt;$DS$1,$DS$5,DC130-1))</f>
        <v>-3</v>
      </c>
      <c r="DD129" s="61" t="e">
        <f>IF($CL130-$CL129&gt;1/24,#REF!,IF(SUM($CQ125:$CQ129)&gt;$DS$1,$DS$6,DD128-1))</f>
        <v>#REF!</v>
      </c>
      <c r="DE129" s="18" t="b">
        <v>0</v>
      </c>
      <c r="DF129" s="2" t="b">
        <f>IF(OR(RecData[[#This Row],[WSpd_Avg '[m/s']]]-RecData[[#This Row],[Wind Speed min]]&gt;=$DF$3,RecData[[#This Row],[Wind Speed max]]-RecData[[#This Row],[WSpd_Avg '[m/s']]]&gt;=$DF$2),TRUE,FALSE)</f>
        <v>0</v>
      </c>
      <c r="DG129" s="2" t="b">
        <f>RecData[[#This Row],[Temperature '[°C']]]&lt;=-20</f>
        <v>0</v>
      </c>
      <c r="DH129" s="18" t="b">
        <f>NOT(OR(MOD(RecData[[#This Row],[TIMESTAMP]],1)&gt;0.91632,MOD(RecData[[#This Row],[TIMESTAMP]],1)&lt;0.208681))</f>
        <v>0</v>
      </c>
      <c r="DI129" s="18" t="b">
        <f>RecData[[#This Row],[Overall (dBA)]]-RecData[[#This Row],[L90]]&gt;=$DS$4</f>
        <v>0</v>
      </c>
      <c r="DJ129" s="18" t="b">
        <f>RecData[[#This Row],[Overall (dBA)]]&gt;$DS$2</f>
        <v>0</v>
      </c>
      <c r="DK129" s="18" t="b">
        <f>RecData[[#This Row],[Overall (dBA)]]&lt;$DS$3</f>
        <v>0</v>
      </c>
      <c r="DL1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9" s="2">
        <f>IF(AND(RecData[[#This Row],[Turbines ON/OFF]] = "OFF", NOT(OR(RecData[[#This Row],[Junk?]]="YES",RecData[[#This Row],[Gust?]],RecData[[#This Row],[Rain?]:[Min SPL Threshold?]]))),1,0)</f>
        <v>0</v>
      </c>
      <c r="DN129" s="16">
        <f>RecData[[#This Row],[dBA Sum]]</f>
        <v>39.041458087015044</v>
      </c>
      <c r="DO129" s="16">
        <f>RecData[[#This Row],[LAF90.0]]</f>
        <v>41.3</v>
      </c>
      <c r="DP129" s="55">
        <f>IF(AND(RecData[[#This Row],[Useable TON Data?]],RecData[[#This Row],[Turbines ON/OFF]]="ON"),RecData[[#This Row],[dBA Sum]],"")</f>
        <v>39.041458087015044</v>
      </c>
      <c r="DQ129" s="55" t="str">
        <f>IF(AND(RecData[[#This Row],[Useable Background Data?]],RecData[[#This Row],[Turbines ON/OFF]]="OFF"),RecData[[#This Row],[dBA Sum]],"")</f>
        <v/>
      </c>
      <c r="DR129" s="3">
        <f>IF(OR(RecData[[#This Row],[Useable TON Data?]],RecData[[#This Row],[Useable Background Data?]]),ROUND(RecData[[#This Row],[WSpd_Avg '[m/s']]],0),"")</f>
        <v>1</v>
      </c>
      <c r="DS129" s="85">
        <f>(0.00002)^2*(10^(RecData[[#This Row],[Overall (dBA)]]/10))</f>
        <v>3.2077890460676482E-6</v>
      </c>
    </row>
    <row r="130" spans="1:123" ht="15" x14ac:dyDescent="0.25">
      <c r="A130" s="3" t="s">
        <v>249</v>
      </c>
      <c r="B130" s="12">
        <v>43252.933333333342</v>
      </c>
      <c r="C130" s="3"/>
      <c r="D130" s="3">
        <v>42.6</v>
      </c>
      <c r="E130" s="3"/>
      <c r="F130" s="3"/>
      <c r="G130" s="3"/>
      <c r="H130" s="3"/>
      <c r="I130" s="3"/>
      <c r="J130" s="3"/>
      <c r="K130" s="3">
        <v>41</v>
      </c>
      <c r="L130" s="3"/>
      <c r="M130" s="3"/>
      <c r="N130" s="3">
        <v>204.5</v>
      </c>
      <c r="O130" s="3"/>
      <c r="P130" s="3"/>
      <c r="Q130" s="3">
        <v>0.61</v>
      </c>
      <c r="R130" s="3">
        <v>0.1</v>
      </c>
      <c r="S130" s="3">
        <v>1.5</v>
      </c>
      <c r="T130" s="3">
        <v>9.6</v>
      </c>
      <c r="U130" s="3">
        <v>60.7</v>
      </c>
      <c r="V130" s="3">
        <v>975.2</v>
      </c>
      <c r="W130" s="3">
        <v>0</v>
      </c>
      <c r="X130" s="3">
        <v>48.9</v>
      </c>
      <c r="Y130" s="3">
        <v>47.8</v>
      </c>
      <c r="Z130" s="3">
        <v>46.7</v>
      </c>
      <c r="AA130" s="3">
        <v>43.7</v>
      </c>
      <c r="AB130" s="3">
        <v>39.1</v>
      </c>
      <c r="AC130" s="3">
        <v>36.4</v>
      </c>
      <c r="AD130" s="3">
        <v>39.9</v>
      </c>
      <c r="AE130" s="3">
        <v>41.6</v>
      </c>
      <c r="AF130" s="3">
        <v>46.7</v>
      </c>
      <c r="AG130" s="3">
        <v>39.700000000000003</v>
      </c>
      <c r="AH130" s="3">
        <v>36.6</v>
      </c>
      <c r="AI130" s="3">
        <v>36.4</v>
      </c>
      <c r="AJ130" s="3">
        <v>35.299999999999997</v>
      </c>
      <c r="AK130" s="3">
        <v>33.6</v>
      </c>
      <c r="AL130" s="3">
        <v>32.1</v>
      </c>
      <c r="AM130" s="3">
        <v>32.4</v>
      </c>
      <c r="AN130" s="3">
        <v>31.1</v>
      </c>
      <c r="AO130" s="3">
        <v>27.9</v>
      </c>
      <c r="AP130" s="3">
        <v>25.9</v>
      </c>
      <c r="AQ130" s="3">
        <v>23.5</v>
      </c>
      <c r="AR130" s="3">
        <v>20.100000000000001</v>
      </c>
      <c r="AS130" s="3">
        <v>33.9</v>
      </c>
      <c r="AT130" s="3">
        <v>36.700000000000003</v>
      </c>
      <c r="AU130" s="3">
        <v>13</v>
      </c>
      <c r="AV130" s="3">
        <v>10.3</v>
      </c>
      <c r="AW130" s="3">
        <v>9.6</v>
      </c>
      <c r="AX130" s="3">
        <v>9.1</v>
      </c>
      <c r="AY130" s="3">
        <v>9.3000000000000007</v>
      </c>
      <c r="AZ130" s="3">
        <v>0</v>
      </c>
      <c r="BA130" s="3">
        <v>0</v>
      </c>
      <c r="BB130" s="3">
        <v>0</v>
      </c>
      <c r="BC130" s="3">
        <v>42.608633377783519</v>
      </c>
      <c r="BD130" s="3">
        <v>48.891366622216481</v>
      </c>
      <c r="BE130" s="3">
        <v>47.791366622216486</v>
      </c>
      <c r="BF130" s="3">
        <v>45.451366622216483</v>
      </c>
      <c r="BG130" s="3">
        <v>42.778033288883151</v>
      </c>
      <c r="BH130" s="3">
        <v>38.318033288883157</v>
      </c>
      <c r="BI130" s="3">
        <v>36.031366622216481</v>
      </c>
      <c r="BJ130" s="3">
        <v>40.324699955549818</v>
      </c>
      <c r="BK130" s="3">
        <v>41.898033288883141</v>
      </c>
      <c r="BL130" s="3">
        <v>46.571366622216487</v>
      </c>
      <c r="BM130" s="3">
        <v>39.704699955549813</v>
      </c>
      <c r="BN130" s="3">
        <v>36.88803328888315</v>
      </c>
      <c r="BO130" s="3">
        <v>36.054699955549808</v>
      </c>
      <c r="BP130" s="3">
        <v>34.671366622216482</v>
      </c>
      <c r="BQ130" s="3">
        <v>33.38803328888315</v>
      </c>
      <c r="BR130" s="3">
        <v>32.214699955549818</v>
      </c>
      <c r="BS130" s="3">
        <v>32.318033288883157</v>
      </c>
      <c r="BT130" s="3">
        <v>31.214699955549818</v>
      </c>
      <c r="BU130" s="3">
        <v>27.981366622216484</v>
      </c>
      <c r="BV130" s="3">
        <v>25.698033288883153</v>
      </c>
      <c r="BW130" s="3">
        <v>23.831366622216478</v>
      </c>
      <c r="BX130" s="3">
        <v>20.351366622216489</v>
      </c>
      <c r="BY130" s="3">
        <v>33.971366622216479</v>
      </c>
      <c r="BZ130" s="3">
        <v>36.901366622216486</v>
      </c>
      <c r="CA130" s="3">
        <v>13.301366622216477</v>
      </c>
      <c r="CB130" s="3">
        <v>10.038033288883149</v>
      </c>
      <c r="CC130" s="3">
        <v>9.5513666222164773</v>
      </c>
      <c r="CD130" s="3">
        <v>8.3580332888831492</v>
      </c>
      <c r="CE130" s="3">
        <v>8.7513666222164801</v>
      </c>
      <c r="CF130" s="3">
        <v>-0.93530004445018733</v>
      </c>
      <c r="CG130" s="3">
        <v>-1.4686333777835188</v>
      </c>
      <c r="CH130" s="3">
        <v>-2.5453000444501868</v>
      </c>
      <c r="CI130" s="13">
        <f>[1]!dbasum(RecData[[#This Row],[20]:[2000]],RecData[[#Headers],[20]:[2000]])</f>
        <v>39.347028445931976</v>
      </c>
      <c r="CJ130" s="14">
        <v>873</v>
      </c>
      <c r="CK130" s="15" t="s">
        <v>249</v>
      </c>
      <c r="CL130" s="15">
        <f>RecData[[#This Row],[Start Time]]</f>
        <v>43252.933333333342</v>
      </c>
      <c r="CM130" s="16">
        <f>RecData[[#This Row],[Wind Speed avg]]</f>
        <v>0.61</v>
      </c>
      <c r="CN130" s="16">
        <f>RecData[[#This Row],[Wind Dir. avg]]</f>
        <v>204.5</v>
      </c>
      <c r="CO130" s="16">
        <f>RecData[[#This Row],[Amb. Humidity]]</f>
        <v>60.7</v>
      </c>
      <c r="CP130" s="16">
        <f>RecData[[#This Row],[Amb. Temperature]]</f>
        <v>9.6</v>
      </c>
      <c r="CQ130" s="17">
        <f>RecData[[#This Row],[Amb. Rain Gauge]]</f>
        <v>0</v>
      </c>
      <c r="CR130" s="4" t="s">
        <v>1</v>
      </c>
      <c r="CS130" s="4" t="s">
        <v>49</v>
      </c>
      <c r="CT130" s="70">
        <v>1601.7791749999999</v>
      </c>
      <c r="CU130" s="70">
        <v>31.673099517822202</v>
      </c>
      <c r="CV130" s="70">
        <v>10.956259727478001</v>
      </c>
      <c r="CW130" s="70">
        <v>15.243344306945801</v>
      </c>
      <c r="CX130" s="97"/>
      <c r="CY130" s="99"/>
      <c r="CZ130" s="2" t="b">
        <f>IF($DP$1="YES",IF(RecData[[#This Row],[Power (kW)]]&gt;=$CR$3, TRUE,FALSE),TRUE)</f>
        <v>1</v>
      </c>
      <c r="DA130" s="16">
        <f>MIN(MOD(180-ABS(ABS($DA$1-RecData[Yaw Angle (°)])-180),360),MOD(180-ABS(ABS($DB$1-RecData[Yaw Angle (°)])-180),360))</f>
        <v>24.143172740134645</v>
      </c>
      <c r="DB130" s="2" t="str">
        <f>IF($DP$2="None","None",IF(RecData[[#This Row],[Relative Wind Direction]]&lt;=45,"DW",IF(RecData[[#This Row],[Relative Wind Direction]]&lt;=135,"CW","UW")))</f>
        <v>DW</v>
      </c>
      <c r="DC130" s="61">
        <f>IF($CL130-$CL126&gt;1/24,#REF!,IF(SUM($CQ126:$CQ130)&gt;$DS$1,$DS$5,DC131-1))</f>
        <v>-2</v>
      </c>
      <c r="DD130" s="61" t="e">
        <f>IF($CL131-$CL130&gt;1/24,#REF!,IF(SUM($CQ126:$CQ130)&gt;$DS$1,$DS$6,DD129-1))</f>
        <v>#REF!</v>
      </c>
      <c r="DE130" s="18" t="b">
        <v>0</v>
      </c>
      <c r="DF130" s="2" t="b">
        <f>IF(OR(RecData[[#This Row],[WSpd_Avg '[m/s']]]-RecData[[#This Row],[Wind Speed min]]&gt;=$DF$3,RecData[[#This Row],[Wind Speed max]]-RecData[[#This Row],[WSpd_Avg '[m/s']]]&gt;=$DF$2),TRUE,FALSE)</f>
        <v>0</v>
      </c>
      <c r="DG130" s="2" t="b">
        <f>RecData[[#This Row],[Temperature '[°C']]]&lt;=-20</f>
        <v>0</v>
      </c>
      <c r="DH130" s="18" t="b">
        <f>NOT(OR(MOD(RecData[[#This Row],[TIMESTAMP]],1)&gt;0.91632,MOD(RecData[[#This Row],[TIMESTAMP]],1)&lt;0.208681))</f>
        <v>0</v>
      </c>
      <c r="DI130" s="18" t="b">
        <f>RecData[[#This Row],[Overall (dBA)]]-RecData[[#This Row],[L90]]&gt;=$DS$4</f>
        <v>0</v>
      </c>
      <c r="DJ130" s="18" t="b">
        <f>RecData[[#This Row],[Overall (dBA)]]&gt;$DS$2</f>
        <v>0</v>
      </c>
      <c r="DK130" s="18" t="b">
        <f>RecData[[#This Row],[Overall (dBA)]]&lt;$DS$3</f>
        <v>0</v>
      </c>
      <c r="DL1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0" s="2">
        <f>IF(AND(RecData[[#This Row],[Turbines ON/OFF]] = "OFF", NOT(OR(RecData[[#This Row],[Junk?]]="YES",RecData[[#This Row],[Gust?]],RecData[[#This Row],[Rain?]:[Min SPL Threshold?]]))),1,0)</f>
        <v>0</v>
      </c>
      <c r="DN130" s="16">
        <f>RecData[[#This Row],[dBA Sum]]</f>
        <v>39.347028445931976</v>
      </c>
      <c r="DO130" s="16">
        <f>RecData[[#This Row],[LAF90.0]]</f>
        <v>41</v>
      </c>
      <c r="DP130" s="55">
        <f>IF(AND(RecData[[#This Row],[Useable TON Data?]],RecData[[#This Row],[Turbines ON/OFF]]="ON"),RecData[[#This Row],[dBA Sum]],"")</f>
        <v>39.347028445931976</v>
      </c>
      <c r="DQ130" s="55" t="str">
        <f>IF(AND(RecData[[#This Row],[Useable Background Data?]],RecData[[#This Row],[Turbines ON/OFF]]="OFF"),RecData[[#This Row],[dBA Sum]],"")</f>
        <v/>
      </c>
      <c r="DR130" s="3">
        <f>IF(OR(RecData[[#This Row],[Useable TON Data?]],RecData[[#This Row],[Useable Background Data?]]),ROUND(RecData[[#This Row],[WSpd_Avg '[m/s']]],0),"")</f>
        <v>1</v>
      </c>
      <c r="DS130" s="85">
        <f>(0.00002)^2*(10^(RecData[[#This Row],[Overall (dBA)]]/10))</f>
        <v>3.4416193588271073E-6</v>
      </c>
    </row>
    <row r="131" spans="1:123" ht="15" x14ac:dyDescent="0.25">
      <c r="A131" s="3" t="s">
        <v>249</v>
      </c>
      <c r="B131" s="12">
        <v>43252.934027777781</v>
      </c>
      <c r="C131" s="3"/>
      <c r="D131" s="3">
        <v>43</v>
      </c>
      <c r="E131" s="3"/>
      <c r="F131" s="3"/>
      <c r="G131" s="3"/>
      <c r="H131" s="3"/>
      <c r="I131" s="3"/>
      <c r="J131" s="3"/>
      <c r="K131" s="3">
        <v>41.6</v>
      </c>
      <c r="L131" s="3"/>
      <c r="M131" s="3"/>
      <c r="N131" s="3">
        <v>165</v>
      </c>
      <c r="O131" s="3"/>
      <c r="P131" s="3"/>
      <c r="Q131" s="3">
        <v>1.1599999999999999</v>
      </c>
      <c r="R131" s="3">
        <v>0.6</v>
      </c>
      <c r="S131" s="3">
        <v>1.8</v>
      </c>
      <c r="T131" s="3">
        <v>9.6</v>
      </c>
      <c r="U131" s="3">
        <v>60.3</v>
      </c>
      <c r="V131" s="3">
        <v>975.2</v>
      </c>
      <c r="W131" s="3">
        <v>0</v>
      </c>
      <c r="X131" s="3">
        <v>49.6</v>
      </c>
      <c r="Y131" s="3">
        <v>48.9</v>
      </c>
      <c r="Z131" s="3">
        <v>48.5</v>
      </c>
      <c r="AA131" s="3">
        <v>44.6</v>
      </c>
      <c r="AB131" s="3">
        <v>40</v>
      </c>
      <c r="AC131" s="3">
        <v>38.5</v>
      </c>
      <c r="AD131" s="3">
        <v>40.4</v>
      </c>
      <c r="AE131" s="3">
        <v>41.7</v>
      </c>
      <c r="AF131" s="3">
        <v>47.3</v>
      </c>
      <c r="AG131" s="3">
        <v>40.1</v>
      </c>
      <c r="AH131" s="3">
        <v>37.5</v>
      </c>
      <c r="AI131" s="3">
        <v>37.6</v>
      </c>
      <c r="AJ131" s="3">
        <v>35.700000000000003</v>
      </c>
      <c r="AK131" s="3">
        <v>34.299999999999997</v>
      </c>
      <c r="AL131" s="3">
        <v>32.299999999999997</v>
      </c>
      <c r="AM131" s="3">
        <v>31.9</v>
      </c>
      <c r="AN131" s="3">
        <v>30.5</v>
      </c>
      <c r="AO131" s="3">
        <v>27.4</v>
      </c>
      <c r="AP131" s="3">
        <v>25.5</v>
      </c>
      <c r="AQ131" s="3">
        <v>23.2</v>
      </c>
      <c r="AR131" s="3">
        <v>20.2</v>
      </c>
      <c r="AS131" s="3">
        <v>34.5</v>
      </c>
      <c r="AT131" s="3">
        <v>37.200000000000003</v>
      </c>
      <c r="AU131" s="3">
        <v>13.1</v>
      </c>
      <c r="AV131" s="3">
        <v>10.4</v>
      </c>
      <c r="AW131" s="3">
        <v>9.6</v>
      </c>
      <c r="AX131" s="3">
        <v>9.1999999999999993</v>
      </c>
      <c r="AY131" s="3">
        <v>9.4</v>
      </c>
      <c r="AZ131" s="3">
        <v>0</v>
      </c>
      <c r="BA131" s="3">
        <v>0</v>
      </c>
      <c r="BB131" s="3">
        <v>0</v>
      </c>
      <c r="BC131" s="3">
        <v>42.975432625163265</v>
      </c>
      <c r="BD131" s="3">
        <v>49.62456737483673</v>
      </c>
      <c r="BE131" s="3">
        <v>48.924567374836741</v>
      </c>
      <c r="BF131" s="3">
        <v>47.284567374836726</v>
      </c>
      <c r="BG131" s="3">
        <v>43.711234041503403</v>
      </c>
      <c r="BH131" s="3">
        <v>39.251234041503395</v>
      </c>
      <c r="BI131" s="3">
        <v>38.164567374836736</v>
      </c>
      <c r="BJ131" s="3">
        <v>40.857900708170064</v>
      </c>
      <c r="BK131" s="3">
        <v>42.031234041503396</v>
      </c>
      <c r="BL131" s="3">
        <v>47.204567374836742</v>
      </c>
      <c r="BM131" s="3">
        <v>40.137900708170079</v>
      </c>
      <c r="BN131" s="3">
        <v>37.821234041503402</v>
      </c>
      <c r="BO131" s="3">
        <v>37.287900708170071</v>
      </c>
      <c r="BP131" s="3">
        <v>35.104567374836748</v>
      </c>
      <c r="BQ131" s="3">
        <v>34.121234041503399</v>
      </c>
      <c r="BR131" s="3">
        <v>32.447900708170067</v>
      </c>
      <c r="BS131" s="3">
        <v>31.851234041503403</v>
      </c>
      <c r="BT131" s="3">
        <v>30.64790070817007</v>
      </c>
      <c r="BU131" s="3">
        <v>27.514567374836744</v>
      </c>
      <c r="BV131" s="3">
        <v>25.331234041503407</v>
      </c>
      <c r="BW131" s="3">
        <v>23.564567374836741</v>
      </c>
      <c r="BX131" s="3">
        <v>20.484567374836743</v>
      </c>
      <c r="BY131" s="3">
        <v>34.604567374836734</v>
      </c>
      <c r="BZ131" s="3">
        <v>37.434567374836732</v>
      </c>
      <c r="CA131" s="3">
        <v>13.434567374836732</v>
      </c>
      <c r="CB131" s="3">
        <v>10.171234041503396</v>
      </c>
      <c r="CC131" s="3">
        <v>9.5845673748367375</v>
      </c>
      <c r="CD131" s="3">
        <v>8.4912340415034038</v>
      </c>
      <c r="CE131" s="3">
        <v>8.8845673748367346</v>
      </c>
      <c r="CF131" s="3">
        <v>-0.9020992918299342</v>
      </c>
      <c r="CG131" s="3">
        <v>-1.4354326251632656</v>
      </c>
      <c r="CH131" s="3">
        <v>-2.5120992918299336</v>
      </c>
      <c r="CI131" s="13">
        <f>[1]!dbasum(RecData[[#This Row],[20]:[2000]],RecData[[#Headers],[20]:[2000]])</f>
        <v>39.546441002776376</v>
      </c>
      <c r="CJ131" s="14">
        <v>874</v>
      </c>
      <c r="CK131" s="15" t="s">
        <v>249</v>
      </c>
      <c r="CL131" s="15">
        <f>RecData[[#This Row],[Start Time]]</f>
        <v>43252.934027777781</v>
      </c>
      <c r="CM131" s="16">
        <f>RecData[[#This Row],[Wind Speed avg]]</f>
        <v>1.1599999999999999</v>
      </c>
      <c r="CN131" s="16">
        <f>RecData[[#This Row],[Wind Dir. avg]]</f>
        <v>165</v>
      </c>
      <c r="CO131" s="16">
        <f>RecData[[#This Row],[Amb. Humidity]]</f>
        <v>60.3</v>
      </c>
      <c r="CP131" s="16">
        <f>RecData[[#This Row],[Amb. Temperature]]</f>
        <v>9.6</v>
      </c>
      <c r="CQ131" s="17">
        <f>RecData[[#This Row],[Amb. Rain Gauge]]</f>
        <v>0</v>
      </c>
      <c r="CR131" s="4" t="s">
        <v>1</v>
      </c>
      <c r="CS131" s="4" t="s">
        <v>49</v>
      </c>
      <c r="CT131" s="70">
        <v>1601.7791749999999</v>
      </c>
      <c r="CU131" s="70">
        <v>31.673099517822202</v>
      </c>
      <c r="CV131" s="70">
        <v>10.956259727478001</v>
      </c>
      <c r="CW131" s="70">
        <v>15.243344306945801</v>
      </c>
      <c r="CX131" s="97"/>
      <c r="CY131" s="99"/>
      <c r="CZ131" s="2" t="b">
        <f>IF($DP$1="YES",IF(RecData[[#This Row],[Power (kW)]]&gt;=$CR$3, TRUE,FALSE),TRUE)</f>
        <v>1</v>
      </c>
      <c r="DA131" s="16">
        <f>MIN(MOD(180-ABS(ABS($DA$1-RecData[Yaw Angle (°)])-180),360),MOD(180-ABS(ABS($DB$1-RecData[Yaw Angle (°)])-180),360))</f>
        <v>24.143172740134645</v>
      </c>
      <c r="DB131" s="2" t="str">
        <f>IF($DP$2="None","None",IF(RecData[[#This Row],[Relative Wind Direction]]&lt;=45,"DW",IF(RecData[[#This Row],[Relative Wind Direction]]&lt;=135,"CW","UW")))</f>
        <v>DW</v>
      </c>
      <c r="DC131" s="61">
        <v>-1</v>
      </c>
      <c r="DD131" s="61">
        <v>-1</v>
      </c>
      <c r="DE131" s="18" t="b">
        <v>0</v>
      </c>
      <c r="DF131" s="2" t="b">
        <f>IF(OR(RecData[[#This Row],[WSpd_Avg '[m/s']]]-RecData[[#This Row],[Wind Speed min]]&gt;=$DF$3,RecData[[#This Row],[Wind Speed max]]-RecData[[#This Row],[WSpd_Avg '[m/s']]]&gt;=$DF$2),TRUE,FALSE)</f>
        <v>0</v>
      </c>
      <c r="DG131" s="2" t="b">
        <f>RecData[[#This Row],[Temperature '[°C']]]&lt;=-20</f>
        <v>0</v>
      </c>
      <c r="DH131" s="18" t="b">
        <f>NOT(OR(MOD(RecData[[#This Row],[TIMESTAMP]],1)&gt;0.91632,MOD(RecData[[#This Row],[TIMESTAMP]],1)&lt;0.208681))</f>
        <v>0</v>
      </c>
      <c r="DI131" s="18" t="b">
        <f>RecData[[#This Row],[Overall (dBA)]]-RecData[[#This Row],[L90]]&gt;=$DS$4</f>
        <v>0</v>
      </c>
      <c r="DJ131" s="18" t="b">
        <f>RecData[[#This Row],[Overall (dBA)]]&gt;$DS$2</f>
        <v>0</v>
      </c>
      <c r="DK131" s="18" t="b">
        <f>RecData[[#This Row],[Overall (dBA)]]&lt;$DS$3</f>
        <v>0</v>
      </c>
      <c r="DL1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1" s="2">
        <f>IF(AND(RecData[[#This Row],[Turbines ON/OFF]] = "OFF", NOT(OR(RecData[[#This Row],[Junk?]]="YES",RecData[[#This Row],[Gust?]],RecData[[#This Row],[Rain?]:[Min SPL Threshold?]]))),1,0)</f>
        <v>0</v>
      </c>
      <c r="DN131" s="16">
        <f>RecData[[#This Row],[dBA Sum]]</f>
        <v>39.546441002776376</v>
      </c>
      <c r="DO131" s="16">
        <f>RecData[[#This Row],[LAF90.0]]</f>
        <v>41.6</v>
      </c>
      <c r="DP131" s="55">
        <f>IF(AND(RecData[[#This Row],[Useable TON Data?]],RecData[[#This Row],[Turbines ON/OFF]]="ON"),RecData[[#This Row],[dBA Sum]],"")</f>
        <v>39.546441002776376</v>
      </c>
      <c r="DQ131" s="55" t="str">
        <f>IF(AND(RecData[[#This Row],[Useable Background Data?]],RecData[[#This Row],[Turbines ON/OFF]]="OFF"),RecData[[#This Row],[dBA Sum]],"")</f>
        <v/>
      </c>
      <c r="DR131" s="3">
        <f>IF(OR(RecData[[#This Row],[Useable TON Data?]],RecData[[#This Row],[Useable Background Data?]]),ROUND(RecData[[#This Row],[WSpd_Avg '[m/s']]],0),"")</f>
        <v>1</v>
      </c>
      <c r="DS131" s="85">
        <f>(0.00002)^2*(10^(RecData[[#This Row],[Overall (dBA)]]/10))</f>
        <v>3.6033304490709722E-6</v>
      </c>
    </row>
    <row r="132" spans="1:123" ht="15" x14ac:dyDescent="0.25">
      <c r="A132" s="3" t="s">
        <v>249</v>
      </c>
      <c r="B132" s="12">
        <v>43252.935416666674</v>
      </c>
      <c r="C132" s="3"/>
      <c r="D132" s="3">
        <v>42.1</v>
      </c>
      <c r="E132" s="3"/>
      <c r="F132" s="3"/>
      <c r="G132" s="3"/>
      <c r="H132" s="3"/>
      <c r="I132" s="3"/>
      <c r="J132" s="3"/>
      <c r="K132" s="3">
        <v>40.799999999999997</v>
      </c>
      <c r="L132" s="3"/>
      <c r="M132" s="3"/>
      <c r="N132" s="3">
        <v>177.4</v>
      </c>
      <c r="O132" s="3"/>
      <c r="P132" s="3"/>
      <c r="Q132" s="3">
        <v>1.24</v>
      </c>
      <c r="R132" s="3">
        <v>0.1</v>
      </c>
      <c r="S132" s="3">
        <v>2.5</v>
      </c>
      <c r="T132" s="3">
        <v>9.6</v>
      </c>
      <c r="U132" s="3">
        <v>60.2</v>
      </c>
      <c r="V132" s="3">
        <v>975.2</v>
      </c>
      <c r="W132" s="3">
        <v>0</v>
      </c>
      <c r="X132" s="3">
        <v>49.1</v>
      </c>
      <c r="Y132" s="3">
        <v>48.7</v>
      </c>
      <c r="Z132" s="3">
        <v>47.9</v>
      </c>
      <c r="AA132" s="3">
        <v>43.8</v>
      </c>
      <c r="AB132" s="3">
        <v>38.299999999999997</v>
      </c>
      <c r="AC132" s="3">
        <v>36.799999999999997</v>
      </c>
      <c r="AD132" s="3">
        <v>40</v>
      </c>
      <c r="AE132" s="3">
        <v>41.5</v>
      </c>
      <c r="AF132" s="3">
        <v>46.3</v>
      </c>
      <c r="AG132" s="3">
        <v>39.1</v>
      </c>
      <c r="AH132" s="3">
        <v>36</v>
      </c>
      <c r="AI132" s="3">
        <v>36</v>
      </c>
      <c r="AJ132" s="3">
        <v>34.5</v>
      </c>
      <c r="AK132" s="3">
        <v>33.200000000000003</v>
      </c>
      <c r="AL132" s="3">
        <v>32</v>
      </c>
      <c r="AM132" s="3">
        <v>32.6</v>
      </c>
      <c r="AN132" s="3">
        <v>31.3</v>
      </c>
      <c r="AO132" s="3">
        <v>28.5</v>
      </c>
      <c r="AP132" s="3">
        <v>26.6</v>
      </c>
      <c r="AQ132" s="3">
        <v>24.5</v>
      </c>
      <c r="AR132" s="3">
        <v>21.7</v>
      </c>
      <c r="AS132" s="3">
        <v>32.9</v>
      </c>
      <c r="AT132" s="3">
        <v>35.5</v>
      </c>
      <c r="AU132" s="3">
        <v>16.600000000000001</v>
      </c>
      <c r="AV132" s="3">
        <v>14.5</v>
      </c>
      <c r="AW132" s="3">
        <v>13.2</v>
      </c>
      <c r="AX132" s="3">
        <v>10.7</v>
      </c>
      <c r="AY132" s="3">
        <v>10.1</v>
      </c>
      <c r="AZ132" s="3">
        <v>0</v>
      </c>
      <c r="BA132" s="3">
        <v>0</v>
      </c>
      <c r="BB132" s="3">
        <v>0</v>
      </c>
      <c r="BC132" s="3">
        <v>42.061993968979436</v>
      </c>
      <c r="BD132" s="3">
        <v>49.138006031020566</v>
      </c>
      <c r="BE132" s="3">
        <v>48.738006031020575</v>
      </c>
      <c r="BF132" s="3">
        <v>46.698006031020554</v>
      </c>
      <c r="BG132" s="3">
        <v>42.924672697687228</v>
      </c>
      <c r="BH132" s="3">
        <v>37.564672697687229</v>
      </c>
      <c r="BI132" s="3">
        <v>36.478006031020556</v>
      </c>
      <c r="BJ132" s="3">
        <v>40.471339364353895</v>
      </c>
      <c r="BK132" s="3">
        <v>41.84467269768723</v>
      </c>
      <c r="BL132" s="3">
        <v>46.218006031020565</v>
      </c>
      <c r="BM132" s="3">
        <v>39.151339364353902</v>
      </c>
      <c r="BN132" s="3">
        <v>36.334672697687239</v>
      </c>
      <c r="BO132" s="3">
        <v>35.701339364353899</v>
      </c>
      <c r="BP132" s="3">
        <v>33.918006031020568</v>
      </c>
      <c r="BQ132" s="3">
        <v>33.034672697687228</v>
      </c>
      <c r="BR132" s="3">
        <v>32.161339364353893</v>
      </c>
      <c r="BS132" s="3">
        <v>32.564672697687229</v>
      </c>
      <c r="BT132" s="3">
        <v>31.461339364353904</v>
      </c>
      <c r="BU132" s="3">
        <v>28.628006031020561</v>
      </c>
      <c r="BV132" s="3">
        <v>26.444672697687238</v>
      </c>
      <c r="BW132" s="3">
        <v>24.878006031020561</v>
      </c>
      <c r="BX132" s="3">
        <v>21.998006031020566</v>
      </c>
      <c r="BY132" s="3">
        <v>33.018006031020562</v>
      </c>
      <c r="BZ132" s="3">
        <v>35.748006031020566</v>
      </c>
      <c r="CA132" s="3">
        <v>16.948006031020554</v>
      </c>
      <c r="CB132" s="3">
        <v>14.284672697687228</v>
      </c>
      <c r="CC132" s="3">
        <v>13.198006031020562</v>
      </c>
      <c r="CD132" s="3">
        <v>10.004672697687234</v>
      </c>
      <c r="CE132" s="3">
        <v>9.5980060310205602</v>
      </c>
      <c r="CF132" s="3">
        <v>-0.88866063564610442</v>
      </c>
      <c r="CG132" s="3">
        <v>-1.4219939689794359</v>
      </c>
      <c r="CH132" s="3">
        <v>-2.4986606356461039</v>
      </c>
      <c r="CI132" s="13">
        <f>[1]!dbasum(RecData[[#This Row],[20]:[2000]],RecData[[#Headers],[20]:[2000]])</f>
        <v>39.378661866878133</v>
      </c>
      <c r="CJ132" s="14">
        <v>876</v>
      </c>
      <c r="CK132" s="15" t="s">
        <v>249</v>
      </c>
      <c r="CL132" s="15">
        <f>RecData[[#This Row],[Start Time]]</f>
        <v>43252.935416666674</v>
      </c>
      <c r="CM132" s="16">
        <f>RecData[[#This Row],[Wind Speed avg]]</f>
        <v>1.24</v>
      </c>
      <c r="CN132" s="16">
        <f>RecData[[#This Row],[Wind Dir. avg]]</f>
        <v>177.4</v>
      </c>
      <c r="CO132" s="16">
        <f>RecData[[#This Row],[Amb. Humidity]]</f>
        <v>60.2</v>
      </c>
      <c r="CP132" s="16">
        <f>RecData[[#This Row],[Amb. Temperature]]</f>
        <v>9.6</v>
      </c>
      <c r="CQ132" s="17">
        <f>RecData[[#This Row],[Amb. Rain Gauge]]</f>
        <v>0</v>
      </c>
      <c r="CR132" s="4" t="s">
        <v>1</v>
      </c>
      <c r="CS132" s="4" t="s">
        <v>49</v>
      </c>
      <c r="CT132" s="70">
        <v>1601.7791749999999</v>
      </c>
      <c r="CU132" s="70">
        <v>31.673099517822202</v>
      </c>
      <c r="CV132" s="70">
        <v>10.956259727478001</v>
      </c>
      <c r="CW132" s="70">
        <v>15.243344306945801</v>
      </c>
      <c r="CX132" s="97"/>
      <c r="CY132" s="99"/>
      <c r="CZ132" s="2" t="b">
        <f>IF($DP$1="YES",IF(RecData[[#This Row],[Power (kW)]]&gt;=$CR$3, TRUE,FALSE),TRUE)</f>
        <v>1</v>
      </c>
      <c r="DA132" s="16">
        <f>MIN(MOD(180-ABS(ABS($DA$1-RecData[Yaw Angle (°)])-180),360),MOD(180-ABS(ABS($DB$1-RecData[Yaw Angle (°)])-180),360))</f>
        <v>24.143172740134645</v>
      </c>
      <c r="DB132" s="2" t="str">
        <f>IF($DP$2="None","None",IF(RecData[[#This Row],[Relative Wind Direction]]&lt;=45,"DW",IF(RecData[[#This Row],[Relative Wind Direction]]&lt;=135,"CW","UW")))</f>
        <v>DW</v>
      </c>
      <c r="DC132" s="61" t="e">
        <f>IF($CL132-$CL131&gt;1/24,#REF!,IF(SUM($CQ131:$CQ132)&gt;$DS$1,$DS$5,DC133-1))</f>
        <v>#REF!</v>
      </c>
      <c r="DD132" s="61" t="e">
        <f>IF($CL133-$CL132&gt;1/24,#REF!,IF(SUM($CQ131:$CQ132)&gt;$DS$1,$DS$6,#REF!-1))</f>
        <v>#REF!</v>
      </c>
      <c r="DE132" s="18" t="b">
        <v>0</v>
      </c>
      <c r="DF132" s="2" t="b">
        <f>IF(OR(RecData[[#This Row],[WSpd_Avg '[m/s']]]-RecData[[#This Row],[Wind Speed min]]&gt;=$DF$3,RecData[[#This Row],[Wind Speed max]]-RecData[[#This Row],[WSpd_Avg '[m/s']]]&gt;=$DF$2),TRUE,FALSE)</f>
        <v>0</v>
      </c>
      <c r="DG132" s="2" t="b">
        <f>RecData[[#This Row],[Temperature '[°C']]]&lt;=-20</f>
        <v>0</v>
      </c>
      <c r="DH132" s="18" t="b">
        <f>NOT(OR(MOD(RecData[[#This Row],[TIMESTAMP]],1)&gt;0.91632,MOD(RecData[[#This Row],[TIMESTAMP]],1)&lt;0.208681))</f>
        <v>0</v>
      </c>
      <c r="DI132" s="18" t="b">
        <f>RecData[[#This Row],[Overall (dBA)]]-RecData[[#This Row],[L90]]&gt;=$DS$4</f>
        <v>0</v>
      </c>
      <c r="DJ132" s="18" t="b">
        <f>RecData[[#This Row],[Overall (dBA)]]&gt;$DS$2</f>
        <v>0</v>
      </c>
      <c r="DK132" s="18" t="b">
        <f>RecData[[#This Row],[Overall (dBA)]]&lt;$DS$3</f>
        <v>0</v>
      </c>
      <c r="DL1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2" s="2">
        <f>IF(AND(RecData[[#This Row],[Turbines ON/OFF]] = "OFF", NOT(OR(RecData[[#This Row],[Junk?]]="YES",RecData[[#This Row],[Gust?]],RecData[[#This Row],[Rain?]:[Min SPL Threshold?]]))),1,0)</f>
        <v>0</v>
      </c>
      <c r="DN132" s="16">
        <f>RecData[[#This Row],[dBA Sum]]</f>
        <v>39.378661866878133</v>
      </c>
      <c r="DO132" s="16">
        <f>RecData[[#This Row],[LAF90.0]]</f>
        <v>40.799999999999997</v>
      </c>
      <c r="DP132" s="55">
        <f>IF(AND(RecData[[#This Row],[Useable TON Data?]],RecData[[#This Row],[Turbines ON/OFF]]="ON"),RecData[[#This Row],[dBA Sum]],"")</f>
        <v>39.378661866878133</v>
      </c>
      <c r="DQ132" s="55" t="str">
        <f>IF(AND(RecData[[#This Row],[Useable Background Data?]],RecData[[#This Row],[Turbines ON/OFF]]="OFF"),RecData[[#This Row],[dBA Sum]],"")</f>
        <v/>
      </c>
      <c r="DR132" s="3">
        <f>IF(OR(RecData[[#This Row],[Useable TON Data?]],RecData[[#This Row],[Useable Background Data?]]),ROUND(RecData[[#This Row],[WSpd_Avg '[m/s']]],0),"")</f>
        <v>1</v>
      </c>
      <c r="DS132" s="85">
        <f>(0.00002)^2*(10^(RecData[[#This Row],[Overall (dBA)]]/10))</f>
        <v>3.4667791664608584E-6</v>
      </c>
    </row>
    <row r="133" spans="1:123" ht="15" x14ac:dyDescent="0.25">
      <c r="A133" s="3" t="s">
        <v>249</v>
      </c>
      <c r="B133" s="12">
        <v>43252.936111111114</v>
      </c>
      <c r="C133" s="3"/>
      <c r="D133" s="3">
        <v>42.7</v>
      </c>
      <c r="E133" s="3"/>
      <c r="F133" s="3"/>
      <c r="G133" s="3"/>
      <c r="H133" s="3"/>
      <c r="I133" s="3"/>
      <c r="J133" s="3"/>
      <c r="K133" s="3">
        <v>41.4</v>
      </c>
      <c r="L133" s="3"/>
      <c r="M133" s="3"/>
      <c r="N133" s="3">
        <v>160.9</v>
      </c>
      <c r="O133" s="3"/>
      <c r="P133" s="3"/>
      <c r="Q133" s="3">
        <v>1.1100000000000001</v>
      </c>
      <c r="R133" s="3">
        <v>0.1</v>
      </c>
      <c r="S133" s="3">
        <v>2.2000000000000002</v>
      </c>
      <c r="T133" s="3">
        <v>9.6</v>
      </c>
      <c r="U133" s="3">
        <v>60.3</v>
      </c>
      <c r="V133" s="3">
        <v>975.2</v>
      </c>
      <c r="W133" s="3">
        <v>0</v>
      </c>
      <c r="X133" s="3">
        <v>48.6</v>
      </c>
      <c r="Y133" s="3">
        <v>48.7</v>
      </c>
      <c r="Z133" s="3">
        <v>48.1</v>
      </c>
      <c r="AA133" s="3">
        <v>44.3</v>
      </c>
      <c r="AB133" s="3">
        <v>39.1</v>
      </c>
      <c r="AC133" s="3">
        <v>37.5</v>
      </c>
      <c r="AD133" s="3">
        <v>39.4</v>
      </c>
      <c r="AE133" s="3">
        <v>40.700000000000003</v>
      </c>
      <c r="AF133" s="3">
        <v>45.6</v>
      </c>
      <c r="AG133" s="3">
        <v>40.200000000000003</v>
      </c>
      <c r="AH133" s="3">
        <v>35.6</v>
      </c>
      <c r="AI133" s="3">
        <v>36.6</v>
      </c>
      <c r="AJ133" s="3">
        <v>34.799999999999997</v>
      </c>
      <c r="AK133" s="3">
        <v>33.6</v>
      </c>
      <c r="AL133" s="3">
        <v>32.200000000000003</v>
      </c>
      <c r="AM133" s="3">
        <v>32.200000000000003</v>
      </c>
      <c r="AN133" s="3">
        <v>30.9</v>
      </c>
      <c r="AO133" s="3">
        <v>28.1</v>
      </c>
      <c r="AP133" s="3">
        <v>26.3</v>
      </c>
      <c r="AQ133" s="3">
        <v>24.5</v>
      </c>
      <c r="AR133" s="3">
        <v>22.5</v>
      </c>
      <c r="AS133" s="3">
        <v>34.200000000000003</v>
      </c>
      <c r="AT133" s="3">
        <v>36.9</v>
      </c>
      <c r="AU133" s="3">
        <v>16.5</v>
      </c>
      <c r="AV133" s="3">
        <v>14.4</v>
      </c>
      <c r="AW133" s="3">
        <v>13</v>
      </c>
      <c r="AX133" s="3">
        <v>10.1</v>
      </c>
      <c r="AY133" s="3">
        <v>9.6999999999999993</v>
      </c>
      <c r="AZ133" s="3">
        <v>0</v>
      </c>
      <c r="BA133" s="3">
        <v>0</v>
      </c>
      <c r="BB133" s="3">
        <v>0</v>
      </c>
      <c r="BC133" s="3">
        <v>42.701098717306451</v>
      </c>
      <c r="BD133" s="3">
        <v>48.598901282693561</v>
      </c>
      <c r="BE133" s="3">
        <v>48.698901282693555</v>
      </c>
      <c r="BF133" s="3">
        <v>46.858901282693552</v>
      </c>
      <c r="BG133" s="3">
        <v>43.385567949360222</v>
      </c>
      <c r="BH133" s="3">
        <v>38.32556794936022</v>
      </c>
      <c r="BI133" s="3">
        <v>37.138901282693553</v>
      </c>
      <c r="BJ133" s="3">
        <v>39.832234616026881</v>
      </c>
      <c r="BK133" s="3">
        <v>41.005567949360227</v>
      </c>
      <c r="BL133" s="3">
        <v>45.478901282693556</v>
      </c>
      <c r="BM133" s="3">
        <v>40.21223461602689</v>
      </c>
      <c r="BN133" s="3">
        <v>35.895567949360213</v>
      </c>
      <c r="BO133" s="3">
        <v>36.262234616026888</v>
      </c>
      <c r="BP133" s="3">
        <v>34.178901282693545</v>
      </c>
      <c r="BQ133" s="3">
        <v>33.395567949360213</v>
      </c>
      <c r="BR133" s="3">
        <v>32.32223461602689</v>
      </c>
      <c r="BS133" s="3">
        <v>32.125567949360232</v>
      </c>
      <c r="BT133" s="3">
        <v>31.022234616026878</v>
      </c>
      <c r="BU133" s="3">
        <v>28.188901282693564</v>
      </c>
      <c r="BV133" s="3">
        <v>26.105567949360221</v>
      </c>
      <c r="BW133" s="3">
        <v>24.838901282693556</v>
      </c>
      <c r="BX133" s="3">
        <v>22.758901282693557</v>
      </c>
      <c r="BY133" s="3">
        <v>34.278901282693553</v>
      </c>
      <c r="BZ133" s="3">
        <v>37.108901282693552</v>
      </c>
      <c r="CA133" s="3">
        <v>16.80890128269354</v>
      </c>
      <c r="CB133" s="3">
        <v>14.145567949360213</v>
      </c>
      <c r="CC133" s="3">
        <v>12.958901282693553</v>
      </c>
      <c r="CD133" s="3">
        <v>9.3655679493602264</v>
      </c>
      <c r="CE133" s="3">
        <v>9.1589012826935488</v>
      </c>
      <c r="CF133" s="3">
        <v>-0.92776538397311725</v>
      </c>
      <c r="CG133" s="3">
        <v>-1.4610987173064487</v>
      </c>
      <c r="CH133" s="3">
        <v>-2.5377653839731167</v>
      </c>
      <c r="CI133" s="13">
        <f>[1]!dbasum(RecData[[#This Row],[20]:[2000]],RecData[[#Headers],[20]:[2000]])</f>
        <v>39.263544618539036</v>
      </c>
      <c r="CJ133" s="14">
        <v>877</v>
      </c>
      <c r="CK133" s="15" t="s">
        <v>249</v>
      </c>
      <c r="CL133" s="15">
        <f>RecData[[#This Row],[Start Time]]</f>
        <v>43252.936111111114</v>
      </c>
      <c r="CM133" s="16">
        <f>RecData[[#This Row],[Wind Speed avg]]</f>
        <v>1.1100000000000001</v>
      </c>
      <c r="CN133" s="16">
        <f>RecData[[#This Row],[Wind Dir. avg]]</f>
        <v>160.9</v>
      </c>
      <c r="CO133" s="16">
        <f>RecData[[#This Row],[Amb. Humidity]]</f>
        <v>60.3</v>
      </c>
      <c r="CP133" s="16">
        <f>RecData[[#This Row],[Amb. Temperature]]</f>
        <v>9.6</v>
      </c>
      <c r="CQ133" s="17">
        <f>RecData[[#This Row],[Amb. Rain Gauge]]</f>
        <v>0</v>
      </c>
      <c r="CR133" s="4" t="s">
        <v>1</v>
      </c>
      <c r="CS133" s="4" t="s">
        <v>49</v>
      </c>
      <c r="CT133" s="70">
        <v>1601.7791749999999</v>
      </c>
      <c r="CU133" s="70">
        <v>31.673099517822202</v>
      </c>
      <c r="CV133" s="70">
        <v>10.956259727478001</v>
      </c>
      <c r="CW133" s="70">
        <v>15.243344306945801</v>
      </c>
      <c r="CX133" s="97"/>
      <c r="CY133" s="99"/>
      <c r="CZ133" s="2" t="b">
        <f>IF($DP$1="YES",IF(RecData[[#This Row],[Power (kW)]]&gt;=$CR$3, TRUE,FALSE),TRUE)</f>
        <v>1</v>
      </c>
      <c r="DA133" s="16">
        <f>MIN(MOD(180-ABS(ABS($DA$1-RecData[Yaw Angle (°)])-180),360),MOD(180-ABS(ABS($DB$1-RecData[Yaw Angle (°)])-180),360))</f>
        <v>24.143172740134645</v>
      </c>
      <c r="DB133" s="2" t="str">
        <f>IF($DP$2="None","None",IF(RecData[[#This Row],[Relative Wind Direction]]&lt;=45,"DW",IF(RecData[[#This Row],[Relative Wind Direction]]&lt;=135,"CW","UW")))</f>
        <v>DW</v>
      </c>
      <c r="DC133" s="61" t="e">
        <f>IF($CL133-$CL131&gt;1/24,#REF!,IF(SUM($CQ131:$CQ133)&gt;$DS$1,$DS$5,#REF!-1))</f>
        <v>#REF!</v>
      </c>
      <c r="DD133" s="61" t="e">
        <f>IF(#REF!-$CL133&gt;1/24,#REF!,IF(SUM($CQ131:$CQ133)&gt;$DS$1,$DS$6,DD132-1))</f>
        <v>#REF!</v>
      </c>
      <c r="DE133" s="18" t="b">
        <v>0</v>
      </c>
      <c r="DF133" s="2" t="b">
        <f>IF(OR(RecData[[#This Row],[WSpd_Avg '[m/s']]]-RecData[[#This Row],[Wind Speed min]]&gt;=$DF$3,RecData[[#This Row],[Wind Speed max]]-RecData[[#This Row],[WSpd_Avg '[m/s']]]&gt;=$DF$2),TRUE,FALSE)</f>
        <v>0</v>
      </c>
      <c r="DG133" s="2" t="b">
        <f>RecData[[#This Row],[Temperature '[°C']]]&lt;=-20</f>
        <v>0</v>
      </c>
      <c r="DH133" s="18" t="b">
        <f>NOT(OR(MOD(RecData[[#This Row],[TIMESTAMP]],1)&gt;0.91632,MOD(RecData[[#This Row],[TIMESTAMP]],1)&lt;0.208681))</f>
        <v>0</v>
      </c>
      <c r="DI133" s="18" t="b">
        <f>RecData[[#This Row],[Overall (dBA)]]-RecData[[#This Row],[L90]]&gt;=$DS$4</f>
        <v>0</v>
      </c>
      <c r="DJ133" s="18" t="b">
        <f>RecData[[#This Row],[Overall (dBA)]]&gt;$DS$2</f>
        <v>0</v>
      </c>
      <c r="DK133" s="18" t="b">
        <f>RecData[[#This Row],[Overall (dBA)]]&lt;$DS$3</f>
        <v>0</v>
      </c>
      <c r="DL1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3" s="2">
        <f>IF(AND(RecData[[#This Row],[Turbines ON/OFF]] = "OFF", NOT(OR(RecData[[#This Row],[Junk?]]="YES",RecData[[#This Row],[Gust?]],RecData[[#This Row],[Rain?]:[Min SPL Threshold?]]))),1,0)</f>
        <v>0</v>
      </c>
      <c r="DN133" s="16">
        <f>RecData[[#This Row],[dBA Sum]]</f>
        <v>39.263544618539036</v>
      </c>
      <c r="DO133" s="16">
        <f>RecData[[#This Row],[LAF90.0]]</f>
        <v>41.4</v>
      </c>
      <c r="DP133" s="55">
        <f>IF(AND(RecData[[#This Row],[Useable TON Data?]],RecData[[#This Row],[Turbines ON/OFF]]="ON"),RecData[[#This Row],[dBA Sum]],"")</f>
        <v>39.263544618539036</v>
      </c>
      <c r="DQ133" s="55" t="str">
        <f>IF(AND(RecData[[#This Row],[Useable Background Data?]],RecData[[#This Row],[Turbines ON/OFF]]="OFF"),RecData[[#This Row],[dBA Sum]],"")</f>
        <v/>
      </c>
      <c r="DR133" s="3">
        <f>IF(OR(RecData[[#This Row],[Useable TON Data?]],RecData[[#This Row],[Useable Background Data?]]),ROUND(RecData[[#This Row],[WSpd_Avg '[m/s']]],0),"")</f>
        <v>1</v>
      </c>
      <c r="DS133" s="85">
        <f>(0.00002)^2*(10^(RecData[[#This Row],[Overall (dBA)]]/10))</f>
        <v>3.3760934019965248E-6</v>
      </c>
    </row>
    <row r="134" spans="1:123" ht="15" x14ac:dyDescent="0.25">
      <c r="A134" s="3" t="s">
        <v>249</v>
      </c>
      <c r="B134" s="12">
        <v>43252.94027777778</v>
      </c>
      <c r="C134" s="3"/>
      <c r="D134" s="3">
        <v>43.3</v>
      </c>
      <c r="E134" s="3"/>
      <c r="F134" s="3"/>
      <c r="G134" s="3"/>
      <c r="H134" s="3"/>
      <c r="I134" s="3"/>
      <c r="J134" s="3"/>
      <c r="K134" s="3">
        <v>41.5</v>
      </c>
      <c r="L134" s="3"/>
      <c r="M134" s="3"/>
      <c r="N134" s="3">
        <v>154.6</v>
      </c>
      <c r="O134" s="3"/>
      <c r="P134" s="3"/>
      <c r="Q134" s="3">
        <v>0.83</v>
      </c>
      <c r="R134" s="3">
        <v>0.2</v>
      </c>
      <c r="S134" s="3">
        <v>1.6</v>
      </c>
      <c r="T134" s="3">
        <v>9.6</v>
      </c>
      <c r="U134" s="3">
        <v>59.6</v>
      </c>
      <c r="V134" s="3">
        <v>975.2</v>
      </c>
      <c r="W134" s="3">
        <v>0</v>
      </c>
      <c r="X134" s="3">
        <v>49.7</v>
      </c>
      <c r="Y134" s="3">
        <v>49</v>
      </c>
      <c r="Z134" s="3">
        <v>49</v>
      </c>
      <c r="AA134" s="3">
        <v>45</v>
      </c>
      <c r="AB134" s="3">
        <v>40</v>
      </c>
      <c r="AC134" s="3">
        <v>39.799999999999997</v>
      </c>
      <c r="AD134" s="3">
        <v>42.8</v>
      </c>
      <c r="AE134" s="3">
        <v>42.9</v>
      </c>
      <c r="AF134" s="3">
        <v>46.5</v>
      </c>
      <c r="AG134" s="3">
        <v>40.700000000000003</v>
      </c>
      <c r="AH134" s="3">
        <v>37.4</v>
      </c>
      <c r="AI134" s="3">
        <v>37.700000000000003</v>
      </c>
      <c r="AJ134" s="3">
        <v>36.299999999999997</v>
      </c>
      <c r="AK134" s="3">
        <v>35</v>
      </c>
      <c r="AL134" s="3">
        <v>33.5</v>
      </c>
      <c r="AM134" s="3">
        <v>33.5</v>
      </c>
      <c r="AN134" s="3">
        <v>32.1</v>
      </c>
      <c r="AO134" s="3">
        <v>29.6</v>
      </c>
      <c r="AP134" s="3">
        <v>27.7</v>
      </c>
      <c r="AQ134" s="3">
        <v>26</v>
      </c>
      <c r="AR134" s="3">
        <v>24.1</v>
      </c>
      <c r="AS134" s="3">
        <v>34.200000000000003</v>
      </c>
      <c r="AT134" s="3">
        <v>36.5</v>
      </c>
      <c r="AU134" s="3">
        <v>20</v>
      </c>
      <c r="AV134" s="3">
        <v>18.3</v>
      </c>
      <c r="AW134" s="3">
        <v>16.899999999999999</v>
      </c>
      <c r="AX134" s="3">
        <v>13</v>
      </c>
      <c r="AY134" s="3">
        <v>11.5</v>
      </c>
      <c r="AZ134" s="3">
        <v>0</v>
      </c>
      <c r="BA134" s="3">
        <v>0</v>
      </c>
      <c r="BB134" s="3">
        <v>0</v>
      </c>
      <c r="BC134" s="3">
        <v>43.264583948000983</v>
      </c>
      <c r="BD134" s="3">
        <v>49.735416051999017</v>
      </c>
      <c r="BE134" s="3">
        <v>49.035416051999015</v>
      </c>
      <c r="BF134" s="3">
        <v>47.79541605199902</v>
      </c>
      <c r="BG134" s="3">
        <v>44.122082718665673</v>
      </c>
      <c r="BH134" s="3">
        <v>39.262082718665688</v>
      </c>
      <c r="BI134" s="3">
        <v>39.475416051999012</v>
      </c>
      <c r="BJ134" s="3">
        <v>43.268749385332349</v>
      </c>
      <c r="BK134" s="3">
        <v>43.242082718665678</v>
      </c>
      <c r="BL134" s="3">
        <v>46.415416051999024</v>
      </c>
      <c r="BM134" s="3">
        <v>40.748749385332353</v>
      </c>
      <c r="BN134" s="3">
        <v>37.732082718665687</v>
      </c>
      <c r="BO134" s="3">
        <v>37.398749385332344</v>
      </c>
      <c r="BP134" s="3">
        <v>35.715416051999007</v>
      </c>
      <c r="BQ134" s="3">
        <v>34.832082718665681</v>
      </c>
      <c r="BR134" s="3">
        <v>33.658749385332349</v>
      </c>
      <c r="BS134" s="3">
        <v>33.462082718665677</v>
      </c>
      <c r="BT134" s="3">
        <v>32.258749385332358</v>
      </c>
      <c r="BU134" s="3">
        <v>29.725416051999026</v>
      </c>
      <c r="BV134" s="3">
        <v>27.542082718665689</v>
      </c>
      <c r="BW134" s="3">
        <v>26.375416051999018</v>
      </c>
      <c r="BX134" s="3">
        <v>24.395416051999014</v>
      </c>
      <c r="BY134" s="3">
        <v>34.315416051999016</v>
      </c>
      <c r="BZ134" s="3">
        <v>36.745416051999008</v>
      </c>
      <c r="CA134" s="3">
        <v>20.345416051999003</v>
      </c>
      <c r="CB134" s="3">
        <v>18.082082718665681</v>
      </c>
      <c r="CC134" s="3">
        <v>16.895416051999014</v>
      </c>
      <c r="CD134" s="3">
        <v>12.302082718665687</v>
      </c>
      <c r="CE134" s="3">
        <v>10.995416051999015</v>
      </c>
      <c r="CF134" s="3">
        <v>-0.89125061466765487</v>
      </c>
      <c r="CG134" s="3">
        <v>-1.4245839480009863</v>
      </c>
      <c r="CH134" s="3">
        <v>-2.5012506146676543</v>
      </c>
      <c r="CI134" s="13">
        <f>[1]!dbasum(RecData[[#This Row],[20]:[2000]],RecData[[#Headers],[20]:[2000]])</f>
        <v>40.611696486449553</v>
      </c>
      <c r="CJ134" s="14">
        <v>883</v>
      </c>
      <c r="CK134" s="15" t="s">
        <v>249</v>
      </c>
      <c r="CL134" s="15">
        <f>RecData[[#This Row],[Start Time]]</f>
        <v>43252.94027777778</v>
      </c>
      <c r="CM134" s="16">
        <f>RecData[[#This Row],[Wind Speed avg]]</f>
        <v>0.83</v>
      </c>
      <c r="CN134" s="16">
        <f>RecData[[#This Row],[Wind Dir. avg]]</f>
        <v>154.6</v>
      </c>
      <c r="CO134" s="16">
        <f>RecData[[#This Row],[Amb. Humidity]]</f>
        <v>59.6</v>
      </c>
      <c r="CP134" s="16">
        <f>RecData[[#This Row],[Amb. Temperature]]</f>
        <v>9.6</v>
      </c>
      <c r="CQ134" s="17">
        <f>RecData[[#This Row],[Amb. Rain Gauge]]</f>
        <v>0</v>
      </c>
      <c r="CR134" s="4" t="s">
        <v>1</v>
      </c>
      <c r="CS134" s="4" t="s">
        <v>49</v>
      </c>
      <c r="CT134" s="70">
        <v>1608.8942870000001</v>
      </c>
      <c r="CU134" s="70">
        <v>33.000278472900298</v>
      </c>
      <c r="CV134" s="70">
        <v>11.6084747314453</v>
      </c>
      <c r="CW134" s="70">
        <v>15.252200126647899</v>
      </c>
      <c r="CX134" s="97"/>
      <c r="CY134" s="99"/>
      <c r="CZ134" s="2" t="b">
        <f>IF($DP$1="YES",IF(RecData[[#This Row],[Power (kW)]]&gt;=$CR$3, TRUE,FALSE),TRUE)</f>
        <v>1</v>
      </c>
      <c r="DA134" s="16">
        <f>MIN(MOD(180-ABS(ABS($DA$1-RecData[Yaw Angle (°)])-180),360),MOD(180-ABS(ABS($DB$1-RecData[Yaw Angle (°)])-180),360))</f>
        <v>25.470351695212742</v>
      </c>
      <c r="DB134" s="2" t="str">
        <f>IF($DP$2="None","None",IF(RecData[[#This Row],[Relative Wind Direction]]&lt;=45,"DW",IF(RecData[[#This Row],[Relative Wind Direction]]&lt;=135,"CW","UW")))</f>
        <v>DW</v>
      </c>
      <c r="DC134" s="61">
        <v>-1</v>
      </c>
      <c r="DD134" s="61">
        <v>-1</v>
      </c>
      <c r="DE134" s="18" t="b">
        <v>0</v>
      </c>
      <c r="DF134" s="2" t="b">
        <f>IF(OR(RecData[[#This Row],[WSpd_Avg '[m/s']]]-RecData[[#This Row],[Wind Speed min]]&gt;=$DF$3,RecData[[#This Row],[Wind Speed max]]-RecData[[#This Row],[WSpd_Avg '[m/s']]]&gt;=$DF$2),TRUE,FALSE)</f>
        <v>0</v>
      </c>
      <c r="DG134" s="2" t="b">
        <f>RecData[[#This Row],[Temperature '[°C']]]&lt;=-20</f>
        <v>0</v>
      </c>
      <c r="DH134" s="18" t="b">
        <f>NOT(OR(MOD(RecData[[#This Row],[TIMESTAMP]],1)&gt;0.91632,MOD(RecData[[#This Row],[TIMESTAMP]],1)&lt;0.208681))</f>
        <v>0</v>
      </c>
      <c r="DI134" s="18" t="b">
        <f>RecData[[#This Row],[Overall (dBA)]]-RecData[[#This Row],[L90]]&gt;=$DS$4</f>
        <v>0</v>
      </c>
      <c r="DJ134" s="18" t="b">
        <f>RecData[[#This Row],[Overall (dBA)]]&gt;$DS$2</f>
        <v>0</v>
      </c>
      <c r="DK134" s="18" t="b">
        <f>RecData[[#This Row],[Overall (dBA)]]&lt;$DS$3</f>
        <v>0</v>
      </c>
      <c r="DL1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4" s="2">
        <f>IF(AND(RecData[[#This Row],[Turbines ON/OFF]] = "OFF", NOT(OR(RecData[[#This Row],[Junk?]]="YES",RecData[[#This Row],[Gust?]],RecData[[#This Row],[Rain?]:[Min SPL Threshold?]]))),1,0)</f>
        <v>0</v>
      </c>
      <c r="DN134" s="16">
        <f>RecData[[#This Row],[dBA Sum]]</f>
        <v>40.611696486449553</v>
      </c>
      <c r="DO134" s="16">
        <f>RecData[[#This Row],[LAF90.0]]</f>
        <v>41.5</v>
      </c>
      <c r="DP134" s="55">
        <f>IF(AND(RecData[[#This Row],[Useable TON Data?]],RecData[[#This Row],[Turbines ON/OFF]]="ON"),RecData[[#This Row],[dBA Sum]],"")</f>
        <v>40.611696486449553</v>
      </c>
      <c r="DQ134" s="55" t="str">
        <f>IF(AND(RecData[[#This Row],[Useable Background Data?]],RecData[[#This Row],[Turbines ON/OFF]]="OFF"),RecData[[#This Row],[dBA Sum]],"")</f>
        <v/>
      </c>
      <c r="DR134" s="3">
        <f>IF(OR(RecData[[#This Row],[Useable TON Data?]],RecData[[#This Row],[Useable Background Data?]]),ROUND(RecData[[#This Row],[WSpd_Avg '[m/s']]],0),"")</f>
        <v>1</v>
      </c>
      <c r="DS134" s="85">
        <f>(0.00002)^2*(10^(RecData[[#This Row],[Overall (dBA)]]/10))</f>
        <v>4.6050000576830529E-6</v>
      </c>
    </row>
    <row r="135" spans="1:123" ht="15" x14ac:dyDescent="0.25">
      <c r="A135" s="3" t="s">
        <v>249</v>
      </c>
      <c r="B135" s="12">
        <v>43252.941666666673</v>
      </c>
      <c r="C135" s="3"/>
      <c r="D135" s="3">
        <v>42.7</v>
      </c>
      <c r="E135" s="3"/>
      <c r="F135" s="3"/>
      <c r="G135" s="3"/>
      <c r="H135" s="3"/>
      <c r="I135" s="3"/>
      <c r="J135" s="3"/>
      <c r="K135" s="3">
        <v>40.700000000000003</v>
      </c>
      <c r="L135" s="3"/>
      <c r="M135" s="3"/>
      <c r="N135" s="3">
        <v>196.4</v>
      </c>
      <c r="O135" s="3"/>
      <c r="P135" s="3"/>
      <c r="Q135" s="3">
        <v>1.02</v>
      </c>
      <c r="R135" s="3">
        <v>0.2</v>
      </c>
      <c r="S135" s="3">
        <v>1.7</v>
      </c>
      <c r="T135" s="3">
        <v>9.6</v>
      </c>
      <c r="U135" s="3">
        <v>59.9</v>
      </c>
      <c r="V135" s="3">
        <v>975.2</v>
      </c>
      <c r="W135" s="3">
        <v>0</v>
      </c>
      <c r="X135" s="3">
        <v>48.3</v>
      </c>
      <c r="Y135" s="3">
        <v>47.7</v>
      </c>
      <c r="Z135" s="3">
        <v>46.8</v>
      </c>
      <c r="AA135" s="3">
        <v>42.5</v>
      </c>
      <c r="AB135" s="3">
        <v>37.799999999999997</v>
      </c>
      <c r="AC135" s="3">
        <v>35.200000000000003</v>
      </c>
      <c r="AD135" s="3">
        <v>37.299999999999997</v>
      </c>
      <c r="AE135" s="3">
        <v>39.6</v>
      </c>
      <c r="AF135" s="3">
        <v>44.6</v>
      </c>
      <c r="AG135" s="3">
        <v>37.700000000000003</v>
      </c>
      <c r="AH135" s="3">
        <v>34</v>
      </c>
      <c r="AI135" s="3">
        <v>34.6</v>
      </c>
      <c r="AJ135" s="3">
        <v>33.299999999999997</v>
      </c>
      <c r="AK135" s="3">
        <v>31.9</v>
      </c>
      <c r="AL135" s="3">
        <v>30.6</v>
      </c>
      <c r="AM135" s="3">
        <v>31.3</v>
      </c>
      <c r="AN135" s="3">
        <v>30.1</v>
      </c>
      <c r="AO135" s="3">
        <v>27.3</v>
      </c>
      <c r="AP135" s="3">
        <v>25.7</v>
      </c>
      <c r="AQ135" s="3">
        <v>23.7</v>
      </c>
      <c r="AR135" s="3">
        <v>20.7</v>
      </c>
      <c r="AS135" s="3">
        <v>35.299999999999997</v>
      </c>
      <c r="AT135" s="3">
        <v>37.5</v>
      </c>
      <c r="AU135" s="3">
        <v>13.7</v>
      </c>
      <c r="AV135" s="3">
        <v>11.2</v>
      </c>
      <c r="AW135" s="3">
        <v>10.3</v>
      </c>
      <c r="AX135" s="3">
        <v>9.4</v>
      </c>
      <c r="AY135" s="3">
        <v>9.4</v>
      </c>
      <c r="AZ135" s="3">
        <v>0</v>
      </c>
      <c r="BA135" s="3">
        <v>0</v>
      </c>
      <c r="BB135" s="3">
        <v>0</v>
      </c>
      <c r="BC135" s="3">
        <v>42.648174744369946</v>
      </c>
      <c r="BD135" s="3">
        <v>48.351825255630054</v>
      </c>
      <c r="BE135" s="3">
        <v>47.75182525563006</v>
      </c>
      <c r="BF135" s="3">
        <v>45.611825255630045</v>
      </c>
      <c r="BG135" s="3">
        <v>41.638491922296716</v>
      </c>
      <c r="BH135" s="3">
        <v>37.078491922296713</v>
      </c>
      <c r="BI135" s="3">
        <v>34.89182525563006</v>
      </c>
      <c r="BJ135" s="3">
        <v>37.785158588963391</v>
      </c>
      <c r="BK135" s="3">
        <v>39.958491922296723</v>
      </c>
      <c r="BL135" s="3">
        <v>44.531825255630061</v>
      </c>
      <c r="BM135" s="3">
        <v>37.765158588963395</v>
      </c>
      <c r="BN135" s="3">
        <v>34.348491922296724</v>
      </c>
      <c r="BO135" s="3">
        <v>34.315158588963392</v>
      </c>
      <c r="BP135" s="3">
        <v>32.731825255630049</v>
      </c>
      <c r="BQ135" s="3">
        <v>31.748491922296715</v>
      </c>
      <c r="BR135" s="3">
        <v>30.7751585889634</v>
      </c>
      <c r="BS135" s="3">
        <v>31.27849192229673</v>
      </c>
      <c r="BT135" s="3">
        <v>30.2751585889634</v>
      </c>
      <c r="BU135" s="3">
        <v>27.441825255630057</v>
      </c>
      <c r="BV135" s="3">
        <v>25.558491922296732</v>
      </c>
      <c r="BW135" s="3">
        <v>24.091825255630063</v>
      </c>
      <c r="BX135" s="3">
        <v>21.011825255630065</v>
      </c>
      <c r="BY135" s="3">
        <v>35.431825255630052</v>
      </c>
      <c r="BZ135" s="3">
        <v>37.76182525563005</v>
      </c>
      <c r="CA135" s="3">
        <v>14.061825255630048</v>
      </c>
      <c r="CB135" s="3">
        <v>10.998491922296722</v>
      </c>
      <c r="CC135" s="3">
        <v>10.311825255630055</v>
      </c>
      <c r="CD135" s="3">
        <v>8.7184919222967281</v>
      </c>
      <c r="CE135" s="3">
        <v>8.9118252556300561</v>
      </c>
      <c r="CF135" s="3">
        <v>-0.87484141103661273</v>
      </c>
      <c r="CG135" s="3">
        <v>-1.4081747443699442</v>
      </c>
      <c r="CH135" s="3">
        <v>-2.4848414110366122</v>
      </c>
      <c r="CI135" s="13">
        <f>[1]!dbasum(RecData[[#This Row],[20]:[2000]],RecData[[#Headers],[20]:[2000]])</f>
        <v>38.065938339516421</v>
      </c>
      <c r="CJ135" s="14">
        <v>885</v>
      </c>
      <c r="CK135" s="15" t="s">
        <v>249</v>
      </c>
      <c r="CL135" s="15">
        <f>RecData[[#This Row],[Start Time]]</f>
        <v>43252.941666666673</v>
      </c>
      <c r="CM135" s="16">
        <f>RecData[[#This Row],[Wind Speed avg]]</f>
        <v>1.02</v>
      </c>
      <c r="CN135" s="16">
        <f>RecData[[#This Row],[Wind Dir. avg]]</f>
        <v>196.4</v>
      </c>
      <c r="CO135" s="16">
        <f>RecData[[#This Row],[Amb. Humidity]]</f>
        <v>59.9</v>
      </c>
      <c r="CP135" s="16">
        <f>RecData[[#This Row],[Amb. Temperature]]</f>
        <v>9.6</v>
      </c>
      <c r="CQ135" s="17">
        <f>RecData[[#This Row],[Amb. Rain Gauge]]</f>
        <v>0</v>
      </c>
      <c r="CR135" s="4" t="s">
        <v>1</v>
      </c>
      <c r="CS135" s="4" t="s">
        <v>49</v>
      </c>
      <c r="CT135" s="70">
        <v>1608.8942870000001</v>
      </c>
      <c r="CU135" s="70">
        <v>33.000278472900298</v>
      </c>
      <c r="CV135" s="70">
        <v>11.6084747314453</v>
      </c>
      <c r="CW135" s="70">
        <v>15.252200126647899</v>
      </c>
      <c r="CX135" s="97"/>
      <c r="CY135" s="99"/>
      <c r="CZ135" s="2" t="b">
        <f>IF($DP$1="YES",IF(RecData[[#This Row],[Power (kW)]]&gt;=$CR$3, TRUE,FALSE),TRUE)</f>
        <v>1</v>
      </c>
      <c r="DA135" s="16">
        <f>MIN(MOD(180-ABS(ABS($DA$1-RecData[Yaw Angle (°)])-180),360),MOD(180-ABS(ABS($DB$1-RecData[Yaw Angle (°)])-180),360))</f>
        <v>25.470351695212742</v>
      </c>
      <c r="DB135" s="2" t="str">
        <f>IF($DP$2="None","None",IF(RecData[[#This Row],[Relative Wind Direction]]&lt;=45,"DW",IF(RecData[[#This Row],[Relative Wind Direction]]&lt;=135,"CW","UW")))</f>
        <v>DW</v>
      </c>
      <c r="DC135" s="61" t="e">
        <f>IF($CL135-$CL134&gt;1/24,#REF!,IF(SUM($CQ134:$CQ135)&gt;$DS$1,$DS$5,DC136-1))</f>
        <v>#REF!</v>
      </c>
      <c r="DD135" s="61" t="e">
        <f>IF($CL136-$CL135&gt;1/24,#REF!,IF(SUM($CQ134:$CQ135)&gt;$DS$1,$DS$6,#REF!-1))</f>
        <v>#REF!</v>
      </c>
      <c r="DE135" s="18" t="b">
        <v>0</v>
      </c>
      <c r="DF135" s="2" t="b">
        <f>IF(OR(RecData[[#This Row],[WSpd_Avg '[m/s']]]-RecData[[#This Row],[Wind Speed min]]&gt;=$DF$3,RecData[[#This Row],[Wind Speed max]]-RecData[[#This Row],[WSpd_Avg '[m/s']]]&gt;=$DF$2),TRUE,FALSE)</f>
        <v>0</v>
      </c>
      <c r="DG135" s="2" t="b">
        <f>RecData[[#This Row],[Temperature '[°C']]]&lt;=-20</f>
        <v>0</v>
      </c>
      <c r="DH135" s="18" t="b">
        <f>NOT(OR(MOD(RecData[[#This Row],[TIMESTAMP]],1)&gt;0.91632,MOD(RecData[[#This Row],[TIMESTAMP]],1)&lt;0.208681))</f>
        <v>0</v>
      </c>
      <c r="DI135" s="18" t="b">
        <f>RecData[[#This Row],[Overall (dBA)]]-RecData[[#This Row],[L90]]&gt;=$DS$4</f>
        <v>0</v>
      </c>
      <c r="DJ135" s="18" t="b">
        <f>RecData[[#This Row],[Overall (dBA)]]&gt;$DS$2</f>
        <v>0</v>
      </c>
      <c r="DK135" s="18" t="b">
        <f>RecData[[#This Row],[Overall (dBA)]]&lt;$DS$3</f>
        <v>0</v>
      </c>
      <c r="DL1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5" s="2">
        <f>IF(AND(RecData[[#This Row],[Turbines ON/OFF]] = "OFF", NOT(OR(RecData[[#This Row],[Junk?]]="YES",RecData[[#This Row],[Gust?]],RecData[[#This Row],[Rain?]:[Min SPL Threshold?]]))),1,0)</f>
        <v>0</v>
      </c>
      <c r="DN135" s="16">
        <f>RecData[[#This Row],[dBA Sum]]</f>
        <v>38.065938339516421</v>
      </c>
      <c r="DO135" s="16">
        <f>RecData[[#This Row],[LAF90.0]]</f>
        <v>40.700000000000003</v>
      </c>
      <c r="DP135" s="55">
        <f>IF(AND(RecData[[#This Row],[Useable TON Data?]],RecData[[#This Row],[Turbines ON/OFF]]="ON"),RecData[[#This Row],[dBA Sum]],"")</f>
        <v>38.065938339516421</v>
      </c>
      <c r="DQ135" s="55" t="str">
        <f>IF(AND(RecData[[#This Row],[Useable Background Data?]],RecData[[#This Row],[Turbines ON/OFF]]="OFF"),RecData[[#This Row],[dBA Sum]],"")</f>
        <v/>
      </c>
      <c r="DR135" s="3">
        <f>IF(OR(RecData[[#This Row],[Useable TON Data?]],RecData[[#This Row],[Useable Background Data?]]),ROUND(RecData[[#This Row],[WSpd_Avg '[m/s']]],0),"")</f>
        <v>1</v>
      </c>
      <c r="DS135" s="85">
        <f>(0.00002)^2*(10^(RecData[[#This Row],[Overall (dBA)]]/10))</f>
        <v>2.5624407090978649E-6</v>
      </c>
    </row>
    <row r="136" spans="1:123" ht="15" x14ac:dyDescent="0.25">
      <c r="A136" s="3" t="s">
        <v>249</v>
      </c>
      <c r="B136" s="12">
        <v>43252.942361111112</v>
      </c>
      <c r="C136" s="3"/>
      <c r="D136" s="3">
        <v>43.8</v>
      </c>
      <c r="E136" s="3"/>
      <c r="F136" s="3"/>
      <c r="G136" s="3"/>
      <c r="H136" s="3"/>
      <c r="I136" s="3"/>
      <c r="J136" s="3"/>
      <c r="K136" s="3">
        <v>42</v>
      </c>
      <c r="L136" s="3"/>
      <c r="M136" s="3"/>
      <c r="N136" s="3">
        <v>144.6</v>
      </c>
      <c r="O136" s="3"/>
      <c r="P136" s="3"/>
      <c r="Q136" s="3">
        <v>1.63</v>
      </c>
      <c r="R136" s="3">
        <v>0.7</v>
      </c>
      <c r="S136" s="3">
        <v>2.8</v>
      </c>
      <c r="T136" s="3">
        <v>9.6</v>
      </c>
      <c r="U136" s="3">
        <v>59.8</v>
      </c>
      <c r="V136" s="3">
        <v>975.2</v>
      </c>
      <c r="W136" s="3">
        <v>0</v>
      </c>
      <c r="X136" s="3">
        <v>48.4</v>
      </c>
      <c r="Y136" s="3">
        <v>48.9</v>
      </c>
      <c r="Z136" s="3">
        <v>48.1</v>
      </c>
      <c r="AA136" s="3">
        <v>44.4</v>
      </c>
      <c r="AB136" s="3">
        <v>39.6</v>
      </c>
      <c r="AC136" s="3">
        <v>38.299999999999997</v>
      </c>
      <c r="AD136" s="3">
        <v>41</v>
      </c>
      <c r="AE136" s="3">
        <v>41.9</v>
      </c>
      <c r="AF136" s="3">
        <v>47.5</v>
      </c>
      <c r="AG136" s="3">
        <v>40.4</v>
      </c>
      <c r="AH136" s="3">
        <v>36.299999999999997</v>
      </c>
      <c r="AI136" s="3">
        <v>37.1</v>
      </c>
      <c r="AJ136" s="3">
        <v>35.5</v>
      </c>
      <c r="AK136" s="3">
        <v>34.299999999999997</v>
      </c>
      <c r="AL136" s="3">
        <v>32.799999999999997</v>
      </c>
      <c r="AM136" s="3">
        <v>32.799999999999997</v>
      </c>
      <c r="AN136" s="3">
        <v>31.6</v>
      </c>
      <c r="AO136" s="3">
        <v>28.8</v>
      </c>
      <c r="AP136" s="3">
        <v>26.9</v>
      </c>
      <c r="AQ136" s="3">
        <v>24.7</v>
      </c>
      <c r="AR136" s="3">
        <v>21.7</v>
      </c>
      <c r="AS136" s="3">
        <v>35.9</v>
      </c>
      <c r="AT136" s="3">
        <v>37.9</v>
      </c>
      <c r="AU136" s="3">
        <v>15.4</v>
      </c>
      <c r="AV136" s="3">
        <v>13.1</v>
      </c>
      <c r="AW136" s="3">
        <v>12</v>
      </c>
      <c r="AX136" s="3">
        <v>10</v>
      </c>
      <c r="AY136" s="3">
        <v>9.8000000000000007</v>
      </c>
      <c r="AZ136" s="3">
        <v>0</v>
      </c>
      <c r="BA136" s="3">
        <v>0</v>
      </c>
      <c r="BB136" s="3">
        <v>0</v>
      </c>
      <c r="BC136" s="3">
        <v>43.715067513532126</v>
      </c>
      <c r="BD136" s="3">
        <v>48.484932486467862</v>
      </c>
      <c r="BE136" s="3">
        <v>48.984932486467862</v>
      </c>
      <c r="BF136" s="3">
        <v>46.94493248646787</v>
      </c>
      <c r="BG136" s="3">
        <v>43.571599153134535</v>
      </c>
      <c r="BH136" s="3">
        <v>38.911599153134539</v>
      </c>
      <c r="BI136" s="3">
        <v>38.024932486467868</v>
      </c>
      <c r="BJ136" s="3">
        <v>41.518265819801194</v>
      </c>
      <c r="BK136" s="3">
        <v>42.291599153134534</v>
      </c>
      <c r="BL136" s="3">
        <v>47.46493248646788</v>
      </c>
      <c r="BM136" s="3">
        <v>40.498265819801212</v>
      </c>
      <c r="BN136" s="3">
        <v>36.681599153134535</v>
      </c>
      <c r="BO136" s="3">
        <v>36.848265819801206</v>
      </c>
      <c r="BP136" s="3">
        <v>34.96493248646788</v>
      </c>
      <c r="BQ136" s="3">
        <v>34.18159915313452</v>
      </c>
      <c r="BR136" s="3">
        <v>33.008265819801203</v>
      </c>
      <c r="BS136" s="3">
        <v>32.811599153134544</v>
      </c>
      <c r="BT136" s="3">
        <v>31.808265819801214</v>
      </c>
      <c r="BU136" s="3">
        <v>28.974932486467871</v>
      </c>
      <c r="BV136" s="3">
        <v>26.791599153134534</v>
      </c>
      <c r="BW136" s="3">
        <v>25.124932486467877</v>
      </c>
      <c r="BX136" s="3">
        <v>22.044932486467879</v>
      </c>
      <c r="BY136" s="3">
        <v>36.064932486467875</v>
      </c>
      <c r="BZ136" s="3">
        <v>38.19493248646787</v>
      </c>
      <c r="CA136" s="3">
        <v>15.794932486467864</v>
      </c>
      <c r="CB136" s="3">
        <v>12.931599153134535</v>
      </c>
      <c r="CC136" s="3">
        <v>12.044932486467872</v>
      </c>
      <c r="CD136" s="3">
        <v>9.3515991531345435</v>
      </c>
      <c r="CE136" s="3">
        <v>9.3449324864678687</v>
      </c>
      <c r="CF136" s="3">
        <v>-0.84173418019879875</v>
      </c>
      <c r="CG136" s="3">
        <v>-1.3750675135321302</v>
      </c>
      <c r="CH136" s="3">
        <v>-2.4517341801987982</v>
      </c>
      <c r="CI136" s="13">
        <f>[1]!dbasum(RecData[[#This Row],[20]:[2000]],RecData[[#Headers],[20]:[2000]])</f>
        <v>40.076378527357519</v>
      </c>
      <c r="CJ136" s="14">
        <v>886</v>
      </c>
      <c r="CK136" s="15" t="s">
        <v>249</v>
      </c>
      <c r="CL136" s="15">
        <f>RecData[[#This Row],[Start Time]]</f>
        <v>43252.942361111112</v>
      </c>
      <c r="CM136" s="16">
        <f>RecData[[#This Row],[Wind Speed avg]]</f>
        <v>1.63</v>
      </c>
      <c r="CN136" s="16">
        <f>RecData[[#This Row],[Wind Dir. avg]]</f>
        <v>144.6</v>
      </c>
      <c r="CO136" s="16">
        <f>RecData[[#This Row],[Amb. Humidity]]</f>
        <v>59.8</v>
      </c>
      <c r="CP136" s="16">
        <f>RecData[[#This Row],[Amb. Temperature]]</f>
        <v>9.6</v>
      </c>
      <c r="CQ136" s="17">
        <f>RecData[[#This Row],[Amb. Rain Gauge]]</f>
        <v>0</v>
      </c>
      <c r="CR136" s="4" t="s">
        <v>1</v>
      </c>
      <c r="CS136" s="4" t="s">
        <v>49</v>
      </c>
      <c r="CT136" s="70">
        <v>1608.8942870000001</v>
      </c>
      <c r="CU136" s="70">
        <v>33.000278472900298</v>
      </c>
      <c r="CV136" s="70">
        <v>11.6084747314453</v>
      </c>
      <c r="CW136" s="70">
        <v>15.252200126647899</v>
      </c>
      <c r="CX136" s="97"/>
      <c r="CY136" s="99"/>
      <c r="CZ136" s="2" t="b">
        <f>IF($DP$1="YES",IF(RecData[[#This Row],[Power (kW)]]&gt;=$CR$3, TRUE,FALSE),TRUE)</f>
        <v>1</v>
      </c>
      <c r="DA136" s="16">
        <f>MIN(MOD(180-ABS(ABS($DA$1-RecData[Yaw Angle (°)])-180),360),MOD(180-ABS(ABS($DB$1-RecData[Yaw Angle (°)])-180),360))</f>
        <v>25.470351695212742</v>
      </c>
      <c r="DB136" s="2" t="str">
        <f>IF($DP$2="None","None",IF(RecData[[#This Row],[Relative Wind Direction]]&lt;=45,"DW",IF(RecData[[#This Row],[Relative Wind Direction]]&lt;=135,"CW","UW")))</f>
        <v>DW</v>
      </c>
      <c r="DC136" s="61" t="e">
        <f>IF($CL136-$CL134&gt;1/24,#REF!,IF(SUM($CQ134:$CQ136)&gt;$DS$1,$DS$5,DC137-1))</f>
        <v>#REF!</v>
      </c>
      <c r="DD136" s="61" t="e">
        <f>IF($CL137-$CL136&gt;1/24,#REF!,IF(SUM($CQ134:$CQ136)&gt;$DS$1,$DS$6,DD135-1))</f>
        <v>#REF!</v>
      </c>
      <c r="DE136" s="18" t="b">
        <v>0</v>
      </c>
      <c r="DF136" s="2" t="b">
        <f>IF(OR(RecData[[#This Row],[WSpd_Avg '[m/s']]]-RecData[[#This Row],[Wind Speed min]]&gt;=$DF$3,RecData[[#This Row],[Wind Speed max]]-RecData[[#This Row],[WSpd_Avg '[m/s']]]&gt;=$DF$2),TRUE,FALSE)</f>
        <v>0</v>
      </c>
      <c r="DG136" s="2" t="b">
        <f>RecData[[#This Row],[Temperature '[°C']]]&lt;=-20</f>
        <v>0</v>
      </c>
      <c r="DH136" s="18" t="b">
        <f>NOT(OR(MOD(RecData[[#This Row],[TIMESTAMP]],1)&gt;0.91632,MOD(RecData[[#This Row],[TIMESTAMP]],1)&lt;0.208681))</f>
        <v>0</v>
      </c>
      <c r="DI136" s="18" t="b">
        <f>RecData[[#This Row],[Overall (dBA)]]-RecData[[#This Row],[L90]]&gt;=$DS$4</f>
        <v>0</v>
      </c>
      <c r="DJ136" s="18" t="b">
        <f>RecData[[#This Row],[Overall (dBA)]]&gt;$DS$2</f>
        <v>0</v>
      </c>
      <c r="DK136" s="18" t="b">
        <f>RecData[[#This Row],[Overall (dBA)]]&lt;$DS$3</f>
        <v>0</v>
      </c>
      <c r="DL1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6" s="2">
        <f>IF(AND(RecData[[#This Row],[Turbines ON/OFF]] = "OFF", NOT(OR(RecData[[#This Row],[Junk?]]="YES",RecData[[#This Row],[Gust?]],RecData[[#This Row],[Rain?]:[Min SPL Threshold?]]))),1,0)</f>
        <v>0</v>
      </c>
      <c r="DN136" s="16">
        <f>RecData[[#This Row],[dBA Sum]]</f>
        <v>40.076378527357519</v>
      </c>
      <c r="DO136" s="16">
        <f>RecData[[#This Row],[LAF90.0]]</f>
        <v>42</v>
      </c>
      <c r="DP136" s="55">
        <f>IF(AND(RecData[[#This Row],[Useable TON Data?]],RecData[[#This Row],[Turbines ON/OFF]]="ON"),RecData[[#This Row],[dBA Sum]],"")</f>
        <v>40.076378527357519</v>
      </c>
      <c r="DQ136" s="55" t="str">
        <f>IF(AND(RecData[[#This Row],[Useable Background Data?]],RecData[[#This Row],[Turbines ON/OFF]]="OFF"),RecData[[#This Row],[dBA Sum]],"")</f>
        <v/>
      </c>
      <c r="DR136" s="3">
        <f>IF(OR(RecData[[#This Row],[Useable TON Data?]],RecData[[#This Row],[Useable Background Data?]]),ROUND(RecData[[#This Row],[WSpd_Avg '[m/s']]],0),"")</f>
        <v>2</v>
      </c>
      <c r="DS136" s="85">
        <f>(0.00002)^2*(10^(RecData[[#This Row],[Overall (dBA)]]/10))</f>
        <v>4.0709694572370889E-6</v>
      </c>
    </row>
    <row r="137" spans="1:123" ht="15" x14ac:dyDescent="0.25">
      <c r="A137" s="3" t="s">
        <v>249</v>
      </c>
      <c r="B137" s="12">
        <v>43252.943055555559</v>
      </c>
      <c r="C137" s="3"/>
      <c r="D137" s="3">
        <v>43.1</v>
      </c>
      <c r="E137" s="3"/>
      <c r="F137" s="3"/>
      <c r="G137" s="3"/>
      <c r="H137" s="3"/>
      <c r="I137" s="3"/>
      <c r="J137" s="3"/>
      <c r="K137" s="3">
        <v>41.9</v>
      </c>
      <c r="L137" s="3"/>
      <c r="M137" s="3"/>
      <c r="N137" s="3">
        <v>165.9</v>
      </c>
      <c r="O137" s="3"/>
      <c r="P137" s="3"/>
      <c r="Q137" s="3">
        <v>1.79</v>
      </c>
      <c r="R137" s="3">
        <v>0.7</v>
      </c>
      <c r="S137" s="3">
        <v>2.9</v>
      </c>
      <c r="T137" s="3">
        <v>9.6</v>
      </c>
      <c r="U137" s="3">
        <v>59.6</v>
      </c>
      <c r="V137" s="3">
        <v>975.2</v>
      </c>
      <c r="W137" s="3">
        <v>0</v>
      </c>
      <c r="X137" s="3">
        <v>49.5</v>
      </c>
      <c r="Y137" s="3">
        <v>49.1</v>
      </c>
      <c r="Z137" s="3">
        <v>49</v>
      </c>
      <c r="AA137" s="3">
        <v>44.5</v>
      </c>
      <c r="AB137" s="3">
        <v>39.200000000000003</v>
      </c>
      <c r="AC137" s="3">
        <v>38.9</v>
      </c>
      <c r="AD137" s="3">
        <v>41.6</v>
      </c>
      <c r="AE137" s="3">
        <v>42.6</v>
      </c>
      <c r="AF137" s="3">
        <v>47.1</v>
      </c>
      <c r="AG137" s="3">
        <v>39.9</v>
      </c>
      <c r="AH137" s="3">
        <v>37.299999999999997</v>
      </c>
      <c r="AI137" s="3">
        <v>37.799999999999997</v>
      </c>
      <c r="AJ137" s="3">
        <v>36</v>
      </c>
      <c r="AK137" s="3">
        <v>34.799999999999997</v>
      </c>
      <c r="AL137" s="3">
        <v>33.1</v>
      </c>
      <c r="AM137" s="3">
        <v>33</v>
      </c>
      <c r="AN137" s="3">
        <v>31.7</v>
      </c>
      <c r="AO137" s="3">
        <v>28.7</v>
      </c>
      <c r="AP137" s="3">
        <v>26.7</v>
      </c>
      <c r="AQ137" s="3">
        <v>24.6</v>
      </c>
      <c r="AR137" s="3">
        <v>22.1</v>
      </c>
      <c r="AS137" s="3">
        <v>34.1</v>
      </c>
      <c r="AT137" s="3">
        <v>36.5</v>
      </c>
      <c r="AU137" s="3">
        <v>17.600000000000001</v>
      </c>
      <c r="AV137" s="3">
        <v>16.5</v>
      </c>
      <c r="AW137" s="3">
        <v>15.8</v>
      </c>
      <c r="AX137" s="3">
        <v>12.3</v>
      </c>
      <c r="AY137" s="3">
        <v>11.5</v>
      </c>
      <c r="AZ137" s="3">
        <v>0</v>
      </c>
      <c r="BA137" s="3">
        <v>0</v>
      </c>
      <c r="BB137" s="3">
        <v>0</v>
      </c>
      <c r="BC137" s="3">
        <v>43.012317685609716</v>
      </c>
      <c r="BD137" s="3">
        <v>49.587682314390278</v>
      </c>
      <c r="BE137" s="3">
        <v>49.187682314390287</v>
      </c>
      <c r="BF137" s="3">
        <v>47.847682314390283</v>
      </c>
      <c r="BG137" s="3">
        <v>43.674348981056951</v>
      </c>
      <c r="BH137" s="3">
        <v>38.514348981056955</v>
      </c>
      <c r="BI137" s="3">
        <v>38.627682314390285</v>
      </c>
      <c r="BJ137" s="3">
        <v>42.12101564772361</v>
      </c>
      <c r="BK137" s="3">
        <v>42.994348981056945</v>
      </c>
      <c r="BL137" s="3">
        <v>47.067682314390296</v>
      </c>
      <c r="BM137" s="3">
        <v>40.001015647723619</v>
      </c>
      <c r="BN137" s="3">
        <v>37.684348981056942</v>
      </c>
      <c r="BO137" s="3">
        <v>37.551015647723617</v>
      </c>
      <c r="BP137" s="3">
        <v>35.467682314390288</v>
      </c>
      <c r="BQ137" s="3">
        <v>34.684348981056942</v>
      </c>
      <c r="BR137" s="3">
        <v>33.311015647723622</v>
      </c>
      <c r="BS137" s="3">
        <v>33.014348981056955</v>
      </c>
      <c r="BT137" s="3">
        <v>31.911015647723616</v>
      </c>
      <c r="BU137" s="3">
        <v>28.877682314390285</v>
      </c>
      <c r="BV137" s="3">
        <v>26.594348981056953</v>
      </c>
      <c r="BW137" s="3">
        <v>25.02768231439029</v>
      </c>
      <c r="BX137" s="3">
        <v>22.447682314390292</v>
      </c>
      <c r="BY137" s="3">
        <v>34.267682314390285</v>
      </c>
      <c r="BZ137" s="3">
        <v>36.797682314390286</v>
      </c>
      <c r="CA137" s="3">
        <v>17.997682314390275</v>
      </c>
      <c r="CB137" s="3">
        <v>16.334348981056948</v>
      </c>
      <c r="CC137" s="3">
        <v>15.847682314390283</v>
      </c>
      <c r="CD137" s="3">
        <v>11.654348981056955</v>
      </c>
      <c r="CE137" s="3">
        <v>11.047682314390286</v>
      </c>
      <c r="CF137" s="3">
        <v>-0.83898435227638402</v>
      </c>
      <c r="CG137" s="3">
        <v>-1.3723176856097155</v>
      </c>
      <c r="CH137" s="3">
        <v>-2.4489843522763834</v>
      </c>
      <c r="CI137" s="13">
        <f>[1]!dbasum(RecData[[#This Row],[20]:[2000]],RecData[[#Headers],[20]:[2000]])</f>
        <v>40.247550168691404</v>
      </c>
      <c r="CJ137" s="14">
        <v>887</v>
      </c>
      <c r="CK137" s="15" t="s">
        <v>249</v>
      </c>
      <c r="CL137" s="15">
        <f>RecData[[#This Row],[Start Time]]</f>
        <v>43252.943055555559</v>
      </c>
      <c r="CM137" s="16">
        <f>RecData[[#This Row],[Wind Speed avg]]</f>
        <v>1.79</v>
      </c>
      <c r="CN137" s="16">
        <f>RecData[[#This Row],[Wind Dir. avg]]</f>
        <v>165.9</v>
      </c>
      <c r="CO137" s="16">
        <f>RecData[[#This Row],[Amb. Humidity]]</f>
        <v>59.6</v>
      </c>
      <c r="CP137" s="16">
        <f>RecData[[#This Row],[Amb. Temperature]]</f>
        <v>9.6</v>
      </c>
      <c r="CQ137" s="17">
        <f>RecData[[#This Row],[Amb. Rain Gauge]]</f>
        <v>0</v>
      </c>
      <c r="CR137" s="4" t="s">
        <v>1</v>
      </c>
      <c r="CS137" s="4" t="s">
        <v>49</v>
      </c>
      <c r="CT137" s="70">
        <v>1608.8942870000001</v>
      </c>
      <c r="CU137" s="70">
        <v>33.000278472900298</v>
      </c>
      <c r="CV137" s="70">
        <v>11.6084747314453</v>
      </c>
      <c r="CW137" s="70">
        <v>15.252200126647899</v>
      </c>
      <c r="CX137" s="97"/>
      <c r="CY137" s="99"/>
      <c r="CZ137" s="2" t="b">
        <f>IF($DP$1="YES",IF(RecData[[#This Row],[Power (kW)]]&gt;=$CR$3, TRUE,FALSE),TRUE)</f>
        <v>1</v>
      </c>
      <c r="DA137" s="16">
        <f>MIN(MOD(180-ABS(ABS($DA$1-RecData[Yaw Angle (°)])-180),360),MOD(180-ABS(ABS($DB$1-RecData[Yaw Angle (°)])-180),360))</f>
        <v>25.470351695212742</v>
      </c>
      <c r="DB137" s="2" t="str">
        <f>IF($DP$2="None","None",IF(RecData[[#This Row],[Relative Wind Direction]]&lt;=45,"DW",IF(RecData[[#This Row],[Relative Wind Direction]]&lt;=135,"CW","UW")))</f>
        <v>DW</v>
      </c>
      <c r="DC137" s="61" t="e">
        <f>IF($CL137-$CL134&gt;1/24,#REF!,IF(SUM($CQ134:$CQ137)&gt;$DS$1,$DS$5,DC138-1))</f>
        <v>#REF!</v>
      </c>
      <c r="DD137" s="61" t="e">
        <f>IF($CL138-$CL137&gt;1/24,#REF!,IF(SUM($CQ134:$CQ137)&gt;$DS$1,$DS$6,DD136-1))</f>
        <v>#REF!</v>
      </c>
      <c r="DE137" s="18" t="b">
        <v>0</v>
      </c>
      <c r="DF137" s="2" t="b">
        <f>IF(OR(RecData[[#This Row],[WSpd_Avg '[m/s']]]-RecData[[#This Row],[Wind Speed min]]&gt;=$DF$3,RecData[[#This Row],[Wind Speed max]]-RecData[[#This Row],[WSpd_Avg '[m/s']]]&gt;=$DF$2),TRUE,FALSE)</f>
        <v>0</v>
      </c>
      <c r="DG137" s="2" t="b">
        <f>RecData[[#This Row],[Temperature '[°C']]]&lt;=-20</f>
        <v>0</v>
      </c>
      <c r="DH137" s="18" t="b">
        <f>NOT(OR(MOD(RecData[[#This Row],[TIMESTAMP]],1)&gt;0.91632,MOD(RecData[[#This Row],[TIMESTAMP]],1)&lt;0.208681))</f>
        <v>0</v>
      </c>
      <c r="DI137" s="18" t="b">
        <f>RecData[[#This Row],[Overall (dBA)]]-RecData[[#This Row],[L90]]&gt;=$DS$4</f>
        <v>0</v>
      </c>
      <c r="DJ137" s="18" t="b">
        <f>RecData[[#This Row],[Overall (dBA)]]&gt;$DS$2</f>
        <v>0</v>
      </c>
      <c r="DK137" s="18" t="b">
        <f>RecData[[#This Row],[Overall (dBA)]]&lt;$DS$3</f>
        <v>0</v>
      </c>
      <c r="DL1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7" s="2">
        <f>IF(AND(RecData[[#This Row],[Turbines ON/OFF]] = "OFF", NOT(OR(RecData[[#This Row],[Junk?]]="YES",RecData[[#This Row],[Gust?]],RecData[[#This Row],[Rain?]:[Min SPL Threshold?]]))),1,0)</f>
        <v>0</v>
      </c>
      <c r="DN137" s="16">
        <f>RecData[[#This Row],[dBA Sum]]</f>
        <v>40.247550168691404</v>
      </c>
      <c r="DO137" s="16">
        <f>RecData[[#This Row],[LAF90.0]]</f>
        <v>41.9</v>
      </c>
      <c r="DP137" s="55">
        <f>IF(AND(RecData[[#This Row],[Useable TON Data?]],RecData[[#This Row],[Turbines ON/OFF]]="ON"),RecData[[#This Row],[dBA Sum]],"")</f>
        <v>40.247550168691404</v>
      </c>
      <c r="DQ137" s="55" t="str">
        <f>IF(AND(RecData[[#This Row],[Useable Background Data?]],RecData[[#This Row],[Turbines ON/OFF]]="OFF"),RecData[[#This Row],[dBA Sum]],"")</f>
        <v/>
      </c>
      <c r="DR137" s="3">
        <f>IF(OR(RecData[[#This Row],[Useable TON Data?]],RecData[[#This Row],[Useable Background Data?]]),ROUND(RecData[[#This Row],[WSpd_Avg '[m/s']]],0),"")</f>
        <v>2</v>
      </c>
      <c r="DS137" s="85">
        <f>(0.00002)^2*(10^(RecData[[#This Row],[Overall (dBA)]]/10))</f>
        <v>4.2346254978732907E-6</v>
      </c>
    </row>
    <row r="138" spans="1:123" ht="15" x14ac:dyDescent="0.25">
      <c r="A138" s="3" t="s">
        <v>249</v>
      </c>
      <c r="B138" s="12">
        <v>43252.943750000006</v>
      </c>
      <c r="C138" s="3"/>
      <c r="D138" s="3">
        <v>42.6</v>
      </c>
      <c r="E138" s="3"/>
      <c r="F138" s="3"/>
      <c r="G138" s="3"/>
      <c r="H138" s="3"/>
      <c r="I138" s="3"/>
      <c r="J138" s="3"/>
      <c r="K138" s="3">
        <v>41.3</v>
      </c>
      <c r="L138" s="3"/>
      <c r="M138" s="3"/>
      <c r="N138" s="3">
        <v>142.1</v>
      </c>
      <c r="O138" s="3"/>
      <c r="P138" s="3"/>
      <c r="Q138" s="3">
        <v>1.97</v>
      </c>
      <c r="R138" s="3">
        <v>1</v>
      </c>
      <c r="S138" s="3">
        <v>2.9</v>
      </c>
      <c r="T138" s="3">
        <v>9.6</v>
      </c>
      <c r="U138" s="3">
        <v>59.2</v>
      </c>
      <c r="V138" s="3">
        <v>975.2</v>
      </c>
      <c r="W138" s="3">
        <v>0</v>
      </c>
      <c r="X138" s="3">
        <v>49.5</v>
      </c>
      <c r="Y138" s="3">
        <v>48.7</v>
      </c>
      <c r="Z138" s="3">
        <v>48.3</v>
      </c>
      <c r="AA138" s="3">
        <v>44.3</v>
      </c>
      <c r="AB138" s="3">
        <v>39</v>
      </c>
      <c r="AC138" s="3">
        <v>39.1</v>
      </c>
      <c r="AD138" s="3">
        <v>41.8</v>
      </c>
      <c r="AE138" s="3">
        <v>42.6</v>
      </c>
      <c r="AF138" s="3">
        <v>47</v>
      </c>
      <c r="AG138" s="3">
        <v>39.299999999999997</v>
      </c>
      <c r="AH138" s="3">
        <v>37.6</v>
      </c>
      <c r="AI138" s="3">
        <v>37.4</v>
      </c>
      <c r="AJ138" s="3">
        <v>36.1</v>
      </c>
      <c r="AK138" s="3">
        <v>34.799999999999997</v>
      </c>
      <c r="AL138" s="3">
        <v>32.799999999999997</v>
      </c>
      <c r="AM138" s="3">
        <v>32.6</v>
      </c>
      <c r="AN138" s="3">
        <v>30.9</v>
      </c>
      <c r="AO138" s="3">
        <v>28.1</v>
      </c>
      <c r="AP138" s="3">
        <v>26.3</v>
      </c>
      <c r="AQ138" s="3">
        <v>24</v>
      </c>
      <c r="AR138" s="3">
        <v>21.8</v>
      </c>
      <c r="AS138" s="3">
        <v>33.799999999999997</v>
      </c>
      <c r="AT138" s="3">
        <v>35.799999999999997</v>
      </c>
      <c r="AU138" s="3">
        <v>18.600000000000001</v>
      </c>
      <c r="AV138" s="3">
        <v>17.3</v>
      </c>
      <c r="AW138" s="3">
        <v>15.4</v>
      </c>
      <c r="AX138" s="3">
        <v>12.1</v>
      </c>
      <c r="AY138" s="3">
        <v>11</v>
      </c>
      <c r="AZ138" s="3">
        <v>0</v>
      </c>
      <c r="BA138" s="3">
        <v>0</v>
      </c>
      <c r="BB138" s="3">
        <v>0</v>
      </c>
      <c r="BC138" s="3">
        <v>42.608859928143318</v>
      </c>
      <c r="BD138" s="3">
        <v>49.491140071856677</v>
      </c>
      <c r="BE138" s="3">
        <v>48.691140071856694</v>
      </c>
      <c r="BF138" s="3">
        <v>47.051140071856679</v>
      </c>
      <c r="BG138" s="3">
        <v>43.377806738523347</v>
      </c>
      <c r="BH138" s="3">
        <v>38.21780673852335</v>
      </c>
      <c r="BI138" s="3">
        <v>38.731140071856686</v>
      </c>
      <c r="BJ138" s="3">
        <v>42.224473405190011</v>
      </c>
      <c r="BK138" s="3">
        <v>42.897806738523343</v>
      </c>
      <c r="BL138" s="3">
        <v>46.871140071856686</v>
      </c>
      <c r="BM138" s="3">
        <v>39.304473405190009</v>
      </c>
      <c r="BN138" s="3">
        <v>37.887806738523352</v>
      </c>
      <c r="BO138" s="3">
        <v>37.054473405190009</v>
      </c>
      <c r="BP138" s="3">
        <v>35.471140071856695</v>
      </c>
      <c r="BQ138" s="3">
        <v>34.587806738523341</v>
      </c>
      <c r="BR138" s="3">
        <v>32.914473405190023</v>
      </c>
      <c r="BS138" s="3">
        <v>32.517806738523348</v>
      </c>
      <c r="BT138" s="3">
        <v>31.014473405190017</v>
      </c>
      <c r="BU138" s="3">
        <v>28.181140071856689</v>
      </c>
      <c r="BV138" s="3">
        <v>26.09780673852336</v>
      </c>
      <c r="BW138" s="3">
        <v>24.33114007185668</v>
      </c>
      <c r="BX138" s="3">
        <v>22.051140071856693</v>
      </c>
      <c r="BY138" s="3">
        <v>33.871140071856672</v>
      </c>
      <c r="BZ138" s="3">
        <v>36.001140071856682</v>
      </c>
      <c r="CA138" s="3">
        <v>18.901140071856673</v>
      </c>
      <c r="CB138" s="3">
        <v>17.037806738523351</v>
      </c>
      <c r="CC138" s="3">
        <v>15.351140071856683</v>
      </c>
      <c r="CD138" s="3">
        <v>11.357806738523351</v>
      </c>
      <c r="CE138" s="3">
        <v>10.451140071856685</v>
      </c>
      <c r="CF138" s="3">
        <v>-0.93552659480998557</v>
      </c>
      <c r="CG138" s="3">
        <v>-1.468859928143317</v>
      </c>
      <c r="CH138" s="3">
        <v>-2.545526594809985</v>
      </c>
      <c r="CI138" s="13">
        <f>[1]!dbasum(RecData[[#This Row],[20]:[2000]],RecData[[#Headers],[20]:[2000]])</f>
        <v>39.848639602994467</v>
      </c>
      <c r="CJ138" s="14">
        <v>888</v>
      </c>
      <c r="CK138" s="15" t="s">
        <v>249</v>
      </c>
      <c r="CL138" s="15">
        <f>RecData[[#This Row],[Start Time]]</f>
        <v>43252.943750000006</v>
      </c>
      <c r="CM138" s="16">
        <f>RecData[[#This Row],[Wind Speed avg]]</f>
        <v>1.97</v>
      </c>
      <c r="CN138" s="16">
        <f>RecData[[#This Row],[Wind Dir. avg]]</f>
        <v>142.1</v>
      </c>
      <c r="CO138" s="16">
        <f>RecData[[#This Row],[Amb. Humidity]]</f>
        <v>59.2</v>
      </c>
      <c r="CP138" s="16">
        <f>RecData[[#This Row],[Amb. Temperature]]</f>
        <v>9.6</v>
      </c>
      <c r="CQ138" s="17">
        <f>RecData[[#This Row],[Amb. Rain Gauge]]</f>
        <v>0</v>
      </c>
      <c r="CR138" s="4" t="s">
        <v>1</v>
      </c>
      <c r="CS138" s="4" t="s">
        <v>49</v>
      </c>
      <c r="CT138" s="70">
        <v>1608.8942870000001</v>
      </c>
      <c r="CU138" s="70">
        <v>33.000278472900298</v>
      </c>
      <c r="CV138" s="70">
        <v>11.6084747314453</v>
      </c>
      <c r="CW138" s="70">
        <v>15.252200126647899</v>
      </c>
      <c r="CX138" s="97"/>
      <c r="CY138" s="99"/>
      <c r="CZ138" s="2" t="b">
        <f>IF($DP$1="YES",IF(RecData[[#This Row],[Power (kW)]]&gt;=$CR$3, TRUE,FALSE),TRUE)</f>
        <v>1</v>
      </c>
      <c r="DA138" s="16">
        <f>MIN(MOD(180-ABS(ABS($DA$1-RecData[Yaw Angle (°)])-180),360),MOD(180-ABS(ABS($DB$1-RecData[Yaw Angle (°)])-180),360))</f>
        <v>25.470351695212742</v>
      </c>
      <c r="DB138" s="2" t="str">
        <f>IF($DP$2="None","None",IF(RecData[[#This Row],[Relative Wind Direction]]&lt;=45,"DW",IF(RecData[[#This Row],[Relative Wind Direction]]&lt;=135,"CW","UW")))</f>
        <v>DW</v>
      </c>
      <c r="DC138" s="61" t="e">
        <f>IF($CL138-#REF!&gt;1/24,#REF!,IF(SUM($CQ135:$CQ138)&gt;$DS$1,$DS$5,DC139-1))</f>
        <v>#REF!</v>
      </c>
      <c r="DD138" s="61" t="e">
        <f>IF($CL139-$CL138&gt;1/24,#REF!,IF(SUM($CQ135:$CQ138)&gt;$DS$1,$DS$6,DD137-1))</f>
        <v>#REF!</v>
      </c>
      <c r="DE138" s="18" t="b">
        <v>0</v>
      </c>
      <c r="DF138" s="2" t="b">
        <f>IF(OR(RecData[[#This Row],[WSpd_Avg '[m/s']]]-RecData[[#This Row],[Wind Speed min]]&gt;=$DF$3,RecData[[#This Row],[Wind Speed max]]-RecData[[#This Row],[WSpd_Avg '[m/s']]]&gt;=$DF$2),TRUE,FALSE)</f>
        <v>0</v>
      </c>
      <c r="DG138" s="2" t="b">
        <f>RecData[[#This Row],[Temperature '[°C']]]&lt;=-20</f>
        <v>0</v>
      </c>
      <c r="DH138" s="18" t="b">
        <f>NOT(OR(MOD(RecData[[#This Row],[TIMESTAMP]],1)&gt;0.91632,MOD(RecData[[#This Row],[TIMESTAMP]],1)&lt;0.208681))</f>
        <v>0</v>
      </c>
      <c r="DI138" s="18" t="b">
        <f>RecData[[#This Row],[Overall (dBA)]]-RecData[[#This Row],[L90]]&gt;=$DS$4</f>
        <v>0</v>
      </c>
      <c r="DJ138" s="18" t="b">
        <f>RecData[[#This Row],[Overall (dBA)]]&gt;$DS$2</f>
        <v>0</v>
      </c>
      <c r="DK138" s="18" t="b">
        <f>RecData[[#This Row],[Overall (dBA)]]&lt;$DS$3</f>
        <v>0</v>
      </c>
      <c r="DL1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8" s="2">
        <f>IF(AND(RecData[[#This Row],[Turbines ON/OFF]] = "OFF", NOT(OR(RecData[[#This Row],[Junk?]]="YES",RecData[[#This Row],[Gust?]],RecData[[#This Row],[Rain?]:[Min SPL Threshold?]]))),1,0)</f>
        <v>0</v>
      </c>
      <c r="DN138" s="16">
        <f>RecData[[#This Row],[dBA Sum]]</f>
        <v>39.848639602994467</v>
      </c>
      <c r="DO138" s="16">
        <f>RecData[[#This Row],[LAF90.0]]</f>
        <v>41.3</v>
      </c>
      <c r="DP138" s="55">
        <f>IF(AND(RecData[[#This Row],[Useable TON Data?]],RecData[[#This Row],[Turbines ON/OFF]]="ON"),RecData[[#This Row],[dBA Sum]],"")</f>
        <v>39.848639602994467</v>
      </c>
      <c r="DQ138" s="55" t="str">
        <f>IF(AND(RecData[[#This Row],[Useable Background Data?]],RecData[[#This Row],[Turbines ON/OFF]]="OFF"),RecData[[#This Row],[dBA Sum]],"")</f>
        <v/>
      </c>
      <c r="DR138" s="3">
        <f>IF(OR(RecData[[#This Row],[Useable TON Data?]],RecData[[#This Row],[Useable Background Data?]]),ROUND(RecData[[#This Row],[WSpd_Avg '[m/s']]],0),"")</f>
        <v>2</v>
      </c>
      <c r="DS138" s="85">
        <f>(0.00002)^2*(10^(RecData[[#This Row],[Overall (dBA)]]/10))</f>
        <v>3.8629932708695772E-6</v>
      </c>
    </row>
    <row r="139" spans="1:123" ht="15" x14ac:dyDescent="0.25">
      <c r="A139" s="3" t="s">
        <v>249</v>
      </c>
      <c r="B139" s="12">
        <v>43252.944444444453</v>
      </c>
      <c r="C139" s="3"/>
      <c r="D139" s="3">
        <v>43</v>
      </c>
      <c r="E139" s="3"/>
      <c r="F139" s="3"/>
      <c r="G139" s="3"/>
      <c r="H139" s="3"/>
      <c r="I139" s="3"/>
      <c r="J139" s="3"/>
      <c r="K139" s="3">
        <v>41</v>
      </c>
      <c r="L139" s="3"/>
      <c r="M139" s="3"/>
      <c r="N139" s="3">
        <v>145.80000000000001</v>
      </c>
      <c r="O139" s="3"/>
      <c r="P139" s="3"/>
      <c r="Q139" s="3">
        <v>1.1100000000000001</v>
      </c>
      <c r="R139" s="3">
        <v>0.3</v>
      </c>
      <c r="S139" s="3">
        <v>2.2000000000000002</v>
      </c>
      <c r="T139" s="3">
        <v>9.6</v>
      </c>
      <c r="U139" s="3">
        <v>59.6</v>
      </c>
      <c r="V139" s="3">
        <v>975.2</v>
      </c>
      <c r="W139" s="3">
        <v>0</v>
      </c>
      <c r="X139" s="3">
        <v>48.4</v>
      </c>
      <c r="Y139" s="3">
        <v>47.8</v>
      </c>
      <c r="Z139" s="3">
        <v>47.8</v>
      </c>
      <c r="AA139" s="3">
        <v>43.4</v>
      </c>
      <c r="AB139" s="3">
        <v>39.1</v>
      </c>
      <c r="AC139" s="3">
        <v>37.700000000000003</v>
      </c>
      <c r="AD139" s="3">
        <v>39.9</v>
      </c>
      <c r="AE139" s="3">
        <v>40.9</v>
      </c>
      <c r="AF139" s="3">
        <v>43.9</v>
      </c>
      <c r="AG139" s="3">
        <v>38.799999999999997</v>
      </c>
      <c r="AH139" s="3">
        <v>35.700000000000003</v>
      </c>
      <c r="AI139" s="3">
        <v>36.200000000000003</v>
      </c>
      <c r="AJ139" s="3">
        <v>34.9</v>
      </c>
      <c r="AK139" s="3">
        <v>33.700000000000003</v>
      </c>
      <c r="AL139" s="3">
        <v>31.7</v>
      </c>
      <c r="AM139" s="3">
        <v>31.4</v>
      </c>
      <c r="AN139" s="3">
        <v>30.2</v>
      </c>
      <c r="AO139" s="3">
        <v>27.4</v>
      </c>
      <c r="AP139" s="3">
        <v>25.3</v>
      </c>
      <c r="AQ139" s="3">
        <v>23.4</v>
      </c>
      <c r="AR139" s="3">
        <v>20.9</v>
      </c>
      <c r="AS139" s="3">
        <v>35.799999999999997</v>
      </c>
      <c r="AT139" s="3">
        <v>37.299999999999997</v>
      </c>
      <c r="AU139" s="3">
        <v>18.100000000000001</v>
      </c>
      <c r="AV139" s="3">
        <v>17.3</v>
      </c>
      <c r="AW139" s="3">
        <v>16.600000000000001</v>
      </c>
      <c r="AX139" s="3">
        <v>13.3</v>
      </c>
      <c r="AY139" s="3">
        <v>12.1</v>
      </c>
      <c r="AZ139" s="3">
        <v>0</v>
      </c>
      <c r="BA139" s="3">
        <v>0</v>
      </c>
      <c r="BB139" s="3">
        <v>0</v>
      </c>
      <c r="BC139" s="3">
        <v>42.949243530633353</v>
      </c>
      <c r="BD139" s="3">
        <v>48.450756469366652</v>
      </c>
      <c r="BE139" s="3">
        <v>47.850756469366644</v>
      </c>
      <c r="BF139" s="3">
        <v>46.610756469366649</v>
      </c>
      <c r="BG139" s="3">
        <v>42.537423136033311</v>
      </c>
      <c r="BH139" s="3">
        <v>38.377423136033315</v>
      </c>
      <c r="BI139" s="3">
        <v>37.39075646936665</v>
      </c>
      <c r="BJ139" s="3">
        <v>40.384089802699975</v>
      </c>
      <c r="BK139" s="3">
        <v>41.25742313603331</v>
      </c>
      <c r="BL139" s="3">
        <v>43.830756469366648</v>
      </c>
      <c r="BM139" s="3">
        <v>38.864089802699979</v>
      </c>
      <c r="BN139" s="3">
        <v>36.047423136033316</v>
      </c>
      <c r="BO139" s="3">
        <v>35.914089802699991</v>
      </c>
      <c r="BP139" s="3">
        <v>34.330756469366648</v>
      </c>
      <c r="BQ139" s="3">
        <v>33.547423136033316</v>
      </c>
      <c r="BR139" s="3">
        <v>31.874089802699984</v>
      </c>
      <c r="BS139" s="3">
        <v>31.377423136033315</v>
      </c>
      <c r="BT139" s="3">
        <v>30.374089802699984</v>
      </c>
      <c r="BU139" s="3">
        <v>27.540756469366656</v>
      </c>
      <c r="BV139" s="3">
        <v>25.157423136033316</v>
      </c>
      <c r="BW139" s="3">
        <v>23.790756469366656</v>
      </c>
      <c r="BX139" s="3">
        <v>21.210756469366643</v>
      </c>
      <c r="BY139" s="3">
        <v>35.930756469366642</v>
      </c>
      <c r="BZ139" s="3">
        <v>37.560756469366638</v>
      </c>
      <c r="CA139" s="3">
        <v>18.460756469366643</v>
      </c>
      <c r="CB139" s="3">
        <v>17.097423136033314</v>
      </c>
      <c r="CC139" s="3">
        <v>16.610756469366649</v>
      </c>
      <c r="CD139" s="3">
        <v>12.617423136033317</v>
      </c>
      <c r="CE139" s="3">
        <v>11.610756469366649</v>
      </c>
      <c r="CF139" s="3">
        <v>-0.87591019730002273</v>
      </c>
      <c r="CG139" s="3">
        <v>-1.4092435306333542</v>
      </c>
      <c r="CH139" s="3">
        <v>-2.4859101973000222</v>
      </c>
      <c r="CI139" s="13">
        <f>[1]!dbasum(RecData[[#This Row],[20]:[2000]],RecData[[#Headers],[20]:[2000]])</f>
        <v>38.655723186453706</v>
      </c>
      <c r="CJ139" s="14">
        <v>889</v>
      </c>
      <c r="CK139" s="15" t="s">
        <v>249</v>
      </c>
      <c r="CL139" s="15">
        <f>RecData[[#This Row],[Start Time]]</f>
        <v>43252.944444444453</v>
      </c>
      <c r="CM139" s="16">
        <f>RecData[[#This Row],[Wind Speed avg]]</f>
        <v>1.1100000000000001</v>
      </c>
      <c r="CN139" s="16">
        <f>RecData[[#This Row],[Wind Dir. avg]]</f>
        <v>145.80000000000001</v>
      </c>
      <c r="CO139" s="16">
        <f>RecData[[#This Row],[Amb. Humidity]]</f>
        <v>59.6</v>
      </c>
      <c r="CP139" s="16">
        <f>RecData[[#This Row],[Amb. Temperature]]</f>
        <v>9.6</v>
      </c>
      <c r="CQ139" s="17">
        <f>RecData[[#This Row],[Amb. Rain Gauge]]</f>
        <v>0</v>
      </c>
      <c r="CR139" s="4" t="s">
        <v>1</v>
      </c>
      <c r="CS139" s="4" t="s">
        <v>49</v>
      </c>
      <c r="CT139" s="70">
        <v>1608.8942870000001</v>
      </c>
      <c r="CU139" s="70">
        <v>33.000278472900298</v>
      </c>
      <c r="CV139" s="70">
        <v>11.6084747314453</v>
      </c>
      <c r="CW139" s="70">
        <v>15.252200126647899</v>
      </c>
      <c r="CX139" s="97"/>
      <c r="CY139" s="99"/>
      <c r="CZ139" s="2" t="b">
        <f>IF($DP$1="YES",IF(RecData[[#This Row],[Power (kW)]]&gt;=$CR$3, TRUE,FALSE),TRUE)</f>
        <v>1</v>
      </c>
      <c r="DA139" s="16">
        <f>MIN(MOD(180-ABS(ABS($DA$1-RecData[Yaw Angle (°)])-180),360),MOD(180-ABS(ABS($DB$1-RecData[Yaw Angle (°)])-180),360))</f>
        <v>25.470351695212742</v>
      </c>
      <c r="DB139" s="2" t="str">
        <f>IF($DP$2="None","None",IF(RecData[[#This Row],[Relative Wind Direction]]&lt;=45,"DW",IF(RecData[[#This Row],[Relative Wind Direction]]&lt;=135,"CW","UW")))</f>
        <v>DW</v>
      </c>
      <c r="DC139" s="61" t="e">
        <f>IF($CL139-$CL135&gt;1/24,#REF!,IF(SUM($CQ135:$CQ139)&gt;$DS$1,$DS$5,DC140-1))</f>
        <v>#REF!</v>
      </c>
      <c r="DD139" s="61" t="e">
        <f>IF($CL140-$CL139&gt;1/24,#REF!,IF(SUM($CQ135:$CQ139)&gt;$DS$1,$DS$6,DD138-1))</f>
        <v>#REF!</v>
      </c>
      <c r="DE139" s="18" t="b">
        <v>0</v>
      </c>
      <c r="DF139" s="2" t="b">
        <f>IF(OR(RecData[[#This Row],[WSpd_Avg '[m/s']]]-RecData[[#This Row],[Wind Speed min]]&gt;=$DF$3,RecData[[#This Row],[Wind Speed max]]-RecData[[#This Row],[WSpd_Avg '[m/s']]]&gt;=$DF$2),TRUE,FALSE)</f>
        <v>0</v>
      </c>
      <c r="DG139" s="2" t="b">
        <f>RecData[[#This Row],[Temperature '[°C']]]&lt;=-20</f>
        <v>0</v>
      </c>
      <c r="DH139" s="18" t="b">
        <f>NOT(OR(MOD(RecData[[#This Row],[TIMESTAMP]],1)&gt;0.91632,MOD(RecData[[#This Row],[TIMESTAMP]],1)&lt;0.208681))</f>
        <v>0</v>
      </c>
      <c r="DI139" s="18" t="b">
        <f>RecData[[#This Row],[Overall (dBA)]]-RecData[[#This Row],[L90]]&gt;=$DS$4</f>
        <v>0</v>
      </c>
      <c r="DJ139" s="18" t="b">
        <f>RecData[[#This Row],[Overall (dBA)]]&gt;$DS$2</f>
        <v>0</v>
      </c>
      <c r="DK139" s="18" t="b">
        <f>RecData[[#This Row],[Overall (dBA)]]&lt;$DS$3</f>
        <v>0</v>
      </c>
      <c r="DL1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39" s="2">
        <f>IF(AND(RecData[[#This Row],[Turbines ON/OFF]] = "OFF", NOT(OR(RecData[[#This Row],[Junk?]]="YES",RecData[[#This Row],[Gust?]],RecData[[#This Row],[Rain?]:[Min SPL Threshold?]]))),1,0)</f>
        <v>0</v>
      </c>
      <c r="DN139" s="16">
        <f>RecData[[#This Row],[dBA Sum]]</f>
        <v>38.655723186453706</v>
      </c>
      <c r="DO139" s="16">
        <f>RecData[[#This Row],[LAF90.0]]</f>
        <v>41</v>
      </c>
      <c r="DP139" s="55">
        <f>IF(AND(RecData[[#This Row],[Useable TON Data?]],RecData[[#This Row],[Turbines ON/OFF]]="ON"),RecData[[#This Row],[dBA Sum]],"")</f>
        <v>38.655723186453706</v>
      </c>
      <c r="DQ139" s="55" t="str">
        <f>IF(AND(RecData[[#This Row],[Useable Background Data?]],RecData[[#This Row],[Turbines ON/OFF]]="OFF"),RecData[[#This Row],[dBA Sum]],"")</f>
        <v/>
      </c>
      <c r="DR139" s="3">
        <f>IF(OR(RecData[[#This Row],[Useable TON Data?]],RecData[[#This Row],[Useable Background Data?]]),ROUND(RecData[[#This Row],[WSpd_Avg '[m/s']]],0),"")</f>
        <v>1</v>
      </c>
      <c r="DS139" s="85">
        <f>(0.00002)^2*(10^(RecData[[#This Row],[Overall (dBA)]]/10))</f>
        <v>2.935163579935708E-6</v>
      </c>
    </row>
    <row r="140" spans="1:123" ht="15" x14ac:dyDescent="0.25">
      <c r="A140" s="3" t="s">
        <v>249</v>
      </c>
      <c r="B140" s="12">
        <v>43252.945138888892</v>
      </c>
      <c r="C140" s="3"/>
      <c r="D140" s="3">
        <v>42.4</v>
      </c>
      <c r="E140" s="3"/>
      <c r="F140" s="3"/>
      <c r="G140" s="3"/>
      <c r="H140" s="3"/>
      <c r="I140" s="3"/>
      <c r="J140" s="3"/>
      <c r="K140" s="3">
        <v>41</v>
      </c>
      <c r="L140" s="3"/>
      <c r="M140" s="3"/>
      <c r="N140" s="3">
        <v>161.19999999999999</v>
      </c>
      <c r="O140" s="3"/>
      <c r="P140" s="3"/>
      <c r="Q140" s="3">
        <v>0.83</v>
      </c>
      <c r="R140" s="3">
        <v>0.2</v>
      </c>
      <c r="S140" s="3">
        <v>1.9</v>
      </c>
      <c r="T140" s="3">
        <v>9.6</v>
      </c>
      <c r="U140" s="3">
        <v>59.7</v>
      </c>
      <c r="V140" s="3">
        <v>975.3</v>
      </c>
      <c r="W140" s="3">
        <v>0</v>
      </c>
      <c r="X140" s="3">
        <v>48.6</v>
      </c>
      <c r="Y140" s="3">
        <v>47.6</v>
      </c>
      <c r="Z140" s="3">
        <v>48.2</v>
      </c>
      <c r="AA140" s="3">
        <v>44.7</v>
      </c>
      <c r="AB140" s="3">
        <v>39.6</v>
      </c>
      <c r="AC140" s="3">
        <v>38.200000000000003</v>
      </c>
      <c r="AD140" s="3">
        <v>40.4</v>
      </c>
      <c r="AE140" s="3">
        <v>41.5</v>
      </c>
      <c r="AF140" s="3">
        <v>46.3</v>
      </c>
      <c r="AG140" s="3">
        <v>39.4</v>
      </c>
      <c r="AH140" s="3">
        <v>35.700000000000003</v>
      </c>
      <c r="AI140" s="3">
        <v>35.799999999999997</v>
      </c>
      <c r="AJ140" s="3">
        <v>34.700000000000003</v>
      </c>
      <c r="AK140" s="3">
        <v>33.299999999999997</v>
      </c>
      <c r="AL140" s="3">
        <v>31.9</v>
      </c>
      <c r="AM140" s="3">
        <v>32.1</v>
      </c>
      <c r="AN140" s="3">
        <v>31.1</v>
      </c>
      <c r="AO140" s="3">
        <v>28.3</v>
      </c>
      <c r="AP140" s="3">
        <v>26.3</v>
      </c>
      <c r="AQ140" s="3">
        <v>24.2</v>
      </c>
      <c r="AR140" s="3">
        <v>21.1</v>
      </c>
      <c r="AS140" s="3">
        <v>33.799999999999997</v>
      </c>
      <c r="AT140" s="3">
        <v>36.1</v>
      </c>
      <c r="AU140" s="3">
        <v>15.8</v>
      </c>
      <c r="AV140" s="3">
        <v>14.3</v>
      </c>
      <c r="AW140" s="3">
        <v>12.4</v>
      </c>
      <c r="AX140" s="3">
        <v>10.199999999999999</v>
      </c>
      <c r="AY140" s="3">
        <v>9.8000000000000007</v>
      </c>
      <c r="AZ140" s="3">
        <v>0</v>
      </c>
      <c r="BA140" s="3">
        <v>0</v>
      </c>
      <c r="BB140" s="3">
        <v>0</v>
      </c>
      <c r="BC140" s="3">
        <v>42.326019065032128</v>
      </c>
      <c r="BD140" s="3">
        <v>48.673980934967872</v>
      </c>
      <c r="BE140" s="3">
        <v>47.673980934967872</v>
      </c>
      <c r="BF140" s="3">
        <v>47.033980934967872</v>
      </c>
      <c r="BG140" s="3">
        <v>43.86064760163454</v>
      </c>
      <c r="BH140" s="3">
        <v>38.900647601634532</v>
      </c>
      <c r="BI140" s="3">
        <v>37.913980934967881</v>
      </c>
      <c r="BJ140" s="3">
        <v>40.907314268301192</v>
      </c>
      <c r="BK140" s="3">
        <v>41.880647601634536</v>
      </c>
      <c r="BL140" s="3">
        <v>46.253980934967871</v>
      </c>
      <c r="BM140" s="3">
        <v>39.487314268301205</v>
      </c>
      <c r="BN140" s="3">
        <v>36.070647601634548</v>
      </c>
      <c r="BO140" s="3">
        <v>35.537314268301202</v>
      </c>
      <c r="BP140" s="3">
        <v>34.153980934967876</v>
      </c>
      <c r="BQ140" s="3">
        <v>33.170647601634528</v>
      </c>
      <c r="BR140" s="3">
        <v>32.097314268301204</v>
      </c>
      <c r="BS140" s="3">
        <v>32.100647601634549</v>
      </c>
      <c r="BT140" s="3">
        <v>31.297314268301207</v>
      </c>
      <c r="BU140" s="3">
        <v>28.463980934967879</v>
      </c>
      <c r="BV140" s="3">
        <v>26.180647601634533</v>
      </c>
      <c r="BW140" s="3">
        <v>24.61398093496787</v>
      </c>
      <c r="BX140" s="3">
        <v>21.433980934967877</v>
      </c>
      <c r="BY140" s="3">
        <v>33.953980934967873</v>
      </c>
      <c r="BZ140" s="3">
        <v>36.38398093496788</v>
      </c>
      <c r="CA140" s="3">
        <v>16.183980934967863</v>
      </c>
      <c r="CB140" s="3">
        <v>14.120647601634538</v>
      </c>
      <c r="CC140" s="3">
        <v>12.43398093496787</v>
      </c>
      <c r="CD140" s="3">
        <v>9.5406476016345394</v>
      </c>
      <c r="CE140" s="3">
        <v>9.3339809349678688</v>
      </c>
      <c r="CF140" s="3">
        <v>-0.85268573169879858</v>
      </c>
      <c r="CG140" s="3">
        <v>-1.38601906503213</v>
      </c>
      <c r="CH140" s="3">
        <v>-2.462685731698798</v>
      </c>
      <c r="CI140" s="13">
        <f>[1]!dbasum(RecData[[#This Row],[20]:[2000]],RecData[[#Headers],[20]:[2000]])</f>
        <v>39.272094818152581</v>
      </c>
      <c r="CJ140" s="14">
        <v>890</v>
      </c>
      <c r="CK140" s="15" t="s">
        <v>249</v>
      </c>
      <c r="CL140" s="15">
        <f>RecData[[#This Row],[Start Time]]</f>
        <v>43252.945138888892</v>
      </c>
      <c r="CM140" s="16">
        <f>RecData[[#This Row],[Wind Speed avg]]</f>
        <v>0.83</v>
      </c>
      <c r="CN140" s="16">
        <f>RecData[[#This Row],[Wind Dir. avg]]</f>
        <v>161.19999999999999</v>
      </c>
      <c r="CO140" s="16">
        <f>RecData[[#This Row],[Amb. Humidity]]</f>
        <v>59.7</v>
      </c>
      <c r="CP140" s="16">
        <f>RecData[[#This Row],[Amb. Temperature]]</f>
        <v>9.6</v>
      </c>
      <c r="CQ140" s="17">
        <f>RecData[[#This Row],[Amb. Rain Gauge]]</f>
        <v>0</v>
      </c>
      <c r="CR140" s="4" t="s">
        <v>1</v>
      </c>
      <c r="CS140" s="4" t="s">
        <v>49</v>
      </c>
      <c r="CT140" s="70">
        <v>1609.2358400000001</v>
      </c>
      <c r="CU140" s="70">
        <v>33.000278472900298</v>
      </c>
      <c r="CV140" s="70">
        <v>11.4516992568969</v>
      </c>
      <c r="CW140" s="70">
        <v>15.2178134918212</v>
      </c>
      <c r="CX140" s="97"/>
      <c r="CY140" s="99"/>
      <c r="CZ140" s="2" t="b">
        <f>IF($DP$1="YES",IF(RecData[[#This Row],[Power (kW)]]&gt;=$CR$3, TRUE,FALSE),TRUE)</f>
        <v>1</v>
      </c>
      <c r="DA140" s="16">
        <f>MIN(MOD(180-ABS(ABS($DA$1-RecData[Yaw Angle (°)])-180),360),MOD(180-ABS(ABS($DB$1-RecData[Yaw Angle (°)])-180),360))</f>
        <v>25.470351695212742</v>
      </c>
      <c r="DB140" s="2" t="str">
        <f>IF($DP$2="None","None",IF(RecData[[#This Row],[Relative Wind Direction]]&lt;=45,"DW",IF(RecData[[#This Row],[Relative Wind Direction]]&lt;=135,"CW","UW")))</f>
        <v>DW</v>
      </c>
      <c r="DC140" s="61" t="e">
        <f>IF($CL140-$CL136&gt;1/24,#REF!,IF(SUM($CQ136:$CQ140)&gt;$DS$1,$DS$5,#REF!-1))</f>
        <v>#REF!</v>
      </c>
      <c r="DD140" s="61" t="e">
        <f>IF(#REF!-$CL140&gt;1/24,#REF!,IF(SUM($CQ136:$CQ140)&gt;$DS$1,$DS$6,DD139-1))</f>
        <v>#REF!</v>
      </c>
      <c r="DE140" s="18" t="b">
        <v>0</v>
      </c>
      <c r="DF140" s="2" t="b">
        <f>IF(OR(RecData[[#This Row],[WSpd_Avg '[m/s']]]-RecData[[#This Row],[Wind Speed min]]&gt;=$DF$3,RecData[[#This Row],[Wind Speed max]]-RecData[[#This Row],[WSpd_Avg '[m/s']]]&gt;=$DF$2),TRUE,FALSE)</f>
        <v>0</v>
      </c>
      <c r="DG140" s="2" t="b">
        <f>RecData[[#This Row],[Temperature '[°C']]]&lt;=-20</f>
        <v>0</v>
      </c>
      <c r="DH140" s="18" t="b">
        <f>NOT(OR(MOD(RecData[[#This Row],[TIMESTAMP]],1)&gt;0.91632,MOD(RecData[[#This Row],[TIMESTAMP]],1)&lt;0.208681))</f>
        <v>0</v>
      </c>
      <c r="DI140" s="18" t="b">
        <f>RecData[[#This Row],[Overall (dBA)]]-RecData[[#This Row],[L90]]&gt;=$DS$4</f>
        <v>0</v>
      </c>
      <c r="DJ140" s="18" t="b">
        <f>RecData[[#This Row],[Overall (dBA)]]&gt;$DS$2</f>
        <v>0</v>
      </c>
      <c r="DK140" s="18" t="b">
        <f>RecData[[#This Row],[Overall (dBA)]]&lt;$DS$3</f>
        <v>0</v>
      </c>
      <c r="DL1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0" s="2">
        <f>IF(AND(RecData[[#This Row],[Turbines ON/OFF]] = "OFF", NOT(OR(RecData[[#This Row],[Junk?]]="YES",RecData[[#This Row],[Gust?]],RecData[[#This Row],[Rain?]:[Min SPL Threshold?]]))),1,0)</f>
        <v>0</v>
      </c>
      <c r="DN140" s="16">
        <f>RecData[[#This Row],[dBA Sum]]</f>
        <v>39.272094818152581</v>
      </c>
      <c r="DO140" s="16">
        <f>RecData[[#This Row],[LAF90.0]]</f>
        <v>41</v>
      </c>
      <c r="DP140" s="55">
        <f>IF(AND(RecData[[#This Row],[Useable TON Data?]],RecData[[#This Row],[Turbines ON/OFF]]="ON"),RecData[[#This Row],[dBA Sum]],"")</f>
        <v>39.272094818152581</v>
      </c>
      <c r="DQ140" s="55" t="str">
        <f>IF(AND(RecData[[#This Row],[Useable Background Data?]],RecData[[#This Row],[Turbines ON/OFF]]="OFF"),RecData[[#This Row],[dBA Sum]],"")</f>
        <v/>
      </c>
      <c r="DR140" s="3">
        <f>IF(OR(RecData[[#This Row],[Useable TON Data?]],RecData[[#This Row],[Useable Background Data?]]),ROUND(RecData[[#This Row],[WSpd_Avg '[m/s']]],0),"")</f>
        <v>1</v>
      </c>
      <c r="DS140" s="85">
        <f>(0.00002)^2*(10^(RecData[[#This Row],[Overall (dBA)]]/10))</f>
        <v>3.3827466540383057E-6</v>
      </c>
    </row>
    <row r="141" spans="1:123" ht="15" x14ac:dyDescent="0.25">
      <c r="A141" s="3" t="s">
        <v>249</v>
      </c>
      <c r="B141" s="12">
        <v>43252.946527777785</v>
      </c>
      <c r="C141" s="3"/>
      <c r="D141" s="3">
        <v>42.3</v>
      </c>
      <c r="E141" s="3"/>
      <c r="F141" s="3"/>
      <c r="G141" s="3"/>
      <c r="H141" s="3"/>
      <c r="I141" s="3"/>
      <c r="J141" s="3"/>
      <c r="K141" s="3">
        <v>40.9</v>
      </c>
      <c r="L141" s="3"/>
      <c r="M141" s="3"/>
      <c r="N141" s="3">
        <v>122.2</v>
      </c>
      <c r="O141" s="3"/>
      <c r="P141" s="3"/>
      <c r="Q141" s="3">
        <v>1.53</v>
      </c>
      <c r="R141" s="3">
        <v>0.8</v>
      </c>
      <c r="S141" s="3">
        <v>2.9</v>
      </c>
      <c r="T141" s="3">
        <v>9.6</v>
      </c>
      <c r="U141" s="3">
        <v>59.3</v>
      </c>
      <c r="V141" s="3">
        <v>975.3</v>
      </c>
      <c r="W141" s="3">
        <v>0</v>
      </c>
      <c r="X141" s="3">
        <v>48.1</v>
      </c>
      <c r="Y141" s="3">
        <v>47.5</v>
      </c>
      <c r="Z141" s="3">
        <v>46.9</v>
      </c>
      <c r="AA141" s="3">
        <v>43.7</v>
      </c>
      <c r="AB141" s="3">
        <v>39.5</v>
      </c>
      <c r="AC141" s="3">
        <v>37.299999999999997</v>
      </c>
      <c r="AD141" s="3">
        <v>39.299999999999997</v>
      </c>
      <c r="AE141" s="3">
        <v>41.3</v>
      </c>
      <c r="AF141" s="3">
        <v>45.1</v>
      </c>
      <c r="AG141" s="3">
        <v>39.1</v>
      </c>
      <c r="AH141" s="3">
        <v>36.6</v>
      </c>
      <c r="AI141" s="3">
        <v>37.1</v>
      </c>
      <c r="AJ141" s="3">
        <v>35.6</v>
      </c>
      <c r="AK141" s="3">
        <v>34.1</v>
      </c>
      <c r="AL141" s="3">
        <v>32.4</v>
      </c>
      <c r="AM141" s="3">
        <v>32.1</v>
      </c>
      <c r="AN141" s="3">
        <v>30.6</v>
      </c>
      <c r="AO141" s="3">
        <v>27.6</v>
      </c>
      <c r="AP141" s="3">
        <v>25.6</v>
      </c>
      <c r="AQ141" s="3">
        <v>23.3</v>
      </c>
      <c r="AR141" s="3">
        <v>20.399999999999999</v>
      </c>
      <c r="AS141" s="3">
        <v>33.5</v>
      </c>
      <c r="AT141" s="3">
        <v>36.1</v>
      </c>
      <c r="AU141" s="3">
        <v>13.7</v>
      </c>
      <c r="AV141" s="3">
        <v>11.5</v>
      </c>
      <c r="AW141" s="3">
        <v>10.7</v>
      </c>
      <c r="AX141" s="3">
        <v>9.5</v>
      </c>
      <c r="AY141" s="3">
        <v>9.5</v>
      </c>
      <c r="AZ141" s="3">
        <v>0</v>
      </c>
      <c r="BA141" s="3">
        <v>0</v>
      </c>
      <c r="BB141" s="3">
        <v>0</v>
      </c>
      <c r="BC141" s="3">
        <v>42.247973634028575</v>
      </c>
      <c r="BD141" s="3">
        <v>48.15202636597143</v>
      </c>
      <c r="BE141" s="3">
        <v>47.552026365971422</v>
      </c>
      <c r="BF141" s="3">
        <v>45.712026365971418</v>
      </c>
      <c r="BG141" s="3">
        <v>42.838693032638098</v>
      </c>
      <c r="BH141" s="3">
        <v>38.778693032638095</v>
      </c>
      <c r="BI141" s="3">
        <v>36.992026365971419</v>
      </c>
      <c r="BJ141" s="3">
        <v>39.785359699304756</v>
      </c>
      <c r="BK141" s="3">
        <v>41.658693032638091</v>
      </c>
      <c r="BL141" s="3">
        <v>45.032026365971426</v>
      </c>
      <c r="BM141" s="3">
        <v>39.165359699304751</v>
      </c>
      <c r="BN141" s="3">
        <v>36.948693032638083</v>
      </c>
      <c r="BO141" s="3">
        <v>36.815359699304757</v>
      </c>
      <c r="BP141" s="3">
        <v>35.032026365971426</v>
      </c>
      <c r="BQ141" s="3">
        <v>33.948693032638083</v>
      </c>
      <c r="BR141" s="3">
        <v>32.575359699304748</v>
      </c>
      <c r="BS141" s="3">
        <v>32.078693032638093</v>
      </c>
      <c r="BT141" s="3">
        <v>30.775359699304765</v>
      </c>
      <c r="BU141" s="3">
        <v>27.742026365971434</v>
      </c>
      <c r="BV141" s="3">
        <v>25.458693032638088</v>
      </c>
      <c r="BW141" s="3">
        <v>23.692026365971422</v>
      </c>
      <c r="BX141" s="3">
        <v>20.712026365971425</v>
      </c>
      <c r="BY141" s="3">
        <v>33.63202636597142</v>
      </c>
      <c r="BZ141" s="3">
        <v>36.362026365971424</v>
      </c>
      <c r="CA141" s="3">
        <v>14.062026365971413</v>
      </c>
      <c r="CB141" s="3">
        <v>11.298693032638084</v>
      </c>
      <c r="CC141" s="3">
        <v>10.712026365971418</v>
      </c>
      <c r="CD141" s="3">
        <v>8.8186930326380946</v>
      </c>
      <c r="CE141" s="3">
        <v>9.0120263659714226</v>
      </c>
      <c r="CF141" s="3">
        <v>-0.87464030069524767</v>
      </c>
      <c r="CG141" s="3">
        <v>-1.4079736340285791</v>
      </c>
      <c r="CH141" s="3">
        <v>-2.4846403006952471</v>
      </c>
      <c r="CI141" s="13">
        <f>[1]!dbasum(RecData[[#This Row],[20]:[2000]],RecData[[#Headers],[20]:[2000]])</f>
        <v>39.205324636541981</v>
      </c>
      <c r="CJ141" s="14">
        <v>892</v>
      </c>
      <c r="CK141" s="15" t="s">
        <v>249</v>
      </c>
      <c r="CL141" s="15">
        <f>RecData[[#This Row],[Start Time]]</f>
        <v>43252.946527777785</v>
      </c>
      <c r="CM141" s="16">
        <f>RecData[[#This Row],[Wind Speed avg]]</f>
        <v>1.53</v>
      </c>
      <c r="CN141" s="16">
        <f>RecData[[#This Row],[Wind Dir. avg]]</f>
        <v>122.2</v>
      </c>
      <c r="CO141" s="16">
        <f>RecData[[#This Row],[Amb. Humidity]]</f>
        <v>59.3</v>
      </c>
      <c r="CP141" s="16">
        <f>RecData[[#This Row],[Amb. Temperature]]</f>
        <v>9.6</v>
      </c>
      <c r="CQ141" s="17">
        <f>RecData[[#This Row],[Amb. Rain Gauge]]</f>
        <v>0</v>
      </c>
      <c r="CR141" s="4" t="s">
        <v>1</v>
      </c>
      <c r="CS141" s="4" t="s">
        <v>49</v>
      </c>
      <c r="CT141" s="70">
        <v>1609.2358400000001</v>
      </c>
      <c r="CU141" s="70">
        <v>33.000278472900298</v>
      </c>
      <c r="CV141" s="70">
        <v>11.4516992568969</v>
      </c>
      <c r="CW141" s="70">
        <v>15.2178134918212</v>
      </c>
      <c r="CX141" s="97"/>
      <c r="CY141" s="99"/>
      <c r="CZ141" s="2" t="b">
        <f>IF($DP$1="YES",IF(RecData[[#This Row],[Power (kW)]]&gt;=$CR$3, TRUE,FALSE),TRUE)</f>
        <v>1</v>
      </c>
      <c r="DA141" s="16">
        <f>MIN(MOD(180-ABS(ABS($DA$1-RecData[Yaw Angle (°)])-180),360),MOD(180-ABS(ABS($DB$1-RecData[Yaw Angle (°)])-180),360))</f>
        <v>25.470351695212742</v>
      </c>
      <c r="DB141" s="2" t="str">
        <f>IF($DP$2="None","None",IF(RecData[[#This Row],[Relative Wind Direction]]&lt;=45,"DW",IF(RecData[[#This Row],[Relative Wind Direction]]&lt;=135,"CW","UW")))</f>
        <v>DW</v>
      </c>
      <c r="DC141" s="61">
        <v>-1</v>
      </c>
      <c r="DD141" s="61">
        <v>-1</v>
      </c>
      <c r="DE141" s="18" t="b">
        <v>0</v>
      </c>
      <c r="DF141" s="2" t="b">
        <f>IF(OR(RecData[[#This Row],[WSpd_Avg '[m/s']]]-RecData[[#This Row],[Wind Speed min]]&gt;=$DF$3,RecData[[#This Row],[Wind Speed max]]-RecData[[#This Row],[WSpd_Avg '[m/s']]]&gt;=$DF$2),TRUE,FALSE)</f>
        <v>0</v>
      </c>
      <c r="DG141" s="2" t="b">
        <f>RecData[[#This Row],[Temperature '[°C']]]&lt;=-20</f>
        <v>0</v>
      </c>
      <c r="DH141" s="18" t="b">
        <f>NOT(OR(MOD(RecData[[#This Row],[TIMESTAMP]],1)&gt;0.91632,MOD(RecData[[#This Row],[TIMESTAMP]],1)&lt;0.208681))</f>
        <v>0</v>
      </c>
      <c r="DI141" s="18" t="b">
        <f>RecData[[#This Row],[Overall (dBA)]]-RecData[[#This Row],[L90]]&gt;=$DS$4</f>
        <v>0</v>
      </c>
      <c r="DJ141" s="18" t="b">
        <f>RecData[[#This Row],[Overall (dBA)]]&gt;$DS$2</f>
        <v>0</v>
      </c>
      <c r="DK141" s="18" t="b">
        <f>RecData[[#This Row],[Overall (dBA)]]&lt;$DS$3</f>
        <v>0</v>
      </c>
      <c r="DL1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1" s="2">
        <f>IF(AND(RecData[[#This Row],[Turbines ON/OFF]] = "OFF", NOT(OR(RecData[[#This Row],[Junk?]]="YES",RecData[[#This Row],[Gust?]],RecData[[#This Row],[Rain?]:[Min SPL Threshold?]]))),1,0)</f>
        <v>0</v>
      </c>
      <c r="DN141" s="16">
        <f>RecData[[#This Row],[dBA Sum]]</f>
        <v>39.205324636541981</v>
      </c>
      <c r="DO141" s="16">
        <f>RecData[[#This Row],[LAF90.0]]</f>
        <v>40.9</v>
      </c>
      <c r="DP141" s="55">
        <f>IF(AND(RecData[[#This Row],[Useable TON Data?]],RecData[[#This Row],[Turbines ON/OFF]]="ON"),RecData[[#This Row],[dBA Sum]],"")</f>
        <v>39.205324636541981</v>
      </c>
      <c r="DQ141" s="55" t="str">
        <f>IF(AND(RecData[[#This Row],[Useable Background Data?]],RecData[[#This Row],[Turbines ON/OFF]]="OFF"),RecData[[#This Row],[dBA Sum]],"")</f>
        <v/>
      </c>
      <c r="DR141" s="3">
        <f>IF(OR(RecData[[#This Row],[Useable TON Data?]],RecData[[#This Row],[Useable Background Data?]]),ROUND(RecData[[#This Row],[WSpd_Avg '[m/s']]],0),"")</f>
        <v>2</v>
      </c>
      <c r="DS141" s="85">
        <f>(0.00002)^2*(10^(RecData[[#This Row],[Overall (dBA)]]/10))</f>
        <v>3.3311366981895288E-6</v>
      </c>
    </row>
    <row r="142" spans="1:123" ht="15" x14ac:dyDescent="0.25">
      <c r="A142" s="3" t="s">
        <v>249</v>
      </c>
      <c r="B142" s="12">
        <v>43252.947222222225</v>
      </c>
      <c r="C142" s="3"/>
      <c r="D142" s="3">
        <v>42.6</v>
      </c>
      <c r="E142" s="3"/>
      <c r="F142" s="3"/>
      <c r="G142" s="3"/>
      <c r="H142" s="3"/>
      <c r="I142" s="3"/>
      <c r="J142" s="3"/>
      <c r="K142" s="3">
        <v>41</v>
      </c>
      <c r="L142" s="3"/>
      <c r="M142" s="3"/>
      <c r="N142" s="3">
        <v>193.1</v>
      </c>
      <c r="O142" s="3"/>
      <c r="P142" s="3"/>
      <c r="Q142" s="3">
        <v>1.07</v>
      </c>
      <c r="R142" s="3">
        <v>0.2</v>
      </c>
      <c r="S142" s="3">
        <v>2.2999999999999998</v>
      </c>
      <c r="T142" s="3">
        <v>9.6</v>
      </c>
      <c r="U142" s="3">
        <v>59.3</v>
      </c>
      <c r="V142" s="3">
        <v>975.3</v>
      </c>
      <c r="W142" s="3">
        <v>0</v>
      </c>
      <c r="X142" s="3">
        <v>50.1</v>
      </c>
      <c r="Y142" s="3">
        <v>48.1</v>
      </c>
      <c r="Z142" s="3">
        <v>48</v>
      </c>
      <c r="AA142" s="3">
        <v>44.6</v>
      </c>
      <c r="AB142" s="3">
        <v>40.1</v>
      </c>
      <c r="AC142" s="3">
        <v>37.1</v>
      </c>
      <c r="AD142" s="3">
        <v>40.1</v>
      </c>
      <c r="AE142" s="3">
        <v>41.6</v>
      </c>
      <c r="AF142" s="3">
        <v>47</v>
      </c>
      <c r="AG142" s="3">
        <v>39.5</v>
      </c>
      <c r="AH142" s="3">
        <v>37.200000000000003</v>
      </c>
      <c r="AI142" s="3">
        <v>37.200000000000003</v>
      </c>
      <c r="AJ142" s="3">
        <v>35.9</v>
      </c>
      <c r="AK142" s="3">
        <v>34.700000000000003</v>
      </c>
      <c r="AL142" s="3">
        <v>33.200000000000003</v>
      </c>
      <c r="AM142" s="3">
        <v>33.1</v>
      </c>
      <c r="AN142" s="3">
        <v>31.6</v>
      </c>
      <c r="AO142" s="3">
        <v>29</v>
      </c>
      <c r="AP142" s="3">
        <v>27.2</v>
      </c>
      <c r="AQ142" s="3">
        <v>25.3</v>
      </c>
      <c r="AR142" s="3">
        <v>23.4</v>
      </c>
      <c r="AS142" s="3">
        <v>33.1</v>
      </c>
      <c r="AT142" s="3">
        <v>35.6</v>
      </c>
      <c r="AU142" s="3">
        <v>19.2</v>
      </c>
      <c r="AV142" s="3">
        <v>17.600000000000001</v>
      </c>
      <c r="AW142" s="3">
        <v>16.5</v>
      </c>
      <c r="AX142" s="3">
        <v>12.5</v>
      </c>
      <c r="AY142" s="3">
        <v>11.4</v>
      </c>
      <c r="AZ142" s="3">
        <v>0</v>
      </c>
      <c r="BA142" s="3">
        <v>0</v>
      </c>
      <c r="BB142" s="3">
        <v>0</v>
      </c>
      <c r="BC142" s="3">
        <v>42.608093195948229</v>
      </c>
      <c r="BD142" s="3">
        <v>50.091906804051774</v>
      </c>
      <c r="BE142" s="3">
        <v>48.091906804051774</v>
      </c>
      <c r="BF142" s="3">
        <v>46.751906804051771</v>
      </c>
      <c r="BG142" s="3">
        <v>43.678573470718433</v>
      </c>
      <c r="BH142" s="3">
        <v>39.318573470718448</v>
      </c>
      <c r="BI142" s="3">
        <v>36.731906804051775</v>
      </c>
      <c r="BJ142" s="3">
        <v>40.525240137385097</v>
      </c>
      <c r="BK142" s="3">
        <v>41.898573470718432</v>
      </c>
      <c r="BL142" s="3">
        <v>46.871906804051775</v>
      </c>
      <c r="BM142" s="3">
        <v>39.505240137385115</v>
      </c>
      <c r="BN142" s="3">
        <v>37.488573470718435</v>
      </c>
      <c r="BO142" s="3">
        <v>36.85524013738511</v>
      </c>
      <c r="BP142" s="3">
        <v>35.271906804051767</v>
      </c>
      <c r="BQ142" s="3">
        <v>34.488573470718435</v>
      </c>
      <c r="BR142" s="3">
        <v>33.315240137385118</v>
      </c>
      <c r="BS142" s="3">
        <v>33.018573470718437</v>
      </c>
      <c r="BT142" s="3">
        <v>31.715240137385109</v>
      </c>
      <c r="BU142" s="3">
        <v>29.081906804051769</v>
      </c>
      <c r="BV142" s="3">
        <v>26.998573470718441</v>
      </c>
      <c r="BW142" s="3">
        <v>25.631906804051781</v>
      </c>
      <c r="BX142" s="3">
        <v>23.651906804051777</v>
      </c>
      <c r="BY142" s="3">
        <v>33.171906804051773</v>
      </c>
      <c r="BZ142" s="3">
        <v>35.801906804051768</v>
      </c>
      <c r="CA142" s="3">
        <v>19.501906804051764</v>
      </c>
      <c r="CB142" s="3">
        <v>17.338573470718444</v>
      </c>
      <c r="CC142" s="3">
        <v>16.451906804051774</v>
      </c>
      <c r="CD142" s="3">
        <v>11.758573470718446</v>
      </c>
      <c r="CE142" s="3">
        <v>10.851906804051772</v>
      </c>
      <c r="CF142" s="3">
        <v>-0.93475986261489652</v>
      </c>
      <c r="CG142" s="3">
        <v>-1.468093195948228</v>
      </c>
      <c r="CH142" s="3">
        <v>-2.544759862614896</v>
      </c>
      <c r="CI142" s="13">
        <f>[1]!dbasum(RecData[[#This Row],[20]:[2000]],RecData[[#Headers],[20]:[2000]])</f>
        <v>40.147990572977491</v>
      </c>
      <c r="CJ142" s="14">
        <v>893</v>
      </c>
      <c r="CK142" s="15" t="s">
        <v>249</v>
      </c>
      <c r="CL142" s="15">
        <f>RecData[[#This Row],[Start Time]]</f>
        <v>43252.947222222225</v>
      </c>
      <c r="CM142" s="16">
        <f>RecData[[#This Row],[Wind Speed avg]]</f>
        <v>1.07</v>
      </c>
      <c r="CN142" s="16">
        <f>RecData[[#This Row],[Wind Dir. avg]]</f>
        <v>193.1</v>
      </c>
      <c r="CO142" s="16">
        <f>RecData[[#This Row],[Amb. Humidity]]</f>
        <v>59.3</v>
      </c>
      <c r="CP142" s="16">
        <f>RecData[[#This Row],[Amb. Temperature]]</f>
        <v>9.6</v>
      </c>
      <c r="CQ142" s="17">
        <f>RecData[[#This Row],[Amb. Rain Gauge]]</f>
        <v>0</v>
      </c>
      <c r="CR142" s="4" t="s">
        <v>1</v>
      </c>
      <c r="CS142" s="4" t="s">
        <v>49</v>
      </c>
      <c r="CT142" s="70">
        <v>1609.2358400000001</v>
      </c>
      <c r="CU142" s="70">
        <v>33.000278472900298</v>
      </c>
      <c r="CV142" s="70">
        <v>11.4516992568969</v>
      </c>
      <c r="CW142" s="70">
        <v>15.2178134918212</v>
      </c>
      <c r="CX142" s="97"/>
      <c r="CY142" s="99"/>
      <c r="CZ142" s="2" t="b">
        <f>IF($DP$1="YES",IF(RecData[[#This Row],[Power (kW)]]&gt;=$CR$3, TRUE,FALSE),TRUE)</f>
        <v>1</v>
      </c>
      <c r="DA142" s="16">
        <f>MIN(MOD(180-ABS(ABS($DA$1-RecData[Yaw Angle (°)])-180),360),MOD(180-ABS(ABS($DB$1-RecData[Yaw Angle (°)])-180),360))</f>
        <v>25.470351695212742</v>
      </c>
      <c r="DB142" s="2" t="str">
        <f>IF($DP$2="None","None",IF(RecData[[#This Row],[Relative Wind Direction]]&lt;=45,"DW",IF(RecData[[#This Row],[Relative Wind Direction]]&lt;=135,"CW","UW")))</f>
        <v>DW</v>
      </c>
      <c r="DC142" s="61" t="e">
        <f>IF($CL142-$CL141&gt;1/24,#REF!,IF(SUM($CQ141:$CQ142)&gt;$DS$1,$DS$5,#REF!-1))</f>
        <v>#REF!</v>
      </c>
      <c r="DD142" s="61" t="e">
        <f>IF(#REF!-$CL142&gt;1/24,#REF!,IF(SUM($CQ141:$CQ142)&gt;$DS$1,$DS$6,DD141-1))</f>
        <v>#REF!</v>
      </c>
      <c r="DE142" s="18" t="b">
        <v>0</v>
      </c>
      <c r="DF142" s="2" t="b">
        <f>IF(OR(RecData[[#This Row],[WSpd_Avg '[m/s']]]-RecData[[#This Row],[Wind Speed min]]&gt;=$DF$3,RecData[[#This Row],[Wind Speed max]]-RecData[[#This Row],[WSpd_Avg '[m/s']]]&gt;=$DF$2),TRUE,FALSE)</f>
        <v>0</v>
      </c>
      <c r="DG142" s="2" t="b">
        <f>RecData[[#This Row],[Temperature '[°C']]]&lt;=-20</f>
        <v>0</v>
      </c>
      <c r="DH142" s="18" t="b">
        <f>NOT(OR(MOD(RecData[[#This Row],[TIMESTAMP]],1)&gt;0.91632,MOD(RecData[[#This Row],[TIMESTAMP]],1)&lt;0.208681))</f>
        <v>0</v>
      </c>
      <c r="DI142" s="18" t="b">
        <f>RecData[[#This Row],[Overall (dBA)]]-RecData[[#This Row],[L90]]&gt;=$DS$4</f>
        <v>0</v>
      </c>
      <c r="DJ142" s="18" t="b">
        <f>RecData[[#This Row],[Overall (dBA)]]&gt;$DS$2</f>
        <v>0</v>
      </c>
      <c r="DK142" s="18" t="b">
        <f>RecData[[#This Row],[Overall (dBA)]]&lt;$DS$3</f>
        <v>0</v>
      </c>
      <c r="DL1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2" s="2">
        <f>IF(AND(RecData[[#This Row],[Turbines ON/OFF]] = "OFF", NOT(OR(RecData[[#This Row],[Junk?]]="YES",RecData[[#This Row],[Gust?]],RecData[[#This Row],[Rain?]:[Min SPL Threshold?]]))),1,0)</f>
        <v>0</v>
      </c>
      <c r="DN142" s="16">
        <f>RecData[[#This Row],[dBA Sum]]</f>
        <v>40.147990572977491</v>
      </c>
      <c r="DO142" s="16">
        <f>RecData[[#This Row],[LAF90.0]]</f>
        <v>41</v>
      </c>
      <c r="DP142" s="55">
        <f>IF(AND(RecData[[#This Row],[Useable TON Data?]],RecData[[#This Row],[Turbines ON/OFF]]="ON"),RecData[[#This Row],[dBA Sum]],"")</f>
        <v>40.147990572977491</v>
      </c>
      <c r="DQ142" s="55" t="str">
        <f>IF(AND(RecData[[#This Row],[Useable Background Data?]],RecData[[#This Row],[Turbines ON/OFF]]="OFF"),RecData[[#This Row],[dBA Sum]],"")</f>
        <v/>
      </c>
      <c r="DR142" s="3">
        <f>IF(OR(RecData[[#This Row],[Useable TON Data?]],RecData[[#This Row],[Useable Background Data?]]),ROUND(RecData[[#This Row],[WSpd_Avg '[m/s']]],0),"")</f>
        <v>1</v>
      </c>
      <c r="DS142" s="85">
        <f>(0.00002)^2*(10^(RecData[[#This Row],[Overall (dBA)]]/10))</f>
        <v>4.138653319783273E-6</v>
      </c>
    </row>
    <row r="143" spans="1:123" ht="15" x14ac:dyDescent="0.25">
      <c r="A143" s="3" t="s">
        <v>249</v>
      </c>
      <c r="B143" s="12">
        <v>43252.948611111118</v>
      </c>
      <c r="C143" s="3"/>
      <c r="D143" s="3">
        <v>43.2</v>
      </c>
      <c r="E143" s="3"/>
      <c r="F143" s="3"/>
      <c r="G143" s="3"/>
      <c r="H143" s="3"/>
      <c r="I143" s="3"/>
      <c r="J143" s="3"/>
      <c r="K143" s="3">
        <v>41.4</v>
      </c>
      <c r="L143" s="3"/>
      <c r="M143" s="3"/>
      <c r="N143" s="3">
        <v>198.9</v>
      </c>
      <c r="O143" s="3"/>
      <c r="P143" s="3"/>
      <c r="Q143" s="3">
        <v>0.49</v>
      </c>
      <c r="R143" s="3">
        <v>0</v>
      </c>
      <c r="S143" s="3">
        <v>1.7</v>
      </c>
      <c r="T143" s="3">
        <v>9.6</v>
      </c>
      <c r="U143" s="3">
        <v>60</v>
      </c>
      <c r="V143" s="3">
        <v>975.3</v>
      </c>
      <c r="W143" s="3">
        <v>0</v>
      </c>
      <c r="X143" s="3">
        <v>48.9</v>
      </c>
      <c r="Y143" s="3">
        <v>48.7</v>
      </c>
      <c r="Z143" s="3">
        <v>48.3</v>
      </c>
      <c r="AA143" s="3">
        <v>43.6</v>
      </c>
      <c r="AB143" s="3">
        <v>39</v>
      </c>
      <c r="AC143" s="3">
        <v>38.1</v>
      </c>
      <c r="AD143" s="3">
        <v>41</v>
      </c>
      <c r="AE143" s="3">
        <v>42.5</v>
      </c>
      <c r="AF143" s="3">
        <v>47.3</v>
      </c>
      <c r="AG143" s="3">
        <v>41.8</v>
      </c>
      <c r="AH143" s="3">
        <v>37.700000000000003</v>
      </c>
      <c r="AI143" s="3">
        <v>38</v>
      </c>
      <c r="AJ143" s="3">
        <v>36.1</v>
      </c>
      <c r="AK143" s="3">
        <v>34.700000000000003</v>
      </c>
      <c r="AL143" s="3">
        <v>33.1</v>
      </c>
      <c r="AM143" s="3">
        <v>33.200000000000003</v>
      </c>
      <c r="AN143" s="3">
        <v>31.5</v>
      </c>
      <c r="AO143" s="3">
        <v>28.3</v>
      </c>
      <c r="AP143" s="3">
        <v>26.1</v>
      </c>
      <c r="AQ143" s="3">
        <v>23.5</v>
      </c>
      <c r="AR143" s="3">
        <v>19.899999999999999</v>
      </c>
      <c r="AS143" s="3">
        <v>34.200000000000003</v>
      </c>
      <c r="AT143" s="3">
        <v>36.799999999999997</v>
      </c>
      <c r="AU143" s="3">
        <v>11.7</v>
      </c>
      <c r="AV143" s="3">
        <v>9.6</v>
      </c>
      <c r="AW143" s="3">
        <v>9.3000000000000007</v>
      </c>
      <c r="AX143" s="3">
        <v>9.1</v>
      </c>
      <c r="AY143" s="3">
        <v>9.3000000000000007</v>
      </c>
      <c r="AZ143" s="3">
        <v>0</v>
      </c>
      <c r="BA143" s="3">
        <v>0</v>
      </c>
      <c r="BB143" s="3">
        <v>0</v>
      </c>
      <c r="BC143" s="3">
        <v>43.107058140388446</v>
      </c>
      <c r="BD143" s="3">
        <v>48.992941859611548</v>
      </c>
      <c r="BE143" s="3">
        <v>48.79294185961156</v>
      </c>
      <c r="BF143" s="3">
        <v>47.152941859611545</v>
      </c>
      <c r="BG143" s="3">
        <v>42.779608526278224</v>
      </c>
      <c r="BH143" s="3">
        <v>38.31960852627823</v>
      </c>
      <c r="BI143" s="3">
        <v>37.832941859611552</v>
      </c>
      <c r="BJ143" s="3">
        <v>41.52627519294488</v>
      </c>
      <c r="BK143" s="3">
        <v>42.899608526278215</v>
      </c>
      <c r="BL143" s="3">
        <v>47.272941859611549</v>
      </c>
      <c r="BM143" s="3">
        <v>41.906275192944889</v>
      </c>
      <c r="BN143" s="3">
        <v>38.089608526278226</v>
      </c>
      <c r="BO143" s="3">
        <v>37.756275192944898</v>
      </c>
      <c r="BP143" s="3">
        <v>35.572941859611561</v>
      </c>
      <c r="BQ143" s="3">
        <v>34.589608526278212</v>
      </c>
      <c r="BR143" s="3">
        <v>33.3162751929449</v>
      </c>
      <c r="BS143" s="3">
        <v>33.219608526278236</v>
      </c>
      <c r="BT143" s="3">
        <v>31.716275192944892</v>
      </c>
      <c r="BU143" s="3">
        <v>28.482941859611557</v>
      </c>
      <c r="BV143" s="3">
        <v>25.999608526278223</v>
      </c>
      <c r="BW143" s="3">
        <v>23.93294185961156</v>
      </c>
      <c r="BX143" s="3">
        <v>20.25294185961156</v>
      </c>
      <c r="BY143" s="3">
        <v>34.372941859611558</v>
      </c>
      <c r="BZ143" s="3">
        <v>37.102941859611562</v>
      </c>
      <c r="CA143" s="3">
        <v>12.102941859611548</v>
      </c>
      <c r="CB143" s="3">
        <v>9.4396085262782208</v>
      </c>
      <c r="CC143" s="3">
        <v>9.3529418596115548</v>
      </c>
      <c r="CD143" s="3">
        <v>8.459608526278231</v>
      </c>
      <c r="CE143" s="3">
        <v>8.8529418596115548</v>
      </c>
      <c r="CF143" s="3">
        <v>-0.83372480705511265</v>
      </c>
      <c r="CG143" s="3">
        <v>-1.3670581403884441</v>
      </c>
      <c r="CH143" s="3">
        <v>-2.4437248070551121</v>
      </c>
      <c r="CI143" s="13">
        <f>[1]!dbasum(RecData[[#This Row],[20]:[2000]],RecData[[#Headers],[20]:[2000]])</f>
        <v>40.276601705974393</v>
      </c>
      <c r="CJ143" s="14">
        <v>895</v>
      </c>
      <c r="CK143" s="15" t="s">
        <v>249</v>
      </c>
      <c r="CL143" s="15">
        <f>RecData[[#This Row],[Start Time]]</f>
        <v>43252.948611111118</v>
      </c>
      <c r="CM143" s="16">
        <f>RecData[[#This Row],[Wind Speed avg]]</f>
        <v>0.49</v>
      </c>
      <c r="CN143" s="16">
        <f>RecData[[#This Row],[Wind Dir. avg]]</f>
        <v>198.9</v>
      </c>
      <c r="CO143" s="16">
        <f>RecData[[#This Row],[Amb. Humidity]]</f>
        <v>60</v>
      </c>
      <c r="CP143" s="16">
        <f>RecData[[#This Row],[Amb. Temperature]]</f>
        <v>9.6</v>
      </c>
      <c r="CQ143" s="17">
        <f>RecData[[#This Row],[Amb. Rain Gauge]]</f>
        <v>0</v>
      </c>
      <c r="CR143" s="4" t="s">
        <v>1</v>
      </c>
      <c r="CS143" s="4" t="s">
        <v>49</v>
      </c>
      <c r="CT143" s="70">
        <v>1609.2358400000001</v>
      </c>
      <c r="CU143" s="70">
        <v>33.000278472900298</v>
      </c>
      <c r="CV143" s="70">
        <v>11.4516992568969</v>
      </c>
      <c r="CW143" s="70">
        <v>15.2178134918212</v>
      </c>
      <c r="CX143" s="97"/>
      <c r="CY143" s="99"/>
      <c r="CZ143" s="2" t="b">
        <f>IF($DP$1="YES",IF(RecData[[#This Row],[Power (kW)]]&gt;=$CR$3, TRUE,FALSE),TRUE)</f>
        <v>1</v>
      </c>
      <c r="DA143" s="16">
        <f>MIN(MOD(180-ABS(ABS($DA$1-RecData[Yaw Angle (°)])-180),360),MOD(180-ABS(ABS($DB$1-RecData[Yaw Angle (°)])-180),360))</f>
        <v>25.470351695212742</v>
      </c>
      <c r="DB143" s="2" t="str">
        <f>IF($DP$2="None","None",IF(RecData[[#This Row],[Relative Wind Direction]]&lt;=45,"DW",IF(RecData[[#This Row],[Relative Wind Direction]]&lt;=135,"CW","UW")))</f>
        <v>DW</v>
      </c>
      <c r="DC143" s="61" t="e">
        <f>IF($CL143-$CL141&gt;1/24,#REF!,IF(SUM($CQ141:$CQ143)&gt;$DS$1,$DS$5,DC144-1))</f>
        <v>#REF!</v>
      </c>
      <c r="DD143" s="61" t="e">
        <f>IF($CL144-$CL143&gt;1/24,#REF!,IF(SUM($CQ141:$CQ143)&gt;$DS$1,$DS$6,#REF!-1))</f>
        <v>#REF!</v>
      </c>
      <c r="DE143" s="18" t="b">
        <v>0</v>
      </c>
      <c r="DF143" s="2" t="b">
        <f>IF(OR(RecData[[#This Row],[WSpd_Avg '[m/s']]]-RecData[[#This Row],[Wind Speed min]]&gt;=$DF$3,RecData[[#This Row],[Wind Speed max]]-RecData[[#This Row],[WSpd_Avg '[m/s']]]&gt;=$DF$2),TRUE,FALSE)</f>
        <v>0</v>
      </c>
      <c r="DG143" s="2" t="b">
        <f>RecData[[#This Row],[Temperature '[°C']]]&lt;=-20</f>
        <v>0</v>
      </c>
      <c r="DH143" s="18" t="b">
        <f>NOT(OR(MOD(RecData[[#This Row],[TIMESTAMP]],1)&gt;0.91632,MOD(RecData[[#This Row],[TIMESTAMP]],1)&lt;0.208681))</f>
        <v>0</v>
      </c>
      <c r="DI143" s="18" t="b">
        <f>RecData[[#This Row],[Overall (dBA)]]-RecData[[#This Row],[L90]]&gt;=$DS$4</f>
        <v>0</v>
      </c>
      <c r="DJ143" s="18" t="b">
        <f>RecData[[#This Row],[Overall (dBA)]]&gt;$DS$2</f>
        <v>0</v>
      </c>
      <c r="DK143" s="18" t="b">
        <f>RecData[[#This Row],[Overall (dBA)]]&lt;$DS$3</f>
        <v>0</v>
      </c>
      <c r="DL1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3" s="2">
        <f>IF(AND(RecData[[#This Row],[Turbines ON/OFF]] = "OFF", NOT(OR(RecData[[#This Row],[Junk?]]="YES",RecData[[#This Row],[Gust?]],RecData[[#This Row],[Rain?]:[Min SPL Threshold?]]))),1,0)</f>
        <v>0</v>
      </c>
      <c r="DN143" s="16">
        <f>RecData[[#This Row],[dBA Sum]]</f>
        <v>40.276601705974393</v>
      </c>
      <c r="DO143" s="16">
        <f>RecData[[#This Row],[LAF90.0]]</f>
        <v>41.4</v>
      </c>
      <c r="DP143" s="55">
        <f>IF(AND(RecData[[#This Row],[Useable TON Data?]],RecData[[#This Row],[Turbines ON/OFF]]="ON"),RecData[[#This Row],[dBA Sum]],"")</f>
        <v>40.276601705974393</v>
      </c>
      <c r="DQ143" s="55" t="str">
        <f>IF(AND(RecData[[#This Row],[Useable Background Data?]],RecData[[#This Row],[Turbines ON/OFF]]="OFF"),RecData[[#This Row],[dBA Sum]],"")</f>
        <v/>
      </c>
      <c r="DR143" s="3">
        <f>IF(OR(RecData[[#This Row],[Useable TON Data?]],RecData[[#This Row],[Useable Background Data?]]),ROUND(RecData[[#This Row],[WSpd_Avg '[m/s']]],0),"")</f>
        <v>0</v>
      </c>
      <c r="DS143" s="85">
        <f>(0.00002)^2*(10^(RecData[[#This Row],[Overall (dBA)]]/10))</f>
        <v>4.2630474040739325E-6</v>
      </c>
    </row>
    <row r="144" spans="1:123" ht="15" x14ac:dyDescent="0.25">
      <c r="A144" s="3" t="s">
        <v>249</v>
      </c>
      <c r="B144" s="12">
        <v>43252.949305555558</v>
      </c>
      <c r="C144" s="3"/>
      <c r="D144" s="3">
        <v>42.4</v>
      </c>
      <c r="E144" s="3"/>
      <c r="F144" s="3"/>
      <c r="G144" s="3"/>
      <c r="H144" s="3"/>
      <c r="I144" s="3"/>
      <c r="J144" s="3"/>
      <c r="K144" s="3">
        <v>41</v>
      </c>
      <c r="L144" s="3"/>
      <c r="M144" s="3"/>
      <c r="N144" s="3">
        <v>197.1</v>
      </c>
      <c r="O144" s="3"/>
      <c r="P144" s="3"/>
      <c r="Q144" s="3">
        <v>0.78</v>
      </c>
      <c r="R144" s="3">
        <v>0.2</v>
      </c>
      <c r="S144" s="3">
        <v>1.3</v>
      </c>
      <c r="T144" s="3">
        <v>9.6</v>
      </c>
      <c r="U144" s="3">
        <v>59.5</v>
      </c>
      <c r="V144" s="3">
        <v>975.3</v>
      </c>
      <c r="W144" s="3">
        <v>0</v>
      </c>
      <c r="X144" s="3">
        <v>48.4</v>
      </c>
      <c r="Y144" s="3">
        <v>47.9</v>
      </c>
      <c r="Z144" s="3">
        <v>48.5</v>
      </c>
      <c r="AA144" s="3">
        <v>44</v>
      </c>
      <c r="AB144" s="3">
        <v>39.200000000000003</v>
      </c>
      <c r="AC144" s="3">
        <v>37.9</v>
      </c>
      <c r="AD144" s="3">
        <v>39.9</v>
      </c>
      <c r="AE144" s="3">
        <v>41</v>
      </c>
      <c r="AF144" s="3">
        <v>45.9</v>
      </c>
      <c r="AG144" s="3">
        <v>40.4</v>
      </c>
      <c r="AH144" s="3">
        <v>35.799999999999997</v>
      </c>
      <c r="AI144" s="3">
        <v>36.4</v>
      </c>
      <c r="AJ144" s="3">
        <v>35.1</v>
      </c>
      <c r="AK144" s="3">
        <v>33.700000000000003</v>
      </c>
      <c r="AL144" s="3">
        <v>32.1</v>
      </c>
      <c r="AM144" s="3">
        <v>32.4</v>
      </c>
      <c r="AN144" s="3">
        <v>31</v>
      </c>
      <c r="AO144" s="3">
        <v>28.1</v>
      </c>
      <c r="AP144" s="3">
        <v>25.7</v>
      </c>
      <c r="AQ144" s="3">
        <v>23.3</v>
      </c>
      <c r="AR144" s="3">
        <v>19.5</v>
      </c>
      <c r="AS144" s="3">
        <v>33.9</v>
      </c>
      <c r="AT144" s="3">
        <v>36.1</v>
      </c>
      <c r="AU144" s="3">
        <v>12.6</v>
      </c>
      <c r="AV144" s="3">
        <v>10.8</v>
      </c>
      <c r="AW144" s="3">
        <v>10.5</v>
      </c>
      <c r="AX144" s="3">
        <v>9.6</v>
      </c>
      <c r="AY144" s="3">
        <v>9.6</v>
      </c>
      <c r="AZ144" s="3">
        <v>0</v>
      </c>
      <c r="BA144" s="3">
        <v>0</v>
      </c>
      <c r="BB144" s="3">
        <v>0</v>
      </c>
      <c r="BC144" s="3">
        <v>42.352728528956895</v>
      </c>
      <c r="BD144" s="3">
        <v>48.447271471043102</v>
      </c>
      <c r="BE144" s="3">
        <v>47.947271471043102</v>
      </c>
      <c r="BF144" s="3">
        <v>47.307271471043101</v>
      </c>
      <c r="BG144" s="3">
        <v>43.133938137709769</v>
      </c>
      <c r="BH144" s="3">
        <v>38.473938137709773</v>
      </c>
      <c r="BI144" s="3">
        <v>37.587271471043103</v>
      </c>
      <c r="BJ144" s="3">
        <v>40.380604804376425</v>
      </c>
      <c r="BK144" s="3">
        <v>41.353938137709768</v>
      </c>
      <c r="BL144" s="3">
        <v>45.827271471043112</v>
      </c>
      <c r="BM144" s="3">
        <v>40.460604804376437</v>
      </c>
      <c r="BN144" s="3">
        <v>36.143938137709775</v>
      </c>
      <c r="BO144" s="3">
        <v>36.110604804376443</v>
      </c>
      <c r="BP144" s="3">
        <v>34.5272714710431</v>
      </c>
      <c r="BQ144" s="3">
        <v>33.543938137709766</v>
      </c>
      <c r="BR144" s="3">
        <v>32.27060480437644</v>
      </c>
      <c r="BS144" s="3">
        <v>32.373938137709764</v>
      </c>
      <c r="BT144" s="3">
        <v>31.170604804376445</v>
      </c>
      <c r="BU144" s="3">
        <v>28.237271471043108</v>
      </c>
      <c r="BV144" s="3">
        <v>25.553938137709771</v>
      </c>
      <c r="BW144" s="3">
        <v>23.687271471043111</v>
      </c>
      <c r="BX144" s="3">
        <v>19.807271471043109</v>
      </c>
      <c r="BY144" s="3">
        <v>34.0272714710431</v>
      </c>
      <c r="BZ144" s="3">
        <v>36.357271471043113</v>
      </c>
      <c r="CA144" s="3">
        <v>12.957271471043093</v>
      </c>
      <c r="CB144" s="3">
        <v>10.59393813770977</v>
      </c>
      <c r="CC144" s="3">
        <v>10.507271471043104</v>
      </c>
      <c r="CD144" s="3">
        <v>8.9139381377097706</v>
      </c>
      <c r="CE144" s="3">
        <v>9.1072714710430986</v>
      </c>
      <c r="CF144" s="3">
        <v>-0.87939519562356594</v>
      </c>
      <c r="CG144" s="3">
        <v>-1.4127285289568974</v>
      </c>
      <c r="CH144" s="3">
        <v>-2.4893951956235654</v>
      </c>
      <c r="CI144" s="13">
        <f>[1]!dbasum(RecData[[#This Row],[20]:[2000]],RecData[[#Headers],[20]:[2000]])</f>
        <v>39.275014549753394</v>
      </c>
      <c r="CJ144" s="14">
        <v>896</v>
      </c>
      <c r="CK144" s="15" t="s">
        <v>249</v>
      </c>
      <c r="CL144" s="15">
        <f>RecData[[#This Row],[Start Time]]</f>
        <v>43252.949305555558</v>
      </c>
      <c r="CM144" s="16">
        <f>RecData[[#This Row],[Wind Speed avg]]</f>
        <v>0.78</v>
      </c>
      <c r="CN144" s="16">
        <f>RecData[[#This Row],[Wind Dir. avg]]</f>
        <v>197.1</v>
      </c>
      <c r="CO144" s="16">
        <f>RecData[[#This Row],[Amb. Humidity]]</f>
        <v>59.5</v>
      </c>
      <c r="CP144" s="16">
        <f>RecData[[#This Row],[Amb. Temperature]]</f>
        <v>9.6</v>
      </c>
      <c r="CQ144" s="17">
        <f>RecData[[#This Row],[Amb. Rain Gauge]]</f>
        <v>0</v>
      </c>
      <c r="CR144" s="4" t="s">
        <v>1</v>
      </c>
      <c r="CS144" s="4" t="s">
        <v>49</v>
      </c>
      <c r="CT144" s="70">
        <v>1609.2358400000001</v>
      </c>
      <c r="CU144" s="70">
        <v>33.000278472900298</v>
      </c>
      <c r="CV144" s="70">
        <v>11.4516992568969</v>
      </c>
      <c r="CW144" s="70">
        <v>15.2178134918212</v>
      </c>
      <c r="CX144" s="97"/>
      <c r="CY144" s="99"/>
      <c r="CZ144" s="2" t="b">
        <f>IF($DP$1="YES",IF(RecData[[#This Row],[Power (kW)]]&gt;=$CR$3, TRUE,FALSE),TRUE)</f>
        <v>1</v>
      </c>
      <c r="DA144" s="16">
        <f>MIN(MOD(180-ABS(ABS($DA$1-RecData[Yaw Angle (°)])-180),360),MOD(180-ABS(ABS($DB$1-RecData[Yaw Angle (°)])-180),360))</f>
        <v>25.470351695212742</v>
      </c>
      <c r="DB144" s="2" t="str">
        <f>IF($DP$2="None","None",IF(RecData[[#This Row],[Relative Wind Direction]]&lt;=45,"DW",IF(RecData[[#This Row],[Relative Wind Direction]]&lt;=135,"CW","UW")))</f>
        <v>DW</v>
      </c>
      <c r="DC144" s="61" t="e">
        <f>IF($CL144-$CL141&gt;1/24,#REF!,IF(SUM($CQ141:$CQ144)&gt;$DS$1,$DS$5,DC145-1))</f>
        <v>#REF!</v>
      </c>
      <c r="DD144" s="61" t="e">
        <f>IF($CL145-$CL144&gt;1/24,#REF!,IF(SUM($CQ141:$CQ144)&gt;$DS$1,$DS$6,DD143-1))</f>
        <v>#REF!</v>
      </c>
      <c r="DE144" s="18" t="b">
        <v>0</v>
      </c>
      <c r="DF144" s="2" t="b">
        <f>IF(OR(RecData[[#This Row],[WSpd_Avg '[m/s']]]-RecData[[#This Row],[Wind Speed min]]&gt;=$DF$3,RecData[[#This Row],[Wind Speed max]]-RecData[[#This Row],[WSpd_Avg '[m/s']]]&gt;=$DF$2),TRUE,FALSE)</f>
        <v>0</v>
      </c>
      <c r="DG144" s="2" t="b">
        <f>RecData[[#This Row],[Temperature '[°C']]]&lt;=-20</f>
        <v>0</v>
      </c>
      <c r="DH144" s="18" t="b">
        <f>NOT(OR(MOD(RecData[[#This Row],[TIMESTAMP]],1)&gt;0.91632,MOD(RecData[[#This Row],[TIMESTAMP]],1)&lt;0.208681))</f>
        <v>0</v>
      </c>
      <c r="DI144" s="18" t="b">
        <f>RecData[[#This Row],[Overall (dBA)]]-RecData[[#This Row],[L90]]&gt;=$DS$4</f>
        <v>0</v>
      </c>
      <c r="DJ144" s="18" t="b">
        <f>RecData[[#This Row],[Overall (dBA)]]&gt;$DS$2</f>
        <v>0</v>
      </c>
      <c r="DK144" s="18" t="b">
        <f>RecData[[#This Row],[Overall (dBA)]]&lt;$DS$3</f>
        <v>0</v>
      </c>
      <c r="DL1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4" s="2">
        <f>IF(AND(RecData[[#This Row],[Turbines ON/OFF]] = "OFF", NOT(OR(RecData[[#This Row],[Junk?]]="YES",RecData[[#This Row],[Gust?]],RecData[[#This Row],[Rain?]:[Min SPL Threshold?]]))),1,0)</f>
        <v>0</v>
      </c>
      <c r="DN144" s="16">
        <f>RecData[[#This Row],[dBA Sum]]</f>
        <v>39.275014549753394</v>
      </c>
      <c r="DO144" s="16">
        <f>RecData[[#This Row],[LAF90.0]]</f>
        <v>41</v>
      </c>
      <c r="DP144" s="55">
        <f>IF(AND(RecData[[#This Row],[Useable TON Data?]],RecData[[#This Row],[Turbines ON/OFF]]="ON"),RecData[[#This Row],[dBA Sum]],"")</f>
        <v>39.275014549753394</v>
      </c>
      <c r="DQ144" s="55" t="str">
        <f>IF(AND(RecData[[#This Row],[Useable Background Data?]],RecData[[#This Row],[Turbines ON/OFF]]="OFF"),RecData[[#This Row],[dBA Sum]],"")</f>
        <v/>
      </c>
      <c r="DR144" s="3">
        <f>IF(OR(RecData[[#This Row],[Useable TON Data?]],RecData[[#This Row],[Useable Background Data?]]),ROUND(RecData[[#This Row],[WSpd_Avg '[m/s']]],0),"")</f>
        <v>1</v>
      </c>
      <c r="DS144" s="85">
        <f>(0.00002)^2*(10^(RecData[[#This Row],[Overall (dBA)]]/10))</f>
        <v>3.3850216157248251E-6</v>
      </c>
    </row>
    <row r="145" spans="1:123" ht="15" x14ac:dyDescent="0.25">
      <c r="A145" s="3" t="s">
        <v>249</v>
      </c>
      <c r="B145" s="12">
        <v>43252.950000000004</v>
      </c>
      <c r="C145" s="3"/>
      <c r="D145" s="3">
        <v>42</v>
      </c>
      <c r="E145" s="3"/>
      <c r="F145" s="3"/>
      <c r="G145" s="3"/>
      <c r="H145" s="3"/>
      <c r="I145" s="3"/>
      <c r="J145" s="3"/>
      <c r="K145" s="3">
        <v>40.6</v>
      </c>
      <c r="L145" s="3"/>
      <c r="M145" s="3"/>
      <c r="N145" s="3">
        <v>129.1</v>
      </c>
      <c r="O145" s="3"/>
      <c r="P145" s="3"/>
      <c r="Q145" s="3">
        <v>1.41</v>
      </c>
      <c r="R145" s="3">
        <v>0.5</v>
      </c>
      <c r="S145" s="3">
        <v>2.2000000000000002</v>
      </c>
      <c r="T145" s="3">
        <v>9.6</v>
      </c>
      <c r="U145" s="3">
        <v>59.6</v>
      </c>
      <c r="V145" s="3">
        <v>975.3</v>
      </c>
      <c r="W145" s="3">
        <v>0</v>
      </c>
      <c r="X145" s="3">
        <v>49.3</v>
      </c>
      <c r="Y145" s="3">
        <v>48.2</v>
      </c>
      <c r="Z145" s="3">
        <v>47.9</v>
      </c>
      <c r="AA145" s="3">
        <v>44.5</v>
      </c>
      <c r="AB145" s="3">
        <v>38.9</v>
      </c>
      <c r="AC145" s="3">
        <v>38.4</v>
      </c>
      <c r="AD145" s="3">
        <v>41.2</v>
      </c>
      <c r="AE145" s="3">
        <v>41.5</v>
      </c>
      <c r="AF145" s="3">
        <v>46.2</v>
      </c>
      <c r="AG145" s="3">
        <v>39.799999999999997</v>
      </c>
      <c r="AH145" s="3">
        <v>36</v>
      </c>
      <c r="AI145" s="3">
        <v>36.5</v>
      </c>
      <c r="AJ145" s="3">
        <v>35</v>
      </c>
      <c r="AK145" s="3">
        <v>33.700000000000003</v>
      </c>
      <c r="AL145" s="3">
        <v>31.9</v>
      </c>
      <c r="AM145" s="3">
        <v>31.9</v>
      </c>
      <c r="AN145" s="3">
        <v>30.8</v>
      </c>
      <c r="AO145" s="3">
        <v>27.9</v>
      </c>
      <c r="AP145" s="3">
        <v>25.7</v>
      </c>
      <c r="AQ145" s="3">
        <v>23.4</v>
      </c>
      <c r="AR145" s="3">
        <v>20</v>
      </c>
      <c r="AS145" s="3">
        <v>32.799999999999997</v>
      </c>
      <c r="AT145" s="3">
        <v>35.5</v>
      </c>
      <c r="AU145" s="3">
        <v>15.2</v>
      </c>
      <c r="AV145" s="3">
        <v>13.7</v>
      </c>
      <c r="AW145" s="3">
        <v>12</v>
      </c>
      <c r="AX145" s="3">
        <v>10.199999999999999</v>
      </c>
      <c r="AY145" s="3">
        <v>9.8000000000000007</v>
      </c>
      <c r="AZ145" s="3">
        <v>0</v>
      </c>
      <c r="BA145" s="3">
        <v>0</v>
      </c>
      <c r="BB145" s="3">
        <v>0</v>
      </c>
      <c r="BC145" s="3">
        <v>41.942357025406963</v>
      </c>
      <c r="BD145" s="3">
        <v>49.357642974593034</v>
      </c>
      <c r="BE145" s="3">
        <v>48.25764297459304</v>
      </c>
      <c r="BF145" s="3">
        <v>46.717642974593034</v>
      </c>
      <c r="BG145" s="3">
        <v>43.64430964125971</v>
      </c>
      <c r="BH145" s="3">
        <v>38.184309641259702</v>
      </c>
      <c r="BI145" s="3">
        <v>38.097642974593029</v>
      </c>
      <c r="BJ145" s="3">
        <v>41.690976307926363</v>
      </c>
      <c r="BK145" s="3">
        <v>41.864309641259709</v>
      </c>
      <c r="BL145" s="3">
        <v>46.137642974593049</v>
      </c>
      <c r="BM145" s="3">
        <v>39.870976307926369</v>
      </c>
      <c r="BN145" s="3">
        <v>36.354309641259704</v>
      </c>
      <c r="BO145" s="3">
        <v>36.220976307926364</v>
      </c>
      <c r="BP145" s="3">
        <v>34.437642974593032</v>
      </c>
      <c r="BQ145" s="3">
        <v>33.554309641259707</v>
      </c>
      <c r="BR145" s="3">
        <v>32.080976307926377</v>
      </c>
      <c r="BS145" s="3">
        <v>31.884309641259705</v>
      </c>
      <c r="BT145" s="3">
        <v>30.980976307926369</v>
      </c>
      <c r="BU145" s="3">
        <v>28.047642974593046</v>
      </c>
      <c r="BV145" s="3">
        <v>25.564309641259698</v>
      </c>
      <c r="BW145" s="3">
        <v>23.797642974593046</v>
      </c>
      <c r="BX145" s="3">
        <v>20.317642974593042</v>
      </c>
      <c r="BY145" s="3">
        <v>32.937642974593032</v>
      </c>
      <c r="BZ145" s="3">
        <v>35.767642974593045</v>
      </c>
      <c r="CA145" s="3">
        <v>15.567642974593028</v>
      </c>
      <c r="CB145" s="3">
        <v>13.504309641259702</v>
      </c>
      <c r="CC145" s="3">
        <v>12.017642974593038</v>
      </c>
      <c r="CD145" s="3">
        <v>9.5243096412597055</v>
      </c>
      <c r="CE145" s="3">
        <v>9.3176429745930349</v>
      </c>
      <c r="CF145" s="3">
        <v>-0.8690236920736325</v>
      </c>
      <c r="CG145" s="3">
        <v>-1.4023570254069639</v>
      </c>
      <c r="CH145" s="3">
        <v>-2.4790236920736319</v>
      </c>
      <c r="CI145" s="13">
        <f>[1]!dbasum(RecData[[#This Row],[20]:[2000]],RecData[[#Headers],[20]:[2000]])</f>
        <v>39.204000583497361</v>
      </c>
      <c r="CJ145" s="14">
        <v>897</v>
      </c>
      <c r="CK145" s="15" t="s">
        <v>249</v>
      </c>
      <c r="CL145" s="15">
        <f>RecData[[#This Row],[Start Time]]</f>
        <v>43252.950000000004</v>
      </c>
      <c r="CM145" s="16">
        <f>RecData[[#This Row],[Wind Speed avg]]</f>
        <v>1.41</v>
      </c>
      <c r="CN145" s="16">
        <f>RecData[[#This Row],[Wind Dir. avg]]</f>
        <v>129.1</v>
      </c>
      <c r="CO145" s="16">
        <f>RecData[[#This Row],[Amb. Humidity]]</f>
        <v>59.6</v>
      </c>
      <c r="CP145" s="16">
        <f>RecData[[#This Row],[Amb. Temperature]]</f>
        <v>9.6</v>
      </c>
      <c r="CQ145" s="17">
        <f>RecData[[#This Row],[Amb. Rain Gauge]]</f>
        <v>0</v>
      </c>
      <c r="CR145" s="4" t="s">
        <v>1</v>
      </c>
      <c r="CS145" s="4" t="s">
        <v>49</v>
      </c>
      <c r="CT145" s="70">
        <v>1609.2358400000001</v>
      </c>
      <c r="CU145" s="70">
        <v>33.000278472900298</v>
      </c>
      <c r="CV145" s="70">
        <v>11.4516992568969</v>
      </c>
      <c r="CW145" s="70">
        <v>15.2178134918212</v>
      </c>
      <c r="CX145" s="97"/>
      <c r="CY145" s="99"/>
      <c r="CZ145" s="2" t="b">
        <f>IF($DP$1="YES",IF(RecData[[#This Row],[Power (kW)]]&gt;=$CR$3, TRUE,FALSE),TRUE)</f>
        <v>1</v>
      </c>
      <c r="DA145" s="16">
        <f>MIN(MOD(180-ABS(ABS($DA$1-RecData[Yaw Angle (°)])-180),360),MOD(180-ABS(ABS($DB$1-RecData[Yaw Angle (°)])-180),360))</f>
        <v>25.470351695212742</v>
      </c>
      <c r="DB145" s="2" t="str">
        <f>IF($DP$2="None","None",IF(RecData[[#This Row],[Relative Wind Direction]]&lt;=45,"DW",IF(RecData[[#This Row],[Relative Wind Direction]]&lt;=135,"CW","UW")))</f>
        <v>DW</v>
      </c>
      <c r="DC145" s="61" t="e">
        <f>IF($CL145-$CL142&gt;1/24,#REF!,IF(SUM($CQ142:$CQ145)&gt;$DS$1,$DS$5,DC146-1))</f>
        <v>#REF!</v>
      </c>
      <c r="DD145" s="61" t="e">
        <f>IF($CL146-$CL145&gt;1/24,#REF!,IF(SUM($CQ142:$CQ145)&gt;$DS$1,$DS$6,DD144-1))</f>
        <v>#REF!</v>
      </c>
      <c r="DE145" s="18" t="b">
        <v>0</v>
      </c>
      <c r="DF145" s="2" t="b">
        <f>IF(OR(RecData[[#This Row],[WSpd_Avg '[m/s']]]-RecData[[#This Row],[Wind Speed min]]&gt;=$DF$3,RecData[[#This Row],[Wind Speed max]]-RecData[[#This Row],[WSpd_Avg '[m/s']]]&gt;=$DF$2),TRUE,FALSE)</f>
        <v>0</v>
      </c>
      <c r="DG145" s="2" t="b">
        <f>RecData[[#This Row],[Temperature '[°C']]]&lt;=-20</f>
        <v>0</v>
      </c>
      <c r="DH145" s="18" t="b">
        <f>NOT(OR(MOD(RecData[[#This Row],[TIMESTAMP]],1)&gt;0.91632,MOD(RecData[[#This Row],[TIMESTAMP]],1)&lt;0.208681))</f>
        <v>0</v>
      </c>
      <c r="DI145" s="18" t="b">
        <f>RecData[[#This Row],[Overall (dBA)]]-RecData[[#This Row],[L90]]&gt;=$DS$4</f>
        <v>0</v>
      </c>
      <c r="DJ145" s="18" t="b">
        <f>RecData[[#This Row],[Overall (dBA)]]&gt;$DS$2</f>
        <v>0</v>
      </c>
      <c r="DK145" s="18" t="b">
        <f>RecData[[#This Row],[Overall (dBA)]]&lt;$DS$3</f>
        <v>0</v>
      </c>
      <c r="DL1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5" s="2">
        <f>IF(AND(RecData[[#This Row],[Turbines ON/OFF]] = "OFF", NOT(OR(RecData[[#This Row],[Junk?]]="YES",RecData[[#This Row],[Gust?]],RecData[[#This Row],[Rain?]:[Min SPL Threshold?]]))),1,0)</f>
        <v>0</v>
      </c>
      <c r="DN145" s="16">
        <f>RecData[[#This Row],[dBA Sum]]</f>
        <v>39.204000583497361</v>
      </c>
      <c r="DO145" s="16">
        <f>RecData[[#This Row],[LAF90.0]]</f>
        <v>40.6</v>
      </c>
      <c r="DP145" s="55">
        <f>IF(AND(RecData[[#This Row],[Useable TON Data?]],RecData[[#This Row],[Turbines ON/OFF]]="ON"),RecData[[#This Row],[dBA Sum]],"")</f>
        <v>39.204000583497361</v>
      </c>
      <c r="DQ145" s="55" t="str">
        <f>IF(AND(RecData[[#This Row],[Useable Background Data?]],RecData[[#This Row],[Turbines ON/OFF]]="OFF"),RecData[[#This Row],[dBA Sum]],"")</f>
        <v/>
      </c>
      <c r="DR145" s="3">
        <f>IF(OR(RecData[[#This Row],[Useable TON Data?]],RecData[[#This Row],[Useable Background Data?]]),ROUND(RecData[[#This Row],[WSpd_Avg '[m/s']]],0),"")</f>
        <v>1</v>
      </c>
      <c r="DS145" s="85">
        <f>(0.00002)^2*(10^(RecData[[#This Row],[Overall (dBA)]]/10))</f>
        <v>3.3301212744161595E-6</v>
      </c>
    </row>
    <row r="146" spans="1:123" ht="15" x14ac:dyDescent="0.25">
      <c r="A146" s="3" t="s">
        <v>249</v>
      </c>
      <c r="B146" s="12">
        <v>43252.950694444451</v>
      </c>
      <c r="C146" s="3"/>
      <c r="D146" s="3">
        <v>42</v>
      </c>
      <c r="E146" s="3"/>
      <c r="F146" s="3"/>
      <c r="G146" s="3"/>
      <c r="H146" s="3"/>
      <c r="I146" s="3"/>
      <c r="J146" s="3"/>
      <c r="K146" s="3">
        <v>40.5</v>
      </c>
      <c r="L146" s="3"/>
      <c r="M146" s="3"/>
      <c r="N146" s="3">
        <v>160.19999999999999</v>
      </c>
      <c r="O146" s="3"/>
      <c r="P146" s="3"/>
      <c r="Q146" s="3">
        <v>0.87</v>
      </c>
      <c r="R146" s="3">
        <v>0.1</v>
      </c>
      <c r="S146" s="3">
        <v>1.6</v>
      </c>
      <c r="T146" s="3">
        <v>9.6</v>
      </c>
      <c r="U146" s="3">
        <v>59.8</v>
      </c>
      <c r="V146" s="3">
        <v>975.3</v>
      </c>
      <c r="W146" s="3">
        <v>0</v>
      </c>
      <c r="X146" s="3">
        <v>49.4</v>
      </c>
      <c r="Y146" s="3">
        <v>48.6</v>
      </c>
      <c r="Z146" s="3">
        <v>47.9</v>
      </c>
      <c r="AA146" s="3">
        <v>44.5</v>
      </c>
      <c r="AB146" s="3">
        <v>40</v>
      </c>
      <c r="AC146" s="3">
        <v>37.1</v>
      </c>
      <c r="AD146" s="3">
        <v>39.299999999999997</v>
      </c>
      <c r="AE146" s="3">
        <v>40.5</v>
      </c>
      <c r="AF146" s="3">
        <v>44.6</v>
      </c>
      <c r="AG146" s="3">
        <v>38.4</v>
      </c>
      <c r="AH146" s="3">
        <v>34.799999999999997</v>
      </c>
      <c r="AI146" s="3">
        <v>35.700000000000003</v>
      </c>
      <c r="AJ146" s="3">
        <v>34.299999999999997</v>
      </c>
      <c r="AK146" s="3">
        <v>32.9</v>
      </c>
      <c r="AL146" s="3">
        <v>31.5</v>
      </c>
      <c r="AM146" s="3">
        <v>31.8</v>
      </c>
      <c r="AN146" s="3">
        <v>30.6</v>
      </c>
      <c r="AO146" s="3">
        <v>27.9</v>
      </c>
      <c r="AP146" s="3">
        <v>26</v>
      </c>
      <c r="AQ146" s="3">
        <v>23.7</v>
      </c>
      <c r="AR146" s="3">
        <v>20.7</v>
      </c>
      <c r="AS146" s="3">
        <v>33.5</v>
      </c>
      <c r="AT146" s="3">
        <v>36</v>
      </c>
      <c r="AU146" s="3">
        <v>14.3</v>
      </c>
      <c r="AV146" s="3">
        <v>12.4</v>
      </c>
      <c r="AW146" s="3">
        <v>11.1</v>
      </c>
      <c r="AX146" s="3">
        <v>9.6999999999999993</v>
      </c>
      <c r="AY146" s="3">
        <v>9.5</v>
      </c>
      <c r="AZ146" s="3">
        <v>0</v>
      </c>
      <c r="BA146" s="3">
        <v>0</v>
      </c>
      <c r="BB146" s="3">
        <v>0</v>
      </c>
      <c r="BC146" s="3">
        <v>41.949960649807011</v>
      </c>
      <c r="BD146" s="3">
        <v>49.450039350192995</v>
      </c>
      <c r="BE146" s="3">
        <v>48.650039350192984</v>
      </c>
      <c r="BF146" s="3">
        <v>46.710039350192986</v>
      </c>
      <c r="BG146" s="3">
        <v>43.636706016859662</v>
      </c>
      <c r="BH146" s="3">
        <v>39.276706016859649</v>
      </c>
      <c r="BI146" s="3">
        <v>36.790039350192998</v>
      </c>
      <c r="BJ146" s="3">
        <v>39.783372683526309</v>
      </c>
      <c r="BK146" s="3">
        <v>40.856706016859661</v>
      </c>
      <c r="BL146" s="3">
        <v>44.530039350192993</v>
      </c>
      <c r="BM146" s="3">
        <v>38.463372683526316</v>
      </c>
      <c r="BN146" s="3">
        <v>35.146706016859653</v>
      </c>
      <c r="BO146" s="3">
        <v>35.413372683526333</v>
      </c>
      <c r="BP146" s="3">
        <v>33.730039350192996</v>
      </c>
      <c r="BQ146" s="3">
        <v>32.746706016859648</v>
      </c>
      <c r="BR146" s="3">
        <v>31.673372683526324</v>
      </c>
      <c r="BS146" s="3">
        <v>31.776706016859649</v>
      </c>
      <c r="BT146" s="3">
        <v>30.773372683526318</v>
      </c>
      <c r="BU146" s="3">
        <v>28.040039350192998</v>
      </c>
      <c r="BV146" s="3">
        <v>25.856706016859661</v>
      </c>
      <c r="BW146" s="3">
        <v>24.090039350192995</v>
      </c>
      <c r="BX146" s="3">
        <v>21.010039350192997</v>
      </c>
      <c r="BY146" s="3">
        <v>33.630039350192988</v>
      </c>
      <c r="BZ146" s="3">
        <v>36.260039350192997</v>
      </c>
      <c r="CA146" s="3">
        <v>14.660039350192982</v>
      </c>
      <c r="CB146" s="3">
        <v>12.19670601685965</v>
      </c>
      <c r="CC146" s="3">
        <v>11.110039350192991</v>
      </c>
      <c r="CD146" s="3">
        <v>9.0167060168596578</v>
      </c>
      <c r="CE146" s="3">
        <v>9.0100393501929901</v>
      </c>
      <c r="CF146" s="3">
        <v>-0.8766273164736802</v>
      </c>
      <c r="CG146" s="3">
        <v>-1.4099606498070116</v>
      </c>
      <c r="CH146" s="3">
        <v>-2.4866273164736796</v>
      </c>
      <c r="CI146" s="13">
        <f>[1]!dbasum(RecData[[#This Row],[20]:[2000]],RecData[[#Headers],[20]:[2000]])</f>
        <v>38.664332171087558</v>
      </c>
      <c r="CJ146" s="14">
        <v>898</v>
      </c>
      <c r="CK146" s="15" t="s">
        <v>249</v>
      </c>
      <c r="CL146" s="15">
        <f>RecData[[#This Row],[Start Time]]</f>
        <v>43252.950694444451</v>
      </c>
      <c r="CM146" s="16">
        <f>RecData[[#This Row],[Wind Speed avg]]</f>
        <v>0.87</v>
      </c>
      <c r="CN146" s="16">
        <f>RecData[[#This Row],[Wind Dir. avg]]</f>
        <v>160.19999999999999</v>
      </c>
      <c r="CO146" s="16">
        <f>RecData[[#This Row],[Amb. Humidity]]</f>
        <v>59.8</v>
      </c>
      <c r="CP146" s="16">
        <f>RecData[[#This Row],[Amb. Temperature]]</f>
        <v>9.6</v>
      </c>
      <c r="CQ146" s="17">
        <f>RecData[[#This Row],[Amb. Rain Gauge]]</f>
        <v>0</v>
      </c>
      <c r="CR146" s="4" t="s">
        <v>1</v>
      </c>
      <c r="CS146" s="4" t="s">
        <v>49</v>
      </c>
      <c r="CT146" s="70">
        <v>1609.2358400000001</v>
      </c>
      <c r="CU146" s="70">
        <v>33.000278472900298</v>
      </c>
      <c r="CV146" s="70">
        <v>11.4516992568969</v>
      </c>
      <c r="CW146" s="70">
        <v>15.2178134918212</v>
      </c>
      <c r="CX146" s="97"/>
      <c r="CY146" s="99"/>
      <c r="CZ146" s="2" t="b">
        <f>IF($DP$1="YES",IF(RecData[[#This Row],[Power (kW)]]&gt;=$CR$3, TRUE,FALSE),TRUE)</f>
        <v>1</v>
      </c>
      <c r="DA146" s="16">
        <f>MIN(MOD(180-ABS(ABS($DA$1-RecData[Yaw Angle (°)])-180),360),MOD(180-ABS(ABS($DB$1-RecData[Yaw Angle (°)])-180),360))</f>
        <v>25.470351695212742</v>
      </c>
      <c r="DB146" s="2" t="str">
        <f>IF($DP$2="None","None",IF(RecData[[#This Row],[Relative Wind Direction]]&lt;=45,"DW",IF(RecData[[#This Row],[Relative Wind Direction]]&lt;=135,"CW","UW")))</f>
        <v>DW</v>
      </c>
      <c r="DC146" s="61" t="e">
        <f>IF($CL146-#REF!&gt;1/24,#REF!,IF(SUM($CQ143:$CQ146)&gt;$DS$1,$DS$5,DC147-1))</f>
        <v>#REF!</v>
      </c>
      <c r="DD146" s="61" t="e">
        <f>IF($CL147-$CL146&gt;1/24,#REF!,IF(SUM($CQ143:$CQ146)&gt;$DS$1,$DS$6,DD145-1))</f>
        <v>#REF!</v>
      </c>
      <c r="DE146" s="18" t="b">
        <v>0</v>
      </c>
      <c r="DF146" s="2" t="b">
        <f>IF(OR(RecData[[#This Row],[WSpd_Avg '[m/s']]]-RecData[[#This Row],[Wind Speed min]]&gt;=$DF$3,RecData[[#This Row],[Wind Speed max]]-RecData[[#This Row],[WSpd_Avg '[m/s']]]&gt;=$DF$2),TRUE,FALSE)</f>
        <v>0</v>
      </c>
      <c r="DG146" s="2" t="b">
        <f>RecData[[#This Row],[Temperature '[°C']]]&lt;=-20</f>
        <v>0</v>
      </c>
      <c r="DH146" s="18" t="b">
        <f>NOT(OR(MOD(RecData[[#This Row],[TIMESTAMP]],1)&gt;0.91632,MOD(RecData[[#This Row],[TIMESTAMP]],1)&lt;0.208681))</f>
        <v>0</v>
      </c>
      <c r="DI146" s="18" t="b">
        <f>RecData[[#This Row],[Overall (dBA)]]-RecData[[#This Row],[L90]]&gt;=$DS$4</f>
        <v>0</v>
      </c>
      <c r="DJ146" s="18" t="b">
        <f>RecData[[#This Row],[Overall (dBA)]]&gt;$DS$2</f>
        <v>0</v>
      </c>
      <c r="DK146" s="18" t="b">
        <f>RecData[[#This Row],[Overall (dBA)]]&lt;$DS$3</f>
        <v>0</v>
      </c>
      <c r="DL1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6" s="2">
        <f>IF(AND(RecData[[#This Row],[Turbines ON/OFF]] = "OFF", NOT(OR(RecData[[#This Row],[Junk?]]="YES",RecData[[#This Row],[Gust?]],RecData[[#This Row],[Rain?]:[Min SPL Threshold?]]))),1,0)</f>
        <v>0</v>
      </c>
      <c r="DN146" s="16">
        <f>RecData[[#This Row],[dBA Sum]]</f>
        <v>38.664332171087558</v>
      </c>
      <c r="DO146" s="16">
        <f>RecData[[#This Row],[LAF90.0]]</f>
        <v>40.5</v>
      </c>
      <c r="DP146" s="55">
        <f>IF(AND(RecData[[#This Row],[Useable TON Data?]],RecData[[#This Row],[Turbines ON/OFF]]="ON"),RecData[[#This Row],[dBA Sum]],"")</f>
        <v>38.664332171087558</v>
      </c>
      <c r="DQ146" s="55" t="str">
        <f>IF(AND(RecData[[#This Row],[Useable Background Data?]],RecData[[#This Row],[Turbines ON/OFF]]="OFF"),RecData[[#This Row],[dBA Sum]],"")</f>
        <v/>
      </c>
      <c r="DR146" s="3">
        <f>IF(OR(RecData[[#This Row],[Useable TON Data?]],RecData[[#This Row],[Useable Background Data?]]),ROUND(RecData[[#This Row],[WSpd_Avg '[m/s']]],0),"")</f>
        <v>1</v>
      </c>
      <c r="DS146" s="85">
        <f>(0.00002)^2*(10^(RecData[[#This Row],[Overall (dBA)]]/10))</f>
        <v>2.9409877017738934E-6</v>
      </c>
    </row>
    <row r="147" spans="1:123" ht="15" x14ac:dyDescent="0.25">
      <c r="A147" s="3" t="s">
        <v>249</v>
      </c>
      <c r="B147" s="12">
        <v>43252.951388888891</v>
      </c>
      <c r="C147" s="3"/>
      <c r="D147" s="3">
        <v>42.9</v>
      </c>
      <c r="E147" s="3"/>
      <c r="F147" s="3"/>
      <c r="G147" s="3"/>
      <c r="H147" s="3"/>
      <c r="I147" s="3"/>
      <c r="J147" s="3"/>
      <c r="K147" s="3">
        <v>41.7</v>
      </c>
      <c r="L147" s="3"/>
      <c r="M147" s="3"/>
      <c r="N147" s="3">
        <v>106.3</v>
      </c>
      <c r="O147" s="3"/>
      <c r="P147" s="3"/>
      <c r="Q147" s="3">
        <v>1.28</v>
      </c>
      <c r="R147" s="3">
        <v>0.2</v>
      </c>
      <c r="S147" s="3">
        <v>2.7</v>
      </c>
      <c r="T147" s="3">
        <v>9.5</v>
      </c>
      <c r="U147" s="3">
        <v>60</v>
      </c>
      <c r="V147" s="3">
        <v>975.3</v>
      </c>
      <c r="W147" s="3">
        <v>0</v>
      </c>
      <c r="X147" s="3">
        <v>49.1</v>
      </c>
      <c r="Y147" s="3">
        <v>49.5</v>
      </c>
      <c r="Z147" s="3">
        <v>48.8</v>
      </c>
      <c r="AA147" s="3">
        <v>44.8</v>
      </c>
      <c r="AB147" s="3">
        <v>40</v>
      </c>
      <c r="AC147" s="3">
        <v>38.299999999999997</v>
      </c>
      <c r="AD147" s="3">
        <v>41.9</v>
      </c>
      <c r="AE147" s="3">
        <v>42.9</v>
      </c>
      <c r="AF147" s="3">
        <v>45.4</v>
      </c>
      <c r="AG147" s="3">
        <v>38.9</v>
      </c>
      <c r="AH147" s="3">
        <v>36.9</v>
      </c>
      <c r="AI147" s="3">
        <v>36.5</v>
      </c>
      <c r="AJ147" s="3">
        <v>35.5</v>
      </c>
      <c r="AK147" s="3">
        <v>33.9</v>
      </c>
      <c r="AL147" s="3">
        <v>32.4</v>
      </c>
      <c r="AM147" s="3">
        <v>32.9</v>
      </c>
      <c r="AN147" s="3">
        <v>31.6</v>
      </c>
      <c r="AO147" s="3">
        <v>29</v>
      </c>
      <c r="AP147" s="3">
        <v>27.3</v>
      </c>
      <c r="AQ147" s="3">
        <v>25.4</v>
      </c>
      <c r="AR147" s="3">
        <v>23.4</v>
      </c>
      <c r="AS147" s="3">
        <v>34.6</v>
      </c>
      <c r="AT147" s="3">
        <v>36.299999999999997</v>
      </c>
      <c r="AU147" s="3">
        <v>20.6</v>
      </c>
      <c r="AV147" s="3">
        <v>20.2</v>
      </c>
      <c r="AW147" s="3">
        <v>18.7</v>
      </c>
      <c r="AX147" s="3">
        <v>14.9</v>
      </c>
      <c r="AY147" s="3">
        <v>13.1</v>
      </c>
      <c r="AZ147" s="3">
        <v>0</v>
      </c>
      <c r="BA147" s="3">
        <v>0</v>
      </c>
      <c r="BB147" s="3">
        <v>0</v>
      </c>
      <c r="BC147" s="3">
        <v>42.884170352676527</v>
      </c>
      <c r="BD147" s="3">
        <v>49.115829647323473</v>
      </c>
      <c r="BE147" s="3">
        <v>49.515829647323478</v>
      </c>
      <c r="BF147" s="3">
        <v>47.575829647323467</v>
      </c>
      <c r="BG147" s="3">
        <v>43.902496313990135</v>
      </c>
      <c r="BH147" s="3">
        <v>39.242496313990138</v>
      </c>
      <c r="BI147" s="3">
        <v>37.955829647323476</v>
      </c>
      <c r="BJ147" s="3">
        <v>42.349162980656793</v>
      </c>
      <c r="BK147" s="3">
        <v>43.222496313990128</v>
      </c>
      <c r="BL147" s="3">
        <v>45.29582964732348</v>
      </c>
      <c r="BM147" s="3">
        <v>38.929162980656805</v>
      </c>
      <c r="BN147" s="3">
        <v>37.212496313990137</v>
      </c>
      <c r="BO147" s="3">
        <v>36.179162980656805</v>
      </c>
      <c r="BP147" s="3">
        <v>34.895829647323474</v>
      </c>
      <c r="BQ147" s="3">
        <v>33.712496313990137</v>
      </c>
      <c r="BR147" s="3">
        <v>32.539162980656805</v>
      </c>
      <c r="BS147" s="3">
        <v>32.842496313990132</v>
      </c>
      <c r="BT147" s="3">
        <v>31.739162980656808</v>
      </c>
      <c r="BU147" s="3">
        <v>29.105829647323482</v>
      </c>
      <c r="BV147" s="3">
        <v>27.122496313990133</v>
      </c>
      <c r="BW147" s="3">
        <v>25.755829647323473</v>
      </c>
      <c r="BX147" s="3">
        <v>23.675829647323475</v>
      </c>
      <c r="BY147" s="3">
        <v>34.695829647323471</v>
      </c>
      <c r="BZ147" s="3">
        <v>36.525829647323469</v>
      </c>
      <c r="CA147" s="3">
        <v>20.925829647323461</v>
      </c>
      <c r="CB147" s="3">
        <v>19.962496313990137</v>
      </c>
      <c r="CC147" s="3">
        <v>18.675829647323468</v>
      </c>
      <c r="CD147" s="3">
        <v>14.182496313990143</v>
      </c>
      <c r="CE147" s="3">
        <v>12.575829647323467</v>
      </c>
      <c r="CF147" s="3">
        <v>-0.91083701934319805</v>
      </c>
      <c r="CG147" s="3">
        <v>-1.4441703526765295</v>
      </c>
      <c r="CH147" s="3">
        <v>-2.5208370193431975</v>
      </c>
      <c r="CI147" s="13">
        <f>[1]!dbasum(RecData[[#This Row],[20]:[2000]],RecData[[#Headers],[20]:[2000]])</f>
        <v>39.792753570132518</v>
      </c>
      <c r="CJ147" s="14">
        <v>899</v>
      </c>
      <c r="CK147" s="15" t="s">
        <v>249</v>
      </c>
      <c r="CL147" s="15">
        <f>RecData[[#This Row],[Start Time]]</f>
        <v>43252.951388888891</v>
      </c>
      <c r="CM147" s="16">
        <f>RecData[[#This Row],[Wind Speed avg]]</f>
        <v>1.28</v>
      </c>
      <c r="CN147" s="16">
        <f>RecData[[#This Row],[Wind Dir. avg]]</f>
        <v>106.3</v>
      </c>
      <c r="CO147" s="16">
        <f>RecData[[#This Row],[Amb. Humidity]]</f>
        <v>60</v>
      </c>
      <c r="CP147" s="16">
        <f>RecData[[#This Row],[Amb. Temperature]]</f>
        <v>9.5</v>
      </c>
      <c r="CQ147" s="17">
        <f>RecData[[#This Row],[Amb. Rain Gauge]]</f>
        <v>0</v>
      </c>
      <c r="CR147" s="4" t="s">
        <v>1</v>
      </c>
      <c r="CS147" s="4" t="s">
        <v>49</v>
      </c>
      <c r="CT147" s="70">
        <v>1609.2358400000001</v>
      </c>
      <c r="CU147" s="70">
        <v>33.000278472900298</v>
      </c>
      <c r="CV147" s="70">
        <v>11.4516992568969</v>
      </c>
      <c r="CW147" s="70">
        <v>15.2178134918212</v>
      </c>
      <c r="CX147" s="97"/>
      <c r="CY147" s="99"/>
      <c r="CZ147" s="2" t="b">
        <f>IF($DP$1="YES",IF(RecData[[#This Row],[Power (kW)]]&gt;=$CR$3, TRUE,FALSE),TRUE)</f>
        <v>1</v>
      </c>
      <c r="DA147" s="16">
        <f>MIN(MOD(180-ABS(ABS($DA$1-RecData[Yaw Angle (°)])-180),360),MOD(180-ABS(ABS($DB$1-RecData[Yaw Angle (°)])-180),360))</f>
        <v>25.470351695212742</v>
      </c>
      <c r="DB147" s="2" t="str">
        <f>IF($DP$2="None","None",IF(RecData[[#This Row],[Relative Wind Direction]]&lt;=45,"DW",IF(RecData[[#This Row],[Relative Wind Direction]]&lt;=135,"CW","UW")))</f>
        <v>DW</v>
      </c>
      <c r="DC147" s="61" t="e">
        <f>IF($CL147-$CL143&gt;1/24,#REF!,IF(SUM($CQ143:$CQ147)&gt;$DS$1,$DS$5,DC148-1))</f>
        <v>#REF!</v>
      </c>
      <c r="DD147" s="61" t="e">
        <f>IF($CL148-$CL147&gt;1/24,#REF!,IF(SUM($CQ143:$CQ147)&gt;$DS$1,$DS$6,DD146-1))</f>
        <v>#REF!</v>
      </c>
      <c r="DE147" s="18" t="b">
        <v>0</v>
      </c>
      <c r="DF147" s="2" t="b">
        <f>IF(OR(RecData[[#This Row],[WSpd_Avg '[m/s']]]-RecData[[#This Row],[Wind Speed min]]&gt;=$DF$3,RecData[[#This Row],[Wind Speed max]]-RecData[[#This Row],[WSpd_Avg '[m/s']]]&gt;=$DF$2),TRUE,FALSE)</f>
        <v>0</v>
      </c>
      <c r="DG147" s="2" t="b">
        <f>RecData[[#This Row],[Temperature '[°C']]]&lt;=-20</f>
        <v>0</v>
      </c>
      <c r="DH147" s="18" t="b">
        <f>NOT(OR(MOD(RecData[[#This Row],[TIMESTAMP]],1)&gt;0.91632,MOD(RecData[[#This Row],[TIMESTAMP]],1)&lt;0.208681))</f>
        <v>0</v>
      </c>
      <c r="DI147" s="18" t="b">
        <f>RecData[[#This Row],[Overall (dBA)]]-RecData[[#This Row],[L90]]&gt;=$DS$4</f>
        <v>0</v>
      </c>
      <c r="DJ147" s="18" t="b">
        <f>RecData[[#This Row],[Overall (dBA)]]&gt;$DS$2</f>
        <v>0</v>
      </c>
      <c r="DK147" s="18" t="b">
        <f>RecData[[#This Row],[Overall (dBA)]]&lt;$DS$3</f>
        <v>0</v>
      </c>
      <c r="DL1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7" s="2">
        <f>IF(AND(RecData[[#This Row],[Turbines ON/OFF]] = "OFF", NOT(OR(RecData[[#This Row],[Junk?]]="YES",RecData[[#This Row],[Gust?]],RecData[[#This Row],[Rain?]:[Min SPL Threshold?]]))),1,0)</f>
        <v>0</v>
      </c>
      <c r="DN147" s="16">
        <f>RecData[[#This Row],[dBA Sum]]</f>
        <v>39.792753570132518</v>
      </c>
      <c r="DO147" s="16">
        <f>RecData[[#This Row],[LAF90.0]]</f>
        <v>41.7</v>
      </c>
      <c r="DP147" s="55">
        <f>IF(AND(RecData[[#This Row],[Useable TON Data?]],RecData[[#This Row],[Turbines ON/OFF]]="ON"),RecData[[#This Row],[dBA Sum]],"")</f>
        <v>39.792753570132518</v>
      </c>
      <c r="DQ147" s="55" t="str">
        <f>IF(AND(RecData[[#This Row],[Useable Background Data?]],RecData[[#This Row],[Turbines ON/OFF]]="OFF"),RecData[[#This Row],[dBA Sum]],"")</f>
        <v/>
      </c>
      <c r="DR147" s="3">
        <f>IF(OR(RecData[[#This Row],[Useable TON Data?]],RecData[[#This Row],[Useable Background Data?]]),ROUND(RecData[[#This Row],[WSpd_Avg '[m/s']]],0),"")</f>
        <v>1</v>
      </c>
      <c r="DS147" s="85">
        <f>(0.00002)^2*(10^(RecData[[#This Row],[Overall (dBA)]]/10))</f>
        <v>3.8136018389660414E-6</v>
      </c>
    </row>
    <row r="148" spans="1:123" ht="15" x14ac:dyDescent="0.25">
      <c r="A148" s="3" t="s">
        <v>249</v>
      </c>
      <c r="B148" s="12">
        <v>43252.952083333337</v>
      </c>
      <c r="C148" s="3"/>
      <c r="D148" s="3">
        <v>42</v>
      </c>
      <c r="E148" s="3"/>
      <c r="F148" s="3"/>
      <c r="G148" s="3"/>
      <c r="H148" s="3"/>
      <c r="I148" s="3"/>
      <c r="J148" s="3"/>
      <c r="K148" s="3">
        <v>40.6</v>
      </c>
      <c r="L148" s="3"/>
      <c r="M148" s="3"/>
      <c r="N148" s="3">
        <v>235.2</v>
      </c>
      <c r="O148" s="3"/>
      <c r="P148" s="3"/>
      <c r="Q148" s="3">
        <v>1.1100000000000001</v>
      </c>
      <c r="R148" s="3">
        <v>0.4</v>
      </c>
      <c r="S148" s="3">
        <v>2</v>
      </c>
      <c r="T148" s="3">
        <v>9.5</v>
      </c>
      <c r="U148" s="3">
        <v>59.8</v>
      </c>
      <c r="V148" s="3">
        <v>975.3</v>
      </c>
      <c r="W148" s="3">
        <v>0</v>
      </c>
      <c r="X148" s="3">
        <v>49.6</v>
      </c>
      <c r="Y148" s="3">
        <v>49.1</v>
      </c>
      <c r="Z148" s="3">
        <v>48.8</v>
      </c>
      <c r="AA148" s="3">
        <v>45.2</v>
      </c>
      <c r="AB148" s="3">
        <v>41</v>
      </c>
      <c r="AC148" s="3">
        <v>39</v>
      </c>
      <c r="AD148" s="3">
        <v>40.4</v>
      </c>
      <c r="AE148" s="3">
        <v>41.4</v>
      </c>
      <c r="AF148" s="3">
        <v>45</v>
      </c>
      <c r="AG148" s="3">
        <v>40</v>
      </c>
      <c r="AH148" s="3">
        <v>36.200000000000003</v>
      </c>
      <c r="AI148" s="3">
        <v>36.5</v>
      </c>
      <c r="AJ148" s="3">
        <v>35.1</v>
      </c>
      <c r="AK148" s="3">
        <v>33.6</v>
      </c>
      <c r="AL148" s="3">
        <v>32</v>
      </c>
      <c r="AM148" s="3">
        <v>32.1</v>
      </c>
      <c r="AN148" s="3">
        <v>31.1</v>
      </c>
      <c r="AO148" s="3">
        <v>28</v>
      </c>
      <c r="AP148" s="3">
        <v>26</v>
      </c>
      <c r="AQ148" s="3">
        <v>23.9</v>
      </c>
      <c r="AR148" s="3">
        <v>20.399999999999999</v>
      </c>
      <c r="AS148" s="3">
        <v>32.9</v>
      </c>
      <c r="AT148" s="3">
        <v>35.5</v>
      </c>
      <c r="AU148" s="3">
        <v>12.9</v>
      </c>
      <c r="AV148" s="3">
        <v>10.7</v>
      </c>
      <c r="AW148" s="3">
        <v>10.1</v>
      </c>
      <c r="AX148" s="3">
        <v>9.3000000000000007</v>
      </c>
      <c r="AY148" s="3">
        <v>9.4</v>
      </c>
      <c r="AZ148" s="3">
        <v>0</v>
      </c>
      <c r="BA148" s="3">
        <v>0</v>
      </c>
      <c r="BB148" s="3">
        <v>0</v>
      </c>
      <c r="BC148" s="3">
        <v>41.952208012595364</v>
      </c>
      <c r="BD148" s="3">
        <v>49.647791987404631</v>
      </c>
      <c r="BE148" s="3">
        <v>49.147791987404631</v>
      </c>
      <c r="BF148" s="3">
        <v>47.607791987404639</v>
      </c>
      <c r="BG148" s="3">
        <v>44.334458654071298</v>
      </c>
      <c r="BH148" s="3">
        <v>40.274458654071296</v>
      </c>
      <c r="BI148" s="3">
        <v>38.687791987404637</v>
      </c>
      <c r="BJ148" s="3">
        <v>40.881125320737965</v>
      </c>
      <c r="BK148" s="3">
        <v>41.7544586540713</v>
      </c>
      <c r="BL148" s="3">
        <v>44.927791987404632</v>
      </c>
      <c r="BM148" s="3">
        <v>40.061125320737972</v>
      </c>
      <c r="BN148" s="3">
        <v>36.544458654071306</v>
      </c>
      <c r="BO148" s="3">
        <v>36.211125320737963</v>
      </c>
      <c r="BP148" s="3">
        <v>34.52779198740464</v>
      </c>
      <c r="BQ148" s="3">
        <v>33.444458654071298</v>
      </c>
      <c r="BR148" s="3">
        <v>32.171125320737971</v>
      </c>
      <c r="BS148" s="3">
        <v>32.074458654071307</v>
      </c>
      <c r="BT148" s="3">
        <v>31.271125320737966</v>
      </c>
      <c r="BU148" s="3">
        <v>28.13779198740464</v>
      </c>
      <c r="BV148" s="3">
        <v>25.854458654071308</v>
      </c>
      <c r="BW148" s="3">
        <v>24.287791987404646</v>
      </c>
      <c r="BX148" s="3">
        <v>20.70779198740464</v>
      </c>
      <c r="BY148" s="3">
        <v>33.027791987404626</v>
      </c>
      <c r="BZ148" s="3">
        <v>35.757791987404644</v>
      </c>
      <c r="CA148" s="3">
        <v>13.25779198740463</v>
      </c>
      <c r="CB148" s="3">
        <v>10.494458654071302</v>
      </c>
      <c r="CC148" s="3">
        <v>10.107791987404639</v>
      </c>
      <c r="CD148" s="3">
        <v>8.6144586540713064</v>
      </c>
      <c r="CE148" s="3">
        <v>8.9077919874046358</v>
      </c>
      <c r="CF148" s="3">
        <v>-0.878874679262033</v>
      </c>
      <c r="CG148" s="3">
        <v>-1.4122080125953644</v>
      </c>
      <c r="CH148" s="3">
        <v>-2.4888746792620324</v>
      </c>
      <c r="CI148" s="13">
        <f>[1]!dbasum(RecData[[#This Row],[20]:[2000]],RecData[[#Headers],[20]:[2000]])</f>
        <v>39.205351475368403</v>
      </c>
      <c r="CJ148" s="14">
        <v>900</v>
      </c>
      <c r="CK148" s="15" t="s">
        <v>249</v>
      </c>
      <c r="CL148" s="15">
        <f>RecData[[#This Row],[Start Time]]</f>
        <v>43252.952083333337</v>
      </c>
      <c r="CM148" s="16">
        <f>RecData[[#This Row],[Wind Speed avg]]</f>
        <v>1.1100000000000001</v>
      </c>
      <c r="CN148" s="16">
        <f>RecData[[#This Row],[Wind Dir. avg]]</f>
        <v>235.2</v>
      </c>
      <c r="CO148" s="16">
        <f>RecData[[#This Row],[Amb. Humidity]]</f>
        <v>59.8</v>
      </c>
      <c r="CP148" s="16">
        <f>RecData[[#This Row],[Amb. Temperature]]</f>
        <v>9.5</v>
      </c>
      <c r="CQ148" s="17">
        <f>RecData[[#This Row],[Amb. Rain Gauge]]</f>
        <v>0</v>
      </c>
      <c r="CR148" s="4" t="s">
        <v>1</v>
      </c>
      <c r="CS148" s="4" t="s">
        <v>49</v>
      </c>
      <c r="CT148" s="70">
        <v>1586.2745359999999</v>
      </c>
      <c r="CU148" s="70">
        <v>33.000282287597599</v>
      </c>
      <c r="CV148" s="70">
        <v>11.3119049072265</v>
      </c>
      <c r="CW148" s="70">
        <v>15.131319999694799</v>
      </c>
      <c r="CX148" s="97"/>
      <c r="CY148" s="99"/>
      <c r="CZ148" s="2" t="b">
        <f>IF($DP$1="YES",IF(RecData[[#This Row],[Power (kW)]]&gt;=$CR$3, TRUE,FALSE),TRUE)</f>
        <v>1</v>
      </c>
      <c r="DA148" s="16">
        <f>MIN(MOD(180-ABS(ABS($DA$1-RecData[Yaw Angle (°)])-180),360),MOD(180-ABS(ABS($DB$1-RecData[Yaw Angle (°)])-180),360))</f>
        <v>25.470355509910064</v>
      </c>
      <c r="DB148" s="2" t="str">
        <f>IF($DP$2="None","None",IF(RecData[[#This Row],[Relative Wind Direction]]&lt;=45,"DW",IF(RecData[[#This Row],[Relative Wind Direction]]&lt;=135,"CW","UW")))</f>
        <v>DW</v>
      </c>
      <c r="DC148" s="61" t="e">
        <f>IF($CL148-$CL144&gt;1/24,#REF!,IF(SUM($CQ144:$CQ148)&gt;$DS$1,$DS$5,#REF!-1))</f>
        <v>#REF!</v>
      </c>
      <c r="DD148" s="61" t="e">
        <f>IF(#REF!-$CL148&gt;1/24,#REF!,IF(SUM($CQ144:$CQ148)&gt;$DS$1,$DS$6,DD147-1))</f>
        <v>#REF!</v>
      </c>
      <c r="DE148" s="18" t="b">
        <v>0</v>
      </c>
      <c r="DF148" s="2" t="b">
        <f>IF(OR(RecData[[#This Row],[WSpd_Avg '[m/s']]]-RecData[[#This Row],[Wind Speed min]]&gt;=$DF$3,RecData[[#This Row],[Wind Speed max]]-RecData[[#This Row],[WSpd_Avg '[m/s']]]&gt;=$DF$2),TRUE,FALSE)</f>
        <v>0</v>
      </c>
      <c r="DG148" s="2" t="b">
        <f>RecData[[#This Row],[Temperature '[°C']]]&lt;=-20</f>
        <v>0</v>
      </c>
      <c r="DH148" s="18" t="b">
        <f>NOT(OR(MOD(RecData[[#This Row],[TIMESTAMP]],1)&gt;0.91632,MOD(RecData[[#This Row],[TIMESTAMP]],1)&lt;0.208681))</f>
        <v>0</v>
      </c>
      <c r="DI148" s="18" t="b">
        <f>RecData[[#This Row],[Overall (dBA)]]-RecData[[#This Row],[L90]]&gt;=$DS$4</f>
        <v>0</v>
      </c>
      <c r="DJ148" s="18" t="b">
        <f>RecData[[#This Row],[Overall (dBA)]]&gt;$DS$2</f>
        <v>0</v>
      </c>
      <c r="DK148" s="18" t="b">
        <f>RecData[[#This Row],[Overall (dBA)]]&lt;$DS$3</f>
        <v>0</v>
      </c>
      <c r="DL1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8" s="2">
        <f>IF(AND(RecData[[#This Row],[Turbines ON/OFF]] = "OFF", NOT(OR(RecData[[#This Row],[Junk?]]="YES",RecData[[#This Row],[Gust?]],RecData[[#This Row],[Rain?]:[Min SPL Threshold?]]))),1,0)</f>
        <v>0</v>
      </c>
      <c r="DN148" s="16">
        <f>RecData[[#This Row],[dBA Sum]]</f>
        <v>39.205351475368403</v>
      </c>
      <c r="DO148" s="16">
        <f>RecData[[#This Row],[LAF90.0]]</f>
        <v>40.6</v>
      </c>
      <c r="DP148" s="55">
        <f>IF(AND(RecData[[#This Row],[Useable TON Data?]],RecData[[#This Row],[Turbines ON/OFF]]="ON"),RecData[[#This Row],[dBA Sum]],"")</f>
        <v>39.205351475368403</v>
      </c>
      <c r="DQ148" s="55" t="str">
        <f>IF(AND(RecData[[#This Row],[Useable Background Data?]],RecData[[#This Row],[Turbines ON/OFF]]="OFF"),RecData[[#This Row],[dBA Sum]],"")</f>
        <v/>
      </c>
      <c r="DR148" s="3">
        <f>IF(OR(RecData[[#This Row],[Useable TON Data?]],RecData[[#This Row],[Useable Background Data?]]),ROUND(RecData[[#This Row],[WSpd_Avg '[m/s']]],0),"")</f>
        <v>1</v>
      </c>
      <c r="DS148" s="85">
        <f>(0.00002)^2*(10^(RecData[[#This Row],[Overall (dBA)]]/10))</f>
        <v>3.3311572842387625E-6</v>
      </c>
    </row>
    <row r="149" spans="1:123" ht="15" x14ac:dyDescent="0.25">
      <c r="A149" s="3" t="s">
        <v>249</v>
      </c>
      <c r="B149" s="12">
        <v>43252.953472222231</v>
      </c>
      <c r="C149" s="3"/>
      <c r="D149" s="3">
        <v>42.7</v>
      </c>
      <c r="E149" s="3"/>
      <c r="F149" s="3"/>
      <c r="G149" s="3"/>
      <c r="H149" s="3"/>
      <c r="I149" s="3"/>
      <c r="J149" s="3"/>
      <c r="K149" s="3">
        <v>41.5</v>
      </c>
      <c r="L149" s="3"/>
      <c r="M149" s="3"/>
      <c r="N149" s="3">
        <v>162.9</v>
      </c>
      <c r="O149" s="3"/>
      <c r="P149" s="3"/>
      <c r="Q149" s="3">
        <v>1.21</v>
      </c>
      <c r="R149" s="3">
        <v>0.2</v>
      </c>
      <c r="S149" s="3">
        <v>2.1</v>
      </c>
      <c r="T149" s="3">
        <v>9.5</v>
      </c>
      <c r="U149" s="3">
        <v>59.4</v>
      </c>
      <c r="V149" s="3">
        <v>975.3</v>
      </c>
      <c r="W149" s="3">
        <v>0</v>
      </c>
      <c r="X149" s="3">
        <v>50.6</v>
      </c>
      <c r="Y149" s="3">
        <v>49</v>
      </c>
      <c r="Z149" s="3">
        <v>48.7</v>
      </c>
      <c r="AA149" s="3">
        <v>44.6</v>
      </c>
      <c r="AB149" s="3">
        <v>39.6</v>
      </c>
      <c r="AC149" s="3">
        <v>38.6</v>
      </c>
      <c r="AD149" s="3">
        <v>41.7</v>
      </c>
      <c r="AE149" s="3">
        <v>42.4</v>
      </c>
      <c r="AF149" s="3">
        <v>46.6</v>
      </c>
      <c r="AG149" s="3">
        <v>40.299999999999997</v>
      </c>
      <c r="AH149" s="3">
        <v>37.1</v>
      </c>
      <c r="AI149" s="3">
        <v>37.200000000000003</v>
      </c>
      <c r="AJ149" s="3">
        <v>35.700000000000003</v>
      </c>
      <c r="AK149" s="3">
        <v>34.5</v>
      </c>
      <c r="AL149" s="3">
        <v>33.1</v>
      </c>
      <c r="AM149" s="3">
        <v>33.4</v>
      </c>
      <c r="AN149" s="3">
        <v>32.5</v>
      </c>
      <c r="AO149" s="3">
        <v>29.5</v>
      </c>
      <c r="AP149" s="3">
        <v>27.6</v>
      </c>
      <c r="AQ149" s="3">
        <v>25.7</v>
      </c>
      <c r="AR149" s="3">
        <v>23.4</v>
      </c>
      <c r="AS149" s="3">
        <v>32.200000000000003</v>
      </c>
      <c r="AT149" s="3">
        <v>35.5</v>
      </c>
      <c r="AU149" s="3">
        <v>20.9</v>
      </c>
      <c r="AV149" s="3">
        <v>19.899999999999999</v>
      </c>
      <c r="AW149" s="3">
        <v>19</v>
      </c>
      <c r="AX149" s="3">
        <v>15.2</v>
      </c>
      <c r="AY149" s="3">
        <v>13.8</v>
      </c>
      <c r="AZ149" s="3">
        <v>0</v>
      </c>
      <c r="BA149" s="3">
        <v>0</v>
      </c>
      <c r="BB149" s="3">
        <v>0</v>
      </c>
      <c r="BC149" s="3">
        <v>42.614123620052844</v>
      </c>
      <c r="BD149" s="3">
        <v>50.685876379947167</v>
      </c>
      <c r="BE149" s="3">
        <v>49.085876379947159</v>
      </c>
      <c r="BF149" s="3">
        <v>47.545876379947153</v>
      </c>
      <c r="BG149" s="3">
        <v>43.772543046613826</v>
      </c>
      <c r="BH149" s="3">
        <v>38.912543046613827</v>
      </c>
      <c r="BI149" s="3">
        <v>38.325876379947154</v>
      </c>
      <c r="BJ149" s="3">
        <v>42.219209713280499</v>
      </c>
      <c r="BK149" s="3">
        <v>42.792543046613822</v>
      </c>
      <c r="BL149" s="3">
        <v>46.565876379947163</v>
      </c>
      <c r="BM149" s="3">
        <v>40.399209713280491</v>
      </c>
      <c r="BN149" s="3">
        <v>37.48254304661382</v>
      </c>
      <c r="BO149" s="3">
        <v>36.949209713280489</v>
      </c>
      <c r="BP149" s="3">
        <v>35.165876379947157</v>
      </c>
      <c r="BQ149" s="3">
        <v>34.382543046613826</v>
      </c>
      <c r="BR149" s="3">
        <v>33.309209713280502</v>
      </c>
      <c r="BS149" s="3">
        <v>33.412543046613827</v>
      </c>
      <c r="BT149" s="3">
        <v>32.709209713280494</v>
      </c>
      <c r="BU149" s="3">
        <v>29.675876379947162</v>
      </c>
      <c r="BV149" s="3">
        <v>27.492543046613825</v>
      </c>
      <c r="BW149" s="3">
        <v>26.125876379947165</v>
      </c>
      <c r="BX149" s="3">
        <v>23.74587637994717</v>
      </c>
      <c r="BY149" s="3">
        <v>32.36587637994716</v>
      </c>
      <c r="BZ149" s="3">
        <v>35.795876379947153</v>
      </c>
      <c r="CA149" s="3">
        <v>21.295876379947153</v>
      </c>
      <c r="CB149" s="3">
        <v>19.73254304661382</v>
      </c>
      <c r="CC149" s="3">
        <v>19.045876379947153</v>
      </c>
      <c r="CD149" s="3">
        <v>14.552543046613827</v>
      </c>
      <c r="CE149" s="3">
        <v>13.345876379947157</v>
      </c>
      <c r="CF149" s="3">
        <v>-0.8407902867195105</v>
      </c>
      <c r="CG149" s="3">
        <v>-1.3741236200528419</v>
      </c>
      <c r="CH149" s="3">
        <v>-2.4507902867195099</v>
      </c>
      <c r="CI149" s="13">
        <f>[1]!dbasum(RecData[[#This Row],[20]:[2000]],RecData[[#Headers],[20]:[2000]])</f>
        <v>40.455369238779475</v>
      </c>
      <c r="CJ149" s="14">
        <v>902</v>
      </c>
      <c r="CK149" s="15" t="s">
        <v>249</v>
      </c>
      <c r="CL149" s="15">
        <f>RecData[[#This Row],[Start Time]]</f>
        <v>43252.953472222231</v>
      </c>
      <c r="CM149" s="16">
        <f>RecData[[#This Row],[Wind Speed avg]]</f>
        <v>1.21</v>
      </c>
      <c r="CN149" s="16">
        <f>RecData[[#This Row],[Wind Dir. avg]]</f>
        <v>162.9</v>
      </c>
      <c r="CO149" s="16">
        <f>RecData[[#This Row],[Amb. Humidity]]</f>
        <v>59.4</v>
      </c>
      <c r="CP149" s="16">
        <f>RecData[[#This Row],[Amb. Temperature]]</f>
        <v>9.5</v>
      </c>
      <c r="CQ149" s="17">
        <f>RecData[[#This Row],[Amb. Rain Gauge]]</f>
        <v>0</v>
      </c>
      <c r="CR149" s="4" t="s">
        <v>1</v>
      </c>
      <c r="CS149" s="4" t="s">
        <v>49</v>
      </c>
      <c r="CT149" s="70">
        <v>1586.2745359999999</v>
      </c>
      <c r="CU149" s="70">
        <v>33.000282287597599</v>
      </c>
      <c r="CV149" s="70">
        <v>11.3119049072265</v>
      </c>
      <c r="CW149" s="70">
        <v>15.131319999694799</v>
      </c>
      <c r="CX149" s="97"/>
      <c r="CY149" s="99"/>
      <c r="CZ149" s="2" t="b">
        <f>IF($DP$1="YES",IF(RecData[[#This Row],[Power (kW)]]&gt;=$CR$3, TRUE,FALSE),TRUE)</f>
        <v>1</v>
      </c>
      <c r="DA149" s="16">
        <f>MIN(MOD(180-ABS(ABS($DA$1-RecData[Yaw Angle (°)])-180),360),MOD(180-ABS(ABS($DB$1-RecData[Yaw Angle (°)])-180),360))</f>
        <v>25.470355509910064</v>
      </c>
      <c r="DB149" s="2" t="str">
        <f>IF($DP$2="None","None",IF(RecData[[#This Row],[Relative Wind Direction]]&lt;=45,"DW",IF(RecData[[#This Row],[Relative Wind Direction]]&lt;=135,"CW","UW")))</f>
        <v>DW</v>
      </c>
      <c r="DC149" s="61" t="e">
        <f>IF($CL149-#REF!&gt;1/24,#REF!,IF(SUM($CQ149:$CQ149)&gt;$DS$1,$DS$5,#REF!-1))</f>
        <v>#REF!</v>
      </c>
      <c r="DD149" s="61" t="e">
        <f>IF(#REF!-$CL149&gt;1/24,#REF!,IF(SUM($CQ149:$CQ149)&gt;$DS$1,$DS$6,#REF!-1))</f>
        <v>#REF!</v>
      </c>
      <c r="DE149" s="18" t="b">
        <v>0</v>
      </c>
      <c r="DF149" s="2" t="b">
        <f>IF(OR(RecData[[#This Row],[WSpd_Avg '[m/s']]]-RecData[[#This Row],[Wind Speed min]]&gt;=$DF$3,RecData[[#This Row],[Wind Speed max]]-RecData[[#This Row],[WSpd_Avg '[m/s']]]&gt;=$DF$2),TRUE,FALSE)</f>
        <v>0</v>
      </c>
      <c r="DG149" s="2" t="b">
        <f>RecData[[#This Row],[Temperature '[°C']]]&lt;=-20</f>
        <v>0</v>
      </c>
      <c r="DH149" s="18" t="b">
        <f>NOT(OR(MOD(RecData[[#This Row],[TIMESTAMP]],1)&gt;0.91632,MOD(RecData[[#This Row],[TIMESTAMP]],1)&lt;0.208681))</f>
        <v>0</v>
      </c>
      <c r="DI149" s="18" t="b">
        <f>RecData[[#This Row],[Overall (dBA)]]-RecData[[#This Row],[L90]]&gt;=$DS$4</f>
        <v>0</v>
      </c>
      <c r="DJ149" s="18" t="b">
        <f>RecData[[#This Row],[Overall (dBA)]]&gt;$DS$2</f>
        <v>0</v>
      </c>
      <c r="DK149" s="18" t="b">
        <f>RecData[[#This Row],[Overall (dBA)]]&lt;$DS$3</f>
        <v>0</v>
      </c>
      <c r="DL1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49" s="2">
        <f>IF(AND(RecData[[#This Row],[Turbines ON/OFF]] = "OFF", NOT(OR(RecData[[#This Row],[Junk?]]="YES",RecData[[#This Row],[Gust?]],RecData[[#This Row],[Rain?]:[Min SPL Threshold?]]))),1,0)</f>
        <v>0</v>
      </c>
      <c r="DN149" s="16">
        <f>RecData[[#This Row],[dBA Sum]]</f>
        <v>40.455369238779475</v>
      </c>
      <c r="DO149" s="16">
        <f>RecData[[#This Row],[LAF90.0]]</f>
        <v>41.5</v>
      </c>
      <c r="DP149" s="55">
        <f>IF(AND(RecData[[#This Row],[Useable TON Data?]],RecData[[#This Row],[Turbines ON/OFF]]="ON"),RecData[[#This Row],[dBA Sum]],"")</f>
        <v>40.455369238779475</v>
      </c>
      <c r="DQ149" s="55" t="str">
        <f>IF(AND(RecData[[#This Row],[Useable Background Data?]],RecData[[#This Row],[Turbines ON/OFF]]="OFF"),RecData[[#This Row],[dBA Sum]],"")</f>
        <v/>
      </c>
      <c r="DR149" s="3">
        <f>IF(OR(RecData[[#This Row],[Useable TON Data?]],RecData[[#This Row],[Useable Background Data?]]),ROUND(RecData[[#This Row],[WSpd_Avg '[m/s']]],0),"")</f>
        <v>1</v>
      </c>
      <c r="DS149" s="85">
        <f>(0.00002)^2*(10^(RecData[[#This Row],[Overall (dBA)]]/10))</f>
        <v>4.4421878017346E-6</v>
      </c>
    </row>
    <row r="150" spans="1:123" ht="15" x14ac:dyDescent="0.25">
      <c r="A150" s="3" t="s">
        <v>249</v>
      </c>
      <c r="B150" s="12">
        <v>43252.954861111117</v>
      </c>
      <c r="C150" s="3"/>
      <c r="D150" s="3">
        <v>42.9</v>
      </c>
      <c r="E150" s="3"/>
      <c r="F150" s="3"/>
      <c r="G150" s="3"/>
      <c r="H150" s="3"/>
      <c r="I150" s="3"/>
      <c r="J150" s="3"/>
      <c r="K150" s="3">
        <v>40.6</v>
      </c>
      <c r="L150" s="3"/>
      <c r="M150" s="3"/>
      <c r="N150" s="3">
        <v>188</v>
      </c>
      <c r="O150" s="3"/>
      <c r="P150" s="3"/>
      <c r="Q150" s="3">
        <v>0.69</v>
      </c>
      <c r="R150" s="3">
        <v>0.2</v>
      </c>
      <c r="S150" s="3">
        <v>1.6</v>
      </c>
      <c r="T150" s="3">
        <v>9.5</v>
      </c>
      <c r="U150" s="3">
        <v>59.9</v>
      </c>
      <c r="V150" s="3">
        <v>975.4</v>
      </c>
      <c r="W150" s="3">
        <v>0</v>
      </c>
      <c r="X150" s="3">
        <v>49.5</v>
      </c>
      <c r="Y150" s="3">
        <v>49.1</v>
      </c>
      <c r="Z150" s="3">
        <v>49.2</v>
      </c>
      <c r="AA150" s="3">
        <v>44.7</v>
      </c>
      <c r="AB150" s="3">
        <v>39.9</v>
      </c>
      <c r="AC150" s="3">
        <v>38.1</v>
      </c>
      <c r="AD150" s="3">
        <v>40.6</v>
      </c>
      <c r="AE150" s="3">
        <v>42.1</v>
      </c>
      <c r="AF150" s="3">
        <v>46.9</v>
      </c>
      <c r="AG150" s="3">
        <v>39.700000000000003</v>
      </c>
      <c r="AH150" s="3">
        <v>36.5</v>
      </c>
      <c r="AI150" s="3">
        <v>37</v>
      </c>
      <c r="AJ150" s="3">
        <v>35.5</v>
      </c>
      <c r="AK150" s="3">
        <v>34.200000000000003</v>
      </c>
      <c r="AL150" s="3">
        <v>32.5</v>
      </c>
      <c r="AM150" s="3">
        <v>32.6</v>
      </c>
      <c r="AN150" s="3">
        <v>31.2</v>
      </c>
      <c r="AO150" s="3">
        <v>28.1</v>
      </c>
      <c r="AP150" s="3">
        <v>25.8</v>
      </c>
      <c r="AQ150" s="3">
        <v>23.1</v>
      </c>
      <c r="AR150" s="3">
        <v>18.7</v>
      </c>
      <c r="AS150" s="3">
        <v>34.1</v>
      </c>
      <c r="AT150" s="3">
        <v>36.9</v>
      </c>
      <c r="AU150" s="3">
        <v>10.7</v>
      </c>
      <c r="AV150" s="3">
        <v>8.6</v>
      </c>
      <c r="AW150" s="3">
        <v>8.9</v>
      </c>
      <c r="AX150" s="3">
        <v>9</v>
      </c>
      <c r="AY150" s="3">
        <v>9.1999999999999993</v>
      </c>
      <c r="AZ150" s="3">
        <v>0</v>
      </c>
      <c r="BA150" s="3">
        <v>0</v>
      </c>
      <c r="BB150" s="3">
        <v>0</v>
      </c>
      <c r="BC150" s="3">
        <v>42.809390978524846</v>
      </c>
      <c r="BD150" s="3">
        <v>49.59060902147516</v>
      </c>
      <c r="BE150" s="3">
        <v>49.190609021475154</v>
      </c>
      <c r="BF150" s="3">
        <v>48.050609021475154</v>
      </c>
      <c r="BG150" s="3">
        <v>43.877275688141822</v>
      </c>
      <c r="BH150" s="3">
        <v>39.217275688141825</v>
      </c>
      <c r="BI150" s="3">
        <v>37.830609021475155</v>
      </c>
      <c r="BJ150" s="3">
        <v>41.123942354808491</v>
      </c>
      <c r="BK150" s="3">
        <v>42.497275688141826</v>
      </c>
      <c r="BL150" s="3">
        <v>46.870609021475161</v>
      </c>
      <c r="BM150" s="3">
        <v>39.803942354808498</v>
      </c>
      <c r="BN150" s="3">
        <v>36.887275688141813</v>
      </c>
      <c r="BO150" s="3">
        <v>36.753942354808487</v>
      </c>
      <c r="BP150" s="3">
        <v>34.970609021475155</v>
      </c>
      <c r="BQ150" s="3">
        <v>34.087275688141816</v>
      </c>
      <c r="BR150" s="3">
        <v>32.713942354808495</v>
      </c>
      <c r="BS150" s="3">
        <v>32.617275688141831</v>
      </c>
      <c r="BT150" s="3">
        <v>31.413942354808484</v>
      </c>
      <c r="BU150" s="3">
        <v>28.280609021475158</v>
      </c>
      <c r="BV150" s="3">
        <v>25.697275688141815</v>
      </c>
      <c r="BW150" s="3">
        <v>23.530609021475158</v>
      </c>
      <c r="BX150" s="3">
        <v>19.050609021475154</v>
      </c>
      <c r="BY150" s="3">
        <v>34.270609021475153</v>
      </c>
      <c r="BZ150" s="3">
        <v>37.200609021475145</v>
      </c>
      <c r="CA150" s="3">
        <v>11.100609021475144</v>
      </c>
      <c r="CB150" s="3">
        <v>8.4372756881418169</v>
      </c>
      <c r="CC150" s="3">
        <v>8.9506090214751524</v>
      </c>
      <c r="CD150" s="3">
        <v>8.3572756881418258</v>
      </c>
      <c r="CE150" s="3">
        <v>8.7506090214751495</v>
      </c>
      <c r="CF150" s="3">
        <v>-0.83605764519151649</v>
      </c>
      <c r="CG150" s="3">
        <v>-1.3693909785248479</v>
      </c>
      <c r="CH150" s="3">
        <v>-2.4460576451915159</v>
      </c>
      <c r="CI150" s="13">
        <f>[1]!dbasum(RecData[[#This Row],[20]:[2000]],RecData[[#Headers],[20]:[2000]])</f>
        <v>39.649962651471469</v>
      </c>
      <c r="CJ150" s="14">
        <v>904</v>
      </c>
      <c r="CK150" s="15" t="s">
        <v>249</v>
      </c>
      <c r="CL150" s="15">
        <f>RecData[[#This Row],[Start Time]]</f>
        <v>43252.954861111117</v>
      </c>
      <c r="CM150" s="16">
        <f>RecData[[#This Row],[Wind Speed avg]]</f>
        <v>0.69</v>
      </c>
      <c r="CN150" s="16">
        <f>RecData[[#This Row],[Wind Dir. avg]]</f>
        <v>188</v>
      </c>
      <c r="CO150" s="16">
        <f>RecData[[#This Row],[Amb. Humidity]]</f>
        <v>59.9</v>
      </c>
      <c r="CP150" s="16">
        <f>RecData[[#This Row],[Amb. Temperature]]</f>
        <v>9.5</v>
      </c>
      <c r="CQ150" s="17">
        <f>RecData[[#This Row],[Amb. Rain Gauge]]</f>
        <v>0</v>
      </c>
      <c r="CR150" s="4" t="s">
        <v>1</v>
      </c>
      <c r="CS150" s="4" t="s">
        <v>49</v>
      </c>
      <c r="CT150" s="70">
        <v>1586.2745359999999</v>
      </c>
      <c r="CU150" s="70">
        <v>33.000282287597599</v>
      </c>
      <c r="CV150" s="70">
        <v>11.3119049072265</v>
      </c>
      <c r="CW150" s="70">
        <v>15.131319999694799</v>
      </c>
      <c r="CX150" s="97"/>
      <c r="CY150" s="99"/>
      <c r="CZ150" s="2" t="b">
        <f>IF($DP$1="YES",IF(RecData[[#This Row],[Power (kW)]]&gt;=$CR$3, TRUE,FALSE),TRUE)</f>
        <v>1</v>
      </c>
      <c r="DA150" s="16">
        <f>MIN(MOD(180-ABS(ABS($DA$1-RecData[Yaw Angle (°)])-180),360),MOD(180-ABS(ABS($DB$1-RecData[Yaw Angle (°)])-180),360))</f>
        <v>25.470355509910064</v>
      </c>
      <c r="DB150" s="2" t="str">
        <f>IF($DP$2="None","None",IF(RecData[[#This Row],[Relative Wind Direction]]&lt;=45,"DW",IF(RecData[[#This Row],[Relative Wind Direction]]&lt;=135,"CW","UW")))</f>
        <v>DW</v>
      </c>
      <c r="DC150" s="61" t="e">
        <f>IF($CL150-#REF!&gt;1/24,#REF!,IF(SUM($CQ149:$CQ150)&gt;$DS$1,$DS$5,DC151-1))</f>
        <v>#REF!</v>
      </c>
      <c r="DD150" s="61" t="e">
        <f>IF($CL151-$CL150&gt;1/24,#REF!,IF(SUM($CQ149:$CQ150)&gt;$DS$1,$DS$6,#REF!-1))</f>
        <v>#REF!</v>
      </c>
      <c r="DE150" s="18" t="b">
        <v>0</v>
      </c>
      <c r="DF150" s="2" t="b">
        <f>IF(OR(RecData[[#This Row],[WSpd_Avg '[m/s']]]-RecData[[#This Row],[Wind Speed min]]&gt;=$DF$3,RecData[[#This Row],[Wind Speed max]]-RecData[[#This Row],[WSpd_Avg '[m/s']]]&gt;=$DF$2),TRUE,FALSE)</f>
        <v>0</v>
      </c>
      <c r="DG150" s="2" t="b">
        <f>RecData[[#This Row],[Temperature '[°C']]]&lt;=-20</f>
        <v>0</v>
      </c>
      <c r="DH150" s="18" t="b">
        <f>NOT(OR(MOD(RecData[[#This Row],[TIMESTAMP]],1)&gt;0.91632,MOD(RecData[[#This Row],[TIMESTAMP]],1)&lt;0.208681))</f>
        <v>0</v>
      </c>
      <c r="DI150" s="18" t="b">
        <f>RecData[[#This Row],[Overall (dBA)]]-RecData[[#This Row],[L90]]&gt;=$DS$4</f>
        <v>0</v>
      </c>
      <c r="DJ150" s="18" t="b">
        <f>RecData[[#This Row],[Overall (dBA)]]&gt;$DS$2</f>
        <v>0</v>
      </c>
      <c r="DK150" s="18" t="b">
        <f>RecData[[#This Row],[Overall (dBA)]]&lt;$DS$3</f>
        <v>0</v>
      </c>
      <c r="DL1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0" s="2">
        <f>IF(AND(RecData[[#This Row],[Turbines ON/OFF]] = "OFF", NOT(OR(RecData[[#This Row],[Junk?]]="YES",RecData[[#This Row],[Gust?]],RecData[[#This Row],[Rain?]:[Min SPL Threshold?]]))),1,0)</f>
        <v>0</v>
      </c>
      <c r="DN150" s="16">
        <f>RecData[[#This Row],[dBA Sum]]</f>
        <v>39.649962651471469</v>
      </c>
      <c r="DO150" s="16">
        <f>RecData[[#This Row],[LAF90.0]]</f>
        <v>40.6</v>
      </c>
      <c r="DP150" s="55">
        <f>IF(AND(RecData[[#This Row],[Useable TON Data?]],RecData[[#This Row],[Turbines ON/OFF]]="ON"),RecData[[#This Row],[dBA Sum]],"")</f>
        <v>39.649962651471469</v>
      </c>
      <c r="DQ150" s="55" t="str">
        <f>IF(AND(RecData[[#This Row],[Useable Background Data?]],RecData[[#This Row],[Turbines ON/OFF]]="OFF"),RecData[[#This Row],[dBA Sum]],"")</f>
        <v/>
      </c>
      <c r="DR150" s="3">
        <f>IF(OR(RecData[[#This Row],[Useable TON Data?]],RecData[[#This Row],[Useable Background Data?]]),ROUND(RecData[[#This Row],[WSpd_Avg '[m/s']]],0),"")</f>
        <v>1</v>
      </c>
      <c r="DS150" s="85">
        <f>(0.00002)^2*(10^(RecData[[#This Row],[Overall (dBA)]]/10))</f>
        <v>3.6902539729755795E-6</v>
      </c>
    </row>
    <row r="151" spans="1:123" ht="15" x14ac:dyDescent="0.25">
      <c r="A151" s="3" t="s">
        <v>249</v>
      </c>
      <c r="B151" s="12">
        <v>43252.955555555563</v>
      </c>
      <c r="C151" s="3"/>
      <c r="D151" s="3">
        <v>42.3</v>
      </c>
      <c r="E151" s="3"/>
      <c r="F151" s="3"/>
      <c r="G151" s="3"/>
      <c r="H151" s="3"/>
      <c r="I151" s="3"/>
      <c r="J151" s="3"/>
      <c r="K151" s="3">
        <v>40.799999999999997</v>
      </c>
      <c r="L151" s="3"/>
      <c r="M151" s="3"/>
      <c r="N151" s="3">
        <v>153.19999999999999</v>
      </c>
      <c r="O151" s="3"/>
      <c r="P151" s="3"/>
      <c r="Q151" s="3">
        <v>0.96</v>
      </c>
      <c r="R151" s="3">
        <v>0.2</v>
      </c>
      <c r="S151" s="3">
        <v>1.8</v>
      </c>
      <c r="T151" s="3">
        <v>9.5</v>
      </c>
      <c r="U151" s="3">
        <v>60</v>
      </c>
      <c r="V151" s="3">
        <v>975.4</v>
      </c>
      <c r="W151" s="3">
        <v>0</v>
      </c>
      <c r="X151" s="3">
        <v>49.5</v>
      </c>
      <c r="Y151" s="3">
        <v>48.3</v>
      </c>
      <c r="Z151" s="3">
        <v>47.3</v>
      </c>
      <c r="AA151" s="3">
        <v>44</v>
      </c>
      <c r="AB151" s="3">
        <v>39.299999999999997</v>
      </c>
      <c r="AC151" s="3">
        <v>38.5</v>
      </c>
      <c r="AD151" s="3">
        <v>40.700000000000003</v>
      </c>
      <c r="AE151" s="3">
        <v>41.7</v>
      </c>
      <c r="AF151" s="3">
        <v>46.6</v>
      </c>
      <c r="AG151" s="3">
        <v>39.299999999999997</v>
      </c>
      <c r="AH151" s="3">
        <v>36.6</v>
      </c>
      <c r="AI151" s="3">
        <v>37.1</v>
      </c>
      <c r="AJ151" s="3">
        <v>35.5</v>
      </c>
      <c r="AK151" s="3">
        <v>34.1</v>
      </c>
      <c r="AL151" s="3">
        <v>32.299999999999997</v>
      </c>
      <c r="AM151" s="3">
        <v>32</v>
      </c>
      <c r="AN151" s="3">
        <v>30.5</v>
      </c>
      <c r="AO151" s="3">
        <v>27.5</v>
      </c>
      <c r="AP151" s="3">
        <v>25.2</v>
      </c>
      <c r="AQ151" s="3">
        <v>22.5</v>
      </c>
      <c r="AR151" s="3">
        <v>18.899999999999999</v>
      </c>
      <c r="AS151" s="3">
        <v>33.6</v>
      </c>
      <c r="AT151" s="3">
        <v>35.799999999999997</v>
      </c>
      <c r="AU151" s="3">
        <v>11.3</v>
      </c>
      <c r="AV151" s="3">
        <v>9.5</v>
      </c>
      <c r="AW151" s="3">
        <v>9.4</v>
      </c>
      <c r="AX151" s="3">
        <v>9.1999999999999993</v>
      </c>
      <c r="AY151" s="3">
        <v>9.3000000000000007</v>
      </c>
      <c r="AZ151" s="3">
        <v>0</v>
      </c>
      <c r="BA151" s="3">
        <v>0</v>
      </c>
      <c r="BB151" s="3">
        <v>0</v>
      </c>
      <c r="BC151" s="3">
        <v>42.208786586469451</v>
      </c>
      <c r="BD151" s="3">
        <v>49.591213413530546</v>
      </c>
      <c r="BE151" s="3">
        <v>48.391213413530544</v>
      </c>
      <c r="BF151" s="3">
        <v>46.151213413530535</v>
      </c>
      <c r="BG151" s="3">
        <v>43.177880080197205</v>
      </c>
      <c r="BH151" s="3">
        <v>38.617880080197203</v>
      </c>
      <c r="BI151" s="3">
        <v>38.231213413530547</v>
      </c>
      <c r="BJ151" s="3">
        <v>41.224546746863886</v>
      </c>
      <c r="BK151" s="3">
        <v>42.097880080197221</v>
      </c>
      <c r="BL151" s="3">
        <v>46.57121341353055</v>
      </c>
      <c r="BM151" s="3">
        <v>39.404546746863879</v>
      </c>
      <c r="BN151" s="3">
        <v>36.987880080197208</v>
      </c>
      <c r="BO151" s="3">
        <v>36.854546746863882</v>
      </c>
      <c r="BP151" s="3">
        <v>34.971213413530556</v>
      </c>
      <c r="BQ151" s="3">
        <v>33.987880080197208</v>
      </c>
      <c r="BR151" s="3">
        <v>32.514546746863878</v>
      </c>
      <c r="BS151" s="3">
        <v>32.017880080197209</v>
      </c>
      <c r="BT151" s="3">
        <v>30.714546746863881</v>
      </c>
      <c r="BU151" s="3">
        <v>27.68121341353055</v>
      </c>
      <c r="BV151" s="3">
        <v>25.097880080197221</v>
      </c>
      <c r="BW151" s="3">
        <v>22.93121341353055</v>
      </c>
      <c r="BX151" s="3">
        <v>19.25121341353055</v>
      </c>
      <c r="BY151" s="3">
        <v>33.771213413530539</v>
      </c>
      <c r="BZ151" s="3">
        <v>36.101213413530552</v>
      </c>
      <c r="CA151" s="3">
        <v>11.701213413530539</v>
      </c>
      <c r="CB151" s="3">
        <v>9.3378800801972091</v>
      </c>
      <c r="CC151" s="3">
        <v>9.4512134135305459</v>
      </c>
      <c r="CD151" s="3">
        <v>8.557880080197215</v>
      </c>
      <c r="CE151" s="3">
        <v>8.8512134135305445</v>
      </c>
      <c r="CF151" s="3">
        <v>-0.83545325313612295</v>
      </c>
      <c r="CG151" s="3">
        <v>-1.3687865864694544</v>
      </c>
      <c r="CH151" s="3">
        <v>-2.4454532531361224</v>
      </c>
      <c r="CI151" s="13">
        <f>[1]!dbasum(RecData[[#This Row],[20]:[2000]],RecData[[#Headers],[20]:[2000]])</f>
        <v>39.323094627046594</v>
      </c>
      <c r="CJ151" s="14">
        <v>905</v>
      </c>
      <c r="CK151" s="15" t="s">
        <v>249</v>
      </c>
      <c r="CL151" s="15">
        <f>RecData[[#This Row],[Start Time]]</f>
        <v>43252.955555555563</v>
      </c>
      <c r="CM151" s="16">
        <f>RecData[[#This Row],[Wind Speed avg]]</f>
        <v>0.96</v>
      </c>
      <c r="CN151" s="16">
        <f>RecData[[#This Row],[Wind Dir. avg]]</f>
        <v>153.19999999999999</v>
      </c>
      <c r="CO151" s="16">
        <f>RecData[[#This Row],[Amb. Humidity]]</f>
        <v>60</v>
      </c>
      <c r="CP151" s="16">
        <f>RecData[[#This Row],[Amb. Temperature]]</f>
        <v>9.5</v>
      </c>
      <c r="CQ151" s="17">
        <f>RecData[[#This Row],[Amb. Rain Gauge]]</f>
        <v>0</v>
      </c>
      <c r="CR151" s="4" t="s">
        <v>1</v>
      </c>
      <c r="CS151" s="4" t="s">
        <v>49</v>
      </c>
      <c r="CT151" s="70">
        <v>1586.2745359999999</v>
      </c>
      <c r="CU151" s="70">
        <v>33.000282287597599</v>
      </c>
      <c r="CV151" s="70">
        <v>11.3119049072265</v>
      </c>
      <c r="CW151" s="70">
        <v>15.131319999694799</v>
      </c>
      <c r="CX151" s="97"/>
      <c r="CY151" s="99"/>
      <c r="CZ151" s="2" t="b">
        <f>IF($DP$1="YES",IF(RecData[[#This Row],[Power (kW)]]&gt;=$CR$3, TRUE,FALSE),TRUE)</f>
        <v>1</v>
      </c>
      <c r="DA151" s="16">
        <f>MIN(MOD(180-ABS(ABS($DA$1-RecData[Yaw Angle (°)])-180),360),MOD(180-ABS(ABS($DB$1-RecData[Yaw Angle (°)])-180),360))</f>
        <v>25.470355509910064</v>
      </c>
      <c r="DB151" s="2" t="str">
        <f>IF($DP$2="None","None",IF(RecData[[#This Row],[Relative Wind Direction]]&lt;=45,"DW",IF(RecData[[#This Row],[Relative Wind Direction]]&lt;=135,"CW","UW")))</f>
        <v>DW</v>
      </c>
      <c r="DC151" s="61" t="e">
        <f>IF($CL151-#REF!&gt;1/24,#REF!,IF(SUM($CQ149:$CQ151)&gt;$DS$1,$DS$5,DC152-1))</f>
        <v>#REF!</v>
      </c>
      <c r="DD151" s="61" t="e">
        <f>IF($CL152-$CL151&gt;1/24,#REF!,IF(SUM($CQ149:$CQ151)&gt;$DS$1,$DS$6,DD150-1))</f>
        <v>#REF!</v>
      </c>
      <c r="DE151" s="18" t="b">
        <v>0</v>
      </c>
      <c r="DF151" s="2" t="b">
        <f>IF(OR(RecData[[#This Row],[WSpd_Avg '[m/s']]]-RecData[[#This Row],[Wind Speed min]]&gt;=$DF$3,RecData[[#This Row],[Wind Speed max]]-RecData[[#This Row],[WSpd_Avg '[m/s']]]&gt;=$DF$2),TRUE,FALSE)</f>
        <v>0</v>
      </c>
      <c r="DG151" s="2" t="b">
        <f>RecData[[#This Row],[Temperature '[°C']]]&lt;=-20</f>
        <v>0</v>
      </c>
      <c r="DH151" s="18" t="b">
        <f>NOT(OR(MOD(RecData[[#This Row],[TIMESTAMP]],1)&gt;0.91632,MOD(RecData[[#This Row],[TIMESTAMP]],1)&lt;0.208681))</f>
        <v>0</v>
      </c>
      <c r="DI151" s="18" t="b">
        <f>RecData[[#This Row],[Overall (dBA)]]-RecData[[#This Row],[L90]]&gt;=$DS$4</f>
        <v>0</v>
      </c>
      <c r="DJ151" s="18" t="b">
        <f>RecData[[#This Row],[Overall (dBA)]]&gt;$DS$2</f>
        <v>0</v>
      </c>
      <c r="DK151" s="18" t="b">
        <f>RecData[[#This Row],[Overall (dBA)]]&lt;$DS$3</f>
        <v>0</v>
      </c>
      <c r="DL1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1" s="2">
        <f>IF(AND(RecData[[#This Row],[Turbines ON/OFF]] = "OFF", NOT(OR(RecData[[#This Row],[Junk?]]="YES",RecData[[#This Row],[Gust?]],RecData[[#This Row],[Rain?]:[Min SPL Threshold?]]))),1,0)</f>
        <v>0</v>
      </c>
      <c r="DN151" s="16">
        <f>RecData[[#This Row],[dBA Sum]]</f>
        <v>39.323094627046594</v>
      </c>
      <c r="DO151" s="16">
        <f>RecData[[#This Row],[LAF90.0]]</f>
        <v>40.799999999999997</v>
      </c>
      <c r="DP151" s="55">
        <f>IF(AND(RecData[[#This Row],[Useable TON Data?]],RecData[[#This Row],[Turbines ON/OFF]]="ON"),RecData[[#This Row],[dBA Sum]],"")</f>
        <v>39.323094627046594</v>
      </c>
      <c r="DQ151" s="55" t="str">
        <f>IF(AND(RecData[[#This Row],[Useable Background Data?]],RecData[[#This Row],[Turbines ON/OFF]]="OFF"),RecData[[#This Row],[dBA Sum]],"")</f>
        <v/>
      </c>
      <c r="DR151" s="3">
        <f>IF(OR(RecData[[#This Row],[Useable TON Data?]],RecData[[#This Row],[Useable Background Data?]]),ROUND(RecData[[#This Row],[WSpd_Avg '[m/s']]],0),"")</f>
        <v>1</v>
      </c>
      <c r="DS151" s="85">
        <f>(0.00002)^2*(10^(RecData[[#This Row],[Overall (dBA)]]/10))</f>
        <v>3.4227048798104842E-6</v>
      </c>
    </row>
    <row r="152" spans="1:123" ht="15" x14ac:dyDescent="0.25">
      <c r="A152" s="3" t="s">
        <v>249</v>
      </c>
      <c r="B152" s="12">
        <v>43252.956250000003</v>
      </c>
      <c r="C152" s="3"/>
      <c r="D152" s="3">
        <v>42.4</v>
      </c>
      <c r="E152" s="3"/>
      <c r="F152" s="3"/>
      <c r="G152" s="3"/>
      <c r="H152" s="3"/>
      <c r="I152" s="3"/>
      <c r="J152" s="3"/>
      <c r="K152" s="3">
        <v>40.9</v>
      </c>
      <c r="L152" s="3"/>
      <c r="M152" s="3"/>
      <c r="N152" s="3">
        <v>182.7</v>
      </c>
      <c r="O152" s="3"/>
      <c r="P152" s="3"/>
      <c r="Q152" s="3">
        <v>1.04</v>
      </c>
      <c r="R152" s="3">
        <v>0.2</v>
      </c>
      <c r="S152" s="3">
        <v>2</v>
      </c>
      <c r="T152" s="3">
        <v>9.5</v>
      </c>
      <c r="U152" s="3">
        <v>60.1</v>
      </c>
      <c r="V152" s="3">
        <v>975.4</v>
      </c>
      <c r="W152" s="3">
        <v>0</v>
      </c>
      <c r="X152" s="3">
        <v>49.9</v>
      </c>
      <c r="Y152" s="3">
        <v>48.2</v>
      </c>
      <c r="Z152" s="3">
        <v>48.1</v>
      </c>
      <c r="AA152" s="3">
        <v>44.4</v>
      </c>
      <c r="AB152" s="3">
        <v>39.5</v>
      </c>
      <c r="AC152" s="3">
        <v>37.9</v>
      </c>
      <c r="AD152" s="3">
        <v>40.5</v>
      </c>
      <c r="AE152" s="3">
        <v>41.7</v>
      </c>
      <c r="AF152" s="3">
        <v>47.1</v>
      </c>
      <c r="AG152" s="3">
        <v>40.4</v>
      </c>
      <c r="AH152" s="3">
        <v>36.299999999999997</v>
      </c>
      <c r="AI152" s="3">
        <v>36.799999999999997</v>
      </c>
      <c r="AJ152" s="3">
        <v>35.299999999999997</v>
      </c>
      <c r="AK152" s="3">
        <v>34.1</v>
      </c>
      <c r="AL152" s="3">
        <v>32.4</v>
      </c>
      <c r="AM152" s="3">
        <v>32.4</v>
      </c>
      <c r="AN152" s="3">
        <v>30.9</v>
      </c>
      <c r="AO152" s="3">
        <v>28.1</v>
      </c>
      <c r="AP152" s="3">
        <v>26.2</v>
      </c>
      <c r="AQ152" s="3">
        <v>23.7</v>
      </c>
      <c r="AR152" s="3">
        <v>20.399999999999999</v>
      </c>
      <c r="AS152" s="3">
        <v>33.700000000000003</v>
      </c>
      <c r="AT152" s="3">
        <v>35.700000000000003</v>
      </c>
      <c r="AU152" s="3">
        <v>13</v>
      </c>
      <c r="AV152" s="3">
        <v>10.8</v>
      </c>
      <c r="AW152" s="3">
        <v>10.199999999999999</v>
      </c>
      <c r="AX152" s="3">
        <v>9.4</v>
      </c>
      <c r="AY152" s="3">
        <v>9.4</v>
      </c>
      <c r="AZ152" s="3">
        <v>0</v>
      </c>
      <c r="BA152" s="3">
        <v>0</v>
      </c>
      <c r="BB152" s="3">
        <v>0</v>
      </c>
      <c r="BC152" s="3">
        <v>42.366234979071884</v>
      </c>
      <c r="BD152" s="3">
        <v>49.933765020928114</v>
      </c>
      <c r="BE152" s="3">
        <v>48.233765020928111</v>
      </c>
      <c r="BF152" s="3">
        <v>46.893765020928107</v>
      </c>
      <c r="BG152" s="3">
        <v>43.520431687594773</v>
      </c>
      <c r="BH152" s="3">
        <v>38.760431687594782</v>
      </c>
      <c r="BI152" s="3">
        <v>37.573765020928114</v>
      </c>
      <c r="BJ152" s="3">
        <v>40.967098354261445</v>
      </c>
      <c r="BK152" s="3">
        <v>42.040431687594783</v>
      </c>
      <c r="BL152" s="3">
        <v>47.013765020928112</v>
      </c>
      <c r="BM152" s="3">
        <v>40.447098354261449</v>
      </c>
      <c r="BN152" s="3">
        <v>36.630431687594786</v>
      </c>
      <c r="BO152" s="3">
        <v>36.497098354261446</v>
      </c>
      <c r="BP152" s="3">
        <v>34.713765020928115</v>
      </c>
      <c r="BQ152" s="3">
        <v>33.930431687594769</v>
      </c>
      <c r="BR152" s="3">
        <v>32.557098354261448</v>
      </c>
      <c r="BS152" s="3">
        <v>32.360431687594776</v>
      </c>
      <c r="BT152" s="3">
        <v>31.057098354261448</v>
      </c>
      <c r="BU152" s="3">
        <v>28.22376502092812</v>
      </c>
      <c r="BV152" s="3">
        <v>26.040431687594783</v>
      </c>
      <c r="BW152" s="3">
        <v>24.073765020928114</v>
      </c>
      <c r="BX152" s="3">
        <v>20.693765020928119</v>
      </c>
      <c r="BY152" s="3">
        <v>33.813765020928123</v>
      </c>
      <c r="BZ152" s="3">
        <v>35.943765020928119</v>
      </c>
      <c r="CA152" s="3">
        <v>13.34376502092811</v>
      </c>
      <c r="CB152" s="3">
        <v>10.580431687594782</v>
      </c>
      <c r="CC152" s="3">
        <v>10.193765020928112</v>
      </c>
      <c r="CD152" s="3">
        <v>8.7004316875947865</v>
      </c>
      <c r="CE152" s="3">
        <v>8.8937650209281145</v>
      </c>
      <c r="CF152" s="3">
        <v>-0.89290164573855435</v>
      </c>
      <c r="CG152" s="3">
        <v>-1.4262349790718858</v>
      </c>
      <c r="CH152" s="3">
        <v>-2.5029016457385538</v>
      </c>
      <c r="CI152" s="13">
        <f>[1]!dbasum(RecData[[#This Row],[20]:[2000]],RecData[[#Headers],[20]:[2000]])</f>
        <v>39.591321302778823</v>
      </c>
      <c r="CJ152" s="14">
        <v>906</v>
      </c>
      <c r="CK152" s="15" t="s">
        <v>249</v>
      </c>
      <c r="CL152" s="15">
        <f>RecData[[#This Row],[Start Time]]</f>
        <v>43252.956250000003</v>
      </c>
      <c r="CM152" s="16">
        <f>RecData[[#This Row],[Wind Speed avg]]</f>
        <v>1.04</v>
      </c>
      <c r="CN152" s="16">
        <f>RecData[[#This Row],[Wind Dir. avg]]</f>
        <v>182.7</v>
      </c>
      <c r="CO152" s="16">
        <f>RecData[[#This Row],[Amb. Humidity]]</f>
        <v>60.1</v>
      </c>
      <c r="CP152" s="16">
        <f>RecData[[#This Row],[Amb. Temperature]]</f>
        <v>9.5</v>
      </c>
      <c r="CQ152" s="17">
        <f>RecData[[#This Row],[Amb. Rain Gauge]]</f>
        <v>0</v>
      </c>
      <c r="CR152" s="4" t="s">
        <v>1</v>
      </c>
      <c r="CS152" s="4" t="s">
        <v>49</v>
      </c>
      <c r="CT152" s="70">
        <v>1586.2745359999999</v>
      </c>
      <c r="CU152" s="70">
        <v>33.000282287597599</v>
      </c>
      <c r="CV152" s="70">
        <v>11.3119049072265</v>
      </c>
      <c r="CW152" s="70">
        <v>15.131319999694799</v>
      </c>
      <c r="CX152" s="97"/>
      <c r="CY152" s="99"/>
      <c r="CZ152" s="2" t="b">
        <f>IF($DP$1="YES",IF(RecData[[#This Row],[Power (kW)]]&gt;=$CR$3, TRUE,FALSE),TRUE)</f>
        <v>1</v>
      </c>
      <c r="DA152" s="16">
        <f>MIN(MOD(180-ABS(ABS($DA$1-RecData[Yaw Angle (°)])-180),360),MOD(180-ABS(ABS($DB$1-RecData[Yaw Angle (°)])-180),360))</f>
        <v>25.470355509910064</v>
      </c>
      <c r="DB152" s="2" t="str">
        <f>IF($DP$2="None","None",IF(RecData[[#This Row],[Relative Wind Direction]]&lt;=45,"DW",IF(RecData[[#This Row],[Relative Wind Direction]]&lt;=135,"CW","UW")))</f>
        <v>DW</v>
      </c>
      <c r="DC152" s="61" t="e">
        <f>IF($CL152-$CL149&gt;1/24,#REF!,IF(SUM($CQ149:$CQ152)&gt;$DS$1,$DS$5,DC153-1))</f>
        <v>#REF!</v>
      </c>
      <c r="DD152" s="61" t="e">
        <f>IF($CL153-$CL152&gt;1/24,#REF!,IF(SUM($CQ149:$CQ152)&gt;$DS$1,$DS$6,DD151-1))</f>
        <v>#REF!</v>
      </c>
      <c r="DE152" s="18" t="b">
        <v>0</v>
      </c>
      <c r="DF152" s="2" t="b">
        <f>IF(OR(RecData[[#This Row],[WSpd_Avg '[m/s']]]-RecData[[#This Row],[Wind Speed min]]&gt;=$DF$3,RecData[[#This Row],[Wind Speed max]]-RecData[[#This Row],[WSpd_Avg '[m/s']]]&gt;=$DF$2),TRUE,FALSE)</f>
        <v>0</v>
      </c>
      <c r="DG152" s="2" t="b">
        <f>RecData[[#This Row],[Temperature '[°C']]]&lt;=-20</f>
        <v>0</v>
      </c>
      <c r="DH152" s="18" t="b">
        <f>NOT(OR(MOD(RecData[[#This Row],[TIMESTAMP]],1)&gt;0.91632,MOD(RecData[[#This Row],[TIMESTAMP]],1)&lt;0.208681))</f>
        <v>0</v>
      </c>
      <c r="DI152" s="18" t="b">
        <f>RecData[[#This Row],[Overall (dBA)]]-RecData[[#This Row],[L90]]&gt;=$DS$4</f>
        <v>0</v>
      </c>
      <c r="DJ152" s="18" t="b">
        <f>RecData[[#This Row],[Overall (dBA)]]&gt;$DS$2</f>
        <v>0</v>
      </c>
      <c r="DK152" s="18" t="b">
        <f>RecData[[#This Row],[Overall (dBA)]]&lt;$DS$3</f>
        <v>0</v>
      </c>
      <c r="DL1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2" s="2">
        <f>IF(AND(RecData[[#This Row],[Turbines ON/OFF]] = "OFF", NOT(OR(RecData[[#This Row],[Junk?]]="YES",RecData[[#This Row],[Gust?]],RecData[[#This Row],[Rain?]:[Min SPL Threshold?]]))),1,0)</f>
        <v>0</v>
      </c>
      <c r="DN152" s="16">
        <f>RecData[[#This Row],[dBA Sum]]</f>
        <v>39.591321302778823</v>
      </c>
      <c r="DO152" s="16">
        <f>RecData[[#This Row],[LAF90.0]]</f>
        <v>40.9</v>
      </c>
      <c r="DP152" s="55">
        <f>IF(AND(RecData[[#This Row],[Useable TON Data?]],RecData[[#This Row],[Turbines ON/OFF]]="ON"),RecData[[#This Row],[dBA Sum]],"")</f>
        <v>39.591321302778823</v>
      </c>
      <c r="DQ152" s="55" t="str">
        <f>IF(AND(RecData[[#This Row],[Useable Background Data?]],RecData[[#This Row],[Turbines ON/OFF]]="OFF"),RecData[[#This Row],[dBA Sum]],"")</f>
        <v/>
      </c>
      <c r="DR152" s="3">
        <f>IF(OR(RecData[[#This Row],[Useable TON Data?]],RecData[[#This Row],[Useable Background Data?]]),ROUND(RecData[[#This Row],[WSpd_Avg '[m/s']]],0),"")</f>
        <v>1</v>
      </c>
      <c r="DS152" s="85">
        <f>(0.00002)^2*(10^(RecData[[#This Row],[Overall (dBA)]]/10))</f>
        <v>3.6407605914478147E-6</v>
      </c>
    </row>
    <row r="153" spans="1:123" ht="15" x14ac:dyDescent="0.25">
      <c r="A153" s="3" t="s">
        <v>249</v>
      </c>
      <c r="B153" s="12">
        <v>43252.95694444445</v>
      </c>
      <c r="C153" s="3"/>
      <c r="D153" s="3">
        <v>42.4</v>
      </c>
      <c r="E153" s="3"/>
      <c r="F153" s="3"/>
      <c r="G153" s="3"/>
      <c r="H153" s="3"/>
      <c r="I153" s="3"/>
      <c r="J153" s="3"/>
      <c r="K153" s="3">
        <v>41.1</v>
      </c>
      <c r="L153" s="3"/>
      <c r="M153" s="3"/>
      <c r="N153" s="3">
        <v>211.4</v>
      </c>
      <c r="O153" s="3"/>
      <c r="P153" s="3"/>
      <c r="Q153" s="3">
        <v>0.83</v>
      </c>
      <c r="R153" s="3">
        <v>0.2</v>
      </c>
      <c r="S153" s="3">
        <v>1.5</v>
      </c>
      <c r="T153" s="3">
        <v>9.5</v>
      </c>
      <c r="U153" s="3">
        <v>60.9</v>
      </c>
      <c r="V153" s="3">
        <v>975.4</v>
      </c>
      <c r="W153" s="3">
        <v>0</v>
      </c>
      <c r="X153" s="3">
        <v>50</v>
      </c>
      <c r="Y153" s="3">
        <v>48.7</v>
      </c>
      <c r="Z153" s="3">
        <v>48.8</v>
      </c>
      <c r="AA153" s="3">
        <v>45.6</v>
      </c>
      <c r="AB153" s="3">
        <v>40.200000000000003</v>
      </c>
      <c r="AC153" s="3">
        <v>38.200000000000003</v>
      </c>
      <c r="AD153" s="3">
        <v>41.3</v>
      </c>
      <c r="AE153" s="3">
        <v>42.6</v>
      </c>
      <c r="AF153" s="3">
        <v>46.7</v>
      </c>
      <c r="AG153" s="3">
        <v>40.299999999999997</v>
      </c>
      <c r="AH153" s="3">
        <v>37.1</v>
      </c>
      <c r="AI153" s="3">
        <v>37.299999999999997</v>
      </c>
      <c r="AJ153" s="3">
        <v>35.9</v>
      </c>
      <c r="AK153" s="3">
        <v>34.4</v>
      </c>
      <c r="AL153" s="3">
        <v>32.700000000000003</v>
      </c>
      <c r="AM153" s="3">
        <v>32.9</v>
      </c>
      <c r="AN153" s="3">
        <v>31.4</v>
      </c>
      <c r="AO153" s="3">
        <v>28.4</v>
      </c>
      <c r="AP153" s="3">
        <v>26.3</v>
      </c>
      <c r="AQ153" s="3">
        <v>23.8</v>
      </c>
      <c r="AR153" s="3">
        <v>20.5</v>
      </c>
      <c r="AS153" s="3">
        <v>32.9</v>
      </c>
      <c r="AT153" s="3">
        <v>35.6</v>
      </c>
      <c r="AU153" s="3">
        <v>13.8</v>
      </c>
      <c r="AV153" s="3">
        <v>11.8</v>
      </c>
      <c r="AW153" s="3">
        <v>10.5</v>
      </c>
      <c r="AX153" s="3">
        <v>9.4</v>
      </c>
      <c r="AY153" s="3">
        <v>9.4</v>
      </c>
      <c r="AZ153" s="3">
        <v>0</v>
      </c>
      <c r="BA153" s="3">
        <v>0</v>
      </c>
      <c r="BB153" s="3">
        <v>0</v>
      </c>
      <c r="BC153" s="3">
        <v>42.370963000264503</v>
      </c>
      <c r="BD153" s="3">
        <v>50.029036999735503</v>
      </c>
      <c r="BE153" s="3">
        <v>48.729036999735492</v>
      </c>
      <c r="BF153" s="3">
        <v>47.589036999735491</v>
      </c>
      <c r="BG153" s="3">
        <v>44.71570366640217</v>
      </c>
      <c r="BH153" s="3">
        <v>39.455703666402165</v>
      </c>
      <c r="BI153" s="3">
        <v>37.869036999735506</v>
      </c>
      <c r="BJ153" s="3">
        <v>41.762370333068823</v>
      </c>
      <c r="BK153" s="3">
        <v>42.935703666402169</v>
      </c>
      <c r="BL153" s="3">
        <v>46.609036999735501</v>
      </c>
      <c r="BM153" s="3">
        <v>40.342370333068835</v>
      </c>
      <c r="BN153" s="3">
        <v>37.425703666402164</v>
      </c>
      <c r="BO153" s="3">
        <v>36.992370333068827</v>
      </c>
      <c r="BP153" s="3">
        <v>35.309036999735504</v>
      </c>
      <c r="BQ153" s="3">
        <v>34.225703666402161</v>
      </c>
      <c r="BR153" s="3">
        <v>32.852370333068826</v>
      </c>
      <c r="BS153" s="3">
        <v>32.855703666402157</v>
      </c>
      <c r="BT153" s="3">
        <v>31.552370333068829</v>
      </c>
      <c r="BU153" s="3">
        <v>28.519036999735498</v>
      </c>
      <c r="BV153" s="3">
        <v>26.135703666402158</v>
      </c>
      <c r="BW153" s="3">
        <v>24.169036999735503</v>
      </c>
      <c r="BX153" s="3">
        <v>20.789036999735501</v>
      </c>
      <c r="BY153" s="3">
        <v>33.009036999735493</v>
      </c>
      <c r="BZ153" s="3">
        <v>35.839036999735505</v>
      </c>
      <c r="CA153" s="3">
        <v>14.139036999735488</v>
      </c>
      <c r="CB153" s="3">
        <v>11.575703666402163</v>
      </c>
      <c r="CC153" s="3">
        <v>10.489036999735497</v>
      </c>
      <c r="CD153" s="3">
        <v>8.6957036664021672</v>
      </c>
      <c r="CE153" s="3">
        <v>8.8890369997354952</v>
      </c>
      <c r="CF153" s="3">
        <v>-0.89762966693117363</v>
      </c>
      <c r="CG153" s="3">
        <v>-1.4309630002645051</v>
      </c>
      <c r="CH153" s="3">
        <v>-2.5076296669311731</v>
      </c>
      <c r="CI153" s="13">
        <f>[1]!dbasum(RecData[[#This Row],[20]:[2000]],RecData[[#Headers],[20]:[2000]])</f>
        <v>39.884428609021107</v>
      </c>
      <c r="CJ153" s="14">
        <v>907</v>
      </c>
      <c r="CK153" s="15" t="s">
        <v>249</v>
      </c>
      <c r="CL153" s="15">
        <f>RecData[[#This Row],[Start Time]]</f>
        <v>43252.95694444445</v>
      </c>
      <c r="CM153" s="16">
        <f>RecData[[#This Row],[Wind Speed avg]]</f>
        <v>0.83</v>
      </c>
      <c r="CN153" s="16">
        <f>RecData[[#This Row],[Wind Dir. avg]]</f>
        <v>211.4</v>
      </c>
      <c r="CO153" s="16">
        <f>RecData[[#This Row],[Amb. Humidity]]</f>
        <v>60.9</v>
      </c>
      <c r="CP153" s="16">
        <f>RecData[[#This Row],[Amb. Temperature]]</f>
        <v>9.5</v>
      </c>
      <c r="CQ153" s="17">
        <f>RecData[[#This Row],[Amb. Rain Gauge]]</f>
        <v>0</v>
      </c>
      <c r="CR153" s="4" t="s">
        <v>1</v>
      </c>
      <c r="CS153" s="4" t="s">
        <v>49</v>
      </c>
      <c r="CT153" s="70">
        <v>1586.2745359999999</v>
      </c>
      <c r="CU153" s="70">
        <v>33.000282287597599</v>
      </c>
      <c r="CV153" s="70">
        <v>11.3119049072265</v>
      </c>
      <c r="CW153" s="70">
        <v>15.131319999694799</v>
      </c>
      <c r="CX153" s="97"/>
      <c r="CY153" s="99"/>
      <c r="CZ153" s="2" t="b">
        <f>IF($DP$1="YES",IF(RecData[[#This Row],[Power (kW)]]&gt;=$CR$3, TRUE,FALSE),TRUE)</f>
        <v>1</v>
      </c>
      <c r="DA153" s="16">
        <f>MIN(MOD(180-ABS(ABS($DA$1-RecData[Yaw Angle (°)])-180),360),MOD(180-ABS(ABS($DB$1-RecData[Yaw Angle (°)])-180),360))</f>
        <v>25.470355509910064</v>
      </c>
      <c r="DB153" s="2" t="str">
        <f>IF($DP$2="None","None",IF(RecData[[#This Row],[Relative Wind Direction]]&lt;=45,"DW",IF(RecData[[#This Row],[Relative Wind Direction]]&lt;=135,"CW","UW")))</f>
        <v>DW</v>
      </c>
      <c r="DC153" s="61" t="e">
        <f>IF($CL153-#REF!&gt;1/24,#REF!,IF(SUM($CQ150:$CQ153)&gt;$DS$1,$DS$5,DC154-1))</f>
        <v>#REF!</v>
      </c>
      <c r="DD153" s="61" t="e">
        <f>IF($CL154-$CL153&gt;1/24,#REF!,IF(SUM($CQ150:$CQ153)&gt;$DS$1,$DS$6,DD152-1))</f>
        <v>#REF!</v>
      </c>
      <c r="DE153" s="18" t="b">
        <v>0</v>
      </c>
      <c r="DF153" s="2" t="b">
        <f>IF(OR(RecData[[#This Row],[WSpd_Avg '[m/s']]]-RecData[[#This Row],[Wind Speed min]]&gt;=$DF$3,RecData[[#This Row],[Wind Speed max]]-RecData[[#This Row],[WSpd_Avg '[m/s']]]&gt;=$DF$2),TRUE,FALSE)</f>
        <v>0</v>
      </c>
      <c r="DG153" s="2" t="b">
        <f>RecData[[#This Row],[Temperature '[°C']]]&lt;=-20</f>
        <v>0</v>
      </c>
      <c r="DH153" s="18" t="b">
        <f>NOT(OR(MOD(RecData[[#This Row],[TIMESTAMP]],1)&gt;0.91632,MOD(RecData[[#This Row],[TIMESTAMP]],1)&lt;0.208681))</f>
        <v>0</v>
      </c>
      <c r="DI153" s="18" t="b">
        <f>RecData[[#This Row],[Overall (dBA)]]-RecData[[#This Row],[L90]]&gt;=$DS$4</f>
        <v>0</v>
      </c>
      <c r="DJ153" s="18" t="b">
        <f>RecData[[#This Row],[Overall (dBA)]]&gt;$DS$2</f>
        <v>0</v>
      </c>
      <c r="DK153" s="18" t="b">
        <f>RecData[[#This Row],[Overall (dBA)]]&lt;$DS$3</f>
        <v>0</v>
      </c>
      <c r="DL1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3" s="2">
        <f>IF(AND(RecData[[#This Row],[Turbines ON/OFF]] = "OFF", NOT(OR(RecData[[#This Row],[Junk?]]="YES",RecData[[#This Row],[Gust?]],RecData[[#This Row],[Rain?]:[Min SPL Threshold?]]))),1,0)</f>
        <v>0</v>
      </c>
      <c r="DN153" s="16">
        <f>RecData[[#This Row],[dBA Sum]]</f>
        <v>39.884428609021107</v>
      </c>
      <c r="DO153" s="16">
        <f>RecData[[#This Row],[LAF90.0]]</f>
        <v>41.1</v>
      </c>
      <c r="DP153" s="55">
        <f>IF(AND(RecData[[#This Row],[Useable TON Data?]],RecData[[#This Row],[Turbines ON/OFF]]="ON"),RecData[[#This Row],[dBA Sum]],"")</f>
        <v>39.884428609021107</v>
      </c>
      <c r="DQ153" s="55" t="str">
        <f>IF(AND(RecData[[#This Row],[Useable Background Data?]],RecData[[#This Row],[Turbines ON/OFF]]="OFF"),RecData[[#This Row],[dBA Sum]],"")</f>
        <v/>
      </c>
      <c r="DR153" s="3">
        <f>IF(OR(RecData[[#This Row],[Useable TON Data?]],RecData[[#This Row],[Useable Background Data?]]),ROUND(RecData[[#This Row],[WSpd_Avg '[m/s']]],0),"")</f>
        <v>1</v>
      </c>
      <c r="DS153" s="85">
        <f>(0.00002)^2*(10^(RecData[[#This Row],[Overall (dBA)]]/10))</f>
        <v>3.8949586571030638E-6</v>
      </c>
    </row>
    <row r="154" spans="1:123" ht="15" x14ac:dyDescent="0.25">
      <c r="A154" s="3" t="s">
        <v>249</v>
      </c>
      <c r="B154" s="12">
        <v>43252.957638888896</v>
      </c>
      <c r="C154" s="3"/>
      <c r="D154" s="3">
        <v>42.6</v>
      </c>
      <c r="E154" s="3"/>
      <c r="F154" s="3"/>
      <c r="G154" s="3"/>
      <c r="H154" s="3"/>
      <c r="I154" s="3"/>
      <c r="J154" s="3"/>
      <c r="K154" s="3">
        <v>41.1</v>
      </c>
      <c r="L154" s="3"/>
      <c r="M154" s="3"/>
      <c r="N154" s="3">
        <v>179.8</v>
      </c>
      <c r="O154" s="3"/>
      <c r="P154" s="3"/>
      <c r="Q154" s="3">
        <v>0.53</v>
      </c>
      <c r="R154" s="3">
        <v>0.1</v>
      </c>
      <c r="S154" s="3">
        <v>1.4</v>
      </c>
      <c r="T154" s="3">
        <v>9.4</v>
      </c>
      <c r="U154" s="3">
        <v>60.3</v>
      </c>
      <c r="V154" s="3">
        <v>975.4</v>
      </c>
      <c r="W154" s="3">
        <v>0</v>
      </c>
      <c r="X154" s="3">
        <v>49.1</v>
      </c>
      <c r="Y154" s="3">
        <v>49.5</v>
      </c>
      <c r="Z154" s="3">
        <v>48.2</v>
      </c>
      <c r="AA154" s="3">
        <v>43.8</v>
      </c>
      <c r="AB154" s="3">
        <v>39.5</v>
      </c>
      <c r="AC154" s="3">
        <v>37</v>
      </c>
      <c r="AD154" s="3">
        <v>40.4</v>
      </c>
      <c r="AE154" s="3">
        <v>42.1</v>
      </c>
      <c r="AF154" s="3">
        <v>47.1</v>
      </c>
      <c r="AG154" s="3">
        <v>39.1</v>
      </c>
      <c r="AH154" s="3">
        <v>36.200000000000003</v>
      </c>
      <c r="AI154" s="3">
        <v>36.1</v>
      </c>
      <c r="AJ154" s="3">
        <v>35.1</v>
      </c>
      <c r="AK154" s="3">
        <v>33.799999999999997</v>
      </c>
      <c r="AL154" s="3">
        <v>32.200000000000003</v>
      </c>
      <c r="AM154" s="3">
        <v>32.6</v>
      </c>
      <c r="AN154" s="3">
        <v>31.6</v>
      </c>
      <c r="AO154" s="3">
        <v>28.6</v>
      </c>
      <c r="AP154" s="3">
        <v>26.6</v>
      </c>
      <c r="AQ154" s="3">
        <v>24</v>
      </c>
      <c r="AR154" s="3">
        <v>20.7</v>
      </c>
      <c r="AS154" s="3">
        <v>34.1</v>
      </c>
      <c r="AT154" s="3">
        <v>36.1</v>
      </c>
      <c r="AU154" s="3">
        <v>15</v>
      </c>
      <c r="AV154" s="3">
        <v>13.1</v>
      </c>
      <c r="AW154" s="3">
        <v>11.7</v>
      </c>
      <c r="AX154" s="3">
        <v>9.9</v>
      </c>
      <c r="AY154" s="3">
        <v>9.6999999999999993</v>
      </c>
      <c r="AZ154" s="3">
        <v>0</v>
      </c>
      <c r="BA154" s="3">
        <v>0</v>
      </c>
      <c r="BB154" s="3">
        <v>0</v>
      </c>
      <c r="BC154" s="3">
        <v>42.572564396182869</v>
      </c>
      <c r="BD154" s="3">
        <v>49.127435603817133</v>
      </c>
      <c r="BE154" s="3">
        <v>49.527435603817125</v>
      </c>
      <c r="BF154" s="3">
        <v>46.987435603817133</v>
      </c>
      <c r="BG154" s="3">
        <v>42.914102270483795</v>
      </c>
      <c r="BH154" s="3">
        <v>38.754102270483799</v>
      </c>
      <c r="BI154" s="3">
        <v>36.66743560381714</v>
      </c>
      <c r="BJ154" s="3">
        <v>40.860768937150468</v>
      </c>
      <c r="BK154" s="3">
        <v>42.434102270483791</v>
      </c>
      <c r="BL154" s="3">
        <v>47.007435603817143</v>
      </c>
      <c r="BM154" s="3">
        <v>39.140768937150469</v>
      </c>
      <c r="BN154" s="3">
        <v>36.524102270483795</v>
      </c>
      <c r="BO154" s="3">
        <v>35.790768937150474</v>
      </c>
      <c r="BP154" s="3">
        <v>34.507435603817143</v>
      </c>
      <c r="BQ154" s="3">
        <v>33.624102270483789</v>
      </c>
      <c r="BR154" s="3">
        <v>32.350768937150477</v>
      </c>
      <c r="BS154" s="3">
        <v>32.554102270483796</v>
      </c>
      <c r="BT154" s="3">
        <v>31.750768937150468</v>
      </c>
      <c r="BU154" s="3">
        <v>28.717435603817137</v>
      </c>
      <c r="BV154" s="3">
        <v>26.434102270483805</v>
      </c>
      <c r="BW154" s="3">
        <v>24.367435603817128</v>
      </c>
      <c r="BX154" s="3">
        <v>20.987435603817133</v>
      </c>
      <c r="BY154" s="3">
        <v>34.207435603817132</v>
      </c>
      <c r="BZ154" s="3">
        <v>36.337435603817127</v>
      </c>
      <c r="CA154" s="3">
        <v>15.337435603817127</v>
      </c>
      <c r="CB154" s="3">
        <v>12.874102270483796</v>
      </c>
      <c r="CC154" s="3">
        <v>11.687435603817129</v>
      </c>
      <c r="CD154" s="3">
        <v>9.1941022704838034</v>
      </c>
      <c r="CE154" s="3">
        <v>9.1874356038171285</v>
      </c>
      <c r="CF154" s="3">
        <v>-0.89923106284953747</v>
      </c>
      <c r="CG154" s="3">
        <v>-1.4325643961828689</v>
      </c>
      <c r="CH154" s="3">
        <v>-2.5092310628495369</v>
      </c>
      <c r="CI154" s="13">
        <f>[1]!dbasum(RecData[[#This Row],[20]:[2000]],RecData[[#Headers],[20]:[2000]])</f>
        <v>39.611101064368988</v>
      </c>
      <c r="CJ154" s="14">
        <v>908</v>
      </c>
      <c r="CK154" s="15" t="s">
        <v>249</v>
      </c>
      <c r="CL154" s="15">
        <f>RecData[[#This Row],[Start Time]]</f>
        <v>43252.957638888896</v>
      </c>
      <c r="CM154" s="16">
        <f>RecData[[#This Row],[Wind Speed avg]]</f>
        <v>0.53</v>
      </c>
      <c r="CN154" s="16">
        <f>RecData[[#This Row],[Wind Dir. avg]]</f>
        <v>179.8</v>
      </c>
      <c r="CO154" s="16">
        <f>RecData[[#This Row],[Amb. Humidity]]</f>
        <v>60.3</v>
      </c>
      <c r="CP154" s="16">
        <f>RecData[[#This Row],[Amb. Temperature]]</f>
        <v>9.4</v>
      </c>
      <c r="CQ154" s="17">
        <f>RecData[[#This Row],[Amb. Rain Gauge]]</f>
        <v>0</v>
      </c>
      <c r="CR154" s="4" t="s">
        <v>1</v>
      </c>
      <c r="CS154" s="4" t="s">
        <v>49</v>
      </c>
      <c r="CT154" s="70">
        <v>1586.2745359999999</v>
      </c>
      <c r="CU154" s="70">
        <v>33.000282287597599</v>
      </c>
      <c r="CV154" s="70">
        <v>11.3119049072265</v>
      </c>
      <c r="CW154" s="70">
        <v>15.131319999694799</v>
      </c>
      <c r="CX154" s="97"/>
      <c r="CY154" s="99"/>
      <c r="CZ154" s="2" t="b">
        <f>IF($DP$1="YES",IF(RecData[[#This Row],[Power (kW)]]&gt;=$CR$3, TRUE,FALSE),TRUE)</f>
        <v>1</v>
      </c>
      <c r="DA154" s="16">
        <f>MIN(MOD(180-ABS(ABS($DA$1-RecData[Yaw Angle (°)])-180),360),MOD(180-ABS(ABS($DB$1-RecData[Yaw Angle (°)])-180),360))</f>
        <v>25.470355509910064</v>
      </c>
      <c r="DB154" s="2" t="str">
        <f>IF($DP$2="None","None",IF(RecData[[#This Row],[Relative Wind Direction]]&lt;=45,"DW",IF(RecData[[#This Row],[Relative Wind Direction]]&lt;=135,"CW","UW")))</f>
        <v>DW</v>
      </c>
      <c r="DC154" s="61" t="e">
        <f>IF($CL154-$CL150&gt;1/24,#REF!,IF(SUM($CQ150:$CQ154)&gt;$DS$1,$DS$5,#REF!-1))</f>
        <v>#REF!</v>
      </c>
      <c r="DD154" s="61" t="e">
        <f>IF(#REF!-$CL154&gt;1/24,#REF!,IF(SUM($CQ150:$CQ154)&gt;$DS$1,$DS$6,DD153-1))</f>
        <v>#REF!</v>
      </c>
      <c r="DE154" s="18" t="b">
        <v>0</v>
      </c>
      <c r="DF154" s="2" t="b">
        <f>IF(OR(RecData[[#This Row],[WSpd_Avg '[m/s']]]-RecData[[#This Row],[Wind Speed min]]&gt;=$DF$3,RecData[[#This Row],[Wind Speed max]]-RecData[[#This Row],[WSpd_Avg '[m/s']]]&gt;=$DF$2),TRUE,FALSE)</f>
        <v>0</v>
      </c>
      <c r="DG154" s="2" t="b">
        <f>RecData[[#This Row],[Temperature '[°C']]]&lt;=-20</f>
        <v>0</v>
      </c>
      <c r="DH154" s="18" t="b">
        <f>NOT(OR(MOD(RecData[[#This Row],[TIMESTAMP]],1)&gt;0.91632,MOD(RecData[[#This Row],[TIMESTAMP]],1)&lt;0.208681))</f>
        <v>0</v>
      </c>
      <c r="DI154" s="18" t="b">
        <f>RecData[[#This Row],[Overall (dBA)]]-RecData[[#This Row],[L90]]&gt;=$DS$4</f>
        <v>0</v>
      </c>
      <c r="DJ154" s="18" t="b">
        <f>RecData[[#This Row],[Overall (dBA)]]&gt;$DS$2</f>
        <v>0</v>
      </c>
      <c r="DK154" s="18" t="b">
        <f>RecData[[#This Row],[Overall (dBA)]]&lt;$DS$3</f>
        <v>0</v>
      </c>
      <c r="DL1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4" s="2">
        <f>IF(AND(RecData[[#This Row],[Turbines ON/OFF]] = "OFF", NOT(OR(RecData[[#This Row],[Junk?]]="YES",RecData[[#This Row],[Gust?]],RecData[[#This Row],[Rain?]:[Min SPL Threshold?]]))),1,0)</f>
        <v>0</v>
      </c>
      <c r="DN154" s="16">
        <f>RecData[[#This Row],[dBA Sum]]</f>
        <v>39.611101064368988</v>
      </c>
      <c r="DO154" s="16">
        <f>RecData[[#This Row],[LAF90.0]]</f>
        <v>41.1</v>
      </c>
      <c r="DP154" s="55">
        <f>IF(AND(RecData[[#This Row],[Useable TON Data?]],RecData[[#This Row],[Turbines ON/OFF]]="ON"),RecData[[#This Row],[dBA Sum]],"")</f>
        <v>39.611101064368988</v>
      </c>
      <c r="DQ154" s="55" t="str">
        <f>IF(AND(RecData[[#This Row],[Useable Background Data?]],RecData[[#This Row],[Turbines ON/OFF]]="OFF"),RecData[[#This Row],[dBA Sum]],"")</f>
        <v/>
      </c>
      <c r="DR154" s="3">
        <f>IF(OR(RecData[[#This Row],[Useable TON Data?]],RecData[[#This Row],[Useable Background Data?]]),ROUND(RecData[[#This Row],[WSpd_Avg '[m/s']]],0),"")</f>
        <v>1</v>
      </c>
      <c r="DS154" s="85">
        <f>(0.00002)^2*(10^(RecData[[#This Row],[Overall (dBA)]]/10))</f>
        <v>3.6573801018779006E-6</v>
      </c>
    </row>
    <row r="155" spans="1:123" ht="15" x14ac:dyDescent="0.25">
      <c r="A155" s="3" t="s">
        <v>249</v>
      </c>
      <c r="B155" s="12">
        <v>43252.959027777782</v>
      </c>
      <c r="C155" s="3"/>
      <c r="D155" s="3">
        <v>42.2</v>
      </c>
      <c r="E155" s="3"/>
      <c r="F155" s="3"/>
      <c r="G155" s="3"/>
      <c r="H155" s="3"/>
      <c r="I155" s="3"/>
      <c r="J155" s="3"/>
      <c r="K155" s="3">
        <v>41.1</v>
      </c>
      <c r="L155" s="3"/>
      <c r="M155" s="3"/>
      <c r="N155" s="3">
        <v>120</v>
      </c>
      <c r="O155" s="3"/>
      <c r="P155" s="3"/>
      <c r="Q155" s="3">
        <v>1.43</v>
      </c>
      <c r="R155" s="3">
        <v>0.5</v>
      </c>
      <c r="S155" s="3">
        <v>2.9</v>
      </c>
      <c r="T155" s="3">
        <v>9.4</v>
      </c>
      <c r="U155" s="3">
        <v>59.8</v>
      </c>
      <c r="V155" s="3">
        <v>975.3</v>
      </c>
      <c r="W155" s="3">
        <v>0</v>
      </c>
      <c r="X155" s="3">
        <v>50.8</v>
      </c>
      <c r="Y155" s="3">
        <v>49.6</v>
      </c>
      <c r="Z155" s="3">
        <v>48.7</v>
      </c>
      <c r="AA155" s="3">
        <v>44.2</v>
      </c>
      <c r="AB155" s="3">
        <v>39.6</v>
      </c>
      <c r="AC155" s="3">
        <v>38.700000000000003</v>
      </c>
      <c r="AD155" s="3">
        <v>41.5</v>
      </c>
      <c r="AE155" s="3">
        <v>42.4</v>
      </c>
      <c r="AF155" s="3">
        <v>46</v>
      </c>
      <c r="AG155" s="3">
        <v>37.6</v>
      </c>
      <c r="AH155" s="3">
        <v>36.700000000000003</v>
      </c>
      <c r="AI155" s="3">
        <v>36</v>
      </c>
      <c r="AJ155" s="3">
        <v>34.9</v>
      </c>
      <c r="AK155" s="3">
        <v>33.9</v>
      </c>
      <c r="AL155" s="3">
        <v>32.200000000000003</v>
      </c>
      <c r="AM155" s="3">
        <v>32.299999999999997</v>
      </c>
      <c r="AN155" s="3">
        <v>31.2</v>
      </c>
      <c r="AO155" s="3">
        <v>28.2</v>
      </c>
      <c r="AP155" s="3">
        <v>26.4</v>
      </c>
      <c r="AQ155" s="3">
        <v>24.2</v>
      </c>
      <c r="AR155" s="3">
        <v>22.2</v>
      </c>
      <c r="AS155" s="3">
        <v>33.5</v>
      </c>
      <c r="AT155" s="3">
        <v>35.5</v>
      </c>
      <c r="AU155" s="3">
        <v>17.899999999999999</v>
      </c>
      <c r="AV155" s="3">
        <v>15.9</v>
      </c>
      <c r="AW155" s="3">
        <v>14.3</v>
      </c>
      <c r="AX155" s="3">
        <v>11.3</v>
      </c>
      <c r="AY155" s="3">
        <v>10.5</v>
      </c>
      <c r="AZ155" s="3">
        <v>0</v>
      </c>
      <c r="BA155" s="3">
        <v>0</v>
      </c>
      <c r="BB155" s="3">
        <v>0</v>
      </c>
      <c r="BC155" s="3">
        <v>42.173843355496494</v>
      </c>
      <c r="BD155" s="3">
        <v>50.826156644503506</v>
      </c>
      <c r="BE155" s="3">
        <v>49.626156644503517</v>
      </c>
      <c r="BF155" s="3">
        <v>47.486156644503502</v>
      </c>
      <c r="BG155" s="3">
        <v>43.312823311170185</v>
      </c>
      <c r="BH155" s="3">
        <v>38.852823311170177</v>
      </c>
      <c r="BI155" s="3">
        <v>38.366156644503512</v>
      </c>
      <c r="BJ155" s="3">
        <v>41.959489977836832</v>
      </c>
      <c r="BK155" s="3">
        <v>42.732823311170172</v>
      </c>
      <c r="BL155" s="3">
        <v>45.906156644503518</v>
      </c>
      <c r="BM155" s="3">
        <v>37.639489977836838</v>
      </c>
      <c r="BN155" s="3">
        <v>37.022823311170178</v>
      </c>
      <c r="BO155" s="3">
        <v>35.68948997783685</v>
      </c>
      <c r="BP155" s="3">
        <v>34.30615664450351</v>
      </c>
      <c r="BQ155" s="3">
        <v>33.722823311170167</v>
      </c>
      <c r="BR155" s="3">
        <v>32.349489977836846</v>
      </c>
      <c r="BS155" s="3">
        <v>32.252823311170182</v>
      </c>
      <c r="BT155" s="3">
        <v>31.349489977836846</v>
      </c>
      <c r="BU155" s="3">
        <v>28.316156644503515</v>
      </c>
      <c r="BV155" s="3">
        <v>26.232823311170172</v>
      </c>
      <c r="BW155" s="3">
        <v>24.566156644503515</v>
      </c>
      <c r="BX155" s="3">
        <v>22.486156644503517</v>
      </c>
      <c r="BY155" s="3">
        <v>33.606156644503507</v>
      </c>
      <c r="BZ155" s="3">
        <v>35.736156644503502</v>
      </c>
      <c r="CA155" s="3">
        <v>18.236156644503502</v>
      </c>
      <c r="CB155" s="3">
        <v>15.67282331117017</v>
      </c>
      <c r="CC155" s="3">
        <v>14.286156644503507</v>
      </c>
      <c r="CD155" s="3">
        <v>10.592823311170179</v>
      </c>
      <c r="CE155" s="3">
        <v>9.9861566445035095</v>
      </c>
      <c r="CF155" s="3">
        <v>-0.90051002216316078</v>
      </c>
      <c r="CG155" s="3">
        <v>-1.4338433554964922</v>
      </c>
      <c r="CH155" s="3">
        <v>-2.5105100221631602</v>
      </c>
      <c r="CI155" s="13">
        <f>[1]!dbasum(RecData[[#This Row],[20]:[2000]],RecData[[#Headers],[20]:[2000]])</f>
        <v>39.361878992039209</v>
      </c>
      <c r="CJ155" s="14">
        <v>910</v>
      </c>
      <c r="CK155" s="15" t="s">
        <v>249</v>
      </c>
      <c r="CL155" s="15">
        <f>RecData[[#This Row],[Start Time]]</f>
        <v>43252.959027777782</v>
      </c>
      <c r="CM155" s="16">
        <f>RecData[[#This Row],[Wind Speed avg]]</f>
        <v>1.43</v>
      </c>
      <c r="CN155" s="16">
        <f>RecData[[#This Row],[Wind Dir. avg]]</f>
        <v>120</v>
      </c>
      <c r="CO155" s="16">
        <f>RecData[[#This Row],[Amb. Humidity]]</f>
        <v>59.8</v>
      </c>
      <c r="CP155" s="16">
        <f>RecData[[#This Row],[Amb. Temperature]]</f>
        <v>9.4</v>
      </c>
      <c r="CQ155" s="17">
        <f>RecData[[#This Row],[Amb. Rain Gauge]]</f>
        <v>0</v>
      </c>
      <c r="CR155" s="4" t="s">
        <v>1</v>
      </c>
      <c r="CS155" s="4" t="s">
        <v>49</v>
      </c>
      <c r="CT155" s="70">
        <v>1588.837769</v>
      </c>
      <c r="CU155" s="70">
        <v>33.000278472900298</v>
      </c>
      <c r="CV155" s="70">
        <v>10.899296760559</v>
      </c>
      <c r="CW155" s="70">
        <v>15.162471771240201</v>
      </c>
      <c r="CX155" s="97"/>
      <c r="CY155" s="99"/>
      <c r="CZ155" s="2" t="b">
        <f>IF($DP$1="YES",IF(RecData[[#This Row],[Power (kW)]]&gt;=$CR$3, TRUE,FALSE),TRUE)</f>
        <v>1</v>
      </c>
      <c r="DA155" s="16">
        <f>MIN(MOD(180-ABS(ABS($DA$1-RecData[Yaw Angle (°)])-180),360),MOD(180-ABS(ABS($DB$1-RecData[Yaw Angle (°)])-180),360))</f>
        <v>25.470351695212742</v>
      </c>
      <c r="DB155" s="2" t="str">
        <f>IF($DP$2="None","None",IF(RecData[[#This Row],[Relative Wind Direction]]&lt;=45,"DW",IF(RecData[[#This Row],[Relative Wind Direction]]&lt;=135,"CW","UW")))</f>
        <v>DW</v>
      </c>
      <c r="DC155" s="61">
        <v>-1</v>
      </c>
      <c r="DD155" s="61">
        <v>-1</v>
      </c>
      <c r="DE155" s="18" t="b">
        <v>0</v>
      </c>
      <c r="DF155" s="2" t="b">
        <f>IF(OR(RecData[[#This Row],[WSpd_Avg '[m/s']]]-RecData[[#This Row],[Wind Speed min]]&gt;=$DF$3,RecData[[#This Row],[Wind Speed max]]-RecData[[#This Row],[WSpd_Avg '[m/s']]]&gt;=$DF$2),TRUE,FALSE)</f>
        <v>0</v>
      </c>
      <c r="DG155" s="2" t="b">
        <f>RecData[[#This Row],[Temperature '[°C']]]&lt;=-20</f>
        <v>0</v>
      </c>
      <c r="DH155" s="18" t="b">
        <f>NOT(OR(MOD(RecData[[#This Row],[TIMESTAMP]],1)&gt;0.91632,MOD(RecData[[#This Row],[TIMESTAMP]],1)&lt;0.208681))</f>
        <v>0</v>
      </c>
      <c r="DI155" s="18" t="b">
        <f>RecData[[#This Row],[Overall (dBA)]]-RecData[[#This Row],[L90]]&gt;=$DS$4</f>
        <v>0</v>
      </c>
      <c r="DJ155" s="18" t="b">
        <f>RecData[[#This Row],[Overall (dBA)]]&gt;$DS$2</f>
        <v>0</v>
      </c>
      <c r="DK155" s="18" t="b">
        <f>RecData[[#This Row],[Overall (dBA)]]&lt;$DS$3</f>
        <v>0</v>
      </c>
      <c r="DL1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5" s="2">
        <f>IF(AND(RecData[[#This Row],[Turbines ON/OFF]] = "OFF", NOT(OR(RecData[[#This Row],[Junk?]]="YES",RecData[[#This Row],[Gust?]],RecData[[#This Row],[Rain?]:[Min SPL Threshold?]]))),1,0)</f>
        <v>0</v>
      </c>
      <c r="DN155" s="16">
        <f>RecData[[#This Row],[dBA Sum]]</f>
        <v>39.361878992039209</v>
      </c>
      <c r="DO155" s="16">
        <f>RecData[[#This Row],[LAF90.0]]</f>
        <v>41.1</v>
      </c>
      <c r="DP155" s="55">
        <f>IF(AND(RecData[[#This Row],[Useable TON Data?]],RecData[[#This Row],[Turbines ON/OFF]]="ON"),RecData[[#This Row],[dBA Sum]],"")</f>
        <v>39.361878992039209</v>
      </c>
      <c r="DQ155" s="55" t="str">
        <f>IF(AND(RecData[[#This Row],[Useable Background Data?]],RecData[[#This Row],[Turbines ON/OFF]]="OFF"),RecData[[#This Row],[dBA Sum]],"")</f>
        <v/>
      </c>
      <c r="DR155" s="3">
        <f>IF(OR(RecData[[#This Row],[Useable TON Data?]],RecData[[#This Row],[Useable Background Data?]]),ROUND(RecData[[#This Row],[WSpd_Avg '[m/s']]],0),"")</f>
        <v>1</v>
      </c>
      <c r="DS155" s="85">
        <f>(0.00002)^2*(10^(RecData[[#This Row],[Overall (dBA)]]/10))</f>
        <v>3.4534079983530732E-6</v>
      </c>
    </row>
    <row r="156" spans="1:123" ht="15" x14ac:dyDescent="0.25">
      <c r="A156" s="3" t="s">
        <v>249</v>
      </c>
      <c r="B156" s="12">
        <v>43252.959722222222</v>
      </c>
      <c r="C156" s="3"/>
      <c r="D156" s="3">
        <v>42.1</v>
      </c>
      <c r="E156" s="3"/>
      <c r="F156" s="3"/>
      <c r="G156" s="3"/>
      <c r="H156" s="3"/>
      <c r="I156" s="3"/>
      <c r="J156" s="3"/>
      <c r="K156" s="3">
        <v>40.700000000000003</v>
      </c>
      <c r="L156" s="3"/>
      <c r="M156" s="3"/>
      <c r="N156" s="3">
        <v>153.1</v>
      </c>
      <c r="O156" s="3"/>
      <c r="P156" s="3"/>
      <c r="Q156" s="3">
        <v>1</v>
      </c>
      <c r="R156" s="3">
        <v>0.5</v>
      </c>
      <c r="S156" s="3">
        <v>1.7</v>
      </c>
      <c r="T156" s="3">
        <v>9.4</v>
      </c>
      <c r="U156" s="3">
        <v>60.2</v>
      </c>
      <c r="V156" s="3">
        <v>975.3</v>
      </c>
      <c r="W156" s="3">
        <v>0</v>
      </c>
      <c r="X156" s="3">
        <v>48.9</v>
      </c>
      <c r="Y156" s="3">
        <v>48.9</v>
      </c>
      <c r="Z156" s="3">
        <v>48.3</v>
      </c>
      <c r="AA156" s="3">
        <v>44.4</v>
      </c>
      <c r="AB156" s="3">
        <v>39.799999999999997</v>
      </c>
      <c r="AC156" s="3">
        <v>37.6</v>
      </c>
      <c r="AD156" s="3">
        <v>40.299999999999997</v>
      </c>
      <c r="AE156" s="3">
        <v>41.5</v>
      </c>
      <c r="AF156" s="3">
        <v>45.9</v>
      </c>
      <c r="AG156" s="3">
        <v>38</v>
      </c>
      <c r="AH156" s="3">
        <v>35.9</v>
      </c>
      <c r="AI156" s="3">
        <v>36</v>
      </c>
      <c r="AJ156" s="3">
        <v>34.6</v>
      </c>
      <c r="AK156" s="3">
        <v>33.200000000000003</v>
      </c>
      <c r="AL156" s="3">
        <v>31.7</v>
      </c>
      <c r="AM156" s="3">
        <v>31.8</v>
      </c>
      <c r="AN156" s="3">
        <v>30.5</v>
      </c>
      <c r="AO156" s="3">
        <v>27.7</v>
      </c>
      <c r="AP156" s="3">
        <v>25.4</v>
      </c>
      <c r="AQ156" s="3">
        <v>22.8</v>
      </c>
      <c r="AR156" s="3">
        <v>19.399999999999999</v>
      </c>
      <c r="AS156" s="3">
        <v>33.6</v>
      </c>
      <c r="AT156" s="3">
        <v>36</v>
      </c>
      <c r="AU156" s="3">
        <v>12.4</v>
      </c>
      <c r="AV156" s="3">
        <v>10.199999999999999</v>
      </c>
      <c r="AW156" s="3">
        <v>9.6999999999999993</v>
      </c>
      <c r="AX156" s="3">
        <v>9.1999999999999993</v>
      </c>
      <c r="AY156" s="3">
        <v>9.4</v>
      </c>
      <c r="AZ156" s="3">
        <v>0</v>
      </c>
      <c r="BA156" s="3">
        <v>0</v>
      </c>
      <c r="BB156" s="3">
        <v>0</v>
      </c>
      <c r="BC156" s="3">
        <v>42.041074769570571</v>
      </c>
      <c r="BD156" s="3">
        <v>48.958925230429429</v>
      </c>
      <c r="BE156" s="3">
        <v>48.958925230429429</v>
      </c>
      <c r="BF156" s="3">
        <v>47.118925230429426</v>
      </c>
      <c r="BG156" s="3">
        <v>43.545591897096102</v>
      </c>
      <c r="BH156" s="3">
        <v>39.085591897096094</v>
      </c>
      <c r="BI156" s="3">
        <v>37.298925230429433</v>
      </c>
      <c r="BJ156" s="3">
        <v>40.792258563762758</v>
      </c>
      <c r="BK156" s="3">
        <v>41.865591897096095</v>
      </c>
      <c r="BL156" s="3">
        <v>45.838925230429425</v>
      </c>
      <c r="BM156" s="3">
        <v>38.072258563762773</v>
      </c>
      <c r="BN156" s="3">
        <v>36.255591897096096</v>
      </c>
      <c r="BO156" s="3">
        <v>35.722258563762765</v>
      </c>
      <c r="BP156" s="3">
        <v>34.038925230429442</v>
      </c>
      <c r="BQ156" s="3">
        <v>33.055591897096093</v>
      </c>
      <c r="BR156" s="3">
        <v>31.882258563762761</v>
      </c>
      <c r="BS156" s="3">
        <v>31.785591897096097</v>
      </c>
      <c r="BT156" s="3">
        <v>30.682258563762758</v>
      </c>
      <c r="BU156" s="3">
        <v>27.84892523042943</v>
      </c>
      <c r="BV156" s="3">
        <v>25.265591897096101</v>
      </c>
      <c r="BW156" s="3">
        <v>23.198925230429438</v>
      </c>
      <c r="BX156" s="3">
        <v>19.718925230429434</v>
      </c>
      <c r="BY156" s="3">
        <v>33.73892523042943</v>
      </c>
      <c r="BZ156" s="3">
        <v>36.268925230429431</v>
      </c>
      <c r="CA156" s="3">
        <v>12.768925230429424</v>
      </c>
      <c r="CB156" s="3">
        <v>10.005591897096096</v>
      </c>
      <c r="CC156" s="3">
        <v>9.7189252304294271</v>
      </c>
      <c r="CD156" s="3">
        <v>8.5255918970960991</v>
      </c>
      <c r="CE156" s="3">
        <v>8.91892523042943</v>
      </c>
      <c r="CF156" s="3">
        <v>-0.86774143623723887</v>
      </c>
      <c r="CG156" s="3">
        <v>-1.4010747695705703</v>
      </c>
      <c r="CH156" s="3">
        <v>-2.4777414362372383</v>
      </c>
      <c r="CI156" s="13">
        <f>[1]!dbasum(RecData[[#This Row],[20]:[2000]],RecData[[#Headers],[20]:[2000]])</f>
        <v>38.833650545499701</v>
      </c>
      <c r="CJ156" s="14">
        <v>911</v>
      </c>
      <c r="CK156" s="15" t="s">
        <v>249</v>
      </c>
      <c r="CL156" s="15">
        <f>RecData[[#This Row],[Start Time]]</f>
        <v>43252.959722222222</v>
      </c>
      <c r="CM156" s="16">
        <f>RecData[[#This Row],[Wind Speed avg]]</f>
        <v>1</v>
      </c>
      <c r="CN156" s="16">
        <f>RecData[[#This Row],[Wind Dir. avg]]</f>
        <v>153.1</v>
      </c>
      <c r="CO156" s="16">
        <f>RecData[[#This Row],[Amb. Humidity]]</f>
        <v>60.2</v>
      </c>
      <c r="CP156" s="16">
        <f>RecData[[#This Row],[Amb. Temperature]]</f>
        <v>9.4</v>
      </c>
      <c r="CQ156" s="17">
        <f>RecData[[#This Row],[Amb. Rain Gauge]]</f>
        <v>0</v>
      </c>
      <c r="CR156" s="4" t="s">
        <v>1</v>
      </c>
      <c r="CS156" s="4" t="s">
        <v>49</v>
      </c>
      <c r="CT156" s="70">
        <v>1588.837769</v>
      </c>
      <c r="CU156" s="70">
        <v>33.000278472900298</v>
      </c>
      <c r="CV156" s="70">
        <v>10.899296760559</v>
      </c>
      <c r="CW156" s="70">
        <v>15.162471771240201</v>
      </c>
      <c r="CX156" s="97"/>
      <c r="CY156" s="99"/>
      <c r="CZ156" s="2" t="b">
        <f>IF($DP$1="YES",IF(RecData[[#This Row],[Power (kW)]]&gt;=$CR$3, TRUE,FALSE),TRUE)</f>
        <v>1</v>
      </c>
      <c r="DA156" s="16">
        <f>MIN(MOD(180-ABS(ABS($DA$1-RecData[Yaw Angle (°)])-180),360),MOD(180-ABS(ABS($DB$1-RecData[Yaw Angle (°)])-180),360))</f>
        <v>25.470351695212742</v>
      </c>
      <c r="DB156" s="2" t="str">
        <f>IF($DP$2="None","None",IF(RecData[[#This Row],[Relative Wind Direction]]&lt;=45,"DW",IF(RecData[[#This Row],[Relative Wind Direction]]&lt;=135,"CW","UW")))</f>
        <v>DW</v>
      </c>
      <c r="DC156" s="61" t="e">
        <f>IF($CL156-$CL155&gt;1/24,#REF!,IF(SUM($CQ155:$CQ156)&gt;$DS$1,$DS$5,DC157-1))</f>
        <v>#REF!</v>
      </c>
      <c r="DD156" s="61">
        <f>IF($CL157-$CL156&gt;1/24,#REF!,IF(SUM($CQ155:$CQ156)&gt;$DS$1,$DS$6,DD155-1))</f>
        <v>-2</v>
      </c>
      <c r="DE156" s="18" t="b">
        <v>0</v>
      </c>
      <c r="DF156" s="2" t="b">
        <f>IF(OR(RecData[[#This Row],[WSpd_Avg '[m/s']]]-RecData[[#This Row],[Wind Speed min]]&gt;=$DF$3,RecData[[#This Row],[Wind Speed max]]-RecData[[#This Row],[WSpd_Avg '[m/s']]]&gt;=$DF$2),TRUE,FALSE)</f>
        <v>0</v>
      </c>
      <c r="DG156" s="2" t="b">
        <f>RecData[[#This Row],[Temperature '[°C']]]&lt;=-20</f>
        <v>0</v>
      </c>
      <c r="DH156" s="18" t="b">
        <f>NOT(OR(MOD(RecData[[#This Row],[TIMESTAMP]],1)&gt;0.91632,MOD(RecData[[#This Row],[TIMESTAMP]],1)&lt;0.208681))</f>
        <v>0</v>
      </c>
      <c r="DI156" s="18" t="b">
        <f>RecData[[#This Row],[Overall (dBA)]]-RecData[[#This Row],[L90]]&gt;=$DS$4</f>
        <v>0</v>
      </c>
      <c r="DJ156" s="18" t="b">
        <f>RecData[[#This Row],[Overall (dBA)]]&gt;$DS$2</f>
        <v>0</v>
      </c>
      <c r="DK156" s="18" t="b">
        <f>RecData[[#This Row],[Overall (dBA)]]&lt;$DS$3</f>
        <v>0</v>
      </c>
      <c r="DL1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6" s="2">
        <f>IF(AND(RecData[[#This Row],[Turbines ON/OFF]] = "OFF", NOT(OR(RecData[[#This Row],[Junk?]]="YES",RecData[[#This Row],[Gust?]],RecData[[#This Row],[Rain?]:[Min SPL Threshold?]]))),1,0)</f>
        <v>0</v>
      </c>
      <c r="DN156" s="16">
        <f>RecData[[#This Row],[dBA Sum]]</f>
        <v>38.833650545499701</v>
      </c>
      <c r="DO156" s="16">
        <f>RecData[[#This Row],[LAF90.0]]</f>
        <v>40.700000000000003</v>
      </c>
      <c r="DP156" s="55">
        <f>IF(AND(RecData[[#This Row],[Useable TON Data?]],RecData[[#This Row],[Turbines ON/OFF]]="ON"),RecData[[#This Row],[dBA Sum]],"")</f>
        <v>38.833650545499701</v>
      </c>
      <c r="DQ156" s="55" t="str">
        <f>IF(AND(RecData[[#This Row],[Useable Background Data?]],RecData[[#This Row],[Turbines ON/OFF]]="OFF"),RecData[[#This Row],[dBA Sum]],"")</f>
        <v/>
      </c>
      <c r="DR156" s="3">
        <f>IF(OR(RecData[[#This Row],[Useable TON Data?]],RecData[[#This Row],[Useable Background Data?]]),ROUND(RecData[[#This Row],[WSpd_Avg '[m/s']]],0),"")</f>
        <v>1</v>
      </c>
      <c r="DS156" s="85">
        <f>(0.00002)^2*(10^(RecData[[#This Row],[Overall (dBA)]]/10))</f>
        <v>3.0579124412264336E-6</v>
      </c>
    </row>
    <row r="157" spans="1:123" ht="15" x14ac:dyDescent="0.25">
      <c r="A157" s="3" t="s">
        <v>249</v>
      </c>
      <c r="B157" s="12">
        <v>43252.960416666669</v>
      </c>
      <c r="C157" s="3"/>
      <c r="D157" s="3">
        <v>42.9</v>
      </c>
      <c r="E157" s="3"/>
      <c r="F157" s="3"/>
      <c r="G157" s="3"/>
      <c r="H157" s="3"/>
      <c r="I157" s="3"/>
      <c r="J157" s="3"/>
      <c r="K157" s="3">
        <v>41.5</v>
      </c>
      <c r="L157" s="3"/>
      <c r="M157" s="3"/>
      <c r="N157" s="3">
        <v>185.4</v>
      </c>
      <c r="O157" s="3"/>
      <c r="P157" s="3"/>
      <c r="Q157" s="3">
        <v>0.93</v>
      </c>
      <c r="R157" s="3">
        <v>0.2</v>
      </c>
      <c r="S157" s="3">
        <v>2.1</v>
      </c>
      <c r="T157" s="3">
        <v>9.4</v>
      </c>
      <c r="U157" s="3">
        <v>60.3</v>
      </c>
      <c r="V157" s="3">
        <v>975.4</v>
      </c>
      <c r="W157" s="3">
        <v>0</v>
      </c>
      <c r="X157" s="3">
        <v>50.2</v>
      </c>
      <c r="Y157" s="3">
        <v>49.7</v>
      </c>
      <c r="Z157" s="3">
        <v>48.8</v>
      </c>
      <c r="AA157" s="3">
        <v>45</v>
      </c>
      <c r="AB157" s="3">
        <v>40</v>
      </c>
      <c r="AC157" s="3">
        <v>39.1</v>
      </c>
      <c r="AD157" s="3">
        <v>41.2</v>
      </c>
      <c r="AE157" s="3">
        <v>42</v>
      </c>
      <c r="AF157" s="3">
        <v>46.3</v>
      </c>
      <c r="AG157" s="3">
        <v>41</v>
      </c>
      <c r="AH157" s="3">
        <v>36.799999999999997</v>
      </c>
      <c r="AI157" s="3">
        <v>36.9</v>
      </c>
      <c r="AJ157" s="3">
        <v>35.700000000000003</v>
      </c>
      <c r="AK157" s="3">
        <v>34.200000000000003</v>
      </c>
      <c r="AL157" s="3">
        <v>32.700000000000003</v>
      </c>
      <c r="AM157" s="3">
        <v>32.799999999999997</v>
      </c>
      <c r="AN157" s="3">
        <v>31.5</v>
      </c>
      <c r="AO157" s="3">
        <v>28.5</v>
      </c>
      <c r="AP157" s="3">
        <v>26.1</v>
      </c>
      <c r="AQ157" s="3">
        <v>23.5</v>
      </c>
      <c r="AR157" s="3">
        <v>19.5</v>
      </c>
      <c r="AS157" s="3">
        <v>34.200000000000003</v>
      </c>
      <c r="AT157" s="3">
        <v>36.9</v>
      </c>
      <c r="AU157" s="3">
        <v>11.7</v>
      </c>
      <c r="AV157" s="3">
        <v>9.5</v>
      </c>
      <c r="AW157" s="3">
        <v>9.1999999999999993</v>
      </c>
      <c r="AX157" s="3">
        <v>9.1</v>
      </c>
      <c r="AY157" s="3">
        <v>9.3000000000000007</v>
      </c>
      <c r="AZ157" s="3">
        <v>0</v>
      </c>
      <c r="BA157" s="3">
        <v>0</v>
      </c>
      <c r="BB157" s="3">
        <v>0</v>
      </c>
      <c r="BC157" s="3">
        <v>42.912081635821309</v>
      </c>
      <c r="BD157" s="3">
        <v>50.187918364178685</v>
      </c>
      <c r="BE157" s="3">
        <v>49.687918364178685</v>
      </c>
      <c r="BF157" s="3">
        <v>47.547918364178685</v>
      </c>
      <c r="BG157" s="3">
        <v>44.074585030845356</v>
      </c>
      <c r="BH157" s="3">
        <v>39.214585030845356</v>
      </c>
      <c r="BI157" s="3">
        <v>38.727918364178691</v>
      </c>
      <c r="BJ157" s="3">
        <v>41.621251697512022</v>
      </c>
      <c r="BK157" s="3">
        <v>42.294585030845354</v>
      </c>
      <c r="BL157" s="3">
        <v>46.167918364178689</v>
      </c>
      <c r="BM157" s="3">
        <v>41.001251697512018</v>
      </c>
      <c r="BN157" s="3">
        <v>37.084585030845361</v>
      </c>
      <c r="BO157" s="3">
        <v>36.551251697512029</v>
      </c>
      <c r="BP157" s="3">
        <v>35.067918364178695</v>
      </c>
      <c r="BQ157" s="3">
        <v>33.984585030845352</v>
      </c>
      <c r="BR157" s="3">
        <v>32.81125169751202</v>
      </c>
      <c r="BS157" s="3">
        <v>32.714585030845356</v>
      </c>
      <c r="BT157" s="3">
        <v>31.611251697512031</v>
      </c>
      <c r="BU157" s="3">
        <v>28.5779183641787</v>
      </c>
      <c r="BV157" s="3">
        <v>25.894585030845363</v>
      </c>
      <c r="BW157" s="3">
        <v>23.8279183641787</v>
      </c>
      <c r="BX157" s="3">
        <v>19.747918364178695</v>
      </c>
      <c r="BY157" s="3">
        <v>34.267918364178698</v>
      </c>
      <c r="BZ157" s="3">
        <v>37.097918364178682</v>
      </c>
      <c r="CA157" s="3">
        <v>11.99791836417868</v>
      </c>
      <c r="CB157" s="3">
        <v>9.2345850308453521</v>
      </c>
      <c r="CC157" s="3">
        <v>9.1479183641786861</v>
      </c>
      <c r="CD157" s="3">
        <v>8.3545850308453566</v>
      </c>
      <c r="CE157" s="3">
        <v>8.7479183641786875</v>
      </c>
      <c r="CF157" s="3">
        <v>-0.93874830248797991</v>
      </c>
      <c r="CG157" s="3">
        <v>-1.4720816358213114</v>
      </c>
      <c r="CH157" s="3">
        <v>-2.5487483024879793</v>
      </c>
      <c r="CI157" s="13">
        <f>[1]!dbasum(RecData[[#This Row],[20]:[2000]],RecData[[#Headers],[20]:[2000]])</f>
        <v>39.725801173131437</v>
      </c>
      <c r="CJ157" s="14">
        <v>912</v>
      </c>
      <c r="CK157" s="15" t="s">
        <v>249</v>
      </c>
      <c r="CL157" s="15">
        <f>RecData[[#This Row],[Start Time]]</f>
        <v>43252.960416666669</v>
      </c>
      <c r="CM157" s="16">
        <f>RecData[[#This Row],[Wind Speed avg]]</f>
        <v>0.93</v>
      </c>
      <c r="CN157" s="16">
        <f>RecData[[#This Row],[Wind Dir. avg]]</f>
        <v>185.4</v>
      </c>
      <c r="CO157" s="16">
        <f>RecData[[#This Row],[Amb. Humidity]]</f>
        <v>60.3</v>
      </c>
      <c r="CP157" s="16">
        <f>RecData[[#This Row],[Amb. Temperature]]</f>
        <v>9.4</v>
      </c>
      <c r="CQ157" s="17">
        <f>RecData[[#This Row],[Amb. Rain Gauge]]</f>
        <v>0</v>
      </c>
      <c r="CR157" s="4" t="s">
        <v>1</v>
      </c>
      <c r="CS157" s="4" t="s">
        <v>49</v>
      </c>
      <c r="CT157" s="70">
        <v>1588.837769</v>
      </c>
      <c r="CU157" s="70">
        <v>33.000278472900298</v>
      </c>
      <c r="CV157" s="70">
        <v>10.899296760559</v>
      </c>
      <c r="CW157" s="70">
        <v>15.162471771240201</v>
      </c>
      <c r="CX157" s="97"/>
      <c r="CY157" s="99"/>
      <c r="CZ157" s="2" t="b">
        <f>IF($DP$1="YES",IF(RecData[[#This Row],[Power (kW)]]&gt;=$CR$3, TRUE,FALSE),TRUE)</f>
        <v>1</v>
      </c>
      <c r="DA157" s="16">
        <f>MIN(MOD(180-ABS(ABS($DA$1-RecData[Yaw Angle (°)])-180),360),MOD(180-ABS(ABS($DB$1-RecData[Yaw Angle (°)])-180),360))</f>
        <v>25.470351695212742</v>
      </c>
      <c r="DB157" s="2" t="str">
        <f>IF($DP$2="None","None",IF(RecData[[#This Row],[Relative Wind Direction]]&lt;=45,"DW",IF(RecData[[#This Row],[Relative Wind Direction]]&lt;=135,"CW","UW")))</f>
        <v>DW</v>
      </c>
      <c r="DC157" s="61" t="e">
        <f>IF($CL157-$CL155&gt;1/24,#REF!,IF(SUM($CQ155:$CQ157)&gt;$DS$1,$DS$5,#REF!-1))</f>
        <v>#REF!</v>
      </c>
      <c r="DD157" s="61" t="e">
        <f>IF(#REF!-$CL157&gt;1/24,#REF!,IF(SUM($CQ155:$CQ157)&gt;$DS$1,$DS$6,DD156-1))</f>
        <v>#REF!</v>
      </c>
      <c r="DE157" s="18" t="b">
        <v>0</v>
      </c>
      <c r="DF157" s="2" t="b">
        <f>IF(OR(RecData[[#This Row],[WSpd_Avg '[m/s']]]-RecData[[#This Row],[Wind Speed min]]&gt;=$DF$3,RecData[[#This Row],[Wind Speed max]]-RecData[[#This Row],[WSpd_Avg '[m/s']]]&gt;=$DF$2),TRUE,FALSE)</f>
        <v>0</v>
      </c>
      <c r="DG157" s="2" t="b">
        <f>RecData[[#This Row],[Temperature '[°C']]]&lt;=-20</f>
        <v>0</v>
      </c>
      <c r="DH157" s="18" t="b">
        <f>NOT(OR(MOD(RecData[[#This Row],[TIMESTAMP]],1)&gt;0.91632,MOD(RecData[[#This Row],[TIMESTAMP]],1)&lt;0.208681))</f>
        <v>0</v>
      </c>
      <c r="DI157" s="18" t="b">
        <f>RecData[[#This Row],[Overall (dBA)]]-RecData[[#This Row],[L90]]&gt;=$DS$4</f>
        <v>0</v>
      </c>
      <c r="DJ157" s="18" t="b">
        <f>RecData[[#This Row],[Overall (dBA)]]&gt;$DS$2</f>
        <v>0</v>
      </c>
      <c r="DK157" s="18" t="b">
        <f>RecData[[#This Row],[Overall (dBA)]]&lt;$DS$3</f>
        <v>0</v>
      </c>
      <c r="DL1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7" s="2">
        <f>IF(AND(RecData[[#This Row],[Turbines ON/OFF]] = "OFF", NOT(OR(RecData[[#This Row],[Junk?]]="YES",RecData[[#This Row],[Gust?]],RecData[[#This Row],[Rain?]:[Min SPL Threshold?]]))),1,0)</f>
        <v>0</v>
      </c>
      <c r="DN157" s="16">
        <f>RecData[[#This Row],[dBA Sum]]</f>
        <v>39.725801173131437</v>
      </c>
      <c r="DO157" s="16">
        <f>RecData[[#This Row],[LAF90.0]]</f>
        <v>41.5</v>
      </c>
      <c r="DP157" s="55">
        <f>IF(AND(RecData[[#This Row],[Useable TON Data?]],RecData[[#This Row],[Turbines ON/OFF]]="ON"),RecData[[#This Row],[dBA Sum]],"")</f>
        <v>39.725801173131437</v>
      </c>
      <c r="DQ157" s="55" t="str">
        <f>IF(AND(RecData[[#This Row],[Useable Background Data?]],RecData[[#This Row],[Turbines ON/OFF]]="OFF"),RecData[[#This Row],[dBA Sum]],"")</f>
        <v/>
      </c>
      <c r="DR157" s="3">
        <f>IF(OR(RecData[[#This Row],[Useable TON Data?]],RecData[[#This Row],[Useable Background Data?]]),ROUND(RecData[[#This Row],[WSpd_Avg '[m/s']]],0),"")</f>
        <v>1</v>
      </c>
      <c r="DS157" s="85">
        <f>(0.00002)^2*(10^(RecData[[#This Row],[Overall (dBA)]]/10))</f>
        <v>3.7552608417884009E-6</v>
      </c>
    </row>
    <row r="158" spans="1:123" ht="15" x14ac:dyDescent="0.25">
      <c r="A158" s="3" t="s">
        <v>249</v>
      </c>
      <c r="B158" s="12">
        <v>43252.961805555555</v>
      </c>
      <c r="C158" s="3"/>
      <c r="D158" s="3">
        <v>42.8</v>
      </c>
      <c r="E158" s="3"/>
      <c r="F158" s="3"/>
      <c r="G158" s="3"/>
      <c r="H158" s="3"/>
      <c r="I158" s="3"/>
      <c r="J158" s="3"/>
      <c r="K158" s="3">
        <v>41.1</v>
      </c>
      <c r="L158" s="3"/>
      <c r="M158" s="3"/>
      <c r="N158" s="3">
        <v>122.7</v>
      </c>
      <c r="O158" s="3"/>
      <c r="P158" s="3"/>
      <c r="Q158" s="3">
        <v>0.92</v>
      </c>
      <c r="R158" s="3">
        <v>0.2</v>
      </c>
      <c r="S158" s="3">
        <v>2.1</v>
      </c>
      <c r="T158" s="3">
        <v>9.4</v>
      </c>
      <c r="U158" s="3">
        <v>60</v>
      </c>
      <c r="V158" s="3">
        <v>975.4</v>
      </c>
      <c r="W158" s="3">
        <v>0</v>
      </c>
      <c r="X158" s="3">
        <v>49.8</v>
      </c>
      <c r="Y158" s="3">
        <v>49.2</v>
      </c>
      <c r="Z158" s="3">
        <v>48.5</v>
      </c>
      <c r="AA158" s="3">
        <v>44.2</v>
      </c>
      <c r="AB158" s="3">
        <v>39.6</v>
      </c>
      <c r="AC158" s="3">
        <v>38.299999999999997</v>
      </c>
      <c r="AD158" s="3">
        <v>41.1</v>
      </c>
      <c r="AE158" s="3">
        <v>42.5</v>
      </c>
      <c r="AF158" s="3">
        <v>46.9</v>
      </c>
      <c r="AG158" s="3">
        <v>38.9</v>
      </c>
      <c r="AH158" s="3">
        <v>36.4</v>
      </c>
      <c r="AI158" s="3">
        <v>35.9</v>
      </c>
      <c r="AJ158" s="3">
        <v>34.9</v>
      </c>
      <c r="AK158" s="3">
        <v>33.5</v>
      </c>
      <c r="AL158" s="3">
        <v>31.9</v>
      </c>
      <c r="AM158" s="3">
        <v>32.5</v>
      </c>
      <c r="AN158" s="3">
        <v>31.3</v>
      </c>
      <c r="AO158" s="3">
        <v>28.1</v>
      </c>
      <c r="AP158" s="3">
        <v>25.8</v>
      </c>
      <c r="AQ158" s="3">
        <v>23.2</v>
      </c>
      <c r="AR158" s="3">
        <v>19.3</v>
      </c>
      <c r="AS158" s="3">
        <v>34.1</v>
      </c>
      <c r="AT158" s="3">
        <v>37.1</v>
      </c>
      <c r="AU158" s="3">
        <v>13.3</v>
      </c>
      <c r="AV158" s="3">
        <v>11.9</v>
      </c>
      <c r="AW158" s="3">
        <v>11.3</v>
      </c>
      <c r="AX158" s="3">
        <v>9.9</v>
      </c>
      <c r="AY158" s="3">
        <v>9.8000000000000007</v>
      </c>
      <c r="AZ158" s="3">
        <v>0</v>
      </c>
      <c r="BA158" s="3">
        <v>0</v>
      </c>
      <c r="BB158" s="3">
        <v>0</v>
      </c>
      <c r="BC158" s="3">
        <v>42.76475841332902</v>
      </c>
      <c r="BD158" s="3">
        <v>49.835241586670975</v>
      </c>
      <c r="BE158" s="3">
        <v>49.23524158667098</v>
      </c>
      <c r="BF158" s="3">
        <v>47.295241586670983</v>
      </c>
      <c r="BG158" s="3">
        <v>43.321908253337654</v>
      </c>
      <c r="BH158" s="3">
        <v>38.861908253337646</v>
      </c>
      <c r="BI158" s="3">
        <v>37.975241586670975</v>
      </c>
      <c r="BJ158" s="3">
        <v>41.568574920004309</v>
      </c>
      <c r="BK158" s="3">
        <v>42.841908253337635</v>
      </c>
      <c r="BL158" s="3">
        <v>46.815241586670979</v>
      </c>
      <c r="BM158" s="3">
        <v>38.948574920004319</v>
      </c>
      <c r="BN158" s="3">
        <v>36.73190825333765</v>
      </c>
      <c r="BO158" s="3">
        <v>35.59857492000431</v>
      </c>
      <c r="BP158" s="3">
        <v>34.315241586670979</v>
      </c>
      <c r="BQ158" s="3">
        <v>33.331908253337645</v>
      </c>
      <c r="BR158" s="3">
        <v>32.058574920004304</v>
      </c>
      <c r="BS158" s="3">
        <v>32.46190825333764</v>
      </c>
      <c r="BT158" s="3">
        <v>31.45857492000431</v>
      </c>
      <c r="BU158" s="3">
        <v>28.22524158667099</v>
      </c>
      <c r="BV158" s="3">
        <v>25.641908253337647</v>
      </c>
      <c r="BW158" s="3">
        <v>23.575241586670984</v>
      </c>
      <c r="BX158" s="3">
        <v>19.59524158667098</v>
      </c>
      <c r="BY158" s="3">
        <v>34.21524158667097</v>
      </c>
      <c r="BZ158" s="3">
        <v>37.34524158667098</v>
      </c>
      <c r="CA158" s="3">
        <v>13.64524158667097</v>
      </c>
      <c r="CB158" s="3">
        <v>11.681908253337639</v>
      </c>
      <c r="CC158" s="3">
        <v>11.295241586670976</v>
      </c>
      <c r="CD158" s="3">
        <v>9.2019082533376491</v>
      </c>
      <c r="CE158" s="3">
        <v>9.2952415866709757</v>
      </c>
      <c r="CF158" s="3">
        <v>-0.89142507999569176</v>
      </c>
      <c r="CG158" s="3">
        <v>-1.4247584133290232</v>
      </c>
      <c r="CH158" s="3">
        <v>-2.5014250799956912</v>
      </c>
      <c r="CI158" s="13">
        <f>[1]!dbasum(RecData[[#This Row],[20]:[2000]],RecData[[#Headers],[20]:[2000]])</f>
        <v>39.349145321477714</v>
      </c>
      <c r="CJ158" s="14">
        <v>914</v>
      </c>
      <c r="CK158" s="15" t="s">
        <v>249</v>
      </c>
      <c r="CL158" s="15">
        <f>RecData[[#This Row],[Start Time]]</f>
        <v>43252.961805555555</v>
      </c>
      <c r="CM158" s="16">
        <f>RecData[[#This Row],[Wind Speed avg]]</f>
        <v>0.92</v>
      </c>
      <c r="CN158" s="16">
        <f>RecData[[#This Row],[Wind Dir. avg]]</f>
        <v>122.7</v>
      </c>
      <c r="CO158" s="16">
        <f>RecData[[#This Row],[Amb. Humidity]]</f>
        <v>60</v>
      </c>
      <c r="CP158" s="16">
        <f>RecData[[#This Row],[Amb. Temperature]]</f>
        <v>9.4</v>
      </c>
      <c r="CQ158" s="17">
        <f>RecData[[#This Row],[Amb. Rain Gauge]]</f>
        <v>0</v>
      </c>
      <c r="CR158" s="4" t="s">
        <v>1</v>
      </c>
      <c r="CS158" s="4" t="s">
        <v>49</v>
      </c>
      <c r="CT158" s="70">
        <v>1588.837769</v>
      </c>
      <c r="CU158" s="70">
        <v>33.000278472900298</v>
      </c>
      <c r="CV158" s="70">
        <v>10.899296760559</v>
      </c>
      <c r="CW158" s="70">
        <v>15.162471771240201</v>
      </c>
      <c r="CX158" s="97"/>
      <c r="CY158" s="99"/>
      <c r="CZ158" s="2" t="b">
        <f>IF($DP$1="YES",IF(RecData[[#This Row],[Power (kW)]]&gt;=$CR$3, TRUE,FALSE),TRUE)</f>
        <v>1</v>
      </c>
      <c r="DA158" s="16">
        <f>MIN(MOD(180-ABS(ABS($DA$1-RecData[Yaw Angle (°)])-180),360),MOD(180-ABS(ABS($DB$1-RecData[Yaw Angle (°)])-180),360))</f>
        <v>25.470351695212742</v>
      </c>
      <c r="DB158" s="2" t="str">
        <f>IF($DP$2="None","None",IF(RecData[[#This Row],[Relative Wind Direction]]&lt;=45,"DW",IF(RecData[[#This Row],[Relative Wind Direction]]&lt;=135,"CW","UW")))</f>
        <v>DW</v>
      </c>
      <c r="DC158" s="61" t="e">
        <f>IF($CL158-$CL155&gt;1/24,#REF!,IF(SUM($CQ155:$CQ158)&gt;$DS$1,$DS$5,DC159-1))</f>
        <v>#REF!</v>
      </c>
      <c r="DD158" s="61" t="e">
        <f>IF($CL159-$CL158&gt;1/24,#REF!,IF(SUM($CQ155:$CQ158)&gt;$DS$1,$DS$6,#REF!-1))</f>
        <v>#REF!</v>
      </c>
      <c r="DE158" s="18" t="b">
        <v>0</v>
      </c>
      <c r="DF158" s="2" t="b">
        <f>IF(OR(RecData[[#This Row],[WSpd_Avg '[m/s']]]-RecData[[#This Row],[Wind Speed min]]&gt;=$DF$3,RecData[[#This Row],[Wind Speed max]]-RecData[[#This Row],[WSpd_Avg '[m/s']]]&gt;=$DF$2),TRUE,FALSE)</f>
        <v>0</v>
      </c>
      <c r="DG158" s="2" t="b">
        <f>RecData[[#This Row],[Temperature '[°C']]]&lt;=-20</f>
        <v>0</v>
      </c>
      <c r="DH158" s="18" t="b">
        <f>NOT(OR(MOD(RecData[[#This Row],[TIMESTAMP]],1)&gt;0.91632,MOD(RecData[[#This Row],[TIMESTAMP]],1)&lt;0.208681))</f>
        <v>0</v>
      </c>
      <c r="DI158" s="18" t="b">
        <f>RecData[[#This Row],[Overall (dBA)]]-RecData[[#This Row],[L90]]&gt;=$DS$4</f>
        <v>0</v>
      </c>
      <c r="DJ158" s="18" t="b">
        <f>RecData[[#This Row],[Overall (dBA)]]&gt;$DS$2</f>
        <v>0</v>
      </c>
      <c r="DK158" s="18" t="b">
        <f>RecData[[#This Row],[Overall (dBA)]]&lt;$DS$3</f>
        <v>0</v>
      </c>
      <c r="DL1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8" s="2">
        <f>IF(AND(RecData[[#This Row],[Turbines ON/OFF]] = "OFF", NOT(OR(RecData[[#This Row],[Junk?]]="YES",RecData[[#This Row],[Gust?]],RecData[[#This Row],[Rain?]:[Min SPL Threshold?]]))),1,0)</f>
        <v>0</v>
      </c>
      <c r="DN158" s="16">
        <f>RecData[[#This Row],[dBA Sum]]</f>
        <v>39.349145321477714</v>
      </c>
      <c r="DO158" s="16">
        <f>RecData[[#This Row],[LAF90.0]]</f>
        <v>41.1</v>
      </c>
      <c r="DP158" s="55">
        <f>IF(AND(RecData[[#This Row],[Useable TON Data?]],RecData[[#This Row],[Turbines ON/OFF]]="ON"),RecData[[#This Row],[dBA Sum]],"")</f>
        <v>39.349145321477714</v>
      </c>
      <c r="DQ158" s="55" t="str">
        <f>IF(AND(RecData[[#This Row],[Useable Background Data?]],RecData[[#This Row],[Turbines ON/OFF]]="OFF"),RecData[[#This Row],[dBA Sum]],"")</f>
        <v/>
      </c>
      <c r="DR158" s="3">
        <f>IF(OR(RecData[[#This Row],[Useable TON Data?]],RecData[[#This Row],[Useable Background Data?]]),ROUND(RecData[[#This Row],[WSpd_Avg '[m/s']]],0),"")</f>
        <v>1</v>
      </c>
      <c r="DS158" s="85">
        <f>(0.00002)^2*(10^(RecData[[#This Row],[Overall (dBA)]]/10))</f>
        <v>3.4432973114666777E-6</v>
      </c>
    </row>
    <row r="159" spans="1:123" ht="15" x14ac:dyDescent="0.25">
      <c r="A159" s="3" t="s">
        <v>249</v>
      </c>
      <c r="B159" s="12">
        <v>43252.962500000001</v>
      </c>
      <c r="C159" s="3"/>
      <c r="D159" s="3">
        <v>42.9</v>
      </c>
      <c r="E159" s="3"/>
      <c r="F159" s="3"/>
      <c r="G159" s="3"/>
      <c r="H159" s="3"/>
      <c r="I159" s="3"/>
      <c r="J159" s="3"/>
      <c r="K159" s="3">
        <v>41.2</v>
      </c>
      <c r="L159" s="3"/>
      <c r="M159" s="3"/>
      <c r="N159" s="3">
        <v>157.19999999999999</v>
      </c>
      <c r="O159" s="3"/>
      <c r="P159" s="3"/>
      <c r="Q159" s="3">
        <v>0.72</v>
      </c>
      <c r="R159" s="3">
        <v>0.1</v>
      </c>
      <c r="S159" s="3">
        <v>1.2</v>
      </c>
      <c r="T159" s="3">
        <v>9.5</v>
      </c>
      <c r="U159" s="3">
        <v>61</v>
      </c>
      <c r="V159" s="3">
        <v>975.4</v>
      </c>
      <c r="W159" s="3">
        <v>0</v>
      </c>
      <c r="X159" s="3">
        <v>50.8</v>
      </c>
      <c r="Y159" s="3">
        <v>50.6</v>
      </c>
      <c r="Z159" s="3">
        <v>49.8</v>
      </c>
      <c r="AA159" s="3">
        <v>46.4</v>
      </c>
      <c r="AB159" s="3">
        <v>40.799999999999997</v>
      </c>
      <c r="AC159" s="3">
        <v>38.9</v>
      </c>
      <c r="AD159" s="3">
        <v>41.6</v>
      </c>
      <c r="AE159" s="3">
        <v>43.5</v>
      </c>
      <c r="AF159" s="3">
        <v>48.2</v>
      </c>
      <c r="AG159" s="3">
        <v>40.299999999999997</v>
      </c>
      <c r="AH159" s="3">
        <v>37.200000000000003</v>
      </c>
      <c r="AI159" s="3">
        <v>37.4</v>
      </c>
      <c r="AJ159" s="3">
        <v>36</v>
      </c>
      <c r="AK159" s="3">
        <v>34.299999999999997</v>
      </c>
      <c r="AL159" s="3">
        <v>32.700000000000003</v>
      </c>
      <c r="AM159" s="3">
        <v>33.1</v>
      </c>
      <c r="AN159" s="3">
        <v>31.8</v>
      </c>
      <c r="AO159" s="3">
        <v>28.3</v>
      </c>
      <c r="AP159" s="3">
        <v>26</v>
      </c>
      <c r="AQ159" s="3">
        <v>23.2</v>
      </c>
      <c r="AR159" s="3">
        <v>18.899999999999999</v>
      </c>
      <c r="AS159" s="3">
        <v>33.5</v>
      </c>
      <c r="AT159" s="3">
        <v>36.4</v>
      </c>
      <c r="AU159" s="3">
        <v>10.4</v>
      </c>
      <c r="AV159" s="3">
        <v>8.8000000000000007</v>
      </c>
      <c r="AW159" s="3">
        <v>8.9</v>
      </c>
      <c r="AX159" s="3">
        <v>9.1</v>
      </c>
      <c r="AY159" s="3">
        <v>9.3000000000000007</v>
      </c>
      <c r="AZ159" s="3">
        <v>0</v>
      </c>
      <c r="BA159" s="3">
        <v>0</v>
      </c>
      <c r="BB159" s="3">
        <v>0</v>
      </c>
      <c r="BC159" s="3">
        <v>42.828738355797711</v>
      </c>
      <c r="BD159" s="3">
        <v>50.871261644202278</v>
      </c>
      <c r="BE159" s="3">
        <v>50.671261644202289</v>
      </c>
      <c r="BF159" s="3">
        <v>48.631261644202283</v>
      </c>
      <c r="BG159" s="3">
        <v>45.557928310868945</v>
      </c>
      <c r="BH159" s="3">
        <v>40.097928310868951</v>
      </c>
      <c r="BI159" s="3">
        <v>38.611261644202287</v>
      </c>
      <c r="BJ159" s="3">
        <v>42.104594977535626</v>
      </c>
      <c r="BK159" s="3">
        <v>43.877928310868953</v>
      </c>
      <c r="BL159" s="3">
        <v>48.151261644202293</v>
      </c>
      <c r="BM159" s="3">
        <v>40.384594977535627</v>
      </c>
      <c r="BN159" s="3">
        <v>37.567928310868965</v>
      </c>
      <c r="BO159" s="3">
        <v>37.134594977535627</v>
      </c>
      <c r="BP159" s="3">
        <v>35.45126164420229</v>
      </c>
      <c r="BQ159" s="3">
        <v>34.167928310868945</v>
      </c>
      <c r="BR159" s="3">
        <v>32.894594977535618</v>
      </c>
      <c r="BS159" s="3">
        <v>33.097928310868966</v>
      </c>
      <c r="BT159" s="3">
        <v>31.994594977535627</v>
      </c>
      <c r="BU159" s="3">
        <v>28.461261644202295</v>
      </c>
      <c r="BV159" s="3">
        <v>25.877928310868953</v>
      </c>
      <c r="BW159" s="3">
        <v>23.611261644202287</v>
      </c>
      <c r="BX159" s="3">
        <v>19.231261644202291</v>
      </c>
      <c r="BY159" s="3">
        <v>33.651261644202279</v>
      </c>
      <c r="BZ159" s="3">
        <v>36.68126164420228</v>
      </c>
      <c r="CA159" s="3">
        <v>10.781261644202282</v>
      </c>
      <c r="CB159" s="3">
        <v>8.6179283108689546</v>
      </c>
      <c r="CC159" s="3">
        <v>8.9312616442022872</v>
      </c>
      <c r="CD159" s="3">
        <v>8.4379283108689549</v>
      </c>
      <c r="CE159" s="3">
        <v>8.8312616442022858</v>
      </c>
      <c r="CF159" s="3">
        <v>-0.85540502246438166</v>
      </c>
      <c r="CG159" s="3">
        <v>-1.3887383557977131</v>
      </c>
      <c r="CH159" s="3">
        <v>-2.4654050224643811</v>
      </c>
      <c r="CI159" s="13">
        <f>[1]!dbasum(RecData[[#This Row],[20]:[2000]],RecData[[#Headers],[20]:[2000]])</f>
        <v>40.178986304889065</v>
      </c>
      <c r="CJ159" s="14">
        <v>915</v>
      </c>
      <c r="CK159" s="15" t="s">
        <v>249</v>
      </c>
      <c r="CL159" s="15">
        <f>RecData[[#This Row],[Start Time]]</f>
        <v>43252.962500000001</v>
      </c>
      <c r="CM159" s="16">
        <f>RecData[[#This Row],[Wind Speed avg]]</f>
        <v>0.72</v>
      </c>
      <c r="CN159" s="16">
        <f>RecData[[#This Row],[Wind Dir. avg]]</f>
        <v>157.19999999999999</v>
      </c>
      <c r="CO159" s="16">
        <f>RecData[[#This Row],[Amb. Humidity]]</f>
        <v>61</v>
      </c>
      <c r="CP159" s="16">
        <f>RecData[[#This Row],[Amb. Temperature]]</f>
        <v>9.5</v>
      </c>
      <c r="CQ159" s="17">
        <f>RecData[[#This Row],[Amb. Rain Gauge]]</f>
        <v>0</v>
      </c>
      <c r="CR159" s="4" t="s">
        <v>1</v>
      </c>
      <c r="CS159" s="4" t="s">
        <v>49</v>
      </c>
      <c r="CT159" s="70">
        <v>1588.837769</v>
      </c>
      <c r="CU159" s="70">
        <v>33.000278472900298</v>
      </c>
      <c r="CV159" s="70">
        <v>10.899296760559</v>
      </c>
      <c r="CW159" s="70">
        <v>15.162471771240201</v>
      </c>
      <c r="CX159" s="97"/>
      <c r="CY159" s="99"/>
      <c r="CZ159" s="2" t="b">
        <f>IF($DP$1="YES",IF(RecData[[#This Row],[Power (kW)]]&gt;=$CR$3, TRUE,FALSE),TRUE)</f>
        <v>1</v>
      </c>
      <c r="DA159" s="16">
        <f>MIN(MOD(180-ABS(ABS($DA$1-RecData[Yaw Angle (°)])-180),360),MOD(180-ABS(ABS($DB$1-RecData[Yaw Angle (°)])-180),360))</f>
        <v>25.470351695212742</v>
      </c>
      <c r="DB159" s="2" t="str">
        <f>IF($DP$2="None","None",IF(RecData[[#This Row],[Relative Wind Direction]]&lt;=45,"DW",IF(RecData[[#This Row],[Relative Wind Direction]]&lt;=135,"CW","UW")))</f>
        <v>DW</v>
      </c>
      <c r="DC159" s="61" t="e">
        <f>IF($CL159-$CL156&gt;1/24,#REF!,IF(SUM($CQ156:$CQ159)&gt;$DS$1,$DS$5,DC160-1))</f>
        <v>#REF!</v>
      </c>
      <c r="DD159" s="61" t="e">
        <f>IF($CL160-$CL159&gt;1/24,#REF!,IF(SUM($CQ156:$CQ159)&gt;$DS$1,$DS$6,DD158-1))</f>
        <v>#REF!</v>
      </c>
      <c r="DE159" s="18" t="b">
        <v>0</v>
      </c>
      <c r="DF159" s="2" t="b">
        <f>IF(OR(RecData[[#This Row],[WSpd_Avg '[m/s']]]-RecData[[#This Row],[Wind Speed min]]&gt;=$DF$3,RecData[[#This Row],[Wind Speed max]]-RecData[[#This Row],[WSpd_Avg '[m/s']]]&gt;=$DF$2),TRUE,FALSE)</f>
        <v>0</v>
      </c>
      <c r="DG159" s="2" t="b">
        <f>RecData[[#This Row],[Temperature '[°C']]]&lt;=-20</f>
        <v>0</v>
      </c>
      <c r="DH159" s="18" t="b">
        <f>NOT(OR(MOD(RecData[[#This Row],[TIMESTAMP]],1)&gt;0.91632,MOD(RecData[[#This Row],[TIMESTAMP]],1)&lt;0.208681))</f>
        <v>0</v>
      </c>
      <c r="DI159" s="18" t="b">
        <f>RecData[[#This Row],[Overall (dBA)]]-RecData[[#This Row],[L90]]&gt;=$DS$4</f>
        <v>0</v>
      </c>
      <c r="DJ159" s="18" t="b">
        <f>RecData[[#This Row],[Overall (dBA)]]&gt;$DS$2</f>
        <v>0</v>
      </c>
      <c r="DK159" s="18" t="b">
        <f>RecData[[#This Row],[Overall (dBA)]]&lt;$DS$3</f>
        <v>0</v>
      </c>
      <c r="DL1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59" s="2">
        <f>IF(AND(RecData[[#This Row],[Turbines ON/OFF]] = "OFF", NOT(OR(RecData[[#This Row],[Junk?]]="YES",RecData[[#This Row],[Gust?]],RecData[[#This Row],[Rain?]:[Min SPL Threshold?]]))),1,0)</f>
        <v>0</v>
      </c>
      <c r="DN159" s="16">
        <f>RecData[[#This Row],[dBA Sum]]</f>
        <v>40.178986304889065</v>
      </c>
      <c r="DO159" s="16">
        <f>RecData[[#This Row],[LAF90.0]]</f>
        <v>41.2</v>
      </c>
      <c r="DP159" s="55">
        <f>IF(AND(RecData[[#This Row],[Useable TON Data?]],RecData[[#This Row],[Turbines ON/OFF]]="ON"),RecData[[#This Row],[dBA Sum]],"")</f>
        <v>40.178986304889065</v>
      </c>
      <c r="DQ159" s="55" t="str">
        <f>IF(AND(RecData[[#This Row],[Useable Background Data?]],RecData[[#This Row],[Turbines ON/OFF]]="OFF"),RecData[[#This Row],[dBA Sum]],"")</f>
        <v/>
      </c>
      <c r="DR159" s="3">
        <f>IF(OR(RecData[[#This Row],[Useable TON Data?]],RecData[[#This Row],[Useable Background Data?]]),ROUND(RecData[[#This Row],[WSpd_Avg '[m/s']]],0),"")</f>
        <v>1</v>
      </c>
      <c r="DS159" s="85">
        <f>(0.00002)^2*(10^(RecData[[#This Row],[Overall (dBA)]]/10))</f>
        <v>4.1682966738664839E-6</v>
      </c>
    </row>
    <row r="160" spans="1:123" ht="15" x14ac:dyDescent="0.25">
      <c r="A160" s="3" t="s">
        <v>249</v>
      </c>
      <c r="B160" s="12">
        <v>43252.963194444448</v>
      </c>
      <c r="C160" s="3"/>
      <c r="D160" s="3">
        <v>42.8</v>
      </c>
      <c r="E160" s="3"/>
      <c r="F160" s="3"/>
      <c r="G160" s="3"/>
      <c r="H160" s="3"/>
      <c r="I160" s="3"/>
      <c r="J160" s="3"/>
      <c r="K160" s="3">
        <v>41.1</v>
      </c>
      <c r="L160" s="3"/>
      <c r="M160" s="3"/>
      <c r="N160" s="3">
        <v>178.9</v>
      </c>
      <c r="O160" s="3"/>
      <c r="P160" s="3"/>
      <c r="Q160" s="3">
        <v>1.4</v>
      </c>
      <c r="R160" s="3">
        <v>0.2</v>
      </c>
      <c r="S160" s="3">
        <v>2.1</v>
      </c>
      <c r="T160" s="3">
        <v>9.4</v>
      </c>
      <c r="U160" s="3">
        <v>60.4</v>
      </c>
      <c r="V160" s="3">
        <v>975.4</v>
      </c>
      <c r="W160" s="3">
        <v>0</v>
      </c>
      <c r="X160" s="3">
        <v>49.8</v>
      </c>
      <c r="Y160" s="3">
        <v>49.7</v>
      </c>
      <c r="Z160" s="3">
        <v>48.9</v>
      </c>
      <c r="AA160" s="3">
        <v>45.1</v>
      </c>
      <c r="AB160" s="3">
        <v>40.200000000000003</v>
      </c>
      <c r="AC160" s="3">
        <v>38.799999999999997</v>
      </c>
      <c r="AD160" s="3">
        <v>41.4</v>
      </c>
      <c r="AE160" s="3">
        <v>43.1</v>
      </c>
      <c r="AF160" s="3">
        <v>47</v>
      </c>
      <c r="AG160" s="3">
        <v>40</v>
      </c>
      <c r="AH160" s="3">
        <v>38</v>
      </c>
      <c r="AI160" s="3">
        <v>37.799999999999997</v>
      </c>
      <c r="AJ160" s="3">
        <v>36.700000000000003</v>
      </c>
      <c r="AK160" s="3">
        <v>34.9</v>
      </c>
      <c r="AL160" s="3">
        <v>33</v>
      </c>
      <c r="AM160" s="3">
        <v>32.6</v>
      </c>
      <c r="AN160" s="3">
        <v>31</v>
      </c>
      <c r="AO160" s="3">
        <v>27.6</v>
      </c>
      <c r="AP160" s="3">
        <v>25.4</v>
      </c>
      <c r="AQ160" s="3">
        <v>23</v>
      </c>
      <c r="AR160" s="3">
        <v>19.600000000000001</v>
      </c>
      <c r="AS160" s="3">
        <v>33.5</v>
      </c>
      <c r="AT160" s="3">
        <v>36.4</v>
      </c>
      <c r="AU160" s="3">
        <v>13.3</v>
      </c>
      <c r="AV160" s="3">
        <v>12.2</v>
      </c>
      <c r="AW160" s="3">
        <v>10.8</v>
      </c>
      <c r="AX160" s="3">
        <v>9.6999999999999993</v>
      </c>
      <c r="AY160" s="3">
        <v>9.5</v>
      </c>
      <c r="AZ160" s="3">
        <v>0</v>
      </c>
      <c r="BA160" s="3">
        <v>0</v>
      </c>
      <c r="BB160" s="3">
        <v>0</v>
      </c>
      <c r="BC160" s="3">
        <v>42.730882861389688</v>
      </c>
      <c r="BD160" s="3">
        <v>49.869117138610306</v>
      </c>
      <c r="BE160" s="3">
        <v>49.769117138610312</v>
      </c>
      <c r="BF160" s="3">
        <v>47.729117138610306</v>
      </c>
      <c r="BG160" s="3">
        <v>44.255783805276977</v>
      </c>
      <c r="BH160" s="3">
        <v>39.495783805276972</v>
      </c>
      <c r="BI160" s="3">
        <v>38.509117138610307</v>
      </c>
      <c r="BJ160" s="3">
        <v>41.902450471943638</v>
      </c>
      <c r="BK160" s="3">
        <v>43.475783805276976</v>
      </c>
      <c r="BL160" s="3">
        <v>46.949117138610319</v>
      </c>
      <c r="BM160" s="3">
        <v>40.082450471943645</v>
      </c>
      <c r="BN160" s="3">
        <v>38.365783805276976</v>
      </c>
      <c r="BO160" s="3">
        <v>37.532450471943633</v>
      </c>
      <c r="BP160" s="3">
        <v>36.149117138610308</v>
      </c>
      <c r="BQ160" s="3">
        <v>34.765783805276968</v>
      </c>
      <c r="BR160" s="3">
        <v>33.192450471943644</v>
      </c>
      <c r="BS160" s="3">
        <v>32.59578380527698</v>
      </c>
      <c r="BT160" s="3">
        <v>31.192450471943644</v>
      </c>
      <c r="BU160" s="3">
        <v>27.759117138610321</v>
      </c>
      <c r="BV160" s="3">
        <v>25.275783805276973</v>
      </c>
      <c r="BW160" s="3">
        <v>23.409117138610313</v>
      </c>
      <c r="BX160" s="3">
        <v>19.929117138610316</v>
      </c>
      <c r="BY160" s="3">
        <v>33.649117138610308</v>
      </c>
      <c r="BZ160" s="3">
        <v>36.679117138610309</v>
      </c>
      <c r="CA160" s="3">
        <v>13.679117138610302</v>
      </c>
      <c r="CB160" s="3">
        <v>12.015783805276975</v>
      </c>
      <c r="CC160" s="3">
        <v>10.829117138610307</v>
      </c>
      <c r="CD160" s="3">
        <v>9.0357838052769779</v>
      </c>
      <c r="CE160" s="3">
        <v>9.0291171386103102</v>
      </c>
      <c r="CF160" s="3">
        <v>-0.85754952805636009</v>
      </c>
      <c r="CG160" s="3">
        <v>-1.3908828613896915</v>
      </c>
      <c r="CH160" s="3">
        <v>-2.4675495280563595</v>
      </c>
      <c r="CI160" s="13">
        <f>[1]!dbasum(RecData[[#This Row],[20]:[2000]],RecData[[#Headers],[20]:[2000]])</f>
        <v>39.97178249850834</v>
      </c>
      <c r="CJ160" s="14">
        <v>916</v>
      </c>
      <c r="CK160" s="15" t="s">
        <v>249</v>
      </c>
      <c r="CL160" s="15">
        <f>RecData[[#This Row],[Start Time]]</f>
        <v>43252.963194444448</v>
      </c>
      <c r="CM160" s="16">
        <f>RecData[[#This Row],[Wind Speed avg]]</f>
        <v>1.4</v>
      </c>
      <c r="CN160" s="16">
        <f>RecData[[#This Row],[Wind Dir. avg]]</f>
        <v>178.9</v>
      </c>
      <c r="CO160" s="16">
        <f>RecData[[#This Row],[Amb. Humidity]]</f>
        <v>60.4</v>
      </c>
      <c r="CP160" s="16">
        <f>RecData[[#This Row],[Amb. Temperature]]</f>
        <v>9.4</v>
      </c>
      <c r="CQ160" s="17">
        <f>RecData[[#This Row],[Amb. Rain Gauge]]</f>
        <v>0</v>
      </c>
      <c r="CR160" s="4" t="s">
        <v>1</v>
      </c>
      <c r="CS160" s="4" t="s">
        <v>49</v>
      </c>
      <c r="CT160" s="70">
        <v>1588.837769</v>
      </c>
      <c r="CU160" s="70">
        <v>33.000278472900298</v>
      </c>
      <c r="CV160" s="70">
        <v>10.899296760559</v>
      </c>
      <c r="CW160" s="70">
        <v>15.162471771240201</v>
      </c>
      <c r="CX160" s="97"/>
      <c r="CY160" s="99"/>
      <c r="CZ160" s="2" t="b">
        <f>IF($DP$1="YES",IF(RecData[[#This Row],[Power (kW)]]&gt;=$CR$3, TRUE,FALSE),TRUE)</f>
        <v>1</v>
      </c>
      <c r="DA160" s="16">
        <f>MIN(MOD(180-ABS(ABS($DA$1-RecData[Yaw Angle (°)])-180),360),MOD(180-ABS(ABS($DB$1-RecData[Yaw Angle (°)])-180),360))</f>
        <v>25.470351695212742</v>
      </c>
      <c r="DB160" s="2" t="str">
        <f>IF($DP$2="None","None",IF(RecData[[#This Row],[Relative Wind Direction]]&lt;=45,"DW",IF(RecData[[#This Row],[Relative Wind Direction]]&lt;=135,"CW","UW")))</f>
        <v>DW</v>
      </c>
      <c r="DC160" s="61" t="e">
        <f>IF($CL160-$CL157&gt;1/24,#REF!,IF(SUM($CQ157:$CQ160)&gt;$DS$1,$DS$5,#REF!-1))</f>
        <v>#REF!</v>
      </c>
      <c r="DD160" s="61" t="e">
        <f>IF(#REF!-$CL160&gt;1/24,#REF!,IF(SUM($CQ157:$CQ160)&gt;$DS$1,$DS$6,DD159-1))</f>
        <v>#REF!</v>
      </c>
      <c r="DE160" s="18" t="b">
        <v>0</v>
      </c>
      <c r="DF160" s="2" t="b">
        <f>IF(OR(RecData[[#This Row],[WSpd_Avg '[m/s']]]-RecData[[#This Row],[Wind Speed min]]&gt;=$DF$3,RecData[[#This Row],[Wind Speed max]]-RecData[[#This Row],[WSpd_Avg '[m/s']]]&gt;=$DF$2),TRUE,FALSE)</f>
        <v>0</v>
      </c>
      <c r="DG160" s="2" t="b">
        <f>RecData[[#This Row],[Temperature '[°C']]]&lt;=-20</f>
        <v>0</v>
      </c>
      <c r="DH160" s="18" t="b">
        <f>NOT(OR(MOD(RecData[[#This Row],[TIMESTAMP]],1)&gt;0.91632,MOD(RecData[[#This Row],[TIMESTAMP]],1)&lt;0.208681))</f>
        <v>0</v>
      </c>
      <c r="DI160" s="18" t="b">
        <f>RecData[[#This Row],[Overall (dBA)]]-RecData[[#This Row],[L90]]&gt;=$DS$4</f>
        <v>0</v>
      </c>
      <c r="DJ160" s="18" t="b">
        <f>RecData[[#This Row],[Overall (dBA)]]&gt;$DS$2</f>
        <v>0</v>
      </c>
      <c r="DK160" s="18" t="b">
        <f>RecData[[#This Row],[Overall (dBA)]]&lt;$DS$3</f>
        <v>0</v>
      </c>
      <c r="DL1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0" s="2">
        <f>IF(AND(RecData[[#This Row],[Turbines ON/OFF]] = "OFF", NOT(OR(RecData[[#This Row],[Junk?]]="YES",RecData[[#This Row],[Gust?]],RecData[[#This Row],[Rain?]:[Min SPL Threshold?]]))),1,0)</f>
        <v>0</v>
      </c>
      <c r="DN160" s="16">
        <f>RecData[[#This Row],[dBA Sum]]</f>
        <v>39.97178249850834</v>
      </c>
      <c r="DO160" s="16">
        <f>RecData[[#This Row],[LAF90.0]]</f>
        <v>41.1</v>
      </c>
      <c r="DP160" s="55">
        <f>IF(AND(RecData[[#This Row],[Useable TON Data?]],RecData[[#This Row],[Turbines ON/OFF]]="ON"),RecData[[#This Row],[dBA Sum]],"")</f>
        <v>39.97178249850834</v>
      </c>
      <c r="DQ160" s="55" t="str">
        <f>IF(AND(RecData[[#This Row],[Useable Background Data?]],RecData[[#This Row],[Turbines ON/OFF]]="OFF"),RecData[[#This Row],[dBA Sum]],"")</f>
        <v/>
      </c>
      <c r="DR160" s="3">
        <f>IF(OR(RecData[[#This Row],[Useable TON Data?]],RecData[[#This Row],[Useable Background Data?]]),ROUND(RecData[[#This Row],[WSpd_Avg '[m/s']]],0),"")</f>
        <v>1</v>
      </c>
      <c r="DS160" s="85">
        <f>(0.00002)^2*(10^(RecData[[#This Row],[Overall (dBA)]]/10))</f>
        <v>3.9740949684511291E-6</v>
      </c>
    </row>
    <row r="161" spans="1:123" ht="15" x14ac:dyDescent="0.25">
      <c r="A161" s="3" t="s">
        <v>249</v>
      </c>
      <c r="B161" s="12">
        <v>43252.964583333334</v>
      </c>
      <c r="C161" s="3"/>
      <c r="D161" s="3">
        <v>42.7</v>
      </c>
      <c r="E161" s="3"/>
      <c r="F161" s="3"/>
      <c r="G161" s="3"/>
      <c r="H161" s="3"/>
      <c r="I161" s="3"/>
      <c r="J161" s="3"/>
      <c r="K161" s="3">
        <v>41.2</v>
      </c>
      <c r="L161" s="3"/>
      <c r="M161" s="3"/>
      <c r="N161" s="3">
        <v>165.7</v>
      </c>
      <c r="O161" s="3"/>
      <c r="P161" s="3"/>
      <c r="Q161" s="3">
        <v>0.66</v>
      </c>
      <c r="R161" s="3">
        <v>0.1</v>
      </c>
      <c r="S161" s="3">
        <v>1.7</v>
      </c>
      <c r="T161" s="3">
        <v>9.4</v>
      </c>
      <c r="U161" s="3">
        <v>60</v>
      </c>
      <c r="V161" s="3">
        <v>975.4</v>
      </c>
      <c r="W161" s="3">
        <v>0</v>
      </c>
      <c r="X161" s="3">
        <v>50.8</v>
      </c>
      <c r="Y161" s="3">
        <v>50.2</v>
      </c>
      <c r="Z161" s="3">
        <v>49.5</v>
      </c>
      <c r="AA161" s="3">
        <v>45.6</v>
      </c>
      <c r="AB161" s="3">
        <v>41</v>
      </c>
      <c r="AC161" s="3">
        <v>38.4</v>
      </c>
      <c r="AD161" s="3">
        <v>41.2</v>
      </c>
      <c r="AE161" s="3">
        <v>43</v>
      </c>
      <c r="AF161" s="3">
        <v>47.8</v>
      </c>
      <c r="AG161" s="3">
        <v>41.6</v>
      </c>
      <c r="AH161" s="3">
        <v>36.799999999999997</v>
      </c>
      <c r="AI161" s="3">
        <v>37.4</v>
      </c>
      <c r="AJ161" s="3">
        <v>35.799999999999997</v>
      </c>
      <c r="AK161" s="3">
        <v>34.4</v>
      </c>
      <c r="AL161" s="3">
        <v>33.1</v>
      </c>
      <c r="AM161" s="3">
        <v>33.5</v>
      </c>
      <c r="AN161" s="3">
        <v>32.200000000000003</v>
      </c>
      <c r="AO161" s="3">
        <v>29</v>
      </c>
      <c r="AP161" s="3">
        <v>26.8</v>
      </c>
      <c r="AQ161" s="3">
        <v>24.4</v>
      </c>
      <c r="AR161" s="3">
        <v>20.9</v>
      </c>
      <c r="AS161" s="3">
        <v>33.1</v>
      </c>
      <c r="AT161" s="3">
        <v>35.6</v>
      </c>
      <c r="AU161" s="3">
        <v>15.3</v>
      </c>
      <c r="AV161" s="3">
        <v>13.7</v>
      </c>
      <c r="AW161" s="3">
        <v>12.4</v>
      </c>
      <c r="AX161" s="3">
        <v>10.4</v>
      </c>
      <c r="AY161" s="3">
        <v>9.9</v>
      </c>
      <c r="AZ161" s="3">
        <v>0</v>
      </c>
      <c r="BA161" s="3">
        <v>0</v>
      </c>
      <c r="BB161" s="3">
        <v>0</v>
      </c>
      <c r="BC161" s="3">
        <v>42.703219397153553</v>
      </c>
      <c r="BD161" s="3">
        <v>50.796780602846447</v>
      </c>
      <c r="BE161" s="3">
        <v>50.196780602846452</v>
      </c>
      <c r="BF161" s="3">
        <v>48.256780602846455</v>
      </c>
      <c r="BG161" s="3">
        <v>44.683447269513117</v>
      </c>
      <c r="BH161" s="3">
        <v>40.223447269513123</v>
      </c>
      <c r="BI161" s="3">
        <v>38.036780602846456</v>
      </c>
      <c r="BJ161" s="3">
        <v>41.630113936179789</v>
      </c>
      <c r="BK161" s="3">
        <v>43.303447269513107</v>
      </c>
      <c r="BL161" s="3">
        <v>47.676780602846442</v>
      </c>
      <c r="BM161" s="3">
        <v>41.610113936179779</v>
      </c>
      <c r="BN161" s="3">
        <v>37.093447269513113</v>
      </c>
      <c r="BO161" s="3">
        <v>37.060113936179782</v>
      </c>
      <c r="BP161" s="3">
        <v>35.176780602846442</v>
      </c>
      <c r="BQ161" s="3">
        <v>34.193447269513108</v>
      </c>
      <c r="BR161" s="3">
        <v>33.220113936179793</v>
      </c>
      <c r="BS161" s="3">
        <v>33.423447269513112</v>
      </c>
      <c r="BT161" s="3">
        <v>32.320113936179787</v>
      </c>
      <c r="BU161" s="3">
        <v>29.086780602846453</v>
      </c>
      <c r="BV161" s="3">
        <v>26.603447269513119</v>
      </c>
      <c r="BW161" s="3">
        <v>24.736780602846444</v>
      </c>
      <c r="BX161" s="3">
        <v>21.156780602846453</v>
      </c>
      <c r="BY161" s="3">
        <v>33.176780602846442</v>
      </c>
      <c r="BZ161" s="3">
        <v>35.806780602846452</v>
      </c>
      <c r="CA161" s="3">
        <v>15.606780602846442</v>
      </c>
      <c r="CB161" s="3">
        <v>13.443447269513115</v>
      </c>
      <c r="CC161" s="3">
        <v>12.356780602846449</v>
      </c>
      <c r="CD161" s="3">
        <v>9.6634472695131208</v>
      </c>
      <c r="CE161" s="3">
        <v>9.3567806028464489</v>
      </c>
      <c r="CF161" s="3">
        <v>-0.92988606382021999</v>
      </c>
      <c r="CG161" s="3">
        <v>-1.4632193971535514</v>
      </c>
      <c r="CH161" s="3">
        <v>-2.5398860638202194</v>
      </c>
      <c r="CI161" s="13">
        <f>[1]!dbasum(RecData[[#This Row],[20]:[2000]],RecData[[#Headers],[20]:[2000]])</f>
        <v>40.368496395286904</v>
      </c>
      <c r="CJ161" s="14">
        <v>918</v>
      </c>
      <c r="CK161" s="15" t="s">
        <v>249</v>
      </c>
      <c r="CL161" s="15">
        <f>RecData[[#This Row],[Start Time]]</f>
        <v>43252.964583333334</v>
      </c>
      <c r="CM161" s="16">
        <f>RecData[[#This Row],[Wind Speed avg]]</f>
        <v>0.66</v>
      </c>
      <c r="CN161" s="16">
        <f>RecData[[#This Row],[Wind Dir. avg]]</f>
        <v>165.7</v>
      </c>
      <c r="CO161" s="16">
        <f>RecData[[#This Row],[Amb. Humidity]]</f>
        <v>60</v>
      </c>
      <c r="CP161" s="16">
        <f>RecData[[#This Row],[Amb. Temperature]]</f>
        <v>9.4</v>
      </c>
      <c r="CQ161" s="17">
        <f>RecData[[#This Row],[Amb. Rain Gauge]]</f>
        <v>0</v>
      </c>
      <c r="CR161" s="4" t="s">
        <v>1</v>
      </c>
      <c r="CS161" s="4" t="s">
        <v>49</v>
      </c>
      <c r="CT161" s="70">
        <v>1588.837769</v>
      </c>
      <c r="CU161" s="70">
        <v>33.000278472900298</v>
      </c>
      <c r="CV161" s="70">
        <v>10.899296760559</v>
      </c>
      <c r="CW161" s="70">
        <v>15.162471771240201</v>
      </c>
      <c r="CX161" s="97"/>
      <c r="CY161" s="99"/>
      <c r="CZ161" s="2" t="b">
        <f>IF($DP$1="YES",IF(RecData[[#This Row],[Power (kW)]]&gt;=$CR$3, TRUE,FALSE),TRUE)</f>
        <v>1</v>
      </c>
      <c r="DA161" s="16">
        <f>MIN(MOD(180-ABS(ABS($DA$1-RecData[Yaw Angle (°)])-180),360),MOD(180-ABS(ABS($DB$1-RecData[Yaw Angle (°)])-180),360))</f>
        <v>25.470351695212742</v>
      </c>
      <c r="DB161" s="2" t="str">
        <f>IF($DP$2="None","None",IF(RecData[[#This Row],[Relative Wind Direction]]&lt;=45,"DW",IF(RecData[[#This Row],[Relative Wind Direction]]&lt;=135,"CW","UW")))</f>
        <v>DW</v>
      </c>
      <c r="DC161" s="61" t="e">
        <f>IF($CL161-$CL158&gt;1/24,#REF!,IF(SUM($CQ158:$CQ161)&gt;$DS$1,$DS$5,#REF!-1))</f>
        <v>#REF!</v>
      </c>
      <c r="DD161" s="61" t="e">
        <f>IF(#REF!-$CL161&gt;1/24,#REF!,IF(SUM($CQ158:$CQ161)&gt;$DS$1,$DS$6,#REF!-1))</f>
        <v>#REF!</v>
      </c>
      <c r="DE161" s="18" t="b">
        <v>0</v>
      </c>
      <c r="DF161" s="2" t="b">
        <f>IF(OR(RecData[[#This Row],[WSpd_Avg '[m/s']]]-RecData[[#This Row],[Wind Speed min]]&gt;=$DF$3,RecData[[#This Row],[Wind Speed max]]-RecData[[#This Row],[WSpd_Avg '[m/s']]]&gt;=$DF$2),TRUE,FALSE)</f>
        <v>0</v>
      </c>
      <c r="DG161" s="2" t="b">
        <f>RecData[[#This Row],[Temperature '[°C']]]&lt;=-20</f>
        <v>0</v>
      </c>
      <c r="DH161" s="18" t="b">
        <f>NOT(OR(MOD(RecData[[#This Row],[TIMESTAMP]],1)&gt;0.91632,MOD(RecData[[#This Row],[TIMESTAMP]],1)&lt;0.208681))</f>
        <v>0</v>
      </c>
      <c r="DI161" s="18" t="b">
        <f>RecData[[#This Row],[Overall (dBA)]]-RecData[[#This Row],[L90]]&gt;=$DS$4</f>
        <v>0</v>
      </c>
      <c r="DJ161" s="18" t="b">
        <f>RecData[[#This Row],[Overall (dBA)]]&gt;$DS$2</f>
        <v>0</v>
      </c>
      <c r="DK161" s="18" t="b">
        <f>RecData[[#This Row],[Overall (dBA)]]&lt;$DS$3</f>
        <v>0</v>
      </c>
      <c r="DL1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1" s="2">
        <f>IF(AND(RecData[[#This Row],[Turbines ON/OFF]] = "OFF", NOT(OR(RecData[[#This Row],[Junk?]]="YES",RecData[[#This Row],[Gust?]],RecData[[#This Row],[Rain?]:[Min SPL Threshold?]]))),1,0)</f>
        <v>0</v>
      </c>
      <c r="DN161" s="16">
        <f>RecData[[#This Row],[dBA Sum]]</f>
        <v>40.368496395286904</v>
      </c>
      <c r="DO161" s="16">
        <f>RecData[[#This Row],[LAF90.0]]</f>
        <v>41.2</v>
      </c>
      <c r="DP161" s="55">
        <f>IF(AND(RecData[[#This Row],[Useable TON Data?]],RecData[[#This Row],[Turbines ON/OFF]]="ON"),RecData[[#This Row],[dBA Sum]],"")</f>
        <v>40.368496395286904</v>
      </c>
      <c r="DQ161" s="55" t="str">
        <f>IF(AND(RecData[[#This Row],[Useable Background Data?]],RecData[[#This Row],[Turbines ON/OFF]]="OFF"),RecData[[#This Row],[dBA Sum]],"")</f>
        <v/>
      </c>
      <c r="DR161" s="3">
        <f>IF(OR(RecData[[#This Row],[Useable TON Data?]],RecData[[#This Row],[Useable Background Data?]]),ROUND(RecData[[#This Row],[WSpd_Avg '[m/s']]],0),"")</f>
        <v>1</v>
      </c>
      <c r="DS161" s="85">
        <f>(0.00002)^2*(10^(RecData[[#This Row],[Overall (dBA)]]/10))</f>
        <v>4.3542126065194963E-6</v>
      </c>
    </row>
    <row r="162" spans="1:123" ht="15" x14ac:dyDescent="0.25">
      <c r="A162" s="3" t="s">
        <v>249</v>
      </c>
      <c r="B162" s="12">
        <v>43252.965972222228</v>
      </c>
      <c r="C162" s="3"/>
      <c r="D162" s="3">
        <v>42.2</v>
      </c>
      <c r="E162" s="3"/>
      <c r="F162" s="3"/>
      <c r="G162" s="3"/>
      <c r="H162" s="3"/>
      <c r="I162" s="3"/>
      <c r="J162" s="3"/>
      <c r="K162" s="3">
        <v>40.200000000000003</v>
      </c>
      <c r="L162" s="3"/>
      <c r="M162" s="3"/>
      <c r="N162" s="3">
        <v>259</v>
      </c>
      <c r="O162" s="3"/>
      <c r="P162" s="3"/>
      <c r="Q162" s="3">
        <v>0.99</v>
      </c>
      <c r="R162" s="3">
        <v>0.4</v>
      </c>
      <c r="S162" s="3">
        <v>2.1</v>
      </c>
      <c r="T162" s="3">
        <v>9.4</v>
      </c>
      <c r="U162" s="3">
        <v>59.9</v>
      </c>
      <c r="V162" s="3">
        <v>975.4</v>
      </c>
      <c r="W162" s="3">
        <v>0</v>
      </c>
      <c r="X162" s="3">
        <v>49.7</v>
      </c>
      <c r="Y162" s="3">
        <v>49.2</v>
      </c>
      <c r="Z162" s="3">
        <v>48</v>
      </c>
      <c r="AA162" s="3">
        <v>44.7</v>
      </c>
      <c r="AB162" s="3">
        <v>40.299999999999997</v>
      </c>
      <c r="AC162" s="3">
        <v>39</v>
      </c>
      <c r="AD162" s="3">
        <v>41.1</v>
      </c>
      <c r="AE162" s="3">
        <v>42.1</v>
      </c>
      <c r="AF162" s="3">
        <v>45.7</v>
      </c>
      <c r="AG162" s="3">
        <v>40.6</v>
      </c>
      <c r="AH162" s="3">
        <v>36.700000000000003</v>
      </c>
      <c r="AI162" s="3">
        <v>36.799999999999997</v>
      </c>
      <c r="AJ162" s="3">
        <v>35.5</v>
      </c>
      <c r="AK162" s="3">
        <v>33.9</v>
      </c>
      <c r="AL162" s="3">
        <v>32.1</v>
      </c>
      <c r="AM162" s="3">
        <v>32.200000000000003</v>
      </c>
      <c r="AN162" s="3">
        <v>30.7</v>
      </c>
      <c r="AO162" s="3">
        <v>27.7</v>
      </c>
      <c r="AP162" s="3">
        <v>25.6</v>
      </c>
      <c r="AQ162" s="3">
        <v>23.2</v>
      </c>
      <c r="AR162" s="3">
        <v>19.7</v>
      </c>
      <c r="AS162" s="3">
        <v>32.799999999999997</v>
      </c>
      <c r="AT162" s="3">
        <v>35.9</v>
      </c>
      <c r="AU162" s="3">
        <v>13.5</v>
      </c>
      <c r="AV162" s="3">
        <v>12.3</v>
      </c>
      <c r="AW162" s="3">
        <v>11.7</v>
      </c>
      <c r="AX162" s="3">
        <v>10.1</v>
      </c>
      <c r="AY162" s="3">
        <v>9.8000000000000007</v>
      </c>
      <c r="AZ162" s="3">
        <v>0</v>
      </c>
      <c r="BA162" s="3">
        <v>0</v>
      </c>
      <c r="BB162" s="3">
        <v>0</v>
      </c>
      <c r="BC162" s="3">
        <v>42.129088441968108</v>
      </c>
      <c r="BD162" s="3">
        <v>49.770911558031898</v>
      </c>
      <c r="BE162" s="3">
        <v>49.270911558031898</v>
      </c>
      <c r="BF162" s="3">
        <v>46.8309115580319</v>
      </c>
      <c r="BG162" s="3">
        <v>43.857578224698571</v>
      </c>
      <c r="BH162" s="3">
        <v>39.597578224698552</v>
      </c>
      <c r="BI162" s="3">
        <v>38.710911558031896</v>
      </c>
      <c r="BJ162" s="3">
        <v>41.604244891365227</v>
      </c>
      <c r="BK162" s="3">
        <v>42.477578224698561</v>
      </c>
      <c r="BL162" s="3">
        <v>45.650911558031893</v>
      </c>
      <c r="BM162" s="3">
        <v>40.684244891365225</v>
      </c>
      <c r="BN162" s="3">
        <v>37.067578224698565</v>
      </c>
      <c r="BO162" s="3">
        <v>36.534244891365219</v>
      </c>
      <c r="BP162" s="3">
        <v>34.950911558031905</v>
      </c>
      <c r="BQ162" s="3">
        <v>33.767578224698553</v>
      </c>
      <c r="BR162" s="3">
        <v>32.294244891365238</v>
      </c>
      <c r="BS162" s="3">
        <v>32.197578224698574</v>
      </c>
      <c r="BT162" s="3">
        <v>30.894244891365233</v>
      </c>
      <c r="BU162" s="3">
        <v>27.860911558031901</v>
      </c>
      <c r="BV162" s="3">
        <v>25.477578224698561</v>
      </c>
      <c r="BW162" s="3">
        <v>23.610911558031901</v>
      </c>
      <c r="BX162" s="3">
        <v>20.030911558031903</v>
      </c>
      <c r="BY162" s="3">
        <v>32.950911558031891</v>
      </c>
      <c r="BZ162" s="3">
        <v>36.180911558031895</v>
      </c>
      <c r="CA162" s="3">
        <v>13.88091155803189</v>
      </c>
      <c r="CB162" s="3">
        <v>12.117578224698562</v>
      </c>
      <c r="CC162" s="3">
        <v>11.730911558031892</v>
      </c>
      <c r="CD162" s="3">
        <v>9.4375782246985693</v>
      </c>
      <c r="CE162" s="3">
        <v>9.3309115580318931</v>
      </c>
      <c r="CF162" s="3">
        <v>-0.85575510863477433</v>
      </c>
      <c r="CG162" s="3">
        <v>-1.3890884419681058</v>
      </c>
      <c r="CH162" s="3">
        <v>-2.4657551086347738</v>
      </c>
      <c r="CI162" s="13">
        <f>[1]!dbasum(RecData[[#This Row],[20]:[2000]],RecData[[#Headers],[20]:[2000]])</f>
        <v>39.346255475689603</v>
      </c>
      <c r="CJ162" s="14">
        <v>920</v>
      </c>
      <c r="CK162" s="15" t="s">
        <v>249</v>
      </c>
      <c r="CL162" s="15">
        <f>RecData[[#This Row],[Start Time]]</f>
        <v>43252.965972222228</v>
      </c>
      <c r="CM162" s="16">
        <f>RecData[[#This Row],[Wind Speed avg]]</f>
        <v>0.99</v>
      </c>
      <c r="CN162" s="16">
        <f>RecData[[#This Row],[Wind Dir. avg]]</f>
        <v>259</v>
      </c>
      <c r="CO162" s="16">
        <f>RecData[[#This Row],[Amb. Humidity]]</f>
        <v>59.9</v>
      </c>
      <c r="CP162" s="16">
        <f>RecData[[#This Row],[Amb. Temperature]]</f>
        <v>9.4</v>
      </c>
      <c r="CQ162" s="17">
        <f>RecData[[#This Row],[Amb. Rain Gauge]]</f>
        <v>0</v>
      </c>
      <c r="CR162" s="4" t="s">
        <v>1</v>
      </c>
      <c r="CS162" s="4" t="s">
        <v>49</v>
      </c>
      <c r="CT162" s="70">
        <v>1615.80188</v>
      </c>
      <c r="CU162" s="70">
        <v>33.000282287597599</v>
      </c>
      <c r="CV162" s="70">
        <v>10.822465896606399</v>
      </c>
      <c r="CW162" s="70">
        <v>15.1588535308837</v>
      </c>
      <c r="CX162" s="97"/>
      <c r="CY162" s="99"/>
      <c r="CZ162" s="2" t="b">
        <f>IF($DP$1="YES",IF(RecData[[#This Row],[Power (kW)]]&gt;=$CR$3, TRUE,FALSE),TRUE)</f>
        <v>1</v>
      </c>
      <c r="DA162" s="16">
        <f>MIN(MOD(180-ABS(ABS($DA$1-RecData[Yaw Angle (°)])-180),360),MOD(180-ABS(ABS($DB$1-RecData[Yaw Angle (°)])-180),360))</f>
        <v>25.470355509910064</v>
      </c>
      <c r="DB162" s="2" t="str">
        <f>IF($DP$2="None","None",IF(RecData[[#This Row],[Relative Wind Direction]]&lt;=45,"DW",IF(RecData[[#This Row],[Relative Wind Direction]]&lt;=135,"CW","UW")))</f>
        <v>DW</v>
      </c>
      <c r="DC162" s="61" t="e">
        <f>IF($CL162-#REF!&gt;1/24,#REF!,IF(SUM($CQ162:$CQ162)&gt;$DS$1,$DS$5,DC163-1))</f>
        <v>#REF!</v>
      </c>
      <c r="DD162" s="61" t="e">
        <f>IF($CL163-$CL162&gt;1/24,#REF!,IF(SUM($CQ162:$CQ162)&gt;$DS$1,$DS$6,#REF!-1))</f>
        <v>#REF!</v>
      </c>
      <c r="DE162" s="18" t="b">
        <v>0</v>
      </c>
      <c r="DF162" s="2" t="b">
        <f>IF(OR(RecData[[#This Row],[WSpd_Avg '[m/s']]]-RecData[[#This Row],[Wind Speed min]]&gt;=$DF$3,RecData[[#This Row],[Wind Speed max]]-RecData[[#This Row],[WSpd_Avg '[m/s']]]&gt;=$DF$2),TRUE,FALSE)</f>
        <v>0</v>
      </c>
      <c r="DG162" s="2" t="b">
        <f>RecData[[#This Row],[Temperature '[°C']]]&lt;=-20</f>
        <v>0</v>
      </c>
      <c r="DH162" s="18" t="b">
        <f>NOT(OR(MOD(RecData[[#This Row],[TIMESTAMP]],1)&gt;0.91632,MOD(RecData[[#This Row],[TIMESTAMP]],1)&lt;0.208681))</f>
        <v>0</v>
      </c>
      <c r="DI162" s="18" t="b">
        <f>RecData[[#This Row],[Overall (dBA)]]-RecData[[#This Row],[L90]]&gt;=$DS$4</f>
        <v>0</v>
      </c>
      <c r="DJ162" s="18" t="b">
        <f>RecData[[#This Row],[Overall (dBA)]]&gt;$DS$2</f>
        <v>0</v>
      </c>
      <c r="DK162" s="18" t="b">
        <f>RecData[[#This Row],[Overall (dBA)]]&lt;$DS$3</f>
        <v>0</v>
      </c>
      <c r="DL1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2" s="2">
        <f>IF(AND(RecData[[#This Row],[Turbines ON/OFF]] = "OFF", NOT(OR(RecData[[#This Row],[Junk?]]="YES",RecData[[#This Row],[Gust?]],RecData[[#This Row],[Rain?]:[Min SPL Threshold?]]))),1,0)</f>
        <v>0</v>
      </c>
      <c r="DN162" s="16">
        <f>RecData[[#This Row],[dBA Sum]]</f>
        <v>39.346255475689603</v>
      </c>
      <c r="DO162" s="16">
        <f>RecData[[#This Row],[LAF90.0]]</f>
        <v>40.200000000000003</v>
      </c>
      <c r="DP162" s="55">
        <f>IF(AND(RecData[[#This Row],[Useable TON Data?]],RecData[[#This Row],[Turbines ON/OFF]]="ON"),RecData[[#This Row],[dBA Sum]],"")</f>
        <v>39.346255475689603</v>
      </c>
      <c r="DQ162" s="55" t="str">
        <f>IF(AND(RecData[[#This Row],[Useable Background Data?]],RecData[[#This Row],[Turbines ON/OFF]]="OFF"),RecData[[#This Row],[dBA Sum]],"")</f>
        <v/>
      </c>
      <c r="DR162" s="3">
        <f>IF(OR(RecData[[#This Row],[Useable TON Data?]],RecData[[#This Row],[Useable Background Data?]]),ROUND(RecData[[#This Row],[WSpd_Avg '[m/s']]],0),"")</f>
        <v>1</v>
      </c>
      <c r="DS162" s="85">
        <f>(0.00002)^2*(10^(RecData[[#This Row],[Overall (dBA)]]/10))</f>
        <v>3.4410068636807275E-6</v>
      </c>
    </row>
    <row r="163" spans="1:123" ht="15" x14ac:dyDescent="0.25">
      <c r="A163" s="3" t="s">
        <v>249</v>
      </c>
      <c r="B163" s="12">
        <v>43252.966666666667</v>
      </c>
      <c r="C163" s="3"/>
      <c r="D163" s="3">
        <v>42.3</v>
      </c>
      <c r="E163" s="3"/>
      <c r="F163" s="3"/>
      <c r="G163" s="3"/>
      <c r="H163" s="3"/>
      <c r="I163" s="3"/>
      <c r="J163" s="3"/>
      <c r="K163" s="3">
        <v>40.6</v>
      </c>
      <c r="L163" s="3"/>
      <c r="M163" s="3"/>
      <c r="N163" s="3">
        <v>116.8</v>
      </c>
      <c r="O163" s="3"/>
      <c r="P163" s="3"/>
      <c r="Q163" s="3">
        <v>0.87</v>
      </c>
      <c r="R163" s="3">
        <v>0.1</v>
      </c>
      <c r="S163" s="3">
        <v>1.7</v>
      </c>
      <c r="T163" s="3">
        <v>9.4</v>
      </c>
      <c r="U163" s="3">
        <v>60</v>
      </c>
      <c r="V163" s="3">
        <v>975.5</v>
      </c>
      <c r="W163" s="3">
        <v>0</v>
      </c>
      <c r="X163" s="3">
        <v>51.3</v>
      </c>
      <c r="Y163" s="3">
        <v>49.3</v>
      </c>
      <c r="Z163" s="3">
        <v>48.7</v>
      </c>
      <c r="AA163" s="3">
        <v>45.2</v>
      </c>
      <c r="AB163" s="3">
        <v>40.1</v>
      </c>
      <c r="AC163" s="3">
        <v>38.4</v>
      </c>
      <c r="AD163" s="3">
        <v>41.2</v>
      </c>
      <c r="AE163" s="3">
        <v>42.8</v>
      </c>
      <c r="AF163" s="3">
        <v>48.5</v>
      </c>
      <c r="AG163" s="3">
        <v>40.299999999999997</v>
      </c>
      <c r="AH163" s="3">
        <v>36.799999999999997</v>
      </c>
      <c r="AI163" s="3">
        <v>37.5</v>
      </c>
      <c r="AJ163" s="3">
        <v>35.799999999999997</v>
      </c>
      <c r="AK163" s="3">
        <v>34.4</v>
      </c>
      <c r="AL163" s="3">
        <v>32.799999999999997</v>
      </c>
      <c r="AM163" s="3">
        <v>33.1</v>
      </c>
      <c r="AN163" s="3">
        <v>31.8</v>
      </c>
      <c r="AO163" s="3">
        <v>28.7</v>
      </c>
      <c r="AP163" s="3">
        <v>27</v>
      </c>
      <c r="AQ163" s="3">
        <v>24.1</v>
      </c>
      <c r="AR163" s="3">
        <v>20.8</v>
      </c>
      <c r="AS163" s="3">
        <v>32.200000000000003</v>
      </c>
      <c r="AT163" s="3">
        <v>34.799999999999997</v>
      </c>
      <c r="AU163" s="3">
        <v>14.3</v>
      </c>
      <c r="AV163" s="3">
        <v>12.3</v>
      </c>
      <c r="AW163" s="3">
        <v>11.2</v>
      </c>
      <c r="AX163" s="3">
        <v>9.8000000000000007</v>
      </c>
      <c r="AY163" s="3">
        <v>9.6</v>
      </c>
      <c r="AZ163" s="3">
        <v>0</v>
      </c>
      <c r="BA163" s="3">
        <v>0</v>
      </c>
      <c r="BB163" s="3">
        <v>0</v>
      </c>
      <c r="BC163" s="3">
        <v>42.306297710489503</v>
      </c>
      <c r="BD163" s="3">
        <v>51.293702289510492</v>
      </c>
      <c r="BE163" s="3">
        <v>49.293702289510492</v>
      </c>
      <c r="BF163" s="3">
        <v>47.453702289510488</v>
      </c>
      <c r="BG163" s="3">
        <v>44.280368956177171</v>
      </c>
      <c r="BH163" s="3">
        <v>39.320368956177163</v>
      </c>
      <c r="BI163" s="3">
        <v>38.033702289510501</v>
      </c>
      <c r="BJ163" s="3">
        <v>41.627035622843835</v>
      </c>
      <c r="BK163" s="3">
        <v>43.100368956177164</v>
      </c>
      <c r="BL163" s="3">
        <v>48.373702289510504</v>
      </c>
      <c r="BM163" s="3">
        <v>40.307035622843827</v>
      </c>
      <c r="BN163" s="3">
        <v>37.090368956177159</v>
      </c>
      <c r="BO163" s="3">
        <v>37.157035622843836</v>
      </c>
      <c r="BP163" s="3">
        <v>35.173702289510487</v>
      </c>
      <c r="BQ163" s="3">
        <v>34.190368956177153</v>
      </c>
      <c r="BR163" s="3">
        <v>32.917035622843827</v>
      </c>
      <c r="BS163" s="3">
        <v>33.020368956177165</v>
      </c>
      <c r="BT163" s="3">
        <v>31.917035622843827</v>
      </c>
      <c r="BU163" s="3">
        <v>28.783702289510501</v>
      </c>
      <c r="BV163" s="3">
        <v>26.800368956177167</v>
      </c>
      <c r="BW163" s="3">
        <v>24.433702289510506</v>
      </c>
      <c r="BX163" s="3">
        <v>21.053702289510497</v>
      </c>
      <c r="BY163" s="3">
        <v>32.273702289510496</v>
      </c>
      <c r="BZ163" s="3">
        <v>35.0037022895105</v>
      </c>
      <c r="CA163" s="3">
        <v>14.603702289510487</v>
      </c>
      <c r="CB163" s="3">
        <v>12.040368956177161</v>
      </c>
      <c r="CC163" s="3">
        <v>11.153702289510491</v>
      </c>
      <c r="CD163" s="3">
        <v>9.0603689561771645</v>
      </c>
      <c r="CE163" s="3">
        <v>9.0537022895104968</v>
      </c>
      <c r="CF163" s="3">
        <v>-0.93296437715617486</v>
      </c>
      <c r="CG163" s="3">
        <v>-1.4662977104895063</v>
      </c>
      <c r="CH163" s="3">
        <v>-2.5429643771561743</v>
      </c>
      <c r="CI163" s="13">
        <f>[1]!dbasum(RecData[[#This Row],[20]:[2000]],RecData[[#Headers],[20]:[2000]])</f>
        <v>40.2417703285575</v>
      </c>
      <c r="CJ163" s="14">
        <v>921</v>
      </c>
      <c r="CK163" s="15" t="s">
        <v>249</v>
      </c>
      <c r="CL163" s="15">
        <f>RecData[[#This Row],[Start Time]]</f>
        <v>43252.966666666667</v>
      </c>
      <c r="CM163" s="16">
        <f>RecData[[#This Row],[Wind Speed avg]]</f>
        <v>0.87</v>
      </c>
      <c r="CN163" s="16">
        <f>RecData[[#This Row],[Wind Dir. avg]]</f>
        <v>116.8</v>
      </c>
      <c r="CO163" s="16">
        <f>RecData[[#This Row],[Amb. Humidity]]</f>
        <v>60</v>
      </c>
      <c r="CP163" s="16">
        <f>RecData[[#This Row],[Amb. Temperature]]</f>
        <v>9.4</v>
      </c>
      <c r="CQ163" s="17">
        <f>RecData[[#This Row],[Amb. Rain Gauge]]</f>
        <v>0</v>
      </c>
      <c r="CR163" s="4" t="s">
        <v>1</v>
      </c>
      <c r="CS163" s="4" t="s">
        <v>49</v>
      </c>
      <c r="CT163" s="70">
        <v>1615.80188</v>
      </c>
      <c r="CU163" s="70">
        <v>33.000282287597599</v>
      </c>
      <c r="CV163" s="70">
        <v>10.822465896606399</v>
      </c>
      <c r="CW163" s="70">
        <v>15.1588535308837</v>
      </c>
      <c r="CX163" s="97"/>
      <c r="CY163" s="99"/>
      <c r="CZ163" s="2" t="b">
        <f>IF($DP$1="YES",IF(RecData[[#This Row],[Power (kW)]]&gt;=$CR$3, TRUE,FALSE),TRUE)</f>
        <v>1</v>
      </c>
      <c r="DA163" s="16">
        <f>MIN(MOD(180-ABS(ABS($DA$1-RecData[Yaw Angle (°)])-180),360),MOD(180-ABS(ABS($DB$1-RecData[Yaw Angle (°)])-180),360))</f>
        <v>25.470355509910064</v>
      </c>
      <c r="DB163" s="2" t="str">
        <f>IF($DP$2="None","None",IF(RecData[[#This Row],[Relative Wind Direction]]&lt;=45,"DW",IF(RecData[[#This Row],[Relative Wind Direction]]&lt;=135,"CW","UW")))</f>
        <v>DW</v>
      </c>
      <c r="DC163" s="61" t="e">
        <f>IF($CL163-#REF!&gt;1/24,#REF!,IF(SUM($CQ162:$CQ163)&gt;$DS$1,$DS$5,DC164-1))</f>
        <v>#REF!</v>
      </c>
      <c r="DD163" s="61" t="e">
        <f>IF($CL164-$CL163&gt;1/24,#REF!,IF(SUM($CQ162:$CQ163)&gt;$DS$1,$DS$6,DD162-1))</f>
        <v>#REF!</v>
      </c>
      <c r="DE163" s="18" t="b">
        <v>0</v>
      </c>
      <c r="DF163" s="2" t="b">
        <f>IF(OR(RecData[[#This Row],[WSpd_Avg '[m/s']]]-RecData[[#This Row],[Wind Speed min]]&gt;=$DF$3,RecData[[#This Row],[Wind Speed max]]-RecData[[#This Row],[WSpd_Avg '[m/s']]]&gt;=$DF$2),TRUE,FALSE)</f>
        <v>0</v>
      </c>
      <c r="DG163" s="2" t="b">
        <f>RecData[[#This Row],[Temperature '[°C']]]&lt;=-20</f>
        <v>0</v>
      </c>
      <c r="DH163" s="18" t="b">
        <f>NOT(OR(MOD(RecData[[#This Row],[TIMESTAMP]],1)&gt;0.91632,MOD(RecData[[#This Row],[TIMESTAMP]],1)&lt;0.208681))</f>
        <v>0</v>
      </c>
      <c r="DI163" s="18" t="b">
        <f>RecData[[#This Row],[Overall (dBA)]]-RecData[[#This Row],[L90]]&gt;=$DS$4</f>
        <v>0</v>
      </c>
      <c r="DJ163" s="18" t="b">
        <f>RecData[[#This Row],[Overall (dBA)]]&gt;$DS$2</f>
        <v>0</v>
      </c>
      <c r="DK163" s="18" t="b">
        <f>RecData[[#This Row],[Overall (dBA)]]&lt;$DS$3</f>
        <v>0</v>
      </c>
      <c r="DL1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3" s="2">
        <f>IF(AND(RecData[[#This Row],[Turbines ON/OFF]] = "OFF", NOT(OR(RecData[[#This Row],[Junk?]]="YES",RecData[[#This Row],[Gust?]],RecData[[#This Row],[Rain?]:[Min SPL Threshold?]]))),1,0)</f>
        <v>0</v>
      </c>
      <c r="DN163" s="16">
        <f>RecData[[#This Row],[dBA Sum]]</f>
        <v>40.2417703285575</v>
      </c>
      <c r="DO163" s="16">
        <f>RecData[[#This Row],[LAF90.0]]</f>
        <v>40.6</v>
      </c>
      <c r="DP163" s="55">
        <f>IF(AND(RecData[[#This Row],[Useable TON Data?]],RecData[[#This Row],[Turbines ON/OFF]]="ON"),RecData[[#This Row],[dBA Sum]],"")</f>
        <v>40.2417703285575</v>
      </c>
      <c r="DQ163" s="55" t="str">
        <f>IF(AND(RecData[[#This Row],[Useable Background Data?]],RecData[[#This Row],[Turbines ON/OFF]]="OFF"),RecData[[#This Row],[dBA Sum]],"")</f>
        <v/>
      </c>
      <c r="DR163" s="3">
        <f>IF(OR(RecData[[#This Row],[Useable TON Data?]],RecData[[#This Row],[Useable Background Data?]]),ROUND(RecData[[#This Row],[WSpd_Avg '[m/s']]],0),"")</f>
        <v>1</v>
      </c>
      <c r="DS163" s="85">
        <f>(0.00002)^2*(10^(RecData[[#This Row],[Overall (dBA)]]/10))</f>
        <v>4.2289935637883752E-6</v>
      </c>
    </row>
    <row r="164" spans="1:123" ht="15" x14ac:dyDescent="0.25">
      <c r="A164" s="3" t="s">
        <v>249</v>
      </c>
      <c r="B164" s="12">
        <v>43252.967361111114</v>
      </c>
      <c r="C164" s="3"/>
      <c r="D164" s="3">
        <v>42.5</v>
      </c>
      <c r="E164" s="3"/>
      <c r="F164" s="3"/>
      <c r="G164" s="3"/>
      <c r="H164" s="3"/>
      <c r="I164" s="3"/>
      <c r="J164" s="3"/>
      <c r="K164" s="3">
        <v>40.700000000000003</v>
      </c>
      <c r="L164" s="3"/>
      <c r="M164" s="3"/>
      <c r="N164" s="3">
        <v>163.69999999999999</v>
      </c>
      <c r="O164" s="3"/>
      <c r="P164" s="3"/>
      <c r="Q164" s="3">
        <v>1.25</v>
      </c>
      <c r="R164" s="3">
        <v>0.1</v>
      </c>
      <c r="S164" s="3">
        <v>2</v>
      </c>
      <c r="T164" s="3">
        <v>9.4</v>
      </c>
      <c r="U164" s="3">
        <v>60</v>
      </c>
      <c r="V164" s="3">
        <v>975.5</v>
      </c>
      <c r="W164" s="3">
        <v>0</v>
      </c>
      <c r="X164" s="3">
        <v>49.8</v>
      </c>
      <c r="Y164" s="3">
        <v>49.4</v>
      </c>
      <c r="Z164" s="3">
        <v>48.8</v>
      </c>
      <c r="AA164" s="3">
        <v>45</v>
      </c>
      <c r="AB164" s="3">
        <v>39.6</v>
      </c>
      <c r="AC164" s="3">
        <v>38.700000000000003</v>
      </c>
      <c r="AD164" s="3">
        <v>40.700000000000003</v>
      </c>
      <c r="AE164" s="3">
        <v>42.1</v>
      </c>
      <c r="AF164" s="3">
        <v>46.8</v>
      </c>
      <c r="AG164" s="3">
        <v>40.6</v>
      </c>
      <c r="AH164" s="3">
        <v>36.5</v>
      </c>
      <c r="AI164" s="3">
        <v>36.5</v>
      </c>
      <c r="AJ164" s="3">
        <v>35.6</v>
      </c>
      <c r="AK164" s="3">
        <v>34.200000000000003</v>
      </c>
      <c r="AL164" s="3">
        <v>32.799999999999997</v>
      </c>
      <c r="AM164" s="3">
        <v>33.1</v>
      </c>
      <c r="AN164" s="3">
        <v>31.8</v>
      </c>
      <c r="AO164" s="3">
        <v>28.9</v>
      </c>
      <c r="AP164" s="3">
        <v>26.9</v>
      </c>
      <c r="AQ164" s="3">
        <v>24.8</v>
      </c>
      <c r="AR164" s="3">
        <v>22.1</v>
      </c>
      <c r="AS164" s="3">
        <v>33.299999999999997</v>
      </c>
      <c r="AT164" s="3">
        <v>35.5</v>
      </c>
      <c r="AU164" s="3">
        <v>15.5</v>
      </c>
      <c r="AV164" s="3">
        <v>13.3</v>
      </c>
      <c r="AW164" s="3">
        <v>12.2</v>
      </c>
      <c r="AX164" s="3">
        <v>10</v>
      </c>
      <c r="AY164" s="3">
        <v>9.6999999999999993</v>
      </c>
      <c r="AZ164" s="3">
        <v>0</v>
      </c>
      <c r="BA164" s="3">
        <v>0</v>
      </c>
      <c r="BB164" s="3">
        <v>0</v>
      </c>
      <c r="BC164" s="3">
        <v>42.474172140105885</v>
      </c>
      <c r="BD164" s="3">
        <v>49.825827859894112</v>
      </c>
      <c r="BE164" s="3">
        <v>49.42582785989412</v>
      </c>
      <c r="BF164" s="3">
        <v>47.585827859894117</v>
      </c>
      <c r="BG164" s="3">
        <v>44.112494526560788</v>
      </c>
      <c r="BH164" s="3">
        <v>38.852494526560783</v>
      </c>
      <c r="BI164" s="3">
        <v>38.365827859894118</v>
      </c>
      <c r="BJ164" s="3">
        <v>41.15916119322744</v>
      </c>
      <c r="BK164" s="3">
        <v>42.432494526560781</v>
      </c>
      <c r="BL164" s="3">
        <v>46.705827859894121</v>
      </c>
      <c r="BM164" s="3">
        <v>40.639161193227459</v>
      </c>
      <c r="BN164" s="3">
        <v>36.822494526560781</v>
      </c>
      <c r="BO164" s="3">
        <v>36.189161193227442</v>
      </c>
      <c r="BP164" s="3">
        <v>35.005827859894119</v>
      </c>
      <c r="BQ164" s="3">
        <v>34.022494526560784</v>
      </c>
      <c r="BR164" s="3">
        <v>32.949161193227447</v>
      </c>
      <c r="BS164" s="3">
        <v>33.052494526560785</v>
      </c>
      <c r="BT164" s="3">
        <v>31.949161193227447</v>
      </c>
      <c r="BU164" s="3">
        <v>29.015827859894124</v>
      </c>
      <c r="BV164" s="3">
        <v>26.732494526560778</v>
      </c>
      <c r="BW164" s="3">
        <v>25.165827859894115</v>
      </c>
      <c r="BX164" s="3">
        <v>22.385827859894128</v>
      </c>
      <c r="BY164" s="3">
        <v>33.40582785989411</v>
      </c>
      <c r="BZ164" s="3">
        <v>35.735827859894123</v>
      </c>
      <c r="CA164" s="3">
        <v>15.83582785989411</v>
      </c>
      <c r="CB164" s="3">
        <v>13.072494526560781</v>
      </c>
      <c r="CC164" s="3">
        <v>12.185827859894111</v>
      </c>
      <c r="CD164" s="3">
        <v>9.2924945265607874</v>
      </c>
      <c r="CE164" s="3">
        <v>9.1858278598941112</v>
      </c>
      <c r="CF164" s="3">
        <v>-0.90083880677255479</v>
      </c>
      <c r="CG164" s="3">
        <v>-1.4341721401058862</v>
      </c>
      <c r="CH164" s="3">
        <v>-2.5108388067725542</v>
      </c>
      <c r="CI164" s="13">
        <f>[1]!dbasum(RecData[[#This Row],[20]:[2000]],RecData[[#Headers],[20]:[2000]])</f>
        <v>39.999754849675782</v>
      </c>
      <c r="CJ164" s="14">
        <v>922</v>
      </c>
      <c r="CK164" s="15" t="s">
        <v>249</v>
      </c>
      <c r="CL164" s="15">
        <f>RecData[[#This Row],[Start Time]]</f>
        <v>43252.967361111114</v>
      </c>
      <c r="CM164" s="16">
        <f>RecData[[#This Row],[Wind Speed avg]]</f>
        <v>1.25</v>
      </c>
      <c r="CN164" s="16">
        <f>RecData[[#This Row],[Wind Dir. avg]]</f>
        <v>163.69999999999999</v>
      </c>
      <c r="CO164" s="16">
        <f>RecData[[#This Row],[Amb. Humidity]]</f>
        <v>60</v>
      </c>
      <c r="CP164" s="16">
        <f>RecData[[#This Row],[Amb. Temperature]]</f>
        <v>9.4</v>
      </c>
      <c r="CQ164" s="17">
        <f>RecData[[#This Row],[Amb. Rain Gauge]]</f>
        <v>0</v>
      </c>
      <c r="CR164" s="4" t="s">
        <v>1</v>
      </c>
      <c r="CS164" s="4" t="s">
        <v>49</v>
      </c>
      <c r="CT164" s="70">
        <v>1615.80188</v>
      </c>
      <c r="CU164" s="70">
        <v>33.000282287597599</v>
      </c>
      <c r="CV164" s="70">
        <v>10.822465896606399</v>
      </c>
      <c r="CW164" s="70">
        <v>15.1588535308837</v>
      </c>
      <c r="CX164" s="97"/>
      <c r="CY164" s="99"/>
      <c r="CZ164" s="2" t="b">
        <f>IF($DP$1="YES",IF(RecData[[#This Row],[Power (kW)]]&gt;=$CR$3, TRUE,FALSE),TRUE)</f>
        <v>1</v>
      </c>
      <c r="DA164" s="16">
        <f>MIN(MOD(180-ABS(ABS($DA$1-RecData[Yaw Angle (°)])-180),360),MOD(180-ABS(ABS($DB$1-RecData[Yaw Angle (°)])-180),360))</f>
        <v>25.470355509910064</v>
      </c>
      <c r="DB164" s="2" t="str">
        <f>IF($DP$2="None","None",IF(RecData[[#This Row],[Relative Wind Direction]]&lt;=45,"DW",IF(RecData[[#This Row],[Relative Wind Direction]]&lt;=135,"CW","UW")))</f>
        <v>DW</v>
      </c>
      <c r="DC164" s="61" t="e">
        <f>IF($CL164-#REF!&gt;1/24,#REF!,IF(SUM($CQ162:$CQ164)&gt;$DS$1,$DS$5,#REF!-1))</f>
        <v>#REF!</v>
      </c>
      <c r="DD164" s="61" t="e">
        <f>IF(#REF!-$CL164&gt;1/24,#REF!,IF(SUM($CQ162:$CQ164)&gt;$DS$1,$DS$6,DD163-1))</f>
        <v>#REF!</v>
      </c>
      <c r="DE164" s="18" t="b">
        <v>0</v>
      </c>
      <c r="DF164" s="2" t="b">
        <f>IF(OR(RecData[[#This Row],[WSpd_Avg '[m/s']]]-RecData[[#This Row],[Wind Speed min]]&gt;=$DF$3,RecData[[#This Row],[Wind Speed max]]-RecData[[#This Row],[WSpd_Avg '[m/s']]]&gt;=$DF$2),TRUE,FALSE)</f>
        <v>0</v>
      </c>
      <c r="DG164" s="2" t="b">
        <f>RecData[[#This Row],[Temperature '[°C']]]&lt;=-20</f>
        <v>0</v>
      </c>
      <c r="DH164" s="18" t="b">
        <f>NOT(OR(MOD(RecData[[#This Row],[TIMESTAMP]],1)&gt;0.91632,MOD(RecData[[#This Row],[TIMESTAMP]],1)&lt;0.208681))</f>
        <v>0</v>
      </c>
      <c r="DI164" s="18" t="b">
        <f>RecData[[#This Row],[Overall (dBA)]]-RecData[[#This Row],[L90]]&gt;=$DS$4</f>
        <v>0</v>
      </c>
      <c r="DJ164" s="18" t="b">
        <f>RecData[[#This Row],[Overall (dBA)]]&gt;$DS$2</f>
        <v>0</v>
      </c>
      <c r="DK164" s="18" t="b">
        <f>RecData[[#This Row],[Overall (dBA)]]&lt;$DS$3</f>
        <v>0</v>
      </c>
      <c r="DL1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4" s="2">
        <f>IF(AND(RecData[[#This Row],[Turbines ON/OFF]] = "OFF", NOT(OR(RecData[[#This Row],[Junk?]]="YES",RecData[[#This Row],[Gust?]],RecData[[#This Row],[Rain?]:[Min SPL Threshold?]]))),1,0)</f>
        <v>0</v>
      </c>
      <c r="DN164" s="16">
        <f>RecData[[#This Row],[dBA Sum]]</f>
        <v>39.999754849675782</v>
      </c>
      <c r="DO164" s="16">
        <f>RecData[[#This Row],[LAF90.0]]</f>
        <v>40.700000000000003</v>
      </c>
      <c r="DP164" s="55">
        <f>IF(AND(RecData[[#This Row],[Useable TON Data?]],RecData[[#This Row],[Turbines ON/OFF]]="ON"),RecData[[#This Row],[dBA Sum]],"")</f>
        <v>39.999754849675782</v>
      </c>
      <c r="DQ164" s="55" t="str">
        <f>IF(AND(RecData[[#This Row],[Useable Background Data?]],RecData[[#This Row],[Turbines ON/OFF]]="OFF"),RecData[[#This Row],[dBA Sum]],"")</f>
        <v/>
      </c>
      <c r="DR164" s="3">
        <f>IF(OR(RecData[[#This Row],[Useable TON Data?]],RecData[[#This Row],[Useable Background Data?]]),ROUND(RecData[[#This Row],[WSpd_Avg '[m/s']]],0),"")</f>
        <v>1</v>
      </c>
      <c r="DS164" s="85">
        <f>(0.00002)^2*(10^(RecData[[#This Row],[Overall (dBA)]]/10))</f>
        <v>3.9997742145797899E-6</v>
      </c>
    </row>
    <row r="165" spans="1:123" ht="15" x14ac:dyDescent="0.25">
      <c r="A165" s="3" t="s">
        <v>249</v>
      </c>
      <c r="B165" s="12">
        <v>43252.96875</v>
      </c>
      <c r="C165" s="3"/>
      <c r="D165" s="3">
        <v>42.3</v>
      </c>
      <c r="E165" s="3"/>
      <c r="F165" s="3"/>
      <c r="G165" s="3"/>
      <c r="H165" s="3"/>
      <c r="I165" s="3"/>
      <c r="J165" s="3"/>
      <c r="K165" s="3">
        <v>40.9</v>
      </c>
      <c r="L165" s="3"/>
      <c r="M165" s="3"/>
      <c r="N165" s="3">
        <v>171.3</v>
      </c>
      <c r="O165" s="3"/>
      <c r="P165" s="3"/>
      <c r="Q165" s="3">
        <v>0.87</v>
      </c>
      <c r="R165" s="3">
        <v>0</v>
      </c>
      <c r="S165" s="3">
        <v>2.1</v>
      </c>
      <c r="T165" s="3">
        <v>9.4</v>
      </c>
      <c r="U165" s="3">
        <v>60.1</v>
      </c>
      <c r="V165" s="3">
        <v>975.5</v>
      </c>
      <c r="W165" s="3">
        <v>0</v>
      </c>
      <c r="X165" s="3">
        <v>48.8</v>
      </c>
      <c r="Y165" s="3">
        <v>49.2</v>
      </c>
      <c r="Z165" s="3">
        <v>49.3</v>
      </c>
      <c r="AA165" s="3">
        <v>44.9</v>
      </c>
      <c r="AB165" s="3">
        <v>40</v>
      </c>
      <c r="AC165" s="3">
        <v>37.6</v>
      </c>
      <c r="AD165" s="3">
        <v>39.700000000000003</v>
      </c>
      <c r="AE165" s="3">
        <v>41.5</v>
      </c>
      <c r="AF165" s="3">
        <v>45.5</v>
      </c>
      <c r="AG165" s="3">
        <v>39.5</v>
      </c>
      <c r="AH165" s="3">
        <v>35.200000000000003</v>
      </c>
      <c r="AI165" s="3">
        <v>36.4</v>
      </c>
      <c r="AJ165" s="3">
        <v>34.4</v>
      </c>
      <c r="AK165" s="3">
        <v>33.200000000000003</v>
      </c>
      <c r="AL165" s="3">
        <v>31.9</v>
      </c>
      <c r="AM165" s="3">
        <v>32</v>
      </c>
      <c r="AN165" s="3">
        <v>30.6</v>
      </c>
      <c r="AO165" s="3">
        <v>27.7</v>
      </c>
      <c r="AP165" s="3">
        <v>25.4</v>
      </c>
      <c r="AQ165" s="3">
        <v>23</v>
      </c>
      <c r="AR165" s="3">
        <v>19.399999999999999</v>
      </c>
      <c r="AS165" s="3">
        <v>33.6</v>
      </c>
      <c r="AT165" s="3">
        <v>36.5</v>
      </c>
      <c r="AU165" s="3">
        <v>13</v>
      </c>
      <c r="AV165" s="3">
        <v>10.9</v>
      </c>
      <c r="AW165" s="3">
        <v>10.3</v>
      </c>
      <c r="AX165" s="3">
        <v>9.4</v>
      </c>
      <c r="AY165" s="3">
        <v>9.5</v>
      </c>
      <c r="AZ165" s="3">
        <v>0</v>
      </c>
      <c r="BA165" s="3">
        <v>0</v>
      </c>
      <c r="BB165" s="3">
        <v>0</v>
      </c>
      <c r="BC165" s="3">
        <v>42.245746667452416</v>
      </c>
      <c r="BD165" s="3">
        <v>48.854253332547579</v>
      </c>
      <c r="BE165" s="3">
        <v>49.254253332547584</v>
      </c>
      <c r="BF165" s="3">
        <v>48.11425333254757</v>
      </c>
      <c r="BG165" s="3">
        <v>44.040919999214246</v>
      </c>
      <c r="BH165" s="3">
        <v>39.280919999214255</v>
      </c>
      <c r="BI165" s="3">
        <v>37.294253332547576</v>
      </c>
      <c r="BJ165" s="3">
        <v>40.187586665880922</v>
      </c>
      <c r="BK165" s="3">
        <v>41.860919999214239</v>
      </c>
      <c r="BL165" s="3">
        <v>45.434253332547591</v>
      </c>
      <c r="BM165" s="3">
        <v>39.567586665880917</v>
      </c>
      <c r="BN165" s="3">
        <v>35.550919999214251</v>
      </c>
      <c r="BO165" s="3">
        <v>36.117586665880914</v>
      </c>
      <c r="BP165" s="3">
        <v>33.834253332547583</v>
      </c>
      <c r="BQ165" s="3">
        <v>33.050919999214237</v>
      </c>
      <c r="BR165" s="3">
        <v>32.077586665880908</v>
      </c>
      <c r="BS165" s="3">
        <v>31.980919999214244</v>
      </c>
      <c r="BT165" s="3">
        <v>30.777586665880925</v>
      </c>
      <c r="BU165" s="3">
        <v>27.844253332547588</v>
      </c>
      <c r="BV165" s="3">
        <v>25.260919999214245</v>
      </c>
      <c r="BW165" s="3">
        <v>23.394253332547585</v>
      </c>
      <c r="BX165" s="3">
        <v>19.714253332547585</v>
      </c>
      <c r="BY165" s="3">
        <v>33.734253332547574</v>
      </c>
      <c r="BZ165" s="3">
        <v>36.764253332547575</v>
      </c>
      <c r="CA165" s="3">
        <v>13.364253332547577</v>
      </c>
      <c r="CB165" s="3">
        <v>10.700919999214243</v>
      </c>
      <c r="CC165" s="3">
        <v>10.31425333254758</v>
      </c>
      <c r="CD165" s="3">
        <v>8.720919999214253</v>
      </c>
      <c r="CE165" s="3">
        <v>9.0142533325475824</v>
      </c>
      <c r="CF165" s="3">
        <v>-0.87241333411908784</v>
      </c>
      <c r="CG165" s="3">
        <v>-1.4057466674524193</v>
      </c>
      <c r="CH165" s="3">
        <v>-2.4824133341190873</v>
      </c>
      <c r="CI165" s="13">
        <f>[1]!dbasum(RecData[[#This Row],[20]:[2000]],RecData[[#Headers],[20]:[2000]])</f>
        <v>38.89993466999514</v>
      </c>
      <c r="CJ165" s="14">
        <v>924</v>
      </c>
      <c r="CK165" s="15" t="s">
        <v>249</v>
      </c>
      <c r="CL165" s="15">
        <f>RecData[[#This Row],[Start Time]]</f>
        <v>43252.96875</v>
      </c>
      <c r="CM165" s="16">
        <f>RecData[[#This Row],[Wind Speed avg]]</f>
        <v>0.87</v>
      </c>
      <c r="CN165" s="16">
        <f>RecData[[#This Row],[Wind Dir. avg]]</f>
        <v>171.3</v>
      </c>
      <c r="CO165" s="16">
        <f>RecData[[#This Row],[Amb. Humidity]]</f>
        <v>60.1</v>
      </c>
      <c r="CP165" s="16">
        <f>RecData[[#This Row],[Amb. Temperature]]</f>
        <v>9.4</v>
      </c>
      <c r="CQ165" s="17">
        <f>RecData[[#This Row],[Amb. Rain Gauge]]</f>
        <v>0</v>
      </c>
      <c r="CR165" s="4" t="s">
        <v>1</v>
      </c>
      <c r="CS165" s="4" t="s">
        <v>49</v>
      </c>
      <c r="CT165" s="70">
        <v>1615.80188</v>
      </c>
      <c r="CU165" s="70">
        <v>33.000282287597599</v>
      </c>
      <c r="CV165" s="70">
        <v>10.822465896606399</v>
      </c>
      <c r="CW165" s="70">
        <v>15.1588535308837</v>
      </c>
      <c r="CX165" s="97"/>
      <c r="CY165" s="99"/>
      <c r="CZ165" s="2" t="b">
        <f>IF($DP$1="YES",IF(RecData[[#This Row],[Power (kW)]]&gt;=$CR$3, TRUE,FALSE),TRUE)</f>
        <v>1</v>
      </c>
      <c r="DA165" s="16">
        <f>MIN(MOD(180-ABS(ABS($DA$1-RecData[Yaw Angle (°)])-180),360),MOD(180-ABS(ABS($DB$1-RecData[Yaw Angle (°)])-180),360))</f>
        <v>25.470355509910064</v>
      </c>
      <c r="DB165" s="2" t="str">
        <f>IF($DP$2="None","None",IF(RecData[[#This Row],[Relative Wind Direction]]&lt;=45,"DW",IF(RecData[[#This Row],[Relative Wind Direction]]&lt;=135,"CW","UW")))</f>
        <v>DW</v>
      </c>
      <c r="DC165" s="61" t="e">
        <f>IF($CL165-$CL162&gt;1/24,#REF!,IF(SUM($CQ162:$CQ165)&gt;$DS$1,$DS$5,DC166-1))</f>
        <v>#REF!</v>
      </c>
      <c r="DD165" s="61" t="e">
        <f>IF($CL166-$CL165&gt;1/24,#REF!,IF(SUM($CQ162:$CQ165)&gt;$DS$1,$DS$6,#REF!-1))</f>
        <v>#REF!</v>
      </c>
      <c r="DE165" s="18" t="b">
        <v>0</v>
      </c>
      <c r="DF165" s="2" t="b">
        <f>IF(OR(RecData[[#This Row],[WSpd_Avg '[m/s']]]-RecData[[#This Row],[Wind Speed min]]&gt;=$DF$3,RecData[[#This Row],[Wind Speed max]]-RecData[[#This Row],[WSpd_Avg '[m/s']]]&gt;=$DF$2),TRUE,FALSE)</f>
        <v>0</v>
      </c>
      <c r="DG165" s="2" t="b">
        <f>RecData[[#This Row],[Temperature '[°C']]]&lt;=-20</f>
        <v>0</v>
      </c>
      <c r="DH165" s="18" t="b">
        <f>NOT(OR(MOD(RecData[[#This Row],[TIMESTAMP]],1)&gt;0.91632,MOD(RecData[[#This Row],[TIMESTAMP]],1)&lt;0.208681))</f>
        <v>0</v>
      </c>
      <c r="DI165" s="18" t="b">
        <f>RecData[[#This Row],[Overall (dBA)]]-RecData[[#This Row],[L90]]&gt;=$DS$4</f>
        <v>0</v>
      </c>
      <c r="DJ165" s="18" t="b">
        <f>RecData[[#This Row],[Overall (dBA)]]&gt;$DS$2</f>
        <v>0</v>
      </c>
      <c r="DK165" s="18" t="b">
        <f>RecData[[#This Row],[Overall (dBA)]]&lt;$DS$3</f>
        <v>0</v>
      </c>
      <c r="DL1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5" s="2">
        <f>IF(AND(RecData[[#This Row],[Turbines ON/OFF]] = "OFF", NOT(OR(RecData[[#This Row],[Junk?]]="YES",RecData[[#This Row],[Gust?]],RecData[[#This Row],[Rain?]:[Min SPL Threshold?]]))),1,0)</f>
        <v>0</v>
      </c>
      <c r="DN165" s="16">
        <f>RecData[[#This Row],[dBA Sum]]</f>
        <v>38.89993466999514</v>
      </c>
      <c r="DO165" s="16">
        <f>RecData[[#This Row],[LAF90.0]]</f>
        <v>40.9</v>
      </c>
      <c r="DP165" s="55">
        <f>IF(AND(RecData[[#This Row],[Useable TON Data?]],RecData[[#This Row],[Turbines ON/OFF]]="ON"),RecData[[#This Row],[dBA Sum]],"")</f>
        <v>38.89993466999514</v>
      </c>
      <c r="DQ165" s="55" t="str">
        <f>IF(AND(RecData[[#This Row],[Useable Background Data?]],RecData[[#This Row],[Turbines ON/OFF]]="OFF"),RecData[[#This Row],[dBA Sum]],"")</f>
        <v/>
      </c>
      <c r="DR165" s="3">
        <f>IF(OR(RecData[[#This Row],[Useable TON Data?]],RecData[[#This Row],[Useable Background Data?]]),ROUND(RecData[[#This Row],[WSpd_Avg '[m/s']]],0),"")</f>
        <v>1</v>
      </c>
      <c r="DS165" s="85">
        <f>(0.00002)^2*(10^(RecData[[#This Row],[Overall (dBA)]]/10))</f>
        <v>3.1049417591780799E-6</v>
      </c>
    </row>
    <row r="166" spans="1:123" ht="15" x14ac:dyDescent="0.25">
      <c r="A166" s="3" t="s">
        <v>249</v>
      </c>
      <c r="B166" s="12">
        <v>43252.969444444447</v>
      </c>
      <c r="C166" s="3"/>
      <c r="D166" s="3">
        <v>43.1</v>
      </c>
      <c r="E166" s="3"/>
      <c r="F166" s="3"/>
      <c r="G166" s="3"/>
      <c r="H166" s="3"/>
      <c r="I166" s="3"/>
      <c r="J166" s="3"/>
      <c r="K166" s="3">
        <v>40.9</v>
      </c>
      <c r="L166" s="3"/>
      <c r="M166" s="3"/>
      <c r="N166" s="3">
        <v>185.6</v>
      </c>
      <c r="O166" s="3"/>
      <c r="P166" s="3"/>
      <c r="Q166" s="3">
        <v>0.86</v>
      </c>
      <c r="R166" s="3">
        <v>0.1</v>
      </c>
      <c r="S166" s="3">
        <v>2.2000000000000002</v>
      </c>
      <c r="T166" s="3">
        <v>9.4</v>
      </c>
      <c r="U166" s="3">
        <v>60.1</v>
      </c>
      <c r="V166" s="3">
        <v>975.5</v>
      </c>
      <c r="W166" s="3">
        <v>0</v>
      </c>
      <c r="X166" s="3">
        <v>49.2</v>
      </c>
      <c r="Y166" s="3">
        <v>49.1</v>
      </c>
      <c r="Z166" s="3">
        <v>49.2</v>
      </c>
      <c r="AA166" s="3">
        <v>44.8</v>
      </c>
      <c r="AB166" s="3">
        <v>39.6</v>
      </c>
      <c r="AC166" s="3">
        <v>37.9</v>
      </c>
      <c r="AD166" s="3">
        <v>40.200000000000003</v>
      </c>
      <c r="AE166" s="3">
        <v>41.3</v>
      </c>
      <c r="AF166" s="3">
        <v>46.3</v>
      </c>
      <c r="AG166" s="3">
        <v>39.6</v>
      </c>
      <c r="AH166" s="3">
        <v>35.799999999999997</v>
      </c>
      <c r="AI166" s="3">
        <v>36.9</v>
      </c>
      <c r="AJ166" s="3">
        <v>35.200000000000003</v>
      </c>
      <c r="AK166" s="3">
        <v>34.1</v>
      </c>
      <c r="AL166" s="3">
        <v>32.200000000000003</v>
      </c>
      <c r="AM166" s="3">
        <v>32.1</v>
      </c>
      <c r="AN166" s="3">
        <v>30.7</v>
      </c>
      <c r="AO166" s="3">
        <v>27.9</v>
      </c>
      <c r="AP166" s="3">
        <v>26.1</v>
      </c>
      <c r="AQ166" s="3">
        <v>24.5</v>
      </c>
      <c r="AR166" s="3">
        <v>23.1</v>
      </c>
      <c r="AS166" s="3">
        <v>35.4</v>
      </c>
      <c r="AT166" s="3">
        <v>36.799999999999997</v>
      </c>
      <c r="AU166" s="3">
        <v>19.100000000000001</v>
      </c>
      <c r="AV166" s="3">
        <v>17.100000000000001</v>
      </c>
      <c r="AW166" s="3">
        <v>15.5</v>
      </c>
      <c r="AX166" s="3">
        <v>11.2</v>
      </c>
      <c r="AY166" s="3">
        <v>10</v>
      </c>
      <c r="AZ166" s="3">
        <v>0</v>
      </c>
      <c r="BA166" s="3">
        <v>0</v>
      </c>
      <c r="BB166" s="3">
        <v>0</v>
      </c>
      <c r="BC166" s="3">
        <v>42.997955335354867</v>
      </c>
      <c r="BD166" s="3">
        <v>49.302044664645145</v>
      </c>
      <c r="BE166" s="3">
        <v>49.202044664645136</v>
      </c>
      <c r="BF166" s="3">
        <v>48.062044664645136</v>
      </c>
      <c r="BG166" s="3">
        <v>43.988711331311798</v>
      </c>
      <c r="BH166" s="3">
        <v>38.92871133131181</v>
      </c>
      <c r="BI166" s="3">
        <v>37.642044664645134</v>
      </c>
      <c r="BJ166" s="3">
        <v>40.735377997978468</v>
      </c>
      <c r="BK166" s="3">
        <v>41.708711331311797</v>
      </c>
      <c r="BL166" s="3">
        <v>46.282044664645134</v>
      </c>
      <c r="BM166" s="3">
        <v>39.715377997978472</v>
      </c>
      <c r="BN166" s="3">
        <v>36.198711331311792</v>
      </c>
      <c r="BO166" s="3">
        <v>36.66537799797846</v>
      </c>
      <c r="BP166" s="3">
        <v>34.68204466464514</v>
      </c>
      <c r="BQ166" s="3">
        <v>33.998711331311803</v>
      </c>
      <c r="BR166" s="3">
        <v>32.42537799797848</v>
      </c>
      <c r="BS166" s="3">
        <v>32.128711331311798</v>
      </c>
      <c r="BT166" s="3">
        <v>30.925377997978465</v>
      </c>
      <c r="BU166" s="3">
        <v>28.092044664645137</v>
      </c>
      <c r="BV166" s="3">
        <v>26.008711331311808</v>
      </c>
      <c r="BW166" s="3">
        <v>24.942044664645131</v>
      </c>
      <c r="BX166" s="3">
        <v>23.462044664645141</v>
      </c>
      <c r="BY166" s="3">
        <v>35.582044664645132</v>
      </c>
      <c r="BZ166" s="3">
        <v>37.112044664645133</v>
      </c>
      <c r="CA166" s="3">
        <v>19.512044664645124</v>
      </c>
      <c r="CB166" s="3">
        <v>16.948711331311806</v>
      </c>
      <c r="CC166" s="3">
        <v>15.562044664645136</v>
      </c>
      <c r="CD166" s="3">
        <v>10.568711331311803</v>
      </c>
      <c r="CE166" s="3">
        <v>9.5620446646451356</v>
      </c>
      <c r="CF166" s="3">
        <v>-0.82462200202153468</v>
      </c>
      <c r="CG166" s="3">
        <v>-1.3579553353548661</v>
      </c>
      <c r="CH166" s="3">
        <v>-2.4346220020215341</v>
      </c>
      <c r="CI166" s="13">
        <f>[1]!dbasum(RecData[[#This Row],[20]:[2000]],RecData[[#Headers],[20]:[2000]])</f>
        <v>39.487122769203388</v>
      </c>
      <c r="CJ166" s="14">
        <v>925</v>
      </c>
      <c r="CK166" s="15" t="s">
        <v>249</v>
      </c>
      <c r="CL166" s="15">
        <f>RecData[[#This Row],[Start Time]]</f>
        <v>43252.969444444447</v>
      </c>
      <c r="CM166" s="16">
        <f>RecData[[#This Row],[Wind Speed avg]]</f>
        <v>0.86</v>
      </c>
      <c r="CN166" s="16">
        <f>RecData[[#This Row],[Wind Dir. avg]]</f>
        <v>185.6</v>
      </c>
      <c r="CO166" s="16">
        <f>RecData[[#This Row],[Amb. Humidity]]</f>
        <v>60.1</v>
      </c>
      <c r="CP166" s="16">
        <f>RecData[[#This Row],[Amb. Temperature]]</f>
        <v>9.4</v>
      </c>
      <c r="CQ166" s="17">
        <f>RecData[[#This Row],[Amb. Rain Gauge]]</f>
        <v>0</v>
      </c>
      <c r="CR166" s="4" t="s">
        <v>1</v>
      </c>
      <c r="CS166" s="4" t="s">
        <v>49</v>
      </c>
      <c r="CT166" s="70">
        <v>1615.80188</v>
      </c>
      <c r="CU166" s="70">
        <v>33.000282287597599</v>
      </c>
      <c r="CV166" s="70">
        <v>10.822465896606399</v>
      </c>
      <c r="CW166" s="70">
        <v>15.1588535308837</v>
      </c>
      <c r="CX166" s="97"/>
      <c r="CY166" s="99"/>
      <c r="CZ166" s="2" t="b">
        <f>IF($DP$1="YES",IF(RecData[[#This Row],[Power (kW)]]&gt;=$CR$3, TRUE,FALSE),TRUE)</f>
        <v>1</v>
      </c>
      <c r="DA166" s="16">
        <f>MIN(MOD(180-ABS(ABS($DA$1-RecData[Yaw Angle (°)])-180),360),MOD(180-ABS(ABS($DB$1-RecData[Yaw Angle (°)])-180),360))</f>
        <v>25.470355509910064</v>
      </c>
      <c r="DB166" s="2" t="str">
        <f>IF($DP$2="None","None",IF(RecData[[#This Row],[Relative Wind Direction]]&lt;=45,"DW",IF(RecData[[#This Row],[Relative Wind Direction]]&lt;=135,"CW","UW")))</f>
        <v>DW</v>
      </c>
      <c r="DC166" s="61" t="e">
        <f>IF($CL166-$CL163&gt;1/24,#REF!,IF(SUM($CQ163:$CQ166)&gt;$DS$1,$DS$5,DC167-1))</f>
        <v>#REF!</v>
      </c>
      <c r="DD166" s="61" t="e">
        <f>IF($CL167-$CL166&gt;1/24,#REF!,IF(SUM($CQ163:$CQ166)&gt;$DS$1,$DS$6,DD165-1))</f>
        <v>#REF!</v>
      </c>
      <c r="DE166" s="18" t="b">
        <v>0</v>
      </c>
      <c r="DF166" s="2" t="b">
        <f>IF(OR(RecData[[#This Row],[WSpd_Avg '[m/s']]]-RecData[[#This Row],[Wind Speed min]]&gt;=$DF$3,RecData[[#This Row],[Wind Speed max]]-RecData[[#This Row],[WSpd_Avg '[m/s']]]&gt;=$DF$2),TRUE,FALSE)</f>
        <v>0</v>
      </c>
      <c r="DG166" s="2" t="b">
        <f>RecData[[#This Row],[Temperature '[°C']]]&lt;=-20</f>
        <v>0</v>
      </c>
      <c r="DH166" s="18" t="b">
        <f>NOT(OR(MOD(RecData[[#This Row],[TIMESTAMP]],1)&gt;0.91632,MOD(RecData[[#This Row],[TIMESTAMP]],1)&lt;0.208681))</f>
        <v>0</v>
      </c>
      <c r="DI166" s="18" t="b">
        <f>RecData[[#This Row],[Overall (dBA)]]-RecData[[#This Row],[L90]]&gt;=$DS$4</f>
        <v>0</v>
      </c>
      <c r="DJ166" s="18" t="b">
        <f>RecData[[#This Row],[Overall (dBA)]]&gt;$DS$2</f>
        <v>0</v>
      </c>
      <c r="DK166" s="18" t="b">
        <f>RecData[[#This Row],[Overall (dBA)]]&lt;$DS$3</f>
        <v>0</v>
      </c>
      <c r="DL1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6" s="2">
        <f>IF(AND(RecData[[#This Row],[Turbines ON/OFF]] = "OFF", NOT(OR(RecData[[#This Row],[Junk?]]="YES",RecData[[#This Row],[Gust?]],RecData[[#This Row],[Rain?]:[Min SPL Threshold?]]))),1,0)</f>
        <v>0</v>
      </c>
      <c r="DN166" s="16">
        <f>RecData[[#This Row],[dBA Sum]]</f>
        <v>39.487122769203388</v>
      </c>
      <c r="DO166" s="16">
        <f>RecData[[#This Row],[LAF90.0]]</f>
        <v>40.9</v>
      </c>
      <c r="DP166" s="55">
        <f>IF(AND(RecData[[#This Row],[Useable TON Data?]],RecData[[#This Row],[Turbines ON/OFF]]="ON"),RecData[[#This Row],[dBA Sum]],"")</f>
        <v>39.487122769203388</v>
      </c>
      <c r="DQ166" s="55" t="str">
        <f>IF(AND(RecData[[#This Row],[Useable Background Data?]],RecData[[#This Row],[Turbines ON/OFF]]="OFF"),RecData[[#This Row],[dBA Sum]],"")</f>
        <v/>
      </c>
      <c r="DR166" s="3">
        <f>IF(OR(RecData[[#This Row],[Useable TON Data?]],RecData[[#This Row],[Useable Background Data?]]),ROUND(RecData[[#This Row],[WSpd_Avg '[m/s']]],0),"")</f>
        <v>1</v>
      </c>
      <c r="DS166" s="85">
        <f>(0.00002)^2*(10^(RecData[[#This Row],[Overall (dBA)]]/10))</f>
        <v>3.5544488444152155E-6</v>
      </c>
    </row>
    <row r="167" spans="1:123" ht="15" x14ac:dyDescent="0.25">
      <c r="A167" s="3" t="s">
        <v>249</v>
      </c>
      <c r="B167" s="12">
        <v>43252.970138888893</v>
      </c>
      <c r="C167" s="3"/>
      <c r="D167" s="3">
        <v>42.6</v>
      </c>
      <c r="E167" s="3"/>
      <c r="F167" s="3"/>
      <c r="G167" s="3"/>
      <c r="H167" s="3"/>
      <c r="I167" s="3"/>
      <c r="J167" s="3"/>
      <c r="K167" s="3">
        <v>41.2</v>
      </c>
      <c r="L167" s="3"/>
      <c r="M167" s="3"/>
      <c r="N167" s="3">
        <v>256.89999999999998</v>
      </c>
      <c r="O167" s="3"/>
      <c r="P167" s="3"/>
      <c r="Q167" s="3">
        <v>0.38</v>
      </c>
      <c r="R167" s="3">
        <v>0.1</v>
      </c>
      <c r="S167" s="3">
        <v>0.8</v>
      </c>
      <c r="T167" s="3">
        <v>9.4</v>
      </c>
      <c r="U167" s="3">
        <v>60.6</v>
      </c>
      <c r="V167" s="3">
        <v>975.5</v>
      </c>
      <c r="W167" s="3">
        <v>0</v>
      </c>
      <c r="X167" s="3">
        <v>50.4</v>
      </c>
      <c r="Y167" s="3">
        <v>49.9</v>
      </c>
      <c r="Z167" s="3">
        <v>49.6</v>
      </c>
      <c r="AA167" s="3">
        <v>45.2</v>
      </c>
      <c r="AB167" s="3">
        <v>40.1</v>
      </c>
      <c r="AC167" s="3">
        <v>38.299999999999997</v>
      </c>
      <c r="AD167" s="3">
        <v>41.9</v>
      </c>
      <c r="AE167" s="3">
        <v>43.2</v>
      </c>
      <c r="AF167" s="3">
        <v>46.5</v>
      </c>
      <c r="AG167" s="3">
        <v>40.200000000000003</v>
      </c>
      <c r="AH167" s="3">
        <v>37.700000000000003</v>
      </c>
      <c r="AI167" s="3">
        <v>37.6</v>
      </c>
      <c r="AJ167" s="3">
        <v>36.299999999999997</v>
      </c>
      <c r="AK167" s="3">
        <v>34.9</v>
      </c>
      <c r="AL167" s="3">
        <v>33.1</v>
      </c>
      <c r="AM167" s="3">
        <v>33.299999999999997</v>
      </c>
      <c r="AN167" s="3">
        <v>32</v>
      </c>
      <c r="AO167" s="3">
        <v>28.9</v>
      </c>
      <c r="AP167" s="3">
        <v>26.7</v>
      </c>
      <c r="AQ167" s="3">
        <v>24</v>
      </c>
      <c r="AR167" s="3">
        <v>20.6</v>
      </c>
      <c r="AS167" s="3">
        <v>33.1</v>
      </c>
      <c r="AT167" s="3">
        <v>35.4</v>
      </c>
      <c r="AU167" s="3">
        <v>12.5</v>
      </c>
      <c r="AV167" s="3">
        <v>10.5</v>
      </c>
      <c r="AW167" s="3">
        <v>9.8000000000000007</v>
      </c>
      <c r="AX167" s="3">
        <v>9.1999999999999993</v>
      </c>
      <c r="AY167" s="3">
        <v>9.3000000000000007</v>
      </c>
      <c r="AZ167" s="3">
        <v>0</v>
      </c>
      <c r="BA167" s="3">
        <v>0</v>
      </c>
      <c r="BB167" s="3">
        <v>0</v>
      </c>
      <c r="BC167" s="3">
        <v>42.546003964892989</v>
      </c>
      <c r="BD167" s="3">
        <v>50.453996035107011</v>
      </c>
      <c r="BE167" s="3">
        <v>49.953996035107011</v>
      </c>
      <c r="BF167" s="3">
        <v>48.413996035107019</v>
      </c>
      <c r="BG167" s="3">
        <v>44.340662701773681</v>
      </c>
      <c r="BH167" s="3">
        <v>39.380662701773687</v>
      </c>
      <c r="BI167" s="3">
        <v>37.993996035107003</v>
      </c>
      <c r="BJ167" s="3">
        <v>42.387329368440348</v>
      </c>
      <c r="BK167" s="3">
        <v>43.56066270177368</v>
      </c>
      <c r="BL167" s="3">
        <v>46.433996035107015</v>
      </c>
      <c r="BM167" s="3">
        <v>40.267329368440343</v>
      </c>
      <c r="BN167" s="3">
        <v>38.050662701773675</v>
      </c>
      <c r="BO167" s="3">
        <v>37.317329368440355</v>
      </c>
      <c r="BP167" s="3">
        <v>35.733996035107012</v>
      </c>
      <c r="BQ167" s="3">
        <v>34.750662701773663</v>
      </c>
      <c r="BR167" s="3">
        <v>33.277329368440348</v>
      </c>
      <c r="BS167" s="3">
        <v>33.280662701773679</v>
      </c>
      <c r="BT167" s="3">
        <v>32.17732936844034</v>
      </c>
      <c r="BU167" s="3">
        <v>29.043996035107014</v>
      </c>
      <c r="BV167" s="3">
        <v>26.56066270177368</v>
      </c>
      <c r="BW167" s="3">
        <v>24.393996035107008</v>
      </c>
      <c r="BX167" s="3">
        <v>20.913996035107019</v>
      </c>
      <c r="BY167" s="3">
        <v>33.233996035107012</v>
      </c>
      <c r="BZ167" s="3">
        <v>35.663996035107019</v>
      </c>
      <c r="CA167" s="3">
        <v>12.863996035107007</v>
      </c>
      <c r="CB167" s="3">
        <v>10.300662701773675</v>
      </c>
      <c r="CC167" s="3">
        <v>9.8139960351070101</v>
      </c>
      <c r="CD167" s="3">
        <v>8.5206627017736807</v>
      </c>
      <c r="CE167" s="3">
        <v>8.8139960351070101</v>
      </c>
      <c r="CF167" s="3">
        <v>-0.87267063155965729</v>
      </c>
      <c r="CG167" s="3">
        <v>-1.4060039648929887</v>
      </c>
      <c r="CH167" s="3">
        <v>-2.4826706315596567</v>
      </c>
      <c r="CI167" s="13">
        <f>[1]!dbasum(RecData[[#This Row],[20]:[2000]],RecData[[#Headers],[20]:[2000]])</f>
        <v>40.259572303044358</v>
      </c>
      <c r="CJ167" s="14">
        <v>926</v>
      </c>
      <c r="CK167" s="15" t="s">
        <v>249</v>
      </c>
      <c r="CL167" s="15">
        <f>RecData[[#This Row],[Start Time]]</f>
        <v>43252.970138888893</v>
      </c>
      <c r="CM167" s="16">
        <f>RecData[[#This Row],[Wind Speed avg]]</f>
        <v>0.38</v>
      </c>
      <c r="CN167" s="16">
        <f>RecData[[#This Row],[Wind Dir. avg]]</f>
        <v>256.89999999999998</v>
      </c>
      <c r="CO167" s="16">
        <f>RecData[[#This Row],[Amb. Humidity]]</f>
        <v>60.6</v>
      </c>
      <c r="CP167" s="16">
        <f>RecData[[#This Row],[Amb. Temperature]]</f>
        <v>9.4</v>
      </c>
      <c r="CQ167" s="17">
        <f>RecData[[#This Row],[Amb. Rain Gauge]]</f>
        <v>0</v>
      </c>
      <c r="CR167" s="4" t="s">
        <v>1</v>
      </c>
      <c r="CS167" s="4" t="s">
        <v>49</v>
      </c>
      <c r="CT167" s="70">
        <v>1615.80188</v>
      </c>
      <c r="CU167" s="70">
        <v>33.000282287597599</v>
      </c>
      <c r="CV167" s="70">
        <v>10.822465896606399</v>
      </c>
      <c r="CW167" s="70">
        <v>15.1588535308837</v>
      </c>
      <c r="CX167" s="97"/>
      <c r="CY167" s="99"/>
      <c r="CZ167" s="2" t="b">
        <f>IF($DP$1="YES",IF(RecData[[#This Row],[Power (kW)]]&gt;=$CR$3, TRUE,FALSE),TRUE)</f>
        <v>1</v>
      </c>
      <c r="DA167" s="16">
        <f>MIN(MOD(180-ABS(ABS($DA$1-RecData[Yaw Angle (°)])-180),360),MOD(180-ABS(ABS($DB$1-RecData[Yaw Angle (°)])-180),360))</f>
        <v>25.470355509910064</v>
      </c>
      <c r="DB167" s="2" t="str">
        <f>IF($DP$2="None","None",IF(RecData[[#This Row],[Relative Wind Direction]]&lt;=45,"DW",IF(RecData[[#This Row],[Relative Wind Direction]]&lt;=135,"CW","UW")))</f>
        <v>DW</v>
      </c>
      <c r="DC167" s="61" t="e">
        <f>IF($CL167-$CL164&gt;1/24,#REF!,IF(SUM($CQ164:$CQ167)&gt;$DS$1,$DS$5,#REF!-1))</f>
        <v>#REF!</v>
      </c>
      <c r="DD167" s="61" t="e">
        <f>IF(#REF!-$CL167&gt;1/24,#REF!,IF(SUM($CQ164:$CQ167)&gt;$DS$1,$DS$6,DD166-1))</f>
        <v>#REF!</v>
      </c>
      <c r="DE167" s="18" t="b">
        <v>0</v>
      </c>
      <c r="DF167" s="2" t="b">
        <f>IF(OR(RecData[[#This Row],[WSpd_Avg '[m/s']]]-RecData[[#This Row],[Wind Speed min]]&gt;=$DF$3,RecData[[#This Row],[Wind Speed max]]-RecData[[#This Row],[WSpd_Avg '[m/s']]]&gt;=$DF$2),TRUE,FALSE)</f>
        <v>0</v>
      </c>
      <c r="DG167" s="2" t="b">
        <f>RecData[[#This Row],[Temperature '[°C']]]&lt;=-20</f>
        <v>0</v>
      </c>
      <c r="DH167" s="18" t="b">
        <f>NOT(OR(MOD(RecData[[#This Row],[TIMESTAMP]],1)&gt;0.91632,MOD(RecData[[#This Row],[TIMESTAMP]],1)&lt;0.208681))</f>
        <v>0</v>
      </c>
      <c r="DI167" s="18" t="b">
        <f>RecData[[#This Row],[Overall (dBA)]]-RecData[[#This Row],[L90]]&gt;=$DS$4</f>
        <v>0</v>
      </c>
      <c r="DJ167" s="18" t="b">
        <f>RecData[[#This Row],[Overall (dBA)]]&gt;$DS$2</f>
        <v>0</v>
      </c>
      <c r="DK167" s="18" t="b">
        <f>RecData[[#This Row],[Overall (dBA)]]&lt;$DS$3</f>
        <v>0</v>
      </c>
      <c r="DL1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7" s="2">
        <f>IF(AND(RecData[[#This Row],[Turbines ON/OFF]] = "OFF", NOT(OR(RecData[[#This Row],[Junk?]]="YES",RecData[[#This Row],[Gust?]],RecData[[#This Row],[Rain?]:[Min SPL Threshold?]]))),1,0)</f>
        <v>0</v>
      </c>
      <c r="DN167" s="16">
        <f>RecData[[#This Row],[dBA Sum]]</f>
        <v>40.259572303044358</v>
      </c>
      <c r="DO167" s="16">
        <f>RecData[[#This Row],[LAF90.0]]</f>
        <v>41.2</v>
      </c>
      <c r="DP167" s="55">
        <f>IF(AND(RecData[[#This Row],[Useable TON Data?]],RecData[[#This Row],[Turbines ON/OFF]]="ON"),RecData[[#This Row],[dBA Sum]],"")</f>
        <v>40.259572303044358</v>
      </c>
      <c r="DQ167" s="55" t="str">
        <f>IF(AND(RecData[[#This Row],[Useable Background Data?]],RecData[[#This Row],[Turbines ON/OFF]]="OFF"),RecData[[#This Row],[dBA Sum]],"")</f>
        <v/>
      </c>
      <c r="DR167" s="3">
        <f>IF(OR(RecData[[#This Row],[Useable TON Data?]],RecData[[#This Row],[Useable Background Data?]]),ROUND(RecData[[#This Row],[WSpd_Avg '[m/s']]],0),"")</f>
        <v>0</v>
      </c>
      <c r="DS167" s="85">
        <f>(0.00002)^2*(10^(RecData[[#This Row],[Overall (dBA)]]/10))</f>
        <v>4.2463640226071734E-6</v>
      </c>
    </row>
    <row r="168" spans="1:123" ht="15" x14ac:dyDescent="0.25">
      <c r="A168" s="3" t="s">
        <v>249</v>
      </c>
      <c r="B168" s="12">
        <v>43252.972222222226</v>
      </c>
      <c r="C168" s="3"/>
      <c r="D168" s="3">
        <v>42.6</v>
      </c>
      <c r="E168" s="3"/>
      <c r="F168" s="3"/>
      <c r="G168" s="3"/>
      <c r="H168" s="3"/>
      <c r="I168" s="3"/>
      <c r="J168" s="3"/>
      <c r="K168" s="3">
        <v>41</v>
      </c>
      <c r="L168" s="3"/>
      <c r="M168" s="3"/>
      <c r="N168" s="3">
        <v>199.3</v>
      </c>
      <c r="O168" s="3"/>
      <c r="P168" s="3"/>
      <c r="Q168" s="3">
        <v>0.78</v>
      </c>
      <c r="R168" s="3">
        <v>0.2</v>
      </c>
      <c r="S168" s="3">
        <v>2</v>
      </c>
      <c r="T168" s="3">
        <v>9.4</v>
      </c>
      <c r="U168" s="3">
        <v>60.3</v>
      </c>
      <c r="V168" s="3">
        <v>975.5</v>
      </c>
      <c r="W168" s="3">
        <v>0</v>
      </c>
      <c r="X168" s="3">
        <v>48.9</v>
      </c>
      <c r="Y168" s="3">
        <v>48.5</v>
      </c>
      <c r="Z168" s="3">
        <v>47.5</v>
      </c>
      <c r="AA168" s="3">
        <v>43.4</v>
      </c>
      <c r="AB168" s="3">
        <v>38.5</v>
      </c>
      <c r="AC168" s="3">
        <v>37.5</v>
      </c>
      <c r="AD168" s="3">
        <v>39.9</v>
      </c>
      <c r="AE168" s="3">
        <v>40.799999999999997</v>
      </c>
      <c r="AF168" s="3">
        <v>47</v>
      </c>
      <c r="AG168" s="3">
        <v>37.9</v>
      </c>
      <c r="AH168" s="3">
        <v>35.799999999999997</v>
      </c>
      <c r="AI168" s="3">
        <v>36.200000000000003</v>
      </c>
      <c r="AJ168" s="3">
        <v>34.4</v>
      </c>
      <c r="AK168" s="3">
        <v>33.299999999999997</v>
      </c>
      <c r="AL168" s="3">
        <v>31.6</v>
      </c>
      <c r="AM168" s="3">
        <v>31.6</v>
      </c>
      <c r="AN168" s="3">
        <v>30.1</v>
      </c>
      <c r="AO168" s="3">
        <v>27.4</v>
      </c>
      <c r="AP168" s="3">
        <v>25.7</v>
      </c>
      <c r="AQ168" s="3">
        <v>23.5</v>
      </c>
      <c r="AR168" s="3">
        <v>21.3</v>
      </c>
      <c r="AS168" s="3">
        <v>34.799999999999997</v>
      </c>
      <c r="AT168" s="3">
        <v>36.5</v>
      </c>
      <c r="AU168" s="3">
        <v>16</v>
      </c>
      <c r="AV168" s="3">
        <v>13.8</v>
      </c>
      <c r="AW168" s="3">
        <v>12.3</v>
      </c>
      <c r="AX168" s="3">
        <v>10.3</v>
      </c>
      <c r="AY168" s="3">
        <v>9.9</v>
      </c>
      <c r="AZ168" s="3">
        <v>0</v>
      </c>
      <c r="BA168" s="3">
        <v>0</v>
      </c>
      <c r="BB168" s="3">
        <v>0</v>
      </c>
      <c r="BC168" s="3">
        <v>42.516983592642603</v>
      </c>
      <c r="BD168" s="3">
        <v>48.983016407357397</v>
      </c>
      <c r="BE168" s="3">
        <v>48.583016407357391</v>
      </c>
      <c r="BF168" s="3">
        <v>46.343016407357396</v>
      </c>
      <c r="BG168" s="3">
        <v>42.56968307402407</v>
      </c>
      <c r="BH168" s="3">
        <v>37.809683074024065</v>
      </c>
      <c r="BI168" s="3">
        <v>37.223016407357406</v>
      </c>
      <c r="BJ168" s="3">
        <v>40.416349740690734</v>
      </c>
      <c r="BK168" s="3">
        <v>41.18968307402406</v>
      </c>
      <c r="BL168" s="3">
        <v>46.963016407357401</v>
      </c>
      <c r="BM168" s="3">
        <v>37.996349740690732</v>
      </c>
      <c r="BN168" s="3">
        <v>36.179683074024055</v>
      </c>
      <c r="BO168" s="3">
        <v>35.946349740690735</v>
      </c>
      <c r="BP168" s="3">
        <v>33.863016407357392</v>
      </c>
      <c r="BQ168" s="3">
        <v>33.179683074024055</v>
      </c>
      <c r="BR168" s="3">
        <v>31.806349740690735</v>
      </c>
      <c r="BS168" s="3">
        <v>31.609683074024062</v>
      </c>
      <c r="BT168" s="3">
        <v>30.306349740690735</v>
      </c>
      <c r="BU168" s="3">
        <v>27.5730164073574</v>
      </c>
      <c r="BV168" s="3">
        <v>25.589683074024066</v>
      </c>
      <c r="BW168" s="3">
        <v>23.923016407357395</v>
      </c>
      <c r="BX168" s="3">
        <v>21.643016407357408</v>
      </c>
      <c r="BY168" s="3">
        <v>34.963016407357387</v>
      </c>
      <c r="BZ168" s="3">
        <v>36.793016407357399</v>
      </c>
      <c r="CA168" s="3">
        <v>16.393016407357393</v>
      </c>
      <c r="CB168" s="3">
        <v>13.629683074024065</v>
      </c>
      <c r="CC168" s="3">
        <v>12.343016407357396</v>
      </c>
      <c r="CD168" s="3">
        <v>9.6496830740240682</v>
      </c>
      <c r="CE168" s="3">
        <v>9.4430164073573977</v>
      </c>
      <c r="CF168" s="3">
        <v>-0.84365025930927118</v>
      </c>
      <c r="CG168" s="3">
        <v>-1.3769835926426026</v>
      </c>
      <c r="CH168" s="3">
        <v>-2.4536502593092706</v>
      </c>
      <c r="CI168" s="13">
        <f>[1]!dbasum(RecData[[#This Row],[20]:[2000]],RecData[[#Headers],[20]:[2000]])</f>
        <v>38.95944474483899</v>
      </c>
      <c r="CJ168" s="14">
        <v>929</v>
      </c>
      <c r="CK168" s="15" t="s">
        <v>249</v>
      </c>
      <c r="CL168" s="15">
        <f>RecData[[#This Row],[Start Time]]</f>
        <v>43252.972222222226</v>
      </c>
      <c r="CM168" s="16">
        <f>RecData[[#This Row],[Wind Speed avg]]</f>
        <v>0.78</v>
      </c>
      <c r="CN168" s="16">
        <f>RecData[[#This Row],[Wind Dir. avg]]</f>
        <v>199.3</v>
      </c>
      <c r="CO168" s="16">
        <f>RecData[[#This Row],[Amb. Humidity]]</f>
        <v>60.3</v>
      </c>
      <c r="CP168" s="16">
        <f>RecData[[#This Row],[Amb. Temperature]]</f>
        <v>9.4</v>
      </c>
      <c r="CQ168" s="17">
        <f>RecData[[#This Row],[Amb. Rain Gauge]]</f>
        <v>0</v>
      </c>
      <c r="CR168" s="4" t="s">
        <v>1</v>
      </c>
      <c r="CS168" s="4" t="s">
        <v>49</v>
      </c>
      <c r="CT168" s="70">
        <v>1615.80188</v>
      </c>
      <c r="CU168" s="70">
        <v>33.000282287597599</v>
      </c>
      <c r="CV168" s="70">
        <v>10.822465896606399</v>
      </c>
      <c r="CW168" s="70">
        <v>15.1588535308837</v>
      </c>
      <c r="CX168" s="97"/>
      <c r="CY168" s="99"/>
      <c r="CZ168" s="2" t="b">
        <f>IF($DP$1="YES",IF(RecData[[#This Row],[Power (kW)]]&gt;=$CR$3, TRUE,FALSE),TRUE)</f>
        <v>1</v>
      </c>
      <c r="DA168" s="16">
        <f>MIN(MOD(180-ABS(ABS($DA$1-RecData[Yaw Angle (°)])-180),360),MOD(180-ABS(ABS($DB$1-RecData[Yaw Angle (°)])-180),360))</f>
        <v>25.470355509910064</v>
      </c>
      <c r="DB168" s="2" t="str">
        <f>IF($DP$2="None","None",IF(RecData[[#This Row],[Relative Wind Direction]]&lt;=45,"DW",IF(RecData[[#This Row],[Relative Wind Direction]]&lt;=135,"CW","UW")))</f>
        <v>DW</v>
      </c>
      <c r="DC168" s="61" t="e">
        <f>IF($CL168-#REF!&gt;1/24,#REF!,IF(SUM($CQ168:$CQ168)&gt;$DS$1,$DS$5,DC169-1))</f>
        <v>#REF!</v>
      </c>
      <c r="DD168" s="61" t="e">
        <f>IF($CL169-$CL168&gt;1/24,#REF!,IF(SUM($CQ168:$CQ168)&gt;$DS$1,$DS$6,#REF!-1))</f>
        <v>#REF!</v>
      </c>
      <c r="DE168" s="18" t="b">
        <v>0</v>
      </c>
      <c r="DF168" s="2" t="b">
        <f>IF(OR(RecData[[#This Row],[WSpd_Avg '[m/s']]]-RecData[[#This Row],[Wind Speed min]]&gt;=$DF$3,RecData[[#This Row],[Wind Speed max]]-RecData[[#This Row],[WSpd_Avg '[m/s']]]&gt;=$DF$2),TRUE,FALSE)</f>
        <v>0</v>
      </c>
      <c r="DG168" s="2" t="b">
        <f>RecData[[#This Row],[Temperature '[°C']]]&lt;=-20</f>
        <v>0</v>
      </c>
      <c r="DH168" s="18" t="b">
        <f>NOT(OR(MOD(RecData[[#This Row],[TIMESTAMP]],1)&gt;0.91632,MOD(RecData[[#This Row],[TIMESTAMP]],1)&lt;0.208681))</f>
        <v>0</v>
      </c>
      <c r="DI168" s="18" t="b">
        <f>RecData[[#This Row],[Overall (dBA)]]-RecData[[#This Row],[L90]]&gt;=$DS$4</f>
        <v>0</v>
      </c>
      <c r="DJ168" s="18" t="b">
        <f>RecData[[#This Row],[Overall (dBA)]]&gt;$DS$2</f>
        <v>0</v>
      </c>
      <c r="DK168" s="18" t="b">
        <f>RecData[[#This Row],[Overall (dBA)]]&lt;$DS$3</f>
        <v>0</v>
      </c>
      <c r="DL1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8" s="2">
        <f>IF(AND(RecData[[#This Row],[Turbines ON/OFF]] = "OFF", NOT(OR(RecData[[#This Row],[Junk?]]="YES",RecData[[#This Row],[Gust?]],RecData[[#This Row],[Rain?]:[Min SPL Threshold?]]))),1,0)</f>
        <v>0</v>
      </c>
      <c r="DN168" s="16">
        <f>RecData[[#This Row],[dBA Sum]]</f>
        <v>38.95944474483899</v>
      </c>
      <c r="DO168" s="16">
        <f>RecData[[#This Row],[LAF90.0]]</f>
        <v>41</v>
      </c>
      <c r="DP168" s="55">
        <f>IF(AND(RecData[[#This Row],[Useable TON Data?]],RecData[[#This Row],[Turbines ON/OFF]]="ON"),RecData[[#This Row],[dBA Sum]],"")</f>
        <v>38.95944474483899</v>
      </c>
      <c r="DQ168" s="55" t="str">
        <f>IF(AND(RecData[[#This Row],[Useable Background Data?]],RecData[[#This Row],[Turbines ON/OFF]]="OFF"),RecData[[#This Row],[dBA Sum]],"")</f>
        <v/>
      </c>
      <c r="DR168" s="3">
        <f>IF(OR(RecData[[#This Row],[Useable TON Data?]],RecData[[#This Row],[Useable Background Data?]]),ROUND(RecData[[#This Row],[WSpd_Avg '[m/s']]],0),"")</f>
        <v>1</v>
      </c>
      <c r="DS168" s="85">
        <f>(0.00002)^2*(10^(RecData[[#This Row],[Overall (dBA)]]/10))</f>
        <v>3.1477806822860856E-6</v>
      </c>
    </row>
    <row r="169" spans="1:123" ht="15" x14ac:dyDescent="0.25">
      <c r="A169" s="3" t="s">
        <v>249</v>
      </c>
      <c r="B169" s="12">
        <v>43252.972916666666</v>
      </c>
      <c r="C169" s="3"/>
      <c r="D169" s="3">
        <v>43.3</v>
      </c>
      <c r="E169" s="3"/>
      <c r="F169" s="3"/>
      <c r="G169" s="3"/>
      <c r="H169" s="3"/>
      <c r="I169" s="3"/>
      <c r="J169" s="3"/>
      <c r="K169" s="3">
        <v>40.9</v>
      </c>
      <c r="L169" s="3"/>
      <c r="M169" s="3"/>
      <c r="N169" s="3">
        <v>197.4</v>
      </c>
      <c r="O169" s="3"/>
      <c r="P169" s="3"/>
      <c r="Q169" s="3">
        <v>0.68</v>
      </c>
      <c r="R169" s="3">
        <v>0.1</v>
      </c>
      <c r="S169" s="3">
        <v>1.8</v>
      </c>
      <c r="T169" s="3">
        <v>9.4</v>
      </c>
      <c r="U169" s="3">
        <v>61.2</v>
      </c>
      <c r="V169" s="3">
        <v>975.5</v>
      </c>
      <c r="W169" s="3">
        <v>0</v>
      </c>
      <c r="X169" s="3">
        <v>50.2</v>
      </c>
      <c r="Y169" s="3">
        <v>49.9</v>
      </c>
      <c r="Z169" s="3">
        <v>50</v>
      </c>
      <c r="AA169" s="3">
        <v>45.5</v>
      </c>
      <c r="AB169" s="3">
        <v>40.200000000000003</v>
      </c>
      <c r="AC169" s="3">
        <v>37.6</v>
      </c>
      <c r="AD169" s="3">
        <v>40.5</v>
      </c>
      <c r="AE169" s="3">
        <v>42.5</v>
      </c>
      <c r="AF169" s="3">
        <v>47</v>
      </c>
      <c r="AG169" s="3">
        <v>41.2</v>
      </c>
      <c r="AH169" s="3">
        <v>37</v>
      </c>
      <c r="AI169" s="3">
        <v>36.799999999999997</v>
      </c>
      <c r="AJ169" s="3">
        <v>35.9</v>
      </c>
      <c r="AK169" s="3">
        <v>34.200000000000003</v>
      </c>
      <c r="AL169" s="3">
        <v>32.5</v>
      </c>
      <c r="AM169" s="3">
        <v>33.1</v>
      </c>
      <c r="AN169" s="3">
        <v>31.8</v>
      </c>
      <c r="AO169" s="3">
        <v>28.6</v>
      </c>
      <c r="AP169" s="3">
        <v>27</v>
      </c>
      <c r="AQ169" s="3">
        <v>24.3</v>
      </c>
      <c r="AR169" s="3">
        <v>21</v>
      </c>
      <c r="AS169" s="3">
        <v>35.299999999999997</v>
      </c>
      <c r="AT169" s="3">
        <v>36.9</v>
      </c>
      <c r="AU169" s="3">
        <v>14</v>
      </c>
      <c r="AV169" s="3">
        <v>12.2</v>
      </c>
      <c r="AW169" s="3">
        <v>10.8</v>
      </c>
      <c r="AX169" s="3">
        <v>9.5</v>
      </c>
      <c r="AY169" s="3">
        <v>9.4</v>
      </c>
      <c r="AZ169" s="3">
        <v>0</v>
      </c>
      <c r="BA169" s="3">
        <v>0</v>
      </c>
      <c r="BB169" s="3">
        <v>0</v>
      </c>
      <c r="BC169" s="3">
        <v>43.266312651665217</v>
      </c>
      <c r="BD169" s="3">
        <v>50.233687348334783</v>
      </c>
      <c r="BE169" s="3">
        <v>49.933687348334772</v>
      </c>
      <c r="BF169" s="3">
        <v>48.793687348334785</v>
      </c>
      <c r="BG169" s="3">
        <v>44.620354015001439</v>
      </c>
      <c r="BH169" s="3">
        <v>39.460354015001442</v>
      </c>
      <c r="BI169" s="3">
        <v>37.273687348334775</v>
      </c>
      <c r="BJ169" s="3">
        <v>40.967020681668103</v>
      </c>
      <c r="BK169" s="3">
        <v>42.840354015001438</v>
      </c>
      <c r="BL169" s="3">
        <v>46.91368734833479</v>
      </c>
      <c r="BM169" s="3">
        <v>41.247020681668118</v>
      </c>
      <c r="BN169" s="3">
        <v>37.330354015001447</v>
      </c>
      <c r="BO169" s="3">
        <v>36.497020681668104</v>
      </c>
      <c r="BP169" s="3">
        <v>35.313687348334781</v>
      </c>
      <c r="BQ169" s="3">
        <v>34.030354015001436</v>
      </c>
      <c r="BR169" s="3">
        <v>32.657020681668115</v>
      </c>
      <c r="BS169" s="3">
        <v>33.060354015001451</v>
      </c>
      <c r="BT169" s="3">
        <v>31.957020681668112</v>
      </c>
      <c r="BU169" s="3">
        <v>28.723687348334792</v>
      </c>
      <c r="BV169" s="3">
        <v>26.840354015001452</v>
      </c>
      <c r="BW169" s="3">
        <v>24.673687348334781</v>
      </c>
      <c r="BX169" s="3">
        <v>21.293687348334785</v>
      </c>
      <c r="BY169" s="3">
        <v>35.413687348334776</v>
      </c>
      <c r="BZ169" s="3">
        <v>37.14368734833478</v>
      </c>
      <c r="CA169" s="3">
        <v>14.343687348334775</v>
      </c>
      <c r="CB169" s="3">
        <v>11.980354015001446</v>
      </c>
      <c r="CC169" s="3">
        <v>10.793687348334778</v>
      </c>
      <c r="CD169" s="3">
        <v>8.800354015001453</v>
      </c>
      <c r="CE169" s="3">
        <v>8.8936873483347796</v>
      </c>
      <c r="CF169" s="3">
        <v>-0.89297931833188926</v>
      </c>
      <c r="CG169" s="3">
        <v>-1.4263126516652207</v>
      </c>
      <c r="CH169" s="3">
        <v>-2.5029793183318887</v>
      </c>
      <c r="CI169" s="13">
        <f>[1]!dbasum(RecData[[#This Row],[20]:[2000]],RecData[[#Headers],[20]:[2000]])</f>
        <v>40.047026262001637</v>
      </c>
      <c r="CJ169" s="14">
        <v>930</v>
      </c>
      <c r="CK169" s="15" t="s">
        <v>249</v>
      </c>
      <c r="CL169" s="15">
        <f>RecData[[#This Row],[Start Time]]</f>
        <v>43252.972916666666</v>
      </c>
      <c r="CM169" s="16">
        <f>RecData[[#This Row],[Wind Speed avg]]</f>
        <v>0.68</v>
      </c>
      <c r="CN169" s="16">
        <f>RecData[[#This Row],[Wind Dir. avg]]</f>
        <v>197.4</v>
      </c>
      <c r="CO169" s="16">
        <f>RecData[[#This Row],[Amb. Humidity]]</f>
        <v>61.2</v>
      </c>
      <c r="CP169" s="16">
        <f>RecData[[#This Row],[Amb. Temperature]]</f>
        <v>9.4</v>
      </c>
      <c r="CQ169" s="17">
        <f>RecData[[#This Row],[Amb. Rain Gauge]]</f>
        <v>0</v>
      </c>
      <c r="CR169" s="4" t="s">
        <v>1</v>
      </c>
      <c r="CS169" s="4" t="s">
        <v>49</v>
      </c>
      <c r="CT169" s="70">
        <v>1614.6110839999999</v>
      </c>
      <c r="CU169" s="70">
        <v>33.000278472900298</v>
      </c>
      <c r="CV169" s="70">
        <v>11.669454574584901</v>
      </c>
      <c r="CW169" s="70">
        <v>15.2049894332885</v>
      </c>
      <c r="CX169" s="97"/>
      <c r="CY169" s="99"/>
      <c r="CZ169" s="2" t="b">
        <f>IF($DP$1="YES",IF(RecData[[#This Row],[Power (kW)]]&gt;=$CR$3, TRUE,FALSE),TRUE)</f>
        <v>1</v>
      </c>
      <c r="DA169" s="16">
        <f>MIN(MOD(180-ABS(ABS($DA$1-RecData[Yaw Angle (°)])-180),360),MOD(180-ABS(ABS($DB$1-RecData[Yaw Angle (°)])-180),360))</f>
        <v>25.470351695212742</v>
      </c>
      <c r="DB169" s="2" t="str">
        <f>IF($DP$2="None","None",IF(RecData[[#This Row],[Relative Wind Direction]]&lt;=45,"DW",IF(RecData[[#This Row],[Relative Wind Direction]]&lt;=135,"CW","UW")))</f>
        <v>DW</v>
      </c>
      <c r="DC169" s="61" t="e">
        <f>IF($CL169-#REF!&gt;1/24,#REF!,IF(SUM($CQ168:$CQ169)&gt;$DS$1,$DS$5,DC170-1))</f>
        <v>#REF!</v>
      </c>
      <c r="DD169" s="61" t="e">
        <f>IF($CL170-$CL169&gt;1/24,#REF!,IF(SUM($CQ168:$CQ169)&gt;$DS$1,$DS$6,DD168-1))</f>
        <v>#REF!</v>
      </c>
      <c r="DE169" s="18" t="b">
        <v>0</v>
      </c>
      <c r="DF169" s="2" t="b">
        <f>IF(OR(RecData[[#This Row],[WSpd_Avg '[m/s']]]-RecData[[#This Row],[Wind Speed min]]&gt;=$DF$3,RecData[[#This Row],[Wind Speed max]]-RecData[[#This Row],[WSpd_Avg '[m/s']]]&gt;=$DF$2),TRUE,FALSE)</f>
        <v>0</v>
      </c>
      <c r="DG169" s="2" t="b">
        <f>RecData[[#This Row],[Temperature '[°C']]]&lt;=-20</f>
        <v>0</v>
      </c>
      <c r="DH169" s="18" t="b">
        <f>NOT(OR(MOD(RecData[[#This Row],[TIMESTAMP]],1)&gt;0.91632,MOD(RecData[[#This Row],[TIMESTAMP]],1)&lt;0.208681))</f>
        <v>0</v>
      </c>
      <c r="DI169" s="18" t="b">
        <f>RecData[[#This Row],[Overall (dBA)]]-RecData[[#This Row],[L90]]&gt;=$DS$4</f>
        <v>0</v>
      </c>
      <c r="DJ169" s="18" t="b">
        <f>RecData[[#This Row],[Overall (dBA)]]&gt;$DS$2</f>
        <v>0</v>
      </c>
      <c r="DK169" s="18" t="b">
        <f>RecData[[#This Row],[Overall (dBA)]]&lt;$DS$3</f>
        <v>0</v>
      </c>
      <c r="DL1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69" s="2">
        <f>IF(AND(RecData[[#This Row],[Turbines ON/OFF]] = "OFF", NOT(OR(RecData[[#This Row],[Junk?]]="YES",RecData[[#This Row],[Gust?]],RecData[[#This Row],[Rain?]:[Min SPL Threshold?]]))),1,0)</f>
        <v>0</v>
      </c>
      <c r="DN169" s="16">
        <f>RecData[[#This Row],[dBA Sum]]</f>
        <v>40.047026262001637</v>
      </c>
      <c r="DO169" s="16">
        <f>RecData[[#This Row],[LAF90.0]]</f>
        <v>40.9</v>
      </c>
      <c r="DP169" s="55">
        <f>IF(AND(RecData[[#This Row],[Useable TON Data?]],RecData[[#This Row],[Turbines ON/OFF]]="ON"),RecData[[#This Row],[dBA Sum]],"")</f>
        <v>40.047026262001637</v>
      </c>
      <c r="DQ169" s="55" t="str">
        <f>IF(AND(RecData[[#This Row],[Useable Background Data?]],RecData[[#This Row],[Turbines ON/OFF]]="OFF"),RecData[[#This Row],[dBA Sum]],"")</f>
        <v/>
      </c>
      <c r="DR169" s="3">
        <f>IF(OR(RecData[[#This Row],[Useable TON Data?]],RecData[[#This Row],[Useable Background Data?]]),ROUND(RecData[[#This Row],[WSpd_Avg '[m/s']]],0),"")</f>
        <v>1</v>
      </c>
      <c r="DS169" s="85">
        <f>(0.00002)^2*(10^(RecData[[#This Row],[Overall (dBA)]]/10))</f>
        <v>4.0435481363448454E-6</v>
      </c>
    </row>
    <row r="170" spans="1:123" ht="15" x14ac:dyDescent="0.25">
      <c r="A170" s="3" t="s">
        <v>249</v>
      </c>
      <c r="B170" s="12">
        <v>43252.973611111112</v>
      </c>
      <c r="C170" s="3"/>
      <c r="D170" s="3">
        <v>41.7</v>
      </c>
      <c r="E170" s="3"/>
      <c r="F170" s="3"/>
      <c r="G170" s="3"/>
      <c r="H170" s="3"/>
      <c r="I170" s="3"/>
      <c r="J170" s="3"/>
      <c r="K170" s="3">
        <v>40.4</v>
      </c>
      <c r="L170" s="3"/>
      <c r="M170" s="3"/>
      <c r="N170" s="3">
        <v>199.9</v>
      </c>
      <c r="O170" s="3"/>
      <c r="P170" s="3"/>
      <c r="Q170" s="3">
        <v>1.03</v>
      </c>
      <c r="R170" s="3">
        <v>0.1</v>
      </c>
      <c r="S170" s="3">
        <v>1.7</v>
      </c>
      <c r="T170" s="3">
        <v>9.4</v>
      </c>
      <c r="U170" s="3">
        <v>60.1</v>
      </c>
      <c r="V170" s="3">
        <v>975.5</v>
      </c>
      <c r="W170" s="3">
        <v>0</v>
      </c>
      <c r="X170" s="3">
        <v>48.7</v>
      </c>
      <c r="Y170" s="3">
        <v>49.5</v>
      </c>
      <c r="Z170" s="3">
        <v>49.7</v>
      </c>
      <c r="AA170" s="3">
        <v>45.2</v>
      </c>
      <c r="AB170" s="3">
        <v>40.9</v>
      </c>
      <c r="AC170" s="3">
        <v>38.200000000000003</v>
      </c>
      <c r="AD170" s="3">
        <v>40.299999999999997</v>
      </c>
      <c r="AE170" s="3">
        <v>41.3</v>
      </c>
      <c r="AF170" s="3">
        <v>45.6</v>
      </c>
      <c r="AG170" s="3">
        <v>39.4</v>
      </c>
      <c r="AH170" s="3">
        <v>35.4</v>
      </c>
      <c r="AI170" s="3">
        <v>36</v>
      </c>
      <c r="AJ170" s="3">
        <v>34.5</v>
      </c>
      <c r="AK170" s="3">
        <v>33.200000000000003</v>
      </c>
      <c r="AL170" s="3">
        <v>31.6</v>
      </c>
      <c r="AM170" s="3">
        <v>31.6</v>
      </c>
      <c r="AN170" s="3">
        <v>30.3</v>
      </c>
      <c r="AO170" s="3">
        <v>27.5</v>
      </c>
      <c r="AP170" s="3">
        <v>25.5</v>
      </c>
      <c r="AQ170" s="3">
        <v>23.3</v>
      </c>
      <c r="AR170" s="3">
        <v>20.399999999999999</v>
      </c>
      <c r="AS170" s="3">
        <v>33.200000000000003</v>
      </c>
      <c r="AT170" s="3">
        <v>35.200000000000003</v>
      </c>
      <c r="AU170" s="3">
        <v>13.5</v>
      </c>
      <c r="AV170" s="3">
        <v>11.4</v>
      </c>
      <c r="AW170" s="3">
        <v>10.5</v>
      </c>
      <c r="AX170" s="3">
        <v>9.4</v>
      </c>
      <c r="AY170" s="3">
        <v>9.4</v>
      </c>
      <c r="AZ170" s="3">
        <v>0</v>
      </c>
      <c r="BA170" s="3">
        <v>0</v>
      </c>
      <c r="BB170" s="3">
        <v>0</v>
      </c>
      <c r="BC170" s="3">
        <v>41.70366573943258</v>
      </c>
      <c r="BD170" s="3">
        <v>48.696334260567426</v>
      </c>
      <c r="BE170" s="3">
        <v>49.496334260567423</v>
      </c>
      <c r="BF170" s="3">
        <v>48.456334260567417</v>
      </c>
      <c r="BG170" s="3">
        <v>44.283000927234099</v>
      </c>
      <c r="BH170" s="3">
        <v>40.123000927234088</v>
      </c>
      <c r="BI170" s="3">
        <v>37.836334260567426</v>
      </c>
      <c r="BJ170" s="3">
        <v>40.729667593900757</v>
      </c>
      <c r="BK170" s="3">
        <v>41.603000927234092</v>
      </c>
      <c r="BL170" s="3">
        <v>45.476334260567427</v>
      </c>
      <c r="BM170" s="3">
        <v>39.409667593900764</v>
      </c>
      <c r="BN170" s="3">
        <v>35.693000927234095</v>
      </c>
      <c r="BO170" s="3">
        <v>35.659667593900764</v>
      </c>
      <c r="BP170" s="3">
        <v>33.876334260567432</v>
      </c>
      <c r="BQ170" s="3">
        <v>32.993000927234078</v>
      </c>
      <c r="BR170" s="3">
        <v>31.719667593900766</v>
      </c>
      <c r="BS170" s="3">
        <v>31.523000927234094</v>
      </c>
      <c r="BT170" s="3">
        <v>30.419667593900755</v>
      </c>
      <c r="BU170" s="3">
        <v>27.586334260567426</v>
      </c>
      <c r="BV170" s="3">
        <v>25.303000927234095</v>
      </c>
      <c r="BW170" s="3">
        <v>23.636334260567423</v>
      </c>
      <c r="BX170" s="3">
        <v>20.656334260567426</v>
      </c>
      <c r="BY170" s="3">
        <v>33.276334260567424</v>
      </c>
      <c r="BZ170" s="3">
        <v>35.406334260567434</v>
      </c>
      <c r="CA170" s="3">
        <v>13.806334260567418</v>
      </c>
      <c r="CB170" s="3">
        <v>11.143000927234084</v>
      </c>
      <c r="CC170" s="3">
        <v>10.456334260567424</v>
      </c>
      <c r="CD170" s="3">
        <v>8.6630009272340942</v>
      </c>
      <c r="CE170" s="3">
        <v>8.8563342605674222</v>
      </c>
      <c r="CF170" s="3">
        <v>-0.93033240609924661</v>
      </c>
      <c r="CG170" s="3">
        <v>-1.4636657394325781</v>
      </c>
      <c r="CH170" s="3">
        <v>-2.540332406099246</v>
      </c>
      <c r="CI170" s="13">
        <f>[1]!dbasum(RecData[[#This Row],[20]:[2000]],RecData[[#Headers],[20]:[2000]])</f>
        <v>38.739682716606538</v>
      </c>
      <c r="CJ170" s="14">
        <v>931</v>
      </c>
      <c r="CK170" s="15" t="s">
        <v>249</v>
      </c>
      <c r="CL170" s="15">
        <f>RecData[[#This Row],[Start Time]]</f>
        <v>43252.973611111112</v>
      </c>
      <c r="CM170" s="16">
        <f>RecData[[#This Row],[Wind Speed avg]]</f>
        <v>1.03</v>
      </c>
      <c r="CN170" s="16">
        <f>RecData[[#This Row],[Wind Dir. avg]]</f>
        <v>199.9</v>
      </c>
      <c r="CO170" s="16">
        <f>RecData[[#This Row],[Amb. Humidity]]</f>
        <v>60.1</v>
      </c>
      <c r="CP170" s="16">
        <f>RecData[[#This Row],[Amb. Temperature]]</f>
        <v>9.4</v>
      </c>
      <c r="CQ170" s="17">
        <f>RecData[[#This Row],[Amb. Rain Gauge]]</f>
        <v>0</v>
      </c>
      <c r="CR170" s="4" t="s">
        <v>1</v>
      </c>
      <c r="CS170" s="4" t="s">
        <v>49</v>
      </c>
      <c r="CT170" s="70">
        <v>1614.6110839999999</v>
      </c>
      <c r="CU170" s="70">
        <v>33.000278472900298</v>
      </c>
      <c r="CV170" s="70">
        <v>11.669454574584901</v>
      </c>
      <c r="CW170" s="70">
        <v>15.2049894332885</v>
      </c>
      <c r="CX170" s="97"/>
      <c r="CY170" s="99"/>
      <c r="CZ170" s="2" t="b">
        <f>IF($DP$1="YES",IF(RecData[[#This Row],[Power (kW)]]&gt;=$CR$3, TRUE,FALSE),TRUE)</f>
        <v>1</v>
      </c>
      <c r="DA170" s="16">
        <f>MIN(MOD(180-ABS(ABS($DA$1-RecData[Yaw Angle (°)])-180),360),MOD(180-ABS(ABS($DB$1-RecData[Yaw Angle (°)])-180),360))</f>
        <v>25.470351695212742</v>
      </c>
      <c r="DB170" s="2" t="str">
        <f>IF($DP$2="None","None",IF(RecData[[#This Row],[Relative Wind Direction]]&lt;=45,"DW",IF(RecData[[#This Row],[Relative Wind Direction]]&lt;=135,"CW","UW")))</f>
        <v>DW</v>
      </c>
      <c r="DC170" s="61" t="e">
        <f>IF($CL170-#REF!&gt;1/24,#REF!,IF(SUM($CQ168:$CQ170)&gt;$DS$1,$DS$5,DC171-1))</f>
        <v>#REF!</v>
      </c>
      <c r="DD170" s="61" t="e">
        <f>IF($CL171-$CL170&gt;1/24,#REF!,IF(SUM($CQ168:$CQ170)&gt;$DS$1,$DS$6,DD169-1))</f>
        <v>#REF!</v>
      </c>
      <c r="DE170" s="18" t="b">
        <v>0</v>
      </c>
      <c r="DF170" s="2" t="b">
        <f>IF(OR(RecData[[#This Row],[WSpd_Avg '[m/s']]]-RecData[[#This Row],[Wind Speed min]]&gt;=$DF$3,RecData[[#This Row],[Wind Speed max]]-RecData[[#This Row],[WSpd_Avg '[m/s']]]&gt;=$DF$2),TRUE,FALSE)</f>
        <v>0</v>
      </c>
      <c r="DG170" s="2" t="b">
        <f>RecData[[#This Row],[Temperature '[°C']]]&lt;=-20</f>
        <v>0</v>
      </c>
      <c r="DH170" s="18" t="b">
        <f>NOT(OR(MOD(RecData[[#This Row],[TIMESTAMP]],1)&gt;0.91632,MOD(RecData[[#This Row],[TIMESTAMP]],1)&lt;0.208681))</f>
        <v>0</v>
      </c>
      <c r="DI170" s="18" t="b">
        <f>RecData[[#This Row],[Overall (dBA)]]-RecData[[#This Row],[L90]]&gt;=$DS$4</f>
        <v>0</v>
      </c>
      <c r="DJ170" s="18" t="b">
        <f>RecData[[#This Row],[Overall (dBA)]]&gt;$DS$2</f>
        <v>0</v>
      </c>
      <c r="DK170" s="18" t="b">
        <f>RecData[[#This Row],[Overall (dBA)]]&lt;$DS$3</f>
        <v>0</v>
      </c>
      <c r="DL1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0" s="2">
        <f>IF(AND(RecData[[#This Row],[Turbines ON/OFF]] = "OFF", NOT(OR(RecData[[#This Row],[Junk?]]="YES",RecData[[#This Row],[Gust?]],RecData[[#This Row],[Rain?]:[Min SPL Threshold?]]))),1,0)</f>
        <v>0</v>
      </c>
      <c r="DN170" s="16">
        <f>RecData[[#This Row],[dBA Sum]]</f>
        <v>38.739682716606538</v>
      </c>
      <c r="DO170" s="16">
        <f>RecData[[#This Row],[LAF90.0]]</f>
        <v>40.4</v>
      </c>
      <c r="DP170" s="55">
        <f>IF(AND(RecData[[#This Row],[Useable TON Data?]],RecData[[#This Row],[Turbines ON/OFF]]="ON"),RecData[[#This Row],[dBA Sum]],"")</f>
        <v>38.739682716606538</v>
      </c>
      <c r="DQ170" s="55" t="str">
        <f>IF(AND(RecData[[#This Row],[Useable Background Data?]],RecData[[#This Row],[Turbines ON/OFF]]="OFF"),RecData[[#This Row],[dBA Sum]],"")</f>
        <v/>
      </c>
      <c r="DR170" s="3">
        <f>IF(OR(RecData[[#This Row],[Useable TON Data?]],RecData[[#This Row],[Useable Background Data?]]),ROUND(RecData[[#This Row],[WSpd_Avg '[m/s']]],0),"")</f>
        <v>1</v>
      </c>
      <c r="DS170" s="85">
        <f>(0.00002)^2*(10^(RecData[[#This Row],[Overall (dBA)]]/10))</f>
        <v>2.9924593733519846E-6</v>
      </c>
    </row>
    <row r="171" spans="1:123" ht="15" x14ac:dyDescent="0.25">
      <c r="A171" s="3" t="s">
        <v>249</v>
      </c>
      <c r="B171" s="12">
        <v>43252.974305555559</v>
      </c>
      <c r="C171" s="3"/>
      <c r="D171" s="3">
        <v>42.5</v>
      </c>
      <c r="E171" s="3"/>
      <c r="F171" s="3"/>
      <c r="G171" s="3"/>
      <c r="H171" s="3"/>
      <c r="I171" s="3"/>
      <c r="J171" s="3"/>
      <c r="K171" s="3">
        <v>41</v>
      </c>
      <c r="L171" s="3"/>
      <c r="M171" s="3"/>
      <c r="N171" s="3">
        <v>159.9</v>
      </c>
      <c r="O171" s="3"/>
      <c r="P171" s="3"/>
      <c r="Q171" s="3">
        <v>1.28</v>
      </c>
      <c r="R171" s="3">
        <v>0.4</v>
      </c>
      <c r="S171" s="3">
        <v>2.4</v>
      </c>
      <c r="T171" s="3">
        <v>9.4</v>
      </c>
      <c r="U171" s="3">
        <v>60.1</v>
      </c>
      <c r="V171" s="3">
        <v>975.5</v>
      </c>
      <c r="W171" s="3">
        <v>0</v>
      </c>
      <c r="X171" s="3">
        <v>50.7</v>
      </c>
      <c r="Y171" s="3">
        <v>50</v>
      </c>
      <c r="Z171" s="3">
        <v>50</v>
      </c>
      <c r="AA171" s="3">
        <v>46.3</v>
      </c>
      <c r="AB171" s="3">
        <v>40.9</v>
      </c>
      <c r="AC171" s="3">
        <v>40.1</v>
      </c>
      <c r="AD171" s="3">
        <v>41.4</v>
      </c>
      <c r="AE171" s="3">
        <v>42.1</v>
      </c>
      <c r="AF171" s="3">
        <v>45.3</v>
      </c>
      <c r="AG171" s="3">
        <v>41</v>
      </c>
      <c r="AH171" s="3">
        <v>36.700000000000003</v>
      </c>
      <c r="AI171" s="3">
        <v>36.5</v>
      </c>
      <c r="AJ171" s="3">
        <v>35.299999999999997</v>
      </c>
      <c r="AK171" s="3">
        <v>33.799999999999997</v>
      </c>
      <c r="AL171" s="3">
        <v>32.299999999999997</v>
      </c>
      <c r="AM171" s="3">
        <v>32.5</v>
      </c>
      <c r="AN171" s="3">
        <v>31.2</v>
      </c>
      <c r="AO171" s="3">
        <v>28.6</v>
      </c>
      <c r="AP171" s="3">
        <v>26.6</v>
      </c>
      <c r="AQ171" s="3">
        <v>24.4</v>
      </c>
      <c r="AR171" s="3">
        <v>21.5</v>
      </c>
      <c r="AS171" s="3">
        <v>33.700000000000003</v>
      </c>
      <c r="AT171" s="3">
        <v>35.9</v>
      </c>
      <c r="AU171" s="3">
        <v>14.5</v>
      </c>
      <c r="AV171" s="3">
        <v>12.7</v>
      </c>
      <c r="AW171" s="3">
        <v>11.4</v>
      </c>
      <c r="AX171" s="3">
        <v>9.9</v>
      </c>
      <c r="AY171" s="3">
        <v>9.6</v>
      </c>
      <c r="AZ171" s="3">
        <v>0</v>
      </c>
      <c r="BA171" s="3">
        <v>0</v>
      </c>
      <c r="BB171" s="3">
        <v>0</v>
      </c>
      <c r="BC171" s="3">
        <v>42.416058866766008</v>
      </c>
      <c r="BD171" s="3">
        <v>50.783941133233995</v>
      </c>
      <c r="BE171" s="3">
        <v>50.083941133233992</v>
      </c>
      <c r="BF171" s="3">
        <v>48.843941133233983</v>
      </c>
      <c r="BG171" s="3">
        <v>45.470607799900648</v>
      </c>
      <c r="BH171" s="3">
        <v>40.210607799900657</v>
      </c>
      <c r="BI171" s="3">
        <v>39.823941133234001</v>
      </c>
      <c r="BJ171" s="3">
        <v>41.917274466567321</v>
      </c>
      <c r="BK171" s="3">
        <v>42.490607799900658</v>
      </c>
      <c r="BL171" s="3">
        <v>45.263941133233999</v>
      </c>
      <c r="BM171" s="3">
        <v>41.097274466567328</v>
      </c>
      <c r="BN171" s="3">
        <v>37.080607799900662</v>
      </c>
      <c r="BO171" s="3">
        <v>36.247274466567319</v>
      </c>
      <c r="BP171" s="3">
        <v>34.763941133233999</v>
      </c>
      <c r="BQ171" s="3">
        <v>33.680607799900656</v>
      </c>
      <c r="BR171" s="3">
        <v>32.507274466567324</v>
      </c>
      <c r="BS171" s="3">
        <v>32.510607799900669</v>
      </c>
      <c r="BT171" s="3">
        <v>31.40727446656733</v>
      </c>
      <c r="BU171" s="3">
        <v>28.77394113323399</v>
      </c>
      <c r="BV171" s="3">
        <v>26.490607799900658</v>
      </c>
      <c r="BW171" s="3">
        <v>24.823941133234001</v>
      </c>
      <c r="BX171" s="3">
        <v>21.843941133233997</v>
      </c>
      <c r="BY171" s="3">
        <v>33.863941133233993</v>
      </c>
      <c r="BZ171" s="3">
        <v>36.193941133233992</v>
      </c>
      <c r="CA171" s="3">
        <v>14.893941133233987</v>
      </c>
      <c r="CB171" s="3">
        <v>12.530607799900658</v>
      </c>
      <c r="CC171" s="3">
        <v>11.443941133233992</v>
      </c>
      <c r="CD171" s="3">
        <v>9.2506077999006635</v>
      </c>
      <c r="CE171" s="3">
        <v>9.1439411332339944</v>
      </c>
      <c r="CF171" s="3">
        <v>-0.84272553343267731</v>
      </c>
      <c r="CG171" s="3">
        <v>-1.3760588667660087</v>
      </c>
      <c r="CH171" s="3">
        <v>-2.4527255334326767</v>
      </c>
      <c r="CI171" s="13">
        <f>[1]!dbasum(RecData[[#This Row],[20]:[2000]],RecData[[#Headers],[20]:[2000]])</f>
        <v>39.628578930738414</v>
      </c>
      <c r="CJ171" s="14">
        <v>932</v>
      </c>
      <c r="CK171" s="15" t="s">
        <v>249</v>
      </c>
      <c r="CL171" s="15">
        <f>RecData[[#This Row],[Start Time]]</f>
        <v>43252.974305555559</v>
      </c>
      <c r="CM171" s="16">
        <f>RecData[[#This Row],[Wind Speed avg]]</f>
        <v>1.28</v>
      </c>
      <c r="CN171" s="16">
        <f>RecData[[#This Row],[Wind Dir. avg]]</f>
        <v>159.9</v>
      </c>
      <c r="CO171" s="16">
        <f>RecData[[#This Row],[Amb. Humidity]]</f>
        <v>60.1</v>
      </c>
      <c r="CP171" s="16">
        <f>RecData[[#This Row],[Amb. Temperature]]</f>
        <v>9.4</v>
      </c>
      <c r="CQ171" s="17">
        <f>RecData[[#This Row],[Amb. Rain Gauge]]</f>
        <v>0</v>
      </c>
      <c r="CR171" s="4" t="s">
        <v>1</v>
      </c>
      <c r="CS171" s="4" t="s">
        <v>49</v>
      </c>
      <c r="CT171" s="70">
        <v>1614.6110839999999</v>
      </c>
      <c r="CU171" s="70">
        <v>33.000278472900298</v>
      </c>
      <c r="CV171" s="70">
        <v>11.669454574584901</v>
      </c>
      <c r="CW171" s="70">
        <v>15.2049894332885</v>
      </c>
      <c r="CX171" s="97"/>
      <c r="CY171" s="99"/>
      <c r="CZ171" s="2" t="b">
        <f>IF($DP$1="YES",IF(RecData[[#This Row],[Power (kW)]]&gt;=$CR$3, TRUE,FALSE),TRUE)</f>
        <v>1</v>
      </c>
      <c r="DA171" s="16">
        <f>MIN(MOD(180-ABS(ABS($DA$1-RecData[Yaw Angle (°)])-180),360),MOD(180-ABS(ABS($DB$1-RecData[Yaw Angle (°)])-180),360))</f>
        <v>25.470351695212742</v>
      </c>
      <c r="DB171" s="2" t="str">
        <f>IF($DP$2="None","None",IF(RecData[[#This Row],[Relative Wind Direction]]&lt;=45,"DW",IF(RecData[[#This Row],[Relative Wind Direction]]&lt;=135,"CW","UW")))</f>
        <v>DW</v>
      </c>
      <c r="DC171" s="61" t="e">
        <f>IF($CL171-#REF!&gt;1/24,#REF!,IF(SUM($CQ168:$CQ171)&gt;$DS$1,$DS$5,DC172-1))</f>
        <v>#REF!</v>
      </c>
      <c r="DD171" s="61" t="e">
        <f>IF($CL172-$CL171&gt;1/24,#REF!,IF(SUM($CQ168:$CQ171)&gt;$DS$1,$DS$6,DD170-1))</f>
        <v>#REF!</v>
      </c>
      <c r="DE171" s="18" t="b">
        <v>0</v>
      </c>
      <c r="DF171" s="2" t="b">
        <f>IF(OR(RecData[[#This Row],[WSpd_Avg '[m/s']]]-RecData[[#This Row],[Wind Speed min]]&gt;=$DF$3,RecData[[#This Row],[Wind Speed max]]-RecData[[#This Row],[WSpd_Avg '[m/s']]]&gt;=$DF$2),TRUE,FALSE)</f>
        <v>0</v>
      </c>
      <c r="DG171" s="2" t="b">
        <f>RecData[[#This Row],[Temperature '[°C']]]&lt;=-20</f>
        <v>0</v>
      </c>
      <c r="DH171" s="18" t="b">
        <f>NOT(OR(MOD(RecData[[#This Row],[TIMESTAMP]],1)&gt;0.91632,MOD(RecData[[#This Row],[TIMESTAMP]],1)&lt;0.208681))</f>
        <v>0</v>
      </c>
      <c r="DI171" s="18" t="b">
        <f>RecData[[#This Row],[Overall (dBA)]]-RecData[[#This Row],[L90]]&gt;=$DS$4</f>
        <v>0</v>
      </c>
      <c r="DJ171" s="18" t="b">
        <f>RecData[[#This Row],[Overall (dBA)]]&gt;$DS$2</f>
        <v>0</v>
      </c>
      <c r="DK171" s="18" t="b">
        <f>RecData[[#This Row],[Overall (dBA)]]&lt;$DS$3</f>
        <v>0</v>
      </c>
      <c r="DL1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1" s="2">
        <f>IF(AND(RecData[[#This Row],[Turbines ON/OFF]] = "OFF", NOT(OR(RecData[[#This Row],[Junk?]]="YES",RecData[[#This Row],[Gust?]],RecData[[#This Row],[Rain?]:[Min SPL Threshold?]]))),1,0)</f>
        <v>0</v>
      </c>
      <c r="DN171" s="16">
        <f>RecData[[#This Row],[dBA Sum]]</f>
        <v>39.628578930738414</v>
      </c>
      <c r="DO171" s="16">
        <f>RecData[[#This Row],[LAF90.0]]</f>
        <v>41</v>
      </c>
      <c r="DP171" s="55">
        <f>IF(AND(RecData[[#This Row],[Useable TON Data?]],RecData[[#This Row],[Turbines ON/OFF]]="ON"),RecData[[#This Row],[dBA Sum]],"")</f>
        <v>39.628578930738414</v>
      </c>
      <c r="DQ171" s="55" t="str">
        <f>IF(AND(RecData[[#This Row],[Useable Background Data?]],RecData[[#This Row],[Turbines ON/OFF]]="OFF"),RecData[[#This Row],[dBA Sum]],"")</f>
        <v/>
      </c>
      <c r="DR171" s="3">
        <f>IF(OR(RecData[[#This Row],[Useable TON Data?]],RecData[[#This Row],[Useable Background Data?]]),ROUND(RecData[[#This Row],[WSpd_Avg '[m/s']]],0),"")</f>
        <v>1</v>
      </c>
      <c r="DS171" s="85">
        <f>(0.00002)^2*(10^(RecData[[#This Row],[Overall (dBA)]]/10))</f>
        <v>3.6721286200418913E-6</v>
      </c>
    </row>
    <row r="172" spans="1:123" ht="15" x14ac:dyDescent="0.25">
      <c r="A172" s="3" t="s">
        <v>249</v>
      </c>
      <c r="B172" s="12">
        <v>43252.975000000006</v>
      </c>
      <c r="C172" s="3"/>
      <c r="D172" s="3">
        <v>42.6</v>
      </c>
      <c r="E172" s="3"/>
      <c r="F172" s="3"/>
      <c r="G172" s="3"/>
      <c r="H172" s="3"/>
      <c r="I172" s="3"/>
      <c r="J172" s="3"/>
      <c r="K172" s="3">
        <v>41.2</v>
      </c>
      <c r="L172" s="3"/>
      <c r="M172" s="3"/>
      <c r="N172" s="3">
        <v>161.30000000000001</v>
      </c>
      <c r="O172" s="3"/>
      <c r="P172" s="3"/>
      <c r="Q172" s="3">
        <v>0.44</v>
      </c>
      <c r="R172" s="3">
        <v>0.1</v>
      </c>
      <c r="S172" s="3">
        <v>0.9</v>
      </c>
      <c r="T172" s="3">
        <v>9.4</v>
      </c>
      <c r="U172" s="3">
        <v>60.4</v>
      </c>
      <c r="V172" s="3">
        <v>975.5</v>
      </c>
      <c r="W172" s="3">
        <v>0</v>
      </c>
      <c r="X172" s="3">
        <v>51.5</v>
      </c>
      <c r="Y172" s="3">
        <v>51.1</v>
      </c>
      <c r="Z172" s="3">
        <v>50.1</v>
      </c>
      <c r="AA172" s="3">
        <v>46.3</v>
      </c>
      <c r="AB172" s="3">
        <v>41.5</v>
      </c>
      <c r="AC172" s="3">
        <v>40.5</v>
      </c>
      <c r="AD172" s="3">
        <v>42.3</v>
      </c>
      <c r="AE172" s="3">
        <v>43.5</v>
      </c>
      <c r="AF172" s="3">
        <v>46.7</v>
      </c>
      <c r="AG172" s="3">
        <v>40</v>
      </c>
      <c r="AH172" s="3">
        <v>37.299999999999997</v>
      </c>
      <c r="AI172" s="3">
        <v>36.9</v>
      </c>
      <c r="AJ172" s="3">
        <v>35.799999999999997</v>
      </c>
      <c r="AK172" s="3">
        <v>34.4</v>
      </c>
      <c r="AL172" s="3">
        <v>32.700000000000003</v>
      </c>
      <c r="AM172" s="3">
        <v>32.799999999999997</v>
      </c>
      <c r="AN172" s="3">
        <v>31.5</v>
      </c>
      <c r="AO172" s="3">
        <v>28.5</v>
      </c>
      <c r="AP172" s="3">
        <v>26.2</v>
      </c>
      <c r="AQ172" s="3">
        <v>23.9</v>
      </c>
      <c r="AR172" s="3">
        <v>20.9</v>
      </c>
      <c r="AS172" s="3">
        <v>33.9</v>
      </c>
      <c r="AT172" s="3">
        <v>35.799999999999997</v>
      </c>
      <c r="AU172" s="3">
        <v>13.8</v>
      </c>
      <c r="AV172" s="3">
        <v>11.6</v>
      </c>
      <c r="AW172" s="3">
        <v>10.6</v>
      </c>
      <c r="AX172" s="3">
        <v>9.4</v>
      </c>
      <c r="AY172" s="3">
        <v>9.4</v>
      </c>
      <c r="AZ172" s="3">
        <v>0</v>
      </c>
      <c r="BA172" s="3">
        <v>0</v>
      </c>
      <c r="BB172" s="3">
        <v>0</v>
      </c>
      <c r="BC172" s="3">
        <v>42.596686775207182</v>
      </c>
      <c r="BD172" s="3">
        <v>51.503313224792812</v>
      </c>
      <c r="BE172" s="3">
        <v>51.103313224792821</v>
      </c>
      <c r="BF172" s="3">
        <v>48.863313224792826</v>
      </c>
      <c r="BG172" s="3">
        <v>45.389979891459483</v>
      </c>
      <c r="BH172" s="3">
        <v>40.729979891459486</v>
      </c>
      <c r="BI172" s="3">
        <v>40.143313224792827</v>
      </c>
      <c r="BJ172" s="3">
        <v>42.736646558126147</v>
      </c>
      <c r="BK172" s="3">
        <v>43.809979891459484</v>
      </c>
      <c r="BL172" s="3">
        <v>46.583313224792825</v>
      </c>
      <c r="BM172" s="3">
        <v>40.016646558126162</v>
      </c>
      <c r="BN172" s="3">
        <v>37.599979891459476</v>
      </c>
      <c r="BO172" s="3">
        <v>36.566646558126145</v>
      </c>
      <c r="BP172" s="3">
        <v>35.183313224792819</v>
      </c>
      <c r="BQ172" s="3">
        <v>34.199979891459471</v>
      </c>
      <c r="BR172" s="3">
        <v>32.826646558126164</v>
      </c>
      <c r="BS172" s="3">
        <v>32.729979891459486</v>
      </c>
      <c r="BT172" s="3">
        <v>31.626646558126147</v>
      </c>
      <c r="BU172" s="3">
        <v>28.593313224792816</v>
      </c>
      <c r="BV172" s="3">
        <v>26.009979891459487</v>
      </c>
      <c r="BW172" s="3">
        <v>24.243313224792821</v>
      </c>
      <c r="BX172" s="3">
        <v>21.163313224792823</v>
      </c>
      <c r="BY172" s="3">
        <v>33.983313224792816</v>
      </c>
      <c r="BZ172" s="3">
        <v>36.013313224792817</v>
      </c>
      <c r="CA172" s="3">
        <v>14.113313224792812</v>
      </c>
      <c r="CB172" s="3">
        <v>11.349979891459483</v>
      </c>
      <c r="CC172" s="3">
        <v>10.563313224792815</v>
      </c>
      <c r="CD172" s="3">
        <v>8.6699798914594908</v>
      </c>
      <c r="CE172" s="3">
        <v>8.8633132247928188</v>
      </c>
      <c r="CF172" s="3">
        <v>-0.92335344187385004</v>
      </c>
      <c r="CG172" s="3">
        <v>-1.4566867752071815</v>
      </c>
      <c r="CH172" s="3">
        <v>-2.5333534418738495</v>
      </c>
      <c r="CI172" s="13">
        <f>[1]!dbasum(RecData[[#This Row],[20]:[2000]],RecData[[#Headers],[20]:[2000]])</f>
        <v>39.874623736015465</v>
      </c>
      <c r="CJ172" s="14">
        <v>933</v>
      </c>
      <c r="CK172" s="15" t="s">
        <v>249</v>
      </c>
      <c r="CL172" s="15">
        <f>RecData[[#This Row],[Start Time]]</f>
        <v>43252.975000000006</v>
      </c>
      <c r="CM172" s="16">
        <f>RecData[[#This Row],[Wind Speed avg]]</f>
        <v>0.44</v>
      </c>
      <c r="CN172" s="16">
        <f>RecData[[#This Row],[Wind Dir. avg]]</f>
        <v>161.30000000000001</v>
      </c>
      <c r="CO172" s="16">
        <f>RecData[[#This Row],[Amb. Humidity]]</f>
        <v>60.4</v>
      </c>
      <c r="CP172" s="16">
        <f>RecData[[#This Row],[Amb. Temperature]]</f>
        <v>9.4</v>
      </c>
      <c r="CQ172" s="17">
        <f>RecData[[#This Row],[Amb. Rain Gauge]]</f>
        <v>0</v>
      </c>
      <c r="CR172" s="4" t="s">
        <v>1</v>
      </c>
      <c r="CS172" s="4" t="s">
        <v>49</v>
      </c>
      <c r="CT172" s="70">
        <v>1614.6110839999999</v>
      </c>
      <c r="CU172" s="70">
        <v>33.000278472900298</v>
      </c>
      <c r="CV172" s="70">
        <v>11.669454574584901</v>
      </c>
      <c r="CW172" s="70">
        <v>15.2049894332885</v>
      </c>
      <c r="CX172" s="97"/>
      <c r="CY172" s="99"/>
      <c r="CZ172" s="2" t="b">
        <f>IF($DP$1="YES",IF(RecData[[#This Row],[Power (kW)]]&gt;=$CR$3, TRUE,FALSE),TRUE)</f>
        <v>1</v>
      </c>
      <c r="DA172" s="16">
        <f>MIN(MOD(180-ABS(ABS($DA$1-RecData[Yaw Angle (°)])-180),360),MOD(180-ABS(ABS($DB$1-RecData[Yaw Angle (°)])-180),360))</f>
        <v>25.470351695212742</v>
      </c>
      <c r="DB172" s="2" t="str">
        <f>IF($DP$2="None","None",IF(RecData[[#This Row],[Relative Wind Direction]]&lt;=45,"DW",IF(RecData[[#This Row],[Relative Wind Direction]]&lt;=135,"CW","UW")))</f>
        <v>DW</v>
      </c>
      <c r="DC172" s="61" t="e">
        <f>IF($CL172-$CL168&gt;1/24,#REF!,IF(SUM($CQ168:$CQ172)&gt;$DS$1,$DS$5,DC173-1))</f>
        <v>#REF!</v>
      </c>
      <c r="DD172" s="61" t="e">
        <f>IF($CL173-$CL172&gt;1/24,#REF!,IF(SUM($CQ168:$CQ172)&gt;$DS$1,$DS$6,DD171-1))</f>
        <v>#REF!</v>
      </c>
      <c r="DE172" s="18" t="b">
        <v>0</v>
      </c>
      <c r="DF172" s="2" t="b">
        <f>IF(OR(RecData[[#This Row],[WSpd_Avg '[m/s']]]-RecData[[#This Row],[Wind Speed min]]&gt;=$DF$3,RecData[[#This Row],[Wind Speed max]]-RecData[[#This Row],[WSpd_Avg '[m/s']]]&gt;=$DF$2),TRUE,FALSE)</f>
        <v>0</v>
      </c>
      <c r="DG172" s="2" t="b">
        <f>RecData[[#This Row],[Temperature '[°C']]]&lt;=-20</f>
        <v>0</v>
      </c>
      <c r="DH172" s="18" t="b">
        <f>NOT(OR(MOD(RecData[[#This Row],[TIMESTAMP]],1)&gt;0.91632,MOD(RecData[[#This Row],[TIMESTAMP]],1)&lt;0.208681))</f>
        <v>0</v>
      </c>
      <c r="DI172" s="18" t="b">
        <f>RecData[[#This Row],[Overall (dBA)]]-RecData[[#This Row],[L90]]&gt;=$DS$4</f>
        <v>0</v>
      </c>
      <c r="DJ172" s="18" t="b">
        <f>RecData[[#This Row],[Overall (dBA)]]&gt;$DS$2</f>
        <v>0</v>
      </c>
      <c r="DK172" s="18" t="b">
        <f>RecData[[#This Row],[Overall (dBA)]]&lt;$DS$3</f>
        <v>0</v>
      </c>
      <c r="DL1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2" s="2">
        <f>IF(AND(RecData[[#This Row],[Turbines ON/OFF]] = "OFF", NOT(OR(RecData[[#This Row],[Junk?]]="YES",RecData[[#This Row],[Gust?]],RecData[[#This Row],[Rain?]:[Min SPL Threshold?]]))),1,0)</f>
        <v>0</v>
      </c>
      <c r="DN172" s="16">
        <f>RecData[[#This Row],[dBA Sum]]</f>
        <v>39.874623736015465</v>
      </c>
      <c r="DO172" s="16">
        <f>RecData[[#This Row],[LAF90.0]]</f>
        <v>41.2</v>
      </c>
      <c r="DP172" s="55">
        <f>IF(AND(RecData[[#This Row],[Useable TON Data?]],RecData[[#This Row],[Turbines ON/OFF]]="ON"),RecData[[#This Row],[dBA Sum]],"")</f>
        <v>39.874623736015465</v>
      </c>
      <c r="DQ172" s="55" t="str">
        <f>IF(AND(RecData[[#This Row],[Useable Background Data?]],RecData[[#This Row],[Turbines ON/OFF]]="OFF"),RecData[[#This Row],[dBA Sum]],"")</f>
        <v/>
      </c>
      <c r="DR172" s="3">
        <f>IF(OR(RecData[[#This Row],[Useable TON Data?]],RecData[[#This Row],[Useable Background Data?]]),ROUND(RecData[[#This Row],[WSpd_Avg '[m/s']]],0),"")</f>
        <v>0</v>
      </c>
      <c r="DS172" s="85">
        <f>(0.00002)^2*(10^(RecData[[#This Row],[Overall (dBA)]]/10))</f>
        <v>3.88617510134596E-6</v>
      </c>
    </row>
    <row r="173" spans="1:123" ht="15" x14ac:dyDescent="0.25">
      <c r="A173" s="3" t="s">
        <v>249</v>
      </c>
      <c r="B173" s="12">
        <v>43252.975694444445</v>
      </c>
      <c r="C173" s="3"/>
      <c r="D173" s="3">
        <v>42</v>
      </c>
      <c r="E173" s="3"/>
      <c r="F173" s="3"/>
      <c r="G173" s="3"/>
      <c r="H173" s="3"/>
      <c r="I173" s="3"/>
      <c r="J173" s="3"/>
      <c r="K173" s="3">
        <v>40.5</v>
      </c>
      <c r="L173" s="3"/>
      <c r="M173" s="3"/>
      <c r="N173" s="3">
        <v>124.5</v>
      </c>
      <c r="O173" s="3"/>
      <c r="P173" s="3"/>
      <c r="Q173" s="3">
        <v>0.98</v>
      </c>
      <c r="R173" s="3">
        <v>0.2</v>
      </c>
      <c r="S173" s="3">
        <v>2.4</v>
      </c>
      <c r="T173" s="3">
        <v>9.4</v>
      </c>
      <c r="U173" s="3">
        <v>60.2</v>
      </c>
      <c r="V173" s="3">
        <v>975.5</v>
      </c>
      <c r="W173" s="3">
        <v>0</v>
      </c>
      <c r="X173" s="3">
        <v>49.7</v>
      </c>
      <c r="Y173" s="3">
        <v>49.3</v>
      </c>
      <c r="Z173" s="3">
        <v>48.6</v>
      </c>
      <c r="AA173" s="3">
        <v>44.3</v>
      </c>
      <c r="AB173" s="3">
        <v>39.700000000000003</v>
      </c>
      <c r="AC173" s="3">
        <v>38.4</v>
      </c>
      <c r="AD173" s="3">
        <v>40.4</v>
      </c>
      <c r="AE173" s="3">
        <v>41.9</v>
      </c>
      <c r="AF173" s="3">
        <v>45</v>
      </c>
      <c r="AG173" s="3">
        <v>39.299999999999997</v>
      </c>
      <c r="AH173" s="3">
        <v>36.200000000000003</v>
      </c>
      <c r="AI173" s="3">
        <v>35.799999999999997</v>
      </c>
      <c r="AJ173" s="3">
        <v>34.9</v>
      </c>
      <c r="AK173" s="3">
        <v>33.4</v>
      </c>
      <c r="AL173" s="3">
        <v>32</v>
      </c>
      <c r="AM173" s="3">
        <v>32.4</v>
      </c>
      <c r="AN173" s="3">
        <v>31.2</v>
      </c>
      <c r="AO173" s="3">
        <v>28.3</v>
      </c>
      <c r="AP173" s="3">
        <v>26.2</v>
      </c>
      <c r="AQ173" s="3">
        <v>23.8</v>
      </c>
      <c r="AR173" s="3">
        <v>20.7</v>
      </c>
      <c r="AS173" s="3">
        <v>33.6</v>
      </c>
      <c r="AT173" s="3">
        <v>35.1</v>
      </c>
      <c r="AU173" s="3">
        <v>14.9</v>
      </c>
      <c r="AV173" s="3">
        <v>13</v>
      </c>
      <c r="AW173" s="3">
        <v>12.1</v>
      </c>
      <c r="AX173" s="3">
        <v>10.1</v>
      </c>
      <c r="AY173" s="3">
        <v>9.8000000000000007</v>
      </c>
      <c r="AZ173" s="3">
        <v>0</v>
      </c>
      <c r="BA173" s="3">
        <v>0</v>
      </c>
      <c r="BB173" s="3">
        <v>0</v>
      </c>
      <c r="BC173" s="3">
        <v>41.961057196493705</v>
      </c>
      <c r="BD173" s="3">
        <v>49.738942803506298</v>
      </c>
      <c r="BE173" s="3">
        <v>49.338942803506292</v>
      </c>
      <c r="BF173" s="3">
        <v>47.398942803506294</v>
      </c>
      <c r="BG173" s="3">
        <v>43.425609470172951</v>
      </c>
      <c r="BH173" s="3">
        <v>38.965609470172971</v>
      </c>
      <c r="BI173" s="3">
        <v>38.078942803506287</v>
      </c>
      <c r="BJ173" s="3">
        <v>40.872276136839623</v>
      </c>
      <c r="BK173" s="3">
        <v>42.245609470172958</v>
      </c>
      <c r="BL173" s="3">
        <v>44.91894280350629</v>
      </c>
      <c r="BM173" s="3">
        <v>39.352276136839627</v>
      </c>
      <c r="BN173" s="3">
        <v>36.535609470172965</v>
      </c>
      <c r="BO173" s="3">
        <v>35.502276136839633</v>
      </c>
      <c r="BP173" s="3">
        <v>34.318942803506296</v>
      </c>
      <c r="BQ173" s="3">
        <v>33.235609470172953</v>
      </c>
      <c r="BR173" s="3">
        <v>32.16227613683963</v>
      </c>
      <c r="BS173" s="3">
        <v>32.365609470172963</v>
      </c>
      <c r="BT173" s="3">
        <v>31.362276136839633</v>
      </c>
      <c r="BU173" s="3">
        <v>28.428942803506295</v>
      </c>
      <c r="BV173" s="3">
        <v>26.045609470172955</v>
      </c>
      <c r="BW173" s="3">
        <v>24.178942803506295</v>
      </c>
      <c r="BX173" s="3">
        <v>20.998942803506303</v>
      </c>
      <c r="BY173" s="3">
        <v>33.718942803506302</v>
      </c>
      <c r="BZ173" s="3">
        <v>35.348942803506297</v>
      </c>
      <c r="CA173" s="3">
        <v>15.248942803506289</v>
      </c>
      <c r="CB173" s="3">
        <v>12.785609470172957</v>
      </c>
      <c r="CC173" s="3">
        <v>12.098942803506297</v>
      </c>
      <c r="CD173" s="3">
        <v>9.4056094701729691</v>
      </c>
      <c r="CE173" s="3">
        <v>9.2989428035062929</v>
      </c>
      <c r="CF173" s="3">
        <v>-0.88772386316037455</v>
      </c>
      <c r="CG173" s="3">
        <v>-1.421057196493706</v>
      </c>
      <c r="CH173" s="3">
        <v>-2.497723863160374</v>
      </c>
      <c r="CI173" s="13">
        <f>[1]!dbasum(RecData[[#This Row],[20]:[2000]],RecData[[#Headers],[20]:[2000]])</f>
        <v>39.180718664827509</v>
      </c>
      <c r="CJ173" s="14">
        <v>934</v>
      </c>
      <c r="CK173" s="15" t="s">
        <v>249</v>
      </c>
      <c r="CL173" s="15">
        <f>RecData[[#This Row],[Start Time]]</f>
        <v>43252.975694444445</v>
      </c>
      <c r="CM173" s="16">
        <f>RecData[[#This Row],[Wind Speed avg]]</f>
        <v>0.98</v>
      </c>
      <c r="CN173" s="16">
        <f>RecData[[#This Row],[Wind Dir. avg]]</f>
        <v>124.5</v>
      </c>
      <c r="CO173" s="16">
        <f>RecData[[#This Row],[Amb. Humidity]]</f>
        <v>60.2</v>
      </c>
      <c r="CP173" s="16">
        <f>RecData[[#This Row],[Amb. Temperature]]</f>
        <v>9.4</v>
      </c>
      <c r="CQ173" s="17">
        <f>RecData[[#This Row],[Amb. Rain Gauge]]</f>
        <v>0</v>
      </c>
      <c r="CR173" s="4" t="s">
        <v>1</v>
      </c>
      <c r="CS173" s="4" t="s">
        <v>49</v>
      </c>
      <c r="CT173" s="70">
        <v>1614.6110839999999</v>
      </c>
      <c r="CU173" s="70">
        <v>33.000278472900298</v>
      </c>
      <c r="CV173" s="70">
        <v>11.669454574584901</v>
      </c>
      <c r="CW173" s="70">
        <v>15.2049894332885</v>
      </c>
      <c r="CX173" s="97"/>
      <c r="CY173" s="99"/>
      <c r="CZ173" s="2" t="b">
        <f>IF($DP$1="YES",IF(RecData[[#This Row],[Power (kW)]]&gt;=$CR$3, TRUE,FALSE),TRUE)</f>
        <v>1</v>
      </c>
      <c r="DA173" s="16">
        <f>MIN(MOD(180-ABS(ABS($DA$1-RecData[Yaw Angle (°)])-180),360),MOD(180-ABS(ABS($DB$1-RecData[Yaw Angle (°)])-180),360))</f>
        <v>25.470351695212742</v>
      </c>
      <c r="DB173" s="2" t="str">
        <f>IF($DP$2="None","None",IF(RecData[[#This Row],[Relative Wind Direction]]&lt;=45,"DW",IF(RecData[[#This Row],[Relative Wind Direction]]&lt;=135,"CW","UW")))</f>
        <v>DW</v>
      </c>
      <c r="DC173" s="61" t="e">
        <f>IF($CL173-$CL169&gt;1/24,#REF!,IF(SUM($CQ169:$CQ173)&gt;$DS$1,$DS$5,DC174-1))</f>
        <v>#REF!</v>
      </c>
      <c r="DD173" s="61" t="e">
        <f>IF($CL174-$CL173&gt;1/24,#REF!,IF(SUM($CQ169:$CQ173)&gt;$DS$1,$DS$6,DD172-1))</f>
        <v>#REF!</v>
      </c>
      <c r="DE173" s="18" t="b">
        <v>0</v>
      </c>
      <c r="DF173" s="2" t="b">
        <f>IF(OR(RecData[[#This Row],[WSpd_Avg '[m/s']]]-RecData[[#This Row],[Wind Speed min]]&gt;=$DF$3,RecData[[#This Row],[Wind Speed max]]-RecData[[#This Row],[WSpd_Avg '[m/s']]]&gt;=$DF$2),TRUE,FALSE)</f>
        <v>0</v>
      </c>
      <c r="DG173" s="2" t="b">
        <f>RecData[[#This Row],[Temperature '[°C']]]&lt;=-20</f>
        <v>0</v>
      </c>
      <c r="DH173" s="18" t="b">
        <f>NOT(OR(MOD(RecData[[#This Row],[TIMESTAMP]],1)&gt;0.91632,MOD(RecData[[#This Row],[TIMESTAMP]],1)&lt;0.208681))</f>
        <v>0</v>
      </c>
      <c r="DI173" s="18" t="b">
        <f>RecData[[#This Row],[Overall (dBA)]]-RecData[[#This Row],[L90]]&gt;=$DS$4</f>
        <v>0</v>
      </c>
      <c r="DJ173" s="18" t="b">
        <f>RecData[[#This Row],[Overall (dBA)]]&gt;$DS$2</f>
        <v>0</v>
      </c>
      <c r="DK173" s="18" t="b">
        <f>RecData[[#This Row],[Overall (dBA)]]&lt;$DS$3</f>
        <v>0</v>
      </c>
      <c r="DL1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3" s="2">
        <f>IF(AND(RecData[[#This Row],[Turbines ON/OFF]] = "OFF", NOT(OR(RecData[[#This Row],[Junk?]]="YES",RecData[[#This Row],[Gust?]],RecData[[#This Row],[Rain?]:[Min SPL Threshold?]]))),1,0)</f>
        <v>0</v>
      </c>
      <c r="DN173" s="16">
        <f>RecData[[#This Row],[dBA Sum]]</f>
        <v>39.180718664827509</v>
      </c>
      <c r="DO173" s="16">
        <f>RecData[[#This Row],[LAF90.0]]</f>
        <v>40.5</v>
      </c>
      <c r="DP173" s="55">
        <f>IF(AND(RecData[[#This Row],[Useable TON Data?]],RecData[[#This Row],[Turbines ON/OFF]]="ON"),RecData[[#This Row],[dBA Sum]],"")</f>
        <v>39.180718664827509</v>
      </c>
      <c r="DQ173" s="55" t="str">
        <f>IF(AND(RecData[[#This Row],[Useable Background Data?]],RecData[[#This Row],[Turbines ON/OFF]]="OFF"),RecData[[#This Row],[dBA Sum]],"")</f>
        <v/>
      </c>
      <c r="DR173" s="3">
        <f>IF(OR(RecData[[#This Row],[Useable TON Data?]],RecData[[#This Row],[Useable Background Data?]]),ROUND(RecData[[#This Row],[WSpd_Avg '[m/s']]],0),"")</f>
        <v>1</v>
      </c>
      <c r="DS173" s="85">
        <f>(0.00002)^2*(10^(RecData[[#This Row],[Overall (dBA)]]/10))</f>
        <v>3.3123167273400247E-6</v>
      </c>
    </row>
    <row r="174" spans="1:123" ht="15" x14ac:dyDescent="0.25">
      <c r="A174" s="3" t="s">
        <v>249</v>
      </c>
      <c r="B174" s="12">
        <v>43252.976388888892</v>
      </c>
      <c r="C174" s="3"/>
      <c r="D174" s="3">
        <v>41.9</v>
      </c>
      <c r="E174" s="3"/>
      <c r="F174" s="3"/>
      <c r="G174" s="3"/>
      <c r="H174" s="3"/>
      <c r="I174" s="3"/>
      <c r="J174" s="3"/>
      <c r="K174" s="3">
        <v>40.1</v>
      </c>
      <c r="L174" s="3"/>
      <c r="M174" s="3"/>
      <c r="N174" s="3">
        <v>129.5</v>
      </c>
      <c r="O174" s="3"/>
      <c r="P174" s="3"/>
      <c r="Q174" s="3">
        <v>0.87</v>
      </c>
      <c r="R174" s="3">
        <v>0.2</v>
      </c>
      <c r="S174" s="3">
        <v>2.1</v>
      </c>
      <c r="T174" s="3">
        <v>9.4</v>
      </c>
      <c r="U174" s="3">
        <v>59.8</v>
      </c>
      <c r="V174" s="3">
        <v>975.5</v>
      </c>
      <c r="W174" s="3">
        <v>0</v>
      </c>
      <c r="X174" s="3">
        <v>50.3</v>
      </c>
      <c r="Y174" s="3">
        <v>49.6</v>
      </c>
      <c r="Z174" s="3">
        <v>49.4</v>
      </c>
      <c r="AA174" s="3">
        <v>44.9</v>
      </c>
      <c r="AB174" s="3">
        <v>40.5</v>
      </c>
      <c r="AC174" s="3">
        <v>38.9</v>
      </c>
      <c r="AD174" s="3">
        <v>41.3</v>
      </c>
      <c r="AE174" s="3">
        <v>41.7</v>
      </c>
      <c r="AF174" s="3">
        <v>45.4</v>
      </c>
      <c r="AG174" s="3">
        <v>39.6</v>
      </c>
      <c r="AH174" s="3">
        <v>36</v>
      </c>
      <c r="AI174" s="3">
        <v>36</v>
      </c>
      <c r="AJ174" s="3">
        <v>34.799999999999997</v>
      </c>
      <c r="AK174" s="3">
        <v>33.5</v>
      </c>
      <c r="AL174" s="3">
        <v>32</v>
      </c>
      <c r="AM174" s="3">
        <v>32.1</v>
      </c>
      <c r="AN174" s="3">
        <v>30.8</v>
      </c>
      <c r="AO174" s="3">
        <v>28.1</v>
      </c>
      <c r="AP174" s="3">
        <v>25.8</v>
      </c>
      <c r="AQ174" s="3">
        <v>23.3</v>
      </c>
      <c r="AR174" s="3">
        <v>19.600000000000001</v>
      </c>
      <c r="AS174" s="3">
        <v>32.9</v>
      </c>
      <c r="AT174" s="3">
        <v>35.299999999999997</v>
      </c>
      <c r="AU174" s="3">
        <v>11.4</v>
      </c>
      <c r="AV174" s="3">
        <v>9.8000000000000007</v>
      </c>
      <c r="AW174" s="3">
        <v>9.5</v>
      </c>
      <c r="AX174" s="3">
        <v>9.1999999999999993</v>
      </c>
      <c r="AY174" s="3">
        <v>9.3000000000000007</v>
      </c>
      <c r="AZ174" s="3">
        <v>0</v>
      </c>
      <c r="BA174" s="3">
        <v>0</v>
      </c>
      <c r="BB174" s="3">
        <v>0</v>
      </c>
      <c r="BC174" s="3">
        <v>41.82546417727265</v>
      </c>
      <c r="BD174" s="3">
        <v>50.374535822727339</v>
      </c>
      <c r="BE174" s="3">
        <v>49.67453582272735</v>
      </c>
      <c r="BF174" s="3">
        <v>48.234535822727352</v>
      </c>
      <c r="BG174" s="3">
        <v>44.061202489394006</v>
      </c>
      <c r="BH174" s="3">
        <v>39.801202489394015</v>
      </c>
      <c r="BI174" s="3">
        <v>38.614535822727348</v>
      </c>
      <c r="BJ174" s="3">
        <v>41.807869156060676</v>
      </c>
      <c r="BK174" s="3">
        <v>42.081202489394016</v>
      </c>
      <c r="BL174" s="3">
        <v>45.354535822727357</v>
      </c>
      <c r="BM174" s="3">
        <v>39.687869156060685</v>
      </c>
      <c r="BN174" s="3">
        <v>36.371202489394008</v>
      </c>
      <c r="BO174" s="3">
        <v>35.737869156060682</v>
      </c>
      <c r="BP174" s="3">
        <v>34.254535822727348</v>
      </c>
      <c r="BQ174" s="3">
        <v>33.371202489394008</v>
      </c>
      <c r="BR174" s="3">
        <v>32.19786915606069</v>
      </c>
      <c r="BS174" s="3">
        <v>32.101202489394026</v>
      </c>
      <c r="BT174" s="3">
        <v>30.997869156060688</v>
      </c>
      <c r="BU174" s="3">
        <v>28.264535822727353</v>
      </c>
      <c r="BV174" s="3">
        <v>25.681202489394011</v>
      </c>
      <c r="BW174" s="3">
        <v>23.714535822727356</v>
      </c>
      <c r="BX174" s="3">
        <v>19.934535822727355</v>
      </c>
      <c r="BY174" s="3">
        <v>33.054535822727345</v>
      </c>
      <c r="BZ174" s="3">
        <v>35.584535822727346</v>
      </c>
      <c r="CA174" s="3">
        <v>11.784535822727342</v>
      </c>
      <c r="CB174" s="3">
        <v>9.6212024893940153</v>
      </c>
      <c r="CC174" s="3">
        <v>9.5345358227273493</v>
      </c>
      <c r="CD174" s="3">
        <v>8.5412024893940171</v>
      </c>
      <c r="CE174" s="3">
        <v>8.8345358227273465</v>
      </c>
      <c r="CF174" s="3">
        <v>-0.85213084393932093</v>
      </c>
      <c r="CG174" s="3">
        <v>-1.3854641772726524</v>
      </c>
      <c r="CH174" s="3">
        <v>-2.4621308439393204</v>
      </c>
      <c r="CI174" s="13">
        <f>[1]!dbasum(RecData[[#This Row],[20]:[2000]],RecData[[#Headers],[20]:[2000]])</f>
        <v>39.112499556871356</v>
      </c>
      <c r="CJ174" s="14">
        <v>935</v>
      </c>
      <c r="CK174" s="15" t="s">
        <v>249</v>
      </c>
      <c r="CL174" s="15">
        <f>RecData[[#This Row],[Start Time]]</f>
        <v>43252.976388888892</v>
      </c>
      <c r="CM174" s="16">
        <f>RecData[[#This Row],[Wind Speed avg]]</f>
        <v>0.87</v>
      </c>
      <c r="CN174" s="16">
        <f>RecData[[#This Row],[Wind Dir. avg]]</f>
        <v>129.5</v>
      </c>
      <c r="CO174" s="16">
        <f>RecData[[#This Row],[Amb. Humidity]]</f>
        <v>59.8</v>
      </c>
      <c r="CP174" s="16">
        <f>RecData[[#This Row],[Amb. Temperature]]</f>
        <v>9.4</v>
      </c>
      <c r="CQ174" s="17">
        <f>RecData[[#This Row],[Amb. Rain Gauge]]</f>
        <v>0</v>
      </c>
      <c r="CR174" s="4" t="s">
        <v>1</v>
      </c>
      <c r="CS174" s="4" t="s">
        <v>49</v>
      </c>
      <c r="CT174" s="70">
        <v>1614.6110839999999</v>
      </c>
      <c r="CU174" s="70">
        <v>33.000278472900298</v>
      </c>
      <c r="CV174" s="70">
        <v>11.669454574584901</v>
      </c>
      <c r="CW174" s="70">
        <v>15.2049894332885</v>
      </c>
      <c r="CX174" s="97"/>
      <c r="CY174" s="99"/>
      <c r="CZ174" s="2" t="b">
        <f>IF($DP$1="YES",IF(RecData[[#This Row],[Power (kW)]]&gt;=$CR$3, TRUE,FALSE),TRUE)</f>
        <v>1</v>
      </c>
      <c r="DA174" s="16">
        <f>MIN(MOD(180-ABS(ABS($DA$1-RecData[Yaw Angle (°)])-180),360),MOD(180-ABS(ABS($DB$1-RecData[Yaw Angle (°)])-180),360))</f>
        <v>25.470351695212742</v>
      </c>
      <c r="DB174" s="2" t="str">
        <f>IF($DP$2="None","None",IF(RecData[[#This Row],[Relative Wind Direction]]&lt;=45,"DW",IF(RecData[[#This Row],[Relative Wind Direction]]&lt;=135,"CW","UW")))</f>
        <v>DW</v>
      </c>
      <c r="DC174" s="61" t="e">
        <f>IF($CL174-$CL170&gt;1/24,#REF!,IF(SUM($CQ170:$CQ174)&gt;$DS$1,$DS$5,DC175-1))</f>
        <v>#REF!</v>
      </c>
      <c r="DD174" s="61" t="e">
        <f>IF($CL175-$CL174&gt;1/24,#REF!,IF(SUM($CQ170:$CQ174)&gt;$DS$1,$DS$6,DD173-1))</f>
        <v>#REF!</v>
      </c>
      <c r="DE174" s="18" t="b">
        <v>0</v>
      </c>
      <c r="DF174" s="2" t="b">
        <f>IF(OR(RecData[[#This Row],[WSpd_Avg '[m/s']]]-RecData[[#This Row],[Wind Speed min]]&gt;=$DF$3,RecData[[#This Row],[Wind Speed max]]-RecData[[#This Row],[WSpd_Avg '[m/s']]]&gt;=$DF$2),TRUE,FALSE)</f>
        <v>0</v>
      </c>
      <c r="DG174" s="2" t="b">
        <f>RecData[[#This Row],[Temperature '[°C']]]&lt;=-20</f>
        <v>0</v>
      </c>
      <c r="DH174" s="18" t="b">
        <f>NOT(OR(MOD(RecData[[#This Row],[TIMESTAMP]],1)&gt;0.91632,MOD(RecData[[#This Row],[TIMESTAMP]],1)&lt;0.208681))</f>
        <v>0</v>
      </c>
      <c r="DI174" s="18" t="b">
        <f>RecData[[#This Row],[Overall (dBA)]]-RecData[[#This Row],[L90]]&gt;=$DS$4</f>
        <v>0</v>
      </c>
      <c r="DJ174" s="18" t="b">
        <f>RecData[[#This Row],[Overall (dBA)]]&gt;$DS$2</f>
        <v>0</v>
      </c>
      <c r="DK174" s="18" t="b">
        <f>RecData[[#This Row],[Overall (dBA)]]&lt;$DS$3</f>
        <v>0</v>
      </c>
      <c r="DL1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4" s="2">
        <f>IF(AND(RecData[[#This Row],[Turbines ON/OFF]] = "OFF", NOT(OR(RecData[[#This Row],[Junk?]]="YES",RecData[[#This Row],[Gust?]],RecData[[#This Row],[Rain?]:[Min SPL Threshold?]]))),1,0)</f>
        <v>0</v>
      </c>
      <c r="DN174" s="16">
        <f>RecData[[#This Row],[dBA Sum]]</f>
        <v>39.112499556871356</v>
      </c>
      <c r="DO174" s="16">
        <f>RecData[[#This Row],[LAF90.0]]</f>
        <v>40.1</v>
      </c>
      <c r="DP174" s="55">
        <f>IF(AND(RecData[[#This Row],[Useable TON Data?]],RecData[[#This Row],[Turbines ON/OFF]]="ON"),RecData[[#This Row],[dBA Sum]],"")</f>
        <v>39.112499556871356</v>
      </c>
      <c r="DQ174" s="55" t="str">
        <f>IF(AND(RecData[[#This Row],[Useable Background Data?]],RecData[[#This Row],[Turbines ON/OFF]]="OFF"),RecData[[#This Row],[dBA Sum]],"")</f>
        <v/>
      </c>
      <c r="DR174" s="3">
        <f>IF(OR(RecData[[#This Row],[Useable TON Data?]],RecData[[#This Row],[Useable Background Data?]]),ROUND(RecData[[#This Row],[WSpd_Avg '[m/s']]],0),"")</f>
        <v>1</v>
      </c>
      <c r="DS174" s="85">
        <f>(0.00002)^2*(10^(RecData[[#This Row],[Overall (dBA)]]/10))</f>
        <v>3.2606932693593961E-6</v>
      </c>
    </row>
    <row r="175" spans="1:123" ht="15" x14ac:dyDescent="0.25">
      <c r="A175" s="3" t="s">
        <v>249</v>
      </c>
      <c r="B175" s="12">
        <v>43252.977083333339</v>
      </c>
      <c r="C175" s="3"/>
      <c r="D175" s="3">
        <v>42.5</v>
      </c>
      <c r="E175" s="3"/>
      <c r="F175" s="3"/>
      <c r="G175" s="3"/>
      <c r="H175" s="3"/>
      <c r="I175" s="3"/>
      <c r="J175" s="3"/>
      <c r="K175" s="3">
        <v>40.299999999999997</v>
      </c>
      <c r="L175" s="3"/>
      <c r="M175" s="3"/>
      <c r="N175" s="3">
        <v>161.4</v>
      </c>
      <c r="O175" s="3"/>
      <c r="P175" s="3"/>
      <c r="Q175" s="3">
        <v>1.23</v>
      </c>
      <c r="R175" s="3">
        <v>0.2</v>
      </c>
      <c r="S175" s="3">
        <v>2.4</v>
      </c>
      <c r="T175" s="3">
        <v>9.4</v>
      </c>
      <c r="U175" s="3">
        <v>60</v>
      </c>
      <c r="V175" s="3">
        <v>975.5</v>
      </c>
      <c r="W175" s="3">
        <v>0</v>
      </c>
      <c r="X175" s="3">
        <v>50.5</v>
      </c>
      <c r="Y175" s="3">
        <v>50</v>
      </c>
      <c r="Z175" s="3">
        <v>49.6</v>
      </c>
      <c r="AA175" s="3">
        <v>44.6</v>
      </c>
      <c r="AB175" s="3">
        <v>41.6</v>
      </c>
      <c r="AC175" s="3">
        <v>41.1</v>
      </c>
      <c r="AD175" s="3">
        <v>42.7</v>
      </c>
      <c r="AE175" s="3">
        <v>43</v>
      </c>
      <c r="AF175" s="3">
        <v>45.2</v>
      </c>
      <c r="AG175" s="3">
        <v>39.200000000000003</v>
      </c>
      <c r="AH175" s="3">
        <v>37.4</v>
      </c>
      <c r="AI175" s="3">
        <v>36.9</v>
      </c>
      <c r="AJ175" s="3">
        <v>35.799999999999997</v>
      </c>
      <c r="AK175" s="3">
        <v>34.4</v>
      </c>
      <c r="AL175" s="3">
        <v>32.700000000000003</v>
      </c>
      <c r="AM175" s="3">
        <v>32.799999999999997</v>
      </c>
      <c r="AN175" s="3">
        <v>31.8</v>
      </c>
      <c r="AO175" s="3">
        <v>29.6</v>
      </c>
      <c r="AP175" s="3">
        <v>27.7</v>
      </c>
      <c r="AQ175" s="3">
        <v>26.3</v>
      </c>
      <c r="AR175" s="3">
        <v>24.6</v>
      </c>
      <c r="AS175" s="3">
        <v>33.200000000000003</v>
      </c>
      <c r="AT175" s="3">
        <v>35.1</v>
      </c>
      <c r="AU175" s="3">
        <v>20.100000000000001</v>
      </c>
      <c r="AV175" s="3">
        <v>19.100000000000001</v>
      </c>
      <c r="AW175" s="3">
        <v>16.899999999999999</v>
      </c>
      <c r="AX175" s="3">
        <v>13.1</v>
      </c>
      <c r="AY175" s="3">
        <v>11.6</v>
      </c>
      <c r="AZ175" s="3">
        <v>0</v>
      </c>
      <c r="BA175" s="3">
        <v>0</v>
      </c>
      <c r="BB175" s="3">
        <v>0</v>
      </c>
      <c r="BC175" s="3">
        <v>42.47464696123518</v>
      </c>
      <c r="BD175" s="3">
        <v>50.52535303876482</v>
      </c>
      <c r="BE175" s="3">
        <v>50.02535303876482</v>
      </c>
      <c r="BF175" s="3">
        <v>48.385353038764819</v>
      </c>
      <c r="BG175" s="3">
        <v>43.712019705431487</v>
      </c>
      <c r="BH175" s="3">
        <v>40.852019705431488</v>
      </c>
      <c r="BI175" s="3">
        <v>40.765353038764829</v>
      </c>
      <c r="BJ175" s="3">
        <v>43.158686372098146</v>
      </c>
      <c r="BK175" s="3">
        <v>43.332019705431492</v>
      </c>
      <c r="BL175" s="3">
        <v>45.105353038764832</v>
      </c>
      <c r="BM175" s="3">
        <v>39.238686372098158</v>
      </c>
      <c r="BN175" s="3">
        <v>37.722019705431478</v>
      </c>
      <c r="BO175" s="3">
        <v>36.588686372098152</v>
      </c>
      <c r="BP175" s="3">
        <v>35.205353038764827</v>
      </c>
      <c r="BQ175" s="3">
        <v>34.222019705431478</v>
      </c>
      <c r="BR175" s="3">
        <v>32.848686372098157</v>
      </c>
      <c r="BS175" s="3">
        <v>32.752019705431479</v>
      </c>
      <c r="BT175" s="3">
        <v>31.948686372098152</v>
      </c>
      <c r="BU175" s="3">
        <v>29.715353038764817</v>
      </c>
      <c r="BV175" s="3">
        <v>27.53201970543148</v>
      </c>
      <c r="BW175" s="3">
        <v>26.66535303876482</v>
      </c>
      <c r="BX175" s="3">
        <v>24.885353038764833</v>
      </c>
      <c r="BY175" s="3">
        <v>33.305353038764821</v>
      </c>
      <c r="BZ175" s="3">
        <v>35.335353038764822</v>
      </c>
      <c r="CA175" s="3">
        <v>20.435353038764816</v>
      </c>
      <c r="CB175" s="3">
        <v>18.872019705431484</v>
      </c>
      <c r="CC175" s="3">
        <v>16.885353038764819</v>
      </c>
      <c r="CD175" s="3">
        <v>12.392019705431494</v>
      </c>
      <c r="CE175" s="3">
        <v>11.085353038764822</v>
      </c>
      <c r="CF175" s="3">
        <v>-0.90131362790184966</v>
      </c>
      <c r="CG175" s="3">
        <v>-1.4346469612351811</v>
      </c>
      <c r="CH175" s="3">
        <v>-2.5113136279018491</v>
      </c>
      <c r="CI175" s="13">
        <f>[1]!dbasum(RecData[[#This Row],[20]:[2000]],RecData[[#Headers],[20]:[2000]])</f>
        <v>40.135109084471061</v>
      </c>
      <c r="CJ175" s="14">
        <v>936</v>
      </c>
      <c r="CK175" s="15" t="s">
        <v>249</v>
      </c>
      <c r="CL175" s="15">
        <f>RecData[[#This Row],[Start Time]]</f>
        <v>43252.977083333339</v>
      </c>
      <c r="CM175" s="16">
        <f>RecData[[#This Row],[Wind Speed avg]]</f>
        <v>1.23</v>
      </c>
      <c r="CN175" s="16">
        <f>RecData[[#This Row],[Wind Dir. avg]]</f>
        <v>161.4</v>
      </c>
      <c r="CO175" s="16">
        <f>RecData[[#This Row],[Amb. Humidity]]</f>
        <v>60</v>
      </c>
      <c r="CP175" s="16">
        <f>RecData[[#This Row],[Amb. Temperature]]</f>
        <v>9.4</v>
      </c>
      <c r="CQ175" s="17">
        <f>RecData[[#This Row],[Amb. Rain Gauge]]</f>
        <v>0</v>
      </c>
      <c r="CR175" s="4" t="s">
        <v>1</v>
      </c>
      <c r="CS175" s="4" t="s">
        <v>49</v>
      </c>
      <c r="CT175" s="70">
        <v>1614.6110839999999</v>
      </c>
      <c r="CU175" s="70">
        <v>33.000278472900298</v>
      </c>
      <c r="CV175" s="70">
        <v>11.669454574584901</v>
      </c>
      <c r="CW175" s="70">
        <v>15.2049894332885</v>
      </c>
      <c r="CX175" s="97"/>
      <c r="CY175" s="99"/>
      <c r="CZ175" s="2" t="b">
        <f>IF($DP$1="YES",IF(RecData[[#This Row],[Power (kW)]]&gt;=$CR$3, TRUE,FALSE),TRUE)</f>
        <v>1</v>
      </c>
      <c r="DA175" s="16">
        <f>MIN(MOD(180-ABS(ABS($DA$1-RecData[Yaw Angle (°)])-180),360),MOD(180-ABS(ABS($DB$1-RecData[Yaw Angle (°)])-180),360))</f>
        <v>25.470351695212742</v>
      </c>
      <c r="DB175" s="2" t="str">
        <f>IF($DP$2="None","None",IF(RecData[[#This Row],[Relative Wind Direction]]&lt;=45,"DW",IF(RecData[[#This Row],[Relative Wind Direction]]&lt;=135,"CW","UW")))</f>
        <v>DW</v>
      </c>
      <c r="DC175" s="61" t="e">
        <f>IF($CL175-$CL171&gt;1/24,#REF!,IF(SUM($CQ171:$CQ175)&gt;$DS$1,$DS$5,#REF!-1))</f>
        <v>#REF!</v>
      </c>
      <c r="DD175" s="61" t="e">
        <f>IF(#REF!-$CL175&gt;1/24,#REF!,IF(SUM($CQ171:$CQ175)&gt;$DS$1,$DS$6,DD174-1))</f>
        <v>#REF!</v>
      </c>
      <c r="DE175" s="18" t="b">
        <v>0</v>
      </c>
      <c r="DF175" s="2" t="b">
        <f>IF(OR(RecData[[#This Row],[WSpd_Avg '[m/s']]]-RecData[[#This Row],[Wind Speed min]]&gt;=$DF$3,RecData[[#This Row],[Wind Speed max]]-RecData[[#This Row],[WSpd_Avg '[m/s']]]&gt;=$DF$2),TRUE,FALSE)</f>
        <v>0</v>
      </c>
      <c r="DG175" s="2" t="b">
        <f>RecData[[#This Row],[Temperature '[°C']]]&lt;=-20</f>
        <v>0</v>
      </c>
      <c r="DH175" s="18" t="b">
        <f>NOT(OR(MOD(RecData[[#This Row],[TIMESTAMP]],1)&gt;0.91632,MOD(RecData[[#This Row],[TIMESTAMP]],1)&lt;0.208681))</f>
        <v>0</v>
      </c>
      <c r="DI175" s="18" t="b">
        <f>RecData[[#This Row],[Overall (dBA)]]-RecData[[#This Row],[L90]]&gt;=$DS$4</f>
        <v>0</v>
      </c>
      <c r="DJ175" s="18" t="b">
        <f>RecData[[#This Row],[Overall (dBA)]]&gt;$DS$2</f>
        <v>0</v>
      </c>
      <c r="DK175" s="18" t="b">
        <f>RecData[[#This Row],[Overall (dBA)]]&lt;$DS$3</f>
        <v>0</v>
      </c>
      <c r="DL1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5" s="2">
        <f>IF(AND(RecData[[#This Row],[Turbines ON/OFF]] = "OFF", NOT(OR(RecData[[#This Row],[Junk?]]="YES",RecData[[#This Row],[Gust?]],RecData[[#This Row],[Rain?]:[Min SPL Threshold?]]))),1,0)</f>
        <v>0</v>
      </c>
      <c r="DN175" s="16">
        <f>RecData[[#This Row],[dBA Sum]]</f>
        <v>40.135109084471061</v>
      </c>
      <c r="DO175" s="16">
        <f>RecData[[#This Row],[LAF90.0]]</f>
        <v>40.299999999999997</v>
      </c>
      <c r="DP175" s="55">
        <f>IF(AND(RecData[[#This Row],[Useable TON Data?]],RecData[[#This Row],[Turbines ON/OFF]]="ON"),RecData[[#This Row],[dBA Sum]],"")</f>
        <v>40.135109084471061</v>
      </c>
      <c r="DQ175" s="55" t="str">
        <f>IF(AND(RecData[[#This Row],[Useable Background Data?]],RecData[[#This Row],[Turbines ON/OFF]]="OFF"),RecData[[#This Row],[dBA Sum]],"")</f>
        <v/>
      </c>
      <c r="DR175" s="3">
        <f>IF(OR(RecData[[#This Row],[Useable TON Data?]],RecData[[#This Row],[Useable Background Data?]]),ROUND(RecData[[#This Row],[WSpd_Avg '[m/s']]],0),"")</f>
        <v>1</v>
      </c>
      <c r="DS175" s="85">
        <f>(0.00002)^2*(10^(RecData[[#This Row],[Overall (dBA)]]/10))</f>
        <v>4.126395961733883E-6</v>
      </c>
    </row>
    <row r="176" spans="1:123" ht="15" x14ac:dyDescent="0.25">
      <c r="A176" s="3" t="s">
        <v>249</v>
      </c>
      <c r="B176" s="12">
        <v>43252.978472222225</v>
      </c>
      <c r="C176" s="3"/>
      <c r="D176" s="3">
        <v>43.4</v>
      </c>
      <c r="E176" s="3"/>
      <c r="F176" s="3"/>
      <c r="G176" s="3"/>
      <c r="H176" s="3"/>
      <c r="I176" s="3"/>
      <c r="J176" s="3"/>
      <c r="K176" s="3">
        <v>41.6</v>
      </c>
      <c r="L176" s="3"/>
      <c r="M176" s="3"/>
      <c r="N176" s="3">
        <v>150.6</v>
      </c>
      <c r="O176" s="3"/>
      <c r="P176" s="3"/>
      <c r="Q176" s="3">
        <v>0.91</v>
      </c>
      <c r="R176" s="3">
        <v>0.2</v>
      </c>
      <c r="S176" s="3">
        <v>1.9</v>
      </c>
      <c r="T176" s="3">
        <v>9.4</v>
      </c>
      <c r="U176" s="3">
        <v>59.7</v>
      </c>
      <c r="V176" s="3">
        <v>975.5</v>
      </c>
      <c r="W176" s="3">
        <v>0</v>
      </c>
      <c r="X176" s="3">
        <v>49.9</v>
      </c>
      <c r="Y176" s="3">
        <v>49.5</v>
      </c>
      <c r="Z176" s="3">
        <v>49.5</v>
      </c>
      <c r="AA176" s="3">
        <v>45.5</v>
      </c>
      <c r="AB176" s="3">
        <v>40.4</v>
      </c>
      <c r="AC176" s="3">
        <v>39.6</v>
      </c>
      <c r="AD176" s="3">
        <v>42</v>
      </c>
      <c r="AE176" s="3">
        <v>43</v>
      </c>
      <c r="AF176" s="3">
        <v>46.1</v>
      </c>
      <c r="AG176" s="3">
        <v>40.4</v>
      </c>
      <c r="AH176" s="3">
        <v>36.799999999999997</v>
      </c>
      <c r="AI176" s="3">
        <v>36.799999999999997</v>
      </c>
      <c r="AJ176" s="3">
        <v>35.200000000000003</v>
      </c>
      <c r="AK176" s="3">
        <v>34</v>
      </c>
      <c r="AL176" s="3">
        <v>32.700000000000003</v>
      </c>
      <c r="AM176" s="3">
        <v>33</v>
      </c>
      <c r="AN176" s="3">
        <v>31.9</v>
      </c>
      <c r="AO176" s="3">
        <v>29.2</v>
      </c>
      <c r="AP176" s="3">
        <v>27.1</v>
      </c>
      <c r="AQ176" s="3">
        <v>24.7</v>
      </c>
      <c r="AR176" s="3">
        <v>21.3</v>
      </c>
      <c r="AS176" s="3">
        <v>36</v>
      </c>
      <c r="AT176" s="3">
        <v>36.799999999999997</v>
      </c>
      <c r="AU176" s="3">
        <v>14.2</v>
      </c>
      <c r="AV176" s="3">
        <v>12.7</v>
      </c>
      <c r="AW176" s="3">
        <v>11.6</v>
      </c>
      <c r="AX176" s="3">
        <v>10</v>
      </c>
      <c r="AY176" s="3">
        <v>9.6999999999999993</v>
      </c>
      <c r="AZ176" s="3">
        <v>0</v>
      </c>
      <c r="BA176" s="3">
        <v>0</v>
      </c>
      <c r="BB176" s="3">
        <v>0</v>
      </c>
      <c r="BC176" s="3">
        <v>43.348294116431035</v>
      </c>
      <c r="BD176" s="3">
        <v>49.951705883568962</v>
      </c>
      <c r="BE176" s="3">
        <v>49.551705883568971</v>
      </c>
      <c r="BF176" s="3">
        <v>48.311705883568962</v>
      </c>
      <c r="BG176" s="3">
        <v>44.63837255023563</v>
      </c>
      <c r="BH176" s="3">
        <v>39.678372550235636</v>
      </c>
      <c r="BI176" s="3">
        <v>39.291705883568966</v>
      </c>
      <c r="BJ176" s="3">
        <v>42.485039216902294</v>
      </c>
      <c r="BK176" s="3">
        <v>43.358372550235629</v>
      </c>
      <c r="BL176" s="3">
        <v>46.031705883568961</v>
      </c>
      <c r="BM176" s="3">
        <v>40.465039216902298</v>
      </c>
      <c r="BN176" s="3">
        <v>37.148372550235635</v>
      </c>
      <c r="BO176" s="3">
        <v>36.515039216902295</v>
      </c>
      <c r="BP176" s="3">
        <v>34.631705883568969</v>
      </c>
      <c r="BQ176" s="3">
        <v>33.848372550235624</v>
      </c>
      <c r="BR176" s="3">
        <v>32.875039216902294</v>
      </c>
      <c r="BS176" s="3">
        <v>32.978372550235633</v>
      </c>
      <c r="BT176" s="3">
        <v>32.075039216902297</v>
      </c>
      <c r="BU176" s="3">
        <v>29.341705883568963</v>
      </c>
      <c r="BV176" s="3">
        <v>26.958372550235637</v>
      </c>
      <c r="BW176" s="3">
        <v>25.091705883568963</v>
      </c>
      <c r="BX176" s="3">
        <v>21.611705883568973</v>
      </c>
      <c r="BY176" s="3">
        <v>36.131705883568955</v>
      </c>
      <c r="BZ176" s="3">
        <v>37.061705883568962</v>
      </c>
      <c r="CA176" s="3">
        <v>14.561705883568955</v>
      </c>
      <c r="CB176" s="3">
        <v>12.498372550235629</v>
      </c>
      <c r="CC176" s="3">
        <v>11.611705883568959</v>
      </c>
      <c r="CD176" s="3">
        <v>9.3183725502356367</v>
      </c>
      <c r="CE176" s="3">
        <v>9.2117058835689605</v>
      </c>
      <c r="CF176" s="3">
        <v>-0.87496078309770553</v>
      </c>
      <c r="CG176" s="3">
        <v>-1.408294116431037</v>
      </c>
      <c r="CH176" s="3">
        <v>-2.484960783097705</v>
      </c>
      <c r="CI176" s="13">
        <f>[1]!dbasum(RecData[[#This Row],[20]:[2000]],RecData[[#Headers],[20]:[2000]])</f>
        <v>39.971073880127371</v>
      </c>
      <c r="CJ176" s="14">
        <v>938</v>
      </c>
      <c r="CK176" s="15" t="s">
        <v>249</v>
      </c>
      <c r="CL176" s="15">
        <f>RecData[[#This Row],[Start Time]]</f>
        <v>43252.978472222225</v>
      </c>
      <c r="CM176" s="16">
        <f>RecData[[#This Row],[Wind Speed avg]]</f>
        <v>0.91</v>
      </c>
      <c r="CN176" s="16">
        <f>RecData[[#This Row],[Wind Dir. avg]]</f>
        <v>150.6</v>
      </c>
      <c r="CO176" s="16">
        <f>RecData[[#This Row],[Amb. Humidity]]</f>
        <v>59.7</v>
      </c>
      <c r="CP176" s="16">
        <f>RecData[[#This Row],[Amb. Temperature]]</f>
        <v>9.4</v>
      </c>
      <c r="CQ176" s="17">
        <f>RecData[[#This Row],[Amb. Rain Gauge]]</f>
        <v>0</v>
      </c>
      <c r="CR176" s="4" t="s">
        <v>1</v>
      </c>
      <c r="CS176" s="4" t="s">
        <v>49</v>
      </c>
      <c r="CT176" s="70">
        <v>1614.6110839999999</v>
      </c>
      <c r="CU176" s="70">
        <v>33.000278472900298</v>
      </c>
      <c r="CV176" s="70">
        <v>11.669454574584901</v>
      </c>
      <c r="CW176" s="70">
        <v>15.2049894332885</v>
      </c>
      <c r="CX176" s="97"/>
      <c r="CY176" s="99"/>
      <c r="CZ176" s="2" t="b">
        <f>IF($DP$1="YES",IF(RecData[[#This Row],[Power (kW)]]&gt;=$CR$3, TRUE,FALSE),TRUE)</f>
        <v>1</v>
      </c>
      <c r="DA176" s="16">
        <f>MIN(MOD(180-ABS(ABS($DA$1-RecData[Yaw Angle (°)])-180),360),MOD(180-ABS(ABS($DB$1-RecData[Yaw Angle (°)])-180),360))</f>
        <v>25.470351695212742</v>
      </c>
      <c r="DB176" s="2" t="str">
        <f>IF($DP$2="None","None",IF(RecData[[#This Row],[Relative Wind Direction]]&lt;=45,"DW",IF(RecData[[#This Row],[Relative Wind Direction]]&lt;=135,"CW","UW")))</f>
        <v>DW</v>
      </c>
      <c r="DC176" s="61" t="e">
        <f>IF($CL176-#REF!&gt;1/24,#REF!,IF(SUM($CQ176:$CQ176)&gt;$DS$1,$DS$5,DC177-1))</f>
        <v>#REF!</v>
      </c>
      <c r="DD176" s="61" t="e">
        <f>IF($CL177-$CL176&gt;1/24,#REF!,IF(SUM($CQ176:$CQ176)&gt;$DS$1,$DS$6,#REF!-1))</f>
        <v>#REF!</v>
      </c>
      <c r="DE176" s="18" t="b">
        <v>0</v>
      </c>
      <c r="DF176" s="2" t="b">
        <f>IF(OR(RecData[[#This Row],[WSpd_Avg '[m/s']]]-RecData[[#This Row],[Wind Speed min]]&gt;=$DF$3,RecData[[#This Row],[Wind Speed max]]-RecData[[#This Row],[WSpd_Avg '[m/s']]]&gt;=$DF$2),TRUE,FALSE)</f>
        <v>0</v>
      </c>
      <c r="DG176" s="2" t="b">
        <f>RecData[[#This Row],[Temperature '[°C']]]&lt;=-20</f>
        <v>0</v>
      </c>
      <c r="DH176" s="18" t="b">
        <f>NOT(OR(MOD(RecData[[#This Row],[TIMESTAMP]],1)&gt;0.91632,MOD(RecData[[#This Row],[TIMESTAMP]],1)&lt;0.208681))</f>
        <v>0</v>
      </c>
      <c r="DI176" s="18" t="b">
        <f>RecData[[#This Row],[Overall (dBA)]]-RecData[[#This Row],[L90]]&gt;=$DS$4</f>
        <v>0</v>
      </c>
      <c r="DJ176" s="18" t="b">
        <f>RecData[[#This Row],[Overall (dBA)]]&gt;$DS$2</f>
        <v>0</v>
      </c>
      <c r="DK176" s="18" t="b">
        <f>RecData[[#This Row],[Overall (dBA)]]&lt;$DS$3</f>
        <v>0</v>
      </c>
      <c r="DL1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6" s="2">
        <f>IF(AND(RecData[[#This Row],[Turbines ON/OFF]] = "OFF", NOT(OR(RecData[[#This Row],[Junk?]]="YES",RecData[[#This Row],[Gust?]],RecData[[#This Row],[Rain?]:[Min SPL Threshold?]]))),1,0)</f>
        <v>0</v>
      </c>
      <c r="DN176" s="16">
        <f>RecData[[#This Row],[dBA Sum]]</f>
        <v>39.971073880127371</v>
      </c>
      <c r="DO176" s="16">
        <f>RecData[[#This Row],[LAF90.0]]</f>
        <v>41.6</v>
      </c>
      <c r="DP176" s="55">
        <f>IF(AND(RecData[[#This Row],[Useable TON Data?]],RecData[[#This Row],[Turbines ON/OFF]]="ON"),RecData[[#This Row],[dBA Sum]],"")</f>
        <v>39.971073880127371</v>
      </c>
      <c r="DQ176" s="55" t="str">
        <f>IF(AND(RecData[[#This Row],[Useable Background Data?]],RecData[[#This Row],[Turbines ON/OFF]]="OFF"),RecData[[#This Row],[dBA Sum]],"")</f>
        <v/>
      </c>
      <c r="DR176" s="3">
        <f>IF(OR(RecData[[#This Row],[Useable TON Data?]],RecData[[#This Row],[Useable Background Data?]]),ROUND(RecData[[#This Row],[WSpd_Avg '[m/s']]],0),"")</f>
        <v>1</v>
      </c>
      <c r="DS176" s="85">
        <f>(0.00002)^2*(10^(RecData[[#This Row],[Overall (dBA)]]/10))</f>
        <v>3.973446586506215E-6</v>
      </c>
    </row>
    <row r="177" spans="1:123" ht="15" x14ac:dyDescent="0.25">
      <c r="A177" s="3" t="s">
        <v>249</v>
      </c>
      <c r="B177" s="12">
        <v>43252.979166666672</v>
      </c>
      <c r="C177" s="3"/>
      <c r="D177" s="3">
        <v>42.9</v>
      </c>
      <c r="E177" s="3"/>
      <c r="F177" s="3"/>
      <c r="G177" s="3"/>
      <c r="H177" s="3"/>
      <c r="I177" s="3"/>
      <c r="J177" s="3"/>
      <c r="K177" s="3">
        <v>41.2</v>
      </c>
      <c r="L177" s="3"/>
      <c r="M177" s="3"/>
      <c r="N177" s="3">
        <v>240</v>
      </c>
      <c r="O177" s="3"/>
      <c r="P177" s="3"/>
      <c r="Q177" s="3">
        <v>0.74</v>
      </c>
      <c r="R177" s="3">
        <v>0.1</v>
      </c>
      <c r="S177" s="3">
        <v>1.4</v>
      </c>
      <c r="T177" s="3">
        <v>9.4</v>
      </c>
      <c r="U177" s="3">
        <v>59.7</v>
      </c>
      <c r="V177" s="3">
        <v>975.5</v>
      </c>
      <c r="W177" s="3">
        <v>0</v>
      </c>
      <c r="X177" s="3">
        <v>48.6</v>
      </c>
      <c r="Y177" s="3">
        <v>48.1</v>
      </c>
      <c r="Z177" s="3">
        <v>47.6</v>
      </c>
      <c r="AA177" s="3">
        <v>43.6</v>
      </c>
      <c r="AB177" s="3">
        <v>39.299999999999997</v>
      </c>
      <c r="AC177" s="3">
        <v>36.4</v>
      </c>
      <c r="AD177" s="3">
        <v>39.4</v>
      </c>
      <c r="AE177" s="3">
        <v>40.6</v>
      </c>
      <c r="AF177" s="3">
        <v>44.9</v>
      </c>
      <c r="AG177" s="3">
        <v>38.9</v>
      </c>
      <c r="AH177" s="3">
        <v>35.200000000000003</v>
      </c>
      <c r="AI177" s="3">
        <v>35.4</v>
      </c>
      <c r="AJ177" s="3">
        <v>33.9</v>
      </c>
      <c r="AK177" s="3">
        <v>32.9</v>
      </c>
      <c r="AL177" s="3">
        <v>31.4</v>
      </c>
      <c r="AM177" s="3">
        <v>31.7</v>
      </c>
      <c r="AN177" s="3">
        <v>30.5</v>
      </c>
      <c r="AO177" s="3">
        <v>27.7</v>
      </c>
      <c r="AP177" s="3">
        <v>25.6</v>
      </c>
      <c r="AQ177" s="3">
        <v>23.6</v>
      </c>
      <c r="AR177" s="3">
        <v>20.9</v>
      </c>
      <c r="AS177" s="3">
        <v>35.799999999999997</v>
      </c>
      <c r="AT177" s="3">
        <v>37.1</v>
      </c>
      <c r="AU177" s="3">
        <v>15</v>
      </c>
      <c r="AV177" s="3">
        <v>12.9</v>
      </c>
      <c r="AW177" s="3">
        <v>11.9</v>
      </c>
      <c r="AX177" s="3">
        <v>10</v>
      </c>
      <c r="AY177" s="3">
        <v>9.8000000000000007</v>
      </c>
      <c r="AZ177" s="3">
        <v>0</v>
      </c>
      <c r="BA177" s="3">
        <v>0</v>
      </c>
      <c r="BB177" s="3">
        <v>0</v>
      </c>
      <c r="BC177" s="3">
        <v>42.829482988215098</v>
      </c>
      <c r="BD177" s="3">
        <v>48.670517011784902</v>
      </c>
      <c r="BE177" s="3">
        <v>48.170517011784902</v>
      </c>
      <c r="BF177" s="3">
        <v>46.430517011784893</v>
      </c>
      <c r="BG177" s="3">
        <v>42.757183678451575</v>
      </c>
      <c r="BH177" s="3">
        <v>38.597183678451565</v>
      </c>
      <c r="BI177" s="3">
        <v>36.1105170117849</v>
      </c>
      <c r="BJ177" s="3">
        <v>39.903850345118222</v>
      </c>
      <c r="BK177" s="3">
        <v>40.977183678451574</v>
      </c>
      <c r="BL177" s="3">
        <v>44.850517011784909</v>
      </c>
      <c r="BM177" s="3">
        <v>38.983850345118235</v>
      </c>
      <c r="BN177" s="3">
        <v>35.567183678451578</v>
      </c>
      <c r="BO177" s="3">
        <v>35.13385034511824</v>
      </c>
      <c r="BP177" s="3">
        <v>33.350517011784909</v>
      </c>
      <c r="BQ177" s="3">
        <v>32.767183678451566</v>
      </c>
      <c r="BR177" s="3">
        <v>31.593850345118234</v>
      </c>
      <c r="BS177" s="3">
        <v>31.697183678451573</v>
      </c>
      <c r="BT177" s="3">
        <v>30.693850345118243</v>
      </c>
      <c r="BU177" s="3">
        <v>27.8605170117849</v>
      </c>
      <c r="BV177" s="3">
        <v>25.477183678451574</v>
      </c>
      <c r="BW177" s="3">
        <v>24.010517011784906</v>
      </c>
      <c r="BX177" s="3">
        <v>21.230517011784904</v>
      </c>
      <c r="BY177" s="3">
        <v>35.950517011784903</v>
      </c>
      <c r="BZ177" s="3">
        <v>37.38051701178491</v>
      </c>
      <c r="CA177" s="3">
        <v>15.380517011784896</v>
      </c>
      <c r="CB177" s="3">
        <v>12.717183678451569</v>
      </c>
      <c r="CC177" s="3">
        <v>11.9305170117849</v>
      </c>
      <c r="CD177" s="3">
        <v>9.3371836784515736</v>
      </c>
      <c r="CE177" s="3">
        <v>9.3305170117848988</v>
      </c>
      <c r="CF177" s="3">
        <v>-0.85614965488176864</v>
      </c>
      <c r="CG177" s="3">
        <v>-1.3894829882151001</v>
      </c>
      <c r="CH177" s="3">
        <v>-2.4661496548817681</v>
      </c>
      <c r="CI177" s="13">
        <f>[1]!dbasum(RecData[[#This Row],[20]:[2000]],RecData[[#Headers],[20]:[2000]])</f>
        <v>38.631984057214545</v>
      </c>
      <c r="CJ177" s="14">
        <v>939</v>
      </c>
      <c r="CK177" s="15" t="s">
        <v>249</v>
      </c>
      <c r="CL177" s="15">
        <f>RecData[[#This Row],[Start Time]]</f>
        <v>43252.979166666672</v>
      </c>
      <c r="CM177" s="16">
        <f>RecData[[#This Row],[Wind Speed avg]]</f>
        <v>0.74</v>
      </c>
      <c r="CN177" s="16">
        <f>RecData[[#This Row],[Wind Dir. avg]]</f>
        <v>240</v>
      </c>
      <c r="CO177" s="16">
        <f>RecData[[#This Row],[Amb. Humidity]]</f>
        <v>59.7</v>
      </c>
      <c r="CP177" s="16">
        <f>RecData[[#This Row],[Amb. Temperature]]</f>
        <v>9.4</v>
      </c>
      <c r="CQ177" s="17">
        <f>RecData[[#This Row],[Amb. Rain Gauge]]</f>
        <v>0</v>
      </c>
      <c r="CR177" s="4" t="s">
        <v>1</v>
      </c>
      <c r="CS177" s="4" t="s">
        <v>49</v>
      </c>
      <c r="CT177" s="70">
        <v>1614.6110839999999</v>
      </c>
      <c r="CU177" s="70">
        <v>33.000278472900298</v>
      </c>
      <c r="CV177" s="70">
        <v>11.669454574584901</v>
      </c>
      <c r="CW177" s="70">
        <v>15.2049894332885</v>
      </c>
      <c r="CX177" s="97"/>
      <c r="CY177" s="99"/>
      <c r="CZ177" s="2" t="b">
        <f>IF($DP$1="YES",IF(RecData[[#This Row],[Power (kW)]]&gt;=$CR$3, TRUE,FALSE),TRUE)</f>
        <v>1</v>
      </c>
      <c r="DA177" s="16">
        <f>MIN(MOD(180-ABS(ABS($DA$1-RecData[Yaw Angle (°)])-180),360),MOD(180-ABS(ABS($DB$1-RecData[Yaw Angle (°)])-180),360))</f>
        <v>25.470351695212742</v>
      </c>
      <c r="DB177" s="2" t="str">
        <f>IF($DP$2="None","None",IF(RecData[[#This Row],[Relative Wind Direction]]&lt;=45,"DW",IF(RecData[[#This Row],[Relative Wind Direction]]&lt;=135,"CW","UW")))</f>
        <v>DW</v>
      </c>
      <c r="DC177" s="61" t="e">
        <f>IF($CL177-#REF!&gt;1/24,#REF!,IF(SUM($CQ176:$CQ177)&gt;$DS$1,$DS$5,#REF!-1))</f>
        <v>#REF!</v>
      </c>
      <c r="DD177" s="61" t="e">
        <f>IF(#REF!-$CL177&gt;1/24,#REF!,IF(SUM($CQ176:$CQ177)&gt;$DS$1,$DS$6,DD176-1))</f>
        <v>#REF!</v>
      </c>
      <c r="DE177" s="18" t="b">
        <v>0</v>
      </c>
      <c r="DF177" s="2" t="b">
        <f>IF(OR(RecData[[#This Row],[WSpd_Avg '[m/s']]]-RecData[[#This Row],[Wind Speed min]]&gt;=$DF$3,RecData[[#This Row],[Wind Speed max]]-RecData[[#This Row],[WSpd_Avg '[m/s']]]&gt;=$DF$2),TRUE,FALSE)</f>
        <v>0</v>
      </c>
      <c r="DG177" s="2" t="b">
        <f>RecData[[#This Row],[Temperature '[°C']]]&lt;=-20</f>
        <v>0</v>
      </c>
      <c r="DH177" s="18" t="b">
        <f>NOT(OR(MOD(RecData[[#This Row],[TIMESTAMP]],1)&gt;0.91632,MOD(RecData[[#This Row],[TIMESTAMP]],1)&lt;0.208681))</f>
        <v>0</v>
      </c>
      <c r="DI177" s="18" t="b">
        <f>RecData[[#This Row],[Overall (dBA)]]-RecData[[#This Row],[L90]]&gt;=$DS$4</f>
        <v>0</v>
      </c>
      <c r="DJ177" s="18" t="b">
        <f>RecData[[#This Row],[Overall (dBA)]]&gt;$DS$2</f>
        <v>0</v>
      </c>
      <c r="DK177" s="18" t="b">
        <f>RecData[[#This Row],[Overall (dBA)]]&lt;$DS$3</f>
        <v>0</v>
      </c>
      <c r="DL1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7" s="2">
        <f>IF(AND(RecData[[#This Row],[Turbines ON/OFF]] = "OFF", NOT(OR(RecData[[#This Row],[Junk?]]="YES",RecData[[#This Row],[Gust?]],RecData[[#This Row],[Rain?]:[Min SPL Threshold?]]))),1,0)</f>
        <v>0</v>
      </c>
      <c r="DN177" s="16">
        <f>RecData[[#This Row],[dBA Sum]]</f>
        <v>38.631984057214545</v>
      </c>
      <c r="DO177" s="16">
        <f>RecData[[#This Row],[LAF90.0]]</f>
        <v>41.2</v>
      </c>
      <c r="DP177" s="55">
        <f>IF(AND(RecData[[#This Row],[Useable TON Data?]],RecData[[#This Row],[Turbines ON/OFF]]="ON"),RecData[[#This Row],[dBA Sum]],"")</f>
        <v>38.631984057214545</v>
      </c>
      <c r="DQ177" s="55" t="str">
        <f>IF(AND(RecData[[#This Row],[Useable Background Data?]],RecData[[#This Row],[Turbines ON/OFF]]="OFF"),RecData[[#This Row],[dBA Sum]],"")</f>
        <v/>
      </c>
      <c r="DR177" s="3">
        <f>IF(OR(RecData[[#This Row],[Useable TON Data?]],RecData[[#This Row],[Useable Background Data?]]),ROUND(RecData[[#This Row],[WSpd_Avg '[m/s']]],0),"")</f>
        <v>1</v>
      </c>
      <c r="DS177" s="85">
        <f>(0.00002)^2*(10^(RecData[[#This Row],[Overall (dBA)]]/10))</f>
        <v>2.9191633447003814E-6</v>
      </c>
    </row>
    <row r="178" spans="1:123" ht="15" x14ac:dyDescent="0.25">
      <c r="A178" s="3" t="s">
        <v>249</v>
      </c>
      <c r="B178" s="12">
        <v>43252.980555555558</v>
      </c>
      <c r="C178" s="3"/>
      <c r="D178" s="3">
        <v>42.7</v>
      </c>
      <c r="E178" s="3"/>
      <c r="F178" s="3"/>
      <c r="G178" s="3"/>
      <c r="H178" s="3"/>
      <c r="I178" s="3"/>
      <c r="J178" s="3"/>
      <c r="K178" s="3">
        <v>41.2</v>
      </c>
      <c r="L178" s="3"/>
      <c r="M178" s="3"/>
      <c r="N178" s="3">
        <v>156.80000000000001</v>
      </c>
      <c r="O178" s="3"/>
      <c r="P178" s="3"/>
      <c r="Q178" s="3">
        <v>1.1599999999999999</v>
      </c>
      <c r="R178" s="3">
        <v>0.3</v>
      </c>
      <c r="S178" s="3">
        <v>2.2999999999999998</v>
      </c>
      <c r="T178" s="3">
        <v>9.4</v>
      </c>
      <c r="U178" s="3">
        <v>58.8</v>
      </c>
      <c r="V178" s="3">
        <v>975.5</v>
      </c>
      <c r="W178" s="3">
        <v>0</v>
      </c>
      <c r="X178" s="3">
        <v>51.7</v>
      </c>
      <c r="Y178" s="3">
        <v>50.5</v>
      </c>
      <c r="Z178" s="3">
        <v>49.2</v>
      </c>
      <c r="AA178" s="3">
        <v>46</v>
      </c>
      <c r="AB178" s="3">
        <v>41.2</v>
      </c>
      <c r="AC178" s="3">
        <v>40.1</v>
      </c>
      <c r="AD178" s="3">
        <v>42.6</v>
      </c>
      <c r="AE178" s="3">
        <v>44</v>
      </c>
      <c r="AF178" s="3">
        <v>46.6</v>
      </c>
      <c r="AG178" s="3">
        <v>39.299999999999997</v>
      </c>
      <c r="AH178" s="3">
        <v>38</v>
      </c>
      <c r="AI178" s="3">
        <v>36.9</v>
      </c>
      <c r="AJ178" s="3">
        <v>36</v>
      </c>
      <c r="AK178" s="3">
        <v>34.5</v>
      </c>
      <c r="AL178" s="3">
        <v>33.1</v>
      </c>
      <c r="AM178" s="3">
        <v>33.6</v>
      </c>
      <c r="AN178" s="3">
        <v>32.5</v>
      </c>
      <c r="AO178" s="3">
        <v>29.4</v>
      </c>
      <c r="AP178" s="3">
        <v>27.3</v>
      </c>
      <c r="AQ178" s="3">
        <v>24.9</v>
      </c>
      <c r="AR178" s="3">
        <v>21.9</v>
      </c>
      <c r="AS178" s="3">
        <v>33.299999999999997</v>
      </c>
      <c r="AT178" s="3">
        <v>35.4</v>
      </c>
      <c r="AU178" s="3">
        <v>15.2</v>
      </c>
      <c r="AV178" s="3">
        <v>13.4</v>
      </c>
      <c r="AW178" s="3">
        <v>11.9</v>
      </c>
      <c r="AX178" s="3">
        <v>10</v>
      </c>
      <c r="AY178" s="3">
        <v>9.6999999999999993</v>
      </c>
      <c r="AZ178" s="3">
        <v>0</v>
      </c>
      <c r="BA178" s="3">
        <v>0</v>
      </c>
      <c r="BB178" s="3">
        <v>0</v>
      </c>
      <c r="BC178" s="3">
        <v>42.666341371810965</v>
      </c>
      <c r="BD178" s="3">
        <v>51.73365862818904</v>
      </c>
      <c r="BE178" s="3">
        <v>50.533658628189038</v>
      </c>
      <c r="BF178" s="3">
        <v>47.993658628189031</v>
      </c>
      <c r="BG178" s="3">
        <v>45.120325294855697</v>
      </c>
      <c r="BH178" s="3">
        <v>40.4603252948557</v>
      </c>
      <c r="BI178" s="3">
        <v>39.773658628189033</v>
      </c>
      <c r="BJ178" s="3">
        <v>43.066991961522369</v>
      </c>
      <c r="BK178" s="3">
        <v>44.340325294855695</v>
      </c>
      <c r="BL178" s="3">
        <v>46.513658628189042</v>
      </c>
      <c r="BM178" s="3">
        <v>39.34699196152237</v>
      </c>
      <c r="BN178" s="3">
        <v>38.330325294855704</v>
      </c>
      <c r="BO178" s="3">
        <v>36.59699196152237</v>
      </c>
      <c r="BP178" s="3">
        <v>35.413658628189047</v>
      </c>
      <c r="BQ178" s="3">
        <v>34.330325294855704</v>
      </c>
      <c r="BR178" s="3">
        <v>33.256991961522381</v>
      </c>
      <c r="BS178" s="3">
        <v>33.560325294855708</v>
      </c>
      <c r="BT178" s="3">
        <v>32.656991961522372</v>
      </c>
      <c r="BU178" s="3">
        <v>29.523658628189033</v>
      </c>
      <c r="BV178" s="3">
        <v>27.140325294855707</v>
      </c>
      <c r="BW178" s="3">
        <v>25.273658628189033</v>
      </c>
      <c r="BX178" s="3">
        <v>22.193658628189048</v>
      </c>
      <c r="BY178" s="3">
        <v>33.413658628189033</v>
      </c>
      <c r="BZ178" s="3">
        <v>35.643658628189037</v>
      </c>
      <c r="CA178" s="3">
        <v>15.543658628189029</v>
      </c>
      <c r="CB178" s="3">
        <v>13.180325294855699</v>
      </c>
      <c r="CC178" s="3">
        <v>11.893658628189037</v>
      </c>
      <c r="CD178" s="3">
        <v>9.3003252948557105</v>
      </c>
      <c r="CE178" s="3">
        <v>9.1936586281890342</v>
      </c>
      <c r="CF178" s="3">
        <v>-0.89300803847763177</v>
      </c>
      <c r="CG178" s="3">
        <v>-1.4263413718109632</v>
      </c>
      <c r="CH178" s="3">
        <v>-2.5030080384776312</v>
      </c>
      <c r="CI178" s="13">
        <f>[1]!dbasum(RecData[[#This Row],[20]:[2000]],RecData[[#Headers],[20]:[2000]])</f>
        <v>40.391697065462125</v>
      </c>
      <c r="CJ178" s="14">
        <v>941</v>
      </c>
      <c r="CK178" s="15" t="s">
        <v>249</v>
      </c>
      <c r="CL178" s="15">
        <f>RecData[[#This Row],[Start Time]]</f>
        <v>43252.980555555558</v>
      </c>
      <c r="CM178" s="16">
        <f>RecData[[#This Row],[Wind Speed avg]]</f>
        <v>1.1599999999999999</v>
      </c>
      <c r="CN178" s="16">
        <f>RecData[[#This Row],[Wind Dir. avg]]</f>
        <v>156.80000000000001</v>
      </c>
      <c r="CO178" s="16">
        <f>RecData[[#This Row],[Amb. Humidity]]</f>
        <v>58.8</v>
      </c>
      <c r="CP178" s="16">
        <f>RecData[[#This Row],[Amb. Temperature]]</f>
        <v>9.4</v>
      </c>
      <c r="CQ178" s="17">
        <f>RecData[[#This Row],[Amb. Rain Gauge]]</f>
        <v>0</v>
      </c>
      <c r="CR178" s="4" t="s">
        <v>1</v>
      </c>
      <c r="CS178" s="4" t="s">
        <v>49</v>
      </c>
      <c r="CT178" s="70">
        <v>1617.0981449999999</v>
      </c>
      <c r="CU178" s="70">
        <v>33.000282287597599</v>
      </c>
      <c r="CV178" s="70">
        <v>12.244740486145</v>
      </c>
      <c r="CW178" s="70">
        <v>15.2118616104125</v>
      </c>
      <c r="CX178" s="97"/>
      <c r="CY178" s="99"/>
      <c r="CZ178" s="2" t="b">
        <f>IF($DP$1="YES",IF(RecData[[#This Row],[Power (kW)]]&gt;=$CR$3, TRUE,FALSE),TRUE)</f>
        <v>1</v>
      </c>
      <c r="DA178" s="16">
        <f>MIN(MOD(180-ABS(ABS($DA$1-RecData[Yaw Angle (°)])-180),360),MOD(180-ABS(ABS($DB$1-RecData[Yaw Angle (°)])-180),360))</f>
        <v>25.470355509910064</v>
      </c>
      <c r="DB178" s="2" t="str">
        <f>IF($DP$2="None","None",IF(RecData[[#This Row],[Relative Wind Direction]]&lt;=45,"DW",IF(RecData[[#This Row],[Relative Wind Direction]]&lt;=135,"CW","UW")))</f>
        <v>DW</v>
      </c>
      <c r="DC178" s="61" t="e">
        <f>IF($CL178-#REF!&gt;1/24,#REF!,IF(SUM($CQ176:$CQ178)&gt;$DS$1,$DS$5,#REF!-1))</f>
        <v>#REF!</v>
      </c>
      <c r="DD178" s="61" t="e">
        <f>IF(#REF!-$CL178&gt;1/24,#REF!,IF(SUM($CQ176:$CQ178)&gt;$DS$1,$DS$6,#REF!-1))</f>
        <v>#REF!</v>
      </c>
      <c r="DE178" s="18" t="b">
        <v>0</v>
      </c>
      <c r="DF178" s="2" t="b">
        <f>IF(OR(RecData[[#This Row],[WSpd_Avg '[m/s']]]-RecData[[#This Row],[Wind Speed min]]&gt;=$DF$3,RecData[[#This Row],[Wind Speed max]]-RecData[[#This Row],[WSpd_Avg '[m/s']]]&gt;=$DF$2),TRUE,FALSE)</f>
        <v>0</v>
      </c>
      <c r="DG178" s="2" t="b">
        <f>RecData[[#This Row],[Temperature '[°C']]]&lt;=-20</f>
        <v>0</v>
      </c>
      <c r="DH178" s="18" t="b">
        <f>NOT(OR(MOD(RecData[[#This Row],[TIMESTAMP]],1)&gt;0.91632,MOD(RecData[[#This Row],[TIMESTAMP]],1)&lt;0.208681))</f>
        <v>0</v>
      </c>
      <c r="DI178" s="18" t="b">
        <f>RecData[[#This Row],[Overall (dBA)]]-RecData[[#This Row],[L90]]&gt;=$DS$4</f>
        <v>0</v>
      </c>
      <c r="DJ178" s="18" t="b">
        <f>RecData[[#This Row],[Overall (dBA)]]&gt;$DS$2</f>
        <v>0</v>
      </c>
      <c r="DK178" s="18" t="b">
        <f>RecData[[#This Row],[Overall (dBA)]]&lt;$DS$3</f>
        <v>0</v>
      </c>
      <c r="DL1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8" s="2">
        <f>IF(AND(RecData[[#This Row],[Turbines ON/OFF]] = "OFF", NOT(OR(RecData[[#This Row],[Junk?]]="YES",RecData[[#This Row],[Gust?]],RecData[[#This Row],[Rain?]:[Min SPL Threshold?]]))),1,0)</f>
        <v>0</v>
      </c>
      <c r="DN178" s="16">
        <f>RecData[[#This Row],[dBA Sum]]</f>
        <v>40.391697065462125</v>
      </c>
      <c r="DO178" s="16">
        <f>RecData[[#This Row],[LAF90.0]]</f>
        <v>41.2</v>
      </c>
      <c r="DP178" s="55">
        <f>IF(AND(RecData[[#This Row],[Useable TON Data?]],RecData[[#This Row],[Turbines ON/OFF]]="ON"),RecData[[#This Row],[dBA Sum]],"")</f>
        <v>40.391697065462125</v>
      </c>
      <c r="DQ178" s="55" t="str">
        <f>IF(AND(RecData[[#This Row],[Useable Background Data?]],RecData[[#This Row],[Turbines ON/OFF]]="OFF"),RecData[[#This Row],[dBA Sum]],"")</f>
        <v/>
      </c>
      <c r="DR178" s="3">
        <f>IF(OR(RecData[[#This Row],[Useable TON Data?]],RecData[[#This Row],[Useable Background Data?]]),ROUND(RecData[[#This Row],[WSpd_Avg '[m/s']]],0),"")</f>
        <v>1</v>
      </c>
      <c r="DS178" s="85">
        <f>(0.00002)^2*(10^(RecData[[#This Row],[Overall (dBA)]]/10))</f>
        <v>4.3775357132452485E-6</v>
      </c>
    </row>
    <row r="179" spans="1:123" ht="15" x14ac:dyDescent="0.25">
      <c r="A179" s="3" t="s">
        <v>249</v>
      </c>
      <c r="B179" s="12">
        <v>43252.982638888891</v>
      </c>
      <c r="C179" s="3"/>
      <c r="D179" s="3">
        <v>43.8</v>
      </c>
      <c r="E179" s="3"/>
      <c r="F179" s="3"/>
      <c r="G179" s="3"/>
      <c r="H179" s="3"/>
      <c r="I179" s="3"/>
      <c r="J179" s="3"/>
      <c r="K179" s="3">
        <v>42.1</v>
      </c>
      <c r="L179" s="3"/>
      <c r="M179" s="3"/>
      <c r="N179" s="3">
        <v>172.8</v>
      </c>
      <c r="O179" s="3"/>
      <c r="P179" s="3"/>
      <c r="Q179" s="3">
        <v>1.6</v>
      </c>
      <c r="R179" s="3">
        <v>0.4</v>
      </c>
      <c r="S179" s="3">
        <v>2.8</v>
      </c>
      <c r="T179" s="3">
        <v>9.4</v>
      </c>
      <c r="U179" s="3">
        <v>59.5</v>
      </c>
      <c r="V179" s="3">
        <v>975.5</v>
      </c>
      <c r="W179" s="3">
        <v>0</v>
      </c>
      <c r="X179" s="3">
        <v>50.3</v>
      </c>
      <c r="Y179" s="3">
        <v>50.4</v>
      </c>
      <c r="Z179" s="3">
        <v>50.3</v>
      </c>
      <c r="AA179" s="3">
        <v>46</v>
      </c>
      <c r="AB179" s="3">
        <v>41</v>
      </c>
      <c r="AC179" s="3">
        <v>39.9</v>
      </c>
      <c r="AD179" s="3">
        <v>41.3</v>
      </c>
      <c r="AE179" s="3">
        <v>42.6</v>
      </c>
      <c r="AF179" s="3">
        <v>45.9</v>
      </c>
      <c r="AG179" s="3">
        <v>41.3</v>
      </c>
      <c r="AH179" s="3">
        <v>37.4</v>
      </c>
      <c r="AI179" s="3">
        <v>37.6</v>
      </c>
      <c r="AJ179" s="3">
        <v>36.299999999999997</v>
      </c>
      <c r="AK179" s="3">
        <v>35.4</v>
      </c>
      <c r="AL179" s="3">
        <v>34.1</v>
      </c>
      <c r="AM179" s="3">
        <v>34.200000000000003</v>
      </c>
      <c r="AN179" s="3">
        <v>33.200000000000003</v>
      </c>
      <c r="AO179" s="3">
        <v>30.9</v>
      </c>
      <c r="AP179" s="3">
        <v>29.2</v>
      </c>
      <c r="AQ179" s="3">
        <v>27.4</v>
      </c>
      <c r="AR179" s="3">
        <v>25.5</v>
      </c>
      <c r="AS179" s="3">
        <v>35.700000000000003</v>
      </c>
      <c r="AT179" s="3">
        <v>36.200000000000003</v>
      </c>
      <c r="AU179" s="3">
        <v>19.100000000000001</v>
      </c>
      <c r="AV179" s="3">
        <v>16.8</v>
      </c>
      <c r="AW179" s="3">
        <v>15</v>
      </c>
      <c r="AX179" s="3">
        <v>11.6</v>
      </c>
      <c r="AY179" s="3">
        <v>10.6</v>
      </c>
      <c r="AZ179" s="3">
        <v>0</v>
      </c>
      <c r="BA179" s="3">
        <v>0</v>
      </c>
      <c r="BB179" s="3">
        <v>0</v>
      </c>
      <c r="BC179" s="3">
        <v>43.783763890508894</v>
      </c>
      <c r="BD179" s="3">
        <v>50.316236109491101</v>
      </c>
      <c r="BE179" s="3">
        <v>50.416236109491095</v>
      </c>
      <c r="BF179" s="3">
        <v>49.076236109491091</v>
      </c>
      <c r="BG179" s="3">
        <v>45.102902776157762</v>
      </c>
      <c r="BH179" s="3">
        <v>40.242902776157777</v>
      </c>
      <c r="BI179" s="3">
        <v>39.55623610949111</v>
      </c>
      <c r="BJ179" s="3">
        <v>41.749569442824438</v>
      </c>
      <c r="BK179" s="3">
        <v>42.92290277615777</v>
      </c>
      <c r="BL179" s="3">
        <v>45.796236109491105</v>
      </c>
      <c r="BM179" s="3">
        <v>41.329569442824436</v>
      </c>
      <c r="BN179" s="3">
        <v>37.712902776157776</v>
      </c>
      <c r="BO179" s="3">
        <v>37.279569442824439</v>
      </c>
      <c r="BP179" s="3">
        <v>35.696236109491096</v>
      </c>
      <c r="BQ179" s="3">
        <v>35.212902776157762</v>
      </c>
      <c r="BR179" s="3">
        <v>34.239569442824447</v>
      </c>
      <c r="BS179" s="3">
        <v>34.142902776157783</v>
      </c>
      <c r="BT179" s="3">
        <v>33.339569442824441</v>
      </c>
      <c r="BU179" s="3">
        <v>31.006236109491098</v>
      </c>
      <c r="BV179" s="3">
        <v>29.022902776157778</v>
      </c>
      <c r="BW179" s="3">
        <v>27.756236109491098</v>
      </c>
      <c r="BX179" s="3">
        <v>25.776236109491109</v>
      </c>
      <c r="BY179" s="3">
        <v>35.796236109491105</v>
      </c>
      <c r="BZ179" s="3">
        <v>36.426236109491114</v>
      </c>
      <c r="CA179" s="3">
        <v>19.4262361094911</v>
      </c>
      <c r="CB179" s="3">
        <v>16.56290277615777</v>
      </c>
      <c r="CC179" s="3">
        <v>14.976236109491104</v>
      </c>
      <c r="CD179" s="3">
        <v>10.882902776157778</v>
      </c>
      <c r="CE179" s="3">
        <v>10.076236109491106</v>
      </c>
      <c r="CF179" s="3">
        <v>-0.91043055717556598</v>
      </c>
      <c r="CG179" s="3">
        <v>-1.4437638905088974</v>
      </c>
      <c r="CH179" s="3">
        <v>-2.5204305571755654</v>
      </c>
      <c r="CI179" s="13">
        <f>[1]!dbasum(RecData[[#This Row],[20]:[2000]],RecData[[#Headers],[20]:[2000]])</f>
        <v>41.203635602002684</v>
      </c>
      <c r="CJ179" s="14">
        <v>944</v>
      </c>
      <c r="CK179" s="15" t="s">
        <v>249</v>
      </c>
      <c r="CL179" s="15">
        <f>RecData[[#This Row],[Start Time]]</f>
        <v>43252.982638888891</v>
      </c>
      <c r="CM179" s="16">
        <f>RecData[[#This Row],[Wind Speed avg]]</f>
        <v>1.6</v>
      </c>
      <c r="CN179" s="16">
        <f>RecData[[#This Row],[Wind Dir. avg]]</f>
        <v>172.8</v>
      </c>
      <c r="CO179" s="16">
        <f>RecData[[#This Row],[Amb. Humidity]]</f>
        <v>59.5</v>
      </c>
      <c r="CP179" s="16">
        <f>RecData[[#This Row],[Amb. Temperature]]</f>
        <v>9.4</v>
      </c>
      <c r="CQ179" s="17">
        <f>RecData[[#This Row],[Amb. Rain Gauge]]</f>
        <v>0</v>
      </c>
      <c r="CR179" s="4" t="s">
        <v>1</v>
      </c>
      <c r="CS179" s="4" t="s">
        <v>49</v>
      </c>
      <c r="CT179" s="70">
        <v>1617.0981449999999</v>
      </c>
      <c r="CU179" s="70">
        <v>33.000282287597599</v>
      </c>
      <c r="CV179" s="70">
        <v>12.244740486145</v>
      </c>
      <c r="CW179" s="70">
        <v>15.2118616104125</v>
      </c>
      <c r="CX179" s="97"/>
      <c r="CY179" s="99"/>
      <c r="CZ179" s="2" t="b">
        <f>IF($DP$1="YES",IF(RecData[[#This Row],[Power (kW)]]&gt;=$CR$3, TRUE,FALSE),TRUE)</f>
        <v>1</v>
      </c>
      <c r="DA179" s="16">
        <f>MIN(MOD(180-ABS(ABS($DA$1-RecData[Yaw Angle (°)])-180),360),MOD(180-ABS(ABS($DB$1-RecData[Yaw Angle (°)])-180),360))</f>
        <v>25.470355509910064</v>
      </c>
      <c r="DB179" s="2" t="str">
        <f>IF($DP$2="None","None",IF(RecData[[#This Row],[Relative Wind Direction]]&lt;=45,"DW",IF(RecData[[#This Row],[Relative Wind Direction]]&lt;=135,"CW","UW")))</f>
        <v>DW</v>
      </c>
      <c r="DC179" s="61" t="e">
        <f>IF($CL179-#REF!&gt;1/24,#REF!,IF(SUM($CQ178:$CQ179)&gt;$DS$1,$DS$5,#REF!-1))</f>
        <v>#REF!</v>
      </c>
      <c r="DD179" s="61" t="e">
        <f>IF(#REF!-$CL179&gt;1/24,#REF!,IF(SUM($CQ178:$CQ179)&gt;$DS$1,$DS$6,#REF!-1))</f>
        <v>#REF!</v>
      </c>
      <c r="DE179" s="18" t="b">
        <v>0</v>
      </c>
      <c r="DF179" s="2" t="b">
        <f>IF(OR(RecData[[#This Row],[WSpd_Avg '[m/s']]]-RecData[[#This Row],[Wind Speed min]]&gt;=$DF$3,RecData[[#This Row],[Wind Speed max]]-RecData[[#This Row],[WSpd_Avg '[m/s']]]&gt;=$DF$2),TRUE,FALSE)</f>
        <v>0</v>
      </c>
      <c r="DG179" s="2" t="b">
        <f>RecData[[#This Row],[Temperature '[°C']]]&lt;=-20</f>
        <v>0</v>
      </c>
      <c r="DH179" s="18" t="b">
        <f>NOT(OR(MOD(RecData[[#This Row],[TIMESTAMP]],1)&gt;0.91632,MOD(RecData[[#This Row],[TIMESTAMP]],1)&lt;0.208681))</f>
        <v>0</v>
      </c>
      <c r="DI179" s="18" t="b">
        <f>RecData[[#This Row],[Overall (dBA)]]-RecData[[#This Row],[L90]]&gt;=$DS$4</f>
        <v>0</v>
      </c>
      <c r="DJ179" s="18" t="b">
        <f>RecData[[#This Row],[Overall (dBA)]]&gt;$DS$2</f>
        <v>0</v>
      </c>
      <c r="DK179" s="18" t="b">
        <f>RecData[[#This Row],[Overall (dBA)]]&lt;$DS$3</f>
        <v>0</v>
      </c>
      <c r="DL1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79" s="2">
        <f>IF(AND(RecData[[#This Row],[Turbines ON/OFF]] = "OFF", NOT(OR(RecData[[#This Row],[Junk?]]="YES",RecData[[#This Row],[Gust?]],RecData[[#This Row],[Rain?]:[Min SPL Threshold?]]))),1,0)</f>
        <v>0</v>
      </c>
      <c r="DN179" s="16">
        <f>RecData[[#This Row],[dBA Sum]]</f>
        <v>41.203635602002684</v>
      </c>
      <c r="DO179" s="16">
        <f>RecData[[#This Row],[LAF90.0]]</f>
        <v>42.1</v>
      </c>
      <c r="DP179" s="55">
        <f>IF(AND(RecData[[#This Row],[Useable TON Data?]],RecData[[#This Row],[Turbines ON/OFF]]="ON"),RecData[[#This Row],[dBA Sum]],"")</f>
        <v>41.203635602002684</v>
      </c>
      <c r="DQ179" s="55" t="str">
        <f>IF(AND(RecData[[#This Row],[Useable Background Data?]],RecData[[#This Row],[Turbines ON/OFF]]="OFF"),RecData[[#This Row],[dBA Sum]],"")</f>
        <v/>
      </c>
      <c r="DR179" s="3">
        <f>IF(OR(RecData[[#This Row],[Useable TON Data?]],RecData[[#This Row],[Useable Background Data?]]),ROUND(RecData[[#This Row],[WSpd_Avg '[m/s']]],0),"")</f>
        <v>2</v>
      </c>
      <c r="DS179" s="85">
        <f>(0.00002)^2*(10^(RecData[[#This Row],[Overall (dBA)]]/10))</f>
        <v>5.2774430024443039E-6</v>
      </c>
    </row>
    <row r="180" spans="1:123" ht="15" x14ac:dyDescent="0.25">
      <c r="A180" s="3" t="s">
        <v>249</v>
      </c>
      <c r="B180" s="12">
        <v>43252.984722222223</v>
      </c>
      <c r="C180" s="3"/>
      <c r="D180" s="3">
        <v>43.1</v>
      </c>
      <c r="E180" s="3"/>
      <c r="F180" s="3"/>
      <c r="G180" s="3"/>
      <c r="H180" s="3"/>
      <c r="I180" s="3"/>
      <c r="J180" s="3"/>
      <c r="K180" s="3">
        <v>41.4</v>
      </c>
      <c r="L180" s="3"/>
      <c r="M180" s="3"/>
      <c r="N180" s="3">
        <v>173.3</v>
      </c>
      <c r="O180" s="3"/>
      <c r="P180" s="3"/>
      <c r="Q180" s="3">
        <v>0.79</v>
      </c>
      <c r="R180" s="3">
        <v>0.1</v>
      </c>
      <c r="S180" s="3">
        <v>2.1</v>
      </c>
      <c r="T180" s="3">
        <v>9.4</v>
      </c>
      <c r="U180" s="3">
        <v>59.3</v>
      </c>
      <c r="V180" s="3">
        <v>975.5</v>
      </c>
      <c r="W180" s="3">
        <v>0</v>
      </c>
      <c r="X180" s="3">
        <v>50.6</v>
      </c>
      <c r="Y180" s="3">
        <v>50.2</v>
      </c>
      <c r="Z180" s="3">
        <v>49.7</v>
      </c>
      <c r="AA180" s="3">
        <v>45.8</v>
      </c>
      <c r="AB180" s="3">
        <v>40.700000000000003</v>
      </c>
      <c r="AC180" s="3">
        <v>39.9</v>
      </c>
      <c r="AD180" s="3">
        <v>42</v>
      </c>
      <c r="AE180" s="3">
        <v>42.4</v>
      </c>
      <c r="AF180" s="3">
        <v>46</v>
      </c>
      <c r="AG180" s="3">
        <v>40.200000000000003</v>
      </c>
      <c r="AH180" s="3">
        <v>36.9</v>
      </c>
      <c r="AI180" s="3">
        <v>37</v>
      </c>
      <c r="AJ180" s="3">
        <v>36.1</v>
      </c>
      <c r="AK180" s="3">
        <v>34.6</v>
      </c>
      <c r="AL180" s="3">
        <v>33.4</v>
      </c>
      <c r="AM180" s="3">
        <v>33.5</v>
      </c>
      <c r="AN180" s="3">
        <v>32.6</v>
      </c>
      <c r="AO180" s="3">
        <v>30.4</v>
      </c>
      <c r="AP180" s="3">
        <v>28.8</v>
      </c>
      <c r="AQ180" s="3">
        <v>27.3</v>
      </c>
      <c r="AR180" s="3">
        <v>25.9</v>
      </c>
      <c r="AS180" s="3">
        <v>34.200000000000003</v>
      </c>
      <c r="AT180" s="3">
        <v>35.5</v>
      </c>
      <c r="AU180" s="3">
        <v>20.9</v>
      </c>
      <c r="AV180" s="3">
        <v>18.899999999999999</v>
      </c>
      <c r="AW180" s="3">
        <v>17.5</v>
      </c>
      <c r="AX180" s="3">
        <v>12.3</v>
      </c>
      <c r="AY180" s="3">
        <v>10.6</v>
      </c>
      <c r="AZ180" s="3">
        <v>0</v>
      </c>
      <c r="BA180" s="3">
        <v>0</v>
      </c>
      <c r="BB180" s="3">
        <v>0</v>
      </c>
      <c r="BC180" s="3">
        <v>43.094025211077735</v>
      </c>
      <c r="BD180" s="3">
        <v>50.605974788922268</v>
      </c>
      <c r="BE180" s="3">
        <v>50.205974788922276</v>
      </c>
      <c r="BF180" s="3">
        <v>48.465974788922267</v>
      </c>
      <c r="BG180" s="3">
        <v>44.892641455588929</v>
      </c>
      <c r="BH180" s="3">
        <v>39.932641455588936</v>
      </c>
      <c r="BI180" s="3">
        <v>39.545974788922265</v>
      </c>
      <c r="BJ180" s="3">
        <v>42.439308122255596</v>
      </c>
      <c r="BK180" s="3">
        <v>42.712641455588937</v>
      </c>
      <c r="BL180" s="3">
        <v>45.885974788922269</v>
      </c>
      <c r="BM180" s="3">
        <v>40.219308122255597</v>
      </c>
      <c r="BN180" s="3">
        <v>37.202641455588932</v>
      </c>
      <c r="BO180" s="3">
        <v>36.6693081222556</v>
      </c>
      <c r="BP180" s="3">
        <v>35.485974788922277</v>
      </c>
      <c r="BQ180" s="3">
        <v>34.402641455588935</v>
      </c>
      <c r="BR180" s="3">
        <v>33.5293081222556</v>
      </c>
      <c r="BS180" s="3">
        <v>33.432641455588936</v>
      </c>
      <c r="BT180" s="3">
        <v>32.729308122255603</v>
      </c>
      <c r="BU180" s="3">
        <v>30.495974788922268</v>
      </c>
      <c r="BV180" s="3">
        <v>28.612641455588943</v>
      </c>
      <c r="BW180" s="3">
        <v>27.645974788922274</v>
      </c>
      <c r="BX180" s="3">
        <v>26.16597478892227</v>
      </c>
      <c r="BY180" s="3">
        <v>34.28597478892226</v>
      </c>
      <c r="BZ180" s="3">
        <v>35.715974788922267</v>
      </c>
      <c r="CA180" s="3">
        <v>21.215974788922253</v>
      </c>
      <c r="CB180" s="3">
        <v>18.652641455588935</v>
      </c>
      <c r="CC180" s="3">
        <v>17.465974788922267</v>
      </c>
      <c r="CD180" s="3">
        <v>11.572641455588936</v>
      </c>
      <c r="CE180" s="3">
        <v>10.065974788922261</v>
      </c>
      <c r="CF180" s="3">
        <v>-0.92069187774440309</v>
      </c>
      <c r="CG180" s="3">
        <v>-1.4540252110777345</v>
      </c>
      <c r="CH180" s="3">
        <v>-2.5306918777444025</v>
      </c>
      <c r="CI180" s="13">
        <f>[1]!dbasum(RecData[[#This Row],[20]:[2000]],RecData[[#Headers],[20]:[2000]])</f>
        <v>40.727358388077434</v>
      </c>
      <c r="CJ180" s="14">
        <v>947</v>
      </c>
      <c r="CK180" s="15" t="s">
        <v>249</v>
      </c>
      <c r="CL180" s="15">
        <f>RecData[[#This Row],[Start Time]]</f>
        <v>43252.984722222223</v>
      </c>
      <c r="CM180" s="16">
        <f>RecData[[#This Row],[Wind Speed avg]]</f>
        <v>0.79</v>
      </c>
      <c r="CN180" s="16">
        <f>RecData[[#This Row],[Wind Dir. avg]]</f>
        <v>173.3</v>
      </c>
      <c r="CO180" s="16">
        <f>RecData[[#This Row],[Amb. Humidity]]</f>
        <v>59.3</v>
      </c>
      <c r="CP180" s="16">
        <f>RecData[[#This Row],[Amb. Temperature]]</f>
        <v>9.4</v>
      </c>
      <c r="CQ180" s="17">
        <f>RecData[[#This Row],[Amb. Rain Gauge]]</f>
        <v>0</v>
      </c>
      <c r="CR180" s="4" t="s">
        <v>1</v>
      </c>
      <c r="CS180" s="4" t="s">
        <v>49</v>
      </c>
      <c r="CT180" s="70">
        <v>1617.0981449999999</v>
      </c>
      <c r="CU180" s="70">
        <v>33.000282287597599</v>
      </c>
      <c r="CV180" s="70">
        <v>12.244740486145</v>
      </c>
      <c r="CW180" s="70">
        <v>15.2118616104125</v>
      </c>
      <c r="CX180" s="97"/>
      <c r="CY180" s="99"/>
      <c r="CZ180" s="2" t="b">
        <f>IF($DP$1="YES",IF(RecData[[#This Row],[Power (kW)]]&gt;=$CR$3, TRUE,FALSE),TRUE)</f>
        <v>1</v>
      </c>
      <c r="DA180" s="16">
        <f>MIN(MOD(180-ABS(ABS($DA$1-RecData[Yaw Angle (°)])-180),360),MOD(180-ABS(ABS($DB$1-RecData[Yaw Angle (°)])-180),360))</f>
        <v>25.470355509910064</v>
      </c>
      <c r="DB180" s="2" t="str">
        <f>IF($DP$2="None","None",IF(RecData[[#This Row],[Relative Wind Direction]]&lt;=45,"DW",IF(RecData[[#This Row],[Relative Wind Direction]]&lt;=135,"CW","UW")))</f>
        <v>DW</v>
      </c>
      <c r="DC180" s="61" t="e">
        <f>IF($CL180-#REF!&gt;1/24,#REF!,IF(SUM($CQ180:$CQ180)&gt;$DS$1,$DS$5,#REF!-1))</f>
        <v>#REF!</v>
      </c>
      <c r="DD180" s="61" t="e">
        <f>IF(#REF!-$CL180&gt;1/24,#REF!,IF(SUM($CQ180:$CQ180)&gt;$DS$1,$DS$6,#REF!-1))</f>
        <v>#REF!</v>
      </c>
      <c r="DE180" s="18" t="b">
        <v>0</v>
      </c>
      <c r="DF180" s="2" t="b">
        <f>IF(OR(RecData[[#This Row],[WSpd_Avg '[m/s']]]-RecData[[#This Row],[Wind Speed min]]&gt;=$DF$3,RecData[[#This Row],[Wind Speed max]]-RecData[[#This Row],[WSpd_Avg '[m/s']]]&gt;=$DF$2),TRUE,FALSE)</f>
        <v>0</v>
      </c>
      <c r="DG180" s="2" t="b">
        <f>RecData[[#This Row],[Temperature '[°C']]]&lt;=-20</f>
        <v>0</v>
      </c>
      <c r="DH180" s="18" t="b">
        <f>NOT(OR(MOD(RecData[[#This Row],[TIMESTAMP]],1)&gt;0.91632,MOD(RecData[[#This Row],[TIMESTAMP]],1)&lt;0.208681))</f>
        <v>0</v>
      </c>
      <c r="DI180" s="18" t="b">
        <f>RecData[[#This Row],[Overall (dBA)]]-RecData[[#This Row],[L90]]&gt;=$DS$4</f>
        <v>0</v>
      </c>
      <c r="DJ180" s="18" t="b">
        <f>RecData[[#This Row],[Overall (dBA)]]&gt;$DS$2</f>
        <v>0</v>
      </c>
      <c r="DK180" s="18" t="b">
        <f>RecData[[#This Row],[Overall (dBA)]]&lt;$DS$3</f>
        <v>0</v>
      </c>
      <c r="DL1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0" s="2">
        <f>IF(AND(RecData[[#This Row],[Turbines ON/OFF]] = "OFF", NOT(OR(RecData[[#This Row],[Junk?]]="YES",RecData[[#This Row],[Gust?]],RecData[[#This Row],[Rain?]:[Min SPL Threshold?]]))),1,0)</f>
        <v>0</v>
      </c>
      <c r="DN180" s="16">
        <f>RecData[[#This Row],[dBA Sum]]</f>
        <v>40.727358388077434</v>
      </c>
      <c r="DO180" s="16">
        <f>RecData[[#This Row],[LAF90.0]]</f>
        <v>41.4</v>
      </c>
      <c r="DP180" s="55">
        <f>IF(AND(RecData[[#This Row],[Useable TON Data?]],RecData[[#This Row],[Turbines ON/OFF]]="ON"),RecData[[#This Row],[dBA Sum]],"")</f>
        <v>40.727358388077434</v>
      </c>
      <c r="DQ180" s="55" t="str">
        <f>IF(AND(RecData[[#This Row],[Useable Background Data?]],RecData[[#This Row],[Turbines ON/OFF]]="OFF"),RecData[[#This Row],[dBA Sum]],"")</f>
        <v/>
      </c>
      <c r="DR180" s="3">
        <f>IF(OR(RecData[[#This Row],[Useable TON Data?]],RecData[[#This Row],[Useable Background Data?]]),ROUND(RecData[[#This Row],[WSpd_Avg '[m/s']]],0),"")</f>
        <v>1</v>
      </c>
      <c r="DS180" s="85">
        <f>(0.00002)^2*(10^(RecData[[#This Row],[Overall (dBA)]]/10))</f>
        <v>4.7292887408570254E-6</v>
      </c>
    </row>
    <row r="181" spans="1:123" ht="15" x14ac:dyDescent="0.25">
      <c r="A181" s="3" t="s">
        <v>249</v>
      </c>
      <c r="B181" s="12">
        <v>43252.986805555556</v>
      </c>
      <c r="C181" s="3"/>
      <c r="D181" s="3">
        <v>42.7</v>
      </c>
      <c r="E181" s="3"/>
      <c r="F181" s="3"/>
      <c r="G181" s="3"/>
      <c r="H181" s="3"/>
      <c r="I181" s="3"/>
      <c r="J181" s="3"/>
      <c r="K181" s="3">
        <v>40.799999999999997</v>
      </c>
      <c r="L181" s="3"/>
      <c r="M181" s="3"/>
      <c r="N181" s="3">
        <v>190.8</v>
      </c>
      <c r="O181" s="3"/>
      <c r="P181" s="3"/>
      <c r="Q181" s="3">
        <v>0.54</v>
      </c>
      <c r="R181" s="3">
        <v>0.1</v>
      </c>
      <c r="S181" s="3">
        <v>1.5</v>
      </c>
      <c r="T181" s="3">
        <v>9.4</v>
      </c>
      <c r="U181" s="3">
        <v>58.7</v>
      </c>
      <c r="V181" s="3">
        <v>975.4</v>
      </c>
      <c r="W181" s="3">
        <v>0</v>
      </c>
      <c r="X181" s="3">
        <v>50.3</v>
      </c>
      <c r="Y181" s="3">
        <v>49.3</v>
      </c>
      <c r="Z181" s="3">
        <v>49.1</v>
      </c>
      <c r="AA181" s="3">
        <v>45.6</v>
      </c>
      <c r="AB181" s="3">
        <v>41.7</v>
      </c>
      <c r="AC181" s="3">
        <v>40.6</v>
      </c>
      <c r="AD181" s="3">
        <v>42.3</v>
      </c>
      <c r="AE181" s="3">
        <v>43.2</v>
      </c>
      <c r="AF181" s="3">
        <v>45</v>
      </c>
      <c r="AG181" s="3">
        <v>40.9</v>
      </c>
      <c r="AH181" s="3">
        <v>37.700000000000003</v>
      </c>
      <c r="AI181" s="3">
        <v>37.200000000000003</v>
      </c>
      <c r="AJ181" s="3">
        <v>36.4</v>
      </c>
      <c r="AK181" s="3">
        <v>35.1</v>
      </c>
      <c r="AL181" s="3">
        <v>33.799999999999997</v>
      </c>
      <c r="AM181" s="3">
        <v>34</v>
      </c>
      <c r="AN181" s="3">
        <v>33.200000000000003</v>
      </c>
      <c r="AO181" s="3">
        <v>30.9</v>
      </c>
      <c r="AP181" s="3">
        <v>29</v>
      </c>
      <c r="AQ181" s="3">
        <v>27.5</v>
      </c>
      <c r="AR181" s="3">
        <v>25.8</v>
      </c>
      <c r="AS181" s="3">
        <v>32.5</v>
      </c>
      <c r="AT181" s="3">
        <v>33.6</v>
      </c>
      <c r="AU181" s="3">
        <v>21.1</v>
      </c>
      <c r="AV181" s="3">
        <v>19.7</v>
      </c>
      <c r="AW181" s="3">
        <v>17.600000000000001</v>
      </c>
      <c r="AX181" s="3">
        <v>13.1</v>
      </c>
      <c r="AY181" s="3">
        <v>11.1</v>
      </c>
      <c r="AZ181" s="3">
        <v>0</v>
      </c>
      <c r="BA181" s="3">
        <v>0</v>
      </c>
      <c r="BB181" s="3">
        <v>0</v>
      </c>
      <c r="BC181" s="3">
        <v>42.684297064306584</v>
      </c>
      <c r="BD181" s="3">
        <v>50.315702935693416</v>
      </c>
      <c r="BE181" s="3">
        <v>49.315702935693416</v>
      </c>
      <c r="BF181" s="3">
        <v>47.875702935693418</v>
      </c>
      <c r="BG181" s="3">
        <v>44.702369602360086</v>
      </c>
      <c r="BH181" s="3">
        <v>40.942369602360081</v>
      </c>
      <c r="BI181" s="3">
        <v>40.255702935693414</v>
      </c>
      <c r="BJ181" s="3">
        <v>42.749036269026753</v>
      </c>
      <c r="BK181" s="3">
        <v>43.522369602360094</v>
      </c>
      <c r="BL181" s="3">
        <v>44.895702935693429</v>
      </c>
      <c r="BM181" s="3">
        <v>40.92903626902676</v>
      </c>
      <c r="BN181" s="3">
        <v>38.012369602360089</v>
      </c>
      <c r="BO181" s="3">
        <v>36.879036269026749</v>
      </c>
      <c r="BP181" s="3">
        <v>35.79570293569342</v>
      </c>
      <c r="BQ181" s="3">
        <v>34.91236960236008</v>
      </c>
      <c r="BR181" s="3">
        <v>33.939036269026751</v>
      </c>
      <c r="BS181" s="3">
        <v>33.942369602360081</v>
      </c>
      <c r="BT181" s="3">
        <v>33.339036269026757</v>
      </c>
      <c r="BU181" s="3">
        <v>31.005702935693414</v>
      </c>
      <c r="BV181" s="3">
        <v>28.822369602360091</v>
      </c>
      <c r="BW181" s="3">
        <v>27.855702935693422</v>
      </c>
      <c r="BX181" s="3">
        <v>26.075702935693421</v>
      </c>
      <c r="BY181" s="3">
        <v>32.595702935693417</v>
      </c>
      <c r="BZ181" s="3">
        <v>33.825702935693421</v>
      </c>
      <c r="CA181" s="3">
        <v>21.425702935693415</v>
      </c>
      <c r="CB181" s="3">
        <v>19.462369602360084</v>
      </c>
      <c r="CC181" s="3">
        <v>17.575702935693421</v>
      </c>
      <c r="CD181" s="3">
        <v>12.382369602360093</v>
      </c>
      <c r="CE181" s="3">
        <v>10.575702935693421</v>
      </c>
      <c r="CF181" s="3">
        <v>-0.91096373097325056</v>
      </c>
      <c r="CG181" s="3">
        <v>-1.444297064306582</v>
      </c>
      <c r="CH181" s="3">
        <v>-2.52096373097325</v>
      </c>
      <c r="CI181" s="13">
        <f>[1]!dbasum(RecData[[#This Row],[20]:[2000]],RecData[[#Headers],[20]:[2000]])</f>
        <v>41.069655032779842</v>
      </c>
      <c r="CJ181" s="14">
        <v>950</v>
      </c>
      <c r="CK181" s="15" t="s">
        <v>249</v>
      </c>
      <c r="CL181" s="15">
        <f>RecData[[#This Row],[Start Time]]</f>
        <v>43252.986805555556</v>
      </c>
      <c r="CM181" s="16">
        <f>RecData[[#This Row],[Wind Speed avg]]</f>
        <v>0.54</v>
      </c>
      <c r="CN181" s="16">
        <f>RecData[[#This Row],[Wind Dir. avg]]</f>
        <v>190.8</v>
      </c>
      <c r="CO181" s="16">
        <f>RecData[[#This Row],[Amb. Humidity]]</f>
        <v>58.7</v>
      </c>
      <c r="CP181" s="16">
        <f>RecData[[#This Row],[Amb. Temperature]]</f>
        <v>9.4</v>
      </c>
      <c r="CQ181" s="17">
        <f>RecData[[#This Row],[Amb. Rain Gauge]]</f>
        <v>0</v>
      </c>
      <c r="CR181" s="4" t="s">
        <v>1</v>
      </c>
      <c r="CS181" s="4" t="s">
        <v>49</v>
      </c>
      <c r="CT181" s="70">
        <v>1542.4819339999999</v>
      </c>
      <c r="CU181" s="70">
        <v>33.000282287597599</v>
      </c>
      <c r="CV181" s="70">
        <v>12.513683319091699</v>
      </c>
      <c r="CW181" s="70">
        <v>15.1255178451538</v>
      </c>
      <c r="CX181" s="97"/>
      <c r="CY181" s="99"/>
      <c r="CZ181" s="2" t="b">
        <f>IF($DP$1="YES",IF(RecData[[#This Row],[Power (kW)]]&gt;=$CR$3, TRUE,FALSE),TRUE)</f>
        <v>1</v>
      </c>
      <c r="DA181" s="16">
        <f>MIN(MOD(180-ABS(ABS($DA$1-RecData[Yaw Angle (°)])-180),360),MOD(180-ABS(ABS($DB$1-RecData[Yaw Angle (°)])-180),360))</f>
        <v>25.470355509910064</v>
      </c>
      <c r="DB181" s="2" t="str">
        <f>IF($DP$2="None","None",IF(RecData[[#This Row],[Relative Wind Direction]]&lt;=45,"DW",IF(RecData[[#This Row],[Relative Wind Direction]]&lt;=135,"CW","UW")))</f>
        <v>DW</v>
      </c>
      <c r="DC181" s="61" t="e">
        <f>IF($CL181-#REF!&gt;1/24,#REF!,IF(SUM($CQ180:$CQ181)&gt;$DS$1,$DS$5,DC182-1))</f>
        <v>#REF!</v>
      </c>
      <c r="DD181" s="61" t="e">
        <f>IF($CL182-$CL181&gt;1/24,#REF!,IF(SUM($CQ180:$CQ181)&gt;$DS$1,$DS$6,#REF!-1))</f>
        <v>#REF!</v>
      </c>
      <c r="DE181" s="18" t="b">
        <v>0</v>
      </c>
      <c r="DF181" s="2" t="b">
        <f>IF(OR(RecData[[#This Row],[WSpd_Avg '[m/s']]]-RecData[[#This Row],[Wind Speed min]]&gt;=$DF$3,RecData[[#This Row],[Wind Speed max]]-RecData[[#This Row],[WSpd_Avg '[m/s']]]&gt;=$DF$2),TRUE,FALSE)</f>
        <v>0</v>
      </c>
      <c r="DG181" s="2" t="b">
        <f>RecData[[#This Row],[Temperature '[°C']]]&lt;=-20</f>
        <v>0</v>
      </c>
      <c r="DH181" s="18" t="b">
        <f>NOT(OR(MOD(RecData[[#This Row],[TIMESTAMP]],1)&gt;0.91632,MOD(RecData[[#This Row],[TIMESTAMP]],1)&lt;0.208681))</f>
        <v>0</v>
      </c>
      <c r="DI181" s="18" t="b">
        <f>RecData[[#This Row],[Overall (dBA)]]-RecData[[#This Row],[L90]]&gt;=$DS$4</f>
        <v>0</v>
      </c>
      <c r="DJ181" s="18" t="b">
        <f>RecData[[#This Row],[Overall (dBA)]]&gt;$DS$2</f>
        <v>0</v>
      </c>
      <c r="DK181" s="18" t="b">
        <f>RecData[[#This Row],[Overall (dBA)]]&lt;$DS$3</f>
        <v>0</v>
      </c>
      <c r="DL1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1" s="2">
        <f>IF(AND(RecData[[#This Row],[Turbines ON/OFF]] = "OFF", NOT(OR(RecData[[#This Row],[Junk?]]="YES",RecData[[#This Row],[Gust?]],RecData[[#This Row],[Rain?]:[Min SPL Threshold?]]))),1,0)</f>
        <v>0</v>
      </c>
      <c r="DN181" s="16">
        <f>RecData[[#This Row],[dBA Sum]]</f>
        <v>41.069655032779842</v>
      </c>
      <c r="DO181" s="16">
        <f>RecData[[#This Row],[LAF90.0]]</f>
        <v>40.799999999999997</v>
      </c>
      <c r="DP181" s="55">
        <f>IF(AND(RecData[[#This Row],[Useable TON Data?]],RecData[[#This Row],[Turbines ON/OFF]]="ON"),RecData[[#This Row],[dBA Sum]],"")</f>
        <v>41.069655032779842</v>
      </c>
      <c r="DQ181" s="55" t="str">
        <f>IF(AND(RecData[[#This Row],[Useable Background Data?]],RecData[[#This Row],[Turbines ON/OFF]]="OFF"),RecData[[#This Row],[dBA Sum]],"")</f>
        <v/>
      </c>
      <c r="DR181" s="3">
        <f>IF(OR(RecData[[#This Row],[Useable TON Data?]],RecData[[#This Row],[Useable Background Data?]]),ROUND(RecData[[#This Row],[WSpd_Avg '[m/s']]],0),"")</f>
        <v>1</v>
      </c>
      <c r="DS181" s="85">
        <f>(0.00002)^2*(10^(RecData[[#This Row],[Overall (dBA)]]/10))</f>
        <v>5.1171187393640996E-6</v>
      </c>
    </row>
    <row r="182" spans="1:123" ht="15" x14ac:dyDescent="0.25">
      <c r="A182" s="3" t="s">
        <v>249</v>
      </c>
      <c r="B182" s="12">
        <v>43252.987500000003</v>
      </c>
      <c r="C182" s="3"/>
      <c r="D182" s="3">
        <v>43.1</v>
      </c>
      <c r="E182" s="3"/>
      <c r="F182" s="3"/>
      <c r="G182" s="3"/>
      <c r="H182" s="3"/>
      <c r="I182" s="3"/>
      <c r="J182" s="3"/>
      <c r="K182" s="3">
        <v>41.4</v>
      </c>
      <c r="L182" s="3"/>
      <c r="M182" s="3"/>
      <c r="N182" s="3">
        <v>214.7</v>
      </c>
      <c r="O182" s="3"/>
      <c r="P182" s="3"/>
      <c r="Q182" s="3">
        <v>1.25</v>
      </c>
      <c r="R182" s="3">
        <v>0.2</v>
      </c>
      <c r="S182" s="3">
        <v>2.6</v>
      </c>
      <c r="T182" s="3">
        <v>9.4</v>
      </c>
      <c r="U182" s="3">
        <v>58.9</v>
      </c>
      <c r="V182" s="3">
        <v>975.4</v>
      </c>
      <c r="W182" s="3">
        <v>0</v>
      </c>
      <c r="X182" s="3">
        <v>50.7</v>
      </c>
      <c r="Y182" s="3">
        <v>50.2</v>
      </c>
      <c r="Z182" s="3">
        <v>49.9</v>
      </c>
      <c r="AA182" s="3">
        <v>45.8</v>
      </c>
      <c r="AB182" s="3">
        <v>41.9</v>
      </c>
      <c r="AC182" s="3">
        <v>41.7</v>
      </c>
      <c r="AD182" s="3">
        <v>43.1</v>
      </c>
      <c r="AE182" s="3">
        <v>43.8</v>
      </c>
      <c r="AF182" s="3">
        <v>47.2</v>
      </c>
      <c r="AG182" s="3">
        <v>41.6</v>
      </c>
      <c r="AH182" s="3">
        <v>38.5</v>
      </c>
      <c r="AI182" s="3">
        <v>38.1</v>
      </c>
      <c r="AJ182" s="3">
        <v>36.6</v>
      </c>
      <c r="AK182" s="3">
        <v>35.4</v>
      </c>
      <c r="AL182" s="3">
        <v>34.1</v>
      </c>
      <c r="AM182" s="3">
        <v>34.299999999999997</v>
      </c>
      <c r="AN182" s="3">
        <v>33.4</v>
      </c>
      <c r="AO182" s="3">
        <v>31.3</v>
      </c>
      <c r="AP182" s="3">
        <v>29.4</v>
      </c>
      <c r="AQ182" s="3">
        <v>27.7</v>
      </c>
      <c r="AR182" s="3">
        <v>25.7</v>
      </c>
      <c r="AS182" s="3">
        <v>32.1</v>
      </c>
      <c r="AT182" s="3">
        <v>34</v>
      </c>
      <c r="AU182" s="3">
        <v>21.6</v>
      </c>
      <c r="AV182" s="3">
        <v>20.7</v>
      </c>
      <c r="AW182" s="3">
        <v>19.100000000000001</v>
      </c>
      <c r="AX182" s="3">
        <v>15.1</v>
      </c>
      <c r="AY182" s="3">
        <v>13.2</v>
      </c>
      <c r="AZ182" s="3">
        <v>0</v>
      </c>
      <c r="BA182" s="3">
        <v>0</v>
      </c>
      <c r="BB182" s="3">
        <v>0</v>
      </c>
      <c r="BC182" s="3">
        <v>43.070898432469448</v>
      </c>
      <c r="BD182" s="3">
        <v>50.729101567530563</v>
      </c>
      <c r="BE182" s="3">
        <v>50.229101567530563</v>
      </c>
      <c r="BF182" s="3">
        <v>48.689101567530543</v>
      </c>
      <c r="BG182" s="3">
        <v>44.915768234197216</v>
      </c>
      <c r="BH182" s="3">
        <v>41.155768234197211</v>
      </c>
      <c r="BI182" s="3">
        <v>41.369101567530549</v>
      </c>
      <c r="BJ182" s="3">
        <v>43.562434900863877</v>
      </c>
      <c r="BK182" s="3">
        <v>44.135768234197215</v>
      </c>
      <c r="BL182" s="3">
        <v>47.109101567530558</v>
      </c>
      <c r="BM182" s="3">
        <v>41.64243490086389</v>
      </c>
      <c r="BN182" s="3">
        <v>38.825768234197227</v>
      </c>
      <c r="BO182" s="3">
        <v>37.792434900863896</v>
      </c>
      <c r="BP182" s="3">
        <v>36.009101567530564</v>
      </c>
      <c r="BQ182" s="3">
        <v>35.225768234197204</v>
      </c>
      <c r="BR182" s="3">
        <v>34.252434900863889</v>
      </c>
      <c r="BS182" s="3">
        <v>34.25576823419722</v>
      </c>
      <c r="BT182" s="3">
        <v>33.552434900863886</v>
      </c>
      <c r="BU182" s="3">
        <v>31.419101567530561</v>
      </c>
      <c r="BV182" s="3">
        <v>29.235768234197224</v>
      </c>
      <c r="BW182" s="3">
        <v>28.069101567530552</v>
      </c>
      <c r="BX182" s="3">
        <v>25.989101567530554</v>
      </c>
      <c r="BY182" s="3">
        <v>32.209101567530553</v>
      </c>
      <c r="BZ182" s="3">
        <v>34.239101567530554</v>
      </c>
      <c r="CA182" s="3">
        <v>21.939101567530543</v>
      </c>
      <c r="CB182" s="3">
        <v>20.475768234197218</v>
      </c>
      <c r="CC182" s="3">
        <v>19.089101567530548</v>
      </c>
      <c r="CD182" s="3">
        <v>14.39576823419722</v>
      </c>
      <c r="CE182" s="3">
        <v>12.68910156753055</v>
      </c>
      <c r="CF182" s="3">
        <v>-0.89756509913611637</v>
      </c>
      <c r="CG182" s="3">
        <v>-1.4308984324694478</v>
      </c>
      <c r="CH182" s="3">
        <v>-2.5075650991361158</v>
      </c>
      <c r="CI182" s="13">
        <f>[1]!dbasum(RecData[[#This Row],[20]:[2000]],RecData[[#Headers],[20]:[2000]])</f>
        <v>41.578608107981964</v>
      </c>
      <c r="CJ182" s="14">
        <v>951</v>
      </c>
      <c r="CK182" s="15" t="s">
        <v>249</v>
      </c>
      <c r="CL182" s="15">
        <f>RecData[[#This Row],[Start Time]]</f>
        <v>43252.987500000003</v>
      </c>
      <c r="CM182" s="16">
        <f>RecData[[#This Row],[Wind Speed avg]]</f>
        <v>1.25</v>
      </c>
      <c r="CN182" s="16">
        <f>RecData[[#This Row],[Wind Dir. avg]]</f>
        <v>214.7</v>
      </c>
      <c r="CO182" s="16">
        <f>RecData[[#This Row],[Amb. Humidity]]</f>
        <v>58.9</v>
      </c>
      <c r="CP182" s="16">
        <f>RecData[[#This Row],[Amb. Temperature]]</f>
        <v>9.4</v>
      </c>
      <c r="CQ182" s="17">
        <f>RecData[[#This Row],[Amb. Rain Gauge]]</f>
        <v>0</v>
      </c>
      <c r="CR182" s="4" t="s">
        <v>1</v>
      </c>
      <c r="CS182" s="4" t="s">
        <v>49</v>
      </c>
      <c r="CT182" s="70">
        <v>1542.4819339999999</v>
      </c>
      <c r="CU182" s="70">
        <v>33.000282287597599</v>
      </c>
      <c r="CV182" s="70">
        <v>12.513683319091699</v>
      </c>
      <c r="CW182" s="70">
        <v>15.1255178451538</v>
      </c>
      <c r="CX182" s="97"/>
      <c r="CY182" s="99"/>
      <c r="CZ182" s="2" t="b">
        <f>IF($DP$1="YES",IF(RecData[[#This Row],[Power (kW)]]&gt;=$CR$3, TRUE,FALSE),TRUE)</f>
        <v>1</v>
      </c>
      <c r="DA182" s="16">
        <f>MIN(MOD(180-ABS(ABS($DA$1-RecData[Yaw Angle (°)])-180),360),MOD(180-ABS(ABS($DB$1-RecData[Yaw Angle (°)])-180),360))</f>
        <v>25.470355509910064</v>
      </c>
      <c r="DB182" s="2" t="str">
        <f>IF($DP$2="None","None",IF(RecData[[#This Row],[Relative Wind Direction]]&lt;=45,"DW",IF(RecData[[#This Row],[Relative Wind Direction]]&lt;=135,"CW","UW")))</f>
        <v>DW</v>
      </c>
      <c r="DC182" s="61" t="e">
        <f>IF($CL182-$CL180&gt;1/24,#REF!,IF(SUM($CQ180:$CQ182)&gt;$DS$1,$DS$5,#REF!-1))</f>
        <v>#REF!</v>
      </c>
      <c r="DD182" s="61" t="e">
        <f>IF(#REF!-$CL182&gt;1/24,#REF!,IF(SUM($CQ180:$CQ182)&gt;$DS$1,$DS$6,DD181-1))</f>
        <v>#REF!</v>
      </c>
      <c r="DE182" s="18" t="b">
        <v>0</v>
      </c>
      <c r="DF182" s="2" t="b">
        <f>IF(OR(RecData[[#This Row],[WSpd_Avg '[m/s']]]-RecData[[#This Row],[Wind Speed min]]&gt;=$DF$3,RecData[[#This Row],[Wind Speed max]]-RecData[[#This Row],[WSpd_Avg '[m/s']]]&gt;=$DF$2),TRUE,FALSE)</f>
        <v>0</v>
      </c>
      <c r="DG182" s="2" t="b">
        <f>RecData[[#This Row],[Temperature '[°C']]]&lt;=-20</f>
        <v>0</v>
      </c>
      <c r="DH182" s="18" t="b">
        <f>NOT(OR(MOD(RecData[[#This Row],[TIMESTAMP]],1)&gt;0.91632,MOD(RecData[[#This Row],[TIMESTAMP]],1)&lt;0.208681))</f>
        <v>0</v>
      </c>
      <c r="DI182" s="18" t="b">
        <f>RecData[[#This Row],[Overall (dBA)]]-RecData[[#This Row],[L90]]&gt;=$DS$4</f>
        <v>0</v>
      </c>
      <c r="DJ182" s="18" t="b">
        <f>RecData[[#This Row],[Overall (dBA)]]&gt;$DS$2</f>
        <v>0</v>
      </c>
      <c r="DK182" s="18" t="b">
        <f>RecData[[#This Row],[Overall (dBA)]]&lt;$DS$3</f>
        <v>0</v>
      </c>
      <c r="DL1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2" s="2">
        <f>IF(AND(RecData[[#This Row],[Turbines ON/OFF]] = "OFF", NOT(OR(RecData[[#This Row],[Junk?]]="YES",RecData[[#This Row],[Gust?]],RecData[[#This Row],[Rain?]:[Min SPL Threshold?]]))),1,0)</f>
        <v>0</v>
      </c>
      <c r="DN182" s="16">
        <f>RecData[[#This Row],[dBA Sum]]</f>
        <v>41.578608107981964</v>
      </c>
      <c r="DO182" s="16">
        <f>RecData[[#This Row],[LAF90.0]]</f>
        <v>41.4</v>
      </c>
      <c r="DP182" s="55">
        <f>IF(AND(RecData[[#This Row],[Useable TON Data?]],RecData[[#This Row],[Turbines ON/OFF]]="ON"),RecData[[#This Row],[dBA Sum]],"")</f>
        <v>41.578608107981964</v>
      </c>
      <c r="DQ182" s="55" t="str">
        <f>IF(AND(RecData[[#This Row],[Useable Background Data?]],RecData[[#This Row],[Turbines ON/OFF]]="OFF"),RecData[[#This Row],[dBA Sum]],"")</f>
        <v/>
      </c>
      <c r="DR182" s="3">
        <f>IF(OR(RecData[[#This Row],[Useable TON Data?]],RecData[[#This Row],[Useable Background Data?]]),ROUND(RecData[[#This Row],[WSpd_Avg '[m/s']]],0),"")</f>
        <v>1</v>
      </c>
      <c r="DS182" s="85">
        <f>(0.00002)^2*(10^(RecData[[#This Row],[Overall (dBA)]]/10))</f>
        <v>5.7533500976770194E-6</v>
      </c>
    </row>
    <row r="183" spans="1:123" ht="15" x14ac:dyDescent="0.25">
      <c r="A183" s="3" t="s">
        <v>249</v>
      </c>
      <c r="B183" s="12">
        <v>43252.990277777782</v>
      </c>
      <c r="C183" s="3"/>
      <c r="D183" s="3">
        <v>41.6</v>
      </c>
      <c r="E183" s="3"/>
      <c r="F183" s="3"/>
      <c r="G183" s="3"/>
      <c r="H183" s="3"/>
      <c r="I183" s="3"/>
      <c r="J183" s="3"/>
      <c r="K183" s="3">
        <v>40.4</v>
      </c>
      <c r="L183" s="3"/>
      <c r="M183" s="3"/>
      <c r="N183" s="3">
        <v>185.1</v>
      </c>
      <c r="O183" s="3"/>
      <c r="P183" s="3"/>
      <c r="Q183" s="3">
        <v>1</v>
      </c>
      <c r="R183" s="3">
        <v>0.1</v>
      </c>
      <c r="S183" s="3">
        <v>1.8</v>
      </c>
      <c r="T183" s="3">
        <v>9.4</v>
      </c>
      <c r="U183" s="3">
        <v>58.3</v>
      </c>
      <c r="V183" s="3">
        <v>975.3</v>
      </c>
      <c r="W183" s="3">
        <v>0</v>
      </c>
      <c r="X183" s="3">
        <v>48.7</v>
      </c>
      <c r="Y183" s="3">
        <v>49.2</v>
      </c>
      <c r="Z183" s="3">
        <v>48.3</v>
      </c>
      <c r="AA183" s="3">
        <v>43.9</v>
      </c>
      <c r="AB183" s="3">
        <v>39.700000000000003</v>
      </c>
      <c r="AC183" s="3">
        <v>38</v>
      </c>
      <c r="AD183" s="3">
        <v>41.1</v>
      </c>
      <c r="AE183" s="3">
        <v>41.8</v>
      </c>
      <c r="AF183" s="3">
        <v>45.1</v>
      </c>
      <c r="AG183" s="3">
        <v>38.6</v>
      </c>
      <c r="AH183" s="3">
        <v>35.799999999999997</v>
      </c>
      <c r="AI183" s="3">
        <v>36</v>
      </c>
      <c r="AJ183" s="3">
        <v>34.6</v>
      </c>
      <c r="AK183" s="3">
        <v>33.6</v>
      </c>
      <c r="AL183" s="3">
        <v>32.200000000000003</v>
      </c>
      <c r="AM183" s="3">
        <v>32.4</v>
      </c>
      <c r="AN183" s="3">
        <v>31.4</v>
      </c>
      <c r="AO183" s="3">
        <v>29</v>
      </c>
      <c r="AP183" s="3">
        <v>27.2</v>
      </c>
      <c r="AQ183" s="3">
        <v>25.4</v>
      </c>
      <c r="AR183" s="3">
        <v>23.3</v>
      </c>
      <c r="AS183" s="3">
        <v>31.8</v>
      </c>
      <c r="AT183" s="3">
        <v>34</v>
      </c>
      <c r="AU183" s="3">
        <v>17.8</v>
      </c>
      <c r="AV183" s="3">
        <v>15.8</v>
      </c>
      <c r="AW183" s="3">
        <v>14.2</v>
      </c>
      <c r="AX183" s="3">
        <v>11.1</v>
      </c>
      <c r="AY183" s="3">
        <v>10.199999999999999</v>
      </c>
      <c r="AZ183" s="3">
        <v>0</v>
      </c>
      <c r="BA183" s="3">
        <v>0</v>
      </c>
      <c r="BB183" s="3">
        <v>0</v>
      </c>
      <c r="BC183" s="3">
        <v>41.558507399482082</v>
      </c>
      <c r="BD183" s="3">
        <v>48.74149260051793</v>
      </c>
      <c r="BE183" s="3">
        <v>49.24149260051793</v>
      </c>
      <c r="BF183" s="3">
        <v>47.101492600517915</v>
      </c>
      <c r="BG183" s="3">
        <v>43.028159267184591</v>
      </c>
      <c r="BH183" s="3">
        <v>38.968159267184589</v>
      </c>
      <c r="BI183" s="3">
        <v>37.681492600517927</v>
      </c>
      <c r="BJ183" s="3">
        <v>41.574825933851244</v>
      </c>
      <c r="BK183" s="3">
        <v>42.148159267184582</v>
      </c>
      <c r="BL183" s="3">
        <v>45.021492600517931</v>
      </c>
      <c r="BM183" s="3">
        <v>38.654825933851257</v>
      </c>
      <c r="BN183" s="3">
        <v>36.138159267184577</v>
      </c>
      <c r="BO183" s="3">
        <v>35.704825933851254</v>
      </c>
      <c r="BP183" s="3">
        <v>34.021492600517931</v>
      </c>
      <c r="BQ183" s="3">
        <v>33.438159267184588</v>
      </c>
      <c r="BR183" s="3">
        <v>32.364825933851264</v>
      </c>
      <c r="BS183" s="3">
        <v>32.368159267184595</v>
      </c>
      <c r="BT183" s="3">
        <v>31.564825933851253</v>
      </c>
      <c r="BU183" s="3">
        <v>29.131492600517916</v>
      </c>
      <c r="BV183" s="3">
        <v>27.048159267184587</v>
      </c>
      <c r="BW183" s="3">
        <v>25.781492600517922</v>
      </c>
      <c r="BX183" s="3">
        <v>23.601492600517929</v>
      </c>
      <c r="BY183" s="3">
        <v>31.921492600517922</v>
      </c>
      <c r="BZ183" s="3">
        <v>34.251492600517921</v>
      </c>
      <c r="CA183" s="3">
        <v>18.151492600517912</v>
      </c>
      <c r="CB183" s="3">
        <v>15.588159267184587</v>
      </c>
      <c r="CC183" s="3">
        <v>14.201492600517916</v>
      </c>
      <c r="CD183" s="3">
        <v>10.408159267184587</v>
      </c>
      <c r="CE183" s="3">
        <v>9.7014926005179163</v>
      </c>
      <c r="CF183" s="3">
        <v>-0.88517406614874972</v>
      </c>
      <c r="CG183" s="3">
        <v>-1.4185073994820812</v>
      </c>
      <c r="CH183" s="3">
        <v>-2.4951740661487491</v>
      </c>
      <c r="CI183" s="13">
        <f>[1]!dbasum(RecData[[#This Row],[20]:[2000]],RecData[[#Headers],[20]:[2000]])</f>
        <v>39.466939351180919</v>
      </c>
      <c r="CJ183" s="14">
        <v>955</v>
      </c>
      <c r="CK183" s="15" t="s">
        <v>249</v>
      </c>
      <c r="CL183" s="15">
        <f>RecData[[#This Row],[Start Time]]</f>
        <v>43252.990277777782</v>
      </c>
      <c r="CM183" s="16">
        <f>RecData[[#This Row],[Wind Speed avg]]</f>
        <v>1</v>
      </c>
      <c r="CN183" s="16">
        <f>RecData[[#This Row],[Wind Dir. avg]]</f>
        <v>185.1</v>
      </c>
      <c r="CO183" s="16">
        <f>RecData[[#This Row],[Amb. Humidity]]</f>
        <v>58.3</v>
      </c>
      <c r="CP183" s="16">
        <f>RecData[[#This Row],[Amb. Temperature]]</f>
        <v>9.4</v>
      </c>
      <c r="CQ183" s="17">
        <f>RecData[[#This Row],[Amb. Rain Gauge]]</f>
        <v>0</v>
      </c>
      <c r="CR183" s="4" t="s">
        <v>1</v>
      </c>
      <c r="CS183" s="4" t="s">
        <v>49</v>
      </c>
      <c r="CT183" s="70">
        <v>1542.4819339999999</v>
      </c>
      <c r="CU183" s="70">
        <v>33.000282287597599</v>
      </c>
      <c r="CV183" s="70">
        <v>12.513683319091699</v>
      </c>
      <c r="CW183" s="70">
        <v>15.1255178451538</v>
      </c>
      <c r="CX183" s="97"/>
      <c r="CY183" s="99"/>
      <c r="CZ183" s="2" t="b">
        <f>IF($DP$1="YES",IF(RecData[[#This Row],[Power (kW)]]&gt;=$CR$3, TRUE,FALSE),TRUE)</f>
        <v>1</v>
      </c>
      <c r="DA183" s="16">
        <f>MIN(MOD(180-ABS(ABS($DA$1-RecData[Yaw Angle (°)])-180),360),MOD(180-ABS(ABS($DB$1-RecData[Yaw Angle (°)])-180),360))</f>
        <v>25.470355509910064</v>
      </c>
      <c r="DB183" s="2" t="str">
        <f>IF($DP$2="None","None",IF(RecData[[#This Row],[Relative Wind Direction]]&lt;=45,"DW",IF(RecData[[#This Row],[Relative Wind Direction]]&lt;=135,"CW","UW")))</f>
        <v>DW</v>
      </c>
      <c r="DC183" s="61">
        <v>-1</v>
      </c>
      <c r="DD183" s="61">
        <v>-1</v>
      </c>
      <c r="DE183" s="18" t="b">
        <v>0</v>
      </c>
      <c r="DF183" s="2" t="b">
        <f>IF(OR(RecData[[#This Row],[WSpd_Avg '[m/s']]]-RecData[[#This Row],[Wind Speed min]]&gt;=$DF$3,RecData[[#This Row],[Wind Speed max]]-RecData[[#This Row],[WSpd_Avg '[m/s']]]&gt;=$DF$2),TRUE,FALSE)</f>
        <v>0</v>
      </c>
      <c r="DG183" s="2" t="b">
        <f>RecData[[#This Row],[Temperature '[°C']]]&lt;=-20</f>
        <v>0</v>
      </c>
      <c r="DH183" s="18" t="b">
        <f>NOT(OR(MOD(RecData[[#This Row],[TIMESTAMP]],1)&gt;0.91632,MOD(RecData[[#This Row],[TIMESTAMP]],1)&lt;0.208681))</f>
        <v>0</v>
      </c>
      <c r="DI183" s="18" t="b">
        <f>RecData[[#This Row],[Overall (dBA)]]-RecData[[#This Row],[L90]]&gt;=$DS$4</f>
        <v>0</v>
      </c>
      <c r="DJ183" s="18" t="b">
        <f>RecData[[#This Row],[Overall (dBA)]]&gt;$DS$2</f>
        <v>0</v>
      </c>
      <c r="DK183" s="18" t="b">
        <f>RecData[[#This Row],[Overall (dBA)]]&lt;$DS$3</f>
        <v>0</v>
      </c>
      <c r="DL1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3" s="2">
        <f>IF(AND(RecData[[#This Row],[Turbines ON/OFF]] = "OFF", NOT(OR(RecData[[#This Row],[Junk?]]="YES",RecData[[#This Row],[Gust?]],RecData[[#This Row],[Rain?]:[Min SPL Threshold?]]))),1,0)</f>
        <v>0</v>
      </c>
      <c r="DN183" s="16">
        <f>RecData[[#This Row],[dBA Sum]]</f>
        <v>39.466939351180919</v>
      </c>
      <c r="DO183" s="16">
        <f>RecData[[#This Row],[LAF90.0]]</f>
        <v>40.4</v>
      </c>
      <c r="DP183" s="55">
        <f>IF(AND(RecData[[#This Row],[Useable TON Data?]],RecData[[#This Row],[Turbines ON/OFF]]="ON"),RecData[[#This Row],[dBA Sum]],"")</f>
        <v>39.466939351180919</v>
      </c>
      <c r="DQ183" s="55" t="str">
        <f>IF(AND(RecData[[#This Row],[Useable Background Data?]],RecData[[#This Row],[Turbines ON/OFF]]="OFF"),RecData[[#This Row],[dBA Sum]],"")</f>
        <v/>
      </c>
      <c r="DR183" s="3">
        <f>IF(OR(RecData[[#This Row],[Useable TON Data?]],RecData[[#This Row],[Useable Background Data?]]),ROUND(RecData[[#This Row],[WSpd_Avg '[m/s']]],0),"")</f>
        <v>1</v>
      </c>
      <c r="DS183" s="85">
        <f>(0.00002)^2*(10^(RecData[[#This Row],[Overall (dBA)]]/10))</f>
        <v>3.5379682112801899E-6</v>
      </c>
    </row>
    <row r="184" spans="1:123" ht="15" x14ac:dyDescent="0.25">
      <c r="A184" s="3" t="s">
        <v>249</v>
      </c>
      <c r="B184" s="12">
        <v>43252.990972222222</v>
      </c>
      <c r="C184" s="3"/>
      <c r="D184" s="3">
        <v>42.6</v>
      </c>
      <c r="E184" s="3"/>
      <c r="F184" s="3"/>
      <c r="G184" s="3"/>
      <c r="H184" s="3"/>
      <c r="I184" s="3"/>
      <c r="J184" s="3"/>
      <c r="K184" s="3">
        <v>41</v>
      </c>
      <c r="L184" s="3"/>
      <c r="M184" s="3"/>
      <c r="N184" s="3">
        <v>153.80000000000001</v>
      </c>
      <c r="O184" s="3"/>
      <c r="P184" s="3"/>
      <c r="Q184" s="3">
        <v>1.71</v>
      </c>
      <c r="R184" s="3">
        <v>0.5</v>
      </c>
      <c r="S184" s="3">
        <v>3.2</v>
      </c>
      <c r="T184" s="3">
        <v>9.4</v>
      </c>
      <c r="U184" s="3">
        <v>58.4</v>
      </c>
      <c r="V184" s="3">
        <v>975.3</v>
      </c>
      <c r="W184" s="3">
        <v>0</v>
      </c>
      <c r="X184" s="3">
        <v>49.2</v>
      </c>
      <c r="Y184" s="3">
        <v>48.7</v>
      </c>
      <c r="Z184" s="3">
        <v>48.7</v>
      </c>
      <c r="AA184" s="3">
        <v>45.4</v>
      </c>
      <c r="AB184" s="3">
        <v>40.5</v>
      </c>
      <c r="AC184" s="3">
        <v>38.9</v>
      </c>
      <c r="AD184" s="3">
        <v>41.3</v>
      </c>
      <c r="AE184" s="3">
        <v>42.5</v>
      </c>
      <c r="AF184" s="3">
        <v>45.5</v>
      </c>
      <c r="AG184" s="3">
        <v>39.700000000000003</v>
      </c>
      <c r="AH184" s="3">
        <v>36.5</v>
      </c>
      <c r="AI184" s="3">
        <v>37</v>
      </c>
      <c r="AJ184" s="3">
        <v>35.5</v>
      </c>
      <c r="AK184" s="3">
        <v>34.5</v>
      </c>
      <c r="AL184" s="3">
        <v>33.5</v>
      </c>
      <c r="AM184" s="3">
        <v>33.5</v>
      </c>
      <c r="AN184" s="3">
        <v>32.5</v>
      </c>
      <c r="AO184" s="3">
        <v>30.3</v>
      </c>
      <c r="AP184" s="3">
        <v>28.7</v>
      </c>
      <c r="AQ184" s="3">
        <v>26.9</v>
      </c>
      <c r="AR184" s="3">
        <v>24.9</v>
      </c>
      <c r="AS184" s="3">
        <v>32.4</v>
      </c>
      <c r="AT184" s="3">
        <v>34.9</v>
      </c>
      <c r="AU184" s="3">
        <v>19.2</v>
      </c>
      <c r="AV184" s="3">
        <v>17.2</v>
      </c>
      <c r="AW184" s="3">
        <v>15.7</v>
      </c>
      <c r="AX184" s="3">
        <v>12.2</v>
      </c>
      <c r="AY184" s="3">
        <v>11.3</v>
      </c>
      <c r="AZ184" s="3">
        <v>0</v>
      </c>
      <c r="BA184" s="3">
        <v>0</v>
      </c>
      <c r="BB184" s="3">
        <v>0</v>
      </c>
      <c r="BC184" s="3">
        <v>42.535354351460043</v>
      </c>
      <c r="BD184" s="3">
        <v>49.264645648539968</v>
      </c>
      <c r="BE184" s="3">
        <v>48.764645648539968</v>
      </c>
      <c r="BF184" s="3">
        <v>47.524645648539959</v>
      </c>
      <c r="BG184" s="3">
        <v>44.55131231520663</v>
      </c>
      <c r="BH184" s="3">
        <v>39.791312315206625</v>
      </c>
      <c r="BI184" s="3">
        <v>38.604645648539957</v>
      </c>
      <c r="BJ184" s="3">
        <v>41.797978981873285</v>
      </c>
      <c r="BK184" s="3">
        <v>42.871312315206623</v>
      </c>
      <c r="BL184" s="3">
        <v>45.444645648539961</v>
      </c>
      <c r="BM184" s="3">
        <v>39.777978981873289</v>
      </c>
      <c r="BN184" s="3">
        <v>36.861312315206632</v>
      </c>
      <c r="BO184" s="3">
        <v>36.727978981873292</v>
      </c>
      <c r="BP184" s="3">
        <v>34.944645648539961</v>
      </c>
      <c r="BQ184" s="3">
        <v>34.361312315206618</v>
      </c>
      <c r="BR184" s="3">
        <v>33.687978981873286</v>
      </c>
      <c r="BS184" s="3">
        <v>33.491312315206628</v>
      </c>
      <c r="BT184" s="3">
        <v>32.687978981873286</v>
      </c>
      <c r="BU184" s="3">
        <v>30.454645648539966</v>
      </c>
      <c r="BV184" s="3">
        <v>28.571312315206626</v>
      </c>
      <c r="BW184" s="3">
        <v>27.30464564853996</v>
      </c>
      <c r="BX184" s="3">
        <v>25.224645648539962</v>
      </c>
      <c r="BY184" s="3">
        <v>32.544645648539955</v>
      </c>
      <c r="BZ184" s="3">
        <v>35.174645648539965</v>
      </c>
      <c r="CA184" s="3">
        <v>19.574645648539949</v>
      </c>
      <c r="CB184" s="3">
        <v>17.011312315206624</v>
      </c>
      <c r="CC184" s="3">
        <v>15.724645648539955</v>
      </c>
      <c r="CD184" s="3">
        <v>11.531312315206627</v>
      </c>
      <c r="CE184" s="3">
        <v>10.824645648539956</v>
      </c>
      <c r="CF184" s="3">
        <v>-0.86202101812671117</v>
      </c>
      <c r="CG184" s="3">
        <v>-1.3953543514600426</v>
      </c>
      <c r="CH184" s="3">
        <v>-2.4720210181267106</v>
      </c>
      <c r="CI184" s="13">
        <f>[1]!dbasum(RecData[[#This Row],[20]:[2000]],RecData[[#Headers],[20]:[2000]])</f>
        <v>40.574211029745406</v>
      </c>
      <c r="CJ184" s="14">
        <v>956</v>
      </c>
      <c r="CK184" s="15" t="s">
        <v>249</v>
      </c>
      <c r="CL184" s="15">
        <f>RecData[[#This Row],[Start Time]]</f>
        <v>43252.990972222222</v>
      </c>
      <c r="CM184" s="16">
        <f>RecData[[#This Row],[Wind Speed avg]]</f>
        <v>1.71</v>
      </c>
      <c r="CN184" s="16">
        <f>RecData[[#This Row],[Wind Dir. avg]]</f>
        <v>153.80000000000001</v>
      </c>
      <c r="CO184" s="16">
        <f>RecData[[#This Row],[Amb. Humidity]]</f>
        <v>58.4</v>
      </c>
      <c r="CP184" s="16">
        <f>RecData[[#This Row],[Amb. Temperature]]</f>
        <v>9.4</v>
      </c>
      <c r="CQ184" s="17">
        <f>RecData[[#This Row],[Amb. Rain Gauge]]</f>
        <v>0</v>
      </c>
      <c r="CR184" s="4" t="s">
        <v>1</v>
      </c>
      <c r="CS184" s="4" t="s">
        <v>49</v>
      </c>
      <c r="CT184" s="70">
        <v>1542.4819339999999</v>
      </c>
      <c r="CU184" s="70">
        <v>33.000282287597599</v>
      </c>
      <c r="CV184" s="70">
        <v>12.513683319091699</v>
      </c>
      <c r="CW184" s="70">
        <v>15.1255178451538</v>
      </c>
      <c r="CX184" s="97"/>
      <c r="CY184" s="99"/>
      <c r="CZ184" s="2" t="b">
        <f>IF($DP$1="YES",IF(RecData[[#This Row],[Power (kW)]]&gt;=$CR$3, TRUE,FALSE),TRUE)</f>
        <v>1</v>
      </c>
      <c r="DA184" s="16">
        <f>MIN(MOD(180-ABS(ABS($DA$1-RecData[Yaw Angle (°)])-180),360),MOD(180-ABS(ABS($DB$1-RecData[Yaw Angle (°)])-180),360))</f>
        <v>25.470355509910064</v>
      </c>
      <c r="DB184" s="2" t="str">
        <f>IF($DP$2="None","None",IF(RecData[[#This Row],[Relative Wind Direction]]&lt;=45,"DW",IF(RecData[[#This Row],[Relative Wind Direction]]&lt;=135,"CW","UW")))</f>
        <v>DW</v>
      </c>
      <c r="DC184" s="61" t="e">
        <f>IF($CL184-$CL183&gt;1/24,#REF!,IF(SUM($CQ183:$CQ184)&gt;$DS$1,$DS$5,#REF!-1))</f>
        <v>#REF!</v>
      </c>
      <c r="DD184" s="61" t="e">
        <f>IF(#REF!-$CL184&gt;1/24,#REF!,IF(SUM($CQ183:$CQ184)&gt;$DS$1,$DS$6,DD183-1))</f>
        <v>#REF!</v>
      </c>
      <c r="DE184" s="18" t="b">
        <v>0</v>
      </c>
      <c r="DF184" s="2" t="b">
        <f>IF(OR(RecData[[#This Row],[WSpd_Avg '[m/s']]]-RecData[[#This Row],[Wind Speed min]]&gt;=$DF$3,RecData[[#This Row],[Wind Speed max]]-RecData[[#This Row],[WSpd_Avg '[m/s']]]&gt;=$DF$2),TRUE,FALSE)</f>
        <v>0</v>
      </c>
      <c r="DG184" s="2" t="b">
        <f>RecData[[#This Row],[Temperature '[°C']]]&lt;=-20</f>
        <v>0</v>
      </c>
      <c r="DH184" s="18" t="b">
        <f>NOT(OR(MOD(RecData[[#This Row],[TIMESTAMP]],1)&gt;0.91632,MOD(RecData[[#This Row],[TIMESTAMP]],1)&lt;0.208681))</f>
        <v>0</v>
      </c>
      <c r="DI184" s="18" t="b">
        <f>RecData[[#This Row],[Overall (dBA)]]-RecData[[#This Row],[L90]]&gt;=$DS$4</f>
        <v>0</v>
      </c>
      <c r="DJ184" s="18" t="b">
        <f>RecData[[#This Row],[Overall (dBA)]]&gt;$DS$2</f>
        <v>0</v>
      </c>
      <c r="DK184" s="18" t="b">
        <f>RecData[[#This Row],[Overall (dBA)]]&lt;$DS$3</f>
        <v>0</v>
      </c>
      <c r="DL1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4" s="2">
        <f>IF(AND(RecData[[#This Row],[Turbines ON/OFF]] = "OFF", NOT(OR(RecData[[#This Row],[Junk?]]="YES",RecData[[#This Row],[Gust?]],RecData[[#This Row],[Rain?]:[Min SPL Threshold?]]))),1,0)</f>
        <v>0</v>
      </c>
      <c r="DN184" s="16">
        <f>RecData[[#This Row],[dBA Sum]]</f>
        <v>40.574211029745406</v>
      </c>
      <c r="DO184" s="16">
        <f>RecData[[#This Row],[LAF90.0]]</f>
        <v>41</v>
      </c>
      <c r="DP184" s="55">
        <f>IF(AND(RecData[[#This Row],[Useable TON Data?]],RecData[[#This Row],[Turbines ON/OFF]]="ON"),RecData[[#This Row],[dBA Sum]],"")</f>
        <v>40.574211029745406</v>
      </c>
      <c r="DQ184" s="55" t="str">
        <f>IF(AND(RecData[[#This Row],[Useable Background Data?]],RecData[[#This Row],[Turbines ON/OFF]]="OFF"),RecData[[#This Row],[dBA Sum]],"")</f>
        <v/>
      </c>
      <c r="DR184" s="3">
        <f>IF(OR(RecData[[#This Row],[Useable TON Data?]],RecData[[#This Row],[Useable Background Data?]]),ROUND(RecData[[#This Row],[WSpd_Avg '[m/s']]],0),"")</f>
        <v>2</v>
      </c>
      <c r="DS184" s="85">
        <f>(0.00002)^2*(10^(RecData[[#This Row],[Overall (dBA)]]/10))</f>
        <v>4.565423755773504E-6</v>
      </c>
    </row>
    <row r="185" spans="1:123" ht="15" x14ac:dyDescent="0.25">
      <c r="A185" s="3" t="s">
        <v>249</v>
      </c>
      <c r="B185" s="12">
        <v>43252.995833333334</v>
      </c>
      <c r="C185" s="3"/>
      <c r="D185" s="3">
        <v>42.9</v>
      </c>
      <c r="E185" s="3"/>
      <c r="F185" s="3"/>
      <c r="G185" s="3"/>
      <c r="H185" s="3"/>
      <c r="I185" s="3"/>
      <c r="J185" s="3"/>
      <c r="K185" s="3">
        <v>40.9</v>
      </c>
      <c r="L185" s="3"/>
      <c r="M185" s="3"/>
      <c r="N185" s="3">
        <v>212.2</v>
      </c>
      <c r="O185" s="3"/>
      <c r="P185" s="3"/>
      <c r="Q185" s="3">
        <v>0.91</v>
      </c>
      <c r="R185" s="3">
        <v>0.3</v>
      </c>
      <c r="S185" s="3">
        <v>2.2000000000000002</v>
      </c>
      <c r="T185" s="3">
        <v>9.3000000000000007</v>
      </c>
      <c r="U185" s="3">
        <v>57.7</v>
      </c>
      <c r="V185" s="3">
        <v>975.3</v>
      </c>
      <c r="W185" s="3">
        <v>0</v>
      </c>
      <c r="X185" s="3">
        <v>51</v>
      </c>
      <c r="Y185" s="3">
        <v>49.9</v>
      </c>
      <c r="Z185" s="3">
        <v>49.1</v>
      </c>
      <c r="AA185" s="3">
        <v>44.8</v>
      </c>
      <c r="AB185" s="3">
        <v>39.700000000000003</v>
      </c>
      <c r="AC185" s="3">
        <v>39.6</v>
      </c>
      <c r="AD185" s="3">
        <v>43</v>
      </c>
      <c r="AE185" s="3">
        <v>43.1</v>
      </c>
      <c r="AF185" s="3">
        <v>44.8</v>
      </c>
      <c r="AG185" s="3">
        <v>38.9</v>
      </c>
      <c r="AH185" s="3">
        <v>37.4</v>
      </c>
      <c r="AI185" s="3">
        <v>36.700000000000003</v>
      </c>
      <c r="AJ185" s="3">
        <v>35.9</v>
      </c>
      <c r="AK185" s="3">
        <v>34.700000000000003</v>
      </c>
      <c r="AL185" s="3">
        <v>33.299999999999997</v>
      </c>
      <c r="AM185" s="3">
        <v>33.5</v>
      </c>
      <c r="AN185" s="3">
        <v>32.700000000000003</v>
      </c>
      <c r="AO185" s="3">
        <v>30.8</v>
      </c>
      <c r="AP185" s="3">
        <v>29.3</v>
      </c>
      <c r="AQ185" s="3">
        <v>27.8</v>
      </c>
      <c r="AR185" s="3">
        <v>26.7</v>
      </c>
      <c r="AS185" s="3">
        <v>32.700000000000003</v>
      </c>
      <c r="AT185" s="3">
        <v>34.799999999999997</v>
      </c>
      <c r="AU185" s="3">
        <v>25.2</v>
      </c>
      <c r="AV185" s="3">
        <v>24</v>
      </c>
      <c r="AW185" s="3">
        <v>22.5</v>
      </c>
      <c r="AX185" s="3">
        <v>17.899999999999999</v>
      </c>
      <c r="AY185" s="3">
        <v>15.5</v>
      </c>
      <c r="AZ185" s="3">
        <v>0</v>
      </c>
      <c r="BA185" s="3">
        <v>0</v>
      </c>
      <c r="BB185" s="3">
        <v>0</v>
      </c>
      <c r="BC185" s="3">
        <v>42.872795753725555</v>
      </c>
      <c r="BD185" s="3">
        <v>51.027204246274451</v>
      </c>
      <c r="BE185" s="3">
        <v>49.927204246274442</v>
      </c>
      <c r="BF185" s="3">
        <v>47.887204246274436</v>
      </c>
      <c r="BG185" s="3">
        <v>43.913870912941107</v>
      </c>
      <c r="BH185" s="3">
        <v>38.953870912941113</v>
      </c>
      <c r="BI185" s="3">
        <v>39.267204246274446</v>
      </c>
      <c r="BJ185" s="3">
        <v>43.460537579607774</v>
      </c>
      <c r="BK185" s="3">
        <v>43.433870912941117</v>
      </c>
      <c r="BL185" s="3">
        <v>44.707204246274443</v>
      </c>
      <c r="BM185" s="3">
        <v>38.940537579607778</v>
      </c>
      <c r="BN185" s="3">
        <v>37.723870912941109</v>
      </c>
      <c r="BO185" s="3">
        <v>36.390537579607781</v>
      </c>
      <c r="BP185" s="3">
        <v>35.307204246274452</v>
      </c>
      <c r="BQ185" s="3">
        <v>34.523870912941106</v>
      </c>
      <c r="BR185" s="3">
        <v>33.450537579607769</v>
      </c>
      <c r="BS185" s="3">
        <v>33.453870912941113</v>
      </c>
      <c r="BT185" s="3">
        <v>32.850537579607774</v>
      </c>
      <c r="BU185" s="3">
        <v>30.917204246274451</v>
      </c>
      <c r="BV185" s="3">
        <v>29.133870912941106</v>
      </c>
      <c r="BW185" s="3">
        <v>28.167204246274451</v>
      </c>
      <c r="BX185" s="3">
        <v>26.987204246274445</v>
      </c>
      <c r="BY185" s="3">
        <v>32.807204246274452</v>
      </c>
      <c r="BZ185" s="3">
        <v>35.037204246274442</v>
      </c>
      <c r="CA185" s="3">
        <v>25.537204246274442</v>
      </c>
      <c r="CB185" s="3">
        <v>23.773870912941106</v>
      </c>
      <c r="CC185" s="3">
        <v>22.487204246274445</v>
      </c>
      <c r="CD185" s="3">
        <v>17.193870912941108</v>
      </c>
      <c r="CE185" s="3">
        <v>14.987204246274445</v>
      </c>
      <c r="CF185" s="3">
        <v>-0.89946242039222568</v>
      </c>
      <c r="CG185" s="3">
        <v>-1.4327957537255571</v>
      </c>
      <c r="CH185" s="3">
        <v>-2.5094624203922251</v>
      </c>
      <c r="CI185" s="13">
        <f>[1]!dbasum(RecData[[#This Row],[20]:[2000]],RecData[[#Headers],[20]:[2000]])</f>
        <v>40.793762343324396</v>
      </c>
      <c r="CJ185" s="14">
        <v>963</v>
      </c>
      <c r="CK185" s="15" t="s">
        <v>249</v>
      </c>
      <c r="CL185" s="15">
        <f>RecData[[#This Row],[Start Time]]</f>
        <v>43252.995833333334</v>
      </c>
      <c r="CM185" s="16">
        <f>RecData[[#This Row],[Wind Speed avg]]</f>
        <v>0.91</v>
      </c>
      <c r="CN185" s="16">
        <f>RecData[[#This Row],[Wind Dir. avg]]</f>
        <v>212.2</v>
      </c>
      <c r="CO185" s="16">
        <f>RecData[[#This Row],[Amb. Humidity]]</f>
        <v>57.7</v>
      </c>
      <c r="CP185" s="16">
        <f>RecData[[#This Row],[Amb. Temperature]]</f>
        <v>9.3000000000000007</v>
      </c>
      <c r="CQ185" s="17">
        <f>RecData[[#This Row],[Amb. Rain Gauge]]</f>
        <v>0</v>
      </c>
      <c r="CR185" s="4" t="s">
        <v>1</v>
      </c>
      <c r="CS185" s="4" t="s">
        <v>49</v>
      </c>
      <c r="CT185" s="70">
        <v>1568.329956</v>
      </c>
      <c r="CU185" s="70">
        <v>33.000282287597599</v>
      </c>
      <c r="CV185" s="70">
        <v>13.530736923217701</v>
      </c>
      <c r="CW185" s="70">
        <v>15.220643043518001</v>
      </c>
      <c r="CX185" s="97"/>
      <c r="CY185" s="99"/>
      <c r="CZ185" s="2" t="b">
        <f>IF($DP$1="YES",IF(RecData[[#This Row],[Power (kW)]]&gt;=$CR$3, TRUE,FALSE),TRUE)</f>
        <v>1</v>
      </c>
      <c r="DA185" s="16">
        <f>MIN(MOD(180-ABS(ABS($DA$1-RecData[Yaw Angle (°)])-180),360),MOD(180-ABS(ABS($DB$1-RecData[Yaw Angle (°)])-180),360))</f>
        <v>25.470355509910064</v>
      </c>
      <c r="DB185" s="2" t="str">
        <f>IF($DP$2="None","None",IF(RecData[[#This Row],[Relative Wind Direction]]&lt;=45,"DW",IF(RecData[[#This Row],[Relative Wind Direction]]&lt;=135,"CW","UW")))</f>
        <v>DW</v>
      </c>
      <c r="DC185" s="61" t="e">
        <f>IF($CL185-#REF!&gt;1/24,#REF!,IF(SUM($CQ185:$CQ185)&gt;$DS$1,$DS$5,#REF!-1))</f>
        <v>#REF!</v>
      </c>
      <c r="DD185" s="61" t="e">
        <f>IF(#REF!-$CL185&gt;1/24,#REF!,IF(SUM($CQ185:$CQ185)&gt;$DS$1,$DS$6,#REF!-1))</f>
        <v>#REF!</v>
      </c>
      <c r="DE185" s="18" t="b">
        <v>0</v>
      </c>
      <c r="DF185" s="2" t="b">
        <f>IF(OR(RecData[[#This Row],[WSpd_Avg '[m/s']]]-RecData[[#This Row],[Wind Speed min]]&gt;=$DF$3,RecData[[#This Row],[Wind Speed max]]-RecData[[#This Row],[WSpd_Avg '[m/s']]]&gt;=$DF$2),TRUE,FALSE)</f>
        <v>0</v>
      </c>
      <c r="DG185" s="2" t="b">
        <f>RecData[[#This Row],[Temperature '[°C']]]&lt;=-20</f>
        <v>0</v>
      </c>
      <c r="DH185" s="18" t="b">
        <f>NOT(OR(MOD(RecData[[#This Row],[TIMESTAMP]],1)&gt;0.91632,MOD(RecData[[#This Row],[TIMESTAMP]],1)&lt;0.208681))</f>
        <v>0</v>
      </c>
      <c r="DI185" s="18" t="b">
        <f>RecData[[#This Row],[Overall (dBA)]]-RecData[[#This Row],[L90]]&gt;=$DS$4</f>
        <v>0</v>
      </c>
      <c r="DJ185" s="18" t="b">
        <f>RecData[[#This Row],[Overall (dBA)]]&gt;$DS$2</f>
        <v>0</v>
      </c>
      <c r="DK185" s="18" t="b">
        <f>RecData[[#This Row],[Overall (dBA)]]&lt;$DS$3</f>
        <v>0</v>
      </c>
      <c r="DL1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5" s="2">
        <f>IF(AND(RecData[[#This Row],[Turbines ON/OFF]] = "OFF", NOT(OR(RecData[[#This Row],[Junk?]]="YES",RecData[[#This Row],[Gust?]],RecData[[#This Row],[Rain?]:[Min SPL Threshold?]]))),1,0)</f>
        <v>0</v>
      </c>
      <c r="DN185" s="16">
        <f>RecData[[#This Row],[dBA Sum]]</f>
        <v>40.793762343324396</v>
      </c>
      <c r="DO185" s="16">
        <f>RecData[[#This Row],[LAF90.0]]</f>
        <v>40.9</v>
      </c>
      <c r="DP185" s="55">
        <f>IF(AND(RecData[[#This Row],[Useable TON Data?]],RecData[[#This Row],[Turbines ON/OFF]]="ON"),RecData[[#This Row],[dBA Sum]],"")</f>
        <v>40.793762343324396</v>
      </c>
      <c r="DQ185" s="55" t="str">
        <f>IF(AND(RecData[[#This Row],[Useable Background Data?]],RecData[[#This Row],[Turbines ON/OFF]]="OFF"),RecData[[#This Row],[dBA Sum]],"")</f>
        <v/>
      </c>
      <c r="DR185" s="3">
        <f>IF(OR(RecData[[#This Row],[Useable TON Data?]],RecData[[#This Row],[Useable Background Data?]]),ROUND(RecData[[#This Row],[WSpd_Avg '[m/s']]],0),"")</f>
        <v>1</v>
      </c>
      <c r="DS185" s="85">
        <f>(0.00002)^2*(10^(RecData[[#This Row],[Overall (dBA)]]/10))</f>
        <v>4.8021555740315346E-6</v>
      </c>
    </row>
    <row r="186" spans="1:123" ht="15" x14ac:dyDescent="0.25">
      <c r="A186" s="3" t="s">
        <v>249</v>
      </c>
      <c r="B186" s="12">
        <v>43252.998611111114</v>
      </c>
      <c r="C186" s="3"/>
      <c r="D186" s="3">
        <v>43.2</v>
      </c>
      <c r="E186" s="3"/>
      <c r="F186" s="3"/>
      <c r="G186" s="3"/>
      <c r="H186" s="3"/>
      <c r="I186" s="3"/>
      <c r="J186" s="3"/>
      <c r="K186" s="3">
        <v>41.6</v>
      </c>
      <c r="L186" s="3"/>
      <c r="M186" s="3"/>
      <c r="N186" s="3">
        <v>183.5</v>
      </c>
      <c r="O186" s="3"/>
      <c r="P186" s="3"/>
      <c r="Q186" s="3">
        <v>1.07</v>
      </c>
      <c r="R186" s="3">
        <v>0.1</v>
      </c>
      <c r="S186" s="3">
        <v>2.5</v>
      </c>
      <c r="T186" s="3">
        <v>9.4</v>
      </c>
      <c r="U186" s="3">
        <v>57.8</v>
      </c>
      <c r="V186" s="3">
        <v>975.2</v>
      </c>
      <c r="W186" s="3">
        <v>0</v>
      </c>
      <c r="X186" s="3">
        <v>51</v>
      </c>
      <c r="Y186" s="3">
        <v>50.2</v>
      </c>
      <c r="Z186" s="3">
        <v>49.3</v>
      </c>
      <c r="AA186" s="3">
        <v>45.5</v>
      </c>
      <c r="AB186" s="3">
        <v>40.5</v>
      </c>
      <c r="AC186" s="3">
        <v>39.5</v>
      </c>
      <c r="AD186" s="3">
        <v>42.3</v>
      </c>
      <c r="AE186" s="3">
        <v>43</v>
      </c>
      <c r="AF186" s="3">
        <v>46.8</v>
      </c>
      <c r="AG186" s="3">
        <v>40.700000000000003</v>
      </c>
      <c r="AH186" s="3">
        <v>37.700000000000003</v>
      </c>
      <c r="AI186" s="3">
        <v>37.6</v>
      </c>
      <c r="AJ186" s="3">
        <v>36.799999999999997</v>
      </c>
      <c r="AK186" s="3">
        <v>35.5</v>
      </c>
      <c r="AL186" s="3">
        <v>34.6</v>
      </c>
      <c r="AM186" s="3">
        <v>34.700000000000003</v>
      </c>
      <c r="AN186" s="3">
        <v>33.799999999999997</v>
      </c>
      <c r="AO186" s="3">
        <v>31.9</v>
      </c>
      <c r="AP186" s="3">
        <v>30.5</v>
      </c>
      <c r="AQ186" s="3">
        <v>29.2</v>
      </c>
      <c r="AR186" s="3">
        <v>27.8</v>
      </c>
      <c r="AS186" s="3">
        <v>31.8</v>
      </c>
      <c r="AT186" s="3">
        <v>33.1</v>
      </c>
      <c r="AU186" s="3">
        <v>22.5</v>
      </c>
      <c r="AV186" s="3">
        <v>20.399999999999999</v>
      </c>
      <c r="AW186" s="3">
        <v>17.8</v>
      </c>
      <c r="AX186" s="3">
        <v>13.1</v>
      </c>
      <c r="AY186" s="3">
        <v>11.2</v>
      </c>
      <c r="AZ186" s="3">
        <v>0</v>
      </c>
      <c r="BA186" s="3">
        <v>0</v>
      </c>
      <c r="BB186" s="3">
        <v>0</v>
      </c>
      <c r="BC186" s="3">
        <v>43.150093457124463</v>
      </c>
      <c r="BD186" s="3">
        <v>51.04990654287554</v>
      </c>
      <c r="BE186" s="3">
        <v>50.249906542875543</v>
      </c>
      <c r="BF186" s="3">
        <v>48.109906542875528</v>
      </c>
      <c r="BG186" s="3">
        <v>44.636573209542199</v>
      </c>
      <c r="BH186" s="3">
        <v>39.776573209542214</v>
      </c>
      <c r="BI186" s="3">
        <v>39.189906542875541</v>
      </c>
      <c r="BJ186" s="3">
        <v>42.783239876208874</v>
      </c>
      <c r="BK186" s="3">
        <v>43.356573209542198</v>
      </c>
      <c r="BL186" s="3">
        <v>46.729906542875533</v>
      </c>
      <c r="BM186" s="3">
        <v>40.763239876208878</v>
      </c>
      <c r="BN186" s="3">
        <v>38.04657320954221</v>
      </c>
      <c r="BO186" s="3">
        <v>37.313239876208876</v>
      </c>
      <c r="BP186" s="3">
        <v>36.229906542875533</v>
      </c>
      <c r="BQ186" s="3">
        <v>35.346573209542207</v>
      </c>
      <c r="BR186" s="3">
        <v>34.773239876208883</v>
      </c>
      <c r="BS186" s="3">
        <v>34.676573209542219</v>
      </c>
      <c r="BT186" s="3">
        <v>33.973239876208872</v>
      </c>
      <c r="BU186" s="3">
        <v>32.039906542875535</v>
      </c>
      <c r="BV186" s="3">
        <v>30.356573209542212</v>
      </c>
      <c r="BW186" s="3">
        <v>29.589906542875546</v>
      </c>
      <c r="BX186" s="3">
        <v>28.109906542875542</v>
      </c>
      <c r="BY186" s="3">
        <v>31.929906542875536</v>
      </c>
      <c r="BZ186" s="3">
        <v>33.359906542875542</v>
      </c>
      <c r="CA186" s="3">
        <v>22.859906542875528</v>
      </c>
      <c r="CB186" s="3">
        <v>20.196573209542201</v>
      </c>
      <c r="CC186" s="3">
        <v>17.809906542875538</v>
      </c>
      <c r="CD186" s="3">
        <v>12.416573209542214</v>
      </c>
      <c r="CE186" s="3">
        <v>10.709906542875537</v>
      </c>
      <c r="CF186" s="3">
        <v>-0.87676012379112933</v>
      </c>
      <c r="CG186" s="3">
        <v>-1.4100934571244608</v>
      </c>
      <c r="CH186" s="3">
        <v>-2.4867601237911288</v>
      </c>
      <c r="CI186" s="13">
        <f>[1]!dbasum(RecData[[#This Row],[20]:[2000]],RecData[[#Headers],[20]:[2000]])</f>
        <v>41.942030795630657</v>
      </c>
      <c r="CJ186" s="14">
        <v>967</v>
      </c>
      <c r="CK186" s="15" t="s">
        <v>249</v>
      </c>
      <c r="CL186" s="15">
        <f>RecData[[#This Row],[Start Time]]</f>
        <v>43252.998611111114</v>
      </c>
      <c r="CM186" s="16">
        <f>RecData[[#This Row],[Wind Speed avg]]</f>
        <v>1.07</v>
      </c>
      <c r="CN186" s="16">
        <f>RecData[[#This Row],[Wind Dir. avg]]</f>
        <v>183.5</v>
      </c>
      <c r="CO186" s="16">
        <f>RecData[[#This Row],[Amb. Humidity]]</f>
        <v>57.8</v>
      </c>
      <c r="CP186" s="16">
        <f>RecData[[#This Row],[Amb. Temperature]]</f>
        <v>9.4</v>
      </c>
      <c r="CQ186" s="17">
        <f>RecData[[#This Row],[Amb. Rain Gauge]]</f>
        <v>0</v>
      </c>
      <c r="CR186" s="4" t="s">
        <v>1</v>
      </c>
      <c r="CS186" s="4" t="s">
        <v>49</v>
      </c>
      <c r="CT186" s="70">
        <v>1568.329956</v>
      </c>
      <c r="CU186" s="70">
        <v>33.000282287597599</v>
      </c>
      <c r="CV186" s="70">
        <v>13.530736923217701</v>
      </c>
      <c r="CW186" s="70">
        <v>15.220643043518001</v>
      </c>
      <c r="CX186" s="97"/>
      <c r="CY186" s="99"/>
      <c r="CZ186" s="2" t="b">
        <f>IF($DP$1="YES",IF(RecData[[#This Row],[Power (kW)]]&gt;=$CR$3, TRUE,FALSE),TRUE)</f>
        <v>1</v>
      </c>
      <c r="DA186" s="16">
        <f>MIN(MOD(180-ABS(ABS($DA$1-RecData[Yaw Angle (°)])-180),360),MOD(180-ABS(ABS($DB$1-RecData[Yaw Angle (°)])-180),360))</f>
        <v>25.470355509910064</v>
      </c>
      <c r="DB186" s="2" t="str">
        <f>IF($DP$2="None","None",IF(RecData[[#This Row],[Relative Wind Direction]]&lt;=45,"DW",IF(RecData[[#This Row],[Relative Wind Direction]]&lt;=135,"CW","UW")))</f>
        <v>DW</v>
      </c>
      <c r="DC186" s="61" t="e">
        <f>IF($CL186-#REF!&gt;1/24,#REF!,IF(SUM($CQ186:$CQ186)&gt;$DS$1,$DS$5,DC187-1))</f>
        <v>#REF!</v>
      </c>
      <c r="DD186" s="61" t="e">
        <f>IF($CL187-$CL186&gt;1/24,#REF!,IF(SUM($CQ186:$CQ186)&gt;$DS$1,$DS$6,#REF!-1))</f>
        <v>#REF!</v>
      </c>
      <c r="DE186" s="18" t="b">
        <v>0</v>
      </c>
      <c r="DF186" s="2" t="b">
        <f>IF(OR(RecData[[#This Row],[WSpd_Avg '[m/s']]]-RecData[[#This Row],[Wind Speed min]]&gt;=$DF$3,RecData[[#This Row],[Wind Speed max]]-RecData[[#This Row],[WSpd_Avg '[m/s']]]&gt;=$DF$2),TRUE,FALSE)</f>
        <v>0</v>
      </c>
      <c r="DG186" s="2" t="b">
        <f>RecData[[#This Row],[Temperature '[°C']]]&lt;=-20</f>
        <v>0</v>
      </c>
      <c r="DH186" s="18" t="b">
        <f>NOT(OR(MOD(RecData[[#This Row],[TIMESTAMP]],1)&gt;0.91632,MOD(RecData[[#This Row],[TIMESTAMP]],1)&lt;0.208681))</f>
        <v>0</v>
      </c>
      <c r="DI186" s="18" t="b">
        <f>RecData[[#This Row],[Overall (dBA)]]-RecData[[#This Row],[L90]]&gt;=$DS$4</f>
        <v>0</v>
      </c>
      <c r="DJ186" s="18" t="b">
        <f>RecData[[#This Row],[Overall (dBA)]]&gt;$DS$2</f>
        <v>0</v>
      </c>
      <c r="DK186" s="18" t="b">
        <f>RecData[[#This Row],[Overall (dBA)]]&lt;$DS$3</f>
        <v>0</v>
      </c>
      <c r="DL1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6" s="2">
        <f>IF(AND(RecData[[#This Row],[Turbines ON/OFF]] = "OFF", NOT(OR(RecData[[#This Row],[Junk?]]="YES",RecData[[#This Row],[Gust?]],RecData[[#This Row],[Rain?]:[Min SPL Threshold?]]))),1,0)</f>
        <v>0</v>
      </c>
      <c r="DN186" s="16">
        <f>RecData[[#This Row],[dBA Sum]]</f>
        <v>41.942030795630657</v>
      </c>
      <c r="DO186" s="16">
        <f>RecData[[#This Row],[LAF90.0]]</f>
        <v>41.6</v>
      </c>
      <c r="DP186" s="55">
        <f>IF(AND(RecData[[#This Row],[Useable TON Data?]],RecData[[#This Row],[Turbines ON/OFF]]="ON"),RecData[[#This Row],[dBA Sum]],"")</f>
        <v>41.942030795630657</v>
      </c>
      <c r="DQ186" s="55" t="str">
        <f>IF(AND(RecData[[#This Row],[Useable Background Data?]],RecData[[#This Row],[Turbines ON/OFF]]="OFF"),RecData[[#This Row],[dBA Sum]],"")</f>
        <v/>
      </c>
      <c r="DR186" s="3">
        <f>IF(OR(RecData[[#This Row],[Useable TON Data?]],RecData[[#This Row],[Useable Background Data?]]),ROUND(RecData[[#This Row],[WSpd_Avg '[m/s']]],0),"")</f>
        <v>1</v>
      </c>
      <c r="DS186" s="85">
        <f>(0.00002)^2*(10^(RecData[[#This Row],[Overall (dBA)]]/10))</f>
        <v>6.2555150154701529E-6</v>
      </c>
    </row>
    <row r="187" spans="1:123" ht="15" x14ac:dyDescent="0.25">
      <c r="A187" s="3" t="s">
        <v>249</v>
      </c>
      <c r="B187" s="12">
        <v>43252.999305555561</v>
      </c>
      <c r="C187" s="3"/>
      <c r="D187" s="3">
        <v>43.4</v>
      </c>
      <c r="E187" s="3"/>
      <c r="F187" s="3"/>
      <c r="G187" s="3"/>
      <c r="H187" s="3"/>
      <c r="I187" s="3"/>
      <c r="J187" s="3"/>
      <c r="K187" s="3">
        <v>42.1</v>
      </c>
      <c r="L187" s="3"/>
      <c r="M187" s="3"/>
      <c r="N187" s="3">
        <v>177.3</v>
      </c>
      <c r="O187" s="3"/>
      <c r="P187" s="3"/>
      <c r="Q187" s="3">
        <v>0.97</v>
      </c>
      <c r="R187" s="3">
        <v>0.1</v>
      </c>
      <c r="S187" s="3">
        <v>2.2000000000000002</v>
      </c>
      <c r="T187" s="3">
        <v>9.4</v>
      </c>
      <c r="U187" s="3">
        <v>57.4</v>
      </c>
      <c r="V187" s="3">
        <v>975.3</v>
      </c>
      <c r="W187" s="3">
        <v>0</v>
      </c>
      <c r="X187" s="3">
        <v>51.3</v>
      </c>
      <c r="Y187" s="3">
        <v>50.2</v>
      </c>
      <c r="Z187" s="3">
        <v>49.8</v>
      </c>
      <c r="AA187" s="3">
        <v>46.1</v>
      </c>
      <c r="AB187" s="3">
        <v>41.2</v>
      </c>
      <c r="AC187" s="3">
        <v>39.799999999999997</v>
      </c>
      <c r="AD187" s="3">
        <v>43.1</v>
      </c>
      <c r="AE187" s="3">
        <v>43.9</v>
      </c>
      <c r="AF187" s="3">
        <v>46.9</v>
      </c>
      <c r="AG187" s="3">
        <v>40.6</v>
      </c>
      <c r="AH187" s="3">
        <v>38.5</v>
      </c>
      <c r="AI187" s="3">
        <v>37.9</v>
      </c>
      <c r="AJ187" s="3">
        <v>37.1</v>
      </c>
      <c r="AK187" s="3">
        <v>36.1</v>
      </c>
      <c r="AL187" s="3">
        <v>35</v>
      </c>
      <c r="AM187" s="3">
        <v>35.200000000000003</v>
      </c>
      <c r="AN187" s="3">
        <v>34.1</v>
      </c>
      <c r="AO187" s="3">
        <v>32.299999999999997</v>
      </c>
      <c r="AP187" s="3">
        <v>30.5</v>
      </c>
      <c r="AQ187" s="3">
        <v>28.6</v>
      </c>
      <c r="AR187" s="3">
        <v>26.6</v>
      </c>
      <c r="AS187" s="3">
        <v>31.9</v>
      </c>
      <c r="AT187" s="3">
        <v>33.6</v>
      </c>
      <c r="AU187" s="3">
        <v>22.4</v>
      </c>
      <c r="AV187" s="3">
        <v>21.3</v>
      </c>
      <c r="AW187" s="3">
        <v>18.899999999999999</v>
      </c>
      <c r="AX187" s="3">
        <v>14.7</v>
      </c>
      <c r="AY187" s="3">
        <v>12.7</v>
      </c>
      <c r="AZ187" s="3">
        <v>0</v>
      </c>
      <c r="BA187" s="3">
        <v>0</v>
      </c>
      <c r="BB187" s="3">
        <v>0</v>
      </c>
      <c r="BC187" s="3">
        <v>43.406051538789484</v>
      </c>
      <c r="BD187" s="3">
        <v>51.293948461210505</v>
      </c>
      <c r="BE187" s="3">
        <v>50.19394846121051</v>
      </c>
      <c r="BF187" s="3">
        <v>48.55394846121051</v>
      </c>
      <c r="BG187" s="3">
        <v>45.180615127877189</v>
      </c>
      <c r="BH187" s="3">
        <v>40.420615127877184</v>
      </c>
      <c r="BI187" s="3">
        <v>39.43394846121052</v>
      </c>
      <c r="BJ187" s="3">
        <v>43.527281794543853</v>
      </c>
      <c r="BK187" s="3">
        <v>44.200615127877171</v>
      </c>
      <c r="BL187" s="3">
        <v>46.773948461210523</v>
      </c>
      <c r="BM187" s="3">
        <v>40.607281794543852</v>
      </c>
      <c r="BN187" s="3">
        <v>38.790615127877174</v>
      </c>
      <c r="BO187" s="3">
        <v>37.557281794543854</v>
      </c>
      <c r="BP187" s="3">
        <v>36.473948461210512</v>
      </c>
      <c r="BQ187" s="3">
        <v>35.890615127877169</v>
      </c>
      <c r="BR187" s="3">
        <v>35.117281794543857</v>
      </c>
      <c r="BS187" s="3">
        <v>35.120615127877187</v>
      </c>
      <c r="BT187" s="3">
        <v>34.217281794543851</v>
      </c>
      <c r="BU187" s="3">
        <v>32.383948461210508</v>
      </c>
      <c r="BV187" s="3">
        <v>30.30061512787718</v>
      </c>
      <c r="BW187" s="3">
        <v>28.93394846121052</v>
      </c>
      <c r="BX187" s="3">
        <v>26.853948461210521</v>
      </c>
      <c r="BY187" s="3">
        <v>31.973948461210512</v>
      </c>
      <c r="BZ187" s="3">
        <v>33.803948461210524</v>
      </c>
      <c r="CA187" s="3">
        <v>22.703948461210501</v>
      </c>
      <c r="CB187" s="3">
        <v>21.040615127877174</v>
      </c>
      <c r="CC187" s="3">
        <v>18.853948461210507</v>
      </c>
      <c r="CD187" s="3">
        <v>13.960615127877183</v>
      </c>
      <c r="CE187" s="3">
        <v>12.153948461210511</v>
      </c>
      <c r="CF187" s="3">
        <v>-0.93271820545615469</v>
      </c>
      <c r="CG187" s="3">
        <v>-1.4660515387894861</v>
      </c>
      <c r="CH187" s="3">
        <v>-2.5427182054561541</v>
      </c>
      <c r="CI187" s="13">
        <f>[1]!dbasum(RecData[[#This Row],[20]:[2000]],RecData[[#Headers],[20]:[2000]])</f>
        <v>42.105573764218029</v>
      </c>
      <c r="CJ187" s="14">
        <v>968</v>
      </c>
      <c r="CK187" s="15" t="s">
        <v>249</v>
      </c>
      <c r="CL187" s="15">
        <f>RecData[[#This Row],[Start Time]]</f>
        <v>43252.999305555561</v>
      </c>
      <c r="CM187" s="16">
        <f>RecData[[#This Row],[Wind Speed avg]]</f>
        <v>0.97</v>
      </c>
      <c r="CN187" s="16">
        <f>RecData[[#This Row],[Wind Dir. avg]]</f>
        <v>177.3</v>
      </c>
      <c r="CO187" s="16">
        <f>RecData[[#This Row],[Amb. Humidity]]</f>
        <v>57.4</v>
      </c>
      <c r="CP187" s="16">
        <f>RecData[[#This Row],[Amb. Temperature]]</f>
        <v>9.4</v>
      </c>
      <c r="CQ187" s="17">
        <f>RecData[[#This Row],[Amb. Rain Gauge]]</f>
        <v>0</v>
      </c>
      <c r="CR187" s="4" t="s">
        <v>1</v>
      </c>
      <c r="CS187" s="4" t="s">
        <v>49</v>
      </c>
      <c r="CT187" s="70">
        <v>1568.329956</v>
      </c>
      <c r="CU187" s="70">
        <v>33.000282287597599</v>
      </c>
      <c r="CV187" s="70">
        <v>13.530736923217701</v>
      </c>
      <c r="CW187" s="70">
        <v>15.220643043518001</v>
      </c>
      <c r="CX187" s="97"/>
      <c r="CY187" s="99"/>
      <c r="CZ187" s="2" t="b">
        <f>IF($DP$1="YES",IF(RecData[[#This Row],[Power (kW)]]&gt;=$CR$3, TRUE,FALSE),TRUE)</f>
        <v>1</v>
      </c>
      <c r="DA187" s="16">
        <f>MIN(MOD(180-ABS(ABS($DA$1-RecData[Yaw Angle (°)])-180),360),MOD(180-ABS(ABS($DB$1-RecData[Yaw Angle (°)])-180),360))</f>
        <v>25.470355509910064</v>
      </c>
      <c r="DB187" s="2" t="str">
        <f>IF($DP$2="None","None",IF(RecData[[#This Row],[Relative Wind Direction]]&lt;=45,"DW",IF(RecData[[#This Row],[Relative Wind Direction]]&lt;=135,"CW","UW")))</f>
        <v>DW</v>
      </c>
      <c r="DC187" s="61" t="e">
        <f>IF($CL187-#REF!&gt;1/24,#REF!,IF(SUM($CQ186:$CQ187)&gt;$DS$1,$DS$5,#REF!-1))</f>
        <v>#REF!</v>
      </c>
      <c r="DD187" s="61" t="e">
        <f>IF(#REF!-$CL187&gt;1/24,#REF!,IF(SUM($CQ186:$CQ187)&gt;$DS$1,$DS$6,DD186-1))</f>
        <v>#REF!</v>
      </c>
      <c r="DE187" s="18" t="b">
        <v>0</v>
      </c>
      <c r="DF187" s="2" t="b">
        <f>IF(OR(RecData[[#This Row],[WSpd_Avg '[m/s']]]-RecData[[#This Row],[Wind Speed min]]&gt;=$DF$3,RecData[[#This Row],[Wind Speed max]]-RecData[[#This Row],[WSpd_Avg '[m/s']]]&gt;=$DF$2),TRUE,FALSE)</f>
        <v>0</v>
      </c>
      <c r="DG187" s="2" t="b">
        <f>RecData[[#This Row],[Temperature '[°C']]]&lt;=-20</f>
        <v>0</v>
      </c>
      <c r="DH187" s="18" t="b">
        <f>NOT(OR(MOD(RecData[[#This Row],[TIMESTAMP]],1)&gt;0.91632,MOD(RecData[[#This Row],[TIMESTAMP]],1)&lt;0.208681))</f>
        <v>0</v>
      </c>
      <c r="DI187" s="18" t="b">
        <f>RecData[[#This Row],[Overall (dBA)]]-RecData[[#This Row],[L90]]&gt;=$DS$4</f>
        <v>0</v>
      </c>
      <c r="DJ187" s="18" t="b">
        <f>RecData[[#This Row],[Overall (dBA)]]&gt;$DS$2</f>
        <v>0</v>
      </c>
      <c r="DK187" s="18" t="b">
        <f>RecData[[#This Row],[Overall (dBA)]]&lt;$DS$3</f>
        <v>0</v>
      </c>
      <c r="DL1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87" s="2">
        <f>IF(AND(RecData[[#This Row],[Turbines ON/OFF]] = "OFF", NOT(OR(RecData[[#This Row],[Junk?]]="YES",RecData[[#This Row],[Gust?]],RecData[[#This Row],[Rain?]:[Min SPL Threshold?]]))),1,0)</f>
        <v>0</v>
      </c>
      <c r="DN187" s="16">
        <f>RecData[[#This Row],[dBA Sum]]</f>
        <v>42.105573764218029</v>
      </c>
      <c r="DO187" s="16">
        <f>RecData[[#This Row],[LAF90.0]]</f>
        <v>42.1</v>
      </c>
      <c r="DP187" s="55">
        <f>IF(AND(RecData[[#This Row],[Useable TON Data?]],RecData[[#This Row],[Turbines ON/OFF]]="ON"),RecData[[#This Row],[dBA Sum]],"")</f>
        <v>42.105573764218029</v>
      </c>
      <c r="DQ187" s="55" t="str">
        <f>IF(AND(RecData[[#This Row],[Useable Background Data?]],RecData[[#This Row],[Turbines ON/OFF]]="OFF"),RecData[[#This Row],[dBA Sum]],"")</f>
        <v/>
      </c>
      <c r="DR187" s="3">
        <f>IF(OR(RecData[[#This Row],[Useable TON Data?]],RecData[[#This Row],[Useable Background Data?]]),ROUND(RecData[[#This Row],[WSpd_Avg '[m/s']]],0),"")</f>
        <v>1</v>
      </c>
      <c r="DS187" s="85">
        <f>(0.00002)^2*(10^(RecData[[#This Row],[Overall (dBA)]]/10))</f>
        <v>6.4955715017859093E-6</v>
      </c>
    </row>
    <row r="188" spans="1:123" ht="15" x14ac:dyDescent="0.25">
      <c r="A188" s="3" t="s">
        <v>249</v>
      </c>
      <c r="B188" s="12">
        <v>43254.113888888889</v>
      </c>
      <c r="C188" s="3"/>
      <c r="D188" s="3">
        <v>38.299999999999997</v>
      </c>
      <c r="E188" s="3"/>
      <c r="F188" s="3"/>
      <c r="G188" s="3"/>
      <c r="H188" s="3"/>
      <c r="I188" s="3"/>
      <c r="J188" s="3"/>
      <c r="K188" s="3">
        <v>37</v>
      </c>
      <c r="L188" s="3"/>
      <c r="M188" s="3"/>
      <c r="N188" s="3">
        <v>164.1</v>
      </c>
      <c r="O188" s="3"/>
      <c r="P188" s="3"/>
      <c r="Q188" s="3">
        <v>1.72</v>
      </c>
      <c r="R188" s="3">
        <v>0.8</v>
      </c>
      <c r="S188" s="3">
        <v>2.8</v>
      </c>
      <c r="T188" s="3">
        <v>11.4</v>
      </c>
      <c r="U188" s="3">
        <v>52.2</v>
      </c>
      <c r="V188" s="3">
        <v>967.4</v>
      </c>
      <c r="W188" s="3">
        <v>0</v>
      </c>
      <c r="X188" s="3">
        <v>42.6</v>
      </c>
      <c r="Y188" s="3">
        <v>41.2</v>
      </c>
      <c r="Z188" s="3">
        <v>38.9</v>
      </c>
      <c r="AA188" s="3">
        <v>37.700000000000003</v>
      </c>
      <c r="AB188" s="3">
        <v>34.299999999999997</v>
      </c>
      <c r="AC188" s="3">
        <v>29.4</v>
      </c>
      <c r="AD188" s="3">
        <v>31.8</v>
      </c>
      <c r="AE188" s="3">
        <v>33.299999999999997</v>
      </c>
      <c r="AF188" s="3">
        <v>42.8</v>
      </c>
      <c r="AG188" s="3">
        <v>37.700000000000003</v>
      </c>
      <c r="AH188" s="3">
        <v>31.6</v>
      </c>
      <c r="AI188" s="3">
        <v>32.9</v>
      </c>
      <c r="AJ188" s="3">
        <v>32</v>
      </c>
      <c r="AK188" s="3">
        <v>30.7</v>
      </c>
      <c r="AL188" s="3">
        <v>29.8</v>
      </c>
      <c r="AM188" s="3">
        <v>30.7</v>
      </c>
      <c r="AN188" s="3">
        <v>29.7</v>
      </c>
      <c r="AO188" s="3">
        <v>27.8</v>
      </c>
      <c r="AP188" s="3">
        <v>26.8</v>
      </c>
      <c r="AQ188" s="3">
        <v>25.7</v>
      </c>
      <c r="AR188" s="3">
        <v>24.5</v>
      </c>
      <c r="AS188" s="3">
        <v>23.3</v>
      </c>
      <c r="AT188" s="3">
        <v>24.6</v>
      </c>
      <c r="AU188" s="3">
        <v>18.7</v>
      </c>
      <c r="AV188" s="3">
        <v>16.3</v>
      </c>
      <c r="AW188" s="3">
        <v>14.3</v>
      </c>
      <c r="AX188" s="3">
        <v>11.7</v>
      </c>
      <c r="AY188" s="3">
        <v>11</v>
      </c>
      <c r="AZ188" s="3">
        <v>0</v>
      </c>
      <c r="BA188" s="3">
        <v>0</v>
      </c>
      <c r="BB188" s="3">
        <v>0</v>
      </c>
      <c r="BC188" s="3">
        <v>38.272557767081146</v>
      </c>
      <c r="BD188" s="3">
        <v>42.62744223291886</v>
      </c>
      <c r="BE188" s="3">
        <v>41.227442232918854</v>
      </c>
      <c r="BF188" s="3">
        <v>37.687442232918848</v>
      </c>
      <c r="BG188" s="3">
        <v>36.814108899585527</v>
      </c>
      <c r="BH188" s="3">
        <v>33.554108899585508</v>
      </c>
      <c r="BI188" s="3">
        <v>29.067442232918857</v>
      </c>
      <c r="BJ188" s="3">
        <v>32.260775566252185</v>
      </c>
      <c r="BK188" s="3">
        <v>33.63410889958552</v>
      </c>
      <c r="BL188" s="3">
        <v>42.707442232918844</v>
      </c>
      <c r="BM188" s="3">
        <v>37.740775566252189</v>
      </c>
      <c r="BN188" s="3">
        <v>31.924108899585512</v>
      </c>
      <c r="BO188" s="3">
        <v>32.590775566252184</v>
      </c>
      <c r="BP188" s="3">
        <v>31.407442232918847</v>
      </c>
      <c r="BQ188" s="3">
        <v>30.524108899585507</v>
      </c>
      <c r="BR188" s="3">
        <v>29.950775566252183</v>
      </c>
      <c r="BS188" s="3">
        <v>30.654108899585516</v>
      </c>
      <c r="BT188" s="3">
        <v>29.850775566252189</v>
      </c>
      <c r="BU188" s="3">
        <v>27.917442232918852</v>
      </c>
      <c r="BV188" s="3">
        <v>26.63410889958552</v>
      </c>
      <c r="BW188" s="3">
        <v>26.067442232918857</v>
      </c>
      <c r="BX188" s="3">
        <v>24.787442232918856</v>
      </c>
      <c r="BY188" s="3">
        <v>23.407442232918847</v>
      </c>
      <c r="BZ188" s="3">
        <v>24.837442232918853</v>
      </c>
      <c r="CA188" s="3">
        <v>19.037442232918842</v>
      </c>
      <c r="CB188" s="3">
        <v>16.074108899585518</v>
      </c>
      <c r="CC188" s="3">
        <v>14.287442232918849</v>
      </c>
      <c r="CD188" s="3">
        <v>10.99410889958552</v>
      </c>
      <c r="CE188" s="3">
        <v>10.487442232918852</v>
      </c>
      <c r="CF188" s="3">
        <v>-0.89922443374781835</v>
      </c>
      <c r="CG188" s="3">
        <v>-1.4325577670811498</v>
      </c>
      <c r="CH188" s="3">
        <v>-2.5092244337478178</v>
      </c>
      <c r="CI188" s="13">
        <f>[1]!dbasum(RecData[[#This Row],[20]:[2000]],RecData[[#Headers],[20]:[2000]])</f>
        <v>37.702082205962903</v>
      </c>
      <c r="CJ188" s="14">
        <v>1557</v>
      </c>
      <c r="CK188" s="15" t="s">
        <v>249</v>
      </c>
      <c r="CL188" s="15">
        <f>RecData[[#This Row],[Start Time]]</f>
        <v>43254.113888888889</v>
      </c>
      <c r="CM188" s="16">
        <f>RecData[[#This Row],[Wind Speed avg]]</f>
        <v>1.72</v>
      </c>
      <c r="CN188" s="16">
        <f>RecData[[#This Row],[Wind Dir. avg]]</f>
        <v>164.1</v>
      </c>
      <c r="CO188" s="16">
        <f>RecData[[#This Row],[Amb. Humidity]]</f>
        <v>52.2</v>
      </c>
      <c r="CP188" s="16">
        <f>RecData[[#This Row],[Amb. Temperature]]</f>
        <v>11.4</v>
      </c>
      <c r="CQ188" s="17">
        <f>RecData[[#This Row],[Amb. Rain Gauge]]</f>
        <v>0</v>
      </c>
      <c r="CR188" s="4" t="s">
        <v>1</v>
      </c>
      <c r="CS188" s="4" t="s">
        <v>49</v>
      </c>
      <c r="CT188" s="70">
        <v>1620.563232</v>
      </c>
      <c r="CU188" s="70">
        <v>88.000747680664006</v>
      </c>
      <c r="CV188" s="70">
        <v>13.902798652648899</v>
      </c>
      <c r="CW188" s="70">
        <v>15.3122291564941</v>
      </c>
      <c r="CX188" s="4" t="s">
        <v>49</v>
      </c>
      <c r="CY188" s="69" t="s">
        <v>255</v>
      </c>
      <c r="CZ188" s="2" t="b">
        <f>IF($DP$1="YES",IF(RecData[[#This Row],[Power (kW)]]&gt;=$CR$3, TRUE,FALSE),TRUE)</f>
        <v>1</v>
      </c>
      <c r="DA188" s="16">
        <f>MIN(MOD(180-ABS(ABS($DA$1-RecData[Yaw Angle (°)])-180),360),MOD(180-ABS(ABS($DB$1-RecData[Yaw Angle (°)])-180),360))</f>
        <v>80.470820902976456</v>
      </c>
      <c r="DB188" s="2" t="str">
        <f>IF($DP$2="None","None",IF(RecData[[#This Row],[Relative Wind Direction]]&lt;=45,"DW",IF(RecData[[#This Row],[Relative Wind Direction]]&lt;=135,"CW","UW")))</f>
        <v>CW</v>
      </c>
      <c r="DC188" s="61" t="e">
        <f>IF($CL188-#REF!&gt;1/24,#REF!,IF(SUM($CQ188:$CQ188)&gt;$DS$1,$DS$5,#REF!-1))</f>
        <v>#REF!</v>
      </c>
      <c r="DD188" s="61" t="e">
        <f>IF(#REF!-$CL188&gt;1/24,#REF!,IF(SUM($CQ188:$CQ188)&gt;$DS$1,$DS$6,#REF!-1))</f>
        <v>#REF!</v>
      </c>
      <c r="DE188" s="18" t="b">
        <v>0</v>
      </c>
      <c r="DF188" s="2" t="b">
        <f>IF(OR(RecData[[#This Row],[WSpd_Avg '[m/s']]]-RecData[[#This Row],[Wind Speed min]]&gt;=$DF$3,RecData[[#This Row],[Wind Speed max]]-RecData[[#This Row],[WSpd_Avg '[m/s']]]&gt;=$DF$2),TRUE,FALSE)</f>
        <v>0</v>
      </c>
      <c r="DG188" s="2" t="b">
        <f>RecData[[#This Row],[Temperature '[°C']]]&lt;=-20</f>
        <v>0</v>
      </c>
      <c r="DH188" s="18" t="b">
        <f>NOT(OR(MOD(RecData[[#This Row],[TIMESTAMP]],1)&gt;0.91632,MOD(RecData[[#This Row],[TIMESTAMP]],1)&lt;0.208681))</f>
        <v>0</v>
      </c>
      <c r="DI188" s="18" t="b">
        <f>RecData[[#This Row],[Overall (dBA)]]-RecData[[#This Row],[L90]]&gt;=$DS$4</f>
        <v>0</v>
      </c>
      <c r="DJ188" s="18" t="b">
        <f>RecData[[#This Row],[Overall (dBA)]]&gt;$DS$2</f>
        <v>0</v>
      </c>
      <c r="DK188" s="18" t="b">
        <f>RecData[[#This Row],[Overall (dBA)]]&lt;$DS$3</f>
        <v>0</v>
      </c>
      <c r="DL1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88" s="2">
        <f>IF(AND(RecData[[#This Row],[Turbines ON/OFF]] = "OFF", NOT(OR(RecData[[#This Row],[Junk?]]="YES",RecData[[#This Row],[Gust?]],RecData[[#This Row],[Rain?]:[Min SPL Threshold?]]))),1,0)</f>
        <v>0</v>
      </c>
      <c r="DN188" s="16">
        <f>RecData[[#This Row],[dBA Sum]]</f>
        <v>37.702082205962903</v>
      </c>
      <c r="DO188" s="16">
        <f>RecData[[#This Row],[LAF90.0]]</f>
        <v>37</v>
      </c>
      <c r="DP188" s="55" t="str">
        <f>IF(AND(RecData[[#This Row],[Useable TON Data?]],RecData[[#This Row],[Turbines ON/OFF]]="ON"),RecData[[#This Row],[dBA Sum]],"")</f>
        <v/>
      </c>
      <c r="DQ188" s="55" t="str">
        <f>IF(AND(RecData[[#This Row],[Useable Background Data?]],RecData[[#This Row],[Turbines ON/OFF]]="OFF"),RecData[[#This Row],[dBA Sum]],"")</f>
        <v/>
      </c>
      <c r="DR188" s="3" t="str">
        <f>IF(OR(RecData[[#This Row],[Useable TON Data?]],RecData[[#This Row],[Useable Background Data?]]),ROUND(RecData[[#This Row],[WSpd_Avg '[m/s']]],0),"")</f>
        <v/>
      </c>
      <c r="DS188" s="85">
        <f>(0.00002)^2*(10^(RecData[[#This Row],[Overall (dBA)]]/10))</f>
        <v>2.3565041662737342E-6</v>
      </c>
    </row>
    <row r="189" spans="1:123" ht="15" x14ac:dyDescent="0.25">
      <c r="A189" s="3" t="s">
        <v>249</v>
      </c>
      <c r="B189" s="12">
        <v>43254.173611111117</v>
      </c>
      <c r="C189" s="3"/>
      <c r="D189" s="3">
        <v>41.8</v>
      </c>
      <c r="E189" s="3"/>
      <c r="F189" s="3"/>
      <c r="G189" s="3"/>
      <c r="H189" s="3"/>
      <c r="I189" s="3"/>
      <c r="J189" s="3"/>
      <c r="K189" s="3">
        <v>40.700000000000003</v>
      </c>
      <c r="L189" s="3"/>
      <c r="M189" s="3"/>
      <c r="N189" s="3">
        <v>166.9</v>
      </c>
      <c r="O189" s="3"/>
      <c r="P189" s="3"/>
      <c r="Q189" s="3">
        <v>1.82</v>
      </c>
      <c r="R189" s="3">
        <v>0.4</v>
      </c>
      <c r="S189" s="3">
        <v>3.1</v>
      </c>
      <c r="T189" s="3">
        <v>12.3</v>
      </c>
      <c r="U189" s="3">
        <v>46</v>
      </c>
      <c r="V189" s="3">
        <v>965.7</v>
      </c>
      <c r="W189" s="3">
        <v>0</v>
      </c>
      <c r="X189" s="3">
        <v>39.9</v>
      </c>
      <c r="Y189" s="3">
        <v>38.799999999999997</v>
      </c>
      <c r="Z189" s="3">
        <v>36.200000000000003</v>
      </c>
      <c r="AA189" s="3">
        <v>34.799999999999997</v>
      </c>
      <c r="AB189" s="3">
        <v>32</v>
      </c>
      <c r="AC189" s="3">
        <v>30.6</v>
      </c>
      <c r="AD189" s="3">
        <v>31.9</v>
      </c>
      <c r="AE189" s="3">
        <v>33.299999999999997</v>
      </c>
      <c r="AF189" s="3">
        <v>41</v>
      </c>
      <c r="AG189" s="3">
        <v>36.9</v>
      </c>
      <c r="AH189" s="3">
        <v>33.799999999999997</v>
      </c>
      <c r="AI189" s="3">
        <v>34.5</v>
      </c>
      <c r="AJ189" s="3">
        <v>34.200000000000003</v>
      </c>
      <c r="AK189" s="3">
        <v>33.5</v>
      </c>
      <c r="AL189" s="3">
        <v>32.799999999999997</v>
      </c>
      <c r="AM189" s="3">
        <v>33.299999999999997</v>
      </c>
      <c r="AN189" s="3">
        <v>33</v>
      </c>
      <c r="AO189" s="3">
        <v>31.8</v>
      </c>
      <c r="AP189" s="3">
        <v>31.1</v>
      </c>
      <c r="AQ189" s="3">
        <v>30.4</v>
      </c>
      <c r="AR189" s="3">
        <v>29.8</v>
      </c>
      <c r="AS189" s="3">
        <v>29</v>
      </c>
      <c r="AT189" s="3">
        <v>28.4</v>
      </c>
      <c r="AU189" s="3">
        <v>25.9</v>
      </c>
      <c r="AV189" s="3">
        <v>24</v>
      </c>
      <c r="AW189" s="3">
        <v>21.8</v>
      </c>
      <c r="AX189" s="3">
        <v>17.100000000000001</v>
      </c>
      <c r="AY189" s="3">
        <v>15.2</v>
      </c>
      <c r="AZ189" s="3">
        <v>0</v>
      </c>
      <c r="BA189" s="3">
        <v>0</v>
      </c>
      <c r="BB189" s="3">
        <v>0</v>
      </c>
      <c r="BC189" s="3">
        <v>41.753200119085186</v>
      </c>
      <c r="BD189" s="3">
        <v>39.946799880914803</v>
      </c>
      <c r="BE189" s="3">
        <v>38.846799880914809</v>
      </c>
      <c r="BF189" s="3">
        <v>35.006799880914805</v>
      </c>
      <c r="BG189" s="3">
        <v>33.933466547581482</v>
      </c>
      <c r="BH189" s="3">
        <v>31.273466547581485</v>
      </c>
      <c r="BI189" s="3">
        <v>30.286799880914806</v>
      </c>
      <c r="BJ189" s="3">
        <v>32.38013321424814</v>
      </c>
      <c r="BK189" s="3">
        <v>33.65346654758148</v>
      </c>
      <c r="BL189" s="3">
        <v>40.926799880914821</v>
      </c>
      <c r="BM189" s="3">
        <v>36.960133214248152</v>
      </c>
      <c r="BN189" s="3">
        <v>34.143466547581475</v>
      </c>
      <c r="BO189" s="3">
        <v>34.210133214248152</v>
      </c>
      <c r="BP189" s="3">
        <v>33.62679988091481</v>
      </c>
      <c r="BQ189" s="3">
        <v>33.343466547581478</v>
      </c>
      <c r="BR189" s="3">
        <v>32.970133214248143</v>
      </c>
      <c r="BS189" s="3">
        <v>33.273466547581485</v>
      </c>
      <c r="BT189" s="3">
        <v>33.170133214248146</v>
      </c>
      <c r="BU189" s="3">
        <v>31.936799880914812</v>
      </c>
      <c r="BV189" s="3">
        <v>30.953466547581478</v>
      </c>
      <c r="BW189" s="3">
        <v>30.786799880914806</v>
      </c>
      <c r="BX189" s="3">
        <v>30.106799880914814</v>
      </c>
      <c r="BY189" s="3">
        <v>29.12679988091481</v>
      </c>
      <c r="BZ189" s="3">
        <v>28.656799880914811</v>
      </c>
      <c r="CA189" s="3">
        <v>26.256799880914805</v>
      </c>
      <c r="CB189" s="3">
        <v>23.793466547581481</v>
      </c>
      <c r="CC189" s="3">
        <v>21.806799880914809</v>
      </c>
      <c r="CD189" s="3">
        <v>16.413466547581486</v>
      </c>
      <c r="CE189" s="3">
        <v>14.706799880914808</v>
      </c>
      <c r="CF189" s="3">
        <v>-0.87986678575185806</v>
      </c>
      <c r="CG189" s="3">
        <v>-1.4132001190851895</v>
      </c>
      <c r="CH189" s="3">
        <v>-2.4898667857518575</v>
      </c>
      <c r="CI189" s="13">
        <f>[1]!dbasum(RecData[[#This Row],[20]:[2000]],RecData[[#Headers],[20]:[2000]])</f>
        <v>40.875028978311001</v>
      </c>
      <c r="CJ189" s="14">
        <v>1643</v>
      </c>
      <c r="CK189" s="15" t="s">
        <v>249</v>
      </c>
      <c r="CL189" s="15">
        <f>RecData[[#This Row],[Start Time]]</f>
        <v>43254.173611111117</v>
      </c>
      <c r="CM189" s="16">
        <f>RecData[[#This Row],[Wind Speed avg]]</f>
        <v>1.82</v>
      </c>
      <c r="CN189" s="16">
        <f>RecData[[#This Row],[Wind Dir. avg]]</f>
        <v>166.9</v>
      </c>
      <c r="CO189" s="16">
        <f>RecData[[#This Row],[Amb. Humidity]]</f>
        <v>46</v>
      </c>
      <c r="CP189" s="16">
        <f>RecData[[#This Row],[Amb. Temperature]]</f>
        <v>12.3</v>
      </c>
      <c r="CQ189" s="17">
        <f>RecData[[#This Row],[Amb. Rain Gauge]]</f>
        <v>0</v>
      </c>
      <c r="CR189" s="4" t="s">
        <v>1</v>
      </c>
      <c r="CS189" s="4" t="s">
        <v>49</v>
      </c>
      <c r="CT189" s="70">
        <v>1619.637939</v>
      </c>
      <c r="CU189" s="70">
        <v>95.000808715820298</v>
      </c>
      <c r="CV189" s="70">
        <v>13.5542678833007</v>
      </c>
      <c r="CW189" s="70">
        <v>15.31565284729</v>
      </c>
      <c r="CX189" s="4" t="s">
        <v>49</v>
      </c>
      <c r="CY189" s="69" t="s">
        <v>255</v>
      </c>
      <c r="CZ189" s="2" t="b">
        <f>IF($DP$1="YES",IF(RecData[[#This Row],[Power (kW)]]&gt;=$CR$3, TRUE,FALSE),TRUE)</f>
        <v>1</v>
      </c>
      <c r="DA189" s="16">
        <f>MIN(MOD(180-ABS(ABS($DA$1-RecData[Yaw Angle (°)])-180),360),MOD(180-ABS(ABS($DB$1-RecData[Yaw Angle (°)])-180),360))</f>
        <v>87.470881938132749</v>
      </c>
      <c r="DB189" s="2" t="str">
        <f>IF($DP$2="None","None",IF(RecData[[#This Row],[Relative Wind Direction]]&lt;=45,"DW",IF(RecData[[#This Row],[Relative Wind Direction]]&lt;=135,"CW","UW")))</f>
        <v>CW</v>
      </c>
      <c r="DC189" s="61" t="e">
        <f>IF($CL189-#REF!&gt;1/24,#REF!,IF(SUM($CQ189:$CQ189)&gt;$DS$1,$DS$5,#REF!-1))</f>
        <v>#REF!</v>
      </c>
      <c r="DD189" s="61" t="e">
        <f>IF(#REF!-$CL189&gt;1/24,#REF!,IF(SUM($CQ189:$CQ189)&gt;$DS$1,$DS$6,#REF!-1))</f>
        <v>#REF!</v>
      </c>
      <c r="DE189" s="18" t="b">
        <v>0</v>
      </c>
      <c r="DF189" s="2" t="b">
        <f>IF(OR(RecData[[#This Row],[WSpd_Avg '[m/s']]]-RecData[[#This Row],[Wind Speed min]]&gt;=$DF$3,RecData[[#This Row],[Wind Speed max]]-RecData[[#This Row],[WSpd_Avg '[m/s']]]&gt;=$DF$2),TRUE,FALSE)</f>
        <v>0</v>
      </c>
      <c r="DG189" s="2" t="b">
        <f>RecData[[#This Row],[Temperature '[°C']]]&lt;=-20</f>
        <v>0</v>
      </c>
      <c r="DH189" s="18" t="b">
        <f>NOT(OR(MOD(RecData[[#This Row],[TIMESTAMP]],1)&gt;0.91632,MOD(RecData[[#This Row],[TIMESTAMP]],1)&lt;0.208681))</f>
        <v>0</v>
      </c>
      <c r="DI189" s="18" t="b">
        <f>RecData[[#This Row],[Overall (dBA)]]-RecData[[#This Row],[L90]]&gt;=$DS$4</f>
        <v>0</v>
      </c>
      <c r="DJ189" s="18" t="b">
        <f>RecData[[#This Row],[Overall (dBA)]]&gt;$DS$2</f>
        <v>0</v>
      </c>
      <c r="DK189" s="18" t="b">
        <f>RecData[[#This Row],[Overall (dBA)]]&lt;$DS$3</f>
        <v>0</v>
      </c>
      <c r="DL1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89" s="2">
        <f>IF(AND(RecData[[#This Row],[Turbines ON/OFF]] = "OFF", NOT(OR(RecData[[#This Row],[Junk?]]="YES",RecData[[#This Row],[Gust?]],RecData[[#This Row],[Rain?]:[Min SPL Threshold?]]))),1,0)</f>
        <v>0</v>
      </c>
      <c r="DN189" s="16">
        <f>RecData[[#This Row],[dBA Sum]]</f>
        <v>40.875028978311001</v>
      </c>
      <c r="DO189" s="16">
        <f>RecData[[#This Row],[LAF90.0]]</f>
        <v>40.700000000000003</v>
      </c>
      <c r="DP189" s="55" t="str">
        <f>IF(AND(RecData[[#This Row],[Useable TON Data?]],RecData[[#This Row],[Turbines ON/OFF]]="ON"),RecData[[#This Row],[dBA Sum]],"")</f>
        <v/>
      </c>
      <c r="DQ189" s="55" t="str">
        <f>IF(AND(RecData[[#This Row],[Useable Background Data?]],RecData[[#This Row],[Turbines ON/OFF]]="OFF"),RecData[[#This Row],[dBA Sum]],"")</f>
        <v/>
      </c>
      <c r="DR189" s="3" t="str">
        <f>IF(OR(RecData[[#This Row],[Useable TON Data?]],RecData[[#This Row],[Useable Background Data?]]),ROUND(RecData[[#This Row],[WSpd_Avg '[m/s']]],0),"")</f>
        <v/>
      </c>
      <c r="DS189" s="85">
        <f>(0.00002)^2*(10^(RecData[[#This Row],[Overall (dBA)]]/10))</f>
        <v>4.8928611237198288E-6</v>
      </c>
    </row>
    <row r="190" spans="1:123" ht="15" x14ac:dyDescent="0.25">
      <c r="A190" s="3" t="s">
        <v>249</v>
      </c>
      <c r="B190" s="12">
        <v>43254.185416666674</v>
      </c>
      <c r="C190" s="3"/>
      <c r="D190" s="3">
        <v>40.200000000000003</v>
      </c>
      <c r="E190" s="3"/>
      <c r="F190" s="3"/>
      <c r="G190" s="3"/>
      <c r="H190" s="3"/>
      <c r="I190" s="3"/>
      <c r="J190" s="3"/>
      <c r="K190" s="3">
        <v>39</v>
      </c>
      <c r="L190" s="3"/>
      <c r="M190" s="3"/>
      <c r="N190" s="3">
        <v>166.9</v>
      </c>
      <c r="O190" s="3"/>
      <c r="P190" s="3"/>
      <c r="Q190" s="3">
        <v>1.56</v>
      </c>
      <c r="R190" s="3">
        <v>0.5</v>
      </c>
      <c r="S190" s="3">
        <v>3.8</v>
      </c>
      <c r="T190" s="3">
        <v>12.1</v>
      </c>
      <c r="U190" s="3">
        <v>47</v>
      </c>
      <c r="V190" s="3">
        <v>965.3</v>
      </c>
      <c r="W190" s="3">
        <v>0</v>
      </c>
      <c r="X190" s="3">
        <v>39.200000000000003</v>
      </c>
      <c r="Y190" s="3">
        <v>37.9</v>
      </c>
      <c r="Z190" s="3">
        <v>35.9</v>
      </c>
      <c r="AA190" s="3">
        <v>33.6</v>
      </c>
      <c r="AB190" s="3">
        <v>31</v>
      </c>
      <c r="AC190" s="3">
        <v>30.3</v>
      </c>
      <c r="AD190" s="3">
        <v>30.4</v>
      </c>
      <c r="AE190" s="3">
        <v>32.5</v>
      </c>
      <c r="AF190" s="3">
        <v>41.7</v>
      </c>
      <c r="AG190" s="3">
        <v>35.9</v>
      </c>
      <c r="AH190" s="3">
        <v>32.6</v>
      </c>
      <c r="AI190" s="3">
        <v>33.200000000000003</v>
      </c>
      <c r="AJ190" s="3">
        <v>32.799999999999997</v>
      </c>
      <c r="AK190" s="3">
        <v>32.1</v>
      </c>
      <c r="AL190" s="3">
        <v>31.2</v>
      </c>
      <c r="AM190" s="3">
        <v>32</v>
      </c>
      <c r="AN190" s="3">
        <v>31.2</v>
      </c>
      <c r="AO190" s="3">
        <v>29.7</v>
      </c>
      <c r="AP190" s="3">
        <v>28.9</v>
      </c>
      <c r="AQ190" s="3">
        <v>28.2</v>
      </c>
      <c r="AR190" s="3">
        <v>27.6</v>
      </c>
      <c r="AS190" s="3">
        <v>27.2</v>
      </c>
      <c r="AT190" s="3">
        <v>27.4</v>
      </c>
      <c r="AU190" s="3">
        <v>25.5</v>
      </c>
      <c r="AV190" s="3">
        <v>24.2</v>
      </c>
      <c r="AW190" s="3">
        <v>22.6</v>
      </c>
      <c r="AX190" s="3">
        <v>18.2</v>
      </c>
      <c r="AY190" s="3">
        <v>16.3</v>
      </c>
      <c r="AZ190" s="3">
        <v>0</v>
      </c>
      <c r="BA190" s="3">
        <v>0</v>
      </c>
      <c r="BB190" s="3">
        <v>0</v>
      </c>
      <c r="BC190" s="3">
        <v>40.221448137346975</v>
      </c>
      <c r="BD190" s="3">
        <v>39.17855186265303</v>
      </c>
      <c r="BE190" s="3">
        <v>37.878551862653019</v>
      </c>
      <c r="BF190" s="3">
        <v>34.638551862653024</v>
      </c>
      <c r="BG190" s="3">
        <v>32.665218529319695</v>
      </c>
      <c r="BH190" s="3">
        <v>30.205218529319701</v>
      </c>
      <c r="BI190" s="3">
        <v>29.918551862653025</v>
      </c>
      <c r="BJ190" s="3">
        <v>30.811885195986356</v>
      </c>
      <c r="BK190" s="3">
        <v>32.785218529319685</v>
      </c>
      <c r="BL190" s="3">
        <v>41.558551862653026</v>
      </c>
      <c r="BM190" s="3">
        <v>35.891885195986369</v>
      </c>
      <c r="BN190" s="3">
        <v>32.875218529319689</v>
      </c>
      <c r="BO190" s="3">
        <v>32.841885195986357</v>
      </c>
      <c r="BP190" s="3">
        <v>32.15855186265302</v>
      </c>
      <c r="BQ190" s="3">
        <v>31.875218529319689</v>
      </c>
      <c r="BR190" s="3">
        <v>31.301885195986365</v>
      </c>
      <c r="BS190" s="3">
        <v>31.90521852931969</v>
      </c>
      <c r="BT190" s="3">
        <v>31.301885195986365</v>
      </c>
      <c r="BU190" s="3">
        <v>29.768551862653034</v>
      </c>
      <c r="BV190" s="3">
        <v>28.685218529319691</v>
      </c>
      <c r="BW190" s="3">
        <v>28.518551862653034</v>
      </c>
      <c r="BX190" s="3">
        <v>27.838551862653027</v>
      </c>
      <c r="BY190" s="3">
        <v>27.258551862653029</v>
      </c>
      <c r="BZ190" s="3">
        <v>27.588551862653027</v>
      </c>
      <c r="CA190" s="3">
        <v>25.788551862653016</v>
      </c>
      <c r="CB190" s="3">
        <v>23.9252185293197</v>
      </c>
      <c r="CC190" s="3">
        <v>22.53855186265303</v>
      </c>
      <c r="CD190" s="3">
        <v>17.445218529319696</v>
      </c>
      <c r="CE190" s="3">
        <v>15.738551862653026</v>
      </c>
      <c r="CF190" s="3">
        <v>-0.94811480401364179</v>
      </c>
      <c r="CG190" s="3">
        <v>-1.4814481373469732</v>
      </c>
      <c r="CH190" s="3">
        <v>-2.5581148040136412</v>
      </c>
      <c r="CI190" s="13">
        <f>[1]!dbasum(RecData[[#This Row],[20]:[2000]],RecData[[#Headers],[20]:[2000]])</f>
        <v>39.081395969306328</v>
      </c>
      <c r="CJ190" s="14">
        <v>1660</v>
      </c>
      <c r="CK190" s="15" t="s">
        <v>249</v>
      </c>
      <c r="CL190" s="15">
        <f>RecData[[#This Row],[Start Time]]</f>
        <v>43254.185416666674</v>
      </c>
      <c r="CM190" s="16">
        <f>RecData[[#This Row],[Wind Speed avg]]</f>
        <v>1.56</v>
      </c>
      <c r="CN190" s="16">
        <f>RecData[[#This Row],[Wind Dir. avg]]</f>
        <v>166.9</v>
      </c>
      <c r="CO190" s="16">
        <f>RecData[[#This Row],[Amb. Humidity]]</f>
        <v>47</v>
      </c>
      <c r="CP190" s="16">
        <f>RecData[[#This Row],[Amb. Temperature]]</f>
        <v>12.1</v>
      </c>
      <c r="CQ190" s="17">
        <f>RecData[[#This Row],[Amb. Rain Gauge]]</f>
        <v>0</v>
      </c>
      <c r="CR190" s="4" t="s">
        <v>1</v>
      </c>
      <c r="CS190" s="4" t="s">
        <v>49</v>
      </c>
      <c r="CT190" s="70">
        <v>1619.659058</v>
      </c>
      <c r="CU190" s="70">
        <v>95.000801086425696</v>
      </c>
      <c r="CV190" s="70">
        <v>13.143560409545801</v>
      </c>
      <c r="CW190" s="70">
        <v>15.3119859695434</v>
      </c>
      <c r="CX190" s="4" t="s">
        <v>49</v>
      </c>
      <c r="CY190" s="69" t="s">
        <v>255</v>
      </c>
      <c r="CZ190" s="2" t="b">
        <f>IF($DP$1="YES",IF(RecData[[#This Row],[Power (kW)]]&gt;=$CR$3, TRUE,FALSE),TRUE)</f>
        <v>1</v>
      </c>
      <c r="DA190" s="16">
        <f>MIN(MOD(180-ABS(ABS($DA$1-RecData[Yaw Angle (°)])-180),360),MOD(180-ABS(ABS($DB$1-RecData[Yaw Angle (°)])-180),360))</f>
        <v>87.470874308738146</v>
      </c>
      <c r="DB190" s="2" t="str">
        <f>IF($DP$2="None","None",IF(RecData[[#This Row],[Relative Wind Direction]]&lt;=45,"DW",IF(RecData[[#This Row],[Relative Wind Direction]]&lt;=135,"CW","UW")))</f>
        <v>CW</v>
      </c>
      <c r="DC190" s="61" t="e">
        <f>IF($CL190-#REF!&gt;1/24,#REF!,IF(SUM($CQ190:$CQ190)&gt;$DS$1,$DS$5,#REF!-1))</f>
        <v>#REF!</v>
      </c>
      <c r="DD190" s="61" t="e">
        <f>IF(#REF!-$CL190&gt;1/24,#REF!,IF(SUM($CQ190:$CQ190)&gt;$DS$1,$DS$6,#REF!-1))</f>
        <v>#REF!</v>
      </c>
      <c r="DE190" s="18" t="b">
        <v>0</v>
      </c>
      <c r="DF190" s="2" t="b">
        <f>IF(OR(RecData[[#This Row],[WSpd_Avg '[m/s']]]-RecData[[#This Row],[Wind Speed min]]&gt;=$DF$3,RecData[[#This Row],[Wind Speed max]]-RecData[[#This Row],[WSpd_Avg '[m/s']]]&gt;=$DF$2),TRUE,FALSE)</f>
        <v>1</v>
      </c>
      <c r="DG190" s="2" t="b">
        <f>RecData[[#This Row],[Temperature '[°C']]]&lt;=-20</f>
        <v>0</v>
      </c>
      <c r="DH190" s="18" t="b">
        <f>NOT(OR(MOD(RecData[[#This Row],[TIMESTAMP]],1)&gt;0.91632,MOD(RecData[[#This Row],[TIMESTAMP]],1)&lt;0.208681))</f>
        <v>0</v>
      </c>
      <c r="DI190" s="18" t="b">
        <f>RecData[[#This Row],[Overall (dBA)]]-RecData[[#This Row],[L90]]&gt;=$DS$4</f>
        <v>0</v>
      </c>
      <c r="DJ190" s="18" t="b">
        <f>RecData[[#This Row],[Overall (dBA)]]&gt;$DS$2</f>
        <v>0</v>
      </c>
      <c r="DK190" s="18" t="b">
        <f>RecData[[#This Row],[Overall (dBA)]]&lt;$DS$3</f>
        <v>0</v>
      </c>
      <c r="DL1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0" s="2">
        <f>IF(AND(RecData[[#This Row],[Turbines ON/OFF]] = "OFF", NOT(OR(RecData[[#This Row],[Junk?]]="YES",RecData[[#This Row],[Gust?]],RecData[[#This Row],[Rain?]:[Min SPL Threshold?]]))),1,0)</f>
        <v>0</v>
      </c>
      <c r="DN190" s="16">
        <f>RecData[[#This Row],[dBA Sum]]</f>
        <v>39.081395969306328</v>
      </c>
      <c r="DO190" s="16">
        <f>RecData[[#This Row],[LAF90.0]]</f>
        <v>39</v>
      </c>
      <c r="DP190" s="55" t="str">
        <f>IF(AND(RecData[[#This Row],[Useable TON Data?]],RecData[[#This Row],[Turbines ON/OFF]]="ON"),RecData[[#This Row],[dBA Sum]],"")</f>
        <v/>
      </c>
      <c r="DQ190" s="55" t="str">
        <f>IF(AND(RecData[[#This Row],[Useable Background Data?]],RecData[[#This Row],[Turbines ON/OFF]]="OFF"),RecData[[#This Row],[dBA Sum]],"")</f>
        <v/>
      </c>
      <c r="DR190" s="3" t="str">
        <f>IF(OR(RecData[[#This Row],[Useable TON Data?]],RecData[[#This Row],[Useable Background Data?]]),ROUND(RecData[[#This Row],[WSpd_Avg '[m/s']]],0),"")</f>
        <v/>
      </c>
      <c r="DS190" s="85">
        <f>(0.00002)^2*(10^(RecData[[#This Row],[Overall (dBA)]]/10))</f>
        <v>3.2374240470375085E-6</v>
      </c>
    </row>
    <row r="191" spans="1:123" ht="15" x14ac:dyDescent="0.25">
      <c r="A191" s="3" t="s">
        <v>249</v>
      </c>
      <c r="B191" s="12">
        <v>43254.969444444447</v>
      </c>
      <c r="C191" s="3"/>
      <c r="D191" s="3">
        <v>39.1</v>
      </c>
      <c r="E191" s="3"/>
      <c r="F191" s="3"/>
      <c r="G191" s="3"/>
      <c r="H191" s="3"/>
      <c r="I191" s="3"/>
      <c r="J191" s="3"/>
      <c r="K191" s="3">
        <v>36.700000000000003</v>
      </c>
      <c r="L191" s="3"/>
      <c r="M191" s="3"/>
      <c r="N191" s="3">
        <v>333.1</v>
      </c>
      <c r="O191" s="3"/>
      <c r="P191" s="3"/>
      <c r="Q191" s="3">
        <v>1.39</v>
      </c>
      <c r="R191" s="3">
        <v>0.9</v>
      </c>
      <c r="S191" s="3">
        <v>2.1</v>
      </c>
      <c r="T191" s="3">
        <v>6.1</v>
      </c>
      <c r="U191" s="3">
        <v>94.2</v>
      </c>
      <c r="V191" s="3">
        <v>962.6</v>
      </c>
      <c r="W191" s="3">
        <v>0</v>
      </c>
      <c r="X191" s="3">
        <v>35.799999999999997</v>
      </c>
      <c r="Y191" s="3">
        <v>27.8</v>
      </c>
      <c r="Z191" s="3">
        <v>28.2</v>
      </c>
      <c r="AA191" s="3">
        <v>27.1</v>
      </c>
      <c r="AB191" s="3">
        <v>24.5</v>
      </c>
      <c r="AC191" s="3">
        <v>22.2</v>
      </c>
      <c r="AD191" s="3">
        <v>24.1</v>
      </c>
      <c r="AE191" s="3">
        <v>28.1</v>
      </c>
      <c r="AF191" s="3">
        <v>28.8</v>
      </c>
      <c r="AG191" s="3">
        <v>28.2</v>
      </c>
      <c r="AH191" s="3">
        <v>27.9</v>
      </c>
      <c r="AI191" s="3">
        <v>28</v>
      </c>
      <c r="AJ191" s="3">
        <v>27.1</v>
      </c>
      <c r="AK191" s="3">
        <v>25.4</v>
      </c>
      <c r="AL191" s="3">
        <v>24.3</v>
      </c>
      <c r="AM191" s="3">
        <v>23.8</v>
      </c>
      <c r="AN191" s="3">
        <v>23.9</v>
      </c>
      <c r="AO191" s="3">
        <v>23.2</v>
      </c>
      <c r="AP191" s="3">
        <v>23.6</v>
      </c>
      <c r="AQ191" s="3">
        <v>23.7</v>
      </c>
      <c r="AR191" s="3">
        <v>23.8</v>
      </c>
      <c r="AS191" s="3">
        <v>32.200000000000003</v>
      </c>
      <c r="AT191" s="3">
        <v>34</v>
      </c>
      <c r="AU191" s="3">
        <v>21.5</v>
      </c>
      <c r="AV191" s="3">
        <v>20.9</v>
      </c>
      <c r="AW191" s="3">
        <v>19.8</v>
      </c>
      <c r="AX191" s="3">
        <v>16</v>
      </c>
      <c r="AY191" s="3">
        <v>14.1</v>
      </c>
      <c r="AZ191" s="3">
        <v>0</v>
      </c>
      <c r="BA191" s="3">
        <v>0</v>
      </c>
      <c r="BB191" s="3">
        <v>0</v>
      </c>
      <c r="BC191" s="3">
        <v>39.016660430542935</v>
      </c>
      <c r="BD191" s="3">
        <v>35.883339569457071</v>
      </c>
      <c r="BE191" s="3">
        <v>27.883339569457071</v>
      </c>
      <c r="BF191" s="3">
        <v>27.043339569457068</v>
      </c>
      <c r="BG191" s="3">
        <v>26.270006236123727</v>
      </c>
      <c r="BH191" s="3">
        <v>23.810006236123733</v>
      </c>
      <c r="BI191" s="3">
        <v>21.923339569457063</v>
      </c>
      <c r="BJ191" s="3">
        <v>24.616672902790405</v>
      </c>
      <c r="BK191" s="3">
        <v>28.490006236123726</v>
      </c>
      <c r="BL191" s="3">
        <v>28.763339569457067</v>
      </c>
      <c r="BM191" s="3">
        <v>28.296672902790398</v>
      </c>
      <c r="BN191" s="3">
        <v>28.280006236123732</v>
      </c>
      <c r="BO191" s="3">
        <v>27.746672902790401</v>
      </c>
      <c r="BP191" s="3">
        <v>26.563339569457064</v>
      </c>
      <c r="BQ191" s="3">
        <v>25.280006236123718</v>
      </c>
      <c r="BR191" s="3">
        <v>24.506672902790406</v>
      </c>
      <c r="BS191" s="3">
        <v>23.810006236123733</v>
      </c>
      <c r="BT191" s="3">
        <v>24.1066729027904</v>
      </c>
      <c r="BU191" s="3">
        <v>23.373339569457066</v>
      </c>
      <c r="BV191" s="3">
        <v>23.49000623612374</v>
      </c>
      <c r="BW191" s="3">
        <v>24.123339569457066</v>
      </c>
      <c r="BX191" s="3">
        <v>24.143339569457076</v>
      </c>
      <c r="BY191" s="3">
        <v>32.363339569457061</v>
      </c>
      <c r="BZ191" s="3">
        <v>34.293339569457068</v>
      </c>
      <c r="CA191" s="3">
        <v>21.893339569457062</v>
      </c>
      <c r="CB191" s="3">
        <v>20.730006236123735</v>
      </c>
      <c r="CC191" s="3">
        <v>19.843339569457065</v>
      </c>
      <c r="CD191" s="3">
        <v>15.35000623612374</v>
      </c>
      <c r="CE191" s="3">
        <v>13.643339569457062</v>
      </c>
      <c r="CF191" s="3">
        <v>-0.84332709720960253</v>
      </c>
      <c r="CG191" s="3">
        <v>-1.376660430542934</v>
      </c>
      <c r="CH191" s="3">
        <v>-2.453327097209602</v>
      </c>
      <c r="CI191" s="13">
        <f>[1]!dbasum(RecData[[#This Row],[20]:[2000]],RecData[[#Headers],[20]:[2000]])</f>
        <v>33.114336539420812</v>
      </c>
      <c r="CJ191" s="14">
        <v>1773</v>
      </c>
      <c r="CK191" s="15" t="s">
        <v>249</v>
      </c>
      <c r="CL191" s="15">
        <f>RecData[[#This Row],[Start Time]]</f>
        <v>43254.969444444447</v>
      </c>
      <c r="CM191" s="16">
        <f>RecData[[#This Row],[Wind Speed avg]]</f>
        <v>1.39</v>
      </c>
      <c r="CN191" s="16">
        <f>RecData[[#This Row],[Wind Dir. avg]]</f>
        <v>333.1</v>
      </c>
      <c r="CO191" s="16">
        <f>RecData[[#This Row],[Amb. Humidity]]</f>
        <v>94.2</v>
      </c>
      <c r="CP191" s="16">
        <f>RecData[[#This Row],[Amb. Temperature]]</f>
        <v>6.1</v>
      </c>
      <c r="CQ191" s="17">
        <f>RecData[[#This Row],[Amb. Rain Gauge]]</f>
        <v>0</v>
      </c>
      <c r="CR191" s="4" t="s">
        <v>257</v>
      </c>
      <c r="CS191" s="4" t="s">
        <v>49</v>
      </c>
      <c r="CT191" s="70">
        <v>603.33734130000005</v>
      </c>
      <c r="CU191" s="70">
        <v>255.00213623046801</v>
      </c>
      <c r="CV191" s="70">
        <v>6.8479113578796298</v>
      </c>
      <c r="CW191" s="70">
        <v>11.7243661880493</v>
      </c>
      <c r="CX191" s="4" t="s">
        <v>49</v>
      </c>
      <c r="CY191" s="69" t="s">
        <v>255</v>
      </c>
      <c r="CZ191" s="2" t="b">
        <f>IF($DP$1="YES",IF(RecData[[#This Row],[Power (kW)]]&gt;=$CR$3, TRUE,FALSE),TRUE)</f>
        <v>0</v>
      </c>
      <c r="DA191" s="16">
        <f>MIN(MOD(180-ABS(ABS($DA$1-RecData[Yaw Angle (°)])-180),360),MOD(180-ABS(ABS($DB$1-RecData[Yaw Angle (°)])-180),360))</f>
        <v>112.52779054721952</v>
      </c>
      <c r="DB191" s="2" t="str">
        <f>IF($DP$2="None","None",IF(RecData[[#This Row],[Relative Wind Direction]]&lt;=45,"DW",IF(RecData[[#This Row],[Relative Wind Direction]]&lt;=135,"CW","UW")))</f>
        <v>CW</v>
      </c>
      <c r="DC191" s="61" t="e">
        <f>IF($CL191-#REF!&gt;1/24,#REF!,IF(SUM($CQ191:$CQ191)&gt;$DS$1,$DS$5,#REF!-1))</f>
        <v>#REF!</v>
      </c>
      <c r="DD191" s="61" t="e">
        <f>IF(#REF!-$CL191&gt;1/24,#REF!,IF(SUM($CQ191:$CQ191)&gt;$DS$1,$DS$6,#REF!-1))</f>
        <v>#REF!</v>
      </c>
      <c r="DE191" s="18" t="b">
        <v>0</v>
      </c>
      <c r="DF191" s="2" t="b">
        <f>IF(OR(RecData[[#This Row],[WSpd_Avg '[m/s']]]-RecData[[#This Row],[Wind Speed min]]&gt;=$DF$3,RecData[[#This Row],[Wind Speed max]]-RecData[[#This Row],[WSpd_Avg '[m/s']]]&gt;=$DF$2),TRUE,FALSE)</f>
        <v>0</v>
      </c>
      <c r="DG191" s="2" t="b">
        <f>RecData[[#This Row],[Temperature '[°C']]]&lt;=-20</f>
        <v>0</v>
      </c>
      <c r="DH191" s="18" t="b">
        <f>NOT(OR(MOD(RecData[[#This Row],[TIMESTAMP]],1)&gt;0.91632,MOD(RecData[[#This Row],[TIMESTAMP]],1)&lt;0.208681))</f>
        <v>0</v>
      </c>
      <c r="DI191" s="18" t="b">
        <f>RecData[[#This Row],[Overall (dBA)]]-RecData[[#This Row],[L90]]&gt;=$DS$4</f>
        <v>0</v>
      </c>
      <c r="DJ191" s="18" t="b">
        <f>RecData[[#This Row],[Overall (dBA)]]&gt;$DS$2</f>
        <v>0</v>
      </c>
      <c r="DK191" s="18" t="b">
        <f>RecData[[#This Row],[Overall (dBA)]]&lt;$DS$3</f>
        <v>0</v>
      </c>
      <c r="DL1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1" s="2">
        <f>IF(AND(RecData[[#This Row],[Turbines ON/OFF]] = "OFF", NOT(OR(RecData[[#This Row],[Junk?]]="YES",RecData[[#This Row],[Gust?]],RecData[[#This Row],[Rain?]:[Min SPL Threshold?]]))),1,0)</f>
        <v>0</v>
      </c>
      <c r="DN191" s="16">
        <f>RecData[[#This Row],[dBA Sum]]</f>
        <v>33.114336539420812</v>
      </c>
      <c r="DO191" s="16">
        <f>RecData[[#This Row],[LAF90.0]]</f>
        <v>36.700000000000003</v>
      </c>
      <c r="DP191" s="55" t="str">
        <f>IF(AND(RecData[[#This Row],[Useable TON Data?]],RecData[[#This Row],[Turbines ON/OFF]]="ON"),RecData[[#This Row],[dBA Sum]],"")</f>
        <v/>
      </c>
      <c r="DQ191" s="55" t="str">
        <f>IF(AND(RecData[[#This Row],[Useable Background Data?]],RecData[[#This Row],[Turbines ON/OFF]]="OFF"),RecData[[#This Row],[dBA Sum]],"")</f>
        <v/>
      </c>
      <c r="DR191" s="3" t="str">
        <f>IF(OR(RecData[[#This Row],[Useable TON Data?]],RecData[[#This Row],[Useable Background Data?]]),ROUND(RecData[[#This Row],[WSpd_Avg '[m/s']]],0),"")</f>
        <v/>
      </c>
      <c r="DS191" s="85">
        <f>(0.00002)^2*(10^(RecData[[#This Row],[Overall (dBA)]]/10))</f>
        <v>8.1939563344453303E-7</v>
      </c>
    </row>
    <row r="192" spans="1:123" ht="15" x14ac:dyDescent="0.25">
      <c r="A192" s="3" t="s">
        <v>249</v>
      </c>
      <c r="B192" s="12">
        <v>43254.980555555558</v>
      </c>
      <c r="C192" s="3"/>
      <c r="D192" s="3">
        <v>40.1</v>
      </c>
      <c r="E192" s="3"/>
      <c r="F192" s="3"/>
      <c r="G192" s="3"/>
      <c r="H192" s="3"/>
      <c r="I192" s="3"/>
      <c r="J192" s="3"/>
      <c r="K192" s="3">
        <v>37.700000000000003</v>
      </c>
      <c r="L192" s="3"/>
      <c r="M192" s="3"/>
      <c r="N192" s="3">
        <v>293.60000000000002</v>
      </c>
      <c r="O192" s="3"/>
      <c r="P192" s="3"/>
      <c r="Q192" s="3">
        <v>1.5</v>
      </c>
      <c r="R192" s="3">
        <v>0.3</v>
      </c>
      <c r="S192" s="3">
        <v>2.9</v>
      </c>
      <c r="T192" s="3">
        <v>6</v>
      </c>
      <c r="U192" s="3">
        <v>94.4</v>
      </c>
      <c r="V192" s="3">
        <v>962.6</v>
      </c>
      <c r="W192" s="3">
        <v>0</v>
      </c>
      <c r="X192" s="3">
        <v>33.4</v>
      </c>
      <c r="Y192" s="3">
        <v>28.5</v>
      </c>
      <c r="Z192" s="3">
        <v>28.6</v>
      </c>
      <c r="AA192" s="3">
        <v>26.5</v>
      </c>
      <c r="AB192" s="3">
        <v>24.5</v>
      </c>
      <c r="AC192" s="3">
        <v>23.3</v>
      </c>
      <c r="AD192" s="3">
        <v>25.4</v>
      </c>
      <c r="AE192" s="3">
        <v>29.2</v>
      </c>
      <c r="AF192" s="3">
        <v>28.8</v>
      </c>
      <c r="AG192" s="3">
        <v>28.8</v>
      </c>
      <c r="AH192" s="3">
        <v>28.2</v>
      </c>
      <c r="AI192" s="3">
        <v>27.7</v>
      </c>
      <c r="AJ192" s="3">
        <v>27.8</v>
      </c>
      <c r="AK192" s="3">
        <v>26.1</v>
      </c>
      <c r="AL192" s="3">
        <v>25.2</v>
      </c>
      <c r="AM192" s="3">
        <v>24.9</v>
      </c>
      <c r="AN192" s="3">
        <v>25.2</v>
      </c>
      <c r="AO192" s="3">
        <v>24.8</v>
      </c>
      <c r="AP192" s="3">
        <v>25.5</v>
      </c>
      <c r="AQ192" s="3">
        <v>25.8</v>
      </c>
      <c r="AR192" s="3">
        <v>26.4</v>
      </c>
      <c r="AS192" s="3">
        <v>33</v>
      </c>
      <c r="AT192" s="3">
        <v>34.4</v>
      </c>
      <c r="AU192" s="3">
        <v>25.1</v>
      </c>
      <c r="AV192" s="3">
        <v>24.5</v>
      </c>
      <c r="AW192" s="3">
        <v>23.5</v>
      </c>
      <c r="AX192" s="3">
        <v>19.399999999999999</v>
      </c>
      <c r="AY192" s="3">
        <v>17.3</v>
      </c>
      <c r="AZ192" s="3">
        <v>0</v>
      </c>
      <c r="BA192" s="3">
        <v>0</v>
      </c>
      <c r="BB192" s="3">
        <v>0</v>
      </c>
      <c r="BC192" s="3">
        <v>40.084226221660117</v>
      </c>
      <c r="BD192" s="3">
        <v>33.415773778339883</v>
      </c>
      <c r="BE192" s="3">
        <v>28.515773778339877</v>
      </c>
      <c r="BF192" s="3">
        <v>27.375773778339891</v>
      </c>
      <c r="BG192" s="3">
        <v>25.60244044500655</v>
      </c>
      <c r="BH192" s="3">
        <v>23.742440445006551</v>
      </c>
      <c r="BI192" s="3">
        <v>22.955773778339889</v>
      </c>
      <c r="BJ192" s="3">
        <v>25.84910711167322</v>
      </c>
      <c r="BK192" s="3">
        <v>29.522440445006538</v>
      </c>
      <c r="BL192" s="3">
        <v>28.695773778339884</v>
      </c>
      <c r="BM192" s="3">
        <v>28.829107111673224</v>
      </c>
      <c r="BN192" s="3">
        <v>28.512440445006547</v>
      </c>
      <c r="BO192" s="3">
        <v>27.379107111673221</v>
      </c>
      <c r="BP192" s="3">
        <v>27.195773778339884</v>
      </c>
      <c r="BQ192" s="3">
        <v>25.912440445006538</v>
      </c>
      <c r="BR192" s="3">
        <v>25.339107111673215</v>
      </c>
      <c r="BS192" s="3">
        <v>24.842440445006545</v>
      </c>
      <c r="BT192" s="3">
        <v>25.339107111673215</v>
      </c>
      <c r="BU192" s="3">
        <v>24.905773778339892</v>
      </c>
      <c r="BV192" s="3">
        <v>25.322440445006549</v>
      </c>
      <c r="BW192" s="3">
        <v>26.155773778339892</v>
      </c>
      <c r="BX192" s="3">
        <v>26.675773778339888</v>
      </c>
      <c r="BY192" s="3">
        <v>33.09577377833989</v>
      </c>
      <c r="BZ192" s="3">
        <v>34.625773778339891</v>
      </c>
      <c r="CA192" s="3">
        <v>25.425773778339874</v>
      </c>
      <c r="CB192" s="3">
        <v>24.262440445006547</v>
      </c>
      <c r="CC192" s="3">
        <v>23.475773778339885</v>
      </c>
      <c r="CD192" s="3">
        <v>18.682440445006549</v>
      </c>
      <c r="CE192" s="3">
        <v>16.775773778339882</v>
      </c>
      <c r="CF192" s="3">
        <v>-0.91089288832678506</v>
      </c>
      <c r="CG192" s="3">
        <v>-1.4442262216601165</v>
      </c>
      <c r="CH192" s="3">
        <v>-2.5208928883267845</v>
      </c>
      <c r="CI192" s="13">
        <f>[1]!dbasum(RecData[[#This Row],[20]:[2000]],RecData[[#Headers],[20]:[2000]])</f>
        <v>34.646188421365721</v>
      </c>
      <c r="CJ192" s="14">
        <v>1789</v>
      </c>
      <c r="CK192" s="15" t="s">
        <v>249</v>
      </c>
      <c r="CL192" s="15">
        <f>RecData[[#This Row],[Start Time]]</f>
        <v>43254.980555555558</v>
      </c>
      <c r="CM192" s="16">
        <f>RecData[[#This Row],[Wind Speed avg]]</f>
        <v>1.5</v>
      </c>
      <c r="CN192" s="16">
        <f>RecData[[#This Row],[Wind Dir. avg]]</f>
        <v>293.60000000000002</v>
      </c>
      <c r="CO192" s="16">
        <f>RecData[[#This Row],[Amb. Humidity]]</f>
        <v>94.4</v>
      </c>
      <c r="CP192" s="16">
        <f>RecData[[#This Row],[Amb. Temperature]]</f>
        <v>6</v>
      </c>
      <c r="CQ192" s="17">
        <f>RecData[[#This Row],[Amb. Rain Gauge]]</f>
        <v>0</v>
      </c>
      <c r="CR192" s="4" t="s">
        <v>1</v>
      </c>
      <c r="CS192" s="4" t="s">
        <v>49</v>
      </c>
      <c r="CT192" s="70">
        <v>628.43670650000001</v>
      </c>
      <c r="CU192" s="70">
        <v>255.00216674804599</v>
      </c>
      <c r="CV192" s="70">
        <v>6.9655303955078098</v>
      </c>
      <c r="CW192" s="70">
        <v>11.8905801773071</v>
      </c>
      <c r="CX192" s="4" t="s">
        <v>49</v>
      </c>
      <c r="CY192" s="69" t="s">
        <v>255</v>
      </c>
      <c r="CZ192" s="2" t="b">
        <f>IF($DP$1="YES",IF(RecData[[#This Row],[Power (kW)]]&gt;=$CR$3, TRUE,FALSE),TRUE)</f>
        <v>0</v>
      </c>
      <c r="DA192" s="16">
        <f>MIN(MOD(180-ABS(ABS($DA$1-RecData[Yaw Angle (°)])-180),360),MOD(180-ABS(ABS($DB$1-RecData[Yaw Angle (°)])-180),360))</f>
        <v>112.52776002964157</v>
      </c>
      <c r="DB192" s="2" t="str">
        <f>IF($DP$2="None","None",IF(RecData[[#This Row],[Relative Wind Direction]]&lt;=45,"DW",IF(RecData[[#This Row],[Relative Wind Direction]]&lt;=135,"CW","UW")))</f>
        <v>CW</v>
      </c>
      <c r="DC192" s="61" t="e">
        <f>IF($CL192-#REF!&gt;1/24,#REF!,IF(SUM($CQ192:$CQ192)&gt;$DS$1,$DS$5,DC193-1))</f>
        <v>#REF!</v>
      </c>
      <c r="DD192" s="61" t="e">
        <f>IF($CL193-$CL192&gt;1/24,#REF!,IF(SUM($CQ192:$CQ192)&gt;$DS$1,$DS$6,#REF!-1))</f>
        <v>#REF!</v>
      </c>
      <c r="DE192" s="18" t="b">
        <v>0</v>
      </c>
      <c r="DF192" s="2" t="b">
        <f>IF(OR(RecData[[#This Row],[WSpd_Avg '[m/s']]]-RecData[[#This Row],[Wind Speed min]]&gt;=$DF$3,RecData[[#This Row],[Wind Speed max]]-RecData[[#This Row],[WSpd_Avg '[m/s']]]&gt;=$DF$2),TRUE,FALSE)</f>
        <v>0</v>
      </c>
      <c r="DG192" s="2" t="b">
        <f>RecData[[#This Row],[Temperature '[°C']]]&lt;=-20</f>
        <v>0</v>
      </c>
      <c r="DH192" s="18" t="b">
        <f>NOT(OR(MOD(RecData[[#This Row],[TIMESTAMP]],1)&gt;0.91632,MOD(RecData[[#This Row],[TIMESTAMP]],1)&lt;0.208681))</f>
        <v>0</v>
      </c>
      <c r="DI192" s="18" t="b">
        <f>RecData[[#This Row],[Overall (dBA)]]-RecData[[#This Row],[L90]]&gt;=$DS$4</f>
        <v>0</v>
      </c>
      <c r="DJ192" s="18" t="b">
        <f>RecData[[#This Row],[Overall (dBA)]]&gt;$DS$2</f>
        <v>0</v>
      </c>
      <c r="DK192" s="18" t="b">
        <f>RecData[[#This Row],[Overall (dBA)]]&lt;$DS$3</f>
        <v>0</v>
      </c>
      <c r="DL1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2" s="2">
        <f>IF(AND(RecData[[#This Row],[Turbines ON/OFF]] = "OFF", NOT(OR(RecData[[#This Row],[Junk?]]="YES",RecData[[#This Row],[Gust?]],RecData[[#This Row],[Rain?]:[Min SPL Threshold?]]))),1,0)</f>
        <v>0</v>
      </c>
      <c r="DN192" s="16">
        <f>RecData[[#This Row],[dBA Sum]]</f>
        <v>34.646188421365721</v>
      </c>
      <c r="DO192" s="16">
        <f>RecData[[#This Row],[LAF90.0]]</f>
        <v>37.700000000000003</v>
      </c>
      <c r="DP192" s="55" t="str">
        <f>IF(AND(RecData[[#This Row],[Useable TON Data?]],RecData[[#This Row],[Turbines ON/OFF]]="ON"),RecData[[#This Row],[dBA Sum]],"")</f>
        <v/>
      </c>
      <c r="DQ192" s="55" t="str">
        <f>IF(AND(RecData[[#This Row],[Useable Background Data?]],RecData[[#This Row],[Turbines ON/OFF]]="OFF"),RecData[[#This Row],[dBA Sum]],"")</f>
        <v/>
      </c>
      <c r="DR192" s="3" t="str">
        <f>IF(OR(RecData[[#This Row],[Useable TON Data?]],RecData[[#This Row],[Useable Background Data?]]),ROUND(RecData[[#This Row],[WSpd_Avg '[m/s']]],0),"")</f>
        <v/>
      </c>
      <c r="DS192" s="85">
        <f>(0.00002)^2*(10^(RecData[[#This Row],[Overall (dBA)]]/10))</f>
        <v>1.1659470648312188E-6</v>
      </c>
    </row>
    <row r="193" spans="1:123" ht="15" x14ac:dyDescent="0.25">
      <c r="A193" s="3" t="s">
        <v>249</v>
      </c>
      <c r="B193" s="12">
        <v>43254.981250000004</v>
      </c>
      <c r="C193" s="3"/>
      <c r="D193" s="3">
        <v>38.700000000000003</v>
      </c>
      <c r="E193" s="3"/>
      <c r="F193" s="3"/>
      <c r="G193" s="3"/>
      <c r="H193" s="3"/>
      <c r="I193" s="3"/>
      <c r="J193" s="3"/>
      <c r="K193" s="3">
        <v>36.5</v>
      </c>
      <c r="L193" s="3"/>
      <c r="M193" s="3"/>
      <c r="N193" s="3">
        <v>325.8</v>
      </c>
      <c r="O193" s="3"/>
      <c r="P193" s="3"/>
      <c r="Q193" s="3">
        <v>2.12</v>
      </c>
      <c r="R193" s="3">
        <v>1.2</v>
      </c>
      <c r="S193" s="3">
        <v>2.9</v>
      </c>
      <c r="T193" s="3">
        <v>6</v>
      </c>
      <c r="U193" s="3">
        <v>94.3</v>
      </c>
      <c r="V193" s="3">
        <v>962.6</v>
      </c>
      <c r="W193" s="3">
        <v>0</v>
      </c>
      <c r="X193" s="3">
        <v>34.700000000000003</v>
      </c>
      <c r="Y193" s="3">
        <v>29.2</v>
      </c>
      <c r="Z193" s="3">
        <v>28.7</v>
      </c>
      <c r="AA193" s="3">
        <v>26.2</v>
      </c>
      <c r="AB193" s="3">
        <v>24.3</v>
      </c>
      <c r="AC193" s="3">
        <v>23.2</v>
      </c>
      <c r="AD193" s="3">
        <v>25.7</v>
      </c>
      <c r="AE193" s="3">
        <v>29.8</v>
      </c>
      <c r="AF193" s="3">
        <v>29.3</v>
      </c>
      <c r="AG193" s="3">
        <v>29.1</v>
      </c>
      <c r="AH193" s="3">
        <v>28.4</v>
      </c>
      <c r="AI193" s="3">
        <v>27.7</v>
      </c>
      <c r="AJ193" s="3">
        <v>27.1</v>
      </c>
      <c r="AK193" s="3">
        <v>25.5</v>
      </c>
      <c r="AL193" s="3">
        <v>24.3</v>
      </c>
      <c r="AM193" s="3">
        <v>24</v>
      </c>
      <c r="AN193" s="3">
        <v>24</v>
      </c>
      <c r="AO193" s="3">
        <v>23.6</v>
      </c>
      <c r="AP193" s="3">
        <v>24</v>
      </c>
      <c r="AQ193" s="3">
        <v>24.3</v>
      </c>
      <c r="AR193" s="3">
        <v>24.5</v>
      </c>
      <c r="AS193" s="3">
        <v>31</v>
      </c>
      <c r="AT193" s="3">
        <v>33.299999999999997</v>
      </c>
      <c r="AU193" s="3">
        <v>22.8</v>
      </c>
      <c r="AV193" s="3">
        <v>22.4</v>
      </c>
      <c r="AW193" s="3">
        <v>21.6</v>
      </c>
      <c r="AX193" s="3">
        <v>17.600000000000001</v>
      </c>
      <c r="AY193" s="3">
        <v>15.5</v>
      </c>
      <c r="AZ193" s="3">
        <v>0</v>
      </c>
      <c r="BA193" s="3">
        <v>0</v>
      </c>
      <c r="BB193" s="3">
        <v>0</v>
      </c>
      <c r="BC193" s="3">
        <v>38.635660099038979</v>
      </c>
      <c r="BD193" s="3">
        <v>34.764339900961026</v>
      </c>
      <c r="BE193" s="3">
        <v>29.264339900961026</v>
      </c>
      <c r="BF193" s="3">
        <v>27.524339900961017</v>
      </c>
      <c r="BG193" s="3">
        <v>25.351006567627685</v>
      </c>
      <c r="BH193" s="3">
        <v>23.591006567627694</v>
      </c>
      <c r="BI193" s="3">
        <v>22.904339900961027</v>
      </c>
      <c r="BJ193" s="3">
        <v>26.197673234294363</v>
      </c>
      <c r="BK193" s="3">
        <v>30.171006567627693</v>
      </c>
      <c r="BL193" s="3">
        <v>29.244339900961016</v>
      </c>
      <c r="BM193" s="3">
        <v>29.177673234294353</v>
      </c>
      <c r="BN193" s="3">
        <v>28.761006567627696</v>
      </c>
      <c r="BO193" s="3">
        <v>27.427673234294353</v>
      </c>
      <c r="BP193" s="3">
        <v>26.544339900961027</v>
      </c>
      <c r="BQ193" s="3">
        <v>25.361006567627676</v>
      </c>
      <c r="BR193" s="3">
        <v>24.487673234294355</v>
      </c>
      <c r="BS193" s="3">
        <v>23.991006567627686</v>
      </c>
      <c r="BT193" s="3">
        <v>24.187673234294358</v>
      </c>
      <c r="BU193" s="3">
        <v>23.754339900961028</v>
      </c>
      <c r="BV193" s="3">
        <v>23.871006567627695</v>
      </c>
      <c r="BW193" s="3">
        <v>24.704339900961024</v>
      </c>
      <c r="BX193" s="3">
        <v>24.824339900961029</v>
      </c>
      <c r="BY193" s="3">
        <v>31.144339900961022</v>
      </c>
      <c r="BZ193" s="3">
        <v>33.574339900961029</v>
      </c>
      <c r="CA193" s="3">
        <v>23.174339900961016</v>
      </c>
      <c r="CB193" s="3">
        <v>22.211006567627685</v>
      </c>
      <c r="CC193" s="3">
        <v>21.624339900961026</v>
      </c>
      <c r="CD193" s="3">
        <v>16.931006567627698</v>
      </c>
      <c r="CE193" s="3">
        <v>15.024339900961024</v>
      </c>
      <c r="CF193" s="3">
        <v>-0.86232676570564593</v>
      </c>
      <c r="CG193" s="3">
        <v>-1.3956600990389774</v>
      </c>
      <c r="CH193" s="3">
        <v>-2.4723267657056454</v>
      </c>
      <c r="CI193" s="13">
        <f>[1]!dbasum(RecData[[#This Row],[20]:[2000]],RecData[[#Headers],[20]:[2000]])</f>
        <v>33.469269300068717</v>
      </c>
      <c r="CJ193" s="14">
        <v>1790</v>
      </c>
      <c r="CK193" s="15" t="s">
        <v>249</v>
      </c>
      <c r="CL193" s="15">
        <f>RecData[[#This Row],[Start Time]]</f>
        <v>43254.981250000004</v>
      </c>
      <c r="CM193" s="16">
        <f>RecData[[#This Row],[Wind Speed avg]]</f>
        <v>2.12</v>
      </c>
      <c r="CN193" s="16">
        <f>RecData[[#This Row],[Wind Dir. avg]]</f>
        <v>325.8</v>
      </c>
      <c r="CO193" s="16">
        <f>RecData[[#This Row],[Amb. Humidity]]</f>
        <v>94.3</v>
      </c>
      <c r="CP193" s="16">
        <f>RecData[[#This Row],[Amb. Temperature]]</f>
        <v>6</v>
      </c>
      <c r="CQ193" s="17">
        <f>RecData[[#This Row],[Amb. Rain Gauge]]</f>
        <v>0</v>
      </c>
      <c r="CR193" s="4" t="s">
        <v>1</v>
      </c>
      <c r="CS193" s="4" t="s">
        <v>49</v>
      </c>
      <c r="CT193" s="70">
        <v>628.43670650000001</v>
      </c>
      <c r="CU193" s="70">
        <v>255.00216674804599</v>
      </c>
      <c r="CV193" s="70">
        <v>6.9655303955078098</v>
      </c>
      <c r="CW193" s="70">
        <v>11.8905801773071</v>
      </c>
      <c r="CX193" s="4" t="s">
        <v>49</v>
      </c>
      <c r="CY193" s="69" t="s">
        <v>255</v>
      </c>
      <c r="CZ193" s="2" t="b">
        <f>IF($DP$1="YES",IF(RecData[[#This Row],[Power (kW)]]&gt;=$CR$3, TRUE,FALSE),TRUE)</f>
        <v>0</v>
      </c>
      <c r="DA193" s="16">
        <f>MIN(MOD(180-ABS(ABS($DA$1-RecData[Yaw Angle (°)])-180),360),MOD(180-ABS(ABS($DB$1-RecData[Yaw Angle (°)])-180),360))</f>
        <v>112.52776002964157</v>
      </c>
      <c r="DB193" s="2" t="str">
        <f>IF($DP$2="None","None",IF(RecData[[#This Row],[Relative Wind Direction]]&lt;=45,"DW",IF(RecData[[#This Row],[Relative Wind Direction]]&lt;=135,"CW","UW")))</f>
        <v>CW</v>
      </c>
      <c r="DC193" s="61" t="e">
        <f>IF($CL193-#REF!&gt;1/24,#REF!,IF(SUM($CQ192:$CQ193)&gt;$DS$1,$DS$5,#REF!-1))</f>
        <v>#REF!</v>
      </c>
      <c r="DD193" s="61" t="e">
        <f>IF(#REF!-$CL193&gt;1/24,#REF!,IF(SUM($CQ192:$CQ193)&gt;$DS$1,$DS$6,DD192-1))</f>
        <v>#REF!</v>
      </c>
      <c r="DE193" s="18" t="b">
        <v>0</v>
      </c>
      <c r="DF193" s="2" t="b">
        <f>IF(OR(RecData[[#This Row],[WSpd_Avg '[m/s']]]-RecData[[#This Row],[Wind Speed min]]&gt;=$DF$3,RecData[[#This Row],[Wind Speed max]]-RecData[[#This Row],[WSpd_Avg '[m/s']]]&gt;=$DF$2),TRUE,FALSE)</f>
        <v>0</v>
      </c>
      <c r="DG193" s="2" t="b">
        <f>RecData[[#This Row],[Temperature '[°C']]]&lt;=-20</f>
        <v>0</v>
      </c>
      <c r="DH193" s="18" t="b">
        <f>NOT(OR(MOD(RecData[[#This Row],[TIMESTAMP]],1)&gt;0.91632,MOD(RecData[[#This Row],[TIMESTAMP]],1)&lt;0.208681))</f>
        <v>0</v>
      </c>
      <c r="DI193" s="18" t="b">
        <f>RecData[[#This Row],[Overall (dBA)]]-RecData[[#This Row],[L90]]&gt;=$DS$4</f>
        <v>0</v>
      </c>
      <c r="DJ193" s="18" t="b">
        <f>RecData[[#This Row],[Overall (dBA)]]&gt;$DS$2</f>
        <v>0</v>
      </c>
      <c r="DK193" s="18" t="b">
        <f>RecData[[#This Row],[Overall (dBA)]]&lt;$DS$3</f>
        <v>0</v>
      </c>
      <c r="DL1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3" s="2">
        <f>IF(AND(RecData[[#This Row],[Turbines ON/OFF]] = "OFF", NOT(OR(RecData[[#This Row],[Junk?]]="YES",RecData[[#This Row],[Gust?]],RecData[[#This Row],[Rain?]:[Min SPL Threshold?]]))),1,0)</f>
        <v>0</v>
      </c>
      <c r="DN193" s="16">
        <f>RecData[[#This Row],[dBA Sum]]</f>
        <v>33.469269300068717</v>
      </c>
      <c r="DO193" s="16">
        <f>RecData[[#This Row],[LAF90.0]]</f>
        <v>36.5</v>
      </c>
      <c r="DP193" s="55" t="str">
        <f>IF(AND(RecData[[#This Row],[Useable TON Data?]],RecData[[#This Row],[Turbines ON/OFF]]="ON"),RecData[[#This Row],[dBA Sum]],"")</f>
        <v/>
      </c>
      <c r="DQ193" s="55" t="str">
        <f>IF(AND(RecData[[#This Row],[Useable Background Data?]],RecData[[#This Row],[Turbines ON/OFF]]="OFF"),RecData[[#This Row],[dBA Sum]],"")</f>
        <v/>
      </c>
      <c r="DR193" s="3" t="str">
        <f>IF(OR(RecData[[#This Row],[Useable TON Data?]],RecData[[#This Row],[Useable Background Data?]]),ROUND(RecData[[#This Row],[WSpd_Avg '[m/s']]],0),"")</f>
        <v/>
      </c>
      <c r="DS193" s="85">
        <f>(0.00002)^2*(10^(RecData[[#This Row],[Overall (dBA)]]/10))</f>
        <v>8.8917434020117179E-7</v>
      </c>
    </row>
    <row r="194" spans="1:123" ht="15" x14ac:dyDescent="0.25">
      <c r="A194" s="3" t="s">
        <v>249</v>
      </c>
      <c r="B194" s="12">
        <v>43257.146527777775</v>
      </c>
      <c r="C194" s="3"/>
      <c r="D194" s="3">
        <v>25.5</v>
      </c>
      <c r="E194" s="3"/>
      <c r="F194" s="3"/>
      <c r="G194" s="3"/>
      <c r="H194" s="3"/>
      <c r="I194" s="3"/>
      <c r="J194" s="3"/>
      <c r="K194" s="3">
        <v>22</v>
      </c>
      <c r="L194" s="3"/>
      <c r="M194" s="3"/>
      <c r="N194" s="3">
        <v>132.69999999999999</v>
      </c>
      <c r="O194" s="3"/>
      <c r="P194" s="3"/>
      <c r="Q194" s="3">
        <v>0.64</v>
      </c>
      <c r="R194" s="3">
        <v>0.5</v>
      </c>
      <c r="S194" s="3">
        <v>0.8</v>
      </c>
      <c r="T194" s="3">
        <v>3.4</v>
      </c>
      <c r="U194" s="3">
        <v>94.4</v>
      </c>
      <c r="V194" s="3">
        <v>970</v>
      </c>
      <c r="W194" s="3">
        <v>0</v>
      </c>
      <c r="X194" s="3">
        <v>18.100000000000001</v>
      </c>
      <c r="Y194" s="3">
        <v>14.9</v>
      </c>
      <c r="Z194" s="3">
        <v>17.899999999999999</v>
      </c>
      <c r="AA194" s="3">
        <v>9.1999999999999993</v>
      </c>
      <c r="AB194" s="3">
        <v>7.6</v>
      </c>
      <c r="AC194" s="3">
        <v>7.3</v>
      </c>
      <c r="AD194" s="3">
        <v>8.1999999999999993</v>
      </c>
      <c r="AE194" s="3">
        <v>8.1999999999999993</v>
      </c>
      <c r="AF194" s="3">
        <v>13.5</v>
      </c>
      <c r="AG194" s="3">
        <v>11.3</v>
      </c>
      <c r="AH194" s="3">
        <v>9.6</v>
      </c>
      <c r="AI194" s="3">
        <v>10.8</v>
      </c>
      <c r="AJ194" s="3">
        <v>10.4</v>
      </c>
      <c r="AK194" s="3">
        <v>10.4</v>
      </c>
      <c r="AL194" s="3">
        <v>10.4</v>
      </c>
      <c r="AM194" s="3">
        <v>11.1</v>
      </c>
      <c r="AN194" s="3">
        <v>12.2</v>
      </c>
      <c r="AO194" s="3">
        <v>11.9</v>
      </c>
      <c r="AP194" s="3">
        <v>11.3</v>
      </c>
      <c r="AQ194" s="3">
        <v>10.9</v>
      </c>
      <c r="AR194" s="3">
        <v>10.199999999999999</v>
      </c>
      <c r="AS194" s="3">
        <v>19.600000000000001</v>
      </c>
      <c r="AT194" s="3">
        <v>18.100000000000001</v>
      </c>
      <c r="AU194" s="3">
        <v>9.5</v>
      </c>
      <c r="AV194" s="3">
        <v>9.9</v>
      </c>
      <c r="AW194" s="3">
        <v>10.3</v>
      </c>
      <c r="AX194" s="3">
        <v>9.8000000000000007</v>
      </c>
      <c r="AY194" s="3">
        <v>9.9</v>
      </c>
      <c r="AZ194" s="3">
        <v>0</v>
      </c>
      <c r="BA194" s="3">
        <v>0</v>
      </c>
      <c r="BB194" s="3">
        <v>0</v>
      </c>
      <c r="BC194" s="3">
        <v>25.437597491670104</v>
      </c>
      <c r="BD194" s="3">
        <v>18.162402508329897</v>
      </c>
      <c r="BE194" s="3">
        <v>14.962402508329895</v>
      </c>
      <c r="BF194" s="3">
        <v>16.722402508329893</v>
      </c>
      <c r="BG194" s="3">
        <v>8.3490691749965578</v>
      </c>
      <c r="BH194" s="3">
        <v>6.889069174996564</v>
      </c>
      <c r="BI194" s="3">
        <v>7.0024025083298937</v>
      </c>
      <c r="BJ194" s="3">
        <v>8.6957358416632289</v>
      </c>
      <c r="BK194" s="3">
        <v>8.5690691749965566</v>
      </c>
      <c r="BL194" s="3">
        <v>13.442402508329899</v>
      </c>
      <c r="BM194" s="3">
        <v>11.375735841663229</v>
      </c>
      <c r="BN194" s="3">
        <v>9.9590691749965643</v>
      </c>
      <c r="BO194" s="3">
        <v>10.525735841663234</v>
      </c>
      <c r="BP194" s="3">
        <v>9.8424025083298972</v>
      </c>
      <c r="BQ194" s="3">
        <v>10.259069174996554</v>
      </c>
      <c r="BR194" s="3">
        <v>10.585735841663229</v>
      </c>
      <c r="BS194" s="3">
        <v>11.089069174996567</v>
      </c>
      <c r="BT194" s="3">
        <v>12.385735841663234</v>
      </c>
      <c r="BU194" s="3">
        <v>12.052402508329898</v>
      </c>
      <c r="BV194" s="3">
        <v>11.169069174996565</v>
      </c>
      <c r="BW194" s="3">
        <v>11.302402508329898</v>
      </c>
      <c r="BX194" s="3">
        <v>10.522402508329904</v>
      </c>
      <c r="BY194" s="3">
        <v>19.742402508329896</v>
      </c>
      <c r="BZ194" s="3">
        <v>18.372402508329898</v>
      </c>
      <c r="CA194" s="3">
        <v>9.8724025083298912</v>
      </c>
      <c r="CB194" s="3">
        <v>9.7090691749965572</v>
      </c>
      <c r="CC194" s="3">
        <v>10.322402508329894</v>
      </c>
      <c r="CD194" s="3">
        <v>9.129069174996566</v>
      </c>
      <c r="CE194" s="3">
        <v>9.4224025083298955</v>
      </c>
      <c r="CF194" s="3">
        <v>-0.86426415833676984</v>
      </c>
      <c r="CG194" s="3">
        <v>-1.3975974916701013</v>
      </c>
      <c r="CH194" s="3">
        <v>-2.4742641583367693</v>
      </c>
      <c r="CI194" s="13">
        <f>[1]!dbasum(RecData[[#This Row],[20]:[2000]],RecData[[#Headers],[20]:[2000]])</f>
        <v>20.00689732856997</v>
      </c>
      <c r="CJ194" s="14">
        <v>2876</v>
      </c>
      <c r="CK194" s="15" t="s">
        <v>249</v>
      </c>
      <c r="CL194" s="15">
        <f>RecData[[#This Row],[Start Time]]</f>
        <v>43257.146527777775</v>
      </c>
      <c r="CM194" s="16">
        <f>RecData[[#This Row],[Wind Speed avg]]</f>
        <v>0.64</v>
      </c>
      <c r="CN194" s="16">
        <f>RecData[[#This Row],[Wind Dir. avg]]</f>
        <v>132.69999999999999</v>
      </c>
      <c r="CO194" s="16">
        <f>RecData[[#This Row],[Amb. Humidity]]</f>
        <v>94.4</v>
      </c>
      <c r="CP194" s="16">
        <f>RecData[[#This Row],[Amb. Temperature]]</f>
        <v>3.4</v>
      </c>
      <c r="CQ194" s="17">
        <f>RecData[[#This Row],[Amb. Rain Gauge]]</f>
        <v>0</v>
      </c>
      <c r="CR194" s="4" t="s">
        <v>50</v>
      </c>
      <c r="CS194" s="4" t="s">
        <v>49</v>
      </c>
      <c r="CT194" s="70">
        <v>-10.743001939999999</v>
      </c>
      <c r="CU194" s="70">
        <v>156.0013123</v>
      </c>
      <c r="CV194" s="70">
        <v>1.5747896429999999</v>
      </c>
      <c r="CW194" s="70">
        <v>0</v>
      </c>
      <c r="CX194" s="4"/>
      <c r="CY194" s="69"/>
      <c r="CZ194" s="2" t="b">
        <f>IF($DP$1="YES",IF(RecData[[#This Row],[Power (kW)]]&gt;=$CR$3, TRUE,FALSE),TRUE)</f>
        <v>0</v>
      </c>
      <c r="DA194" s="16">
        <f>MIN(MOD(180-ABS(ABS($DA$1-RecData[Yaw Angle (°)])-180),360),MOD(180-ABS(ABS($DB$1-RecData[Yaw Angle (°)])-180),360))</f>
        <v>148.47138552231246</v>
      </c>
      <c r="DB194" s="2" t="str">
        <f>IF($DP$2="None","None",IF(RecData[[#This Row],[Relative Wind Direction]]&lt;=45,"DW",IF(RecData[[#This Row],[Relative Wind Direction]]&lt;=135,"CW","UW")))</f>
        <v>UW</v>
      </c>
      <c r="DC194" s="61" t="e">
        <f>IF($CL194-#REF!&gt;1/24,#REF!,IF(SUM($CQ194:$CQ194)&gt;$DS$1,$DS$5,DC195-1))</f>
        <v>#REF!</v>
      </c>
      <c r="DD194" s="61" t="e">
        <f>IF($CL195-$CL194&gt;1/24,#REF!,IF(SUM($CQ194:$CQ194)&gt;$DS$1,$DS$6,#REF!-1))</f>
        <v>#REF!</v>
      </c>
      <c r="DE194" s="18" t="b">
        <v>0</v>
      </c>
      <c r="DF194" s="2" t="b">
        <f>IF(OR(RecData[[#This Row],[WSpd_Avg '[m/s']]]-RecData[[#This Row],[Wind Speed min]]&gt;=$DF$3,RecData[[#This Row],[Wind Speed max]]-RecData[[#This Row],[WSpd_Avg '[m/s']]]&gt;=$DF$2),TRUE,FALSE)</f>
        <v>0</v>
      </c>
      <c r="DG194" s="2" t="b">
        <f>RecData[[#This Row],[Temperature '[°C']]]&lt;=-20</f>
        <v>0</v>
      </c>
      <c r="DH194" s="18" t="b">
        <f>NOT(OR(MOD(RecData[[#This Row],[TIMESTAMP]],1)&gt;0.91632,MOD(RecData[[#This Row],[TIMESTAMP]],1)&lt;0.208681))</f>
        <v>0</v>
      </c>
      <c r="DI194" s="18" t="b">
        <f>RecData[[#This Row],[Overall (dBA)]]-RecData[[#This Row],[L90]]&gt;=$DS$4</f>
        <v>0</v>
      </c>
      <c r="DJ194" s="18" t="b">
        <f>RecData[[#This Row],[Overall (dBA)]]&gt;$DS$2</f>
        <v>0</v>
      </c>
      <c r="DK194" s="18" t="b">
        <f>RecData[[#This Row],[Overall (dBA)]]&lt;$DS$3</f>
        <v>0</v>
      </c>
      <c r="DL1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4" s="2">
        <f>IF(AND(RecData[[#This Row],[Turbines ON/OFF]] = "OFF", NOT(OR(RecData[[#This Row],[Junk?]]="YES",RecData[[#This Row],[Gust?]],RecData[[#This Row],[Rain?]:[Min SPL Threshold?]]))),1,0)</f>
        <v>1</v>
      </c>
      <c r="DN194" s="16">
        <f>RecData[[#This Row],[dBA Sum]]</f>
        <v>20.00689732856997</v>
      </c>
      <c r="DO194" s="16">
        <f>RecData[[#This Row],[LAF90.0]]</f>
        <v>22</v>
      </c>
      <c r="DP194" s="55" t="str">
        <f>IF(AND(RecData[[#This Row],[Useable TON Data?]],RecData[[#This Row],[Turbines ON/OFF]]="ON"),RecData[[#This Row],[dBA Sum]],"")</f>
        <v/>
      </c>
      <c r="DQ194" s="55">
        <f>IF(AND(RecData[[#This Row],[Useable Background Data?]],RecData[[#This Row],[Turbines ON/OFF]]="OFF"),RecData[[#This Row],[dBA Sum]],"")</f>
        <v>20.00689732856997</v>
      </c>
      <c r="DR194" s="3">
        <f>IF(OR(RecData[[#This Row],[Useable TON Data?]],RecData[[#This Row],[Useable Background Data?]]),ROUND(RecData[[#This Row],[WSpd_Avg '[m/s']]],0),"")</f>
        <v>1</v>
      </c>
      <c r="DS194" s="85">
        <f>(0.00002)^2*(10^(RecData[[#This Row],[Overall (dBA)]]/10))</f>
        <v>4.0063577216092453E-8</v>
      </c>
    </row>
    <row r="195" spans="1:123" ht="15" x14ac:dyDescent="0.25">
      <c r="A195" s="3" t="s">
        <v>249</v>
      </c>
      <c r="B195" s="12">
        <v>43257.147222222222</v>
      </c>
      <c r="C195" s="3"/>
      <c r="D195" s="3">
        <v>24.4</v>
      </c>
      <c r="E195" s="3"/>
      <c r="F195" s="3"/>
      <c r="G195" s="3"/>
      <c r="H195" s="3"/>
      <c r="I195" s="3"/>
      <c r="J195" s="3"/>
      <c r="K195" s="3">
        <v>22.1</v>
      </c>
      <c r="L195" s="3"/>
      <c r="M195" s="3"/>
      <c r="N195" s="3">
        <v>130.4</v>
      </c>
      <c r="O195" s="3"/>
      <c r="P195" s="3"/>
      <c r="Q195" s="3">
        <v>0.71</v>
      </c>
      <c r="R195" s="3">
        <v>0.7</v>
      </c>
      <c r="S195" s="3">
        <v>0.8</v>
      </c>
      <c r="T195" s="3">
        <v>3.4</v>
      </c>
      <c r="U195" s="3">
        <v>94.4</v>
      </c>
      <c r="V195" s="3">
        <v>970</v>
      </c>
      <c r="W195" s="3">
        <v>0</v>
      </c>
      <c r="X195" s="3">
        <v>17.600000000000001</v>
      </c>
      <c r="Y195" s="3">
        <v>13.3</v>
      </c>
      <c r="Z195" s="3">
        <v>14.8</v>
      </c>
      <c r="AA195" s="3">
        <v>8.1999999999999993</v>
      </c>
      <c r="AB195" s="3">
        <v>6.9</v>
      </c>
      <c r="AC195" s="3">
        <v>7.4</v>
      </c>
      <c r="AD195" s="3">
        <v>9.4</v>
      </c>
      <c r="AE195" s="3">
        <v>8.6</v>
      </c>
      <c r="AF195" s="3">
        <v>12.6</v>
      </c>
      <c r="AG195" s="3">
        <v>10.9</v>
      </c>
      <c r="AH195" s="3">
        <v>9.9</v>
      </c>
      <c r="AI195" s="3">
        <v>10.8</v>
      </c>
      <c r="AJ195" s="3">
        <v>10.4</v>
      </c>
      <c r="AK195" s="3">
        <v>10.199999999999999</v>
      </c>
      <c r="AL195" s="3">
        <v>10.1</v>
      </c>
      <c r="AM195" s="3">
        <v>11</v>
      </c>
      <c r="AN195" s="3">
        <v>12</v>
      </c>
      <c r="AO195" s="3">
        <v>11.9</v>
      </c>
      <c r="AP195" s="3">
        <v>11.4</v>
      </c>
      <c r="AQ195" s="3">
        <v>11</v>
      </c>
      <c r="AR195" s="3">
        <v>10.199999999999999</v>
      </c>
      <c r="AS195" s="3">
        <v>16.7</v>
      </c>
      <c r="AT195" s="3">
        <v>16.8</v>
      </c>
      <c r="AU195" s="3">
        <v>9.6</v>
      </c>
      <c r="AV195" s="3">
        <v>10.199999999999999</v>
      </c>
      <c r="AW195" s="3">
        <v>10.4</v>
      </c>
      <c r="AX195" s="3">
        <v>9.9</v>
      </c>
      <c r="AY195" s="3">
        <v>9.9</v>
      </c>
      <c r="AZ195" s="3">
        <v>0</v>
      </c>
      <c r="BA195" s="3">
        <v>0</v>
      </c>
      <c r="BB195" s="3">
        <v>0</v>
      </c>
      <c r="BC195" s="3">
        <v>24.298250281188135</v>
      </c>
      <c r="BD195" s="3">
        <v>17.701749718811865</v>
      </c>
      <c r="BE195" s="3">
        <v>13.401749718811867</v>
      </c>
      <c r="BF195" s="3">
        <v>13.661749718811866</v>
      </c>
      <c r="BG195" s="3">
        <v>7.388416385478525</v>
      </c>
      <c r="BH195" s="3">
        <v>6.2284163854785319</v>
      </c>
      <c r="BI195" s="3">
        <v>7.1417497188118624</v>
      </c>
      <c r="BJ195" s="3">
        <v>9.9350830521451989</v>
      </c>
      <c r="BK195" s="3">
        <v>9.0084163854785224</v>
      </c>
      <c r="BL195" s="3">
        <v>12.58174971881186</v>
      </c>
      <c r="BM195" s="3">
        <v>11.015083052145197</v>
      </c>
      <c r="BN195" s="3">
        <v>10.298416385478529</v>
      </c>
      <c r="BO195" s="3">
        <v>10.565083052145201</v>
      </c>
      <c r="BP195" s="3">
        <v>9.8817497188118644</v>
      </c>
      <c r="BQ195" s="3">
        <v>10.098416385478519</v>
      </c>
      <c r="BR195" s="3">
        <v>10.3250830521452</v>
      </c>
      <c r="BS195" s="3">
        <v>11.028416385478533</v>
      </c>
      <c r="BT195" s="3">
        <v>12.225083052145198</v>
      </c>
      <c r="BU195" s="3">
        <v>12.091749718811865</v>
      </c>
      <c r="BV195" s="3">
        <v>11.308416385478534</v>
      </c>
      <c r="BW195" s="3">
        <v>11.441749718811867</v>
      </c>
      <c r="BX195" s="3">
        <v>10.561749718811864</v>
      </c>
      <c r="BY195" s="3">
        <v>16.881749718811857</v>
      </c>
      <c r="BZ195" s="3">
        <v>17.111749718811868</v>
      </c>
      <c r="CA195" s="3">
        <v>10.011749718811853</v>
      </c>
      <c r="CB195" s="3">
        <v>10.048416385478529</v>
      </c>
      <c r="CC195" s="3">
        <v>10.461749718811863</v>
      </c>
      <c r="CD195" s="3">
        <v>9.2684163854785346</v>
      </c>
      <c r="CE195" s="3">
        <v>9.4617497188118627</v>
      </c>
      <c r="CF195" s="3">
        <v>-0.82491694785480263</v>
      </c>
      <c r="CG195" s="3">
        <v>-1.3582502811881341</v>
      </c>
      <c r="CH195" s="3">
        <v>-2.4349169478548021</v>
      </c>
      <c r="CI195" s="13">
        <f>[1]!dbasum(RecData[[#This Row],[20]:[2000]],RecData[[#Headers],[20]:[2000]])</f>
        <v>20.016016136969</v>
      </c>
      <c r="CJ195" s="14">
        <v>2877</v>
      </c>
      <c r="CK195" s="15" t="s">
        <v>249</v>
      </c>
      <c r="CL195" s="15">
        <f>RecData[[#This Row],[Start Time]]</f>
        <v>43257.147222222222</v>
      </c>
      <c r="CM195" s="16">
        <f>RecData[[#This Row],[Wind Speed avg]]</f>
        <v>0.71</v>
      </c>
      <c r="CN195" s="16">
        <f>RecData[[#This Row],[Wind Dir. avg]]</f>
        <v>130.4</v>
      </c>
      <c r="CO195" s="16">
        <f>RecData[[#This Row],[Amb. Humidity]]</f>
        <v>94.4</v>
      </c>
      <c r="CP195" s="16">
        <f>RecData[[#This Row],[Amb. Temperature]]</f>
        <v>3.4</v>
      </c>
      <c r="CQ195" s="17">
        <f>RecData[[#This Row],[Amb. Rain Gauge]]</f>
        <v>0</v>
      </c>
      <c r="CR195" s="4" t="s">
        <v>50</v>
      </c>
      <c r="CS195" s="4" t="s">
        <v>49</v>
      </c>
      <c r="CT195" s="70">
        <v>-10.743001939999999</v>
      </c>
      <c r="CU195" s="70">
        <v>156.0013123</v>
      </c>
      <c r="CV195" s="70">
        <v>1.5747896429999999</v>
      </c>
      <c r="CW195" s="70">
        <v>0</v>
      </c>
      <c r="CX195" s="4"/>
      <c r="CY195" s="69"/>
      <c r="CZ195" s="2" t="b">
        <f>IF($DP$1="YES",IF(RecData[[#This Row],[Power (kW)]]&gt;=$CR$3, TRUE,FALSE),TRUE)</f>
        <v>0</v>
      </c>
      <c r="DA195" s="16">
        <f>MIN(MOD(180-ABS(ABS($DA$1-RecData[Yaw Angle (°)])-180),360),MOD(180-ABS(ABS($DB$1-RecData[Yaw Angle (°)])-180),360))</f>
        <v>148.47138552231246</v>
      </c>
      <c r="DB195" s="2" t="str">
        <f>IF($DP$2="None","None",IF(RecData[[#This Row],[Relative Wind Direction]]&lt;=45,"DW",IF(RecData[[#This Row],[Relative Wind Direction]]&lt;=135,"CW","UW")))</f>
        <v>UW</v>
      </c>
      <c r="DC195" s="61" t="e">
        <f>IF($CL195-#REF!&gt;1/24,#REF!,IF(SUM($CQ194:$CQ195)&gt;$DS$1,$DS$5,DC196-1))</f>
        <v>#REF!</v>
      </c>
      <c r="DD195" s="61" t="e">
        <f>IF($CL196-$CL195&gt;1/24,#REF!,IF(SUM($CQ194:$CQ195)&gt;$DS$1,$DS$6,DD194-1))</f>
        <v>#REF!</v>
      </c>
      <c r="DE195" s="18" t="b">
        <v>0</v>
      </c>
      <c r="DF195" s="2" t="b">
        <f>IF(OR(RecData[[#This Row],[WSpd_Avg '[m/s']]]-RecData[[#This Row],[Wind Speed min]]&gt;=$DF$3,RecData[[#This Row],[Wind Speed max]]-RecData[[#This Row],[WSpd_Avg '[m/s']]]&gt;=$DF$2),TRUE,FALSE)</f>
        <v>0</v>
      </c>
      <c r="DG195" s="2" t="b">
        <f>RecData[[#This Row],[Temperature '[°C']]]&lt;=-20</f>
        <v>0</v>
      </c>
      <c r="DH195" s="18" t="b">
        <f>NOT(OR(MOD(RecData[[#This Row],[TIMESTAMP]],1)&gt;0.91632,MOD(RecData[[#This Row],[TIMESTAMP]],1)&lt;0.208681))</f>
        <v>0</v>
      </c>
      <c r="DI195" s="18" t="b">
        <f>RecData[[#This Row],[Overall (dBA)]]-RecData[[#This Row],[L90]]&gt;=$DS$4</f>
        <v>0</v>
      </c>
      <c r="DJ195" s="18" t="b">
        <f>RecData[[#This Row],[Overall (dBA)]]&gt;$DS$2</f>
        <v>0</v>
      </c>
      <c r="DK195" s="18" t="b">
        <f>RecData[[#This Row],[Overall (dBA)]]&lt;$DS$3</f>
        <v>0</v>
      </c>
      <c r="DL1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5" s="2">
        <f>IF(AND(RecData[[#This Row],[Turbines ON/OFF]] = "OFF", NOT(OR(RecData[[#This Row],[Junk?]]="YES",RecData[[#This Row],[Gust?]],RecData[[#This Row],[Rain?]:[Min SPL Threshold?]]))),1,0)</f>
        <v>1</v>
      </c>
      <c r="DN195" s="16">
        <f>RecData[[#This Row],[dBA Sum]]</f>
        <v>20.016016136969</v>
      </c>
      <c r="DO195" s="16">
        <f>RecData[[#This Row],[LAF90.0]]</f>
        <v>22.1</v>
      </c>
      <c r="DP195" s="55" t="str">
        <f>IF(AND(RecData[[#This Row],[Useable TON Data?]],RecData[[#This Row],[Turbines ON/OFF]]="ON"),RecData[[#This Row],[dBA Sum]],"")</f>
        <v/>
      </c>
      <c r="DQ195" s="55">
        <f>IF(AND(RecData[[#This Row],[Useable Background Data?]],RecData[[#This Row],[Turbines ON/OFF]]="OFF"),RecData[[#This Row],[dBA Sum]],"")</f>
        <v>20.016016136969</v>
      </c>
      <c r="DR195" s="3">
        <f>IF(OR(RecData[[#This Row],[Useable TON Data?]],RecData[[#This Row],[Useable Background Data?]]),ROUND(RecData[[#This Row],[WSpd_Avg '[m/s']]],0),"")</f>
        <v>1</v>
      </c>
      <c r="DS195" s="85">
        <f>(0.00002)^2*(10^(RecData[[#This Row],[Overall (dBA)]]/10))</f>
        <v>4.0147786412630004E-8</v>
      </c>
    </row>
    <row r="196" spans="1:123" ht="15" x14ac:dyDescent="0.25">
      <c r="A196" s="3" t="s">
        <v>249</v>
      </c>
      <c r="B196" s="12">
        <v>43257.147916666669</v>
      </c>
      <c r="C196" s="3"/>
      <c r="D196" s="3">
        <v>23.5</v>
      </c>
      <c r="E196" s="3"/>
      <c r="F196" s="3"/>
      <c r="G196" s="3"/>
      <c r="H196" s="3"/>
      <c r="I196" s="3"/>
      <c r="J196" s="3"/>
      <c r="K196" s="3">
        <v>21.9</v>
      </c>
      <c r="L196" s="3"/>
      <c r="M196" s="3"/>
      <c r="N196" s="3">
        <v>126.7</v>
      </c>
      <c r="O196" s="3"/>
      <c r="P196" s="3"/>
      <c r="Q196" s="3">
        <v>0.75</v>
      </c>
      <c r="R196" s="3">
        <v>0.7</v>
      </c>
      <c r="S196" s="3">
        <v>0.8</v>
      </c>
      <c r="T196" s="3">
        <v>3.4</v>
      </c>
      <c r="U196" s="3">
        <v>94.5</v>
      </c>
      <c r="V196" s="3">
        <v>970</v>
      </c>
      <c r="W196" s="3">
        <v>0</v>
      </c>
      <c r="X196" s="3">
        <v>17.8</v>
      </c>
      <c r="Y196" s="3">
        <v>12.7</v>
      </c>
      <c r="Z196" s="3">
        <v>12.7</v>
      </c>
      <c r="AA196" s="3">
        <v>8</v>
      </c>
      <c r="AB196" s="3">
        <v>6.6</v>
      </c>
      <c r="AC196" s="3">
        <v>6.7</v>
      </c>
      <c r="AD196" s="3">
        <v>8.6999999999999993</v>
      </c>
      <c r="AE196" s="3">
        <v>8.5</v>
      </c>
      <c r="AF196" s="3">
        <v>14.6</v>
      </c>
      <c r="AG196" s="3">
        <v>12</v>
      </c>
      <c r="AH196" s="3">
        <v>9.6</v>
      </c>
      <c r="AI196" s="3">
        <v>10.8</v>
      </c>
      <c r="AJ196" s="3">
        <v>10.4</v>
      </c>
      <c r="AK196" s="3">
        <v>10.3</v>
      </c>
      <c r="AL196" s="3">
        <v>10.3</v>
      </c>
      <c r="AM196" s="3">
        <v>11.1</v>
      </c>
      <c r="AN196" s="3">
        <v>12.2</v>
      </c>
      <c r="AO196" s="3">
        <v>11.9</v>
      </c>
      <c r="AP196" s="3">
        <v>11.3</v>
      </c>
      <c r="AQ196" s="3">
        <v>11.1</v>
      </c>
      <c r="AR196" s="3">
        <v>10.4</v>
      </c>
      <c r="AS196" s="3">
        <v>15.1</v>
      </c>
      <c r="AT196" s="3">
        <v>14.1</v>
      </c>
      <c r="AU196" s="3">
        <v>9.5</v>
      </c>
      <c r="AV196" s="3">
        <v>10.3</v>
      </c>
      <c r="AW196" s="3">
        <v>10.5</v>
      </c>
      <c r="AX196" s="3">
        <v>10</v>
      </c>
      <c r="AY196" s="3">
        <v>10</v>
      </c>
      <c r="AZ196" s="3">
        <v>0</v>
      </c>
      <c r="BA196" s="3">
        <v>0</v>
      </c>
      <c r="BB196" s="3">
        <v>0</v>
      </c>
      <c r="BC196" s="3">
        <v>23.488089448018549</v>
      </c>
      <c r="BD196" s="3">
        <v>17.811910551981448</v>
      </c>
      <c r="BE196" s="3">
        <v>12.711910551981454</v>
      </c>
      <c r="BF196" s="3">
        <v>11.471910551981452</v>
      </c>
      <c r="BG196" s="3">
        <v>7.0985772186481135</v>
      </c>
      <c r="BH196" s="3">
        <v>5.8385772186481191</v>
      </c>
      <c r="BI196" s="3">
        <v>6.3519105519814509</v>
      </c>
      <c r="BJ196" s="3">
        <v>9.1452438853147839</v>
      </c>
      <c r="BK196" s="3">
        <v>8.8185772186481159</v>
      </c>
      <c r="BL196" s="3">
        <v>14.491910551981455</v>
      </c>
      <c r="BM196" s="3">
        <v>12.025243885314786</v>
      </c>
      <c r="BN196" s="3">
        <v>9.9085772186481194</v>
      </c>
      <c r="BO196" s="3">
        <v>10.475243885314789</v>
      </c>
      <c r="BP196" s="3">
        <v>9.7919105519814522</v>
      </c>
      <c r="BQ196" s="3">
        <v>10.108577218648108</v>
      </c>
      <c r="BR196" s="3">
        <v>10.435243885314783</v>
      </c>
      <c r="BS196" s="3">
        <v>11.038577218648122</v>
      </c>
      <c r="BT196" s="3">
        <v>12.335243885314789</v>
      </c>
      <c r="BU196" s="3">
        <v>12.001910551981453</v>
      </c>
      <c r="BV196" s="3">
        <v>11.11857721864812</v>
      </c>
      <c r="BW196" s="3">
        <v>11.451910551981456</v>
      </c>
      <c r="BX196" s="3">
        <v>10.671910551981455</v>
      </c>
      <c r="BY196" s="3">
        <v>15.191910551981451</v>
      </c>
      <c r="BZ196" s="3">
        <v>14.321910551981453</v>
      </c>
      <c r="CA196" s="3">
        <v>9.8219105519814462</v>
      </c>
      <c r="CB196" s="3">
        <v>10.058577218648118</v>
      </c>
      <c r="CC196" s="3">
        <v>10.471910551981452</v>
      </c>
      <c r="CD196" s="3">
        <v>9.2785772186481239</v>
      </c>
      <c r="CE196" s="3">
        <v>9.4719105519814519</v>
      </c>
      <c r="CF196" s="3">
        <v>-0.91475611468521478</v>
      </c>
      <c r="CG196" s="3">
        <v>-1.4480894480185462</v>
      </c>
      <c r="CH196" s="3">
        <v>-2.5247561146852142</v>
      </c>
      <c r="CI196" s="13">
        <f>[1]!dbasum(RecData[[#This Row],[20]:[2000]],RecData[[#Headers],[20]:[2000]])</f>
        <v>20.023796427595553</v>
      </c>
      <c r="CJ196" s="14">
        <v>2878</v>
      </c>
      <c r="CK196" s="15" t="s">
        <v>249</v>
      </c>
      <c r="CL196" s="15">
        <f>RecData[[#This Row],[Start Time]]</f>
        <v>43257.147916666669</v>
      </c>
      <c r="CM196" s="16">
        <f>RecData[[#This Row],[Wind Speed avg]]</f>
        <v>0.75</v>
      </c>
      <c r="CN196" s="16">
        <f>RecData[[#This Row],[Wind Dir. avg]]</f>
        <v>126.7</v>
      </c>
      <c r="CO196" s="16">
        <f>RecData[[#This Row],[Amb. Humidity]]</f>
        <v>94.5</v>
      </c>
      <c r="CP196" s="16">
        <f>RecData[[#This Row],[Amb. Temperature]]</f>
        <v>3.4</v>
      </c>
      <c r="CQ196" s="17">
        <f>RecData[[#This Row],[Amb. Rain Gauge]]</f>
        <v>0</v>
      </c>
      <c r="CR196" s="4" t="s">
        <v>50</v>
      </c>
      <c r="CS196" s="4" t="s">
        <v>49</v>
      </c>
      <c r="CT196" s="70">
        <v>-10.743001939999999</v>
      </c>
      <c r="CU196" s="70">
        <v>156.0013123</v>
      </c>
      <c r="CV196" s="70">
        <v>1.5747896429999999</v>
      </c>
      <c r="CW196" s="70">
        <v>0</v>
      </c>
      <c r="CX196" s="4"/>
      <c r="CY196" s="69"/>
      <c r="CZ196" s="2" t="b">
        <f>IF($DP$1="YES",IF(RecData[[#This Row],[Power (kW)]]&gt;=$CR$3, TRUE,FALSE),TRUE)</f>
        <v>0</v>
      </c>
      <c r="DA196" s="16">
        <f>MIN(MOD(180-ABS(ABS($DA$1-RecData[Yaw Angle (°)])-180),360),MOD(180-ABS(ABS($DB$1-RecData[Yaw Angle (°)])-180),360))</f>
        <v>148.47138552231246</v>
      </c>
      <c r="DB196" s="2" t="str">
        <f>IF($DP$2="None","None",IF(RecData[[#This Row],[Relative Wind Direction]]&lt;=45,"DW",IF(RecData[[#This Row],[Relative Wind Direction]]&lt;=135,"CW","UW")))</f>
        <v>UW</v>
      </c>
      <c r="DC196" s="61" t="e">
        <f>IF($CL196-#REF!&gt;1/24,#REF!,IF(SUM($CQ194:$CQ196)&gt;$DS$1,$DS$5,DC197-1))</f>
        <v>#REF!</v>
      </c>
      <c r="DD196" s="61" t="e">
        <f>IF($CL197-$CL196&gt;1/24,#REF!,IF(SUM($CQ194:$CQ196)&gt;$DS$1,$DS$6,DD195-1))</f>
        <v>#REF!</v>
      </c>
      <c r="DE196" s="18" t="b">
        <v>0</v>
      </c>
      <c r="DF196" s="2" t="b">
        <f>IF(OR(RecData[[#This Row],[WSpd_Avg '[m/s']]]-RecData[[#This Row],[Wind Speed min]]&gt;=$DF$3,RecData[[#This Row],[Wind Speed max]]-RecData[[#This Row],[WSpd_Avg '[m/s']]]&gt;=$DF$2),TRUE,FALSE)</f>
        <v>0</v>
      </c>
      <c r="DG196" s="2" t="b">
        <f>RecData[[#This Row],[Temperature '[°C']]]&lt;=-20</f>
        <v>0</v>
      </c>
      <c r="DH196" s="18" t="b">
        <f>NOT(OR(MOD(RecData[[#This Row],[TIMESTAMP]],1)&gt;0.91632,MOD(RecData[[#This Row],[TIMESTAMP]],1)&lt;0.208681))</f>
        <v>0</v>
      </c>
      <c r="DI196" s="18" t="b">
        <f>RecData[[#This Row],[Overall (dBA)]]-RecData[[#This Row],[L90]]&gt;=$DS$4</f>
        <v>0</v>
      </c>
      <c r="DJ196" s="18" t="b">
        <f>RecData[[#This Row],[Overall (dBA)]]&gt;$DS$2</f>
        <v>0</v>
      </c>
      <c r="DK196" s="18" t="b">
        <f>RecData[[#This Row],[Overall (dBA)]]&lt;$DS$3</f>
        <v>0</v>
      </c>
      <c r="DL1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6" s="2">
        <f>IF(AND(RecData[[#This Row],[Turbines ON/OFF]] = "OFF", NOT(OR(RecData[[#This Row],[Junk?]]="YES",RecData[[#This Row],[Gust?]],RecData[[#This Row],[Rain?]:[Min SPL Threshold?]]))),1,0)</f>
        <v>1</v>
      </c>
      <c r="DN196" s="16">
        <f>RecData[[#This Row],[dBA Sum]]</f>
        <v>20.023796427595553</v>
      </c>
      <c r="DO196" s="16">
        <f>RecData[[#This Row],[LAF90.0]]</f>
        <v>21.9</v>
      </c>
      <c r="DP196" s="55" t="str">
        <f>IF(AND(RecData[[#This Row],[Useable TON Data?]],RecData[[#This Row],[Turbines ON/OFF]]="ON"),RecData[[#This Row],[dBA Sum]],"")</f>
        <v/>
      </c>
      <c r="DQ196" s="55">
        <f>IF(AND(RecData[[#This Row],[Useable Background Data?]],RecData[[#This Row],[Turbines ON/OFF]]="OFF"),RecData[[#This Row],[dBA Sum]],"")</f>
        <v>20.023796427595553</v>
      </c>
      <c r="DR196" s="3">
        <f>IF(OR(RecData[[#This Row],[Useable TON Data?]],RecData[[#This Row],[Useable Background Data?]]),ROUND(RecData[[#This Row],[WSpd_Avg '[m/s']]],0),"")</f>
        <v>1</v>
      </c>
      <c r="DS196" s="85">
        <f>(0.00002)^2*(10^(RecData[[#This Row],[Overall (dBA)]]/10))</f>
        <v>4.0219774757137214E-8</v>
      </c>
    </row>
    <row r="197" spans="1:123" ht="15" x14ac:dyDescent="0.25">
      <c r="A197" s="3" t="s">
        <v>249</v>
      </c>
      <c r="B197" s="12">
        <v>43257.148611111108</v>
      </c>
      <c r="C197" s="3"/>
      <c r="D197" s="3">
        <v>24.9</v>
      </c>
      <c r="E197" s="3"/>
      <c r="F197" s="3"/>
      <c r="G197" s="3"/>
      <c r="H197" s="3"/>
      <c r="I197" s="3"/>
      <c r="J197" s="3"/>
      <c r="K197" s="3">
        <v>22.2</v>
      </c>
      <c r="L197" s="3"/>
      <c r="M197" s="3"/>
      <c r="N197" s="3">
        <v>129.1</v>
      </c>
      <c r="O197" s="3"/>
      <c r="P197" s="3"/>
      <c r="Q197" s="3">
        <v>0.8</v>
      </c>
      <c r="R197" s="3">
        <v>0.7</v>
      </c>
      <c r="S197" s="3">
        <v>0.9</v>
      </c>
      <c r="T197" s="3">
        <v>3.4</v>
      </c>
      <c r="U197" s="3">
        <v>94.4</v>
      </c>
      <c r="V197" s="3">
        <v>970</v>
      </c>
      <c r="W197" s="3">
        <v>0</v>
      </c>
      <c r="X197" s="3">
        <v>19.399999999999999</v>
      </c>
      <c r="Y197" s="3">
        <v>14.7</v>
      </c>
      <c r="Z197" s="3">
        <v>16.5</v>
      </c>
      <c r="AA197" s="3">
        <v>9.6999999999999993</v>
      </c>
      <c r="AB197" s="3">
        <v>7.9</v>
      </c>
      <c r="AC197" s="3">
        <v>7.4</v>
      </c>
      <c r="AD197" s="3">
        <v>8.5</v>
      </c>
      <c r="AE197" s="3">
        <v>8.3000000000000007</v>
      </c>
      <c r="AF197" s="3">
        <v>14.1</v>
      </c>
      <c r="AG197" s="3">
        <v>10.9</v>
      </c>
      <c r="AH197" s="3">
        <v>9.6999999999999993</v>
      </c>
      <c r="AI197" s="3">
        <v>11</v>
      </c>
      <c r="AJ197" s="3">
        <v>10.8</v>
      </c>
      <c r="AK197" s="3">
        <v>10.6</v>
      </c>
      <c r="AL197" s="3">
        <v>10.4</v>
      </c>
      <c r="AM197" s="3">
        <v>11.1</v>
      </c>
      <c r="AN197" s="3">
        <v>12.2</v>
      </c>
      <c r="AO197" s="3">
        <v>12.1</v>
      </c>
      <c r="AP197" s="3">
        <v>11.5</v>
      </c>
      <c r="AQ197" s="3">
        <v>11.1</v>
      </c>
      <c r="AR197" s="3">
        <v>10.6</v>
      </c>
      <c r="AS197" s="3">
        <v>18.399999999999999</v>
      </c>
      <c r="AT197" s="3">
        <v>16.600000000000001</v>
      </c>
      <c r="AU197" s="3">
        <v>9.8000000000000007</v>
      </c>
      <c r="AV197" s="3">
        <v>10.7</v>
      </c>
      <c r="AW197" s="3">
        <v>10.5</v>
      </c>
      <c r="AX197" s="3">
        <v>9.9</v>
      </c>
      <c r="AY197" s="3">
        <v>10</v>
      </c>
      <c r="AZ197" s="3">
        <v>0</v>
      </c>
      <c r="BA197" s="3">
        <v>0</v>
      </c>
      <c r="BB197" s="3">
        <v>0</v>
      </c>
      <c r="BC197" s="3">
        <v>24.818685419409658</v>
      </c>
      <c r="BD197" s="3">
        <v>19.48131458059034</v>
      </c>
      <c r="BE197" s="3">
        <v>14.781314580590337</v>
      </c>
      <c r="BF197" s="3">
        <v>15.341314580590339</v>
      </c>
      <c r="BG197" s="3">
        <v>8.8679812472570028</v>
      </c>
      <c r="BH197" s="3">
        <v>7.2079812472570133</v>
      </c>
      <c r="BI197" s="3">
        <v>7.1213145805903402</v>
      </c>
      <c r="BJ197" s="3">
        <v>9.014647913923671</v>
      </c>
      <c r="BK197" s="3">
        <v>8.687981247257003</v>
      </c>
      <c r="BL197" s="3">
        <v>14.061314580590338</v>
      </c>
      <c r="BM197" s="3">
        <v>10.994647913923675</v>
      </c>
      <c r="BN197" s="3">
        <v>10.077981247257004</v>
      </c>
      <c r="BO197" s="3">
        <v>10.744647913923675</v>
      </c>
      <c r="BP197" s="3">
        <v>10.261314580590341</v>
      </c>
      <c r="BQ197" s="3">
        <v>10.477981247256995</v>
      </c>
      <c r="BR197" s="3">
        <v>10.604647913923674</v>
      </c>
      <c r="BS197" s="3">
        <v>11.107981247257005</v>
      </c>
      <c r="BT197" s="3">
        <v>12.404647913923672</v>
      </c>
      <c r="BU197" s="3">
        <v>12.271314580590346</v>
      </c>
      <c r="BV197" s="3">
        <v>11.387981247257006</v>
      </c>
      <c r="BW197" s="3">
        <v>11.521314580590346</v>
      </c>
      <c r="BX197" s="3">
        <v>10.941314580590348</v>
      </c>
      <c r="BY197" s="3">
        <v>18.561314580590338</v>
      </c>
      <c r="BZ197" s="3">
        <v>16.89131458059035</v>
      </c>
      <c r="CA197" s="3">
        <v>10.191314580590333</v>
      </c>
      <c r="CB197" s="3">
        <v>10.527981247257006</v>
      </c>
      <c r="CC197" s="3">
        <v>10.541314580590342</v>
      </c>
      <c r="CD197" s="3">
        <v>9.2479812472570124</v>
      </c>
      <c r="CE197" s="3">
        <v>9.5413145805903419</v>
      </c>
      <c r="CF197" s="3">
        <v>-0.84535208607632484</v>
      </c>
      <c r="CG197" s="3">
        <v>-1.3786854194096563</v>
      </c>
      <c r="CH197" s="3">
        <v>-2.4553520860763243</v>
      </c>
      <c r="CI197" s="13">
        <f>[1]!dbasum(RecData[[#This Row],[20]:[2000]],RecData[[#Headers],[20]:[2000]])</f>
        <v>20.20322317010795</v>
      </c>
      <c r="CJ197" s="14">
        <v>2879</v>
      </c>
      <c r="CK197" s="15" t="s">
        <v>249</v>
      </c>
      <c r="CL197" s="15">
        <f>RecData[[#This Row],[Start Time]]</f>
        <v>43257.148611111108</v>
      </c>
      <c r="CM197" s="16">
        <f>RecData[[#This Row],[Wind Speed avg]]</f>
        <v>0.8</v>
      </c>
      <c r="CN197" s="16">
        <f>RecData[[#This Row],[Wind Dir. avg]]</f>
        <v>129.1</v>
      </c>
      <c r="CO197" s="16">
        <f>RecData[[#This Row],[Amb. Humidity]]</f>
        <v>94.4</v>
      </c>
      <c r="CP197" s="16">
        <f>RecData[[#This Row],[Amb. Temperature]]</f>
        <v>3.4</v>
      </c>
      <c r="CQ197" s="17">
        <f>RecData[[#This Row],[Amb. Rain Gauge]]</f>
        <v>0</v>
      </c>
      <c r="CR197" s="4" t="s">
        <v>50</v>
      </c>
      <c r="CS197" s="4" t="s">
        <v>49</v>
      </c>
      <c r="CT197" s="70">
        <v>-10.743001939999999</v>
      </c>
      <c r="CU197" s="70">
        <v>156.0013123</v>
      </c>
      <c r="CV197" s="70">
        <v>1.5747896429999999</v>
      </c>
      <c r="CW197" s="70">
        <v>0</v>
      </c>
      <c r="CX197" s="4"/>
      <c r="CY197" s="69"/>
      <c r="CZ197" s="2" t="b">
        <f>IF($DP$1="YES",IF(RecData[[#This Row],[Power (kW)]]&gt;=$CR$3, TRUE,FALSE),TRUE)</f>
        <v>0</v>
      </c>
      <c r="DA197" s="16">
        <f>MIN(MOD(180-ABS(ABS($DA$1-RecData[Yaw Angle (°)])-180),360),MOD(180-ABS(ABS($DB$1-RecData[Yaw Angle (°)])-180),360))</f>
        <v>148.47138552231246</v>
      </c>
      <c r="DB197" s="2" t="str">
        <f>IF($DP$2="None","None",IF(RecData[[#This Row],[Relative Wind Direction]]&lt;=45,"DW",IF(RecData[[#This Row],[Relative Wind Direction]]&lt;=135,"CW","UW")))</f>
        <v>UW</v>
      </c>
      <c r="DC197" s="61" t="e">
        <f>IF($CL197-#REF!&gt;1/24,#REF!,IF(SUM($CQ194:$CQ197)&gt;$DS$1,$DS$5,DC198-1))</f>
        <v>#REF!</v>
      </c>
      <c r="DD197" s="61" t="e">
        <f>IF($CL198-$CL197&gt;1/24,#REF!,IF(SUM($CQ194:$CQ197)&gt;$DS$1,$DS$6,DD196-1))</f>
        <v>#REF!</v>
      </c>
      <c r="DE197" s="18" t="b">
        <v>0</v>
      </c>
      <c r="DF197" s="2" t="b">
        <f>IF(OR(RecData[[#This Row],[WSpd_Avg '[m/s']]]-RecData[[#This Row],[Wind Speed min]]&gt;=$DF$3,RecData[[#This Row],[Wind Speed max]]-RecData[[#This Row],[WSpd_Avg '[m/s']]]&gt;=$DF$2),TRUE,FALSE)</f>
        <v>0</v>
      </c>
      <c r="DG197" s="2" t="b">
        <f>RecData[[#This Row],[Temperature '[°C']]]&lt;=-20</f>
        <v>0</v>
      </c>
      <c r="DH197" s="18" t="b">
        <f>NOT(OR(MOD(RecData[[#This Row],[TIMESTAMP]],1)&gt;0.91632,MOD(RecData[[#This Row],[TIMESTAMP]],1)&lt;0.208681))</f>
        <v>0</v>
      </c>
      <c r="DI197" s="18" t="b">
        <f>RecData[[#This Row],[Overall (dBA)]]-RecData[[#This Row],[L90]]&gt;=$DS$4</f>
        <v>0</v>
      </c>
      <c r="DJ197" s="18" t="b">
        <f>RecData[[#This Row],[Overall (dBA)]]&gt;$DS$2</f>
        <v>0</v>
      </c>
      <c r="DK197" s="18" t="b">
        <f>RecData[[#This Row],[Overall (dBA)]]&lt;$DS$3</f>
        <v>0</v>
      </c>
      <c r="DL1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7" s="2">
        <f>IF(AND(RecData[[#This Row],[Turbines ON/OFF]] = "OFF", NOT(OR(RecData[[#This Row],[Junk?]]="YES",RecData[[#This Row],[Gust?]],RecData[[#This Row],[Rain?]:[Min SPL Threshold?]]))),1,0)</f>
        <v>1</v>
      </c>
      <c r="DN197" s="16">
        <f>RecData[[#This Row],[dBA Sum]]</f>
        <v>20.20322317010795</v>
      </c>
      <c r="DO197" s="16">
        <f>RecData[[#This Row],[LAF90.0]]</f>
        <v>22.2</v>
      </c>
      <c r="DP197" s="55" t="str">
        <f>IF(AND(RecData[[#This Row],[Useable TON Data?]],RecData[[#This Row],[Turbines ON/OFF]]="ON"),RecData[[#This Row],[dBA Sum]],"")</f>
        <v/>
      </c>
      <c r="DQ197" s="55">
        <f>IF(AND(RecData[[#This Row],[Useable Background Data?]],RecData[[#This Row],[Turbines ON/OFF]]="OFF"),RecData[[#This Row],[dBA Sum]],"")</f>
        <v>20.20322317010795</v>
      </c>
      <c r="DR197" s="3">
        <f>IF(OR(RecData[[#This Row],[Useable TON Data?]],RecData[[#This Row],[Useable Background Data?]]),ROUND(RecData[[#This Row],[WSpd_Avg '[m/s']]],0),"")</f>
        <v>1</v>
      </c>
      <c r="DS197" s="85">
        <f>(0.00002)^2*(10^(RecData[[#This Row],[Overall (dBA)]]/10))</f>
        <v>4.1916239035281036E-8</v>
      </c>
    </row>
    <row r="198" spans="1:123" ht="15" x14ac:dyDescent="0.25">
      <c r="A198" s="3" t="s">
        <v>249</v>
      </c>
      <c r="B198" s="12">
        <v>43257.149305555555</v>
      </c>
      <c r="C198" s="3"/>
      <c r="D198" s="3">
        <v>24.5</v>
      </c>
      <c r="E198" s="3"/>
      <c r="F198" s="3"/>
      <c r="G198" s="3"/>
      <c r="H198" s="3"/>
      <c r="I198" s="3"/>
      <c r="J198" s="3"/>
      <c r="K198" s="3">
        <v>22.1</v>
      </c>
      <c r="L198" s="3"/>
      <c r="M198" s="3"/>
      <c r="N198" s="3">
        <v>130.6</v>
      </c>
      <c r="O198" s="3"/>
      <c r="P198" s="3"/>
      <c r="Q198" s="3">
        <v>0.74</v>
      </c>
      <c r="R198" s="3">
        <v>0.6</v>
      </c>
      <c r="S198" s="3">
        <v>0.8</v>
      </c>
      <c r="T198" s="3">
        <v>3.4</v>
      </c>
      <c r="U198" s="3">
        <v>94.4</v>
      </c>
      <c r="V198" s="3">
        <v>970</v>
      </c>
      <c r="W198" s="3">
        <v>0</v>
      </c>
      <c r="X198" s="3">
        <v>20</v>
      </c>
      <c r="Y198" s="3">
        <v>18.600000000000001</v>
      </c>
      <c r="Z198" s="3">
        <v>18.399999999999999</v>
      </c>
      <c r="AA198" s="3">
        <v>12.2</v>
      </c>
      <c r="AB198" s="3">
        <v>7.9</v>
      </c>
      <c r="AC198" s="3">
        <v>6.7</v>
      </c>
      <c r="AD198" s="3">
        <v>8.8000000000000007</v>
      </c>
      <c r="AE198" s="3">
        <v>8.1999999999999993</v>
      </c>
      <c r="AF198" s="3">
        <v>11.2</v>
      </c>
      <c r="AG198" s="3">
        <v>11.1</v>
      </c>
      <c r="AH198" s="3">
        <v>9.4</v>
      </c>
      <c r="AI198" s="3">
        <v>10.5</v>
      </c>
      <c r="AJ198" s="3">
        <v>10.7</v>
      </c>
      <c r="AK198" s="3">
        <v>10.5</v>
      </c>
      <c r="AL198" s="3">
        <v>10.5</v>
      </c>
      <c r="AM198" s="3">
        <v>11.4</v>
      </c>
      <c r="AN198" s="3">
        <v>12.3</v>
      </c>
      <c r="AO198" s="3">
        <v>12</v>
      </c>
      <c r="AP198" s="3">
        <v>11.4</v>
      </c>
      <c r="AQ198" s="3">
        <v>11.3</v>
      </c>
      <c r="AR198" s="3">
        <v>10.6</v>
      </c>
      <c r="AS198" s="3">
        <v>17.399999999999999</v>
      </c>
      <c r="AT198" s="3">
        <v>15.7</v>
      </c>
      <c r="AU198" s="3">
        <v>9.8000000000000007</v>
      </c>
      <c r="AV198" s="3">
        <v>10.5</v>
      </c>
      <c r="AW198" s="3">
        <v>11.1</v>
      </c>
      <c r="AX198" s="3">
        <v>10.1</v>
      </c>
      <c r="AY198" s="3">
        <v>10</v>
      </c>
      <c r="AZ198" s="3">
        <v>0</v>
      </c>
      <c r="BA198" s="3">
        <v>0</v>
      </c>
      <c r="BB198" s="3">
        <v>0</v>
      </c>
      <c r="BC198" s="3">
        <v>24.389527663428371</v>
      </c>
      <c r="BD198" s="3">
        <v>20.110472336571629</v>
      </c>
      <c r="BE198" s="3">
        <v>18.71047233657163</v>
      </c>
      <c r="BF198" s="3">
        <v>17.270472336571626</v>
      </c>
      <c r="BG198" s="3">
        <v>11.397139003238291</v>
      </c>
      <c r="BH198" s="3">
        <v>7.2371390032382976</v>
      </c>
      <c r="BI198" s="3">
        <v>6.4504723365716288</v>
      </c>
      <c r="BJ198" s="3">
        <v>9.3438056699049632</v>
      </c>
      <c r="BK198" s="3">
        <v>8.6171390032382895</v>
      </c>
      <c r="BL198" s="3">
        <v>11.190472336571627</v>
      </c>
      <c r="BM198" s="3">
        <v>11.223805669904966</v>
      </c>
      <c r="BN198" s="3">
        <v>9.8071390032382944</v>
      </c>
      <c r="BO198" s="3">
        <v>10.273805669904963</v>
      </c>
      <c r="BP198" s="3">
        <v>10.190472336571627</v>
      </c>
      <c r="BQ198" s="3">
        <v>10.407139003238289</v>
      </c>
      <c r="BR198" s="3">
        <v>10.733805669904964</v>
      </c>
      <c r="BS198" s="3">
        <v>11.437139003238297</v>
      </c>
      <c r="BT198" s="3">
        <v>12.533805669904961</v>
      </c>
      <c r="BU198" s="3">
        <v>12.200472336571632</v>
      </c>
      <c r="BV198" s="3">
        <v>11.317139003238292</v>
      </c>
      <c r="BW198" s="3">
        <v>11.750472336571629</v>
      </c>
      <c r="BX198" s="3">
        <v>10.970472336571635</v>
      </c>
      <c r="BY198" s="3">
        <v>17.590472336571626</v>
      </c>
      <c r="BZ198" s="3">
        <v>16.020472336571633</v>
      </c>
      <c r="CA198" s="3">
        <v>10.220472336571621</v>
      </c>
      <c r="CB198" s="3">
        <v>10.357139003238292</v>
      </c>
      <c r="CC198" s="3">
        <v>11.170472336571631</v>
      </c>
      <c r="CD198" s="3">
        <v>9.4771390032383032</v>
      </c>
      <c r="CE198" s="3">
        <v>9.5704723365716298</v>
      </c>
      <c r="CF198" s="3">
        <v>-0.81619433009503695</v>
      </c>
      <c r="CG198" s="3">
        <v>-1.3495276634283684</v>
      </c>
      <c r="CH198" s="3">
        <v>-2.4261943300950364</v>
      </c>
      <c r="CI198" s="13">
        <f>[1]!dbasum(RecData[[#This Row],[20]:[2000]],RecData[[#Headers],[20]:[2000]])</f>
        <v>20.25405523056267</v>
      </c>
      <c r="CJ198" s="14">
        <v>2880</v>
      </c>
      <c r="CK198" s="15" t="s">
        <v>249</v>
      </c>
      <c r="CL198" s="15">
        <f>RecData[[#This Row],[Start Time]]</f>
        <v>43257.149305555555</v>
      </c>
      <c r="CM198" s="16">
        <f>RecData[[#This Row],[Wind Speed avg]]</f>
        <v>0.74</v>
      </c>
      <c r="CN198" s="16">
        <f>RecData[[#This Row],[Wind Dir. avg]]</f>
        <v>130.6</v>
      </c>
      <c r="CO198" s="16">
        <f>RecData[[#This Row],[Amb. Humidity]]</f>
        <v>94.4</v>
      </c>
      <c r="CP198" s="16">
        <f>RecData[[#This Row],[Amb. Temperature]]</f>
        <v>3.4</v>
      </c>
      <c r="CQ198" s="17">
        <f>RecData[[#This Row],[Amb. Rain Gauge]]</f>
        <v>0</v>
      </c>
      <c r="CR198" s="4" t="s">
        <v>50</v>
      </c>
      <c r="CS198" s="4" t="s">
        <v>49</v>
      </c>
      <c r="CT198" s="70">
        <v>-10.743001939999999</v>
      </c>
      <c r="CU198" s="70">
        <v>156.0013123</v>
      </c>
      <c r="CV198" s="70">
        <v>1.5747896429999999</v>
      </c>
      <c r="CW198" s="70">
        <v>0</v>
      </c>
      <c r="CX198" s="4"/>
      <c r="CY198" s="69"/>
      <c r="CZ198" s="2" t="b">
        <f>IF($DP$1="YES",IF(RecData[[#This Row],[Power (kW)]]&gt;=$CR$3, TRUE,FALSE),TRUE)</f>
        <v>0</v>
      </c>
      <c r="DA198" s="16">
        <f>MIN(MOD(180-ABS(ABS($DA$1-RecData[Yaw Angle (°)])-180),360),MOD(180-ABS(ABS($DB$1-RecData[Yaw Angle (°)])-180),360))</f>
        <v>148.47138552231246</v>
      </c>
      <c r="DB198" s="2" t="str">
        <f>IF($DP$2="None","None",IF(RecData[[#This Row],[Relative Wind Direction]]&lt;=45,"DW",IF(RecData[[#This Row],[Relative Wind Direction]]&lt;=135,"CW","UW")))</f>
        <v>UW</v>
      </c>
      <c r="DC198" s="61">
        <f>IF($CL198-$CL194&gt;1/24,#REF!,IF(SUM($CQ194:$CQ198)&gt;$DS$1,$DS$5,DC199-1))</f>
        <v>-2</v>
      </c>
      <c r="DD198" s="61" t="e">
        <f>IF($CL199-$CL198&gt;1/24,#REF!,IF(SUM($CQ194:$CQ198)&gt;$DS$1,$DS$6,DD197-1))</f>
        <v>#REF!</v>
      </c>
      <c r="DE198" s="18" t="b">
        <v>0</v>
      </c>
      <c r="DF198" s="2" t="b">
        <f>IF(OR(RecData[[#This Row],[WSpd_Avg '[m/s']]]-RecData[[#This Row],[Wind Speed min]]&gt;=$DF$3,RecData[[#This Row],[Wind Speed max]]-RecData[[#This Row],[WSpd_Avg '[m/s']]]&gt;=$DF$2),TRUE,FALSE)</f>
        <v>0</v>
      </c>
      <c r="DG198" s="2" t="b">
        <f>RecData[[#This Row],[Temperature '[°C']]]&lt;=-20</f>
        <v>0</v>
      </c>
      <c r="DH198" s="18" t="b">
        <f>NOT(OR(MOD(RecData[[#This Row],[TIMESTAMP]],1)&gt;0.91632,MOD(RecData[[#This Row],[TIMESTAMP]],1)&lt;0.208681))</f>
        <v>0</v>
      </c>
      <c r="DI198" s="18" t="b">
        <f>RecData[[#This Row],[Overall (dBA)]]-RecData[[#This Row],[L90]]&gt;=$DS$4</f>
        <v>0</v>
      </c>
      <c r="DJ198" s="18" t="b">
        <f>RecData[[#This Row],[Overall (dBA)]]&gt;$DS$2</f>
        <v>0</v>
      </c>
      <c r="DK198" s="18" t="b">
        <f>RecData[[#This Row],[Overall (dBA)]]&lt;$DS$3</f>
        <v>0</v>
      </c>
      <c r="DL1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8" s="2">
        <f>IF(AND(RecData[[#This Row],[Turbines ON/OFF]] = "OFF", NOT(OR(RecData[[#This Row],[Junk?]]="YES",RecData[[#This Row],[Gust?]],RecData[[#This Row],[Rain?]:[Min SPL Threshold?]]))),1,0)</f>
        <v>1</v>
      </c>
      <c r="DN198" s="16">
        <f>RecData[[#This Row],[dBA Sum]]</f>
        <v>20.25405523056267</v>
      </c>
      <c r="DO198" s="16">
        <f>RecData[[#This Row],[LAF90.0]]</f>
        <v>22.1</v>
      </c>
      <c r="DP198" s="55" t="str">
        <f>IF(AND(RecData[[#This Row],[Useable TON Data?]],RecData[[#This Row],[Turbines ON/OFF]]="ON"),RecData[[#This Row],[dBA Sum]],"")</f>
        <v/>
      </c>
      <c r="DQ198" s="55">
        <f>IF(AND(RecData[[#This Row],[Useable Background Data?]],RecData[[#This Row],[Turbines ON/OFF]]="OFF"),RecData[[#This Row],[dBA Sum]],"")</f>
        <v>20.25405523056267</v>
      </c>
      <c r="DR198" s="3">
        <f>IF(OR(RecData[[#This Row],[Useable TON Data?]],RecData[[#This Row],[Useable Background Data?]]),ROUND(RecData[[#This Row],[WSpd_Avg '[m/s']]],0),"")</f>
        <v>1</v>
      </c>
      <c r="DS198" s="85">
        <f>(0.00002)^2*(10^(RecData[[#This Row],[Overall (dBA)]]/10))</f>
        <v>4.2409730667520395E-8</v>
      </c>
    </row>
    <row r="199" spans="1:123" ht="15" x14ac:dyDescent="0.25">
      <c r="A199" s="3" t="s">
        <v>249</v>
      </c>
      <c r="B199" s="12">
        <v>43257.15</v>
      </c>
      <c r="C199" s="3"/>
      <c r="D199" s="3">
        <v>23.7</v>
      </c>
      <c r="E199" s="3"/>
      <c r="F199" s="3"/>
      <c r="G199" s="3"/>
      <c r="H199" s="3"/>
      <c r="I199" s="3"/>
      <c r="J199" s="3"/>
      <c r="K199" s="3">
        <v>22.1</v>
      </c>
      <c r="L199" s="3"/>
      <c r="M199" s="3"/>
      <c r="N199" s="3">
        <v>139.30000000000001</v>
      </c>
      <c r="O199" s="3"/>
      <c r="P199" s="3"/>
      <c r="Q199" s="3">
        <v>0.65</v>
      </c>
      <c r="R199" s="3">
        <v>0.5</v>
      </c>
      <c r="S199" s="3">
        <v>0.8</v>
      </c>
      <c r="T199" s="3">
        <v>3.4</v>
      </c>
      <c r="U199" s="3">
        <v>94.3</v>
      </c>
      <c r="V199" s="3">
        <v>970</v>
      </c>
      <c r="W199" s="3">
        <v>0</v>
      </c>
      <c r="X199" s="3">
        <v>18.3</v>
      </c>
      <c r="Y199" s="3">
        <v>17.2</v>
      </c>
      <c r="Z199" s="3">
        <v>19.7</v>
      </c>
      <c r="AA199" s="3">
        <v>9.9</v>
      </c>
      <c r="AB199" s="3">
        <v>7.8</v>
      </c>
      <c r="AC199" s="3">
        <v>7.6</v>
      </c>
      <c r="AD199" s="3">
        <v>9.1999999999999993</v>
      </c>
      <c r="AE199" s="3">
        <v>8.5</v>
      </c>
      <c r="AF199" s="3">
        <v>13.8</v>
      </c>
      <c r="AG199" s="3">
        <v>12.4</v>
      </c>
      <c r="AH199" s="3">
        <v>9.6999999999999993</v>
      </c>
      <c r="AI199" s="3">
        <v>10.9</v>
      </c>
      <c r="AJ199" s="3">
        <v>10.8</v>
      </c>
      <c r="AK199" s="3">
        <v>10.9</v>
      </c>
      <c r="AL199" s="3">
        <v>11</v>
      </c>
      <c r="AM199" s="3">
        <v>11.6</v>
      </c>
      <c r="AN199" s="3">
        <v>12.5</v>
      </c>
      <c r="AO199" s="3">
        <v>12.3</v>
      </c>
      <c r="AP199" s="3">
        <v>11.6</v>
      </c>
      <c r="AQ199" s="3">
        <v>11.2</v>
      </c>
      <c r="AR199" s="3">
        <v>10.6</v>
      </c>
      <c r="AS199" s="3">
        <v>14.8</v>
      </c>
      <c r="AT199" s="3">
        <v>14.4</v>
      </c>
      <c r="AU199" s="3">
        <v>9.6</v>
      </c>
      <c r="AV199" s="3">
        <v>10.4</v>
      </c>
      <c r="AW199" s="3">
        <v>11.1</v>
      </c>
      <c r="AX199" s="3">
        <v>10.1</v>
      </c>
      <c r="AY199" s="3">
        <v>10</v>
      </c>
      <c r="AZ199" s="3">
        <v>0</v>
      </c>
      <c r="BA199" s="3">
        <v>0</v>
      </c>
      <c r="BB199" s="3">
        <v>0</v>
      </c>
      <c r="BC199" s="3">
        <v>23.663358610512546</v>
      </c>
      <c r="BD199" s="3">
        <v>18.336641389487454</v>
      </c>
      <c r="BE199" s="3">
        <v>17.236641389487453</v>
      </c>
      <c r="BF199" s="3">
        <v>18.496641389487451</v>
      </c>
      <c r="BG199" s="3">
        <v>9.0233080561541215</v>
      </c>
      <c r="BH199" s="3">
        <v>7.0633080561541206</v>
      </c>
      <c r="BI199" s="3">
        <v>7.2766413894874518</v>
      </c>
      <c r="BJ199" s="3">
        <v>9.6699747228207826</v>
      </c>
      <c r="BK199" s="3">
        <v>8.8433080561541146</v>
      </c>
      <c r="BL199" s="3">
        <v>13.716641389487457</v>
      </c>
      <c r="BM199" s="3">
        <v>12.449974722820791</v>
      </c>
      <c r="BN199" s="3">
        <v>10.033308056154119</v>
      </c>
      <c r="BO199" s="3">
        <v>10.599974722820789</v>
      </c>
      <c r="BP199" s="3">
        <v>10.216641389487457</v>
      </c>
      <c r="BQ199" s="3">
        <v>10.733308056154115</v>
      </c>
      <c r="BR199" s="3">
        <v>11.159974722820792</v>
      </c>
      <c r="BS199" s="3">
        <v>11.563308056154121</v>
      </c>
      <c r="BT199" s="3">
        <v>12.659974722820792</v>
      </c>
      <c r="BU199" s="3">
        <v>12.426641389487457</v>
      </c>
      <c r="BV199" s="3">
        <v>11.443308056154123</v>
      </c>
      <c r="BW199" s="3">
        <v>11.576641389487456</v>
      </c>
      <c r="BX199" s="3">
        <v>10.896641389487456</v>
      </c>
      <c r="BY199" s="3">
        <v>14.916641389487452</v>
      </c>
      <c r="BZ199" s="3">
        <v>14.646641389487456</v>
      </c>
      <c r="CA199" s="3">
        <v>9.9466413894874464</v>
      </c>
      <c r="CB199" s="3">
        <v>10.183308056154118</v>
      </c>
      <c r="CC199" s="3">
        <v>11.096641389487452</v>
      </c>
      <c r="CD199" s="3">
        <v>9.403308056154124</v>
      </c>
      <c r="CE199" s="3">
        <v>9.4966413894874506</v>
      </c>
      <c r="CF199" s="3">
        <v>-0.89002527717921254</v>
      </c>
      <c r="CG199" s="3">
        <v>-1.423358610512544</v>
      </c>
      <c r="CH199" s="3">
        <v>-2.500025277179212</v>
      </c>
      <c r="CI199" s="13">
        <f>[1]!dbasum(RecData[[#This Row],[20]:[2000]],RecData[[#Headers],[20]:[2000]])</f>
        <v>20.356261084287862</v>
      </c>
      <c r="CJ199" s="14">
        <v>2881</v>
      </c>
      <c r="CK199" s="15" t="s">
        <v>249</v>
      </c>
      <c r="CL199" s="15">
        <f>RecData[[#This Row],[Start Time]]</f>
        <v>43257.15</v>
      </c>
      <c r="CM199" s="16">
        <f>RecData[[#This Row],[Wind Speed avg]]</f>
        <v>0.65</v>
      </c>
      <c r="CN199" s="16">
        <f>RecData[[#This Row],[Wind Dir. avg]]</f>
        <v>139.30000000000001</v>
      </c>
      <c r="CO199" s="16">
        <f>RecData[[#This Row],[Amb. Humidity]]</f>
        <v>94.3</v>
      </c>
      <c r="CP199" s="16">
        <f>RecData[[#This Row],[Amb. Temperature]]</f>
        <v>3.4</v>
      </c>
      <c r="CQ199" s="17">
        <f>RecData[[#This Row],[Amb. Rain Gauge]]</f>
        <v>0</v>
      </c>
      <c r="CR199" s="4" t="s">
        <v>50</v>
      </c>
      <c r="CS199" s="4" t="s">
        <v>49</v>
      </c>
      <c r="CT199" s="70">
        <v>-10.743001939999999</v>
      </c>
      <c r="CU199" s="70">
        <v>156.0013123</v>
      </c>
      <c r="CV199" s="70">
        <v>1.5747896429999999</v>
      </c>
      <c r="CW199" s="70">
        <v>0</v>
      </c>
      <c r="CX199" s="4"/>
      <c r="CY199" s="69"/>
      <c r="CZ199" s="2" t="b">
        <f>IF($DP$1="YES",IF(RecData[[#This Row],[Power (kW)]]&gt;=$CR$3, TRUE,FALSE),TRUE)</f>
        <v>0</v>
      </c>
      <c r="DA199" s="16">
        <f>MIN(MOD(180-ABS(ABS($DA$1-RecData[Yaw Angle (°)])-180),360),MOD(180-ABS(ABS($DB$1-RecData[Yaw Angle (°)])-180),360))</f>
        <v>148.47138552231246</v>
      </c>
      <c r="DB199" s="2" t="str">
        <f>IF($DP$2="None","None",IF(RecData[[#This Row],[Relative Wind Direction]]&lt;=45,"DW",IF(RecData[[#This Row],[Relative Wind Direction]]&lt;=135,"CW","UW")))</f>
        <v>UW</v>
      </c>
      <c r="DC199" s="61">
        <v>-1</v>
      </c>
      <c r="DD199" s="61">
        <v>-1</v>
      </c>
      <c r="DE199" s="18" t="b">
        <v>0</v>
      </c>
      <c r="DF199" s="2" t="b">
        <f>IF(OR(RecData[[#This Row],[WSpd_Avg '[m/s']]]-RecData[[#This Row],[Wind Speed min]]&gt;=$DF$3,RecData[[#This Row],[Wind Speed max]]-RecData[[#This Row],[WSpd_Avg '[m/s']]]&gt;=$DF$2),TRUE,FALSE)</f>
        <v>0</v>
      </c>
      <c r="DG199" s="2" t="b">
        <f>RecData[[#This Row],[Temperature '[°C']]]&lt;=-20</f>
        <v>0</v>
      </c>
      <c r="DH199" s="18" t="b">
        <f>NOT(OR(MOD(RecData[[#This Row],[TIMESTAMP]],1)&gt;0.91632,MOD(RecData[[#This Row],[TIMESTAMP]],1)&lt;0.208681))</f>
        <v>0</v>
      </c>
      <c r="DI199" s="18" t="b">
        <f>RecData[[#This Row],[Overall (dBA)]]-RecData[[#This Row],[L90]]&gt;=$DS$4</f>
        <v>0</v>
      </c>
      <c r="DJ199" s="18" t="b">
        <f>RecData[[#This Row],[Overall (dBA)]]&gt;$DS$2</f>
        <v>0</v>
      </c>
      <c r="DK199" s="18" t="b">
        <f>RecData[[#This Row],[Overall (dBA)]]&lt;$DS$3</f>
        <v>0</v>
      </c>
      <c r="DL1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99" s="2">
        <f>IF(AND(RecData[[#This Row],[Turbines ON/OFF]] = "OFF", NOT(OR(RecData[[#This Row],[Junk?]]="YES",RecData[[#This Row],[Gust?]],RecData[[#This Row],[Rain?]:[Min SPL Threshold?]]))),1,0)</f>
        <v>1</v>
      </c>
      <c r="DN199" s="16">
        <f>RecData[[#This Row],[dBA Sum]]</f>
        <v>20.356261084287862</v>
      </c>
      <c r="DO199" s="16">
        <f>RecData[[#This Row],[LAF90.0]]</f>
        <v>22.1</v>
      </c>
      <c r="DP199" s="55" t="str">
        <f>IF(AND(RecData[[#This Row],[Useable TON Data?]],RecData[[#This Row],[Turbines ON/OFF]]="ON"),RecData[[#This Row],[dBA Sum]],"")</f>
        <v/>
      </c>
      <c r="DQ199" s="55">
        <f>IF(AND(RecData[[#This Row],[Useable Background Data?]],RecData[[#This Row],[Turbines ON/OFF]]="OFF"),RecData[[#This Row],[dBA Sum]],"")</f>
        <v>20.356261084287862</v>
      </c>
      <c r="DR199" s="3">
        <f>IF(OR(RecData[[#This Row],[Useable TON Data?]],RecData[[#This Row],[Useable Background Data?]]),ROUND(RecData[[#This Row],[WSpd_Avg '[m/s']]],0),"")</f>
        <v>1</v>
      </c>
      <c r="DS199" s="85">
        <f>(0.00002)^2*(10^(RecData[[#This Row],[Overall (dBA)]]/10))</f>
        <v>4.3419628146342764E-8</v>
      </c>
    </row>
    <row r="200" spans="1:123" ht="15" x14ac:dyDescent="0.25">
      <c r="A200" s="3" t="s">
        <v>249</v>
      </c>
      <c r="B200" s="12">
        <v>43257.150694444441</v>
      </c>
      <c r="C200" s="3"/>
      <c r="D200" s="3">
        <v>25.6</v>
      </c>
      <c r="E200" s="3"/>
      <c r="F200" s="3"/>
      <c r="G200" s="3"/>
      <c r="H200" s="3"/>
      <c r="I200" s="3"/>
      <c r="J200" s="3"/>
      <c r="K200" s="3">
        <v>22.2</v>
      </c>
      <c r="L200" s="3"/>
      <c r="M200" s="3"/>
      <c r="N200" s="3">
        <v>151</v>
      </c>
      <c r="O200" s="3"/>
      <c r="P200" s="3"/>
      <c r="Q200" s="3">
        <v>0.55000000000000004</v>
      </c>
      <c r="R200" s="3">
        <v>0.4</v>
      </c>
      <c r="S200" s="3">
        <v>0.7</v>
      </c>
      <c r="T200" s="3">
        <v>3.3</v>
      </c>
      <c r="U200" s="3">
        <v>94.3</v>
      </c>
      <c r="V200" s="3">
        <v>970</v>
      </c>
      <c r="W200" s="3">
        <v>0</v>
      </c>
      <c r="X200" s="3">
        <v>18.600000000000001</v>
      </c>
      <c r="Y200" s="3">
        <v>14.7</v>
      </c>
      <c r="Z200" s="3">
        <v>16.5</v>
      </c>
      <c r="AA200" s="3">
        <v>9.8000000000000007</v>
      </c>
      <c r="AB200" s="3">
        <v>7.2</v>
      </c>
      <c r="AC200" s="3">
        <v>6.8</v>
      </c>
      <c r="AD200" s="3">
        <v>9</v>
      </c>
      <c r="AE200" s="3">
        <v>8.3000000000000007</v>
      </c>
      <c r="AF200" s="3">
        <v>11.8</v>
      </c>
      <c r="AG200" s="3">
        <v>10.7</v>
      </c>
      <c r="AH200" s="3">
        <v>9.8000000000000007</v>
      </c>
      <c r="AI200" s="3">
        <v>11</v>
      </c>
      <c r="AJ200" s="3">
        <v>11</v>
      </c>
      <c r="AK200" s="3">
        <v>10.9</v>
      </c>
      <c r="AL200" s="3">
        <v>11</v>
      </c>
      <c r="AM200" s="3">
        <v>11.5</v>
      </c>
      <c r="AN200" s="3">
        <v>12.4</v>
      </c>
      <c r="AO200" s="3">
        <v>12</v>
      </c>
      <c r="AP200" s="3">
        <v>11.4</v>
      </c>
      <c r="AQ200" s="3">
        <v>10.9</v>
      </c>
      <c r="AR200" s="3">
        <v>10.5</v>
      </c>
      <c r="AS200" s="3">
        <v>20.100000000000001</v>
      </c>
      <c r="AT200" s="3">
        <v>17.399999999999999</v>
      </c>
      <c r="AU200" s="3">
        <v>9.5</v>
      </c>
      <c r="AV200" s="3">
        <v>9.6999999999999993</v>
      </c>
      <c r="AW200" s="3">
        <v>10.1</v>
      </c>
      <c r="AX200" s="3">
        <v>9.8000000000000007</v>
      </c>
      <c r="AY200" s="3">
        <v>9.8000000000000007</v>
      </c>
      <c r="AZ200" s="3">
        <v>0</v>
      </c>
      <c r="BA200" s="3">
        <v>0</v>
      </c>
      <c r="BB200" s="3">
        <v>0</v>
      </c>
      <c r="BC200" s="3">
        <v>25.508093121508114</v>
      </c>
      <c r="BD200" s="3">
        <v>18.691906878491888</v>
      </c>
      <c r="BE200" s="3">
        <v>14.791906878491883</v>
      </c>
      <c r="BF200" s="3">
        <v>15.351906878491885</v>
      </c>
      <c r="BG200" s="3">
        <v>8.9785735451585502</v>
      </c>
      <c r="BH200" s="3">
        <v>6.5185735451585565</v>
      </c>
      <c r="BI200" s="3">
        <v>6.5319068784918848</v>
      </c>
      <c r="BJ200" s="3">
        <v>9.5252402118252171</v>
      </c>
      <c r="BK200" s="3">
        <v>8.6985735451585491</v>
      </c>
      <c r="BL200" s="3">
        <v>11.771906878491887</v>
      </c>
      <c r="BM200" s="3">
        <v>10.805240211825218</v>
      </c>
      <c r="BN200" s="3">
        <v>10.188573545158558</v>
      </c>
      <c r="BO200" s="3">
        <v>10.755240211825221</v>
      </c>
      <c r="BP200" s="3">
        <v>10.47190687849189</v>
      </c>
      <c r="BQ200" s="3">
        <v>10.788573545158545</v>
      </c>
      <c r="BR200" s="3">
        <v>11.215240211825222</v>
      </c>
      <c r="BS200" s="3">
        <v>11.518573545158556</v>
      </c>
      <c r="BT200" s="3">
        <v>12.61524021182522</v>
      </c>
      <c r="BU200" s="3">
        <v>12.18190687849189</v>
      </c>
      <c r="BV200" s="3">
        <v>11.298573545158558</v>
      </c>
      <c r="BW200" s="3">
        <v>11.331906878491889</v>
      </c>
      <c r="BX200" s="3">
        <v>10.851906878491892</v>
      </c>
      <c r="BY200" s="3">
        <v>20.271906878491887</v>
      </c>
      <c r="BZ200" s="3">
        <v>17.701906878491894</v>
      </c>
      <c r="CA200" s="3">
        <v>9.9019068784918822</v>
      </c>
      <c r="CB200" s="3">
        <v>9.5385735451585525</v>
      </c>
      <c r="CC200" s="3">
        <v>10.151906878491882</v>
      </c>
      <c r="CD200" s="3">
        <v>9.158573545158557</v>
      </c>
      <c r="CE200" s="3">
        <v>9.3519068784918851</v>
      </c>
      <c r="CF200" s="3">
        <v>-0.83475978817477881</v>
      </c>
      <c r="CG200" s="3">
        <v>-1.3680931215081102</v>
      </c>
      <c r="CH200" s="3">
        <v>-2.4447597881747782</v>
      </c>
      <c r="CI200" s="13">
        <f>[1]!dbasum(RecData[[#This Row],[20]:[2000]],RecData[[#Headers],[20]:[2000]])</f>
        <v>20.234135254787091</v>
      </c>
      <c r="CJ200" s="14">
        <v>2882</v>
      </c>
      <c r="CK200" s="15" t="s">
        <v>249</v>
      </c>
      <c r="CL200" s="15">
        <f>RecData[[#This Row],[Start Time]]</f>
        <v>43257.150694444441</v>
      </c>
      <c r="CM200" s="16">
        <f>RecData[[#This Row],[Wind Speed avg]]</f>
        <v>0.55000000000000004</v>
      </c>
      <c r="CN200" s="16">
        <f>RecData[[#This Row],[Wind Dir. avg]]</f>
        <v>151</v>
      </c>
      <c r="CO200" s="16">
        <f>RecData[[#This Row],[Amb. Humidity]]</f>
        <v>94.3</v>
      </c>
      <c r="CP200" s="16">
        <f>RecData[[#This Row],[Amb. Temperature]]</f>
        <v>3.3</v>
      </c>
      <c r="CQ200" s="17">
        <f>RecData[[#This Row],[Amb. Rain Gauge]]</f>
        <v>0</v>
      </c>
      <c r="CR200" s="4" t="s">
        <v>50</v>
      </c>
      <c r="CS200" s="4" t="s">
        <v>49</v>
      </c>
      <c r="CT200" s="70">
        <v>-10.743001939999999</v>
      </c>
      <c r="CU200" s="70">
        <v>156.0013123</v>
      </c>
      <c r="CV200" s="70">
        <v>1.5747896429999999</v>
      </c>
      <c r="CW200" s="70">
        <v>0</v>
      </c>
      <c r="CX200" s="4"/>
      <c r="CY200" s="69"/>
      <c r="CZ200" s="2" t="b">
        <f>IF($DP$1="YES",IF(RecData[[#This Row],[Power (kW)]]&gt;=$CR$3, TRUE,FALSE),TRUE)</f>
        <v>0</v>
      </c>
      <c r="DA200" s="16">
        <f>MIN(MOD(180-ABS(ABS($DA$1-RecData[Yaw Angle (°)])-180),360),MOD(180-ABS(ABS($DB$1-RecData[Yaw Angle (°)])-180),360))</f>
        <v>148.47138552231246</v>
      </c>
      <c r="DB200" s="2" t="str">
        <f>IF($DP$2="None","None",IF(RecData[[#This Row],[Relative Wind Direction]]&lt;=45,"DW",IF(RecData[[#This Row],[Relative Wind Direction]]&lt;=135,"CW","UW")))</f>
        <v>UW</v>
      </c>
      <c r="DC200" s="61">
        <f>IF($CL200-$CL199&gt;1/24,#REF!,IF(SUM($CQ199:$CQ200)&gt;$DS$1,$DS$5,DC201-1))</f>
        <v>-9</v>
      </c>
      <c r="DD200" s="61">
        <f>IF($CL201-$CL200&gt;1/24,#REF!,IF(SUM($CQ199:$CQ200)&gt;$DS$1,$DS$6,DD199-1))</f>
        <v>-2</v>
      </c>
      <c r="DE200" s="18" t="b">
        <v>0</v>
      </c>
      <c r="DF200" s="2" t="b">
        <f>IF(OR(RecData[[#This Row],[WSpd_Avg '[m/s']]]-RecData[[#This Row],[Wind Speed min]]&gt;=$DF$3,RecData[[#This Row],[Wind Speed max]]-RecData[[#This Row],[WSpd_Avg '[m/s']]]&gt;=$DF$2),TRUE,FALSE)</f>
        <v>0</v>
      </c>
      <c r="DG200" s="2" t="b">
        <f>RecData[[#This Row],[Temperature '[°C']]]&lt;=-20</f>
        <v>0</v>
      </c>
      <c r="DH200" s="18" t="b">
        <f>NOT(OR(MOD(RecData[[#This Row],[TIMESTAMP]],1)&gt;0.91632,MOD(RecData[[#This Row],[TIMESTAMP]],1)&lt;0.208681))</f>
        <v>0</v>
      </c>
      <c r="DI200" s="18" t="b">
        <f>RecData[[#This Row],[Overall (dBA)]]-RecData[[#This Row],[L90]]&gt;=$DS$4</f>
        <v>0</v>
      </c>
      <c r="DJ200" s="18" t="b">
        <f>RecData[[#This Row],[Overall (dBA)]]&gt;$DS$2</f>
        <v>0</v>
      </c>
      <c r="DK200" s="18" t="b">
        <f>RecData[[#This Row],[Overall (dBA)]]&lt;$DS$3</f>
        <v>0</v>
      </c>
      <c r="DL2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0" s="2">
        <f>IF(AND(RecData[[#This Row],[Turbines ON/OFF]] = "OFF", NOT(OR(RecData[[#This Row],[Junk?]]="YES",RecData[[#This Row],[Gust?]],RecData[[#This Row],[Rain?]:[Min SPL Threshold?]]))),1,0)</f>
        <v>1</v>
      </c>
      <c r="DN200" s="16">
        <f>RecData[[#This Row],[dBA Sum]]</f>
        <v>20.234135254787091</v>
      </c>
      <c r="DO200" s="16">
        <f>RecData[[#This Row],[LAF90.0]]</f>
        <v>22.2</v>
      </c>
      <c r="DP200" s="55" t="str">
        <f>IF(AND(RecData[[#This Row],[Useable TON Data?]],RecData[[#This Row],[Turbines ON/OFF]]="ON"),RecData[[#This Row],[dBA Sum]],"")</f>
        <v/>
      </c>
      <c r="DQ200" s="55">
        <f>IF(AND(RecData[[#This Row],[Useable Background Data?]],RecData[[#This Row],[Turbines ON/OFF]]="OFF"),RecData[[#This Row],[dBA Sum]],"")</f>
        <v>20.234135254787091</v>
      </c>
      <c r="DR200" s="3">
        <f>IF(OR(RecData[[#This Row],[Useable TON Data?]],RecData[[#This Row],[Useable Background Data?]]),ROUND(RecData[[#This Row],[WSpd_Avg '[m/s']]],0),"")</f>
        <v>1</v>
      </c>
      <c r="DS200" s="85">
        <f>(0.00002)^2*(10^(RecData[[#This Row],[Overall (dBA)]]/10))</f>
        <v>4.2215653524252147E-8</v>
      </c>
    </row>
    <row r="201" spans="1:123" ht="15" x14ac:dyDescent="0.25">
      <c r="A201" s="3" t="s">
        <v>249</v>
      </c>
      <c r="B201" s="12">
        <v>43257.151388888888</v>
      </c>
      <c r="C201" s="3"/>
      <c r="D201" s="3">
        <v>24</v>
      </c>
      <c r="E201" s="3"/>
      <c r="F201" s="3"/>
      <c r="G201" s="3"/>
      <c r="H201" s="3"/>
      <c r="I201" s="3"/>
      <c r="J201" s="3"/>
      <c r="K201" s="3">
        <v>22.5</v>
      </c>
      <c r="L201" s="3"/>
      <c r="M201" s="3"/>
      <c r="N201" s="3">
        <v>153.5</v>
      </c>
      <c r="O201" s="3"/>
      <c r="P201" s="3"/>
      <c r="Q201" s="3">
        <v>0.53</v>
      </c>
      <c r="R201" s="3">
        <v>0.4</v>
      </c>
      <c r="S201" s="3">
        <v>0.6</v>
      </c>
      <c r="T201" s="3">
        <v>3.3</v>
      </c>
      <c r="U201" s="3">
        <v>94.3</v>
      </c>
      <c r="V201" s="3">
        <v>970</v>
      </c>
      <c r="W201" s="3">
        <v>0</v>
      </c>
      <c r="X201" s="3">
        <v>17.5</v>
      </c>
      <c r="Y201" s="3">
        <v>13.7</v>
      </c>
      <c r="Z201" s="3">
        <v>16.399999999999999</v>
      </c>
      <c r="AA201" s="3">
        <v>7.7</v>
      </c>
      <c r="AB201" s="3">
        <v>6.7</v>
      </c>
      <c r="AC201" s="3">
        <v>6.5</v>
      </c>
      <c r="AD201" s="3">
        <v>8.6</v>
      </c>
      <c r="AE201" s="3">
        <v>8.3000000000000007</v>
      </c>
      <c r="AF201" s="3">
        <v>14.3</v>
      </c>
      <c r="AG201" s="3">
        <v>11.3</v>
      </c>
      <c r="AH201" s="3">
        <v>10</v>
      </c>
      <c r="AI201" s="3">
        <v>11</v>
      </c>
      <c r="AJ201" s="3">
        <v>11.1</v>
      </c>
      <c r="AK201" s="3">
        <v>11.1</v>
      </c>
      <c r="AL201" s="3">
        <v>11.1</v>
      </c>
      <c r="AM201" s="3">
        <v>11.5</v>
      </c>
      <c r="AN201" s="3">
        <v>12.5</v>
      </c>
      <c r="AO201" s="3">
        <v>12.2</v>
      </c>
      <c r="AP201" s="3">
        <v>11.7</v>
      </c>
      <c r="AQ201" s="3">
        <v>11.5</v>
      </c>
      <c r="AR201" s="3">
        <v>10.6</v>
      </c>
      <c r="AS201" s="3">
        <v>15.3</v>
      </c>
      <c r="AT201" s="3">
        <v>15.8</v>
      </c>
      <c r="AU201" s="3">
        <v>9.5</v>
      </c>
      <c r="AV201" s="3">
        <v>10.1</v>
      </c>
      <c r="AW201" s="3">
        <v>10.5</v>
      </c>
      <c r="AX201" s="3">
        <v>10</v>
      </c>
      <c r="AY201" s="3">
        <v>10</v>
      </c>
      <c r="AZ201" s="3">
        <v>0</v>
      </c>
      <c r="BA201" s="3">
        <v>0</v>
      </c>
      <c r="BB201" s="3">
        <v>0</v>
      </c>
      <c r="BC201" s="3">
        <v>23.975030973756041</v>
      </c>
      <c r="BD201" s="3">
        <v>17.524969026243959</v>
      </c>
      <c r="BE201" s="3">
        <v>13.724969026243961</v>
      </c>
      <c r="BF201" s="3">
        <v>15.184969026243955</v>
      </c>
      <c r="BG201" s="3">
        <v>6.8116356929106203</v>
      </c>
      <c r="BH201" s="3">
        <v>5.951635692910628</v>
      </c>
      <c r="BI201" s="3">
        <v>6.1649690262439591</v>
      </c>
      <c r="BJ201" s="3">
        <v>9.05830235957729</v>
      </c>
      <c r="BK201" s="3">
        <v>8.6316356929106206</v>
      </c>
      <c r="BL201" s="3">
        <v>14.204969026243958</v>
      </c>
      <c r="BM201" s="3">
        <v>11.338302359577291</v>
      </c>
      <c r="BN201" s="3">
        <v>10.321635692910625</v>
      </c>
      <c r="BO201" s="3">
        <v>10.688302359577293</v>
      </c>
      <c r="BP201" s="3">
        <v>10.504969026243963</v>
      </c>
      <c r="BQ201" s="3">
        <v>10.92163569291062</v>
      </c>
      <c r="BR201" s="3">
        <v>11.248302359577295</v>
      </c>
      <c r="BS201" s="3">
        <v>11.451635692910628</v>
      </c>
      <c r="BT201" s="3">
        <v>12.648302359577293</v>
      </c>
      <c r="BU201" s="3">
        <v>12.314969026243965</v>
      </c>
      <c r="BV201" s="3">
        <v>11.531635692910626</v>
      </c>
      <c r="BW201" s="3">
        <v>11.864969026243962</v>
      </c>
      <c r="BX201" s="3">
        <v>10.884969026243965</v>
      </c>
      <c r="BY201" s="3">
        <v>15.404969026243954</v>
      </c>
      <c r="BZ201" s="3">
        <v>16.034969026243964</v>
      </c>
      <c r="CA201" s="3">
        <v>9.8349690262439537</v>
      </c>
      <c r="CB201" s="3">
        <v>9.8716356929106226</v>
      </c>
      <c r="CC201" s="3">
        <v>10.484969026243959</v>
      </c>
      <c r="CD201" s="3">
        <v>9.2916356929106314</v>
      </c>
      <c r="CE201" s="3">
        <v>9.4849690262439594</v>
      </c>
      <c r="CF201" s="3">
        <v>-0.90169764042270728</v>
      </c>
      <c r="CG201" s="3">
        <v>-1.4350309737560387</v>
      </c>
      <c r="CH201" s="3">
        <v>-2.5116976404227067</v>
      </c>
      <c r="CI201" s="13">
        <f>[1]!dbasum(RecData[[#This Row],[20]:[2000]],RecData[[#Headers],[20]:[2000]])</f>
        <v>20.404315162404579</v>
      </c>
      <c r="CJ201" s="14">
        <v>2883</v>
      </c>
      <c r="CK201" s="15" t="s">
        <v>249</v>
      </c>
      <c r="CL201" s="15">
        <f>RecData[[#This Row],[Start Time]]</f>
        <v>43257.151388888888</v>
      </c>
      <c r="CM201" s="16">
        <f>RecData[[#This Row],[Wind Speed avg]]</f>
        <v>0.53</v>
      </c>
      <c r="CN201" s="16">
        <f>RecData[[#This Row],[Wind Dir. avg]]</f>
        <v>153.5</v>
      </c>
      <c r="CO201" s="16">
        <f>RecData[[#This Row],[Amb. Humidity]]</f>
        <v>94.3</v>
      </c>
      <c r="CP201" s="16">
        <f>RecData[[#This Row],[Amb. Temperature]]</f>
        <v>3.3</v>
      </c>
      <c r="CQ201" s="17">
        <f>RecData[[#This Row],[Amb. Rain Gauge]]</f>
        <v>0</v>
      </c>
      <c r="CR201" s="4" t="s">
        <v>50</v>
      </c>
      <c r="CS201" s="4" t="s">
        <v>49</v>
      </c>
      <c r="CT201" s="70">
        <v>-10.743001939999999</v>
      </c>
      <c r="CU201" s="70">
        <v>156.0013123</v>
      </c>
      <c r="CV201" s="70">
        <v>1.5747896429999999</v>
      </c>
      <c r="CW201" s="70">
        <v>0</v>
      </c>
      <c r="CX201" s="4"/>
      <c r="CY201" s="69"/>
      <c r="CZ201" s="2" t="b">
        <f>IF($DP$1="YES",IF(RecData[[#This Row],[Power (kW)]]&gt;=$CR$3, TRUE,FALSE),TRUE)</f>
        <v>0</v>
      </c>
      <c r="DA201" s="16">
        <f>MIN(MOD(180-ABS(ABS($DA$1-RecData[Yaw Angle (°)])-180),360),MOD(180-ABS(ABS($DB$1-RecData[Yaw Angle (°)])-180),360))</f>
        <v>148.47138552231246</v>
      </c>
      <c r="DB201" s="2" t="str">
        <f>IF($DP$2="None","None",IF(RecData[[#This Row],[Relative Wind Direction]]&lt;=45,"DW",IF(RecData[[#This Row],[Relative Wind Direction]]&lt;=135,"CW","UW")))</f>
        <v>UW</v>
      </c>
      <c r="DC201" s="61">
        <f>IF($CL201-$CL199&gt;1/24,#REF!,IF(SUM($CQ199:$CQ201)&gt;$DS$1,$DS$5,DC202-1))</f>
        <v>-8</v>
      </c>
      <c r="DD201" s="61">
        <f>IF($CL202-$CL201&gt;1/24,#REF!,IF(SUM($CQ199:$CQ201)&gt;$DS$1,$DS$6,DD200-1))</f>
        <v>-3</v>
      </c>
      <c r="DE201" s="18" t="b">
        <v>0</v>
      </c>
      <c r="DF201" s="2" t="b">
        <f>IF(OR(RecData[[#This Row],[WSpd_Avg '[m/s']]]-RecData[[#This Row],[Wind Speed min]]&gt;=$DF$3,RecData[[#This Row],[Wind Speed max]]-RecData[[#This Row],[WSpd_Avg '[m/s']]]&gt;=$DF$2),TRUE,FALSE)</f>
        <v>0</v>
      </c>
      <c r="DG201" s="2" t="b">
        <f>RecData[[#This Row],[Temperature '[°C']]]&lt;=-20</f>
        <v>0</v>
      </c>
      <c r="DH201" s="18" t="b">
        <f>NOT(OR(MOD(RecData[[#This Row],[TIMESTAMP]],1)&gt;0.91632,MOD(RecData[[#This Row],[TIMESTAMP]],1)&lt;0.208681))</f>
        <v>0</v>
      </c>
      <c r="DI201" s="18" t="b">
        <f>RecData[[#This Row],[Overall (dBA)]]-RecData[[#This Row],[L90]]&gt;=$DS$4</f>
        <v>0</v>
      </c>
      <c r="DJ201" s="18" t="b">
        <f>RecData[[#This Row],[Overall (dBA)]]&gt;$DS$2</f>
        <v>0</v>
      </c>
      <c r="DK201" s="18" t="b">
        <f>RecData[[#This Row],[Overall (dBA)]]&lt;$DS$3</f>
        <v>0</v>
      </c>
      <c r="DL2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1" s="2">
        <f>IF(AND(RecData[[#This Row],[Turbines ON/OFF]] = "OFF", NOT(OR(RecData[[#This Row],[Junk?]]="YES",RecData[[#This Row],[Gust?]],RecData[[#This Row],[Rain?]:[Min SPL Threshold?]]))),1,0)</f>
        <v>1</v>
      </c>
      <c r="DN201" s="16">
        <f>RecData[[#This Row],[dBA Sum]]</f>
        <v>20.404315162404579</v>
      </c>
      <c r="DO201" s="16">
        <f>RecData[[#This Row],[LAF90.0]]</f>
        <v>22.5</v>
      </c>
      <c r="DP201" s="55" t="str">
        <f>IF(AND(RecData[[#This Row],[Useable TON Data?]],RecData[[#This Row],[Turbines ON/OFF]]="ON"),RecData[[#This Row],[dBA Sum]],"")</f>
        <v/>
      </c>
      <c r="DQ201" s="55">
        <f>IF(AND(RecData[[#This Row],[Useable Background Data?]],RecData[[#This Row],[Turbines ON/OFF]]="OFF"),RecData[[#This Row],[dBA Sum]],"")</f>
        <v>20.404315162404579</v>
      </c>
      <c r="DR201" s="3">
        <f>IF(OR(RecData[[#This Row],[Useable TON Data?]],RecData[[#This Row],[Useable Background Data?]]),ROUND(RecData[[#This Row],[WSpd_Avg '[m/s']]],0),"")</f>
        <v>1</v>
      </c>
      <c r="DS201" s="85">
        <f>(0.00002)^2*(10^(RecData[[#This Row],[Overall (dBA)]]/10))</f>
        <v>4.3902728057769565E-8</v>
      </c>
    </row>
    <row r="202" spans="1:123" ht="15" x14ac:dyDescent="0.25">
      <c r="A202" s="3" t="s">
        <v>249</v>
      </c>
      <c r="B202" s="12">
        <v>43257.152083333334</v>
      </c>
      <c r="C202" s="3"/>
      <c r="D202" s="3">
        <v>25.1</v>
      </c>
      <c r="E202" s="3"/>
      <c r="F202" s="3"/>
      <c r="G202" s="3"/>
      <c r="H202" s="3"/>
      <c r="I202" s="3"/>
      <c r="J202" s="3"/>
      <c r="K202" s="3">
        <v>22.5</v>
      </c>
      <c r="L202" s="3"/>
      <c r="M202" s="3"/>
      <c r="N202" s="3">
        <v>147.5</v>
      </c>
      <c r="O202" s="3"/>
      <c r="P202" s="3"/>
      <c r="Q202" s="3">
        <v>0.56000000000000005</v>
      </c>
      <c r="R202" s="3">
        <v>0.5</v>
      </c>
      <c r="S202" s="3">
        <v>0.7</v>
      </c>
      <c r="T202" s="3">
        <v>3.3</v>
      </c>
      <c r="U202" s="3">
        <v>94.3</v>
      </c>
      <c r="V202" s="3">
        <v>970</v>
      </c>
      <c r="W202" s="3">
        <v>0</v>
      </c>
      <c r="X202" s="3">
        <v>18</v>
      </c>
      <c r="Y202" s="3">
        <v>15.1</v>
      </c>
      <c r="Z202" s="3">
        <v>18.7</v>
      </c>
      <c r="AA202" s="3">
        <v>9.6999999999999993</v>
      </c>
      <c r="AB202" s="3">
        <v>7.3</v>
      </c>
      <c r="AC202" s="3">
        <v>6.7</v>
      </c>
      <c r="AD202" s="3">
        <v>8</v>
      </c>
      <c r="AE202" s="3">
        <v>8</v>
      </c>
      <c r="AF202" s="3">
        <v>13.7</v>
      </c>
      <c r="AG202" s="3">
        <v>11.2</v>
      </c>
      <c r="AH202" s="3">
        <v>9.9</v>
      </c>
      <c r="AI202" s="3">
        <v>11.3</v>
      </c>
      <c r="AJ202" s="3">
        <v>11.4</v>
      </c>
      <c r="AK202" s="3">
        <v>11.6</v>
      </c>
      <c r="AL202" s="3">
        <v>11.9</v>
      </c>
      <c r="AM202" s="3">
        <v>11.8</v>
      </c>
      <c r="AN202" s="3">
        <v>12.6</v>
      </c>
      <c r="AO202" s="3">
        <v>12.3</v>
      </c>
      <c r="AP202" s="3">
        <v>11.6</v>
      </c>
      <c r="AQ202" s="3">
        <v>11.2</v>
      </c>
      <c r="AR202" s="3">
        <v>10.7</v>
      </c>
      <c r="AS202" s="3">
        <v>18.5</v>
      </c>
      <c r="AT202" s="3">
        <v>17</v>
      </c>
      <c r="AU202" s="3">
        <v>9.6</v>
      </c>
      <c r="AV202" s="3">
        <v>10.1</v>
      </c>
      <c r="AW202" s="3">
        <v>10.4</v>
      </c>
      <c r="AX202" s="3">
        <v>10</v>
      </c>
      <c r="AY202" s="3">
        <v>10</v>
      </c>
      <c r="AZ202" s="3">
        <v>0</v>
      </c>
      <c r="BA202" s="3">
        <v>0</v>
      </c>
      <c r="BB202" s="3">
        <v>0</v>
      </c>
      <c r="BC202" s="3">
        <v>25.013799319789676</v>
      </c>
      <c r="BD202" s="3">
        <v>18.086200680210325</v>
      </c>
      <c r="BE202" s="3">
        <v>15.186200680210327</v>
      </c>
      <c r="BF202" s="3">
        <v>17.546200680210326</v>
      </c>
      <c r="BG202" s="3">
        <v>8.872867346876987</v>
      </c>
      <c r="BH202" s="3">
        <v>6.6128673468769961</v>
      </c>
      <c r="BI202" s="3">
        <v>6.4262006802103251</v>
      </c>
      <c r="BJ202" s="3">
        <v>8.5195340135436552</v>
      </c>
      <c r="BK202" s="3">
        <v>8.3928673468769901</v>
      </c>
      <c r="BL202" s="3">
        <v>13.666200680210324</v>
      </c>
      <c r="BM202" s="3">
        <v>11.299534013543656</v>
      </c>
      <c r="BN202" s="3">
        <v>10.282867346876991</v>
      </c>
      <c r="BO202" s="3">
        <v>11.049534013543663</v>
      </c>
      <c r="BP202" s="3">
        <v>10.866200680210326</v>
      </c>
      <c r="BQ202" s="3">
        <v>11.482867346876979</v>
      </c>
      <c r="BR202" s="3">
        <v>12.109534013543659</v>
      </c>
      <c r="BS202" s="3">
        <v>11.812867346876992</v>
      </c>
      <c r="BT202" s="3">
        <v>12.809534013543662</v>
      </c>
      <c r="BU202" s="3">
        <v>12.476200680210333</v>
      </c>
      <c r="BV202" s="3">
        <v>11.492867346876992</v>
      </c>
      <c r="BW202" s="3">
        <v>11.626200680210324</v>
      </c>
      <c r="BX202" s="3">
        <v>11.046200680210326</v>
      </c>
      <c r="BY202" s="3">
        <v>18.666200680210324</v>
      </c>
      <c r="BZ202" s="3">
        <v>17.296200680210326</v>
      </c>
      <c r="CA202" s="3">
        <v>9.9962006802103147</v>
      </c>
      <c r="CB202" s="3">
        <v>9.9328673468769892</v>
      </c>
      <c r="CC202" s="3">
        <v>10.446200680210325</v>
      </c>
      <c r="CD202" s="3">
        <v>9.3528673468769981</v>
      </c>
      <c r="CE202" s="3">
        <v>9.5462006802103261</v>
      </c>
      <c r="CF202" s="3">
        <v>-0.84046598645634063</v>
      </c>
      <c r="CG202" s="3">
        <v>-1.3737993197896721</v>
      </c>
      <c r="CH202" s="3">
        <v>-2.4504659864563401</v>
      </c>
      <c r="CI202" s="13">
        <f>[1]!dbasum(RecData[[#This Row],[20]:[2000]],RecData[[#Headers],[20]:[2000]])</f>
        <v>20.546166584628121</v>
      </c>
      <c r="CJ202" s="14">
        <v>2884</v>
      </c>
      <c r="CK202" s="15" t="s">
        <v>249</v>
      </c>
      <c r="CL202" s="15">
        <f>RecData[[#This Row],[Start Time]]</f>
        <v>43257.152083333334</v>
      </c>
      <c r="CM202" s="16">
        <f>RecData[[#This Row],[Wind Speed avg]]</f>
        <v>0.56000000000000005</v>
      </c>
      <c r="CN202" s="16">
        <f>RecData[[#This Row],[Wind Dir. avg]]</f>
        <v>147.5</v>
      </c>
      <c r="CO202" s="16">
        <f>RecData[[#This Row],[Amb. Humidity]]</f>
        <v>94.3</v>
      </c>
      <c r="CP202" s="16">
        <f>RecData[[#This Row],[Amb. Temperature]]</f>
        <v>3.3</v>
      </c>
      <c r="CQ202" s="17">
        <f>RecData[[#This Row],[Amb. Rain Gauge]]</f>
        <v>0</v>
      </c>
      <c r="CR202" s="4" t="s">
        <v>50</v>
      </c>
      <c r="CS202" s="4" t="s">
        <v>49</v>
      </c>
      <c r="CT202" s="70">
        <v>-10.743001939999999</v>
      </c>
      <c r="CU202" s="70">
        <v>156.0013123</v>
      </c>
      <c r="CV202" s="70">
        <v>1.5747896429999999</v>
      </c>
      <c r="CW202" s="70">
        <v>0</v>
      </c>
      <c r="CX202" s="4"/>
      <c r="CY202" s="69"/>
      <c r="CZ202" s="2" t="b">
        <f>IF($DP$1="YES",IF(RecData[[#This Row],[Power (kW)]]&gt;=$CR$3, TRUE,FALSE),TRUE)</f>
        <v>0</v>
      </c>
      <c r="DA202" s="16">
        <f>MIN(MOD(180-ABS(ABS($DA$1-RecData[Yaw Angle (°)])-180),360),MOD(180-ABS(ABS($DB$1-RecData[Yaw Angle (°)])-180),360))</f>
        <v>148.47138552231246</v>
      </c>
      <c r="DB202" s="2" t="str">
        <f>IF($DP$2="None","None",IF(RecData[[#This Row],[Relative Wind Direction]]&lt;=45,"DW",IF(RecData[[#This Row],[Relative Wind Direction]]&lt;=135,"CW","UW")))</f>
        <v>UW</v>
      </c>
      <c r="DC202" s="61">
        <f>IF($CL202-$CL199&gt;1/24,#REF!,IF(SUM($CQ199:$CQ202)&gt;$DS$1,$DS$5,DC203-1))</f>
        <v>-7</v>
      </c>
      <c r="DD202" s="61">
        <f>IF($CL203-$CL202&gt;1/24,#REF!,IF(SUM($CQ199:$CQ202)&gt;$DS$1,$DS$6,DD201-1))</f>
        <v>-4</v>
      </c>
      <c r="DE202" s="18" t="b">
        <v>0</v>
      </c>
      <c r="DF202" s="2" t="b">
        <f>IF(OR(RecData[[#This Row],[WSpd_Avg '[m/s']]]-RecData[[#This Row],[Wind Speed min]]&gt;=$DF$3,RecData[[#This Row],[Wind Speed max]]-RecData[[#This Row],[WSpd_Avg '[m/s']]]&gt;=$DF$2),TRUE,FALSE)</f>
        <v>0</v>
      </c>
      <c r="DG202" s="2" t="b">
        <f>RecData[[#This Row],[Temperature '[°C']]]&lt;=-20</f>
        <v>0</v>
      </c>
      <c r="DH202" s="18" t="b">
        <f>NOT(OR(MOD(RecData[[#This Row],[TIMESTAMP]],1)&gt;0.91632,MOD(RecData[[#This Row],[TIMESTAMP]],1)&lt;0.208681))</f>
        <v>0</v>
      </c>
      <c r="DI202" s="18" t="b">
        <f>RecData[[#This Row],[Overall (dBA)]]-RecData[[#This Row],[L90]]&gt;=$DS$4</f>
        <v>0</v>
      </c>
      <c r="DJ202" s="18" t="b">
        <f>RecData[[#This Row],[Overall (dBA)]]&gt;$DS$2</f>
        <v>0</v>
      </c>
      <c r="DK202" s="18" t="b">
        <f>RecData[[#This Row],[Overall (dBA)]]&lt;$DS$3</f>
        <v>0</v>
      </c>
      <c r="DL2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2" s="2">
        <f>IF(AND(RecData[[#This Row],[Turbines ON/OFF]] = "OFF", NOT(OR(RecData[[#This Row],[Junk?]]="YES",RecData[[#This Row],[Gust?]],RecData[[#This Row],[Rain?]:[Min SPL Threshold?]]))),1,0)</f>
        <v>1</v>
      </c>
      <c r="DN202" s="16">
        <f>RecData[[#This Row],[dBA Sum]]</f>
        <v>20.546166584628121</v>
      </c>
      <c r="DO202" s="16">
        <f>RecData[[#This Row],[LAF90.0]]</f>
        <v>22.5</v>
      </c>
      <c r="DP202" s="55" t="str">
        <f>IF(AND(RecData[[#This Row],[Useable TON Data?]],RecData[[#This Row],[Turbines ON/OFF]]="ON"),RecData[[#This Row],[dBA Sum]],"")</f>
        <v/>
      </c>
      <c r="DQ202" s="55">
        <f>IF(AND(RecData[[#This Row],[Useable Background Data?]],RecData[[#This Row],[Turbines ON/OFF]]="OFF"),RecData[[#This Row],[dBA Sum]],"")</f>
        <v>20.546166584628121</v>
      </c>
      <c r="DR202" s="3">
        <f>IF(OR(RecData[[#This Row],[Useable TON Data?]],RecData[[#This Row],[Useable Background Data?]]),ROUND(RecData[[#This Row],[WSpd_Avg '[m/s']]],0),"")</f>
        <v>1</v>
      </c>
      <c r="DS202" s="85">
        <f>(0.00002)^2*(10^(RecData[[#This Row],[Overall (dBA)]]/10))</f>
        <v>4.5360376412452435E-8</v>
      </c>
    </row>
    <row r="203" spans="1:123" ht="15" x14ac:dyDescent="0.25">
      <c r="A203" s="3" t="s">
        <v>249</v>
      </c>
      <c r="B203" s="12">
        <v>43257.152777777781</v>
      </c>
      <c r="C203" s="3"/>
      <c r="D203" s="3">
        <v>25.4</v>
      </c>
      <c r="E203" s="3"/>
      <c r="F203" s="3"/>
      <c r="G203" s="3"/>
      <c r="H203" s="3"/>
      <c r="I203" s="3"/>
      <c r="J203" s="3"/>
      <c r="K203" s="3">
        <v>22.8</v>
      </c>
      <c r="L203" s="3"/>
      <c r="M203" s="3"/>
      <c r="N203" s="3">
        <v>155</v>
      </c>
      <c r="O203" s="3"/>
      <c r="P203" s="3"/>
      <c r="Q203" s="3">
        <v>0.62</v>
      </c>
      <c r="R203" s="3">
        <v>0.5</v>
      </c>
      <c r="S203" s="3">
        <v>0.7</v>
      </c>
      <c r="T203" s="3">
        <v>3.3</v>
      </c>
      <c r="U203" s="3">
        <v>94.3</v>
      </c>
      <c r="V203" s="3">
        <v>970</v>
      </c>
      <c r="W203" s="3">
        <v>0</v>
      </c>
      <c r="X203" s="3">
        <v>17.2</v>
      </c>
      <c r="Y203" s="3">
        <v>14.3</v>
      </c>
      <c r="Z203" s="3">
        <v>17.399999999999999</v>
      </c>
      <c r="AA203" s="3">
        <v>7.4</v>
      </c>
      <c r="AB203" s="3">
        <v>6.3</v>
      </c>
      <c r="AC203" s="3">
        <v>5.9</v>
      </c>
      <c r="AD203" s="3">
        <v>8.1999999999999993</v>
      </c>
      <c r="AE203" s="3">
        <v>8.1</v>
      </c>
      <c r="AF203" s="3">
        <v>10.9</v>
      </c>
      <c r="AG203" s="3">
        <v>10.6</v>
      </c>
      <c r="AH203" s="3">
        <v>9.6999999999999993</v>
      </c>
      <c r="AI203" s="3">
        <v>11.2</v>
      </c>
      <c r="AJ203" s="3">
        <v>11.7</v>
      </c>
      <c r="AK203" s="3">
        <v>12.3</v>
      </c>
      <c r="AL203" s="3">
        <v>13.3</v>
      </c>
      <c r="AM203" s="3">
        <v>12.1</v>
      </c>
      <c r="AN203" s="3">
        <v>13.1</v>
      </c>
      <c r="AO203" s="3">
        <v>12.8</v>
      </c>
      <c r="AP203" s="3">
        <v>12</v>
      </c>
      <c r="AQ203" s="3">
        <v>11.5</v>
      </c>
      <c r="AR203" s="3">
        <v>10.8</v>
      </c>
      <c r="AS203" s="3">
        <v>18.8</v>
      </c>
      <c r="AT203" s="3">
        <v>16.7</v>
      </c>
      <c r="AU203" s="3">
        <v>10.6</v>
      </c>
      <c r="AV203" s="3">
        <v>11</v>
      </c>
      <c r="AW203" s="3">
        <v>11.5</v>
      </c>
      <c r="AX203" s="3">
        <v>10.5</v>
      </c>
      <c r="AY203" s="3">
        <v>10.1</v>
      </c>
      <c r="AZ203" s="3">
        <v>0</v>
      </c>
      <c r="BA203" s="3">
        <v>0</v>
      </c>
      <c r="BB203" s="3">
        <v>0</v>
      </c>
      <c r="BC203" s="3">
        <v>25.321566618948353</v>
      </c>
      <c r="BD203" s="3">
        <v>17.278433381051642</v>
      </c>
      <c r="BE203" s="3">
        <v>14.37843338105165</v>
      </c>
      <c r="BF203" s="3">
        <v>16.238433381051649</v>
      </c>
      <c r="BG203" s="3">
        <v>6.5651000477183103</v>
      </c>
      <c r="BH203" s="3">
        <v>5.6051000477183166</v>
      </c>
      <c r="BI203" s="3">
        <v>5.6184333810516449</v>
      </c>
      <c r="BJ203" s="3">
        <v>8.7117667143849786</v>
      </c>
      <c r="BK203" s="3">
        <v>8.4851000477183049</v>
      </c>
      <c r="BL203" s="3">
        <v>10.858433381051647</v>
      </c>
      <c r="BM203" s="3">
        <v>10.691766714384983</v>
      </c>
      <c r="BN203" s="3">
        <v>10.075100047718308</v>
      </c>
      <c r="BO203" s="3">
        <v>10.941766714384983</v>
      </c>
      <c r="BP203" s="3">
        <v>11.158433381051644</v>
      </c>
      <c r="BQ203" s="3">
        <v>12.175100047718303</v>
      </c>
      <c r="BR203" s="3">
        <v>13.501766714384985</v>
      </c>
      <c r="BS203" s="3">
        <v>12.105100047718309</v>
      </c>
      <c r="BT203" s="3">
        <v>13.301766714384982</v>
      </c>
      <c r="BU203" s="3">
        <v>12.968433381051653</v>
      </c>
      <c r="BV203" s="3">
        <v>11.885100047718311</v>
      </c>
      <c r="BW203" s="3">
        <v>11.918433381051649</v>
      </c>
      <c r="BX203" s="3">
        <v>11.138433381051655</v>
      </c>
      <c r="BY203" s="3">
        <v>18.958433381051648</v>
      </c>
      <c r="BZ203" s="3">
        <v>16.988433381051649</v>
      </c>
      <c r="CA203" s="3">
        <v>10.988433381051635</v>
      </c>
      <c r="CB203" s="3">
        <v>10.825100047718308</v>
      </c>
      <c r="CC203" s="3">
        <v>11.538433381051647</v>
      </c>
      <c r="CD203" s="3">
        <v>9.8451000477183186</v>
      </c>
      <c r="CE203" s="3">
        <v>9.6384333810516409</v>
      </c>
      <c r="CF203" s="3">
        <v>-0.84823328561502009</v>
      </c>
      <c r="CG203" s="3">
        <v>-1.3815666189483515</v>
      </c>
      <c r="CH203" s="3">
        <v>-2.4582332856150195</v>
      </c>
      <c r="CI203" s="13">
        <f>[1]!dbasum(RecData[[#This Row],[20]:[2000]],RecData[[#Headers],[20]:[2000]])</f>
        <v>20.959459186419668</v>
      </c>
      <c r="CJ203" s="14">
        <v>2885</v>
      </c>
      <c r="CK203" s="15" t="s">
        <v>249</v>
      </c>
      <c r="CL203" s="15">
        <f>RecData[[#This Row],[Start Time]]</f>
        <v>43257.152777777781</v>
      </c>
      <c r="CM203" s="16">
        <f>RecData[[#This Row],[Wind Speed avg]]</f>
        <v>0.62</v>
      </c>
      <c r="CN203" s="16">
        <f>RecData[[#This Row],[Wind Dir. avg]]</f>
        <v>155</v>
      </c>
      <c r="CO203" s="16">
        <f>RecData[[#This Row],[Amb. Humidity]]</f>
        <v>94.3</v>
      </c>
      <c r="CP203" s="16">
        <f>RecData[[#This Row],[Amb. Temperature]]</f>
        <v>3.3</v>
      </c>
      <c r="CQ203" s="17">
        <f>RecData[[#This Row],[Amb. Rain Gauge]]</f>
        <v>0</v>
      </c>
      <c r="CR203" s="4" t="s">
        <v>50</v>
      </c>
      <c r="CS203" s="4" t="s">
        <v>49</v>
      </c>
      <c r="CT203" s="70">
        <v>-10.743001939999999</v>
      </c>
      <c r="CU203" s="70">
        <v>156.0013123</v>
      </c>
      <c r="CV203" s="70">
        <v>1.5747896429999999</v>
      </c>
      <c r="CW203" s="70">
        <v>0</v>
      </c>
      <c r="CX203" s="4"/>
      <c r="CY203" s="69"/>
      <c r="CZ203" s="2" t="b">
        <f>IF($DP$1="YES",IF(RecData[[#This Row],[Power (kW)]]&gt;=$CR$3, TRUE,FALSE),TRUE)</f>
        <v>0</v>
      </c>
      <c r="DA203" s="16">
        <f>MIN(MOD(180-ABS(ABS($DA$1-RecData[Yaw Angle (°)])-180),360),MOD(180-ABS(ABS($DB$1-RecData[Yaw Angle (°)])-180),360))</f>
        <v>148.47138552231246</v>
      </c>
      <c r="DB203" s="2" t="str">
        <f>IF($DP$2="None","None",IF(RecData[[#This Row],[Relative Wind Direction]]&lt;=45,"DW",IF(RecData[[#This Row],[Relative Wind Direction]]&lt;=135,"CW","UW")))</f>
        <v>UW</v>
      </c>
      <c r="DC203" s="61">
        <f>IF($CL203-$CL199&gt;1/24,#REF!,IF(SUM($CQ199:$CQ203)&gt;$DS$1,$DS$5,DC204-1))</f>
        <v>-6</v>
      </c>
      <c r="DD203" s="61">
        <f>IF($CL204-$CL203&gt;1/24,#REF!,IF(SUM($CQ199:$CQ203)&gt;$DS$1,$DS$6,DD202-1))</f>
        <v>-5</v>
      </c>
      <c r="DE203" s="18" t="b">
        <v>0</v>
      </c>
      <c r="DF203" s="2" t="b">
        <f>IF(OR(RecData[[#This Row],[WSpd_Avg '[m/s']]]-RecData[[#This Row],[Wind Speed min]]&gt;=$DF$3,RecData[[#This Row],[Wind Speed max]]-RecData[[#This Row],[WSpd_Avg '[m/s']]]&gt;=$DF$2),TRUE,FALSE)</f>
        <v>0</v>
      </c>
      <c r="DG203" s="2" t="b">
        <f>RecData[[#This Row],[Temperature '[°C']]]&lt;=-20</f>
        <v>0</v>
      </c>
      <c r="DH203" s="18" t="b">
        <f>NOT(OR(MOD(RecData[[#This Row],[TIMESTAMP]],1)&gt;0.91632,MOD(RecData[[#This Row],[TIMESTAMP]],1)&lt;0.208681))</f>
        <v>0</v>
      </c>
      <c r="DI203" s="18" t="b">
        <f>RecData[[#This Row],[Overall (dBA)]]-RecData[[#This Row],[L90]]&gt;=$DS$4</f>
        <v>0</v>
      </c>
      <c r="DJ203" s="18" t="b">
        <f>RecData[[#This Row],[Overall (dBA)]]&gt;$DS$2</f>
        <v>0</v>
      </c>
      <c r="DK203" s="18" t="b">
        <f>RecData[[#This Row],[Overall (dBA)]]&lt;$DS$3</f>
        <v>0</v>
      </c>
      <c r="DL2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3" s="2">
        <f>IF(AND(RecData[[#This Row],[Turbines ON/OFF]] = "OFF", NOT(OR(RecData[[#This Row],[Junk?]]="YES",RecData[[#This Row],[Gust?]],RecData[[#This Row],[Rain?]:[Min SPL Threshold?]]))),1,0)</f>
        <v>1</v>
      </c>
      <c r="DN203" s="16">
        <f>RecData[[#This Row],[dBA Sum]]</f>
        <v>20.959459186419668</v>
      </c>
      <c r="DO203" s="16">
        <f>RecData[[#This Row],[LAF90.0]]</f>
        <v>22.8</v>
      </c>
      <c r="DP203" s="55" t="str">
        <f>IF(AND(RecData[[#This Row],[Useable TON Data?]],RecData[[#This Row],[Turbines ON/OFF]]="ON"),RecData[[#This Row],[dBA Sum]],"")</f>
        <v/>
      </c>
      <c r="DQ203" s="55">
        <f>IF(AND(RecData[[#This Row],[Useable Background Data?]],RecData[[#This Row],[Turbines ON/OFF]]="OFF"),RecData[[#This Row],[dBA Sum]],"")</f>
        <v>20.959459186419668</v>
      </c>
      <c r="DR203" s="3">
        <f>IF(OR(RecData[[#This Row],[Useable TON Data?]],RecData[[#This Row],[Useable Background Data?]]),ROUND(RecData[[#This Row],[WSpd_Avg '[m/s']]],0),"")</f>
        <v>1</v>
      </c>
      <c r="DS203" s="85">
        <f>(0.00002)^2*(10^(RecData[[#This Row],[Overall (dBA)]]/10))</f>
        <v>4.9889127643040747E-8</v>
      </c>
    </row>
    <row r="204" spans="1:123" ht="15" x14ac:dyDescent="0.25">
      <c r="A204" s="3" t="s">
        <v>249</v>
      </c>
      <c r="B204" s="12">
        <v>43257.15347222222</v>
      </c>
      <c r="C204" s="3"/>
      <c r="D204" s="3">
        <v>23.5</v>
      </c>
      <c r="E204" s="3"/>
      <c r="F204" s="3"/>
      <c r="G204" s="3"/>
      <c r="H204" s="3"/>
      <c r="I204" s="3"/>
      <c r="J204" s="3"/>
      <c r="K204" s="3">
        <v>22.3</v>
      </c>
      <c r="L204" s="3"/>
      <c r="M204" s="3"/>
      <c r="N204" s="3">
        <v>151.1</v>
      </c>
      <c r="O204" s="3"/>
      <c r="P204" s="3"/>
      <c r="Q204" s="3">
        <v>0.65</v>
      </c>
      <c r="R204" s="3">
        <v>0.6</v>
      </c>
      <c r="S204" s="3">
        <v>0.7</v>
      </c>
      <c r="T204" s="3">
        <v>3.3</v>
      </c>
      <c r="U204" s="3">
        <v>94.3</v>
      </c>
      <c r="V204" s="3">
        <v>969.9</v>
      </c>
      <c r="W204" s="3">
        <v>0</v>
      </c>
      <c r="X204" s="3">
        <v>17.8</v>
      </c>
      <c r="Y204" s="3">
        <v>15</v>
      </c>
      <c r="Z204" s="3">
        <v>19.5</v>
      </c>
      <c r="AA204" s="3">
        <v>9.6999999999999993</v>
      </c>
      <c r="AB204" s="3">
        <v>7.7</v>
      </c>
      <c r="AC204" s="3">
        <v>7.3</v>
      </c>
      <c r="AD204" s="3">
        <v>8.9</v>
      </c>
      <c r="AE204" s="3">
        <v>9</v>
      </c>
      <c r="AF204" s="3">
        <v>14.8</v>
      </c>
      <c r="AG204" s="3">
        <v>13.2</v>
      </c>
      <c r="AH204" s="3">
        <v>10.199999999999999</v>
      </c>
      <c r="AI204" s="3">
        <v>11.4</v>
      </c>
      <c r="AJ204" s="3">
        <v>11.3</v>
      </c>
      <c r="AK204" s="3">
        <v>11.7</v>
      </c>
      <c r="AL204" s="3">
        <v>12.3</v>
      </c>
      <c r="AM204" s="3">
        <v>11.7</v>
      </c>
      <c r="AN204" s="3">
        <v>12.9</v>
      </c>
      <c r="AO204" s="3">
        <v>12.6</v>
      </c>
      <c r="AP204" s="3">
        <v>11.9</v>
      </c>
      <c r="AQ204" s="3">
        <v>11.7</v>
      </c>
      <c r="AR204" s="3">
        <v>11</v>
      </c>
      <c r="AS204" s="3">
        <v>13.6</v>
      </c>
      <c r="AT204" s="3">
        <v>12.6</v>
      </c>
      <c r="AU204" s="3">
        <v>9.6999999999999993</v>
      </c>
      <c r="AV204" s="3">
        <v>10.5</v>
      </c>
      <c r="AW204" s="3">
        <v>11</v>
      </c>
      <c r="AX204" s="3">
        <v>10.1</v>
      </c>
      <c r="AY204" s="3">
        <v>9.9</v>
      </c>
      <c r="AZ204" s="3">
        <v>0</v>
      </c>
      <c r="BA204" s="3">
        <v>0</v>
      </c>
      <c r="BB204" s="3">
        <v>0</v>
      </c>
      <c r="BC204" s="3">
        <v>23.461149655653276</v>
      </c>
      <c r="BD204" s="3">
        <v>17.838850344346721</v>
      </c>
      <c r="BE204" s="3">
        <v>15.038850344346724</v>
      </c>
      <c r="BF204" s="3">
        <v>18.298850344346729</v>
      </c>
      <c r="BG204" s="3">
        <v>8.8255170110133854</v>
      </c>
      <c r="BH204" s="3">
        <v>6.965517011013393</v>
      </c>
      <c r="BI204" s="3">
        <v>6.9788503443467249</v>
      </c>
      <c r="BJ204" s="3">
        <v>9.3721836776800522</v>
      </c>
      <c r="BK204" s="3">
        <v>9.3455170110133885</v>
      </c>
      <c r="BL204" s="3">
        <v>14.718850344346723</v>
      </c>
      <c r="BM204" s="3">
        <v>13.252183677680062</v>
      </c>
      <c r="BN204" s="3">
        <v>10.535517011013393</v>
      </c>
      <c r="BO204" s="3">
        <v>11.102183677680056</v>
      </c>
      <c r="BP204" s="3">
        <v>10.718850344346723</v>
      </c>
      <c r="BQ204" s="3">
        <v>11.535517011013379</v>
      </c>
      <c r="BR204" s="3">
        <v>12.462183677680056</v>
      </c>
      <c r="BS204" s="3">
        <v>11.665517011013389</v>
      </c>
      <c r="BT204" s="3">
        <v>13.062183677680057</v>
      </c>
      <c r="BU204" s="3">
        <v>12.728850344346728</v>
      </c>
      <c r="BV204" s="3">
        <v>11.745517011013387</v>
      </c>
      <c r="BW204" s="3">
        <v>12.07885034434673</v>
      </c>
      <c r="BX204" s="3">
        <v>11.298850344346729</v>
      </c>
      <c r="BY204" s="3">
        <v>13.718850344346723</v>
      </c>
      <c r="BZ204" s="3">
        <v>12.848850344346726</v>
      </c>
      <c r="CA204" s="3">
        <v>10.048850344346715</v>
      </c>
      <c r="CB204" s="3">
        <v>10.285517011013386</v>
      </c>
      <c r="CC204" s="3">
        <v>10.998850344346724</v>
      </c>
      <c r="CD204" s="3">
        <v>9.4055170110133979</v>
      </c>
      <c r="CE204" s="3">
        <v>9.3988503443467231</v>
      </c>
      <c r="CF204" s="3">
        <v>-0.88781632231994223</v>
      </c>
      <c r="CG204" s="3">
        <v>-1.4211496556532737</v>
      </c>
      <c r="CH204" s="3">
        <v>-2.4978163223199417</v>
      </c>
      <c r="CI204" s="13">
        <f>[1]!dbasum(RecData[[#This Row],[20]:[2000]],RecData[[#Headers],[20]:[2000]])</f>
        <v>20.802638299594541</v>
      </c>
      <c r="CJ204" s="14">
        <v>2886</v>
      </c>
      <c r="CK204" s="15" t="s">
        <v>249</v>
      </c>
      <c r="CL204" s="15">
        <f>RecData[[#This Row],[Start Time]]</f>
        <v>43257.15347222222</v>
      </c>
      <c r="CM204" s="16">
        <f>RecData[[#This Row],[Wind Speed avg]]</f>
        <v>0.65</v>
      </c>
      <c r="CN204" s="16">
        <f>RecData[[#This Row],[Wind Dir. avg]]</f>
        <v>151.1</v>
      </c>
      <c r="CO204" s="16">
        <f>RecData[[#This Row],[Amb. Humidity]]</f>
        <v>94.3</v>
      </c>
      <c r="CP204" s="16">
        <f>RecData[[#This Row],[Amb. Temperature]]</f>
        <v>3.3</v>
      </c>
      <c r="CQ204" s="17">
        <f>RecData[[#This Row],[Amb. Rain Gauge]]</f>
        <v>0</v>
      </c>
      <c r="CR204" s="4" t="s">
        <v>50</v>
      </c>
      <c r="CS204" s="4" t="s">
        <v>49</v>
      </c>
      <c r="CT204" s="70">
        <v>-10.760043140000001</v>
      </c>
      <c r="CU204" s="70">
        <v>156.0013123</v>
      </c>
      <c r="CV204" s="70">
        <v>1.6743350029999999</v>
      </c>
      <c r="CW204" s="70">
        <v>0</v>
      </c>
      <c r="CX204" s="4"/>
      <c r="CY204" s="69"/>
      <c r="CZ204" s="2" t="b">
        <f>IF($DP$1="YES",IF(RecData[[#This Row],[Power (kW)]]&gt;=$CR$3, TRUE,FALSE),TRUE)</f>
        <v>0</v>
      </c>
      <c r="DA204" s="16">
        <f>MIN(MOD(180-ABS(ABS($DA$1-RecData[Yaw Angle (°)])-180),360),MOD(180-ABS(ABS($DB$1-RecData[Yaw Angle (°)])-180),360))</f>
        <v>148.47138552231246</v>
      </c>
      <c r="DB204" s="2" t="str">
        <f>IF($DP$2="None","None",IF(RecData[[#This Row],[Relative Wind Direction]]&lt;=45,"DW",IF(RecData[[#This Row],[Relative Wind Direction]]&lt;=135,"CW","UW")))</f>
        <v>UW</v>
      </c>
      <c r="DC204" s="61">
        <f>IF($CL204-$CL200&gt;1/24,#REF!,IF(SUM($CQ200:$CQ204)&gt;$DS$1,$DS$5,DC205-1))</f>
        <v>-5</v>
      </c>
      <c r="DD204" s="61">
        <f>IF($CL205-$CL204&gt;1/24,#REF!,IF(SUM($CQ200:$CQ204)&gt;$DS$1,$DS$6,DD203-1))</f>
        <v>-6</v>
      </c>
      <c r="DE204" s="18" t="b">
        <v>0</v>
      </c>
      <c r="DF204" s="2" t="b">
        <f>IF(OR(RecData[[#This Row],[WSpd_Avg '[m/s']]]-RecData[[#This Row],[Wind Speed min]]&gt;=$DF$3,RecData[[#This Row],[Wind Speed max]]-RecData[[#This Row],[WSpd_Avg '[m/s']]]&gt;=$DF$2),TRUE,FALSE)</f>
        <v>0</v>
      </c>
      <c r="DG204" s="2" t="b">
        <f>RecData[[#This Row],[Temperature '[°C']]]&lt;=-20</f>
        <v>0</v>
      </c>
      <c r="DH204" s="18" t="b">
        <f>NOT(OR(MOD(RecData[[#This Row],[TIMESTAMP]],1)&gt;0.91632,MOD(RecData[[#This Row],[TIMESTAMP]],1)&lt;0.208681))</f>
        <v>0</v>
      </c>
      <c r="DI204" s="18" t="b">
        <f>RecData[[#This Row],[Overall (dBA)]]-RecData[[#This Row],[L90]]&gt;=$DS$4</f>
        <v>0</v>
      </c>
      <c r="DJ204" s="18" t="b">
        <f>RecData[[#This Row],[Overall (dBA)]]&gt;$DS$2</f>
        <v>0</v>
      </c>
      <c r="DK204" s="18" t="b">
        <f>RecData[[#This Row],[Overall (dBA)]]&lt;$DS$3</f>
        <v>0</v>
      </c>
      <c r="DL2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4" s="2">
        <f>IF(AND(RecData[[#This Row],[Turbines ON/OFF]] = "OFF", NOT(OR(RecData[[#This Row],[Junk?]]="YES",RecData[[#This Row],[Gust?]],RecData[[#This Row],[Rain?]:[Min SPL Threshold?]]))),1,0)</f>
        <v>1</v>
      </c>
      <c r="DN204" s="16">
        <f>RecData[[#This Row],[dBA Sum]]</f>
        <v>20.802638299594541</v>
      </c>
      <c r="DO204" s="16">
        <f>RecData[[#This Row],[LAF90.0]]</f>
        <v>22.3</v>
      </c>
      <c r="DP204" s="55" t="str">
        <f>IF(AND(RecData[[#This Row],[Useable TON Data?]],RecData[[#This Row],[Turbines ON/OFF]]="ON"),RecData[[#This Row],[dBA Sum]],"")</f>
        <v/>
      </c>
      <c r="DQ204" s="55">
        <f>IF(AND(RecData[[#This Row],[Useable Background Data?]],RecData[[#This Row],[Turbines ON/OFF]]="OFF"),RecData[[#This Row],[dBA Sum]],"")</f>
        <v>20.802638299594541</v>
      </c>
      <c r="DR204" s="3">
        <f>IF(OR(RecData[[#This Row],[Useable TON Data?]],RecData[[#This Row],[Useable Background Data?]]),ROUND(RecData[[#This Row],[WSpd_Avg '[m/s']]],0),"")</f>
        <v>1</v>
      </c>
      <c r="DS204" s="85">
        <f>(0.00002)^2*(10^(RecData[[#This Row],[Overall (dBA)]]/10))</f>
        <v>4.8119800849955475E-8</v>
      </c>
    </row>
    <row r="205" spans="1:123" ht="15" x14ac:dyDescent="0.25">
      <c r="A205" s="3" t="s">
        <v>249</v>
      </c>
      <c r="B205" s="12">
        <v>43257.154166666667</v>
      </c>
      <c r="C205" s="3"/>
      <c r="D205" s="3">
        <v>25.2</v>
      </c>
      <c r="E205" s="3"/>
      <c r="F205" s="3"/>
      <c r="G205" s="3"/>
      <c r="H205" s="3"/>
      <c r="I205" s="3"/>
      <c r="J205" s="3"/>
      <c r="K205" s="3">
        <v>22.9</v>
      </c>
      <c r="L205" s="3"/>
      <c r="M205" s="3"/>
      <c r="N205" s="3">
        <v>139.80000000000001</v>
      </c>
      <c r="O205" s="3"/>
      <c r="P205" s="3"/>
      <c r="Q205" s="3">
        <v>0.82</v>
      </c>
      <c r="R205" s="3">
        <v>0.7</v>
      </c>
      <c r="S205" s="3">
        <v>1</v>
      </c>
      <c r="T205" s="3">
        <v>3.3</v>
      </c>
      <c r="U205" s="3">
        <v>94.2</v>
      </c>
      <c r="V205" s="3">
        <v>969.9</v>
      </c>
      <c r="W205" s="3">
        <v>0</v>
      </c>
      <c r="X205" s="3">
        <v>17.8</v>
      </c>
      <c r="Y205" s="3">
        <v>14.2</v>
      </c>
      <c r="Z205" s="3">
        <v>18.100000000000001</v>
      </c>
      <c r="AA205" s="3">
        <v>7.7</v>
      </c>
      <c r="AB205" s="3">
        <v>6.7</v>
      </c>
      <c r="AC205" s="3">
        <v>6.7</v>
      </c>
      <c r="AD205" s="3">
        <v>9.4</v>
      </c>
      <c r="AE205" s="3">
        <v>9</v>
      </c>
      <c r="AF205" s="3">
        <v>12.2</v>
      </c>
      <c r="AG205" s="3">
        <v>10.8</v>
      </c>
      <c r="AH205" s="3">
        <v>9.6</v>
      </c>
      <c r="AI205" s="3">
        <v>11</v>
      </c>
      <c r="AJ205" s="3">
        <v>11.3</v>
      </c>
      <c r="AK205" s="3">
        <v>11.4</v>
      </c>
      <c r="AL205" s="3">
        <v>11.7</v>
      </c>
      <c r="AM205" s="3">
        <v>11.5</v>
      </c>
      <c r="AN205" s="3">
        <v>12.5</v>
      </c>
      <c r="AO205" s="3">
        <v>12.3</v>
      </c>
      <c r="AP205" s="3">
        <v>11.7</v>
      </c>
      <c r="AQ205" s="3">
        <v>11.4</v>
      </c>
      <c r="AR205" s="3">
        <v>11.3</v>
      </c>
      <c r="AS205" s="3">
        <v>19.2</v>
      </c>
      <c r="AT205" s="3">
        <v>16</v>
      </c>
      <c r="AU205" s="3">
        <v>9.8000000000000007</v>
      </c>
      <c r="AV205" s="3">
        <v>10.4</v>
      </c>
      <c r="AW205" s="3">
        <v>10.6</v>
      </c>
      <c r="AX205" s="3">
        <v>10.1</v>
      </c>
      <c r="AY205" s="3">
        <v>10.1</v>
      </c>
      <c r="AZ205" s="3">
        <v>0</v>
      </c>
      <c r="BA205" s="3">
        <v>0</v>
      </c>
      <c r="BB205" s="3">
        <v>0</v>
      </c>
      <c r="BC205" s="3">
        <v>25.104013040498717</v>
      </c>
      <c r="BD205" s="3">
        <v>17.895986959501283</v>
      </c>
      <c r="BE205" s="3">
        <v>14.295986959501281</v>
      </c>
      <c r="BF205" s="3">
        <v>16.955986959501285</v>
      </c>
      <c r="BG205" s="3">
        <v>6.8826536261679472</v>
      </c>
      <c r="BH205" s="3">
        <v>6.0226536261679513</v>
      </c>
      <c r="BI205" s="3">
        <v>6.4359869595012817</v>
      </c>
      <c r="BJ205" s="3">
        <v>9.929320292834614</v>
      </c>
      <c r="BK205" s="3">
        <v>9.4026536261679432</v>
      </c>
      <c r="BL205" s="3">
        <v>12.175986959501284</v>
      </c>
      <c r="BM205" s="3">
        <v>10.909320292834618</v>
      </c>
      <c r="BN205" s="3">
        <v>9.9926536261679466</v>
      </c>
      <c r="BO205" s="3">
        <v>10.759320292834619</v>
      </c>
      <c r="BP205" s="3">
        <v>10.775986959501285</v>
      </c>
      <c r="BQ205" s="3">
        <v>11.292653626167944</v>
      </c>
      <c r="BR205" s="3">
        <v>11.919320292834616</v>
      </c>
      <c r="BS205" s="3">
        <v>11.522653626167948</v>
      </c>
      <c r="BT205" s="3">
        <v>12.71932029283462</v>
      </c>
      <c r="BU205" s="3">
        <v>12.485986959501286</v>
      </c>
      <c r="BV205" s="3">
        <v>11.602653626167946</v>
      </c>
      <c r="BW205" s="3">
        <v>11.835986959501287</v>
      </c>
      <c r="BX205" s="3">
        <v>11.655986959501288</v>
      </c>
      <c r="BY205" s="3">
        <v>19.375986959501279</v>
      </c>
      <c r="BZ205" s="3">
        <v>16.305986959501286</v>
      </c>
      <c r="CA205" s="3">
        <v>10.205986959501278</v>
      </c>
      <c r="CB205" s="3">
        <v>10.242653626167947</v>
      </c>
      <c r="CC205" s="3">
        <v>10.655986959501281</v>
      </c>
      <c r="CD205" s="3">
        <v>9.4626536261679526</v>
      </c>
      <c r="CE205" s="3">
        <v>9.6559869595012806</v>
      </c>
      <c r="CF205" s="3">
        <v>-0.83067970716538397</v>
      </c>
      <c r="CG205" s="3">
        <v>-1.3640130404987154</v>
      </c>
      <c r="CH205" s="3">
        <v>-2.4406797071653834</v>
      </c>
      <c r="CI205" s="13">
        <f>[1]!dbasum(RecData[[#This Row],[20]:[2000]],RecData[[#Headers],[20]:[2000]])</f>
        <v>20.621698706925102</v>
      </c>
      <c r="CJ205" s="14">
        <v>2887</v>
      </c>
      <c r="CK205" s="15" t="s">
        <v>249</v>
      </c>
      <c r="CL205" s="15">
        <f>RecData[[#This Row],[Start Time]]</f>
        <v>43257.154166666667</v>
      </c>
      <c r="CM205" s="16">
        <f>RecData[[#This Row],[Wind Speed avg]]</f>
        <v>0.82</v>
      </c>
      <c r="CN205" s="16">
        <f>RecData[[#This Row],[Wind Dir. avg]]</f>
        <v>139.80000000000001</v>
      </c>
      <c r="CO205" s="16">
        <f>RecData[[#This Row],[Amb. Humidity]]</f>
        <v>94.2</v>
      </c>
      <c r="CP205" s="16">
        <f>RecData[[#This Row],[Amb. Temperature]]</f>
        <v>3.3</v>
      </c>
      <c r="CQ205" s="17">
        <f>RecData[[#This Row],[Amb. Rain Gauge]]</f>
        <v>0</v>
      </c>
      <c r="CR205" s="4" t="s">
        <v>50</v>
      </c>
      <c r="CS205" s="4" t="s">
        <v>49</v>
      </c>
      <c r="CT205" s="70">
        <v>-10.760043140000001</v>
      </c>
      <c r="CU205" s="70">
        <v>156.0013123</v>
      </c>
      <c r="CV205" s="70">
        <v>1.6743350029999999</v>
      </c>
      <c r="CW205" s="70">
        <v>0</v>
      </c>
      <c r="CX205" s="4"/>
      <c r="CY205" s="69"/>
      <c r="CZ205" s="2" t="b">
        <f>IF($DP$1="YES",IF(RecData[[#This Row],[Power (kW)]]&gt;=$CR$3, TRUE,FALSE),TRUE)</f>
        <v>0</v>
      </c>
      <c r="DA205" s="16">
        <f>MIN(MOD(180-ABS(ABS($DA$1-RecData[Yaw Angle (°)])-180),360),MOD(180-ABS(ABS($DB$1-RecData[Yaw Angle (°)])-180),360))</f>
        <v>148.47138552231246</v>
      </c>
      <c r="DB205" s="2" t="str">
        <f>IF($DP$2="None","None",IF(RecData[[#This Row],[Relative Wind Direction]]&lt;=45,"DW",IF(RecData[[#This Row],[Relative Wind Direction]]&lt;=135,"CW","UW")))</f>
        <v>UW</v>
      </c>
      <c r="DC205" s="61">
        <f>IF($CL205-$CL201&gt;1/24,#REF!,IF(SUM($CQ201:$CQ205)&gt;$DS$1,$DS$5,DC206-1))</f>
        <v>-4</v>
      </c>
      <c r="DD205" s="61">
        <f>IF($CL206-$CL205&gt;1/24,#REF!,IF(SUM($CQ201:$CQ205)&gt;$DS$1,$DS$6,DD204-1))</f>
        <v>-7</v>
      </c>
      <c r="DE205" s="18" t="b">
        <v>0</v>
      </c>
      <c r="DF205" s="2" t="b">
        <f>IF(OR(RecData[[#This Row],[WSpd_Avg '[m/s']]]-RecData[[#This Row],[Wind Speed min]]&gt;=$DF$3,RecData[[#This Row],[Wind Speed max]]-RecData[[#This Row],[WSpd_Avg '[m/s']]]&gt;=$DF$2),TRUE,FALSE)</f>
        <v>0</v>
      </c>
      <c r="DG205" s="2" t="b">
        <f>RecData[[#This Row],[Temperature '[°C']]]&lt;=-20</f>
        <v>0</v>
      </c>
      <c r="DH205" s="18" t="b">
        <f>NOT(OR(MOD(RecData[[#This Row],[TIMESTAMP]],1)&gt;0.91632,MOD(RecData[[#This Row],[TIMESTAMP]],1)&lt;0.208681))</f>
        <v>0</v>
      </c>
      <c r="DI205" s="18" t="b">
        <f>RecData[[#This Row],[Overall (dBA)]]-RecData[[#This Row],[L90]]&gt;=$DS$4</f>
        <v>0</v>
      </c>
      <c r="DJ205" s="18" t="b">
        <f>RecData[[#This Row],[Overall (dBA)]]&gt;$DS$2</f>
        <v>0</v>
      </c>
      <c r="DK205" s="18" t="b">
        <f>RecData[[#This Row],[Overall (dBA)]]&lt;$DS$3</f>
        <v>0</v>
      </c>
      <c r="DL2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5" s="2">
        <f>IF(AND(RecData[[#This Row],[Turbines ON/OFF]] = "OFF", NOT(OR(RecData[[#This Row],[Junk?]]="YES",RecData[[#This Row],[Gust?]],RecData[[#This Row],[Rain?]:[Min SPL Threshold?]]))),1,0)</f>
        <v>1</v>
      </c>
      <c r="DN205" s="16">
        <f>RecData[[#This Row],[dBA Sum]]</f>
        <v>20.621698706925102</v>
      </c>
      <c r="DO205" s="16">
        <f>RecData[[#This Row],[LAF90.0]]</f>
        <v>22.9</v>
      </c>
      <c r="DP205" s="55" t="str">
        <f>IF(AND(RecData[[#This Row],[Useable TON Data?]],RecData[[#This Row],[Turbines ON/OFF]]="ON"),RecData[[#This Row],[dBA Sum]],"")</f>
        <v/>
      </c>
      <c r="DQ205" s="55">
        <f>IF(AND(RecData[[#This Row],[Useable Background Data?]],RecData[[#This Row],[Turbines ON/OFF]]="OFF"),RecData[[#This Row],[dBA Sum]],"")</f>
        <v>20.621698706925102</v>
      </c>
      <c r="DR205" s="3">
        <f>IF(OR(RecData[[#This Row],[Useable TON Data?]],RecData[[#This Row],[Useable Background Data?]]),ROUND(RecData[[#This Row],[WSpd_Avg '[m/s']]],0),"")</f>
        <v>1</v>
      </c>
      <c r="DS205" s="85">
        <f>(0.00002)^2*(10^(RecData[[#This Row],[Overall (dBA)]]/10))</f>
        <v>4.6156180390529852E-8</v>
      </c>
    </row>
    <row r="206" spans="1:123" ht="15" x14ac:dyDescent="0.25">
      <c r="A206" s="3" t="s">
        <v>249</v>
      </c>
      <c r="B206" s="12">
        <v>43257.154861111114</v>
      </c>
      <c r="C206" s="3"/>
      <c r="D206" s="3">
        <v>24.9</v>
      </c>
      <c r="E206" s="3"/>
      <c r="F206" s="3"/>
      <c r="G206" s="3"/>
      <c r="H206" s="3"/>
      <c r="I206" s="3"/>
      <c r="J206" s="3"/>
      <c r="K206" s="3">
        <v>22.6</v>
      </c>
      <c r="L206" s="3"/>
      <c r="M206" s="3"/>
      <c r="N206" s="3">
        <v>141.6</v>
      </c>
      <c r="O206" s="3"/>
      <c r="P206" s="3"/>
      <c r="Q206" s="3">
        <v>0.92</v>
      </c>
      <c r="R206" s="3">
        <v>0.8</v>
      </c>
      <c r="S206" s="3">
        <v>1</v>
      </c>
      <c r="T206" s="3">
        <v>3.2</v>
      </c>
      <c r="U206" s="3">
        <v>94.1</v>
      </c>
      <c r="V206" s="3">
        <v>969.9</v>
      </c>
      <c r="W206" s="3">
        <v>0</v>
      </c>
      <c r="X206" s="3">
        <v>19.100000000000001</v>
      </c>
      <c r="Y206" s="3">
        <v>19</v>
      </c>
      <c r="Z206" s="3">
        <v>20.7</v>
      </c>
      <c r="AA206" s="3">
        <v>10.7</v>
      </c>
      <c r="AB206" s="3">
        <v>8.3000000000000007</v>
      </c>
      <c r="AC206" s="3">
        <v>6.8</v>
      </c>
      <c r="AD206" s="3">
        <v>9.1999999999999993</v>
      </c>
      <c r="AE206" s="3">
        <v>9.1</v>
      </c>
      <c r="AF206" s="3">
        <v>14.6</v>
      </c>
      <c r="AG206" s="3">
        <v>12.3</v>
      </c>
      <c r="AH206" s="3">
        <v>10.199999999999999</v>
      </c>
      <c r="AI206" s="3">
        <v>11.2</v>
      </c>
      <c r="AJ206" s="3">
        <v>11.2</v>
      </c>
      <c r="AK206" s="3">
        <v>11.4</v>
      </c>
      <c r="AL206" s="3">
        <v>11.6</v>
      </c>
      <c r="AM206" s="3">
        <v>11.6</v>
      </c>
      <c r="AN206" s="3">
        <v>12.7</v>
      </c>
      <c r="AO206" s="3">
        <v>12.3</v>
      </c>
      <c r="AP206" s="3">
        <v>11.9</v>
      </c>
      <c r="AQ206" s="3">
        <v>11.7</v>
      </c>
      <c r="AR206" s="3">
        <v>11.6</v>
      </c>
      <c r="AS206" s="3">
        <v>18.3</v>
      </c>
      <c r="AT206" s="3">
        <v>15.7</v>
      </c>
      <c r="AU206" s="3">
        <v>10.199999999999999</v>
      </c>
      <c r="AV206" s="3">
        <v>10.7</v>
      </c>
      <c r="AW206" s="3">
        <v>10.9</v>
      </c>
      <c r="AX206" s="3">
        <v>10.199999999999999</v>
      </c>
      <c r="AY206" s="3">
        <v>10.1</v>
      </c>
      <c r="AZ206" s="3">
        <v>0</v>
      </c>
      <c r="BA206" s="3">
        <v>0</v>
      </c>
      <c r="BB206" s="3">
        <v>0</v>
      </c>
      <c r="BC206" s="3">
        <v>24.875541754240693</v>
      </c>
      <c r="BD206" s="3">
        <v>19.124458245759307</v>
      </c>
      <c r="BE206" s="3">
        <v>19.024458245759305</v>
      </c>
      <c r="BF206" s="3">
        <v>19.484458245759306</v>
      </c>
      <c r="BG206" s="3">
        <v>9.8111249124259672</v>
      </c>
      <c r="BH206" s="3">
        <v>7.5511249124259763</v>
      </c>
      <c r="BI206" s="3">
        <v>6.4644582457593067</v>
      </c>
      <c r="BJ206" s="3">
        <v>9.6577915790926383</v>
      </c>
      <c r="BK206" s="3">
        <v>9.4311249124259646</v>
      </c>
      <c r="BL206" s="3">
        <v>14.504458245759302</v>
      </c>
      <c r="BM206" s="3">
        <v>12.337791579092645</v>
      </c>
      <c r="BN206" s="3">
        <v>10.521124912425968</v>
      </c>
      <c r="BO206" s="3">
        <v>10.887791579092642</v>
      </c>
      <c r="BP206" s="3">
        <v>10.604458245759304</v>
      </c>
      <c r="BQ206" s="3">
        <v>11.221124912425964</v>
      </c>
      <c r="BR206" s="3">
        <v>11.747791579092642</v>
      </c>
      <c r="BS206" s="3">
        <v>11.551124912425969</v>
      </c>
      <c r="BT206" s="3">
        <v>12.847791579092636</v>
      </c>
      <c r="BU206" s="3">
        <v>12.414458245759313</v>
      </c>
      <c r="BV206" s="3">
        <v>11.731124912425976</v>
      </c>
      <c r="BW206" s="3">
        <v>12.064458245759305</v>
      </c>
      <c r="BX206" s="3">
        <v>11.884458245759312</v>
      </c>
      <c r="BY206" s="3">
        <v>18.404458245759308</v>
      </c>
      <c r="BZ206" s="3">
        <v>15.934458245759309</v>
      </c>
      <c r="CA206" s="3">
        <v>10.534458245759296</v>
      </c>
      <c r="CB206" s="3">
        <v>10.471124912425971</v>
      </c>
      <c r="CC206" s="3">
        <v>10.884458245759305</v>
      </c>
      <c r="CD206" s="3">
        <v>9.491124912425974</v>
      </c>
      <c r="CE206" s="3">
        <v>9.5844582457593006</v>
      </c>
      <c r="CF206" s="3">
        <v>-0.90220842090736042</v>
      </c>
      <c r="CG206" s="3">
        <v>-1.4355417542406919</v>
      </c>
      <c r="CH206" s="3">
        <v>-2.5122084209073599</v>
      </c>
      <c r="CI206" s="13">
        <f>[1]!dbasum(RecData[[#This Row],[20]:[2000]],RecData[[#Headers],[20]:[2000]])</f>
        <v>20.733984651074103</v>
      </c>
      <c r="CJ206" s="14">
        <v>2888</v>
      </c>
      <c r="CK206" s="15" t="s">
        <v>249</v>
      </c>
      <c r="CL206" s="15">
        <f>RecData[[#This Row],[Start Time]]</f>
        <v>43257.154861111114</v>
      </c>
      <c r="CM206" s="16">
        <f>RecData[[#This Row],[Wind Speed avg]]</f>
        <v>0.92</v>
      </c>
      <c r="CN206" s="16">
        <f>RecData[[#This Row],[Wind Dir. avg]]</f>
        <v>141.6</v>
      </c>
      <c r="CO206" s="16">
        <f>RecData[[#This Row],[Amb. Humidity]]</f>
        <v>94.1</v>
      </c>
      <c r="CP206" s="16">
        <f>RecData[[#This Row],[Amb. Temperature]]</f>
        <v>3.2</v>
      </c>
      <c r="CQ206" s="17">
        <f>RecData[[#This Row],[Amb. Rain Gauge]]</f>
        <v>0</v>
      </c>
      <c r="CR206" s="4" t="s">
        <v>50</v>
      </c>
      <c r="CS206" s="4" t="s">
        <v>49</v>
      </c>
      <c r="CT206" s="70">
        <v>-10.760043140000001</v>
      </c>
      <c r="CU206" s="70">
        <v>156.0013123</v>
      </c>
      <c r="CV206" s="70">
        <v>1.6743350029999999</v>
      </c>
      <c r="CW206" s="70">
        <v>0</v>
      </c>
      <c r="CX206" s="4"/>
      <c r="CY206" s="69"/>
      <c r="CZ206" s="2" t="b">
        <f>IF($DP$1="YES",IF(RecData[[#This Row],[Power (kW)]]&gt;=$CR$3, TRUE,FALSE),TRUE)</f>
        <v>0</v>
      </c>
      <c r="DA206" s="16">
        <f>MIN(MOD(180-ABS(ABS($DA$1-RecData[Yaw Angle (°)])-180),360),MOD(180-ABS(ABS($DB$1-RecData[Yaw Angle (°)])-180),360))</f>
        <v>148.47138552231246</v>
      </c>
      <c r="DB206" s="2" t="str">
        <f>IF($DP$2="None","None",IF(RecData[[#This Row],[Relative Wind Direction]]&lt;=45,"DW",IF(RecData[[#This Row],[Relative Wind Direction]]&lt;=135,"CW","UW")))</f>
        <v>UW</v>
      </c>
      <c r="DC206" s="61">
        <f>IF($CL206-$CL202&gt;1/24,#REF!,IF(SUM($CQ202:$CQ206)&gt;$DS$1,$DS$5,DC207-1))</f>
        <v>-3</v>
      </c>
      <c r="DD206" s="61">
        <f>IF($CL207-$CL206&gt;1/24,#REF!,IF(SUM($CQ202:$CQ206)&gt;$DS$1,$DS$6,DD205-1))</f>
        <v>-8</v>
      </c>
      <c r="DE206" s="18" t="b">
        <v>0</v>
      </c>
      <c r="DF206" s="2" t="b">
        <f>IF(OR(RecData[[#This Row],[WSpd_Avg '[m/s']]]-RecData[[#This Row],[Wind Speed min]]&gt;=$DF$3,RecData[[#This Row],[Wind Speed max]]-RecData[[#This Row],[WSpd_Avg '[m/s']]]&gt;=$DF$2),TRUE,FALSE)</f>
        <v>0</v>
      </c>
      <c r="DG206" s="2" t="b">
        <f>RecData[[#This Row],[Temperature '[°C']]]&lt;=-20</f>
        <v>0</v>
      </c>
      <c r="DH206" s="18" t="b">
        <f>NOT(OR(MOD(RecData[[#This Row],[TIMESTAMP]],1)&gt;0.91632,MOD(RecData[[#This Row],[TIMESTAMP]],1)&lt;0.208681))</f>
        <v>0</v>
      </c>
      <c r="DI206" s="18" t="b">
        <f>RecData[[#This Row],[Overall (dBA)]]-RecData[[#This Row],[L90]]&gt;=$DS$4</f>
        <v>0</v>
      </c>
      <c r="DJ206" s="18" t="b">
        <f>RecData[[#This Row],[Overall (dBA)]]&gt;$DS$2</f>
        <v>0</v>
      </c>
      <c r="DK206" s="18" t="b">
        <f>RecData[[#This Row],[Overall (dBA)]]&lt;$DS$3</f>
        <v>0</v>
      </c>
      <c r="DL2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6" s="2">
        <f>IF(AND(RecData[[#This Row],[Turbines ON/OFF]] = "OFF", NOT(OR(RecData[[#This Row],[Junk?]]="YES",RecData[[#This Row],[Gust?]],RecData[[#This Row],[Rain?]:[Min SPL Threshold?]]))),1,0)</f>
        <v>1</v>
      </c>
      <c r="DN206" s="16">
        <f>RecData[[#This Row],[dBA Sum]]</f>
        <v>20.733984651074103</v>
      </c>
      <c r="DO206" s="16">
        <f>RecData[[#This Row],[LAF90.0]]</f>
        <v>22.6</v>
      </c>
      <c r="DP206" s="55" t="str">
        <f>IF(AND(RecData[[#This Row],[Useable TON Data?]],RecData[[#This Row],[Turbines ON/OFF]]="ON"),RecData[[#This Row],[dBA Sum]],"")</f>
        <v/>
      </c>
      <c r="DQ206" s="55">
        <f>IF(AND(RecData[[#This Row],[Useable Background Data?]],RecData[[#This Row],[Turbines ON/OFF]]="OFF"),RecData[[#This Row],[dBA Sum]],"")</f>
        <v>20.733984651074103</v>
      </c>
      <c r="DR206" s="3">
        <f>IF(OR(RecData[[#This Row],[Useable TON Data?]],RecData[[#This Row],[Useable Background Data?]]),ROUND(RecData[[#This Row],[WSpd_Avg '[m/s']]],0),"")</f>
        <v>1</v>
      </c>
      <c r="DS206" s="85">
        <f>(0.00002)^2*(10^(RecData[[#This Row],[Overall (dBA)]]/10))</f>
        <v>4.7365099769334022E-8</v>
      </c>
    </row>
    <row r="207" spans="1:123" ht="15" x14ac:dyDescent="0.25">
      <c r="A207" s="3" t="s">
        <v>249</v>
      </c>
      <c r="B207" s="12">
        <v>43257.155555555553</v>
      </c>
      <c r="C207" s="3"/>
      <c r="D207" s="3">
        <v>23.7</v>
      </c>
      <c r="E207" s="3"/>
      <c r="F207" s="3"/>
      <c r="G207" s="3"/>
      <c r="H207" s="3"/>
      <c r="I207" s="3"/>
      <c r="J207" s="3"/>
      <c r="K207" s="3">
        <v>22.4</v>
      </c>
      <c r="L207" s="3"/>
      <c r="M207" s="3"/>
      <c r="N207" s="3">
        <v>138.19999999999999</v>
      </c>
      <c r="O207" s="3"/>
      <c r="P207" s="3"/>
      <c r="Q207" s="3">
        <v>0.87</v>
      </c>
      <c r="R207" s="3">
        <v>0.7</v>
      </c>
      <c r="S207" s="3">
        <v>1.1000000000000001</v>
      </c>
      <c r="T207" s="3">
        <v>3.2</v>
      </c>
      <c r="U207" s="3">
        <v>94.2</v>
      </c>
      <c r="V207" s="3">
        <v>969.9</v>
      </c>
      <c r="W207" s="3">
        <v>0</v>
      </c>
      <c r="X207" s="3">
        <v>20.2</v>
      </c>
      <c r="Y207" s="3">
        <v>18.5</v>
      </c>
      <c r="Z207" s="3">
        <v>21.5</v>
      </c>
      <c r="AA207" s="3">
        <v>10.1</v>
      </c>
      <c r="AB207" s="3">
        <v>7.8</v>
      </c>
      <c r="AC207" s="3">
        <v>7.8</v>
      </c>
      <c r="AD207" s="3">
        <v>9.4</v>
      </c>
      <c r="AE207" s="3">
        <v>9.3000000000000007</v>
      </c>
      <c r="AF207" s="3">
        <v>14.8</v>
      </c>
      <c r="AG207" s="3">
        <v>12.6</v>
      </c>
      <c r="AH207" s="3">
        <v>10</v>
      </c>
      <c r="AI207" s="3">
        <v>11.2</v>
      </c>
      <c r="AJ207" s="3">
        <v>10.9</v>
      </c>
      <c r="AK207" s="3">
        <v>11.2</v>
      </c>
      <c r="AL207" s="3">
        <v>11.5</v>
      </c>
      <c r="AM207" s="3">
        <v>11.5</v>
      </c>
      <c r="AN207" s="3">
        <v>12.6</v>
      </c>
      <c r="AO207" s="3">
        <v>12.1</v>
      </c>
      <c r="AP207" s="3">
        <v>11.5</v>
      </c>
      <c r="AQ207" s="3">
        <v>11.3</v>
      </c>
      <c r="AR207" s="3">
        <v>10.7</v>
      </c>
      <c r="AS207" s="3">
        <v>14.5</v>
      </c>
      <c r="AT207" s="3">
        <v>14.2</v>
      </c>
      <c r="AU207" s="3">
        <v>10</v>
      </c>
      <c r="AV207" s="3">
        <v>10.6</v>
      </c>
      <c r="AW207" s="3">
        <v>10.7</v>
      </c>
      <c r="AX207" s="3">
        <v>10.199999999999999</v>
      </c>
      <c r="AY207" s="3">
        <v>10</v>
      </c>
      <c r="AZ207" s="3">
        <v>0</v>
      </c>
      <c r="BA207" s="3">
        <v>0</v>
      </c>
      <c r="BB207" s="3">
        <v>0</v>
      </c>
      <c r="BC207" s="3">
        <v>23.618908441971385</v>
      </c>
      <c r="BD207" s="3">
        <v>20.281091558028614</v>
      </c>
      <c r="BE207" s="3">
        <v>18.581091558028618</v>
      </c>
      <c r="BF207" s="3">
        <v>20.341091558028616</v>
      </c>
      <c r="BG207" s="3">
        <v>9.2677582246952781</v>
      </c>
      <c r="BH207" s="3">
        <v>7.1077582246952815</v>
      </c>
      <c r="BI207" s="3">
        <v>7.5210915580286155</v>
      </c>
      <c r="BJ207" s="3">
        <v>9.9144248913619464</v>
      </c>
      <c r="BK207" s="3">
        <v>9.6877582246952798</v>
      </c>
      <c r="BL207" s="3">
        <v>14.761091558028617</v>
      </c>
      <c r="BM207" s="3">
        <v>12.694424891361948</v>
      </c>
      <c r="BN207" s="3">
        <v>10.377758224695285</v>
      </c>
      <c r="BO207" s="3">
        <v>10.944424891361948</v>
      </c>
      <c r="BP207" s="3">
        <v>10.361091558028619</v>
      </c>
      <c r="BQ207" s="3">
        <v>11.077758224695273</v>
      </c>
      <c r="BR207" s="3">
        <v>11.704424891361953</v>
      </c>
      <c r="BS207" s="3">
        <v>11.50775822469528</v>
      </c>
      <c r="BT207" s="3">
        <v>12.804424891361947</v>
      </c>
      <c r="BU207" s="3">
        <v>12.271091558028616</v>
      </c>
      <c r="BV207" s="3">
        <v>11.387758224695283</v>
      </c>
      <c r="BW207" s="3">
        <v>11.721091558028618</v>
      </c>
      <c r="BX207" s="3">
        <v>11.041091558028619</v>
      </c>
      <c r="BY207" s="3">
        <v>14.661091558028616</v>
      </c>
      <c r="BZ207" s="3">
        <v>14.491091558028614</v>
      </c>
      <c r="CA207" s="3">
        <v>10.391091558028606</v>
      </c>
      <c r="CB207" s="3">
        <v>10.427758224695282</v>
      </c>
      <c r="CC207" s="3">
        <v>10.741091558028614</v>
      </c>
      <c r="CD207" s="3">
        <v>9.5477582246952863</v>
      </c>
      <c r="CE207" s="3">
        <v>9.5410915580286115</v>
      </c>
      <c r="CF207" s="3">
        <v>-0.84557510863805163</v>
      </c>
      <c r="CG207" s="3">
        <v>-1.3789084419713831</v>
      </c>
      <c r="CH207" s="3">
        <v>-2.4555751086380511</v>
      </c>
      <c r="CI207" s="13">
        <f>[1]!dbasum(RecData[[#This Row],[20]:[2000]],RecData[[#Headers],[20]:[2000]])</f>
        <v>20.451177878346289</v>
      </c>
      <c r="CJ207" s="14">
        <v>2889</v>
      </c>
      <c r="CK207" s="15" t="s">
        <v>249</v>
      </c>
      <c r="CL207" s="15">
        <f>RecData[[#This Row],[Start Time]]</f>
        <v>43257.155555555553</v>
      </c>
      <c r="CM207" s="16">
        <f>RecData[[#This Row],[Wind Speed avg]]</f>
        <v>0.87</v>
      </c>
      <c r="CN207" s="16">
        <f>RecData[[#This Row],[Wind Dir. avg]]</f>
        <v>138.19999999999999</v>
      </c>
      <c r="CO207" s="16">
        <f>RecData[[#This Row],[Amb. Humidity]]</f>
        <v>94.2</v>
      </c>
      <c r="CP207" s="16">
        <f>RecData[[#This Row],[Amb. Temperature]]</f>
        <v>3.2</v>
      </c>
      <c r="CQ207" s="17">
        <f>RecData[[#This Row],[Amb. Rain Gauge]]</f>
        <v>0</v>
      </c>
      <c r="CR207" s="4" t="s">
        <v>50</v>
      </c>
      <c r="CS207" s="4" t="s">
        <v>49</v>
      </c>
      <c r="CT207" s="70">
        <v>-10.760043140000001</v>
      </c>
      <c r="CU207" s="70">
        <v>156.0013123</v>
      </c>
      <c r="CV207" s="70">
        <v>1.6743350029999999</v>
      </c>
      <c r="CW207" s="70">
        <v>0</v>
      </c>
      <c r="CX207" s="4"/>
      <c r="CY207" s="69"/>
      <c r="CZ207" s="2" t="b">
        <f>IF($DP$1="YES",IF(RecData[[#This Row],[Power (kW)]]&gt;=$CR$3, TRUE,FALSE),TRUE)</f>
        <v>0</v>
      </c>
      <c r="DA207" s="16">
        <f>MIN(MOD(180-ABS(ABS($DA$1-RecData[Yaw Angle (°)])-180),360),MOD(180-ABS(ABS($DB$1-RecData[Yaw Angle (°)])-180),360))</f>
        <v>148.47138552231246</v>
      </c>
      <c r="DB207" s="2" t="str">
        <f>IF($DP$2="None","None",IF(RecData[[#This Row],[Relative Wind Direction]]&lt;=45,"DW",IF(RecData[[#This Row],[Relative Wind Direction]]&lt;=135,"CW","UW")))</f>
        <v>UW</v>
      </c>
      <c r="DC207" s="61">
        <f>IF($CL207-$CL203&gt;1/24,#REF!,IF(SUM($CQ203:$CQ207)&gt;$DS$1,$DS$5,DC208-1))</f>
        <v>-2</v>
      </c>
      <c r="DD207" s="61">
        <f>IF($CL208-$CL207&gt;1/24,#REF!,IF(SUM($CQ203:$CQ207)&gt;$DS$1,$DS$6,DD206-1))</f>
        <v>-9</v>
      </c>
      <c r="DE207" s="18" t="b">
        <v>0</v>
      </c>
      <c r="DF207" s="2" t="b">
        <f>IF(OR(RecData[[#This Row],[WSpd_Avg '[m/s']]]-RecData[[#This Row],[Wind Speed min]]&gt;=$DF$3,RecData[[#This Row],[Wind Speed max]]-RecData[[#This Row],[WSpd_Avg '[m/s']]]&gt;=$DF$2),TRUE,FALSE)</f>
        <v>0</v>
      </c>
      <c r="DG207" s="2" t="b">
        <f>RecData[[#This Row],[Temperature '[°C']]]&lt;=-20</f>
        <v>0</v>
      </c>
      <c r="DH207" s="18" t="b">
        <f>NOT(OR(MOD(RecData[[#This Row],[TIMESTAMP]],1)&gt;0.91632,MOD(RecData[[#This Row],[TIMESTAMP]],1)&lt;0.208681))</f>
        <v>0</v>
      </c>
      <c r="DI207" s="18" t="b">
        <f>RecData[[#This Row],[Overall (dBA)]]-RecData[[#This Row],[L90]]&gt;=$DS$4</f>
        <v>0</v>
      </c>
      <c r="DJ207" s="18" t="b">
        <f>RecData[[#This Row],[Overall (dBA)]]&gt;$DS$2</f>
        <v>0</v>
      </c>
      <c r="DK207" s="18" t="b">
        <f>RecData[[#This Row],[Overall (dBA)]]&lt;$DS$3</f>
        <v>0</v>
      </c>
      <c r="DL2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7" s="2">
        <f>IF(AND(RecData[[#This Row],[Turbines ON/OFF]] = "OFF", NOT(OR(RecData[[#This Row],[Junk?]]="YES",RecData[[#This Row],[Gust?]],RecData[[#This Row],[Rain?]:[Min SPL Threshold?]]))),1,0)</f>
        <v>1</v>
      </c>
      <c r="DN207" s="16">
        <f>RecData[[#This Row],[dBA Sum]]</f>
        <v>20.451177878346289</v>
      </c>
      <c r="DO207" s="16">
        <f>RecData[[#This Row],[LAF90.0]]</f>
        <v>22.4</v>
      </c>
      <c r="DP207" s="55" t="str">
        <f>IF(AND(RecData[[#This Row],[Useable TON Data?]],RecData[[#This Row],[Turbines ON/OFF]]="ON"),RecData[[#This Row],[dBA Sum]],"")</f>
        <v/>
      </c>
      <c r="DQ207" s="55">
        <f>IF(AND(RecData[[#This Row],[Useable Background Data?]],RecData[[#This Row],[Turbines ON/OFF]]="OFF"),RecData[[#This Row],[dBA Sum]],"")</f>
        <v>20.451177878346289</v>
      </c>
      <c r="DR207" s="3">
        <f>IF(OR(RecData[[#This Row],[Useable TON Data?]],RecData[[#This Row],[Useable Background Data?]]),ROUND(RecData[[#This Row],[WSpd_Avg '[m/s']]],0),"")</f>
        <v>1</v>
      </c>
      <c r="DS207" s="85">
        <f>(0.00002)^2*(10^(RecData[[#This Row],[Overall (dBA)]]/10))</f>
        <v>4.4379027303416528E-8</v>
      </c>
    </row>
    <row r="208" spans="1:123" ht="15" x14ac:dyDescent="0.25">
      <c r="A208" s="3" t="s">
        <v>249</v>
      </c>
      <c r="B208" s="12">
        <v>43257.15625</v>
      </c>
      <c r="C208" s="3"/>
      <c r="D208" s="3">
        <v>24.4</v>
      </c>
      <c r="E208" s="3"/>
      <c r="F208" s="3"/>
      <c r="G208" s="3"/>
      <c r="H208" s="3"/>
      <c r="I208" s="3"/>
      <c r="J208" s="3"/>
      <c r="K208" s="3">
        <v>22.7</v>
      </c>
      <c r="L208" s="3"/>
      <c r="M208" s="3"/>
      <c r="N208" s="3">
        <v>146.69999999999999</v>
      </c>
      <c r="O208" s="3"/>
      <c r="P208" s="3"/>
      <c r="Q208" s="3">
        <v>0.85</v>
      </c>
      <c r="R208" s="3">
        <v>0.7</v>
      </c>
      <c r="S208" s="3">
        <v>1.2</v>
      </c>
      <c r="T208" s="3">
        <v>3.2</v>
      </c>
      <c r="U208" s="3">
        <v>94.2</v>
      </c>
      <c r="V208" s="3">
        <v>970</v>
      </c>
      <c r="W208" s="3">
        <v>0</v>
      </c>
      <c r="X208" s="3">
        <v>19</v>
      </c>
      <c r="Y208" s="3">
        <v>15</v>
      </c>
      <c r="Z208" s="3">
        <v>19.8</v>
      </c>
      <c r="AA208" s="3">
        <v>8.6999999999999993</v>
      </c>
      <c r="AB208" s="3">
        <v>7.4</v>
      </c>
      <c r="AC208" s="3">
        <v>7.1</v>
      </c>
      <c r="AD208" s="3">
        <v>8.9</v>
      </c>
      <c r="AE208" s="3">
        <v>8.6</v>
      </c>
      <c r="AF208" s="3">
        <v>11.8</v>
      </c>
      <c r="AG208" s="3">
        <v>9.6</v>
      </c>
      <c r="AH208" s="3">
        <v>9.6999999999999993</v>
      </c>
      <c r="AI208" s="3">
        <v>10.9</v>
      </c>
      <c r="AJ208" s="3">
        <v>11.1</v>
      </c>
      <c r="AK208" s="3">
        <v>11.3</v>
      </c>
      <c r="AL208" s="3">
        <v>11.3</v>
      </c>
      <c r="AM208" s="3">
        <v>14</v>
      </c>
      <c r="AN208" s="3">
        <v>12.5</v>
      </c>
      <c r="AO208" s="3">
        <v>12</v>
      </c>
      <c r="AP208" s="3">
        <v>11.4</v>
      </c>
      <c r="AQ208" s="3">
        <v>11.1</v>
      </c>
      <c r="AR208" s="3">
        <v>10.8</v>
      </c>
      <c r="AS208" s="3">
        <v>16.5</v>
      </c>
      <c r="AT208" s="3">
        <v>16.100000000000001</v>
      </c>
      <c r="AU208" s="3">
        <v>9.8000000000000007</v>
      </c>
      <c r="AV208" s="3">
        <v>10.199999999999999</v>
      </c>
      <c r="AW208" s="3">
        <v>10.5</v>
      </c>
      <c r="AX208" s="3">
        <v>10</v>
      </c>
      <c r="AY208" s="3">
        <v>9.9</v>
      </c>
      <c r="AZ208" s="3">
        <v>0</v>
      </c>
      <c r="BA208" s="3">
        <v>0</v>
      </c>
      <c r="BB208" s="3">
        <v>0</v>
      </c>
      <c r="BC208" s="3">
        <v>24.36140124267849</v>
      </c>
      <c r="BD208" s="3">
        <v>19.038598757321509</v>
      </c>
      <c r="BE208" s="3">
        <v>15.038598757321509</v>
      </c>
      <c r="BF208" s="3">
        <v>18.598598757321511</v>
      </c>
      <c r="BG208" s="3">
        <v>7.8252654239881707</v>
      </c>
      <c r="BH208" s="3">
        <v>6.6652654239881777</v>
      </c>
      <c r="BI208" s="3">
        <v>6.778598757321511</v>
      </c>
      <c r="BJ208" s="3">
        <v>9.3719320906548447</v>
      </c>
      <c r="BK208" s="3">
        <v>8.9452654239881682</v>
      </c>
      <c r="BL208" s="3">
        <v>11.718598757321509</v>
      </c>
      <c r="BM208" s="3">
        <v>9.6519320906548458</v>
      </c>
      <c r="BN208" s="3">
        <v>10.035265423988172</v>
      </c>
      <c r="BO208" s="3">
        <v>10.601932090654849</v>
      </c>
      <c r="BP208" s="3">
        <v>10.518598757321506</v>
      </c>
      <c r="BQ208" s="3">
        <v>11.135265423988166</v>
      </c>
      <c r="BR208" s="3">
        <v>11.461932090654848</v>
      </c>
      <c r="BS208" s="3">
        <v>13.965265423988178</v>
      </c>
      <c r="BT208" s="3">
        <v>12.661932090654844</v>
      </c>
      <c r="BU208" s="3">
        <v>12.128598757321512</v>
      </c>
      <c r="BV208" s="3">
        <v>11.24526542398818</v>
      </c>
      <c r="BW208" s="3">
        <v>11.478598757321514</v>
      </c>
      <c r="BX208" s="3">
        <v>11.098598757321518</v>
      </c>
      <c r="BY208" s="3">
        <v>16.618598757321507</v>
      </c>
      <c r="BZ208" s="3">
        <v>16.348598757321518</v>
      </c>
      <c r="CA208" s="3">
        <v>10.148598757321501</v>
      </c>
      <c r="CB208" s="3">
        <v>9.9852654239881744</v>
      </c>
      <c r="CC208" s="3">
        <v>10.49859875732151</v>
      </c>
      <c r="CD208" s="3">
        <v>9.3052654239881818</v>
      </c>
      <c r="CE208" s="3">
        <v>9.3985987573215084</v>
      </c>
      <c r="CF208" s="3">
        <v>-0.88806790934515689</v>
      </c>
      <c r="CG208" s="3">
        <v>-1.4214012426784883</v>
      </c>
      <c r="CH208" s="3">
        <v>-2.4980679093451563</v>
      </c>
      <c r="CI208" s="13">
        <f>[1]!dbasum(RecData[[#This Row],[20]:[2000]],RecData[[#Headers],[20]:[2000]])</f>
        <v>20.57875166075279</v>
      </c>
      <c r="CJ208" s="14">
        <v>2890</v>
      </c>
      <c r="CK208" s="15" t="s">
        <v>249</v>
      </c>
      <c r="CL208" s="15">
        <f>RecData[[#This Row],[Start Time]]</f>
        <v>43257.15625</v>
      </c>
      <c r="CM208" s="16">
        <f>RecData[[#This Row],[Wind Speed avg]]</f>
        <v>0.85</v>
      </c>
      <c r="CN208" s="16">
        <f>RecData[[#This Row],[Wind Dir. avg]]</f>
        <v>146.69999999999999</v>
      </c>
      <c r="CO208" s="16">
        <f>RecData[[#This Row],[Amb. Humidity]]</f>
        <v>94.2</v>
      </c>
      <c r="CP208" s="16">
        <f>RecData[[#This Row],[Amb. Temperature]]</f>
        <v>3.2</v>
      </c>
      <c r="CQ208" s="17">
        <f>RecData[[#This Row],[Amb. Rain Gauge]]</f>
        <v>0</v>
      </c>
      <c r="CR208" s="4" t="s">
        <v>50</v>
      </c>
      <c r="CS208" s="4" t="s">
        <v>49</v>
      </c>
      <c r="CT208" s="70">
        <v>-10.760043140000001</v>
      </c>
      <c r="CU208" s="70">
        <v>156.0013123</v>
      </c>
      <c r="CV208" s="70">
        <v>1.6743350029999999</v>
      </c>
      <c r="CW208" s="70">
        <v>0</v>
      </c>
      <c r="CX208" s="4"/>
      <c r="CY208" s="69"/>
      <c r="CZ208" s="2" t="b">
        <f>IF($DP$1="YES",IF(RecData[[#This Row],[Power (kW)]]&gt;=$CR$3, TRUE,FALSE),TRUE)</f>
        <v>0</v>
      </c>
      <c r="DA208" s="16">
        <f>MIN(MOD(180-ABS(ABS($DA$1-RecData[Yaw Angle (°)])-180),360),MOD(180-ABS(ABS($DB$1-RecData[Yaw Angle (°)])-180),360))</f>
        <v>148.47138552231246</v>
      </c>
      <c r="DB208" s="2" t="str">
        <f>IF($DP$2="None","None",IF(RecData[[#This Row],[Relative Wind Direction]]&lt;=45,"DW",IF(RecData[[#This Row],[Relative Wind Direction]]&lt;=135,"CW","UW")))</f>
        <v>UW</v>
      </c>
      <c r="DC208" s="61">
        <v>-1</v>
      </c>
      <c r="DD208" s="61">
        <v>-1</v>
      </c>
      <c r="DE208" s="18" t="b">
        <v>0</v>
      </c>
      <c r="DF208" s="2" t="b">
        <f>IF(OR(RecData[[#This Row],[WSpd_Avg '[m/s']]]-RecData[[#This Row],[Wind Speed min]]&gt;=$DF$3,RecData[[#This Row],[Wind Speed max]]-RecData[[#This Row],[WSpd_Avg '[m/s']]]&gt;=$DF$2),TRUE,FALSE)</f>
        <v>0</v>
      </c>
      <c r="DG208" s="2" t="b">
        <f>RecData[[#This Row],[Temperature '[°C']]]&lt;=-20</f>
        <v>0</v>
      </c>
      <c r="DH208" s="18" t="b">
        <f>NOT(OR(MOD(RecData[[#This Row],[TIMESTAMP]],1)&gt;0.91632,MOD(RecData[[#This Row],[TIMESTAMP]],1)&lt;0.208681))</f>
        <v>0</v>
      </c>
      <c r="DI208" s="18" t="b">
        <f>RecData[[#This Row],[Overall (dBA)]]-RecData[[#This Row],[L90]]&gt;=$DS$4</f>
        <v>0</v>
      </c>
      <c r="DJ208" s="18" t="b">
        <f>RecData[[#This Row],[Overall (dBA)]]&gt;$DS$2</f>
        <v>0</v>
      </c>
      <c r="DK208" s="18" t="b">
        <f>RecData[[#This Row],[Overall (dBA)]]&lt;$DS$3</f>
        <v>0</v>
      </c>
      <c r="DL2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8" s="2">
        <f>IF(AND(RecData[[#This Row],[Turbines ON/OFF]] = "OFF", NOT(OR(RecData[[#This Row],[Junk?]]="YES",RecData[[#This Row],[Gust?]],RecData[[#This Row],[Rain?]:[Min SPL Threshold?]]))),1,0)</f>
        <v>1</v>
      </c>
      <c r="DN208" s="16">
        <f>RecData[[#This Row],[dBA Sum]]</f>
        <v>20.57875166075279</v>
      </c>
      <c r="DO208" s="16">
        <f>RecData[[#This Row],[LAF90.0]]</f>
        <v>22.7</v>
      </c>
      <c r="DP208" s="55" t="str">
        <f>IF(AND(RecData[[#This Row],[Useable TON Data?]],RecData[[#This Row],[Turbines ON/OFF]]="ON"),RecData[[#This Row],[dBA Sum]],"")</f>
        <v/>
      </c>
      <c r="DQ208" s="55">
        <f>IF(AND(RecData[[#This Row],[Useable Background Data?]],RecData[[#This Row],[Turbines ON/OFF]]="OFF"),RecData[[#This Row],[dBA Sum]],"")</f>
        <v>20.57875166075279</v>
      </c>
      <c r="DR208" s="3">
        <f>IF(OR(RecData[[#This Row],[Useable TON Data?]],RecData[[#This Row],[Useable Background Data?]]),ROUND(RecData[[#This Row],[WSpd_Avg '[m/s']]],0),"")</f>
        <v>1</v>
      </c>
      <c r="DS208" s="85">
        <f>(0.00002)^2*(10^(RecData[[#This Row],[Overall (dBA)]]/10))</f>
        <v>4.5701994888447438E-8</v>
      </c>
    </row>
    <row r="209" spans="1:123" ht="15" x14ac:dyDescent="0.25">
      <c r="A209" s="3" t="s">
        <v>249</v>
      </c>
      <c r="B209" s="12">
        <v>43257.156944444447</v>
      </c>
      <c r="C209" s="3"/>
      <c r="D209" s="3">
        <v>24.5</v>
      </c>
      <c r="E209" s="3"/>
      <c r="F209" s="3"/>
      <c r="G209" s="3"/>
      <c r="H209" s="3"/>
      <c r="I209" s="3"/>
      <c r="J209" s="3"/>
      <c r="K209" s="3">
        <v>22.5</v>
      </c>
      <c r="L209" s="3"/>
      <c r="M209" s="3"/>
      <c r="N209" s="3">
        <v>139.69999999999999</v>
      </c>
      <c r="O209" s="3"/>
      <c r="P209" s="3"/>
      <c r="Q209" s="3">
        <v>0.88</v>
      </c>
      <c r="R209" s="3">
        <v>0.8</v>
      </c>
      <c r="S209" s="3">
        <v>1</v>
      </c>
      <c r="T209" s="3">
        <v>3.2</v>
      </c>
      <c r="U209" s="3">
        <v>94.2</v>
      </c>
      <c r="V209" s="3">
        <v>970</v>
      </c>
      <c r="W209" s="3">
        <v>0</v>
      </c>
      <c r="X209" s="3">
        <v>18.899999999999999</v>
      </c>
      <c r="Y209" s="3">
        <v>13.9</v>
      </c>
      <c r="Z209" s="3">
        <v>17.5</v>
      </c>
      <c r="AA209" s="3">
        <v>8.5</v>
      </c>
      <c r="AB209" s="3">
        <v>7.4</v>
      </c>
      <c r="AC209" s="3">
        <v>7.8</v>
      </c>
      <c r="AD209" s="3">
        <v>10</v>
      </c>
      <c r="AE209" s="3">
        <v>9.4</v>
      </c>
      <c r="AF209" s="3">
        <v>14</v>
      </c>
      <c r="AG209" s="3">
        <v>12.4</v>
      </c>
      <c r="AH209" s="3">
        <v>10.1</v>
      </c>
      <c r="AI209" s="3">
        <v>10.9</v>
      </c>
      <c r="AJ209" s="3">
        <v>11.2</v>
      </c>
      <c r="AK209" s="3">
        <v>12.5</v>
      </c>
      <c r="AL209" s="3">
        <v>11.8</v>
      </c>
      <c r="AM209" s="3">
        <v>14.1</v>
      </c>
      <c r="AN209" s="3">
        <v>13.3</v>
      </c>
      <c r="AO209" s="3">
        <v>12.5</v>
      </c>
      <c r="AP209" s="3">
        <v>12.1</v>
      </c>
      <c r="AQ209" s="3">
        <v>11.6</v>
      </c>
      <c r="AR209" s="3">
        <v>10.5</v>
      </c>
      <c r="AS209" s="3">
        <v>16.2</v>
      </c>
      <c r="AT209" s="3">
        <v>15.9</v>
      </c>
      <c r="AU209" s="3">
        <v>9.8000000000000007</v>
      </c>
      <c r="AV209" s="3">
        <v>10.3</v>
      </c>
      <c r="AW209" s="3">
        <v>10.4</v>
      </c>
      <c r="AX209" s="3">
        <v>9.8000000000000007</v>
      </c>
      <c r="AY209" s="3">
        <v>9.9</v>
      </c>
      <c r="AZ209" s="3">
        <v>0</v>
      </c>
      <c r="BA209" s="3">
        <v>0</v>
      </c>
      <c r="BB209" s="3">
        <v>0</v>
      </c>
      <c r="BC209" s="3">
        <v>24.444170015433912</v>
      </c>
      <c r="BD209" s="3">
        <v>18.955829984566087</v>
      </c>
      <c r="BE209" s="3">
        <v>13.955829984566087</v>
      </c>
      <c r="BF209" s="3">
        <v>16.315829984566093</v>
      </c>
      <c r="BG209" s="3">
        <v>7.6424966512327543</v>
      </c>
      <c r="BH209" s="3">
        <v>6.682496651232757</v>
      </c>
      <c r="BI209" s="3">
        <v>7.4958299845660896</v>
      </c>
      <c r="BJ209" s="3">
        <v>10.489163317899418</v>
      </c>
      <c r="BK209" s="3">
        <v>9.7624966512327518</v>
      </c>
      <c r="BL209" s="3">
        <v>13.935829984566091</v>
      </c>
      <c r="BM209" s="3">
        <v>12.469163317899422</v>
      </c>
      <c r="BN209" s="3">
        <v>10.452496651232757</v>
      </c>
      <c r="BO209" s="3">
        <v>10.619163317899421</v>
      </c>
      <c r="BP209" s="3">
        <v>10.635829984566087</v>
      </c>
      <c r="BQ209" s="3">
        <v>12.352496651232748</v>
      </c>
      <c r="BR209" s="3">
        <v>11.97916331789942</v>
      </c>
      <c r="BS209" s="3">
        <v>14.082496651232759</v>
      </c>
      <c r="BT209" s="3">
        <v>13.47916331789942</v>
      </c>
      <c r="BU209" s="3">
        <v>12.645829984566092</v>
      </c>
      <c r="BV209" s="3">
        <v>11.962496651232755</v>
      </c>
      <c r="BW209" s="3">
        <v>11.995829984566093</v>
      </c>
      <c r="BX209" s="3">
        <v>10.815829984566093</v>
      </c>
      <c r="BY209" s="3">
        <v>16.335829984566089</v>
      </c>
      <c r="BZ209" s="3">
        <v>16.165829984566088</v>
      </c>
      <c r="CA209" s="3">
        <v>10.165829984566081</v>
      </c>
      <c r="CB209" s="3">
        <v>10.102496651232755</v>
      </c>
      <c r="CC209" s="3">
        <v>10.415829984566088</v>
      </c>
      <c r="CD209" s="3">
        <v>9.1224966512327583</v>
      </c>
      <c r="CE209" s="3">
        <v>9.4158299845660878</v>
      </c>
      <c r="CF209" s="3">
        <v>-0.87083668210057752</v>
      </c>
      <c r="CG209" s="3">
        <v>-1.404170015433909</v>
      </c>
      <c r="CH209" s="3">
        <v>-2.480836682100577</v>
      </c>
      <c r="CI209" s="13">
        <f>[1]!dbasum(RecData[[#This Row],[20]:[2000]],RecData[[#Headers],[20]:[2000]])</f>
        <v>21.034249012815998</v>
      </c>
      <c r="CJ209" s="14">
        <v>2891</v>
      </c>
      <c r="CK209" s="15" t="s">
        <v>249</v>
      </c>
      <c r="CL209" s="15">
        <f>RecData[[#This Row],[Start Time]]</f>
        <v>43257.156944444447</v>
      </c>
      <c r="CM209" s="16">
        <f>RecData[[#This Row],[Wind Speed avg]]</f>
        <v>0.88</v>
      </c>
      <c r="CN209" s="16">
        <f>RecData[[#This Row],[Wind Dir. avg]]</f>
        <v>139.69999999999999</v>
      </c>
      <c r="CO209" s="16">
        <f>RecData[[#This Row],[Amb. Humidity]]</f>
        <v>94.2</v>
      </c>
      <c r="CP209" s="16">
        <f>RecData[[#This Row],[Amb. Temperature]]</f>
        <v>3.2</v>
      </c>
      <c r="CQ209" s="17">
        <f>RecData[[#This Row],[Amb. Rain Gauge]]</f>
        <v>0</v>
      </c>
      <c r="CR209" s="4" t="s">
        <v>50</v>
      </c>
      <c r="CS209" s="4" t="s">
        <v>49</v>
      </c>
      <c r="CT209" s="70">
        <v>-10.760043140000001</v>
      </c>
      <c r="CU209" s="70">
        <v>156.0013123</v>
      </c>
      <c r="CV209" s="70">
        <v>1.6743350029999999</v>
      </c>
      <c r="CW209" s="70">
        <v>0</v>
      </c>
      <c r="CX209" s="4"/>
      <c r="CY209" s="69"/>
      <c r="CZ209" s="2" t="b">
        <f>IF($DP$1="YES",IF(RecData[[#This Row],[Power (kW)]]&gt;=$CR$3, TRUE,FALSE),TRUE)</f>
        <v>0</v>
      </c>
      <c r="DA209" s="16">
        <f>MIN(MOD(180-ABS(ABS($DA$1-RecData[Yaw Angle (°)])-180),360),MOD(180-ABS(ABS($DB$1-RecData[Yaw Angle (°)])-180),360))</f>
        <v>148.47138552231246</v>
      </c>
      <c r="DB209" s="2" t="str">
        <f>IF($DP$2="None","None",IF(RecData[[#This Row],[Relative Wind Direction]]&lt;=45,"DW",IF(RecData[[#This Row],[Relative Wind Direction]]&lt;=135,"CW","UW")))</f>
        <v>UW</v>
      </c>
      <c r="DC209" s="61">
        <f>IF($CL209-$CL208&gt;1/24,#REF!,IF(SUM($CQ208:$CQ209)&gt;$DS$1,$DS$5,DC210-1))</f>
        <v>-9</v>
      </c>
      <c r="DD209" s="61">
        <f>IF($CL210-$CL209&gt;1/24,#REF!,IF(SUM($CQ208:$CQ209)&gt;$DS$1,$DS$6,DD208-1))</f>
        <v>-2</v>
      </c>
      <c r="DE209" s="18" t="b">
        <v>0</v>
      </c>
      <c r="DF209" s="2" t="b">
        <f>IF(OR(RecData[[#This Row],[WSpd_Avg '[m/s']]]-RecData[[#This Row],[Wind Speed min]]&gt;=$DF$3,RecData[[#This Row],[Wind Speed max]]-RecData[[#This Row],[WSpd_Avg '[m/s']]]&gt;=$DF$2),TRUE,FALSE)</f>
        <v>0</v>
      </c>
      <c r="DG209" s="2" t="b">
        <f>RecData[[#This Row],[Temperature '[°C']]]&lt;=-20</f>
        <v>0</v>
      </c>
      <c r="DH209" s="18" t="b">
        <f>NOT(OR(MOD(RecData[[#This Row],[TIMESTAMP]],1)&gt;0.91632,MOD(RecData[[#This Row],[TIMESTAMP]],1)&lt;0.208681))</f>
        <v>0</v>
      </c>
      <c r="DI209" s="18" t="b">
        <f>RecData[[#This Row],[Overall (dBA)]]-RecData[[#This Row],[L90]]&gt;=$DS$4</f>
        <v>0</v>
      </c>
      <c r="DJ209" s="18" t="b">
        <f>RecData[[#This Row],[Overall (dBA)]]&gt;$DS$2</f>
        <v>0</v>
      </c>
      <c r="DK209" s="18" t="b">
        <f>RecData[[#This Row],[Overall (dBA)]]&lt;$DS$3</f>
        <v>0</v>
      </c>
      <c r="DL2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09" s="2">
        <f>IF(AND(RecData[[#This Row],[Turbines ON/OFF]] = "OFF", NOT(OR(RecData[[#This Row],[Junk?]]="YES",RecData[[#This Row],[Gust?]],RecData[[#This Row],[Rain?]:[Min SPL Threshold?]]))),1,0)</f>
        <v>1</v>
      </c>
      <c r="DN209" s="16">
        <f>RecData[[#This Row],[dBA Sum]]</f>
        <v>21.034249012815998</v>
      </c>
      <c r="DO209" s="16">
        <f>RecData[[#This Row],[LAF90.0]]</f>
        <v>22.5</v>
      </c>
      <c r="DP209" s="55" t="str">
        <f>IF(AND(RecData[[#This Row],[Useable TON Data?]],RecData[[#This Row],[Turbines ON/OFF]]="ON"),RecData[[#This Row],[dBA Sum]],"")</f>
        <v/>
      </c>
      <c r="DQ209" s="55">
        <f>IF(AND(RecData[[#This Row],[Useable Background Data?]],RecData[[#This Row],[Turbines ON/OFF]]="OFF"),RecData[[#This Row],[dBA Sum]],"")</f>
        <v>21.034249012815998</v>
      </c>
      <c r="DR209" s="3">
        <f>IF(OR(RecData[[#This Row],[Useable TON Data?]],RecData[[#This Row],[Useable Background Data?]]),ROUND(RecData[[#This Row],[WSpd_Avg '[m/s']]],0),"")</f>
        <v>1</v>
      </c>
      <c r="DS209" s="85">
        <f>(0.00002)^2*(10^(RecData[[#This Row],[Overall (dBA)]]/10))</f>
        <v>5.075570828147247E-8</v>
      </c>
    </row>
    <row r="210" spans="1:123" ht="15" x14ac:dyDescent="0.25">
      <c r="A210" s="3" t="s">
        <v>249</v>
      </c>
      <c r="B210" s="12">
        <v>43257.157638888886</v>
      </c>
      <c r="C210" s="3"/>
      <c r="D210" s="3">
        <v>25.9</v>
      </c>
      <c r="E210" s="3"/>
      <c r="F210" s="3"/>
      <c r="G210" s="3"/>
      <c r="H210" s="3"/>
      <c r="I210" s="3"/>
      <c r="J210" s="3"/>
      <c r="K210" s="3">
        <v>22.4</v>
      </c>
      <c r="L210" s="3"/>
      <c r="M210" s="3"/>
      <c r="N210" s="3">
        <v>136.1</v>
      </c>
      <c r="O210" s="3"/>
      <c r="P210" s="3"/>
      <c r="Q210" s="3">
        <v>0.78</v>
      </c>
      <c r="R210" s="3">
        <v>0.7</v>
      </c>
      <c r="S210" s="3">
        <v>0.9</v>
      </c>
      <c r="T210" s="3">
        <v>3.2</v>
      </c>
      <c r="U210" s="3">
        <v>94.2</v>
      </c>
      <c r="V210" s="3">
        <v>970</v>
      </c>
      <c r="W210" s="3">
        <v>0</v>
      </c>
      <c r="X210" s="3">
        <v>18.899999999999999</v>
      </c>
      <c r="Y210" s="3">
        <v>14.5</v>
      </c>
      <c r="Z210" s="3">
        <v>17.8</v>
      </c>
      <c r="AA210" s="3">
        <v>9.3000000000000007</v>
      </c>
      <c r="AB210" s="3">
        <v>7.5</v>
      </c>
      <c r="AC210" s="3">
        <v>7.1</v>
      </c>
      <c r="AD210" s="3">
        <v>8.9</v>
      </c>
      <c r="AE210" s="3">
        <v>8.9</v>
      </c>
      <c r="AF210" s="3">
        <v>14.2</v>
      </c>
      <c r="AG210" s="3">
        <v>12.4</v>
      </c>
      <c r="AH210" s="3">
        <v>9.9</v>
      </c>
      <c r="AI210" s="3">
        <v>11</v>
      </c>
      <c r="AJ210" s="3">
        <v>11.5</v>
      </c>
      <c r="AK210" s="3">
        <v>12.3</v>
      </c>
      <c r="AL210" s="3">
        <v>11.6</v>
      </c>
      <c r="AM210" s="3">
        <v>13.5</v>
      </c>
      <c r="AN210" s="3">
        <v>13.1</v>
      </c>
      <c r="AO210" s="3">
        <v>12.7</v>
      </c>
      <c r="AP210" s="3">
        <v>12.1</v>
      </c>
      <c r="AQ210" s="3">
        <v>11.5</v>
      </c>
      <c r="AR210" s="3">
        <v>10.6</v>
      </c>
      <c r="AS210" s="3">
        <v>20</v>
      </c>
      <c r="AT210" s="3">
        <v>17.899999999999999</v>
      </c>
      <c r="AU210" s="3">
        <v>9.8000000000000007</v>
      </c>
      <c r="AV210" s="3">
        <v>10.1</v>
      </c>
      <c r="AW210" s="3">
        <v>10.6</v>
      </c>
      <c r="AX210" s="3">
        <v>10</v>
      </c>
      <c r="AY210" s="3">
        <v>9.9</v>
      </c>
      <c r="AZ210" s="3">
        <v>0</v>
      </c>
      <c r="BA210" s="3">
        <v>0</v>
      </c>
      <c r="BB210" s="3">
        <v>0</v>
      </c>
      <c r="BC210" s="3">
        <v>25.843728462373676</v>
      </c>
      <c r="BD210" s="3">
        <v>18.956271537626321</v>
      </c>
      <c r="BE210" s="3">
        <v>14.556271537626323</v>
      </c>
      <c r="BF210" s="3">
        <v>16.616271537626325</v>
      </c>
      <c r="BG210" s="3">
        <v>8.4429382042929859</v>
      </c>
      <c r="BH210" s="3">
        <v>6.7829382042929893</v>
      </c>
      <c r="BI210" s="3">
        <v>6.7962715376263247</v>
      </c>
      <c r="BJ210" s="3">
        <v>9.3896048709596585</v>
      </c>
      <c r="BK210" s="3">
        <v>9.2629382042929862</v>
      </c>
      <c r="BL210" s="3">
        <v>14.136271537626321</v>
      </c>
      <c r="BM210" s="3">
        <v>12.469604870959657</v>
      </c>
      <c r="BN210" s="3">
        <v>10.252938204292988</v>
      </c>
      <c r="BO210" s="3">
        <v>10.719604870959657</v>
      </c>
      <c r="BP210" s="3">
        <v>10.936271537626325</v>
      </c>
      <c r="BQ210" s="3">
        <v>12.15293820429298</v>
      </c>
      <c r="BR210" s="3">
        <v>11.779604870959659</v>
      </c>
      <c r="BS210" s="3">
        <v>13.482938204292992</v>
      </c>
      <c r="BT210" s="3">
        <v>13.279604870959659</v>
      </c>
      <c r="BU210" s="3">
        <v>12.846271537626322</v>
      </c>
      <c r="BV210" s="3">
        <v>11.962938204292989</v>
      </c>
      <c r="BW210" s="3">
        <v>11.896271537626326</v>
      </c>
      <c r="BX210" s="3">
        <v>10.916271537626329</v>
      </c>
      <c r="BY210" s="3">
        <v>20.136271537626321</v>
      </c>
      <c r="BZ210" s="3">
        <v>18.166271537626329</v>
      </c>
      <c r="CA210" s="3">
        <v>10.166271537626315</v>
      </c>
      <c r="CB210" s="3">
        <v>9.9029382042929868</v>
      </c>
      <c r="CC210" s="3">
        <v>10.616271537626318</v>
      </c>
      <c r="CD210" s="3">
        <v>9.3229382042929956</v>
      </c>
      <c r="CE210" s="3">
        <v>9.4162715376263222</v>
      </c>
      <c r="CF210" s="3">
        <v>-0.87039512904034311</v>
      </c>
      <c r="CG210" s="3">
        <v>-1.4037284623736745</v>
      </c>
      <c r="CH210" s="3">
        <v>-2.4803951290403425</v>
      </c>
      <c r="CI210" s="13">
        <f>[1]!dbasum(RecData[[#This Row],[20]:[2000]],RecData[[#Headers],[20]:[2000]])</f>
        <v>20.944922326627861</v>
      </c>
      <c r="CJ210" s="14">
        <v>2892</v>
      </c>
      <c r="CK210" s="15" t="s">
        <v>249</v>
      </c>
      <c r="CL210" s="15">
        <f>RecData[[#This Row],[Start Time]]</f>
        <v>43257.157638888886</v>
      </c>
      <c r="CM210" s="16">
        <f>RecData[[#This Row],[Wind Speed avg]]</f>
        <v>0.78</v>
      </c>
      <c r="CN210" s="16">
        <f>RecData[[#This Row],[Wind Dir. avg]]</f>
        <v>136.1</v>
      </c>
      <c r="CO210" s="16">
        <f>RecData[[#This Row],[Amb. Humidity]]</f>
        <v>94.2</v>
      </c>
      <c r="CP210" s="16">
        <f>RecData[[#This Row],[Amb. Temperature]]</f>
        <v>3.2</v>
      </c>
      <c r="CQ210" s="17">
        <f>RecData[[#This Row],[Amb. Rain Gauge]]</f>
        <v>0</v>
      </c>
      <c r="CR210" s="4" t="s">
        <v>50</v>
      </c>
      <c r="CS210" s="4" t="s">
        <v>49</v>
      </c>
      <c r="CT210" s="70">
        <v>-10.760043140000001</v>
      </c>
      <c r="CU210" s="70">
        <v>156.0013123</v>
      </c>
      <c r="CV210" s="70">
        <v>1.6743350029999999</v>
      </c>
      <c r="CW210" s="70">
        <v>0</v>
      </c>
      <c r="CX210" s="4"/>
      <c r="CY210" s="69"/>
      <c r="CZ210" s="2" t="b">
        <f>IF($DP$1="YES",IF(RecData[[#This Row],[Power (kW)]]&gt;=$CR$3, TRUE,FALSE),TRUE)</f>
        <v>0</v>
      </c>
      <c r="DA210" s="16">
        <f>MIN(MOD(180-ABS(ABS($DA$1-RecData[Yaw Angle (°)])-180),360),MOD(180-ABS(ABS($DB$1-RecData[Yaw Angle (°)])-180),360))</f>
        <v>148.47138552231246</v>
      </c>
      <c r="DB210" s="2" t="str">
        <f>IF($DP$2="None","None",IF(RecData[[#This Row],[Relative Wind Direction]]&lt;=45,"DW",IF(RecData[[#This Row],[Relative Wind Direction]]&lt;=135,"CW","UW")))</f>
        <v>UW</v>
      </c>
      <c r="DC210" s="61">
        <f>IF($CL210-$CL208&gt;1/24,#REF!,IF(SUM($CQ208:$CQ210)&gt;$DS$1,$DS$5,DC211-1))</f>
        <v>-8</v>
      </c>
      <c r="DD210" s="61">
        <f>IF($CL211-$CL210&gt;1/24,#REF!,IF(SUM($CQ208:$CQ210)&gt;$DS$1,$DS$6,DD209-1))</f>
        <v>-3</v>
      </c>
      <c r="DE210" s="18" t="b">
        <v>0</v>
      </c>
      <c r="DF210" s="2" t="b">
        <f>IF(OR(RecData[[#This Row],[WSpd_Avg '[m/s']]]-RecData[[#This Row],[Wind Speed min]]&gt;=$DF$3,RecData[[#This Row],[Wind Speed max]]-RecData[[#This Row],[WSpd_Avg '[m/s']]]&gt;=$DF$2),TRUE,FALSE)</f>
        <v>0</v>
      </c>
      <c r="DG210" s="2" t="b">
        <f>RecData[[#This Row],[Temperature '[°C']]]&lt;=-20</f>
        <v>0</v>
      </c>
      <c r="DH210" s="18" t="b">
        <f>NOT(OR(MOD(RecData[[#This Row],[TIMESTAMP]],1)&gt;0.91632,MOD(RecData[[#This Row],[TIMESTAMP]],1)&lt;0.208681))</f>
        <v>0</v>
      </c>
      <c r="DI210" s="18" t="b">
        <f>RecData[[#This Row],[Overall (dBA)]]-RecData[[#This Row],[L90]]&gt;=$DS$4</f>
        <v>0</v>
      </c>
      <c r="DJ210" s="18" t="b">
        <f>RecData[[#This Row],[Overall (dBA)]]&gt;$DS$2</f>
        <v>0</v>
      </c>
      <c r="DK210" s="18" t="b">
        <f>RecData[[#This Row],[Overall (dBA)]]&lt;$DS$3</f>
        <v>0</v>
      </c>
      <c r="DL2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0" s="2">
        <f>IF(AND(RecData[[#This Row],[Turbines ON/OFF]] = "OFF", NOT(OR(RecData[[#This Row],[Junk?]]="YES",RecData[[#This Row],[Gust?]],RecData[[#This Row],[Rain?]:[Min SPL Threshold?]]))),1,0)</f>
        <v>1</v>
      </c>
      <c r="DN210" s="16">
        <f>RecData[[#This Row],[dBA Sum]]</f>
        <v>20.944922326627861</v>
      </c>
      <c r="DO210" s="16">
        <f>RecData[[#This Row],[LAF90.0]]</f>
        <v>22.4</v>
      </c>
      <c r="DP210" s="55" t="str">
        <f>IF(AND(RecData[[#This Row],[Useable TON Data?]],RecData[[#This Row],[Turbines ON/OFF]]="ON"),RecData[[#This Row],[dBA Sum]],"")</f>
        <v/>
      </c>
      <c r="DQ210" s="55">
        <f>IF(AND(RecData[[#This Row],[Useable Background Data?]],RecData[[#This Row],[Turbines ON/OFF]]="OFF"),RecData[[#This Row],[dBA Sum]],"")</f>
        <v>20.944922326627861</v>
      </c>
      <c r="DR210" s="3">
        <f>IF(OR(RecData[[#This Row],[Useable TON Data?]],RecData[[#This Row],[Useable Background Data?]]),ROUND(RecData[[#This Row],[WSpd_Avg '[m/s']]],0),"")</f>
        <v>1</v>
      </c>
      <c r="DS210" s="85">
        <f>(0.00002)^2*(10^(RecData[[#This Row],[Overall (dBA)]]/10))</f>
        <v>4.9722416142663192E-8</v>
      </c>
    </row>
    <row r="211" spans="1:123" ht="15" x14ac:dyDescent="0.25">
      <c r="A211" s="3" t="s">
        <v>249</v>
      </c>
      <c r="B211" s="12">
        <v>43257.158333333333</v>
      </c>
      <c r="C211" s="3"/>
      <c r="D211" s="3">
        <v>26</v>
      </c>
      <c r="E211" s="3"/>
      <c r="F211" s="3"/>
      <c r="G211" s="3"/>
      <c r="H211" s="3"/>
      <c r="I211" s="3"/>
      <c r="J211" s="3"/>
      <c r="K211" s="3">
        <v>22.3</v>
      </c>
      <c r="L211" s="3"/>
      <c r="M211" s="3"/>
      <c r="N211" s="3">
        <v>134.5</v>
      </c>
      <c r="O211" s="3"/>
      <c r="P211" s="3"/>
      <c r="Q211" s="3">
        <v>0.7</v>
      </c>
      <c r="R211" s="3">
        <v>0.6</v>
      </c>
      <c r="S211" s="3">
        <v>0.9</v>
      </c>
      <c r="T211" s="3">
        <v>3.1</v>
      </c>
      <c r="U211" s="3">
        <v>94.1</v>
      </c>
      <c r="V211" s="3">
        <v>970</v>
      </c>
      <c r="W211" s="3">
        <v>0</v>
      </c>
      <c r="X211" s="3">
        <v>19</v>
      </c>
      <c r="Y211" s="3">
        <v>15</v>
      </c>
      <c r="Z211" s="3">
        <v>18.600000000000001</v>
      </c>
      <c r="AA211" s="3">
        <v>8.9</v>
      </c>
      <c r="AB211" s="3">
        <v>8.3000000000000007</v>
      </c>
      <c r="AC211" s="3">
        <v>8</v>
      </c>
      <c r="AD211" s="3">
        <v>8.6</v>
      </c>
      <c r="AE211" s="3">
        <v>8.8000000000000007</v>
      </c>
      <c r="AF211" s="3">
        <v>14.5</v>
      </c>
      <c r="AG211" s="3">
        <v>11.3</v>
      </c>
      <c r="AH211" s="3">
        <v>9.5</v>
      </c>
      <c r="AI211" s="3">
        <v>10.8</v>
      </c>
      <c r="AJ211" s="3">
        <v>10.9</v>
      </c>
      <c r="AK211" s="3">
        <v>11.1</v>
      </c>
      <c r="AL211" s="3">
        <v>10.9</v>
      </c>
      <c r="AM211" s="3">
        <v>11.6</v>
      </c>
      <c r="AN211" s="3">
        <v>12.8</v>
      </c>
      <c r="AO211" s="3">
        <v>12.4</v>
      </c>
      <c r="AP211" s="3">
        <v>11.9</v>
      </c>
      <c r="AQ211" s="3">
        <v>11.9</v>
      </c>
      <c r="AR211" s="3">
        <v>11.5</v>
      </c>
      <c r="AS211" s="3">
        <v>20.3</v>
      </c>
      <c r="AT211" s="3">
        <v>17.5</v>
      </c>
      <c r="AU211" s="3">
        <v>10.8</v>
      </c>
      <c r="AV211" s="3">
        <v>11.1</v>
      </c>
      <c r="AW211" s="3">
        <v>11.5</v>
      </c>
      <c r="AX211" s="3">
        <v>10.3</v>
      </c>
      <c r="AY211" s="3">
        <v>10.1</v>
      </c>
      <c r="AZ211" s="3">
        <v>0</v>
      </c>
      <c r="BA211" s="3">
        <v>0</v>
      </c>
      <c r="BB211" s="3">
        <v>0</v>
      </c>
      <c r="BC211" s="3">
        <v>25.907906500968785</v>
      </c>
      <c r="BD211" s="3">
        <v>19.092093499031215</v>
      </c>
      <c r="BE211" s="3">
        <v>15.092093499031215</v>
      </c>
      <c r="BF211" s="3">
        <v>17.452093499031214</v>
      </c>
      <c r="BG211" s="3">
        <v>8.0787601656978794</v>
      </c>
      <c r="BH211" s="3">
        <v>7.6187601656978856</v>
      </c>
      <c r="BI211" s="3">
        <v>7.7320934990312153</v>
      </c>
      <c r="BJ211" s="3">
        <v>9.1254268323645462</v>
      </c>
      <c r="BK211" s="3">
        <v>9.1987601656978768</v>
      </c>
      <c r="BL211" s="3">
        <v>14.472093499031217</v>
      </c>
      <c r="BM211" s="3">
        <v>11.405426832364547</v>
      </c>
      <c r="BN211" s="3">
        <v>9.8887601656978816</v>
      </c>
      <c r="BO211" s="3">
        <v>10.555426832364553</v>
      </c>
      <c r="BP211" s="3">
        <v>10.372093499031216</v>
      </c>
      <c r="BQ211" s="3">
        <v>10.988760165697876</v>
      </c>
      <c r="BR211" s="3">
        <v>11.115426832364548</v>
      </c>
      <c r="BS211" s="3">
        <v>11.618760165697886</v>
      </c>
      <c r="BT211" s="3">
        <v>13.015426832364547</v>
      </c>
      <c r="BU211" s="3">
        <v>12.582093499031217</v>
      </c>
      <c r="BV211" s="3">
        <v>11.798760165697878</v>
      </c>
      <c r="BW211" s="3">
        <v>12.332093499031217</v>
      </c>
      <c r="BX211" s="3">
        <v>11.85209349903122</v>
      </c>
      <c r="BY211" s="3">
        <v>20.47209349903121</v>
      </c>
      <c r="BZ211" s="3">
        <v>17.802093499031223</v>
      </c>
      <c r="CA211" s="3">
        <v>11.202093499031207</v>
      </c>
      <c r="CB211" s="3">
        <v>10.938760165697879</v>
      </c>
      <c r="CC211" s="3">
        <v>11.552093499031216</v>
      </c>
      <c r="CD211" s="3">
        <v>9.6587601656978848</v>
      </c>
      <c r="CE211" s="3">
        <v>9.652093499031217</v>
      </c>
      <c r="CF211" s="3">
        <v>-0.83457316763545109</v>
      </c>
      <c r="CG211" s="3">
        <v>-1.3679065009687825</v>
      </c>
      <c r="CH211" s="3">
        <v>-2.4445731676354505</v>
      </c>
      <c r="CI211" s="13">
        <f>[1]!dbasum(RecData[[#This Row],[20]:[2000]],RecData[[#Headers],[20]:[2000]])</f>
        <v>20.774821999522906</v>
      </c>
      <c r="CJ211" s="14">
        <v>2893</v>
      </c>
      <c r="CK211" s="15" t="s">
        <v>249</v>
      </c>
      <c r="CL211" s="15">
        <f>RecData[[#This Row],[Start Time]]</f>
        <v>43257.158333333333</v>
      </c>
      <c r="CM211" s="16">
        <f>RecData[[#This Row],[Wind Speed avg]]</f>
        <v>0.7</v>
      </c>
      <c r="CN211" s="16">
        <f>RecData[[#This Row],[Wind Dir. avg]]</f>
        <v>134.5</v>
      </c>
      <c r="CO211" s="16">
        <f>RecData[[#This Row],[Amb. Humidity]]</f>
        <v>94.1</v>
      </c>
      <c r="CP211" s="16">
        <f>RecData[[#This Row],[Amb. Temperature]]</f>
        <v>3.1</v>
      </c>
      <c r="CQ211" s="17">
        <f>RecData[[#This Row],[Amb. Rain Gauge]]</f>
        <v>0</v>
      </c>
      <c r="CR211" s="4" t="s">
        <v>50</v>
      </c>
      <c r="CS211" s="4" t="s">
        <v>49</v>
      </c>
      <c r="CT211" s="70">
        <v>-10.760043140000001</v>
      </c>
      <c r="CU211" s="70">
        <v>156.0013123</v>
      </c>
      <c r="CV211" s="70">
        <v>1.6743350029999999</v>
      </c>
      <c r="CW211" s="70">
        <v>0</v>
      </c>
      <c r="CX211" s="4"/>
      <c r="CY211" s="69"/>
      <c r="CZ211" s="2" t="b">
        <f>IF($DP$1="YES",IF(RecData[[#This Row],[Power (kW)]]&gt;=$CR$3, TRUE,FALSE),TRUE)</f>
        <v>0</v>
      </c>
      <c r="DA211" s="16">
        <f>MIN(MOD(180-ABS(ABS($DA$1-RecData[Yaw Angle (°)])-180),360),MOD(180-ABS(ABS($DB$1-RecData[Yaw Angle (°)])-180),360))</f>
        <v>148.47138552231246</v>
      </c>
      <c r="DB211" s="2" t="str">
        <f>IF($DP$2="None","None",IF(RecData[[#This Row],[Relative Wind Direction]]&lt;=45,"DW",IF(RecData[[#This Row],[Relative Wind Direction]]&lt;=135,"CW","UW")))</f>
        <v>UW</v>
      </c>
      <c r="DC211" s="61">
        <f>IF($CL211-$CL208&gt;1/24,#REF!,IF(SUM($CQ208:$CQ211)&gt;$DS$1,$DS$5,DC212-1))</f>
        <v>-7</v>
      </c>
      <c r="DD211" s="61">
        <f>IF($CL212-$CL211&gt;1/24,#REF!,IF(SUM($CQ208:$CQ211)&gt;$DS$1,$DS$6,DD210-1))</f>
        <v>-4</v>
      </c>
      <c r="DE211" s="18" t="b">
        <v>0</v>
      </c>
      <c r="DF211" s="2" t="b">
        <f>IF(OR(RecData[[#This Row],[WSpd_Avg '[m/s']]]-RecData[[#This Row],[Wind Speed min]]&gt;=$DF$3,RecData[[#This Row],[Wind Speed max]]-RecData[[#This Row],[WSpd_Avg '[m/s']]]&gt;=$DF$2),TRUE,FALSE)</f>
        <v>0</v>
      </c>
      <c r="DG211" s="2" t="b">
        <f>RecData[[#This Row],[Temperature '[°C']]]&lt;=-20</f>
        <v>0</v>
      </c>
      <c r="DH211" s="18" t="b">
        <f>NOT(OR(MOD(RecData[[#This Row],[TIMESTAMP]],1)&gt;0.91632,MOD(RecData[[#This Row],[TIMESTAMP]],1)&lt;0.208681))</f>
        <v>0</v>
      </c>
      <c r="DI211" s="18" t="b">
        <f>RecData[[#This Row],[Overall (dBA)]]-RecData[[#This Row],[L90]]&gt;=$DS$4</f>
        <v>0</v>
      </c>
      <c r="DJ211" s="18" t="b">
        <f>RecData[[#This Row],[Overall (dBA)]]&gt;$DS$2</f>
        <v>0</v>
      </c>
      <c r="DK211" s="18" t="b">
        <f>RecData[[#This Row],[Overall (dBA)]]&lt;$DS$3</f>
        <v>0</v>
      </c>
      <c r="DL2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1" s="2">
        <f>IF(AND(RecData[[#This Row],[Turbines ON/OFF]] = "OFF", NOT(OR(RecData[[#This Row],[Junk?]]="YES",RecData[[#This Row],[Gust?]],RecData[[#This Row],[Rain?]:[Min SPL Threshold?]]))),1,0)</f>
        <v>1</v>
      </c>
      <c r="DN211" s="16">
        <f>RecData[[#This Row],[dBA Sum]]</f>
        <v>20.774821999522906</v>
      </c>
      <c r="DO211" s="16">
        <f>RecData[[#This Row],[LAF90.0]]</f>
        <v>22.3</v>
      </c>
      <c r="DP211" s="55" t="str">
        <f>IF(AND(RecData[[#This Row],[Useable TON Data?]],RecData[[#This Row],[Turbines ON/OFF]]="ON"),RecData[[#This Row],[dBA Sum]],"")</f>
        <v/>
      </c>
      <c r="DQ211" s="55">
        <f>IF(AND(RecData[[#This Row],[Useable Background Data?]],RecData[[#This Row],[Turbines ON/OFF]]="OFF"),RecData[[#This Row],[dBA Sum]],"")</f>
        <v>20.774821999522906</v>
      </c>
      <c r="DR211" s="3">
        <f>IF(OR(RecData[[#This Row],[Useable TON Data?]],RecData[[#This Row],[Useable Background Data?]]),ROUND(RecData[[#This Row],[WSpd_Avg '[m/s']]],0),"")</f>
        <v>1</v>
      </c>
      <c r="DS211" s="85">
        <f>(0.00002)^2*(10^(RecData[[#This Row],[Overall (dBA)]]/10))</f>
        <v>4.7812581334377216E-8</v>
      </c>
    </row>
    <row r="212" spans="1:123" ht="15" x14ac:dyDescent="0.25">
      <c r="A212" s="3" t="s">
        <v>249</v>
      </c>
      <c r="B212" s="12">
        <v>43257.15902777778</v>
      </c>
      <c r="C212" s="3"/>
      <c r="D212" s="3">
        <v>24.7</v>
      </c>
      <c r="E212" s="3"/>
      <c r="F212" s="3"/>
      <c r="G212" s="3"/>
      <c r="H212" s="3"/>
      <c r="I212" s="3"/>
      <c r="J212" s="3"/>
      <c r="K212" s="3">
        <v>22.4</v>
      </c>
      <c r="L212" s="3"/>
      <c r="M212" s="3"/>
      <c r="N212" s="3">
        <v>122.5</v>
      </c>
      <c r="O212" s="3"/>
      <c r="P212" s="3"/>
      <c r="Q212" s="3">
        <v>0.71</v>
      </c>
      <c r="R212" s="3">
        <v>0.6</v>
      </c>
      <c r="S212" s="3">
        <v>0.8</v>
      </c>
      <c r="T212" s="3">
        <v>3.1</v>
      </c>
      <c r="U212" s="3">
        <v>94.1</v>
      </c>
      <c r="V212" s="3">
        <v>970</v>
      </c>
      <c r="W212" s="3">
        <v>0</v>
      </c>
      <c r="X212" s="3">
        <v>19.3</v>
      </c>
      <c r="Y212" s="3">
        <v>15</v>
      </c>
      <c r="Z212" s="3">
        <v>17</v>
      </c>
      <c r="AA212" s="3">
        <v>8.9</v>
      </c>
      <c r="AB212" s="3">
        <v>8.9</v>
      </c>
      <c r="AC212" s="3">
        <v>6.7</v>
      </c>
      <c r="AD212" s="3">
        <v>8.6999999999999993</v>
      </c>
      <c r="AE212" s="3">
        <v>8.6</v>
      </c>
      <c r="AF212" s="3">
        <v>11</v>
      </c>
      <c r="AG212" s="3">
        <v>10.4</v>
      </c>
      <c r="AH212" s="3">
        <v>9.8000000000000007</v>
      </c>
      <c r="AI212" s="3">
        <v>11</v>
      </c>
      <c r="AJ212" s="3">
        <v>11.5</v>
      </c>
      <c r="AK212" s="3">
        <v>11.6</v>
      </c>
      <c r="AL212" s="3">
        <v>11.4</v>
      </c>
      <c r="AM212" s="3">
        <v>11.9</v>
      </c>
      <c r="AN212" s="3">
        <v>12.9</v>
      </c>
      <c r="AO212" s="3">
        <v>12.5</v>
      </c>
      <c r="AP212" s="3">
        <v>11.8</v>
      </c>
      <c r="AQ212" s="3">
        <v>11.5</v>
      </c>
      <c r="AR212" s="3">
        <v>11.2</v>
      </c>
      <c r="AS212" s="3">
        <v>17.899999999999999</v>
      </c>
      <c r="AT212" s="3">
        <v>15.2</v>
      </c>
      <c r="AU212" s="3">
        <v>10.1</v>
      </c>
      <c r="AV212" s="3">
        <v>10.6</v>
      </c>
      <c r="AW212" s="3">
        <v>11.1</v>
      </c>
      <c r="AX212" s="3">
        <v>10.199999999999999</v>
      </c>
      <c r="AY212" s="3">
        <v>10</v>
      </c>
      <c r="AZ212" s="3">
        <v>0</v>
      </c>
      <c r="BA212" s="3">
        <v>0</v>
      </c>
      <c r="BB212" s="3">
        <v>0</v>
      </c>
      <c r="BC212" s="3">
        <v>24.659420465094932</v>
      </c>
      <c r="BD212" s="3">
        <v>19.340579534905068</v>
      </c>
      <c r="BE212" s="3">
        <v>15.040579534905071</v>
      </c>
      <c r="BF212" s="3">
        <v>15.800579534905069</v>
      </c>
      <c r="BG212" s="3">
        <v>8.0272462015717281</v>
      </c>
      <c r="BH212" s="3">
        <v>8.1672462015717358</v>
      </c>
      <c r="BI212" s="3">
        <v>6.3805795349050669</v>
      </c>
      <c r="BJ212" s="3">
        <v>9.1739128682383964</v>
      </c>
      <c r="BK212" s="3">
        <v>8.9472462015717298</v>
      </c>
      <c r="BL212" s="3">
        <v>10.920579534905066</v>
      </c>
      <c r="BM212" s="3">
        <v>10.453912868238405</v>
      </c>
      <c r="BN212" s="3">
        <v>10.137246201571735</v>
      </c>
      <c r="BO212" s="3">
        <v>10.703912868238405</v>
      </c>
      <c r="BP212" s="3">
        <v>10.920579534905066</v>
      </c>
      <c r="BQ212" s="3">
        <v>11.437246201571725</v>
      </c>
      <c r="BR212" s="3">
        <v>11.563912868238404</v>
      </c>
      <c r="BS212" s="3">
        <v>11.867246201571739</v>
      </c>
      <c r="BT212" s="3">
        <v>13.063912868238404</v>
      </c>
      <c r="BU212" s="3">
        <v>12.630579534905074</v>
      </c>
      <c r="BV212" s="3">
        <v>11.647246201571733</v>
      </c>
      <c r="BW212" s="3">
        <v>11.880579534905074</v>
      </c>
      <c r="BX212" s="3">
        <v>11.500579534905071</v>
      </c>
      <c r="BY212" s="3">
        <v>18.02057953490506</v>
      </c>
      <c r="BZ212" s="3">
        <v>15.450579534905067</v>
      </c>
      <c r="CA212" s="3">
        <v>10.45057953490506</v>
      </c>
      <c r="CB212" s="3">
        <v>10.387246201571735</v>
      </c>
      <c r="CC212" s="3">
        <v>11.100579534905066</v>
      </c>
      <c r="CD212" s="3">
        <v>9.5072462015717392</v>
      </c>
      <c r="CE212" s="3">
        <v>9.5005795349050643</v>
      </c>
      <c r="CF212" s="3">
        <v>-0.88608713176159881</v>
      </c>
      <c r="CG212" s="3">
        <v>-1.4194204650949303</v>
      </c>
      <c r="CH212" s="3">
        <v>-2.4960871317615982</v>
      </c>
      <c r="CI212" s="13">
        <f>[1]!dbasum(RecData[[#This Row],[20]:[2000]],RecData[[#Headers],[20]:[2000]])</f>
        <v>20.689755428923817</v>
      </c>
      <c r="CJ212" s="14">
        <v>2894</v>
      </c>
      <c r="CK212" s="15" t="s">
        <v>249</v>
      </c>
      <c r="CL212" s="15">
        <f>RecData[[#This Row],[Start Time]]</f>
        <v>43257.15902777778</v>
      </c>
      <c r="CM212" s="16">
        <f>RecData[[#This Row],[Wind Speed avg]]</f>
        <v>0.71</v>
      </c>
      <c r="CN212" s="16">
        <f>RecData[[#This Row],[Wind Dir. avg]]</f>
        <v>122.5</v>
      </c>
      <c r="CO212" s="16">
        <f>RecData[[#This Row],[Amb. Humidity]]</f>
        <v>94.1</v>
      </c>
      <c r="CP212" s="16">
        <f>RecData[[#This Row],[Amb. Temperature]]</f>
        <v>3.1</v>
      </c>
      <c r="CQ212" s="17">
        <f>RecData[[#This Row],[Amb. Rain Gauge]]</f>
        <v>0</v>
      </c>
      <c r="CR212" s="4" t="s">
        <v>50</v>
      </c>
      <c r="CS212" s="4" t="s">
        <v>49</v>
      </c>
      <c r="CT212" s="70">
        <v>-10.760043140000001</v>
      </c>
      <c r="CU212" s="70">
        <v>156.0013123</v>
      </c>
      <c r="CV212" s="70">
        <v>1.6743350029999999</v>
      </c>
      <c r="CW212" s="70">
        <v>0</v>
      </c>
      <c r="CX212" s="4"/>
      <c r="CY212" s="69"/>
      <c r="CZ212" s="2" t="b">
        <f>IF($DP$1="YES",IF(RecData[[#This Row],[Power (kW)]]&gt;=$CR$3, TRUE,FALSE),TRUE)</f>
        <v>0</v>
      </c>
      <c r="DA212" s="16">
        <f>MIN(MOD(180-ABS(ABS($DA$1-RecData[Yaw Angle (°)])-180),360),MOD(180-ABS(ABS($DB$1-RecData[Yaw Angle (°)])-180),360))</f>
        <v>148.47138552231246</v>
      </c>
      <c r="DB212" s="2" t="str">
        <f>IF($DP$2="None","None",IF(RecData[[#This Row],[Relative Wind Direction]]&lt;=45,"DW",IF(RecData[[#This Row],[Relative Wind Direction]]&lt;=135,"CW","UW")))</f>
        <v>UW</v>
      </c>
      <c r="DC212" s="61">
        <f>IF($CL212-$CL208&gt;1/24,#REF!,IF(SUM($CQ208:$CQ212)&gt;$DS$1,$DS$5,DC213-1))</f>
        <v>-6</v>
      </c>
      <c r="DD212" s="61">
        <f>IF($CL213-$CL212&gt;1/24,#REF!,IF(SUM($CQ208:$CQ212)&gt;$DS$1,$DS$6,DD211-1))</f>
        <v>-5</v>
      </c>
      <c r="DE212" s="18" t="b">
        <v>0</v>
      </c>
      <c r="DF212" s="2" t="b">
        <f>IF(OR(RecData[[#This Row],[WSpd_Avg '[m/s']]]-RecData[[#This Row],[Wind Speed min]]&gt;=$DF$3,RecData[[#This Row],[Wind Speed max]]-RecData[[#This Row],[WSpd_Avg '[m/s']]]&gt;=$DF$2),TRUE,FALSE)</f>
        <v>0</v>
      </c>
      <c r="DG212" s="2" t="b">
        <f>RecData[[#This Row],[Temperature '[°C']]]&lt;=-20</f>
        <v>0</v>
      </c>
      <c r="DH212" s="18" t="b">
        <f>NOT(OR(MOD(RecData[[#This Row],[TIMESTAMP]],1)&gt;0.91632,MOD(RecData[[#This Row],[TIMESTAMP]],1)&lt;0.208681))</f>
        <v>0</v>
      </c>
      <c r="DI212" s="18" t="b">
        <f>RecData[[#This Row],[Overall (dBA)]]-RecData[[#This Row],[L90]]&gt;=$DS$4</f>
        <v>0</v>
      </c>
      <c r="DJ212" s="18" t="b">
        <f>RecData[[#This Row],[Overall (dBA)]]&gt;$DS$2</f>
        <v>0</v>
      </c>
      <c r="DK212" s="18" t="b">
        <f>RecData[[#This Row],[Overall (dBA)]]&lt;$DS$3</f>
        <v>0</v>
      </c>
      <c r="DL2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2" s="2">
        <f>IF(AND(RecData[[#This Row],[Turbines ON/OFF]] = "OFF", NOT(OR(RecData[[#This Row],[Junk?]]="YES",RecData[[#This Row],[Gust?]],RecData[[#This Row],[Rain?]:[Min SPL Threshold?]]))),1,0)</f>
        <v>1</v>
      </c>
      <c r="DN212" s="16">
        <f>RecData[[#This Row],[dBA Sum]]</f>
        <v>20.689755428923817</v>
      </c>
      <c r="DO212" s="16">
        <f>RecData[[#This Row],[LAF90.0]]</f>
        <v>22.4</v>
      </c>
      <c r="DP212" s="55" t="str">
        <f>IF(AND(RecData[[#This Row],[Useable TON Data?]],RecData[[#This Row],[Turbines ON/OFF]]="ON"),RecData[[#This Row],[dBA Sum]],"")</f>
        <v/>
      </c>
      <c r="DQ212" s="55">
        <f>IF(AND(RecData[[#This Row],[Useable Background Data?]],RecData[[#This Row],[Turbines ON/OFF]]="OFF"),RecData[[#This Row],[dBA Sum]],"")</f>
        <v>20.689755428923817</v>
      </c>
      <c r="DR212" s="3">
        <f>IF(OR(RecData[[#This Row],[Useable TON Data?]],RecData[[#This Row],[Useable Background Data?]]),ROUND(RecData[[#This Row],[WSpd_Avg '[m/s']]],0),"")</f>
        <v>1</v>
      </c>
      <c r="DS212" s="85">
        <f>(0.00002)^2*(10^(RecData[[#This Row],[Overall (dBA)]]/10))</f>
        <v>4.6885174229086991E-8</v>
      </c>
    </row>
    <row r="213" spans="1:123" ht="15" x14ac:dyDescent="0.25">
      <c r="A213" s="3" t="s">
        <v>249</v>
      </c>
      <c r="B213" s="12">
        <v>43257.159722222219</v>
      </c>
      <c r="C213" s="3"/>
      <c r="D213" s="3">
        <v>25.5</v>
      </c>
      <c r="E213" s="3"/>
      <c r="F213" s="3"/>
      <c r="G213" s="3"/>
      <c r="H213" s="3"/>
      <c r="I213" s="3"/>
      <c r="J213" s="3"/>
      <c r="K213" s="3">
        <v>23</v>
      </c>
      <c r="L213" s="3"/>
      <c r="M213" s="3"/>
      <c r="N213" s="3">
        <v>115.6</v>
      </c>
      <c r="O213" s="3"/>
      <c r="P213" s="3"/>
      <c r="Q213" s="3">
        <v>0.48</v>
      </c>
      <c r="R213" s="3">
        <v>0.3</v>
      </c>
      <c r="S213" s="3">
        <v>0.7</v>
      </c>
      <c r="T213" s="3">
        <v>3.1</v>
      </c>
      <c r="U213" s="3">
        <v>94.2</v>
      </c>
      <c r="V213" s="3">
        <v>970</v>
      </c>
      <c r="W213" s="3">
        <v>0</v>
      </c>
      <c r="X213" s="3">
        <v>20.3</v>
      </c>
      <c r="Y213" s="3">
        <v>15.9</v>
      </c>
      <c r="Z213" s="3">
        <v>19.899999999999999</v>
      </c>
      <c r="AA213" s="3">
        <v>9.3000000000000007</v>
      </c>
      <c r="AB213" s="3">
        <v>8.6999999999999993</v>
      </c>
      <c r="AC213" s="3">
        <v>7.6</v>
      </c>
      <c r="AD213" s="3">
        <v>9.1</v>
      </c>
      <c r="AE213" s="3">
        <v>9.1999999999999993</v>
      </c>
      <c r="AF213" s="3">
        <v>14.1</v>
      </c>
      <c r="AG213" s="3">
        <v>12.1</v>
      </c>
      <c r="AH213" s="3">
        <v>10</v>
      </c>
      <c r="AI213" s="3">
        <v>10.8</v>
      </c>
      <c r="AJ213" s="3">
        <v>11.4</v>
      </c>
      <c r="AK213" s="3">
        <v>11.3</v>
      </c>
      <c r="AL213" s="3">
        <v>11.3</v>
      </c>
      <c r="AM213" s="3">
        <v>11.9</v>
      </c>
      <c r="AN213" s="3">
        <v>12.9</v>
      </c>
      <c r="AO213" s="3">
        <v>12.4</v>
      </c>
      <c r="AP213" s="3">
        <v>11.7</v>
      </c>
      <c r="AQ213" s="3">
        <v>11.3</v>
      </c>
      <c r="AR213" s="3">
        <v>10.7</v>
      </c>
      <c r="AS213" s="3">
        <v>19.2</v>
      </c>
      <c r="AT213" s="3">
        <v>17.7</v>
      </c>
      <c r="AU213" s="3">
        <v>9.6999999999999993</v>
      </c>
      <c r="AV213" s="3">
        <v>10.199999999999999</v>
      </c>
      <c r="AW213" s="3">
        <v>10.6</v>
      </c>
      <c r="AX213" s="3">
        <v>10</v>
      </c>
      <c r="AY213" s="3">
        <v>10</v>
      </c>
      <c r="AZ213" s="3">
        <v>0</v>
      </c>
      <c r="BA213" s="3">
        <v>0</v>
      </c>
      <c r="BB213" s="3">
        <v>0</v>
      </c>
      <c r="BC213" s="3">
        <v>25.411621456125548</v>
      </c>
      <c r="BD213" s="3">
        <v>20.388378543874449</v>
      </c>
      <c r="BE213" s="3">
        <v>15.98837854387445</v>
      </c>
      <c r="BF213" s="3">
        <v>18.748378543874448</v>
      </c>
      <c r="BG213" s="3">
        <v>8.4750452105411149</v>
      </c>
      <c r="BH213" s="3">
        <v>8.0150452105411212</v>
      </c>
      <c r="BI213" s="3">
        <v>7.3283785438744538</v>
      </c>
      <c r="BJ213" s="3">
        <v>9.6217118772077832</v>
      </c>
      <c r="BK213" s="3">
        <v>9.5950452105411124</v>
      </c>
      <c r="BL213" s="3">
        <v>14.068378543874456</v>
      </c>
      <c r="BM213" s="3">
        <v>12.201711877207789</v>
      </c>
      <c r="BN213" s="3">
        <v>10.385045210541119</v>
      </c>
      <c r="BO213" s="3">
        <v>10.55171187720779</v>
      </c>
      <c r="BP213" s="3">
        <v>10.868378543874453</v>
      </c>
      <c r="BQ213" s="3">
        <v>11.185045210541109</v>
      </c>
      <c r="BR213" s="3">
        <v>11.511711877207784</v>
      </c>
      <c r="BS213" s="3">
        <v>11.91504521054112</v>
      </c>
      <c r="BT213" s="3">
        <v>13.111711877207785</v>
      </c>
      <c r="BU213" s="3">
        <v>12.578378543874454</v>
      </c>
      <c r="BV213" s="3">
        <v>11.595045210541119</v>
      </c>
      <c r="BW213" s="3">
        <v>11.728378543874452</v>
      </c>
      <c r="BX213" s="3">
        <v>11.04837854387446</v>
      </c>
      <c r="BY213" s="3">
        <v>19.368378543874453</v>
      </c>
      <c r="BZ213" s="3">
        <v>17.998378543874455</v>
      </c>
      <c r="CA213" s="3">
        <v>10.098378543874443</v>
      </c>
      <c r="CB213" s="3">
        <v>10.035045210541117</v>
      </c>
      <c r="CC213" s="3">
        <v>10.648378543874454</v>
      </c>
      <c r="CD213" s="3">
        <v>9.3550452105411246</v>
      </c>
      <c r="CE213" s="3">
        <v>9.5483785438744526</v>
      </c>
      <c r="CF213" s="3">
        <v>-0.8382881227922141</v>
      </c>
      <c r="CG213" s="3">
        <v>-1.3716214561255455</v>
      </c>
      <c r="CH213" s="3">
        <v>-2.4482881227922135</v>
      </c>
      <c r="CI213" s="13">
        <f>[1]!dbasum(RecData[[#This Row],[20]:[2000]],RecData[[#Headers],[20]:[2000]])</f>
        <v>20.599731333163447</v>
      </c>
      <c r="CJ213" s="14">
        <v>2895</v>
      </c>
      <c r="CK213" s="15" t="s">
        <v>249</v>
      </c>
      <c r="CL213" s="15">
        <f>RecData[[#This Row],[Start Time]]</f>
        <v>43257.159722222219</v>
      </c>
      <c r="CM213" s="16">
        <f>RecData[[#This Row],[Wind Speed avg]]</f>
        <v>0.48</v>
      </c>
      <c r="CN213" s="16">
        <f>RecData[[#This Row],[Wind Dir. avg]]</f>
        <v>115.6</v>
      </c>
      <c r="CO213" s="16">
        <f>RecData[[#This Row],[Amb. Humidity]]</f>
        <v>94.2</v>
      </c>
      <c r="CP213" s="16">
        <f>RecData[[#This Row],[Amb. Temperature]]</f>
        <v>3.1</v>
      </c>
      <c r="CQ213" s="17">
        <f>RecData[[#This Row],[Amb. Rain Gauge]]</f>
        <v>0</v>
      </c>
      <c r="CR213" s="4" t="s">
        <v>50</v>
      </c>
      <c r="CS213" s="4" t="s">
        <v>49</v>
      </c>
      <c r="CT213" s="70">
        <v>-10.760043140000001</v>
      </c>
      <c r="CU213" s="70">
        <v>156.0013123</v>
      </c>
      <c r="CV213" s="70">
        <v>1.6743350029999999</v>
      </c>
      <c r="CW213" s="70">
        <v>0</v>
      </c>
      <c r="CX213" s="4"/>
      <c r="CY213" s="69"/>
      <c r="CZ213" s="2" t="b">
        <f>IF($DP$1="YES",IF(RecData[[#This Row],[Power (kW)]]&gt;=$CR$3, TRUE,FALSE),TRUE)</f>
        <v>0</v>
      </c>
      <c r="DA213" s="16">
        <f>MIN(MOD(180-ABS(ABS($DA$1-RecData[Yaw Angle (°)])-180),360),MOD(180-ABS(ABS($DB$1-RecData[Yaw Angle (°)])-180),360))</f>
        <v>148.47138552231246</v>
      </c>
      <c r="DB213" s="2" t="str">
        <f>IF($DP$2="None","None",IF(RecData[[#This Row],[Relative Wind Direction]]&lt;=45,"DW",IF(RecData[[#This Row],[Relative Wind Direction]]&lt;=135,"CW","UW")))</f>
        <v>UW</v>
      </c>
      <c r="DC213" s="61">
        <f>IF($CL213-$CL209&gt;1/24,#REF!,IF(SUM($CQ209:$CQ213)&gt;$DS$1,$DS$5,DC214-1))</f>
        <v>-5</v>
      </c>
      <c r="DD213" s="61">
        <f>IF($CL214-$CL213&gt;1/24,#REF!,IF(SUM($CQ209:$CQ213)&gt;$DS$1,$DS$6,DD212-1))</f>
        <v>-6</v>
      </c>
      <c r="DE213" s="18" t="b">
        <v>0</v>
      </c>
      <c r="DF213" s="2" t="b">
        <f>IF(OR(RecData[[#This Row],[WSpd_Avg '[m/s']]]-RecData[[#This Row],[Wind Speed min]]&gt;=$DF$3,RecData[[#This Row],[Wind Speed max]]-RecData[[#This Row],[WSpd_Avg '[m/s']]]&gt;=$DF$2),TRUE,FALSE)</f>
        <v>0</v>
      </c>
      <c r="DG213" s="2" t="b">
        <f>RecData[[#This Row],[Temperature '[°C']]]&lt;=-20</f>
        <v>0</v>
      </c>
      <c r="DH213" s="18" t="b">
        <f>NOT(OR(MOD(RecData[[#This Row],[TIMESTAMP]],1)&gt;0.91632,MOD(RecData[[#This Row],[TIMESTAMP]],1)&lt;0.208681))</f>
        <v>0</v>
      </c>
      <c r="DI213" s="18" t="b">
        <f>RecData[[#This Row],[Overall (dBA)]]-RecData[[#This Row],[L90]]&gt;=$DS$4</f>
        <v>0</v>
      </c>
      <c r="DJ213" s="18" t="b">
        <f>RecData[[#This Row],[Overall (dBA)]]&gt;$DS$2</f>
        <v>0</v>
      </c>
      <c r="DK213" s="18" t="b">
        <f>RecData[[#This Row],[Overall (dBA)]]&lt;$DS$3</f>
        <v>0</v>
      </c>
      <c r="DL2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3" s="2">
        <f>IF(AND(RecData[[#This Row],[Turbines ON/OFF]] = "OFF", NOT(OR(RecData[[#This Row],[Junk?]]="YES",RecData[[#This Row],[Gust?]],RecData[[#This Row],[Rain?]:[Min SPL Threshold?]]))),1,0)</f>
        <v>1</v>
      </c>
      <c r="DN213" s="16">
        <f>RecData[[#This Row],[dBA Sum]]</f>
        <v>20.599731333163447</v>
      </c>
      <c r="DO213" s="16">
        <f>RecData[[#This Row],[LAF90.0]]</f>
        <v>23</v>
      </c>
      <c r="DP213" s="55" t="str">
        <f>IF(AND(RecData[[#This Row],[Useable TON Data?]],RecData[[#This Row],[Turbines ON/OFF]]="ON"),RecData[[#This Row],[dBA Sum]],"")</f>
        <v/>
      </c>
      <c r="DQ213" s="55">
        <f>IF(AND(RecData[[#This Row],[Useable Background Data?]],RecData[[#This Row],[Turbines ON/OFF]]="OFF"),RecData[[#This Row],[dBA Sum]],"")</f>
        <v>20.599731333163447</v>
      </c>
      <c r="DR213" s="3">
        <f>IF(OR(RecData[[#This Row],[Useable TON Data?]],RecData[[#This Row],[Useable Background Data?]]),ROUND(RecData[[#This Row],[WSpd_Avg '[m/s']]],0),"")</f>
        <v>0</v>
      </c>
      <c r="DS213" s="85">
        <f>(0.00002)^2*(10^(RecData[[#This Row],[Overall (dBA)]]/10))</f>
        <v>4.5923303826678045E-8</v>
      </c>
    </row>
    <row r="214" spans="1:123" ht="15" x14ac:dyDescent="0.25">
      <c r="A214" s="3" t="s">
        <v>249</v>
      </c>
      <c r="B214" s="12">
        <v>43257.160416666666</v>
      </c>
      <c r="C214" s="3"/>
      <c r="D214" s="3">
        <v>26.9</v>
      </c>
      <c r="E214" s="3"/>
      <c r="F214" s="3"/>
      <c r="G214" s="3"/>
      <c r="H214" s="3"/>
      <c r="I214" s="3"/>
      <c r="J214" s="3"/>
      <c r="K214" s="3">
        <v>23.2</v>
      </c>
      <c r="L214" s="3"/>
      <c r="M214" s="3"/>
      <c r="N214" s="3">
        <v>114.3</v>
      </c>
      <c r="O214" s="3"/>
      <c r="P214" s="3"/>
      <c r="Q214" s="3">
        <v>0.44</v>
      </c>
      <c r="R214" s="3">
        <v>0.3</v>
      </c>
      <c r="S214" s="3">
        <v>0.6</v>
      </c>
      <c r="T214" s="3">
        <v>3.1</v>
      </c>
      <c r="U214" s="3">
        <v>94.2</v>
      </c>
      <c r="V214" s="3">
        <v>970</v>
      </c>
      <c r="W214" s="3">
        <v>0</v>
      </c>
      <c r="X214" s="3">
        <v>22.3</v>
      </c>
      <c r="Y214" s="3">
        <v>17.2</v>
      </c>
      <c r="Z214" s="3">
        <v>18.5</v>
      </c>
      <c r="AA214" s="3">
        <v>9.9</v>
      </c>
      <c r="AB214" s="3">
        <v>8.1</v>
      </c>
      <c r="AC214" s="3">
        <v>7.4</v>
      </c>
      <c r="AD214" s="3">
        <v>9.1</v>
      </c>
      <c r="AE214" s="3">
        <v>9.1</v>
      </c>
      <c r="AF214" s="3">
        <v>14</v>
      </c>
      <c r="AG214" s="3">
        <v>10.9</v>
      </c>
      <c r="AH214" s="3">
        <v>9.9</v>
      </c>
      <c r="AI214" s="3">
        <v>11.3</v>
      </c>
      <c r="AJ214" s="3">
        <v>11.3</v>
      </c>
      <c r="AK214" s="3">
        <v>11.3</v>
      </c>
      <c r="AL214" s="3">
        <v>11.2</v>
      </c>
      <c r="AM214" s="3">
        <v>11.8</v>
      </c>
      <c r="AN214" s="3">
        <v>12.8</v>
      </c>
      <c r="AO214" s="3">
        <v>12.5</v>
      </c>
      <c r="AP214" s="3">
        <v>11.7</v>
      </c>
      <c r="AQ214" s="3">
        <v>11.2</v>
      </c>
      <c r="AR214" s="3">
        <v>10.6</v>
      </c>
      <c r="AS214" s="3">
        <v>22.3</v>
      </c>
      <c r="AT214" s="3">
        <v>18.399999999999999</v>
      </c>
      <c r="AU214" s="3">
        <v>10</v>
      </c>
      <c r="AV214" s="3">
        <v>10.199999999999999</v>
      </c>
      <c r="AW214" s="3">
        <v>10.4</v>
      </c>
      <c r="AX214" s="3">
        <v>10</v>
      </c>
      <c r="AY214" s="3">
        <v>9.9</v>
      </c>
      <c r="AZ214" s="3">
        <v>0</v>
      </c>
      <c r="BA214" s="3">
        <v>0</v>
      </c>
      <c r="BB214" s="3">
        <v>0</v>
      </c>
      <c r="BC214" s="3">
        <v>26.778499501707881</v>
      </c>
      <c r="BD214" s="3">
        <v>22.421500498292122</v>
      </c>
      <c r="BE214" s="3">
        <v>17.321500498292114</v>
      </c>
      <c r="BF214" s="3">
        <v>17.381500498292116</v>
      </c>
      <c r="BG214" s="3">
        <v>9.1081671649587825</v>
      </c>
      <c r="BH214" s="3">
        <v>7.4481671649587859</v>
      </c>
      <c r="BI214" s="3">
        <v>7.1615004982921171</v>
      </c>
      <c r="BJ214" s="3">
        <v>9.6548338316254494</v>
      </c>
      <c r="BK214" s="3">
        <v>9.5281671649587771</v>
      </c>
      <c r="BL214" s="3">
        <v>14.001500498292121</v>
      </c>
      <c r="BM214" s="3">
        <v>11.034833831625452</v>
      </c>
      <c r="BN214" s="3">
        <v>10.318167164958783</v>
      </c>
      <c r="BO214" s="3">
        <v>11.084833831625456</v>
      </c>
      <c r="BP214" s="3">
        <v>10.801500498292118</v>
      </c>
      <c r="BQ214" s="3">
        <v>11.218167164958775</v>
      </c>
      <c r="BR214" s="3">
        <v>11.444833831625449</v>
      </c>
      <c r="BS214" s="3">
        <v>11.848167164958785</v>
      </c>
      <c r="BT214" s="3">
        <v>13.044833831625457</v>
      </c>
      <c r="BU214" s="3">
        <v>12.711500498292121</v>
      </c>
      <c r="BV214" s="3">
        <v>11.628167164958786</v>
      </c>
      <c r="BW214" s="3">
        <v>11.661500498292117</v>
      </c>
      <c r="BX214" s="3">
        <v>10.981500498292124</v>
      </c>
      <c r="BY214" s="3">
        <v>22.501500498292121</v>
      </c>
      <c r="BZ214" s="3">
        <v>18.731500498292124</v>
      </c>
      <c r="CA214" s="3">
        <v>10.431500498292113</v>
      </c>
      <c r="CB214" s="3">
        <v>10.068167164958783</v>
      </c>
      <c r="CC214" s="3">
        <v>10.481500498292117</v>
      </c>
      <c r="CD214" s="3">
        <v>9.3881671649587908</v>
      </c>
      <c r="CE214" s="3">
        <v>9.4815004982921174</v>
      </c>
      <c r="CF214" s="3">
        <v>-0.80516616837454791</v>
      </c>
      <c r="CG214" s="3">
        <v>-1.3384995017078793</v>
      </c>
      <c r="CH214" s="3">
        <v>-2.4151661683745473</v>
      </c>
      <c r="CI214" s="13">
        <f>[1]!dbasum(RecData[[#This Row],[20]:[2000]],RecData[[#Headers],[20]:[2000]])</f>
        <v>20.585113317179214</v>
      </c>
      <c r="CJ214" s="14">
        <v>2896</v>
      </c>
      <c r="CK214" s="15" t="s">
        <v>249</v>
      </c>
      <c r="CL214" s="15">
        <f>RecData[[#This Row],[Start Time]]</f>
        <v>43257.160416666666</v>
      </c>
      <c r="CM214" s="16">
        <f>RecData[[#This Row],[Wind Speed avg]]</f>
        <v>0.44</v>
      </c>
      <c r="CN214" s="16">
        <f>RecData[[#This Row],[Wind Dir. avg]]</f>
        <v>114.3</v>
      </c>
      <c r="CO214" s="16">
        <f>RecData[[#This Row],[Amb. Humidity]]</f>
        <v>94.2</v>
      </c>
      <c r="CP214" s="16">
        <f>RecData[[#This Row],[Amb. Temperature]]</f>
        <v>3.1</v>
      </c>
      <c r="CQ214" s="17">
        <f>RecData[[#This Row],[Amb. Rain Gauge]]</f>
        <v>0</v>
      </c>
      <c r="CR214" s="4" t="s">
        <v>50</v>
      </c>
      <c r="CS214" s="4" t="s">
        <v>49</v>
      </c>
      <c r="CT214" s="70">
        <v>-10.769859309999999</v>
      </c>
      <c r="CU214" s="70">
        <v>156.0013123</v>
      </c>
      <c r="CV214" s="70">
        <v>1.8320738080000001</v>
      </c>
      <c r="CW214" s="70">
        <v>0</v>
      </c>
      <c r="CX214" s="4"/>
      <c r="CY214" s="69"/>
      <c r="CZ214" s="2" t="b">
        <f>IF($DP$1="YES",IF(RecData[[#This Row],[Power (kW)]]&gt;=$CR$3, TRUE,FALSE),TRUE)</f>
        <v>0</v>
      </c>
      <c r="DA214" s="16">
        <f>MIN(MOD(180-ABS(ABS($DA$1-RecData[Yaw Angle (°)])-180),360),MOD(180-ABS(ABS($DB$1-RecData[Yaw Angle (°)])-180),360))</f>
        <v>148.47138552231246</v>
      </c>
      <c r="DB214" s="2" t="str">
        <f>IF($DP$2="None","None",IF(RecData[[#This Row],[Relative Wind Direction]]&lt;=45,"DW",IF(RecData[[#This Row],[Relative Wind Direction]]&lt;=135,"CW","UW")))</f>
        <v>UW</v>
      </c>
      <c r="DC214" s="61">
        <f>IF($CL214-$CL210&gt;1/24,#REF!,IF(SUM($CQ210:$CQ214)&gt;$DS$1,$DS$5,DC215-1))</f>
        <v>-4</v>
      </c>
      <c r="DD214" s="61">
        <f>IF($CL215-$CL214&gt;1/24,#REF!,IF(SUM($CQ210:$CQ214)&gt;$DS$1,$DS$6,DD213-1))</f>
        <v>-7</v>
      </c>
      <c r="DE214" s="18" t="b">
        <v>0</v>
      </c>
      <c r="DF214" s="2" t="b">
        <f>IF(OR(RecData[[#This Row],[WSpd_Avg '[m/s']]]-RecData[[#This Row],[Wind Speed min]]&gt;=$DF$3,RecData[[#This Row],[Wind Speed max]]-RecData[[#This Row],[WSpd_Avg '[m/s']]]&gt;=$DF$2),TRUE,FALSE)</f>
        <v>0</v>
      </c>
      <c r="DG214" s="2" t="b">
        <f>RecData[[#This Row],[Temperature '[°C']]]&lt;=-20</f>
        <v>0</v>
      </c>
      <c r="DH214" s="18" t="b">
        <f>NOT(OR(MOD(RecData[[#This Row],[TIMESTAMP]],1)&gt;0.91632,MOD(RecData[[#This Row],[TIMESTAMP]],1)&lt;0.208681))</f>
        <v>0</v>
      </c>
      <c r="DI214" s="18" t="b">
        <f>RecData[[#This Row],[Overall (dBA)]]-RecData[[#This Row],[L90]]&gt;=$DS$4</f>
        <v>0</v>
      </c>
      <c r="DJ214" s="18" t="b">
        <f>RecData[[#This Row],[Overall (dBA)]]&gt;$DS$2</f>
        <v>0</v>
      </c>
      <c r="DK214" s="18" t="b">
        <f>RecData[[#This Row],[Overall (dBA)]]&lt;$DS$3</f>
        <v>0</v>
      </c>
      <c r="DL2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4" s="2">
        <f>IF(AND(RecData[[#This Row],[Turbines ON/OFF]] = "OFF", NOT(OR(RecData[[#This Row],[Junk?]]="YES",RecData[[#This Row],[Gust?]],RecData[[#This Row],[Rain?]:[Min SPL Threshold?]]))),1,0)</f>
        <v>1</v>
      </c>
      <c r="DN214" s="16">
        <f>RecData[[#This Row],[dBA Sum]]</f>
        <v>20.585113317179214</v>
      </c>
      <c r="DO214" s="16">
        <f>RecData[[#This Row],[LAF90.0]]</f>
        <v>23.2</v>
      </c>
      <c r="DP214" s="55" t="str">
        <f>IF(AND(RecData[[#This Row],[Useable TON Data?]],RecData[[#This Row],[Turbines ON/OFF]]="ON"),RecData[[#This Row],[dBA Sum]],"")</f>
        <v/>
      </c>
      <c r="DQ214" s="55">
        <f>IF(AND(RecData[[#This Row],[Useable Background Data?]],RecData[[#This Row],[Turbines ON/OFF]]="OFF"),RecData[[#This Row],[dBA Sum]],"")</f>
        <v>20.585113317179214</v>
      </c>
      <c r="DR214" s="3">
        <f>IF(OR(RecData[[#This Row],[Useable TON Data?]],RecData[[#This Row],[Useable Background Data?]]),ROUND(RecData[[#This Row],[WSpd_Avg '[m/s']]],0),"")</f>
        <v>0</v>
      </c>
      <c r="DS214" s="85">
        <f>(0.00002)^2*(10^(RecData[[#This Row],[Overall (dBA)]]/10))</f>
        <v>4.5768989392773556E-8</v>
      </c>
    </row>
    <row r="215" spans="1:123" ht="15" x14ac:dyDescent="0.25">
      <c r="A215" s="3" t="s">
        <v>249</v>
      </c>
      <c r="B215" s="12">
        <v>43257.161111111112</v>
      </c>
      <c r="C215" s="3"/>
      <c r="D215" s="3">
        <v>26.1</v>
      </c>
      <c r="E215" s="3"/>
      <c r="F215" s="3"/>
      <c r="G215" s="3"/>
      <c r="H215" s="3"/>
      <c r="I215" s="3"/>
      <c r="J215" s="3"/>
      <c r="K215" s="3">
        <v>22.7</v>
      </c>
      <c r="L215" s="3"/>
      <c r="M215" s="3"/>
      <c r="N215" s="3">
        <v>117.4</v>
      </c>
      <c r="O215" s="3"/>
      <c r="P215" s="3"/>
      <c r="Q215" s="3">
        <v>0.59</v>
      </c>
      <c r="R215" s="3">
        <v>0.4</v>
      </c>
      <c r="S215" s="3">
        <v>0.8</v>
      </c>
      <c r="T215" s="3">
        <v>3.1</v>
      </c>
      <c r="U215" s="3">
        <v>94.1</v>
      </c>
      <c r="V215" s="3">
        <v>970</v>
      </c>
      <c r="W215" s="3">
        <v>0</v>
      </c>
      <c r="X215" s="3">
        <v>21.3</v>
      </c>
      <c r="Y215" s="3">
        <v>17.2</v>
      </c>
      <c r="Z215" s="3">
        <v>18.899999999999999</v>
      </c>
      <c r="AA215" s="3">
        <v>9.3000000000000007</v>
      </c>
      <c r="AB215" s="3">
        <v>9</v>
      </c>
      <c r="AC215" s="3">
        <v>7.4</v>
      </c>
      <c r="AD215" s="3">
        <v>8.6999999999999993</v>
      </c>
      <c r="AE215" s="3">
        <v>8.8000000000000007</v>
      </c>
      <c r="AF215" s="3">
        <v>13.3</v>
      </c>
      <c r="AG215" s="3">
        <v>11.2</v>
      </c>
      <c r="AH215" s="3">
        <v>9.9</v>
      </c>
      <c r="AI215" s="3">
        <v>11.3</v>
      </c>
      <c r="AJ215" s="3">
        <v>11.1</v>
      </c>
      <c r="AK215" s="3">
        <v>11.1</v>
      </c>
      <c r="AL215" s="3">
        <v>11.2</v>
      </c>
      <c r="AM215" s="3">
        <v>11.8</v>
      </c>
      <c r="AN215" s="3">
        <v>12.6</v>
      </c>
      <c r="AO215" s="3">
        <v>12.3</v>
      </c>
      <c r="AP215" s="3">
        <v>11.5</v>
      </c>
      <c r="AQ215" s="3">
        <v>11.1</v>
      </c>
      <c r="AR215" s="3">
        <v>10.6</v>
      </c>
      <c r="AS215" s="3">
        <v>21.4</v>
      </c>
      <c r="AT215" s="3">
        <v>16.7</v>
      </c>
      <c r="AU215" s="3">
        <v>9.6999999999999993</v>
      </c>
      <c r="AV215" s="3">
        <v>10.199999999999999</v>
      </c>
      <c r="AW215" s="3">
        <v>10.5</v>
      </c>
      <c r="AX215" s="3">
        <v>10</v>
      </c>
      <c r="AY215" s="3">
        <v>9.9</v>
      </c>
      <c r="AZ215" s="3">
        <v>0</v>
      </c>
      <c r="BA215" s="3">
        <v>0</v>
      </c>
      <c r="BB215" s="3">
        <v>0</v>
      </c>
      <c r="BC215" s="3">
        <v>26.026723601931426</v>
      </c>
      <c r="BD215" s="3">
        <v>21.37327639806858</v>
      </c>
      <c r="BE215" s="3">
        <v>17.273276398068571</v>
      </c>
      <c r="BF215" s="3">
        <v>17.733276398068579</v>
      </c>
      <c r="BG215" s="3">
        <v>8.4599430647352385</v>
      </c>
      <c r="BH215" s="3">
        <v>8.2999430647352419</v>
      </c>
      <c r="BI215" s="3">
        <v>7.1132763980685745</v>
      </c>
      <c r="BJ215" s="3">
        <v>9.2066097314019082</v>
      </c>
      <c r="BK215" s="3">
        <v>9.1799430647352374</v>
      </c>
      <c r="BL215" s="3">
        <v>13.253276398068575</v>
      </c>
      <c r="BM215" s="3">
        <v>11.286609731401906</v>
      </c>
      <c r="BN215" s="3">
        <v>10.269943064735241</v>
      </c>
      <c r="BO215" s="3">
        <v>11.036609731401914</v>
      </c>
      <c r="BP215" s="3">
        <v>10.553276398068572</v>
      </c>
      <c r="BQ215" s="3">
        <v>10.969943064735229</v>
      </c>
      <c r="BR215" s="3">
        <v>11.396609731401906</v>
      </c>
      <c r="BS215" s="3">
        <v>11.799943064735242</v>
      </c>
      <c r="BT215" s="3">
        <v>12.796609731401912</v>
      </c>
      <c r="BU215" s="3">
        <v>12.463276398068583</v>
      </c>
      <c r="BV215" s="3">
        <v>11.37994306473524</v>
      </c>
      <c r="BW215" s="3">
        <v>11.51327639806858</v>
      </c>
      <c r="BX215" s="3">
        <v>10.933276398068582</v>
      </c>
      <c r="BY215" s="3">
        <v>21.553276398068572</v>
      </c>
      <c r="BZ215" s="3">
        <v>16.983276398068579</v>
      </c>
      <c r="CA215" s="3">
        <v>10.083276398068566</v>
      </c>
      <c r="CB215" s="3">
        <v>10.019943064735241</v>
      </c>
      <c r="CC215" s="3">
        <v>10.533276398068576</v>
      </c>
      <c r="CD215" s="3">
        <v>9.3399430647352482</v>
      </c>
      <c r="CE215" s="3">
        <v>9.4332763980685748</v>
      </c>
      <c r="CF215" s="3">
        <v>-0.85339026859809053</v>
      </c>
      <c r="CG215" s="3">
        <v>-1.386723601931422</v>
      </c>
      <c r="CH215" s="3">
        <v>-2.46339026859809</v>
      </c>
      <c r="CI215" s="13">
        <f>[1]!dbasum(RecData[[#This Row],[20]:[2000]],RecData[[#Headers],[20]:[2000]])</f>
        <v>20.416296330511095</v>
      </c>
      <c r="CJ215" s="14">
        <v>2897</v>
      </c>
      <c r="CK215" s="15" t="s">
        <v>249</v>
      </c>
      <c r="CL215" s="15">
        <f>RecData[[#This Row],[Start Time]]</f>
        <v>43257.161111111112</v>
      </c>
      <c r="CM215" s="16">
        <f>RecData[[#This Row],[Wind Speed avg]]</f>
        <v>0.59</v>
      </c>
      <c r="CN215" s="16">
        <f>RecData[[#This Row],[Wind Dir. avg]]</f>
        <v>117.4</v>
      </c>
      <c r="CO215" s="16">
        <f>RecData[[#This Row],[Amb. Humidity]]</f>
        <v>94.1</v>
      </c>
      <c r="CP215" s="16">
        <f>RecData[[#This Row],[Amb. Temperature]]</f>
        <v>3.1</v>
      </c>
      <c r="CQ215" s="17">
        <f>RecData[[#This Row],[Amb. Rain Gauge]]</f>
        <v>0</v>
      </c>
      <c r="CR215" s="4" t="s">
        <v>50</v>
      </c>
      <c r="CS215" s="4" t="s">
        <v>49</v>
      </c>
      <c r="CT215" s="70">
        <v>-10.769859309999999</v>
      </c>
      <c r="CU215" s="70">
        <v>156.0013123</v>
      </c>
      <c r="CV215" s="70">
        <v>1.8320738080000001</v>
      </c>
      <c r="CW215" s="70">
        <v>0</v>
      </c>
      <c r="CX215" s="4"/>
      <c r="CY215" s="69"/>
      <c r="CZ215" s="2" t="b">
        <f>IF($DP$1="YES",IF(RecData[[#This Row],[Power (kW)]]&gt;=$CR$3, TRUE,FALSE),TRUE)</f>
        <v>0</v>
      </c>
      <c r="DA215" s="16">
        <f>MIN(MOD(180-ABS(ABS($DA$1-RecData[Yaw Angle (°)])-180),360),MOD(180-ABS(ABS($DB$1-RecData[Yaw Angle (°)])-180),360))</f>
        <v>148.47138552231246</v>
      </c>
      <c r="DB215" s="2" t="str">
        <f>IF($DP$2="None","None",IF(RecData[[#This Row],[Relative Wind Direction]]&lt;=45,"DW",IF(RecData[[#This Row],[Relative Wind Direction]]&lt;=135,"CW","UW")))</f>
        <v>UW</v>
      </c>
      <c r="DC215" s="61">
        <f>IF($CL215-$CL211&gt;1/24,#REF!,IF(SUM($CQ211:$CQ215)&gt;$DS$1,$DS$5,DC216-1))</f>
        <v>-3</v>
      </c>
      <c r="DD215" s="61">
        <f>IF($CL216-$CL215&gt;1/24,#REF!,IF(SUM($CQ211:$CQ215)&gt;$DS$1,$DS$6,DD214-1))</f>
        <v>-8</v>
      </c>
      <c r="DE215" s="18" t="b">
        <v>0</v>
      </c>
      <c r="DF215" s="2" t="b">
        <f>IF(OR(RecData[[#This Row],[WSpd_Avg '[m/s']]]-RecData[[#This Row],[Wind Speed min]]&gt;=$DF$3,RecData[[#This Row],[Wind Speed max]]-RecData[[#This Row],[WSpd_Avg '[m/s']]]&gt;=$DF$2),TRUE,FALSE)</f>
        <v>0</v>
      </c>
      <c r="DG215" s="2" t="b">
        <f>RecData[[#This Row],[Temperature '[°C']]]&lt;=-20</f>
        <v>0</v>
      </c>
      <c r="DH215" s="18" t="b">
        <f>NOT(OR(MOD(RecData[[#This Row],[TIMESTAMP]],1)&gt;0.91632,MOD(RecData[[#This Row],[TIMESTAMP]],1)&lt;0.208681))</f>
        <v>0</v>
      </c>
      <c r="DI215" s="18" t="b">
        <f>RecData[[#This Row],[Overall (dBA)]]-RecData[[#This Row],[L90]]&gt;=$DS$4</f>
        <v>0</v>
      </c>
      <c r="DJ215" s="18" t="b">
        <f>RecData[[#This Row],[Overall (dBA)]]&gt;$DS$2</f>
        <v>0</v>
      </c>
      <c r="DK215" s="18" t="b">
        <f>RecData[[#This Row],[Overall (dBA)]]&lt;$DS$3</f>
        <v>0</v>
      </c>
      <c r="DL2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5" s="2">
        <f>IF(AND(RecData[[#This Row],[Turbines ON/OFF]] = "OFF", NOT(OR(RecData[[#This Row],[Junk?]]="YES",RecData[[#This Row],[Gust?]],RecData[[#This Row],[Rain?]:[Min SPL Threshold?]]))),1,0)</f>
        <v>1</v>
      </c>
      <c r="DN215" s="16">
        <f>RecData[[#This Row],[dBA Sum]]</f>
        <v>20.416296330511095</v>
      </c>
      <c r="DO215" s="16">
        <f>RecData[[#This Row],[LAF90.0]]</f>
        <v>22.7</v>
      </c>
      <c r="DP215" s="55" t="str">
        <f>IF(AND(RecData[[#This Row],[Useable TON Data?]],RecData[[#This Row],[Turbines ON/OFF]]="ON"),RecData[[#This Row],[dBA Sum]],"")</f>
        <v/>
      </c>
      <c r="DQ215" s="55">
        <f>IF(AND(RecData[[#This Row],[Useable Background Data?]],RecData[[#This Row],[Turbines ON/OFF]]="OFF"),RecData[[#This Row],[dBA Sum]],"")</f>
        <v>20.416296330511095</v>
      </c>
      <c r="DR215" s="3">
        <f>IF(OR(RecData[[#This Row],[Useable TON Data?]],RecData[[#This Row],[Useable Background Data?]]),ROUND(RecData[[#This Row],[WSpd_Avg '[m/s']]],0),"")</f>
        <v>1</v>
      </c>
      <c r="DS215" s="85">
        <f>(0.00002)^2*(10^(RecData[[#This Row],[Overall (dBA)]]/10))</f>
        <v>4.4024012628144316E-8</v>
      </c>
    </row>
    <row r="216" spans="1:123" ht="15" x14ac:dyDescent="0.25">
      <c r="A216" s="3" t="s">
        <v>249</v>
      </c>
      <c r="B216" s="12">
        <v>43257.161805555559</v>
      </c>
      <c r="C216" s="3"/>
      <c r="D216" s="3">
        <v>24.5</v>
      </c>
      <c r="E216" s="3"/>
      <c r="F216" s="3"/>
      <c r="G216" s="3"/>
      <c r="H216" s="3"/>
      <c r="I216" s="3"/>
      <c r="J216" s="3"/>
      <c r="K216" s="3">
        <v>22.3</v>
      </c>
      <c r="L216" s="3"/>
      <c r="M216" s="3"/>
      <c r="N216" s="3">
        <v>122.2</v>
      </c>
      <c r="O216" s="3"/>
      <c r="P216" s="3"/>
      <c r="Q216" s="3">
        <v>0.67</v>
      </c>
      <c r="R216" s="3">
        <v>0.4</v>
      </c>
      <c r="S216" s="3">
        <v>0.9</v>
      </c>
      <c r="T216" s="3">
        <v>3.1</v>
      </c>
      <c r="U216" s="3">
        <v>94.1</v>
      </c>
      <c r="V216" s="3">
        <v>970</v>
      </c>
      <c r="W216" s="3">
        <v>0</v>
      </c>
      <c r="X216" s="3">
        <v>21.4</v>
      </c>
      <c r="Y216" s="3">
        <v>16.3</v>
      </c>
      <c r="Z216" s="3">
        <v>19.399999999999999</v>
      </c>
      <c r="AA216" s="3">
        <v>9.8000000000000007</v>
      </c>
      <c r="AB216" s="3">
        <v>8.6999999999999993</v>
      </c>
      <c r="AC216" s="3">
        <v>7.4</v>
      </c>
      <c r="AD216" s="3">
        <v>11.7</v>
      </c>
      <c r="AE216" s="3">
        <v>9.5</v>
      </c>
      <c r="AF216" s="3">
        <v>12.2</v>
      </c>
      <c r="AG216" s="3">
        <v>10.8</v>
      </c>
      <c r="AH216" s="3">
        <v>10.199999999999999</v>
      </c>
      <c r="AI216" s="3">
        <v>11.2</v>
      </c>
      <c r="AJ216" s="3">
        <v>11.4</v>
      </c>
      <c r="AK216" s="3">
        <v>11.2</v>
      </c>
      <c r="AL216" s="3">
        <v>11</v>
      </c>
      <c r="AM216" s="3">
        <v>11.5</v>
      </c>
      <c r="AN216" s="3">
        <v>12.6</v>
      </c>
      <c r="AO216" s="3">
        <v>12.3</v>
      </c>
      <c r="AP216" s="3">
        <v>11.8</v>
      </c>
      <c r="AQ216" s="3">
        <v>11.6</v>
      </c>
      <c r="AR216" s="3">
        <v>11.2</v>
      </c>
      <c r="AS216" s="3">
        <v>16.8</v>
      </c>
      <c r="AT216" s="3">
        <v>16</v>
      </c>
      <c r="AU216" s="3">
        <v>9.6</v>
      </c>
      <c r="AV216" s="3">
        <v>10.1</v>
      </c>
      <c r="AW216" s="3">
        <v>10.6</v>
      </c>
      <c r="AX216" s="3">
        <v>10</v>
      </c>
      <c r="AY216" s="3">
        <v>9.9</v>
      </c>
      <c r="AZ216" s="3">
        <v>0</v>
      </c>
      <c r="BA216" s="3">
        <v>0</v>
      </c>
      <c r="BB216" s="3">
        <v>0</v>
      </c>
      <c r="BC216" s="3">
        <v>24.393807639768177</v>
      </c>
      <c r="BD216" s="3">
        <v>21.506192360231822</v>
      </c>
      <c r="BE216" s="3">
        <v>16.40619236023182</v>
      </c>
      <c r="BF216" s="3">
        <v>18.26619236023182</v>
      </c>
      <c r="BG216" s="3">
        <v>8.9928590268984863</v>
      </c>
      <c r="BH216" s="3">
        <v>8.0328590268984925</v>
      </c>
      <c r="BI216" s="3">
        <v>7.1461923602318222</v>
      </c>
      <c r="BJ216" s="3">
        <v>12.239525693565156</v>
      </c>
      <c r="BK216" s="3">
        <v>9.912859026898488</v>
      </c>
      <c r="BL216" s="3">
        <v>12.186192360231821</v>
      </c>
      <c r="BM216" s="3">
        <v>10.919525693565156</v>
      </c>
      <c r="BN216" s="3">
        <v>10.602859026898493</v>
      </c>
      <c r="BO216" s="3">
        <v>10.96952569356516</v>
      </c>
      <c r="BP216" s="3">
        <v>10.886192360231824</v>
      </c>
      <c r="BQ216" s="3">
        <v>11.102859026898479</v>
      </c>
      <c r="BR216" s="3">
        <v>11.229525693565158</v>
      </c>
      <c r="BS216" s="3">
        <v>11.532859026898493</v>
      </c>
      <c r="BT216" s="3">
        <v>12.829525693565159</v>
      </c>
      <c r="BU216" s="3">
        <v>12.496192360231824</v>
      </c>
      <c r="BV216" s="3">
        <v>11.712859026898492</v>
      </c>
      <c r="BW216" s="3">
        <v>12.046192360231828</v>
      </c>
      <c r="BX216" s="3">
        <v>11.566192360231831</v>
      </c>
      <c r="BY216" s="3">
        <v>16.986192360231819</v>
      </c>
      <c r="BZ216" s="3">
        <v>16.316192360231831</v>
      </c>
      <c r="CA216" s="3">
        <v>10.01619236023182</v>
      </c>
      <c r="CB216" s="3">
        <v>9.9528590268984871</v>
      </c>
      <c r="CC216" s="3">
        <v>10.666192360231825</v>
      </c>
      <c r="CD216" s="3">
        <v>9.3728590268984959</v>
      </c>
      <c r="CE216" s="3">
        <v>9.4661923602318225</v>
      </c>
      <c r="CF216" s="3">
        <v>-0.82047430643484276</v>
      </c>
      <c r="CG216" s="3">
        <v>-1.3538076397681742</v>
      </c>
      <c r="CH216" s="3">
        <v>-2.4304743064348422</v>
      </c>
      <c r="CI216" s="13">
        <f>[1]!dbasum(RecData[[#This Row],[20]:[2000]],RecData[[#Headers],[20]:[2000]])</f>
        <v>20.640649078209709</v>
      </c>
      <c r="CJ216" s="14">
        <v>2898</v>
      </c>
      <c r="CK216" s="15" t="s">
        <v>249</v>
      </c>
      <c r="CL216" s="15">
        <f>RecData[[#This Row],[Start Time]]</f>
        <v>43257.161805555559</v>
      </c>
      <c r="CM216" s="16">
        <f>RecData[[#This Row],[Wind Speed avg]]</f>
        <v>0.67</v>
      </c>
      <c r="CN216" s="16">
        <f>RecData[[#This Row],[Wind Dir. avg]]</f>
        <v>122.2</v>
      </c>
      <c r="CO216" s="16">
        <f>RecData[[#This Row],[Amb. Humidity]]</f>
        <v>94.1</v>
      </c>
      <c r="CP216" s="16">
        <f>RecData[[#This Row],[Amb. Temperature]]</f>
        <v>3.1</v>
      </c>
      <c r="CQ216" s="17">
        <f>RecData[[#This Row],[Amb. Rain Gauge]]</f>
        <v>0</v>
      </c>
      <c r="CR216" s="4" t="s">
        <v>50</v>
      </c>
      <c r="CS216" s="4" t="s">
        <v>49</v>
      </c>
      <c r="CT216" s="70">
        <v>-10.769859309999999</v>
      </c>
      <c r="CU216" s="70">
        <v>156.0013123</v>
      </c>
      <c r="CV216" s="70">
        <v>1.8320738080000001</v>
      </c>
      <c r="CW216" s="70">
        <v>0</v>
      </c>
      <c r="CX216" s="4"/>
      <c r="CY216" s="69"/>
      <c r="CZ216" s="2" t="b">
        <f>IF($DP$1="YES",IF(RecData[[#This Row],[Power (kW)]]&gt;=$CR$3, TRUE,FALSE),TRUE)</f>
        <v>0</v>
      </c>
      <c r="DA216" s="16">
        <f>MIN(MOD(180-ABS(ABS($DA$1-RecData[Yaw Angle (°)])-180),360),MOD(180-ABS(ABS($DB$1-RecData[Yaw Angle (°)])-180),360))</f>
        <v>148.47138552231246</v>
      </c>
      <c r="DB216" s="2" t="str">
        <f>IF($DP$2="None","None",IF(RecData[[#This Row],[Relative Wind Direction]]&lt;=45,"DW",IF(RecData[[#This Row],[Relative Wind Direction]]&lt;=135,"CW","UW")))</f>
        <v>UW</v>
      </c>
      <c r="DC216" s="61">
        <f>IF($CL216-$CL212&gt;1/24,#REF!,IF(SUM($CQ212:$CQ216)&gt;$DS$1,$DS$5,DC217-1))</f>
        <v>-2</v>
      </c>
      <c r="DD216" s="61">
        <f>IF($CL217-$CL216&gt;1/24,#REF!,IF(SUM($CQ212:$CQ216)&gt;$DS$1,$DS$6,DD215-1))</f>
        <v>-9</v>
      </c>
      <c r="DE216" s="18" t="b">
        <v>0</v>
      </c>
      <c r="DF216" s="2" t="b">
        <f>IF(OR(RecData[[#This Row],[WSpd_Avg '[m/s']]]-RecData[[#This Row],[Wind Speed min]]&gt;=$DF$3,RecData[[#This Row],[Wind Speed max]]-RecData[[#This Row],[WSpd_Avg '[m/s']]]&gt;=$DF$2),TRUE,FALSE)</f>
        <v>0</v>
      </c>
      <c r="DG216" s="2" t="b">
        <f>RecData[[#This Row],[Temperature '[°C']]]&lt;=-20</f>
        <v>0</v>
      </c>
      <c r="DH216" s="18" t="b">
        <f>NOT(OR(MOD(RecData[[#This Row],[TIMESTAMP]],1)&gt;0.91632,MOD(RecData[[#This Row],[TIMESTAMP]],1)&lt;0.208681))</f>
        <v>0</v>
      </c>
      <c r="DI216" s="18" t="b">
        <f>RecData[[#This Row],[Overall (dBA)]]-RecData[[#This Row],[L90]]&gt;=$DS$4</f>
        <v>0</v>
      </c>
      <c r="DJ216" s="18" t="b">
        <f>RecData[[#This Row],[Overall (dBA)]]&gt;$DS$2</f>
        <v>0</v>
      </c>
      <c r="DK216" s="18" t="b">
        <f>RecData[[#This Row],[Overall (dBA)]]&lt;$DS$3</f>
        <v>0</v>
      </c>
      <c r="DL2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6" s="2">
        <f>IF(AND(RecData[[#This Row],[Turbines ON/OFF]] = "OFF", NOT(OR(RecData[[#This Row],[Junk?]]="YES",RecData[[#This Row],[Gust?]],RecData[[#This Row],[Rain?]:[Min SPL Threshold?]]))),1,0)</f>
        <v>1</v>
      </c>
      <c r="DN216" s="16">
        <f>RecData[[#This Row],[dBA Sum]]</f>
        <v>20.640649078209709</v>
      </c>
      <c r="DO216" s="16">
        <f>RecData[[#This Row],[LAF90.0]]</f>
        <v>22.3</v>
      </c>
      <c r="DP216" s="55" t="str">
        <f>IF(AND(RecData[[#This Row],[Useable TON Data?]],RecData[[#This Row],[Turbines ON/OFF]]="ON"),RecData[[#This Row],[dBA Sum]],"")</f>
        <v/>
      </c>
      <c r="DQ216" s="55">
        <f>IF(AND(RecData[[#This Row],[Useable Background Data?]],RecData[[#This Row],[Turbines ON/OFF]]="OFF"),RecData[[#This Row],[dBA Sum]],"")</f>
        <v>20.640649078209709</v>
      </c>
      <c r="DR216" s="3">
        <f>IF(OR(RecData[[#This Row],[Useable TON Data?]],RecData[[#This Row],[Useable Background Data?]]),ROUND(RecData[[#This Row],[WSpd_Avg '[m/s']]],0),"")</f>
        <v>1</v>
      </c>
      <c r="DS216" s="85">
        <f>(0.00002)^2*(10^(RecData[[#This Row],[Overall (dBA)]]/10))</f>
        <v>4.6358022202893896E-8</v>
      </c>
    </row>
    <row r="217" spans="1:123" ht="15" x14ac:dyDescent="0.25">
      <c r="A217" s="3" t="s">
        <v>249</v>
      </c>
      <c r="B217" s="12">
        <v>43257.162499999999</v>
      </c>
      <c r="C217" s="3"/>
      <c r="D217" s="3">
        <v>24.3</v>
      </c>
      <c r="E217" s="3"/>
      <c r="F217" s="3"/>
      <c r="G217" s="3"/>
      <c r="H217" s="3"/>
      <c r="I217" s="3"/>
      <c r="J217" s="3"/>
      <c r="K217" s="3">
        <v>22.3</v>
      </c>
      <c r="L217" s="3"/>
      <c r="M217" s="3"/>
      <c r="N217" s="3">
        <v>121</v>
      </c>
      <c r="O217" s="3"/>
      <c r="P217" s="3"/>
      <c r="Q217" s="3">
        <v>0.64</v>
      </c>
      <c r="R217" s="3">
        <v>0.4</v>
      </c>
      <c r="S217" s="3">
        <v>0.9</v>
      </c>
      <c r="T217" s="3">
        <v>3</v>
      </c>
      <c r="U217" s="3">
        <v>94.1</v>
      </c>
      <c r="V217" s="3">
        <v>970</v>
      </c>
      <c r="W217" s="3">
        <v>0</v>
      </c>
      <c r="X217" s="3">
        <v>20.8</v>
      </c>
      <c r="Y217" s="3">
        <v>15.3</v>
      </c>
      <c r="Z217" s="3">
        <v>19.100000000000001</v>
      </c>
      <c r="AA217" s="3">
        <v>9.3000000000000007</v>
      </c>
      <c r="AB217" s="3">
        <v>8.6</v>
      </c>
      <c r="AC217" s="3">
        <v>7.9</v>
      </c>
      <c r="AD217" s="3">
        <v>12.6</v>
      </c>
      <c r="AE217" s="3">
        <v>10.4</v>
      </c>
      <c r="AF217" s="3">
        <v>14.2</v>
      </c>
      <c r="AG217" s="3">
        <v>12.3</v>
      </c>
      <c r="AH217" s="3">
        <v>9.9</v>
      </c>
      <c r="AI217" s="3">
        <v>11.3</v>
      </c>
      <c r="AJ217" s="3">
        <v>11.2</v>
      </c>
      <c r="AK217" s="3">
        <v>11</v>
      </c>
      <c r="AL217" s="3">
        <v>11.1</v>
      </c>
      <c r="AM217" s="3">
        <v>11.7</v>
      </c>
      <c r="AN217" s="3">
        <v>12.7</v>
      </c>
      <c r="AO217" s="3">
        <v>13</v>
      </c>
      <c r="AP217" s="3">
        <v>12.3</v>
      </c>
      <c r="AQ217" s="3">
        <v>12.3</v>
      </c>
      <c r="AR217" s="3">
        <v>12.1</v>
      </c>
      <c r="AS217" s="3">
        <v>15.8</v>
      </c>
      <c r="AT217" s="3">
        <v>14.6</v>
      </c>
      <c r="AU217" s="3">
        <v>10.1</v>
      </c>
      <c r="AV217" s="3">
        <v>10.4</v>
      </c>
      <c r="AW217" s="3">
        <v>10.9</v>
      </c>
      <c r="AX217" s="3">
        <v>10</v>
      </c>
      <c r="AY217" s="3">
        <v>10</v>
      </c>
      <c r="AZ217" s="3">
        <v>0</v>
      </c>
      <c r="BA217" s="3">
        <v>0</v>
      </c>
      <c r="BB217" s="3">
        <v>0</v>
      </c>
      <c r="BC217" s="3">
        <v>24.214016669083197</v>
      </c>
      <c r="BD217" s="3">
        <v>20.885983330916805</v>
      </c>
      <c r="BE217" s="3">
        <v>15.385983330916805</v>
      </c>
      <c r="BF217" s="3">
        <v>17.945983330916807</v>
      </c>
      <c r="BG217" s="3">
        <v>8.4726499975834706</v>
      </c>
      <c r="BH217" s="3">
        <v>7.9126499975834754</v>
      </c>
      <c r="BI217" s="3">
        <v>7.6259833309168066</v>
      </c>
      <c r="BJ217" s="3">
        <v>13.119316664250132</v>
      </c>
      <c r="BK217" s="3">
        <v>10.792649997583464</v>
      </c>
      <c r="BL217" s="3">
        <v>14.165983330916806</v>
      </c>
      <c r="BM217" s="3">
        <v>12.39931666425014</v>
      </c>
      <c r="BN217" s="3">
        <v>10.282649997583473</v>
      </c>
      <c r="BO217" s="3">
        <v>11.049316664250139</v>
      </c>
      <c r="BP217" s="3">
        <v>10.665983330916806</v>
      </c>
      <c r="BQ217" s="3">
        <v>10.88264999758346</v>
      </c>
      <c r="BR217" s="3">
        <v>11.309316664250137</v>
      </c>
      <c r="BS217" s="3">
        <v>11.712649997583473</v>
      </c>
      <c r="BT217" s="3">
        <v>12.909316664250138</v>
      </c>
      <c r="BU217" s="3">
        <v>13.175983330916804</v>
      </c>
      <c r="BV217" s="3">
        <v>12.192649997583469</v>
      </c>
      <c r="BW217" s="3">
        <v>12.725983330916808</v>
      </c>
      <c r="BX217" s="3">
        <v>12.445983330916807</v>
      </c>
      <c r="BY217" s="3">
        <v>15.965983330916803</v>
      </c>
      <c r="BZ217" s="3">
        <v>14.895983330916803</v>
      </c>
      <c r="CA217" s="3">
        <v>10.495983330916797</v>
      </c>
      <c r="CB217" s="3">
        <v>10.232649997583469</v>
      </c>
      <c r="CC217" s="3">
        <v>10.9459833309168</v>
      </c>
      <c r="CD217" s="3">
        <v>9.3526499975834732</v>
      </c>
      <c r="CE217" s="3">
        <v>9.5459833309168012</v>
      </c>
      <c r="CF217" s="3">
        <v>-0.84068333574986198</v>
      </c>
      <c r="CG217" s="3">
        <v>-1.3740166690831934</v>
      </c>
      <c r="CH217" s="3">
        <v>-2.4506833357498614</v>
      </c>
      <c r="CI217" s="13">
        <f>[1]!dbasum(RecData[[#This Row],[20]:[2000]],RecData[[#Headers],[20]:[2000]])</f>
        <v>21.121587735925644</v>
      </c>
      <c r="CJ217" s="14">
        <v>2899</v>
      </c>
      <c r="CK217" s="15" t="s">
        <v>249</v>
      </c>
      <c r="CL217" s="15">
        <f>RecData[[#This Row],[Start Time]]</f>
        <v>43257.162499999999</v>
      </c>
      <c r="CM217" s="16">
        <f>RecData[[#This Row],[Wind Speed avg]]</f>
        <v>0.64</v>
      </c>
      <c r="CN217" s="16">
        <f>RecData[[#This Row],[Wind Dir. avg]]</f>
        <v>121</v>
      </c>
      <c r="CO217" s="16">
        <f>RecData[[#This Row],[Amb. Humidity]]</f>
        <v>94.1</v>
      </c>
      <c r="CP217" s="16">
        <f>RecData[[#This Row],[Amb. Temperature]]</f>
        <v>3</v>
      </c>
      <c r="CQ217" s="17">
        <f>RecData[[#This Row],[Amb. Rain Gauge]]</f>
        <v>0</v>
      </c>
      <c r="CR217" s="4" t="s">
        <v>50</v>
      </c>
      <c r="CS217" s="4" t="s">
        <v>49</v>
      </c>
      <c r="CT217" s="70">
        <v>-10.769859309999999</v>
      </c>
      <c r="CU217" s="70">
        <v>156.0013123</v>
      </c>
      <c r="CV217" s="70">
        <v>1.8320738080000001</v>
      </c>
      <c r="CW217" s="70">
        <v>0</v>
      </c>
      <c r="CX217" s="4"/>
      <c r="CY217" s="69"/>
      <c r="CZ217" s="2" t="b">
        <f>IF($DP$1="YES",IF(RecData[[#This Row],[Power (kW)]]&gt;=$CR$3, TRUE,FALSE),TRUE)</f>
        <v>0</v>
      </c>
      <c r="DA217" s="16">
        <f>MIN(MOD(180-ABS(ABS($DA$1-RecData[Yaw Angle (°)])-180),360),MOD(180-ABS(ABS($DB$1-RecData[Yaw Angle (°)])-180),360))</f>
        <v>148.47138552231246</v>
      </c>
      <c r="DB217" s="2" t="str">
        <f>IF($DP$2="None","None",IF(RecData[[#This Row],[Relative Wind Direction]]&lt;=45,"DW",IF(RecData[[#This Row],[Relative Wind Direction]]&lt;=135,"CW","UW")))</f>
        <v>UW</v>
      </c>
      <c r="DC217" s="61">
        <v>-1</v>
      </c>
      <c r="DD217" s="61">
        <v>-1</v>
      </c>
      <c r="DE217" s="18" t="b">
        <v>0</v>
      </c>
      <c r="DF217" s="2" t="b">
        <f>IF(OR(RecData[[#This Row],[WSpd_Avg '[m/s']]]-RecData[[#This Row],[Wind Speed min]]&gt;=$DF$3,RecData[[#This Row],[Wind Speed max]]-RecData[[#This Row],[WSpd_Avg '[m/s']]]&gt;=$DF$2),TRUE,FALSE)</f>
        <v>0</v>
      </c>
      <c r="DG217" s="2" t="b">
        <f>RecData[[#This Row],[Temperature '[°C']]]&lt;=-20</f>
        <v>0</v>
      </c>
      <c r="DH217" s="18" t="b">
        <f>NOT(OR(MOD(RecData[[#This Row],[TIMESTAMP]],1)&gt;0.91632,MOD(RecData[[#This Row],[TIMESTAMP]],1)&lt;0.208681))</f>
        <v>0</v>
      </c>
      <c r="DI217" s="18" t="b">
        <f>RecData[[#This Row],[Overall (dBA)]]-RecData[[#This Row],[L90]]&gt;=$DS$4</f>
        <v>0</v>
      </c>
      <c r="DJ217" s="18" t="b">
        <f>RecData[[#This Row],[Overall (dBA)]]&gt;$DS$2</f>
        <v>0</v>
      </c>
      <c r="DK217" s="18" t="b">
        <f>RecData[[#This Row],[Overall (dBA)]]&lt;$DS$3</f>
        <v>0</v>
      </c>
      <c r="DL2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7" s="2">
        <f>IF(AND(RecData[[#This Row],[Turbines ON/OFF]] = "OFF", NOT(OR(RecData[[#This Row],[Junk?]]="YES",RecData[[#This Row],[Gust?]],RecData[[#This Row],[Rain?]:[Min SPL Threshold?]]))),1,0)</f>
        <v>1</v>
      </c>
      <c r="DN217" s="16">
        <f>RecData[[#This Row],[dBA Sum]]</f>
        <v>21.121587735925644</v>
      </c>
      <c r="DO217" s="16">
        <f>RecData[[#This Row],[LAF90.0]]</f>
        <v>22.3</v>
      </c>
      <c r="DP217" s="55" t="str">
        <f>IF(AND(RecData[[#This Row],[Useable TON Data?]],RecData[[#This Row],[Turbines ON/OFF]]="ON"),RecData[[#This Row],[dBA Sum]],"")</f>
        <v/>
      </c>
      <c r="DQ217" s="55">
        <f>IF(AND(RecData[[#This Row],[Useable Background Data?]],RecData[[#This Row],[Turbines ON/OFF]]="OFF"),RecData[[#This Row],[dBA Sum]],"")</f>
        <v>21.121587735925644</v>
      </c>
      <c r="DR217" s="3">
        <f>IF(OR(RecData[[#This Row],[Useable TON Data?]],RecData[[#This Row],[Useable Background Data?]]),ROUND(RecData[[#This Row],[WSpd_Avg '[m/s']]],0),"")</f>
        <v>1</v>
      </c>
      <c r="DS217" s="85">
        <f>(0.00002)^2*(10^(RecData[[#This Row],[Overall (dBA)]]/10))</f>
        <v>5.1786762905117314E-8</v>
      </c>
    </row>
    <row r="218" spans="1:123" ht="15" x14ac:dyDescent="0.25">
      <c r="A218" s="3" t="s">
        <v>249</v>
      </c>
      <c r="B218" s="12">
        <v>43257.163194444445</v>
      </c>
      <c r="C218" s="3"/>
      <c r="D218" s="3">
        <v>24.7</v>
      </c>
      <c r="E218" s="3"/>
      <c r="F218" s="3"/>
      <c r="G218" s="3"/>
      <c r="H218" s="3"/>
      <c r="I218" s="3"/>
      <c r="J218" s="3"/>
      <c r="K218" s="3">
        <v>22.5</v>
      </c>
      <c r="L218" s="3"/>
      <c r="M218" s="3"/>
      <c r="N218" s="3">
        <v>127.4</v>
      </c>
      <c r="O218" s="3"/>
      <c r="P218" s="3"/>
      <c r="Q218" s="3">
        <v>0.8</v>
      </c>
      <c r="R218" s="3">
        <v>0.5</v>
      </c>
      <c r="S218" s="3">
        <v>1</v>
      </c>
      <c r="T218" s="3">
        <v>3</v>
      </c>
      <c r="U218" s="3">
        <v>94.2</v>
      </c>
      <c r="V218" s="3">
        <v>969.9</v>
      </c>
      <c r="W218" s="3">
        <v>0</v>
      </c>
      <c r="X218" s="3">
        <v>20.6</v>
      </c>
      <c r="Y218" s="3">
        <v>16</v>
      </c>
      <c r="Z218" s="3">
        <v>19.2</v>
      </c>
      <c r="AA218" s="3">
        <v>9.6999999999999993</v>
      </c>
      <c r="AB218" s="3">
        <v>8.6</v>
      </c>
      <c r="AC218" s="3">
        <v>7</v>
      </c>
      <c r="AD218" s="3">
        <v>12.2</v>
      </c>
      <c r="AE218" s="3">
        <v>9.6</v>
      </c>
      <c r="AF218" s="3">
        <v>14.2</v>
      </c>
      <c r="AG218" s="3">
        <v>11.7</v>
      </c>
      <c r="AH218" s="3">
        <v>10.1</v>
      </c>
      <c r="AI218" s="3">
        <v>11.1</v>
      </c>
      <c r="AJ218" s="3">
        <v>11.1</v>
      </c>
      <c r="AK218" s="3">
        <v>11</v>
      </c>
      <c r="AL218" s="3">
        <v>10.9</v>
      </c>
      <c r="AM218" s="3">
        <v>11.5</v>
      </c>
      <c r="AN218" s="3">
        <v>12.5</v>
      </c>
      <c r="AO218" s="3">
        <v>12.2</v>
      </c>
      <c r="AP218" s="3">
        <v>11.6</v>
      </c>
      <c r="AQ218" s="3">
        <v>11.6</v>
      </c>
      <c r="AR218" s="3">
        <v>10.9</v>
      </c>
      <c r="AS218" s="3">
        <v>17.899999999999999</v>
      </c>
      <c r="AT218" s="3">
        <v>15.7</v>
      </c>
      <c r="AU218" s="3">
        <v>10.4</v>
      </c>
      <c r="AV218" s="3">
        <v>11.1</v>
      </c>
      <c r="AW218" s="3">
        <v>11.3</v>
      </c>
      <c r="AX218" s="3">
        <v>10.199999999999999</v>
      </c>
      <c r="AY218" s="3">
        <v>10</v>
      </c>
      <c r="AZ218" s="3">
        <v>0</v>
      </c>
      <c r="BA218" s="3">
        <v>0</v>
      </c>
      <c r="BB218" s="3">
        <v>0</v>
      </c>
      <c r="BC218" s="3">
        <v>24.696273879448079</v>
      </c>
      <c r="BD218" s="3">
        <v>20.603726120551919</v>
      </c>
      <c r="BE218" s="3">
        <v>16.003726120551924</v>
      </c>
      <c r="BF218" s="3">
        <v>17.963726120551918</v>
      </c>
      <c r="BG218" s="3">
        <v>8.7903927872185861</v>
      </c>
      <c r="BH218" s="3">
        <v>7.8303927872185923</v>
      </c>
      <c r="BI218" s="3">
        <v>6.6437261205519214</v>
      </c>
      <c r="BJ218" s="3">
        <v>12.63705945388525</v>
      </c>
      <c r="BK218" s="3">
        <v>9.9103927872185835</v>
      </c>
      <c r="BL218" s="3">
        <v>14.083726120551923</v>
      </c>
      <c r="BM218" s="3">
        <v>11.717059453885255</v>
      </c>
      <c r="BN218" s="3">
        <v>10.400392787218586</v>
      </c>
      <c r="BO218" s="3">
        <v>10.76705945388526</v>
      </c>
      <c r="BP218" s="3">
        <v>10.483726120551921</v>
      </c>
      <c r="BQ218" s="3">
        <v>10.800392787218577</v>
      </c>
      <c r="BR218" s="3">
        <v>11.027059453885258</v>
      </c>
      <c r="BS218" s="3">
        <v>11.430392787218587</v>
      </c>
      <c r="BT218" s="3">
        <v>12.627059453885259</v>
      </c>
      <c r="BU218" s="3">
        <v>12.293726120551923</v>
      </c>
      <c r="BV218" s="3">
        <v>11.410392787218591</v>
      </c>
      <c r="BW218" s="3">
        <v>11.943726120551922</v>
      </c>
      <c r="BX218" s="3">
        <v>11.163726120551928</v>
      </c>
      <c r="BY218" s="3">
        <v>17.983726120551914</v>
      </c>
      <c r="BZ218" s="3">
        <v>15.913726120551921</v>
      </c>
      <c r="CA218" s="3">
        <v>10.713726120551918</v>
      </c>
      <c r="CB218" s="3">
        <v>10.850392787218588</v>
      </c>
      <c r="CC218" s="3">
        <v>11.263726120551922</v>
      </c>
      <c r="CD218" s="3">
        <v>9.4703927872185929</v>
      </c>
      <c r="CE218" s="3">
        <v>9.4637261205519181</v>
      </c>
      <c r="CF218" s="3">
        <v>-0.92294054611474508</v>
      </c>
      <c r="CG218" s="3">
        <v>-1.4562738794480765</v>
      </c>
      <c r="CH218" s="3">
        <v>-2.5329405461147445</v>
      </c>
      <c r="CI218" s="13">
        <f>[1]!dbasum(RecData[[#This Row],[20]:[2000]],RecData[[#Headers],[20]:[2000]])</f>
        <v>20.424911014018203</v>
      </c>
      <c r="CJ218" s="14">
        <v>2900</v>
      </c>
      <c r="CK218" s="15" t="s">
        <v>249</v>
      </c>
      <c r="CL218" s="15">
        <f>RecData[[#This Row],[Start Time]]</f>
        <v>43257.163194444445</v>
      </c>
      <c r="CM218" s="16">
        <f>RecData[[#This Row],[Wind Speed avg]]</f>
        <v>0.8</v>
      </c>
      <c r="CN218" s="16">
        <f>RecData[[#This Row],[Wind Dir. avg]]</f>
        <v>127.4</v>
      </c>
      <c r="CO218" s="16">
        <f>RecData[[#This Row],[Amb. Humidity]]</f>
        <v>94.2</v>
      </c>
      <c r="CP218" s="16">
        <f>RecData[[#This Row],[Amb. Temperature]]</f>
        <v>3</v>
      </c>
      <c r="CQ218" s="17">
        <f>RecData[[#This Row],[Amb. Rain Gauge]]</f>
        <v>0</v>
      </c>
      <c r="CR218" s="4" t="s">
        <v>50</v>
      </c>
      <c r="CS218" s="4" t="s">
        <v>49</v>
      </c>
      <c r="CT218" s="70">
        <v>-10.769859309999999</v>
      </c>
      <c r="CU218" s="70">
        <v>156.0013123</v>
      </c>
      <c r="CV218" s="70">
        <v>1.8320738080000001</v>
      </c>
      <c r="CW218" s="70">
        <v>0</v>
      </c>
      <c r="CX218" s="4"/>
      <c r="CY218" s="69"/>
      <c r="CZ218" s="2" t="b">
        <f>IF($DP$1="YES",IF(RecData[[#This Row],[Power (kW)]]&gt;=$CR$3, TRUE,FALSE),TRUE)</f>
        <v>0</v>
      </c>
      <c r="DA218" s="16">
        <f>MIN(MOD(180-ABS(ABS($DA$1-RecData[Yaw Angle (°)])-180),360),MOD(180-ABS(ABS($DB$1-RecData[Yaw Angle (°)])-180),360))</f>
        <v>148.47138552231246</v>
      </c>
      <c r="DB218" s="2" t="str">
        <f>IF($DP$2="None","None",IF(RecData[[#This Row],[Relative Wind Direction]]&lt;=45,"DW",IF(RecData[[#This Row],[Relative Wind Direction]]&lt;=135,"CW","UW")))</f>
        <v>UW</v>
      </c>
      <c r="DC218" s="61">
        <f>IF($CL218-$CL217&gt;1/24,#REF!,IF(SUM($CQ217:$CQ218)&gt;$DS$1,$DS$5,DC219-1))</f>
        <v>-9</v>
      </c>
      <c r="DD218" s="61">
        <f>IF($CL219-$CL218&gt;1/24,#REF!,IF(SUM($CQ217:$CQ218)&gt;$DS$1,$DS$6,DD217-1))</f>
        <v>-2</v>
      </c>
      <c r="DE218" s="18" t="b">
        <v>0</v>
      </c>
      <c r="DF218" s="2" t="b">
        <f>IF(OR(RecData[[#This Row],[WSpd_Avg '[m/s']]]-RecData[[#This Row],[Wind Speed min]]&gt;=$DF$3,RecData[[#This Row],[Wind Speed max]]-RecData[[#This Row],[WSpd_Avg '[m/s']]]&gt;=$DF$2),TRUE,FALSE)</f>
        <v>0</v>
      </c>
      <c r="DG218" s="2" t="b">
        <f>RecData[[#This Row],[Temperature '[°C']]]&lt;=-20</f>
        <v>0</v>
      </c>
      <c r="DH218" s="18" t="b">
        <f>NOT(OR(MOD(RecData[[#This Row],[TIMESTAMP]],1)&gt;0.91632,MOD(RecData[[#This Row],[TIMESTAMP]],1)&lt;0.208681))</f>
        <v>0</v>
      </c>
      <c r="DI218" s="18" t="b">
        <f>RecData[[#This Row],[Overall (dBA)]]-RecData[[#This Row],[L90]]&gt;=$DS$4</f>
        <v>0</v>
      </c>
      <c r="DJ218" s="18" t="b">
        <f>RecData[[#This Row],[Overall (dBA)]]&gt;$DS$2</f>
        <v>0</v>
      </c>
      <c r="DK218" s="18" t="b">
        <f>RecData[[#This Row],[Overall (dBA)]]&lt;$DS$3</f>
        <v>0</v>
      </c>
      <c r="DL2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8" s="2">
        <f>IF(AND(RecData[[#This Row],[Turbines ON/OFF]] = "OFF", NOT(OR(RecData[[#This Row],[Junk?]]="YES",RecData[[#This Row],[Gust?]],RecData[[#This Row],[Rain?]:[Min SPL Threshold?]]))),1,0)</f>
        <v>1</v>
      </c>
      <c r="DN218" s="16">
        <f>RecData[[#This Row],[dBA Sum]]</f>
        <v>20.424911014018203</v>
      </c>
      <c r="DO218" s="16">
        <f>RecData[[#This Row],[LAF90.0]]</f>
        <v>22.5</v>
      </c>
      <c r="DP218" s="55" t="str">
        <f>IF(AND(RecData[[#This Row],[Useable TON Data?]],RecData[[#This Row],[Turbines ON/OFF]]="ON"),RecData[[#This Row],[dBA Sum]],"")</f>
        <v/>
      </c>
      <c r="DQ218" s="55">
        <f>IF(AND(RecData[[#This Row],[Useable Background Data?]],RecData[[#This Row],[Turbines ON/OFF]]="OFF"),RecData[[#This Row],[dBA Sum]],"")</f>
        <v>20.424911014018203</v>
      </c>
      <c r="DR218" s="3">
        <f>IF(OR(RecData[[#This Row],[Useable TON Data?]],RecData[[#This Row],[Useable Background Data?]]),ROUND(RecData[[#This Row],[WSpd_Avg '[m/s']]],0),"")</f>
        <v>1</v>
      </c>
      <c r="DS218" s="85">
        <f>(0.00002)^2*(10^(RecData[[#This Row],[Overall (dBA)]]/10))</f>
        <v>4.411142551133946E-8</v>
      </c>
    </row>
    <row r="219" spans="1:123" ht="15" x14ac:dyDescent="0.25">
      <c r="A219" s="3" t="s">
        <v>249</v>
      </c>
      <c r="B219" s="12">
        <v>43257.163888888892</v>
      </c>
      <c r="C219" s="3"/>
      <c r="D219" s="3">
        <v>24.2</v>
      </c>
      <c r="E219" s="3"/>
      <c r="F219" s="3"/>
      <c r="G219" s="3"/>
      <c r="H219" s="3"/>
      <c r="I219" s="3"/>
      <c r="J219" s="3"/>
      <c r="K219" s="3">
        <v>22.5</v>
      </c>
      <c r="L219" s="3"/>
      <c r="M219" s="3"/>
      <c r="N219" s="3">
        <v>119.4</v>
      </c>
      <c r="O219" s="3"/>
      <c r="P219" s="3"/>
      <c r="Q219" s="3">
        <v>0.65</v>
      </c>
      <c r="R219" s="3">
        <v>0.3</v>
      </c>
      <c r="S219" s="3">
        <v>1</v>
      </c>
      <c r="T219" s="3">
        <v>3</v>
      </c>
      <c r="U219" s="3">
        <v>94.2</v>
      </c>
      <c r="V219" s="3">
        <v>969.9</v>
      </c>
      <c r="W219" s="3">
        <v>0</v>
      </c>
      <c r="X219" s="3">
        <v>20.100000000000001</v>
      </c>
      <c r="Y219" s="3">
        <v>15.9</v>
      </c>
      <c r="Z219" s="3">
        <v>18</v>
      </c>
      <c r="AA219" s="3">
        <v>9.1</v>
      </c>
      <c r="AB219" s="3">
        <v>9.1</v>
      </c>
      <c r="AC219" s="3">
        <v>8.3000000000000007</v>
      </c>
      <c r="AD219" s="3">
        <v>10.4</v>
      </c>
      <c r="AE219" s="3">
        <v>9.4</v>
      </c>
      <c r="AF219" s="3">
        <v>13.9</v>
      </c>
      <c r="AG219" s="3">
        <v>11.5</v>
      </c>
      <c r="AH219" s="3">
        <v>10</v>
      </c>
      <c r="AI219" s="3">
        <v>11.2</v>
      </c>
      <c r="AJ219" s="3">
        <v>11.1</v>
      </c>
      <c r="AK219" s="3">
        <v>11.1</v>
      </c>
      <c r="AL219" s="3">
        <v>11</v>
      </c>
      <c r="AM219" s="3">
        <v>11.6</v>
      </c>
      <c r="AN219" s="3">
        <v>12.6</v>
      </c>
      <c r="AO219" s="3">
        <v>12.4</v>
      </c>
      <c r="AP219" s="3">
        <v>11.8</v>
      </c>
      <c r="AQ219" s="3">
        <v>11.6</v>
      </c>
      <c r="AR219" s="3">
        <v>11.2</v>
      </c>
      <c r="AS219" s="3">
        <v>15.3</v>
      </c>
      <c r="AT219" s="3">
        <v>15.6</v>
      </c>
      <c r="AU219" s="3">
        <v>10.4</v>
      </c>
      <c r="AV219" s="3">
        <v>10.9</v>
      </c>
      <c r="AW219" s="3">
        <v>11.1</v>
      </c>
      <c r="AX219" s="3">
        <v>10.1</v>
      </c>
      <c r="AY219" s="3">
        <v>10</v>
      </c>
      <c r="AZ219" s="3">
        <v>0</v>
      </c>
      <c r="BA219" s="3">
        <v>0</v>
      </c>
      <c r="BB219" s="3">
        <v>0</v>
      </c>
      <c r="BC219" s="3">
        <v>24.125584114041793</v>
      </c>
      <c r="BD219" s="3">
        <v>20.174415885958204</v>
      </c>
      <c r="BE219" s="3">
        <v>15.974415885958209</v>
      </c>
      <c r="BF219" s="3">
        <v>16.834415885958208</v>
      </c>
      <c r="BG219" s="3">
        <v>8.2610825526248703</v>
      </c>
      <c r="BH219" s="3">
        <v>8.401082552624878</v>
      </c>
      <c r="BI219" s="3">
        <v>8.0144158859582078</v>
      </c>
      <c r="BJ219" s="3">
        <v>10.907749219291539</v>
      </c>
      <c r="BK219" s="3">
        <v>9.7810825526248735</v>
      </c>
      <c r="BL219" s="3">
        <v>13.854415885958211</v>
      </c>
      <c r="BM219" s="3">
        <v>11.587749219291545</v>
      </c>
      <c r="BN219" s="3">
        <v>10.371082552624877</v>
      </c>
      <c r="BO219" s="3">
        <v>10.93774921929154</v>
      </c>
      <c r="BP219" s="3">
        <v>10.554415885958207</v>
      </c>
      <c r="BQ219" s="3">
        <v>10.971082552624864</v>
      </c>
      <c r="BR219" s="3">
        <v>11.197749219291545</v>
      </c>
      <c r="BS219" s="3">
        <v>11.601082552624874</v>
      </c>
      <c r="BT219" s="3">
        <v>12.797749219291539</v>
      </c>
      <c r="BU219" s="3">
        <v>12.564415885958212</v>
      </c>
      <c r="BV219" s="3">
        <v>11.681082552624872</v>
      </c>
      <c r="BW219" s="3">
        <v>12.014415885958208</v>
      </c>
      <c r="BX219" s="3">
        <v>11.534415885958211</v>
      </c>
      <c r="BY219" s="3">
        <v>15.454415885958205</v>
      </c>
      <c r="BZ219" s="3">
        <v>15.884415885958212</v>
      </c>
      <c r="CA219" s="3">
        <v>10.784415885958204</v>
      </c>
      <c r="CB219" s="3">
        <v>10.721082552624871</v>
      </c>
      <c r="CC219" s="3">
        <v>11.134415885958205</v>
      </c>
      <c r="CD219" s="3">
        <v>9.4410825526248772</v>
      </c>
      <c r="CE219" s="3">
        <v>9.5344158859582038</v>
      </c>
      <c r="CF219" s="3">
        <v>-0.85225078070845939</v>
      </c>
      <c r="CG219" s="3">
        <v>-1.3855841140417908</v>
      </c>
      <c r="CH219" s="3">
        <v>-2.4622507807084588</v>
      </c>
      <c r="CI219" s="13">
        <f>[1]!dbasum(RecData[[#This Row],[20]:[2000]],RecData[[#Headers],[20]:[2000]])</f>
        <v>20.630372060943319</v>
      </c>
      <c r="CJ219" s="14">
        <v>2901</v>
      </c>
      <c r="CK219" s="15" t="s">
        <v>249</v>
      </c>
      <c r="CL219" s="15">
        <f>RecData[[#This Row],[Start Time]]</f>
        <v>43257.163888888892</v>
      </c>
      <c r="CM219" s="16">
        <f>RecData[[#This Row],[Wind Speed avg]]</f>
        <v>0.65</v>
      </c>
      <c r="CN219" s="16">
        <f>RecData[[#This Row],[Wind Dir. avg]]</f>
        <v>119.4</v>
      </c>
      <c r="CO219" s="16">
        <f>RecData[[#This Row],[Amb. Humidity]]</f>
        <v>94.2</v>
      </c>
      <c r="CP219" s="16">
        <f>RecData[[#This Row],[Amb. Temperature]]</f>
        <v>3</v>
      </c>
      <c r="CQ219" s="17">
        <f>RecData[[#This Row],[Amb. Rain Gauge]]</f>
        <v>0</v>
      </c>
      <c r="CR219" s="4" t="s">
        <v>50</v>
      </c>
      <c r="CS219" s="4" t="s">
        <v>49</v>
      </c>
      <c r="CT219" s="70">
        <v>-10.769859309999999</v>
      </c>
      <c r="CU219" s="70">
        <v>156.0013123</v>
      </c>
      <c r="CV219" s="70">
        <v>1.8320738080000001</v>
      </c>
      <c r="CW219" s="70">
        <v>0</v>
      </c>
      <c r="CX219" s="4"/>
      <c r="CY219" s="69"/>
      <c r="CZ219" s="2" t="b">
        <f>IF($DP$1="YES",IF(RecData[[#This Row],[Power (kW)]]&gt;=$CR$3, TRUE,FALSE),TRUE)</f>
        <v>0</v>
      </c>
      <c r="DA219" s="16">
        <f>MIN(MOD(180-ABS(ABS($DA$1-RecData[Yaw Angle (°)])-180),360),MOD(180-ABS(ABS($DB$1-RecData[Yaw Angle (°)])-180),360))</f>
        <v>148.47138552231246</v>
      </c>
      <c r="DB219" s="2" t="str">
        <f>IF($DP$2="None","None",IF(RecData[[#This Row],[Relative Wind Direction]]&lt;=45,"DW",IF(RecData[[#This Row],[Relative Wind Direction]]&lt;=135,"CW","UW")))</f>
        <v>UW</v>
      </c>
      <c r="DC219" s="61">
        <f>IF($CL219-$CL217&gt;1/24,#REF!,IF(SUM($CQ217:$CQ219)&gt;$DS$1,$DS$5,DC220-1))</f>
        <v>-8</v>
      </c>
      <c r="DD219" s="61">
        <f>IF($CL220-$CL219&gt;1/24,#REF!,IF(SUM($CQ217:$CQ219)&gt;$DS$1,$DS$6,DD218-1))</f>
        <v>-3</v>
      </c>
      <c r="DE219" s="18" t="b">
        <v>0</v>
      </c>
      <c r="DF219" s="2" t="b">
        <f>IF(OR(RecData[[#This Row],[WSpd_Avg '[m/s']]]-RecData[[#This Row],[Wind Speed min]]&gt;=$DF$3,RecData[[#This Row],[Wind Speed max]]-RecData[[#This Row],[WSpd_Avg '[m/s']]]&gt;=$DF$2),TRUE,FALSE)</f>
        <v>0</v>
      </c>
      <c r="DG219" s="2" t="b">
        <f>RecData[[#This Row],[Temperature '[°C']]]&lt;=-20</f>
        <v>0</v>
      </c>
      <c r="DH219" s="18" t="b">
        <f>NOT(OR(MOD(RecData[[#This Row],[TIMESTAMP]],1)&gt;0.91632,MOD(RecData[[#This Row],[TIMESTAMP]],1)&lt;0.208681))</f>
        <v>0</v>
      </c>
      <c r="DI219" s="18" t="b">
        <f>RecData[[#This Row],[Overall (dBA)]]-RecData[[#This Row],[L90]]&gt;=$DS$4</f>
        <v>0</v>
      </c>
      <c r="DJ219" s="18" t="b">
        <f>RecData[[#This Row],[Overall (dBA)]]&gt;$DS$2</f>
        <v>0</v>
      </c>
      <c r="DK219" s="18" t="b">
        <f>RecData[[#This Row],[Overall (dBA)]]&lt;$DS$3</f>
        <v>0</v>
      </c>
      <c r="DL2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19" s="2">
        <f>IF(AND(RecData[[#This Row],[Turbines ON/OFF]] = "OFF", NOT(OR(RecData[[#This Row],[Junk?]]="YES",RecData[[#This Row],[Gust?]],RecData[[#This Row],[Rain?]:[Min SPL Threshold?]]))),1,0)</f>
        <v>1</v>
      </c>
      <c r="DN219" s="16">
        <f>RecData[[#This Row],[dBA Sum]]</f>
        <v>20.630372060943319</v>
      </c>
      <c r="DO219" s="16">
        <f>RecData[[#This Row],[LAF90.0]]</f>
        <v>22.5</v>
      </c>
      <c r="DP219" s="55" t="str">
        <f>IF(AND(RecData[[#This Row],[Useable TON Data?]],RecData[[#This Row],[Turbines ON/OFF]]="ON"),RecData[[#This Row],[dBA Sum]],"")</f>
        <v/>
      </c>
      <c r="DQ219" s="55">
        <f>IF(AND(RecData[[#This Row],[Useable Background Data?]],RecData[[#This Row],[Turbines ON/OFF]]="OFF"),RecData[[#This Row],[dBA Sum]],"")</f>
        <v>20.630372060943319</v>
      </c>
      <c r="DR219" s="3">
        <f>IF(OR(RecData[[#This Row],[Useable TON Data?]],RecData[[#This Row],[Useable Background Data?]]),ROUND(RecData[[#This Row],[WSpd_Avg '[m/s']]],0),"")</f>
        <v>1</v>
      </c>
      <c r="DS219" s="85">
        <f>(0.00002)^2*(10^(RecData[[#This Row],[Overall (dBA)]]/10))</f>
        <v>4.6248451631987978E-8</v>
      </c>
    </row>
    <row r="220" spans="1:123" ht="15" x14ac:dyDescent="0.25">
      <c r="A220" s="3" t="s">
        <v>249</v>
      </c>
      <c r="B220" s="12">
        <v>43257.164583333331</v>
      </c>
      <c r="C220" s="3"/>
      <c r="D220" s="3">
        <v>23</v>
      </c>
      <c r="E220" s="3"/>
      <c r="F220" s="3"/>
      <c r="G220" s="3"/>
      <c r="H220" s="3"/>
      <c r="I220" s="3"/>
      <c r="J220" s="3"/>
      <c r="K220" s="3">
        <v>21.9</v>
      </c>
      <c r="L220" s="3"/>
      <c r="M220" s="3"/>
      <c r="N220" s="3">
        <v>122.6</v>
      </c>
      <c r="O220" s="3"/>
      <c r="P220" s="3"/>
      <c r="Q220" s="3">
        <v>0.61</v>
      </c>
      <c r="R220" s="3">
        <v>0.4</v>
      </c>
      <c r="S220" s="3">
        <v>0.8</v>
      </c>
      <c r="T220" s="3">
        <v>3</v>
      </c>
      <c r="U220" s="3">
        <v>94.2</v>
      </c>
      <c r="V220" s="3">
        <v>969.9</v>
      </c>
      <c r="W220" s="3">
        <v>0</v>
      </c>
      <c r="X220" s="3">
        <v>20.3</v>
      </c>
      <c r="Y220" s="3">
        <v>17.600000000000001</v>
      </c>
      <c r="Z220" s="3">
        <v>20.8</v>
      </c>
      <c r="AA220" s="3">
        <v>10.1</v>
      </c>
      <c r="AB220" s="3">
        <v>8.5</v>
      </c>
      <c r="AC220" s="3">
        <v>7.7</v>
      </c>
      <c r="AD220" s="3">
        <v>9.9</v>
      </c>
      <c r="AE220" s="3">
        <v>9.1</v>
      </c>
      <c r="AF220" s="3">
        <v>12.8</v>
      </c>
      <c r="AG220" s="3">
        <v>12.1</v>
      </c>
      <c r="AH220" s="3">
        <v>10.3</v>
      </c>
      <c r="AI220" s="3">
        <v>11.3</v>
      </c>
      <c r="AJ220" s="3">
        <v>11.3</v>
      </c>
      <c r="AK220" s="3">
        <v>11</v>
      </c>
      <c r="AL220" s="3">
        <v>10.9</v>
      </c>
      <c r="AM220" s="3">
        <v>11.5</v>
      </c>
      <c r="AN220" s="3">
        <v>12.6</v>
      </c>
      <c r="AO220" s="3">
        <v>12.1</v>
      </c>
      <c r="AP220" s="3">
        <v>11.4</v>
      </c>
      <c r="AQ220" s="3">
        <v>11.2</v>
      </c>
      <c r="AR220" s="3">
        <v>10.5</v>
      </c>
      <c r="AS220" s="3">
        <v>13</v>
      </c>
      <c r="AT220" s="3">
        <v>11.5</v>
      </c>
      <c r="AU220" s="3">
        <v>9.6999999999999993</v>
      </c>
      <c r="AV220" s="3">
        <v>10.199999999999999</v>
      </c>
      <c r="AW220" s="3">
        <v>10.4</v>
      </c>
      <c r="AX220" s="3">
        <v>10</v>
      </c>
      <c r="AY220" s="3">
        <v>9.9</v>
      </c>
      <c r="AZ220" s="3">
        <v>0</v>
      </c>
      <c r="BA220" s="3">
        <v>0</v>
      </c>
      <c r="BB220" s="3">
        <v>0</v>
      </c>
      <c r="BC220" s="3">
        <v>22.950768335501373</v>
      </c>
      <c r="BD220" s="3">
        <v>20.349231664498625</v>
      </c>
      <c r="BE220" s="3">
        <v>17.649231664498629</v>
      </c>
      <c r="BF220" s="3">
        <v>19.60923166449863</v>
      </c>
      <c r="BG220" s="3">
        <v>9.2358983311652949</v>
      </c>
      <c r="BH220" s="3">
        <v>7.7758983311652976</v>
      </c>
      <c r="BI220" s="3">
        <v>7.3892316644986273</v>
      </c>
      <c r="BJ220" s="3">
        <v>10.382564997831956</v>
      </c>
      <c r="BK220" s="3">
        <v>9.4558983311652938</v>
      </c>
      <c r="BL220" s="3">
        <v>12.729231664498627</v>
      </c>
      <c r="BM220" s="3">
        <v>12.162564997831964</v>
      </c>
      <c r="BN220" s="3">
        <v>10.645898331165291</v>
      </c>
      <c r="BO220" s="3">
        <v>11.012564997831966</v>
      </c>
      <c r="BP220" s="3">
        <v>10.729231664498627</v>
      </c>
      <c r="BQ220" s="3">
        <v>10.845898331165287</v>
      </c>
      <c r="BR220" s="3">
        <v>11.072564997831961</v>
      </c>
      <c r="BS220" s="3">
        <v>11.475898331165297</v>
      </c>
      <c r="BT220" s="3">
        <v>12.772564997831964</v>
      </c>
      <c r="BU220" s="3">
        <v>12.239231664498632</v>
      </c>
      <c r="BV220" s="3">
        <v>11.255898331165291</v>
      </c>
      <c r="BW220" s="3">
        <v>11.589231664498634</v>
      </c>
      <c r="BX220" s="3">
        <v>10.809231664498633</v>
      </c>
      <c r="BY220" s="3">
        <v>13.129231664498626</v>
      </c>
      <c r="BZ220" s="3">
        <v>11.759231664498628</v>
      </c>
      <c r="CA220" s="3">
        <v>10.059231664498618</v>
      </c>
      <c r="CB220" s="3">
        <v>9.9958983311652929</v>
      </c>
      <c r="CC220" s="3">
        <v>10.409231664498627</v>
      </c>
      <c r="CD220" s="3">
        <v>9.3158983311653003</v>
      </c>
      <c r="CE220" s="3">
        <v>9.4092316644986269</v>
      </c>
      <c r="CF220" s="3">
        <v>-0.87743500216803838</v>
      </c>
      <c r="CG220" s="3">
        <v>-1.4107683355013698</v>
      </c>
      <c r="CH220" s="3">
        <v>-2.4874350021680378</v>
      </c>
      <c r="CI220" s="13">
        <f>[1]!dbasum(RecData[[#This Row],[20]:[2000]],RecData[[#Headers],[20]:[2000]])</f>
        <v>20.313842206352092</v>
      </c>
      <c r="CJ220" s="14">
        <v>2902</v>
      </c>
      <c r="CK220" s="15" t="s">
        <v>249</v>
      </c>
      <c r="CL220" s="15">
        <f>RecData[[#This Row],[Start Time]]</f>
        <v>43257.164583333331</v>
      </c>
      <c r="CM220" s="16">
        <f>RecData[[#This Row],[Wind Speed avg]]</f>
        <v>0.61</v>
      </c>
      <c r="CN220" s="16">
        <f>RecData[[#This Row],[Wind Dir. avg]]</f>
        <v>122.6</v>
      </c>
      <c r="CO220" s="16">
        <f>RecData[[#This Row],[Amb. Humidity]]</f>
        <v>94.2</v>
      </c>
      <c r="CP220" s="16">
        <f>RecData[[#This Row],[Amb. Temperature]]</f>
        <v>3</v>
      </c>
      <c r="CQ220" s="17">
        <f>RecData[[#This Row],[Amb. Rain Gauge]]</f>
        <v>0</v>
      </c>
      <c r="CR220" s="4" t="s">
        <v>50</v>
      </c>
      <c r="CS220" s="4" t="s">
        <v>49</v>
      </c>
      <c r="CT220" s="70">
        <v>-10.769859309999999</v>
      </c>
      <c r="CU220" s="70">
        <v>156.0013123</v>
      </c>
      <c r="CV220" s="70">
        <v>1.8320738080000001</v>
      </c>
      <c r="CW220" s="70">
        <v>0</v>
      </c>
      <c r="CX220" s="4"/>
      <c r="CY220" s="69"/>
      <c r="CZ220" s="2" t="b">
        <f>IF($DP$1="YES",IF(RecData[[#This Row],[Power (kW)]]&gt;=$CR$3, TRUE,FALSE),TRUE)</f>
        <v>0</v>
      </c>
      <c r="DA220" s="16">
        <f>MIN(MOD(180-ABS(ABS($DA$1-RecData[Yaw Angle (°)])-180),360),MOD(180-ABS(ABS($DB$1-RecData[Yaw Angle (°)])-180),360))</f>
        <v>148.47138552231246</v>
      </c>
      <c r="DB220" s="2" t="str">
        <f>IF($DP$2="None","None",IF(RecData[[#This Row],[Relative Wind Direction]]&lt;=45,"DW",IF(RecData[[#This Row],[Relative Wind Direction]]&lt;=135,"CW","UW")))</f>
        <v>UW</v>
      </c>
      <c r="DC220" s="61">
        <f>IF($CL220-$CL217&gt;1/24,#REF!,IF(SUM($CQ217:$CQ220)&gt;$DS$1,$DS$5,DC221-1))</f>
        <v>-7</v>
      </c>
      <c r="DD220" s="61">
        <f>IF($CL221-$CL220&gt;1/24,#REF!,IF(SUM($CQ217:$CQ220)&gt;$DS$1,$DS$6,DD219-1))</f>
        <v>-4</v>
      </c>
      <c r="DE220" s="18" t="b">
        <v>0</v>
      </c>
      <c r="DF220" s="2" t="b">
        <f>IF(OR(RecData[[#This Row],[WSpd_Avg '[m/s']]]-RecData[[#This Row],[Wind Speed min]]&gt;=$DF$3,RecData[[#This Row],[Wind Speed max]]-RecData[[#This Row],[WSpd_Avg '[m/s']]]&gt;=$DF$2),TRUE,FALSE)</f>
        <v>0</v>
      </c>
      <c r="DG220" s="2" t="b">
        <f>RecData[[#This Row],[Temperature '[°C']]]&lt;=-20</f>
        <v>0</v>
      </c>
      <c r="DH220" s="18" t="b">
        <f>NOT(OR(MOD(RecData[[#This Row],[TIMESTAMP]],1)&gt;0.91632,MOD(RecData[[#This Row],[TIMESTAMP]],1)&lt;0.208681))</f>
        <v>0</v>
      </c>
      <c r="DI220" s="18" t="b">
        <f>RecData[[#This Row],[Overall (dBA)]]-RecData[[#This Row],[L90]]&gt;=$DS$4</f>
        <v>0</v>
      </c>
      <c r="DJ220" s="18" t="b">
        <f>RecData[[#This Row],[Overall (dBA)]]&gt;$DS$2</f>
        <v>0</v>
      </c>
      <c r="DK220" s="18" t="b">
        <f>RecData[[#This Row],[Overall (dBA)]]&lt;$DS$3</f>
        <v>0</v>
      </c>
      <c r="DL2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0" s="2">
        <f>IF(AND(RecData[[#This Row],[Turbines ON/OFF]] = "OFF", NOT(OR(RecData[[#This Row],[Junk?]]="YES",RecData[[#This Row],[Gust?]],RecData[[#This Row],[Rain?]:[Min SPL Threshold?]]))),1,0)</f>
        <v>1</v>
      </c>
      <c r="DN220" s="16">
        <f>RecData[[#This Row],[dBA Sum]]</f>
        <v>20.313842206352092</v>
      </c>
      <c r="DO220" s="16">
        <f>RecData[[#This Row],[LAF90.0]]</f>
        <v>21.9</v>
      </c>
      <c r="DP220" s="55" t="str">
        <f>IF(AND(RecData[[#This Row],[Useable TON Data?]],RecData[[#This Row],[Turbines ON/OFF]]="ON"),RecData[[#This Row],[dBA Sum]],"")</f>
        <v/>
      </c>
      <c r="DQ220" s="55">
        <f>IF(AND(RecData[[#This Row],[Useable Background Data?]],RecData[[#This Row],[Turbines ON/OFF]]="OFF"),RecData[[#This Row],[dBA Sum]],"")</f>
        <v>20.313842206352092</v>
      </c>
      <c r="DR220" s="3">
        <f>IF(OR(RecData[[#This Row],[Useable TON Data?]],RecData[[#This Row],[Useable Background Data?]]),ROUND(RecData[[#This Row],[WSpd_Avg '[m/s']]],0),"")</f>
        <v>1</v>
      </c>
      <c r="DS220" s="85">
        <f>(0.00002)^2*(10^(RecData[[#This Row],[Overall (dBA)]]/10))</f>
        <v>4.299759967843767E-8</v>
      </c>
    </row>
    <row r="221" spans="1:123" ht="15" x14ac:dyDescent="0.25">
      <c r="A221" s="3" t="s">
        <v>249</v>
      </c>
      <c r="B221" s="12">
        <v>43257.165277777778</v>
      </c>
      <c r="C221" s="3"/>
      <c r="D221" s="3">
        <v>23.8</v>
      </c>
      <c r="E221" s="3"/>
      <c r="F221" s="3"/>
      <c r="G221" s="3"/>
      <c r="H221" s="3"/>
      <c r="I221" s="3"/>
      <c r="J221" s="3"/>
      <c r="K221" s="3">
        <v>22.3</v>
      </c>
      <c r="L221" s="3"/>
      <c r="M221" s="3"/>
      <c r="N221" s="3">
        <v>121</v>
      </c>
      <c r="O221" s="3"/>
      <c r="P221" s="3"/>
      <c r="Q221" s="3">
        <v>0.53</v>
      </c>
      <c r="R221" s="3">
        <v>0.3</v>
      </c>
      <c r="S221" s="3">
        <v>0.7</v>
      </c>
      <c r="T221" s="3">
        <v>3</v>
      </c>
      <c r="U221" s="3">
        <v>94.2</v>
      </c>
      <c r="V221" s="3">
        <v>969.9</v>
      </c>
      <c r="W221" s="3">
        <v>0</v>
      </c>
      <c r="X221" s="3">
        <v>21.1</v>
      </c>
      <c r="Y221" s="3">
        <v>15.7</v>
      </c>
      <c r="Z221" s="3">
        <v>15.5</v>
      </c>
      <c r="AA221" s="3">
        <v>9.1</v>
      </c>
      <c r="AB221" s="3">
        <v>8.6999999999999993</v>
      </c>
      <c r="AC221" s="3">
        <v>9</v>
      </c>
      <c r="AD221" s="3">
        <v>10.9</v>
      </c>
      <c r="AE221" s="3">
        <v>9.6999999999999993</v>
      </c>
      <c r="AF221" s="3">
        <v>13.4</v>
      </c>
      <c r="AG221" s="3">
        <v>10.7</v>
      </c>
      <c r="AH221" s="3">
        <v>10.4</v>
      </c>
      <c r="AI221" s="3">
        <v>11.5</v>
      </c>
      <c r="AJ221" s="3">
        <v>11.4</v>
      </c>
      <c r="AK221" s="3">
        <v>11.3</v>
      </c>
      <c r="AL221" s="3">
        <v>11.1</v>
      </c>
      <c r="AM221" s="3">
        <v>11.7</v>
      </c>
      <c r="AN221" s="3">
        <v>12.7</v>
      </c>
      <c r="AO221" s="3">
        <v>12.3</v>
      </c>
      <c r="AP221" s="3">
        <v>11.5</v>
      </c>
      <c r="AQ221" s="3">
        <v>11.3</v>
      </c>
      <c r="AR221" s="3">
        <v>10.8</v>
      </c>
      <c r="AS221" s="3">
        <v>15</v>
      </c>
      <c r="AT221" s="3">
        <v>14.1</v>
      </c>
      <c r="AU221" s="3">
        <v>9.8000000000000007</v>
      </c>
      <c r="AV221" s="3">
        <v>10.6</v>
      </c>
      <c r="AW221" s="3">
        <v>10.7</v>
      </c>
      <c r="AX221" s="3">
        <v>10.1</v>
      </c>
      <c r="AY221" s="3">
        <v>9.9</v>
      </c>
      <c r="AZ221" s="3">
        <v>0</v>
      </c>
      <c r="BA221" s="3">
        <v>0</v>
      </c>
      <c r="BB221" s="3">
        <v>0</v>
      </c>
      <c r="BC221" s="3">
        <v>23.701398778416753</v>
      </c>
      <c r="BD221" s="3">
        <v>21.198601221583253</v>
      </c>
      <c r="BE221" s="3">
        <v>15.798601221583247</v>
      </c>
      <c r="BF221" s="3">
        <v>14.35860122158325</v>
      </c>
      <c r="BG221" s="3">
        <v>8.285267888249912</v>
      </c>
      <c r="BH221" s="3">
        <v>8.0252678882499175</v>
      </c>
      <c r="BI221" s="3">
        <v>8.7386012215832451</v>
      </c>
      <c r="BJ221" s="3">
        <v>11.43193455491658</v>
      </c>
      <c r="BK221" s="3">
        <v>10.105267888249912</v>
      </c>
      <c r="BL221" s="3">
        <v>13.378601221583246</v>
      </c>
      <c r="BM221" s="3">
        <v>10.811934554916583</v>
      </c>
      <c r="BN221" s="3">
        <v>10.795267888249917</v>
      </c>
      <c r="BO221" s="3">
        <v>11.261934554916586</v>
      </c>
      <c r="BP221" s="3">
        <v>10.878601221583246</v>
      </c>
      <c r="BQ221" s="3">
        <v>11.195267888249909</v>
      </c>
      <c r="BR221" s="3">
        <v>11.321934554916581</v>
      </c>
      <c r="BS221" s="3">
        <v>11.725267888249917</v>
      </c>
      <c r="BT221" s="3">
        <v>12.921934554916582</v>
      </c>
      <c r="BU221" s="3">
        <v>12.488601221583252</v>
      </c>
      <c r="BV221" s="3">
        <v>11.405267888249917</v>
      </c>
      <c r="BW221" s="3">
        <v>11.738601221583252</v>
      </c>
      <c r="BX221" s="3">
        <v>11.158601221583254</v>
      </c>
      <c r="BY221" s="3">
        <v>15.178601221583243</v>
      </c>
      <c r="BZ221" s="3">
        <v>14.408601221583247</v>
      </c>
      <c r="CA221" s="3">
        <v>10.208601221583244</v>
      </c>
      <c r="CB221" s="3">
        <v>10.445267888249909</v>
      </c>
      <c r="CC221" s="3">
        <v>10.758601221583248</v>
      </c>
      <c r="CD221" s="3">
        <v>9.4652678882499188</v>
      </c>
      <c r="CE221" s="3">
        <v>9.458601221583244</v>
      </c>
      <c r="CF221" s="3">
        <v>-0.82806544508341773</v>
      </c>
      <c r="CG221" s="3">
        <v>-1.3613987784167492</v>
      </c>
      <c r="CH221" s="3">
        <v>-2.4380654450834172</v>
      </c>
      <c r="CI221" s="13">
        <f>[1]!dbasum(RecData[[#This Row],[20]:[2000]],RecData[[#Headers],[20]:[2000]])</f>
        <v>20.526215762255866</v>
      </c>
      <c r="CJ221" s="14">
        <v>2903</v>
      </c>
      <c r="CK221" s="15" t="s">
        <v>249</v>
      </c>
      <c r="CL221" s="15">
        <f>RecData[[#This Row],[Start Time]]</f>
        <v>43257.165277777778</v>
      </c>
      <c r="CM221" s="16">
        <f>RecData[[#This Row],[Wind Speed avg]]</f>
        <v>0.53</v>
      </c>
      <c r="CN221" s="16">
        <f>RecData[[#This Row],[Wind Dir. avg]]</f>
        <v>121</v>
      </c>
      <c r="CO221" s="16">
        <f>RecData[[#This Row],[Amb. Humidity]]</f>
        <v>94.2</v>
      </c>
      <c r="CP221" s="16">
        <f>RecData[[#This Row],[Amb. Temperature]]</f>
        <v>3</v>
      </c>
      <c r="CQ221" s="17">
        <f>RecData[[#This Row],[Amb. Rain Gauge]]</f>
        <v>0</v>
      </c>
      <c r="CR221" s="4" t="s">
        <v>50</v>
      </c>
      <c r="CS221" s="4" t="s">
        <v>49</v>
      </c>
      <c r="CT221" s="70">
        <v>-10.769859309999999</v>
      </c>
      <c r="CU221" s="70">
        <v>156.0013123</v>
      </c>
      <c r="CV221" s="70">
        <v>1.8320738080000001</v>
      </c>
      <c r="CW221" s="70">
        <v>0</v>
      </c>
      <c r="CX221" s="4"/>
      <c r="CY221" s="69"/>
      <c r="CZ221" s="2" t="b">
        <f>IF($DP$1="YES",IF(RecData[[#This Row],[Power (kW)]]&gt;=$CR$3, TRUE,FALSE),TRUE)</f>
        <v>0</v>
      </c>
      <c r="DA221" s="16">
        <f>MIN(MOD(180-ABS(ABS($DA$1-RecData[Yaw Angle (°)])-180),360),MOD(180-ABS(ABS($DB$1-RecData[Yaw Angle (°)])-180),360))</f>
        <v>148.47138552231246</v>
      </c>
      <c r="DB221" s="2" t="str">
        <f>IF($DP$2="None","None",IF(RecData[[#This Row],[Relative Wind Direction]]&lt;=45,"DW",IF(RecData[[#This Row],[Relative Wind Direction]]&lt;=135,"CW","UW")))</f>
        <v>UW</v>
      </c>
      <c r="DC221" s="61">
        <f>IF($CL221-$CL217&gt;1/24,#REF!,IF(SUM($CQ217:$CQ221)&gt;$DS$1,$DS$5,DC222-1))</f>
        <v>-6</v>
      </c>
      <c r="DD221" s="61">
        <f>IF($CL222-$CL221&gt;1/24,#REF!,IF(SUM($CQ217:$CQ221)&gt;$DS$1,$DS$6,DD220-1))</f>
        <v>-5</v>
      </c>
      <c r="DE221" s="18" t="b">
        <v>0</v>
      </c>
      <c r="DF221" s="2" t="b">
        <f>IF(OR(RecData[[#This Row],[WSpd_Avg '[m/s']]]-RecData[[#This Row],[Wind Speed min]]&gt;=$DF$3,RecData[[#This Row],[Wind Speed max]]-RecData[[#This Row],[WSpd_Avg '[m/s']]]&gt;=$DF$2),TRUE,FALSE)</f>
        <v>0</v>
      </c>
      <c r="DG221" s="2" t="b">
        <f>RecData[[#This Row],[Temperature '[°C']]]&lt;=-20</f>
        <v>0</v>
      </c>
      <c r="DH221" s="18" t="b">
        <f>NOT(OR(MOD(RecData[[#This Row],[TIMESTAMP]],1)&gt;0.91632,MOD(RecData[[#This Row],[TIMESTAMP]],1)&lt;0.208681))</f>
        <v>0</v>
      </c>
      <c r="DI221" s="18" t="b">
        <f>RecData[[#This Row],[Overall (dBA)]]-RecData[[#This Row],[L90]]&gt;=$DS$4</f>
        <v>0</v>
      </c>
      <c r="DJ221" s="18" t="b">
        <f>RecData[[#This Row],[Overall (dBA)]]&gt;$DS$2</f>
        <v>0</v>
      </c>
      <c r="DK221" s="18" t="b">
        <f>RecData[[#This Row],[Overall (dBA)]]&lt;$DS$3</f>
        <v>0</v>
      </c>
      <c r="DL2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1" s="2">
        <f>IF(AND(RecData[[#This Row],[Turbines ON/OFF]] = "OFF", NOT(OR(RecData[[#This Row],[Junk?]]="YES",RecData[[#This Row],[Gust?]],RecData[[#This Row],[Rain?]:[Min SPL Threshold?]]))),1,0)</f>
        <v>1</v>
      </c>
      <c r="DN221" s="16">
        <f>RecData[[#This Row],[dBA Sum]]</f>
        <v>20.526215762255866</v>
      </c>
      <c r="DO221" s="16">
        <f>RecData[[#This Row],[LAF90.0]]</f>
        <v>22.3</v>
      </c>
      <c r="DP221" s="55" t="str">
        <f>IF(AND(RecData[[#This Row],[Useable TON Data?]],RecData[[#This Row],[Turbines ON/OFF]]="ON"),RecData[[#This Row],[dBA Sum]],"")</f>
        <v/>
      </c>
      <c r="DQ221" s="55">
        <f>IF(AND(RecData[[#This Row],[Useable Background Data?]],RecData[[#This Row],[Turbines ON/OFF]]="OFF"),RecData[[#This Row],[dBA Sum]],"")</f>
        <v>20.526215762255866</v>
      </c>
      <c r="DR221" s="3">
        <f>IF(OR(RecData[[#This Row],[Useable TON Data?]],RecData[[#This Row],[Useable Background Data?]]),ROUND(RecData[[#This Row],[WSpd_Avg '[m/s']]],0),"")</f>
        <v>1</v>
      </c>
      <c r="DS221" s="85">
        <f>(0.00002)^2*(10^(RecData[[#This Row],[Overall (dBA)]]/10))</f>
        <v>4.5152475698260122E-8</v>
      </c>
    </row>
    <row r="222" spans="1:123" ht="15" x14ac:dyDescent="0.25">
      <c r="A222" s="3" t="s">
        <v>249</v>
      </c>
      <c r="B222" s="12">
        <v>43257.165972222225</v>
      </c>
      <c r="C222" s="3"/>
      <c r="D222" s="3">
        <v>23.8</v>
      </c>
      <c r="E222" s="3"/>
      <c r="F222" s="3"/>
      <c r="G222" s="3"/>
      <c r="H222" s="3"/>
      <c r="I222" s="3"/>
      <c r="J222" s="3"/>
      <c r="K222" s="3">
        <v>22.2</v>
      </c>
      <c r="L222" s="3"/>
      <c r="M222" s="3"/>
      <c r="N222" s="3">
        <v>120.8</v>
      </c>
      <c r="O222" s="3"/>
      <c r="P222" s="3"/>
      <c r="Q222" s="3">
        <v>0.4</v>
      </c>
      <c r="R222" s="3">
        <v>0.2</v>
      </c>
      <c r="S222" s="3">
        <v>0.6</v>
      </c>
      <c r="T222" s="3">
        <v>3</v>
      </c>
      <c r="U222" s="3">
        <v>94.2</v>
      </c>
      <c r="V222" s="3">
        <v>970</v>
      </c>
      <c r="W222" s="3">
        <v>0</v>
      </c>
      <c r="X222" s="3">
        <v>20.5</v>
      </c>
      <c r="Y222" s="3">
        <v>15.5</v>
      </c>
      <c r="Z222" s="3">
        <v>15.3</v>
      </c>
      <c r="AA222" s="3">
        <v>9.1999999999999993</v>
      </c>
      <c r="AB222" s="3">
        <v>10</v>
      </c>
      <c r="AC222" s="3">
        <v>7.1</v>
      </c>
      <c r="AD222" s="3">
        <v>10</v>
      </c>
      <c r="AE222" s="3">
        <v>9.6999999999999993</v>
      </c>
      <c r="AF222" s="3">
        <v>14.4</v>
      </c>
      <c r="AG222" s="3">
        <v>11.4</v>
      </c>
      <c r="AH222" s="3">
        <v>10.6</v>
      </c>
      <c r="AI222" s="3">
        <v>11.4</v>
      </c>
      <c r="AJ222" s="3">
        <v>11.4</v>
      </c>
      <c r="AK222" s="3">
        <v>11.5</v>
      </c>
      <c r="AL222" s="3">
        <v>11.2</v>
      </c>
      <c r="AM222" s="3">
        <v>11.9</v>
      </c>
      <c r="AN222" s="3">
        <v>12.7</v>
      </c>
      <c r="AO222" s="3">
        <v>12.3</v>
      </c>
      <c r="AP222" s="3">
        <v>11.7</v>
      </c>
      <c r="AQ222" s="3">
        <v>11.4</v>
      </c>
      <c r="AR222" s="3">
        <v>10.9</v>
      </c>
      <c r="AS222" s="3">
        <v>15.4</v>
      </c>
      <c r="AT222" s="3">
        <v>14.2</v>
      </c>
      <c r="AU222" s="3">
        <v>9.8000000000000007</v>
      </c>
      <c r="AV222" s="3">
        <v>10</v>
      </c>
      <c r="AW222" s="3">
        <v>10.4</v>
      </c>
      <c r="AX222" s="3">
        <v>9.9</v>
      </c>
      <c r="AY222" s="3">
        <v>9.9</v>
      </c>
      <c r="AZ222" s="3">
        <v>0</v>
      </c>
      <c r="BA222" s="3">
        <v>0</v>
      </c>
      <c r="BB222" s="3">
        <v>0</v>
      </c>
      <c r="BC222" s="3">
        <v>23.786020477439493</v>
      </c>
      <c r="BD222" s="3">
        <v>20.513979522560504</v>
      </c>
      <c r="BE222" s="3">
        <v>15.513979522560504</v>
      </c>
      <c r="BF222" s="3">
        <v>14.073979522560506</v>
      </c>
      <c r="BG222" s="3">
        <v>8.300646189227173</v>
      </c>
      <c r="BH222" s="3">
        <v>9.2406461892271778</v>
      </c>
      <c r="BI222" s="3">
        <v>6.7539795225605062</v>
      </c>
      <c r="BJ222" s="3">
        <v>10.447312855893841</v>
      </c>
      <c r="BK222" s="3">
        <v>10.020646189227172</v>
      </c>
      <c r="BL222" s="3">
        <v>14.293979522560505</v>
      </c>
      <c r="BM222" s="3">
        <v>11.427312855893845</v>
      </c>
      <c r="BN222" s="3">
        <v>10.910646189227172</v>
      </c>
      <c r="BO222" s="3">
        <v>11.077312855893844</v>
      </c>
      <c r="BP222" s="3">
        <v>10.793979522560505</v>
      </c>
      <c r="BQ222" s="3">
        <v>11.310646189227164</v>
      </c>
      <c r="BR222" s="3">
        <v>11.337312855893842</v>
      </c>
      <c r="BS222" s="3">
        <v>11.840646189227172</v>
      </c>
      <c r="BT222" s="3">
        <v>12.837312855893842</v>
      </c>
      <c r="BU222" s="3">
        <v>12.403979522560512</v>
      </c>
      <c r="BV222" s="3">
        <v>11.520646189227172</v>
      </c>
      <c r="BW222" s="3">
        <v>11.753979522560513</v>
      </c>
      <c r="BX222" s="3">
        <v>11.173979522560515</v>
      </c>
      <c r="BY222" s="3">
        <v>15.493979522560508</v>
      </c>
      <c r="BZ222" s="3">
        <v>14.423979522560508</v>
      </c>
      <c r="CA222" s="3">
        <v>10.123979522560504</v>
      </c>
      <c r="CB222" s="3">
        <v>9.7606461892271739</v>
      </c>
      <c r="CC222" s="3">
        <v>10.373979522560504</v>
      </c>
      <c r="CD222" s="3">
        <v>9.1806461892271756</v>
      </c>
      <c r="CE222" s="3">
        <v>9.3739795225605036</v>
      </c>
      <c r="CF222" s="3">
        <v>-0.91268714410615814</v>
      </c>
      <c r="CG222" s="3">
        <v>-1.4460204774394896</v>
      </c>
      <c r="CH222" s="3">
        <v>-2.5226871441061576</v>
      </c>
      <c r="CI222" s="13">
        <f>[1]!dbasum(RecData[[#This Row],[20]:[2000]],RecData[[#Headers],[20]:[2000]])</f>
        <v>20.540808331793173</v>
      </c>
      <c r="CJ222" s="14">
        <v>2904</v>
      </c>
      <c r="CK222" s="15" t="s">
        <v>249</v>
      </c>
      <c r="CL222" s="15">
        <f>RecData[[#This Row],[Start Time]]</f>
        <v>43257.165972222225</v>
      </c>
      <c r="CM222" s="16">
        <f>RecData[[#This Row],[Wind Speed avg]]</f>
        <v>0.4</v>
      </c>
      <c r="CN222" s="16">
        <f>RecData[[#This Row],[Wind Dir. avg]]</f>
        <v>120.8</v>
      </c>
      <c r="CO222" s="16">
        <f>RecData[[#This Row],[Amb. Humidity]]</f>
        <v>94.2</v>
      </c>
      <c r="CP222" s="16">
        <f>RecData[[#This Row],[Amb. Temperature]]</f>
        <v>3</v>
      </c>
      <c r="CQ222" s="17">
        <f>RecData[[#This Row],[Amb. Rain Gauge]]</f>
        <v>0</v>
      </c>
      <c r="CR222" s="4" t="s">
        <v>50</v>
      </c>
      <c r="CS222" s="4" t="s">
        <v>49</v>
      </c>
      <c r="CT222" s="70">
        <v>-10.769859309999999</v>
      </c>
      <c r="CU222" s="70">
        <v>156.0013123</v>
      </c>
      <c r="CV222" s="70">
        <v>1.8320738080000001</v>
      </c>
      <c r="CW222" s="70">
        <v>0</v>
      </c>
      <c r="CX222" s="4"/>
      <c r="CY222" s="69"/>
      <c r="CZ222" s="2" t="b">
        <f>IF($DP$1="YES",IF(RecData[[#This Row],[Power (kW)]]&gt;=$CR$3, TRUE,FALSE),TRUE)</f>
        <v>0</v>
      </c>
      <c r="DA222" s="16">
        <f>MIN(MOD(180-ABS(ABS($DA$1-RecData[Yaw Angle (°)])-180),360),MOD(180-ABS(ABS($DB$1-RecData[Yaw Angle (°)])-180),360))</f>
        <v>148.47138552231246</v>
      </c>
      <c r="DB222" s="2" t="str">
        <f>IF($DP$2="None","None",IF(RecData[[#This Row],[Relative Wind Direction]]&lt;=45,"DW",IF(RecData[[#This Row],[Relative Wind Direction]]&lt;=135,"CW","UW")))</f>
        <v>UW</v>
      </c>
      <c r="DC222" s="61">
        <f>IF($CL222-$CL218&gt;1/24,#REF!,IF(SUM($CQ218:$CQ222)&gt;$DS$1,$DS$5,DC223-1))</f>
        <v>-5</v>
      </c>
      <c r="DD222" s="61">
        <f>IF($CL223-$CL222&gt;1/24,#REF!,IF(SUM($CQ218:$CQ222)&gt;$DS$1,$DS$6,DD221-1))</f>
        <v>-6</v>
      </c>
      <c r="DE222" s="18" t="b">
        <v>0</v>
      </c>
      <c r="DF222" s="2" t="b">
        <f>IF(OR(RecData[[#This Row],[WSpd_Avg '[m/s']]]-RecData[[#This Row],[Wind Speed min]]&gt;=$DF$3,RecData[[#This Row],[Wind Speed max]]-RecData[[#This Row],[WSpd_Avg '[m/s']]]&gt;=$DF$2),TRUE,FALSE)</f>
        <v>0</v>
      </c>
      <c r="DG222" s="2" t="b">
        <f>RecData[[#This Row],[Temperature '[°C']]]&lt;=-20</f>
        <v>0</v>
      </c>
      <c r="DH222" s="18" t="b">
        <f>NOT(OR(MOD(RecData[[#This Row],[TIMESTAMP]],1)&gt;0.91632,MOD(RecData[[#This Row],[TIMESTAMP]],1)&lt;0.208681))</f>
        <v>0</v>
      </c>
      <c r="DI222" s="18" t="b">
        <f>RecData[[#This Row],[Overall (dBA)]]-RecData[[#This Row],[L90]]&gt;=$DS$4</f>
        <v>0</v>
      </c>
      <c r="DJ222" s="18" t="b">
        <f>RecData[[#This Row],[Overall (dBA)]]&gt;$DS$2</f>
        <v>0</v>
      </c>
      <c r="DK222" s="18" t="b">
        <f>RecData[[#This Row],[Overall (dBA)]]&lt;$DS$3</f>
        <v>0</v>
      </c>
      <c r="DL2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2" s="2">
        <f>IF(AND(RecData[[#This Row],[Turbines ON/OFF]] = "OFF", NOT(OR(RecData[[#This Row],[Junk?]]="YES",RecData[[#This Row],[Gust?]],RecData[[#This Row],[Rain?]:[Min SPL Threshold?]]))),1,0)</f>
        <v>1</v>
      </c>
      <c r="DN222" s="16">
        <f>RecData[[#This Row],[dBA Sum]]</f>
        <v>20.540808331793173</v>
      </c>
      <c r="DO222" s="16">
        <f>RecData[[#This Row],[LAF90.0]]</f>
        <v>22.2</v>
      </c>
      <c r="DP222" s="55" t="str">
        <f>IF(AND(RecData[[#This Row],[Useable TON Data?]],RecData[[#This Row],[Turbines ON/OFF]]="ON"),RecData[[#This Row],[dBA Sum]],"")</f>
        <v/>
      </c>
      <c r="DQ222" s="55">
        <f>IF(AND(RecData[[#This Row],[Useable Background Data?]],RecData[[#This Row],[Turbines ON/OFF]]="OFF"),RecData[[#This Row],[dBA Sum]],"")</f>
        <v>20.540808331793173</v>
      </c>
      <c r="DR222" s="3">
        <f>IF(OR(RecData[[#This Row],[Useable TON Data?]],RecData[[#This Row],[Useable Background Data?]]),ROUND(RecData[[#This Row],[WSpd_Avg '[m/s']]],0),"")</f>
        <v>0</v>
      </c>
      <c r="DS222" s="85">
        <f>(0.00002)^2*(10^(RecData[[#This Row],[Overall (dBA)]]/10))</f>
        <v>4.5304446047159767E-8</v>
      </c>
    </row>
    <row r="223" spans="1:123" ht="15" x14ac:dyDescent="0.25">
      <c r="A223" s="3" t="s">
        <v>249</v>
      </c>
      <c r="B223" s="12">
        <v>43257.166666666672</v>
      </c>
      <c r="C223" s="3"/>
      <c r="D223" s="3">
        <v>24.3</v>
      </c>
      <c r="E223" s="3"/>
      <c r="F223" s="3"/>
      <c r="G223" s="3"/>
      <c r="H223" s="3"/>
      <c r="I223" s="3"/>
      <c r="J223" s="3"/>
      <c r="K223" s="3">
        <v>22.2</v>
      </c>
      <c r="L223" s="3"/>
      <c r="M223" s="3"/>
      <c r="N223" s="3">
        <v>131.4</v>
      </c>
      <c r="O223" s="3"/>
      <c r="P223" s="3"/>
      <c r="Q223" s="3">
        <v>0.38</v>
      </c>
      <c r="R223" s="3">
        <v>0.2</v>
      </c>
      <c r="S223" s="3">
        <v>0.5</v>
      </c>
      <c r="T223" s="3">
        <v>3</v>
      </c>
      <c r="U223" s="3">
        <v>94.2</v>
      </c>
      <c r="V223" s="3">
        <v>970</v>
      </c>
      <c r="W223" s="3">
        <v>0</v>
      </c>
      <c r="X223" s="3">
        <v>20.2</v>
      </c>
      <c r="Y223" s="3">
        <v>15.7</v>
      </c>
      <c r="Z223" s="3">
        <v>14.8</v>
      </c>
      <c r="AA223" s="3">
        <v>9.1999999999999993</v>
      </c>
      <c r="AB223" s="3">
        <v>8.1999999999999993</v>
      </c>
      <c r="AC223" s="3">
        <v>7.5</v>
      </c>
      <c r="AD223" s="3">
        <v>9.4</v>
      </c>
      <c r="AE223" s="3">
        <v>9.1</v>
      </c>
      <c r="AF223" s="3">
        <v>14.2</v>
      </c>
      <c r="AG223" s="3">
        <v>12.6</v>
      </c>
      <c r="AH223" s="3">
        <v>10.5</v>
      </c>
      <c r="AI223" s="3">
        <v>11.5</v>
      </c>
      <c r="AJ223" s="3">
        <v>11.5</v>
      </c>
      <c r="AK223" s="3">
        <v>11.7</v>
      </c>
      <c r="AL223" s="3">
        <v>11.2</v>
      </c>
      <c r="AM223" s="3">
        <v>11.9</v>
      </c>
      <c r="AN223" s="3">
        <v>12.8</v>
      </c>
      <c r="AO223" s="3">
        <v>12.5</v>
      </c>
      <c r="AP223" s="3">
        <v>11.8</v>
      </c>
      <c r="AQ223" s="3">
        <v>11.5</v>
      </c>
      <c r="AR223" s="3">
        <v>11.2</v>
      </c>
      <c r="AS223" s="3">
        <v>15.7</v>
      </c>
      <c r="AT223" s="3">
        <v>15.9</v>
      </c>
      <c r="AU223" s="3">
        <v>9.9</v>
      </c>
      <c r="AV223" s="3">
        <v>10.199999999999999</v>
      </c>
      <c r="AW223" s="3">
        <v>10.6</v>
      </c>
      <c r="AX223" s="3">
        <v>10.199999999999999</v>
      </c>
      <c r="AY223" s="3">
        <v>10.3</v>
      </c>
      <c r="AZ223" s="3">
        <v>0</v>
      </c>
      <c r="BA223" s="3">
        <v>0</v>
      </c>
      <c r="BB223" s="3">
        <v>0</v>
      </c>
      <c r="BC223" s="3">
        <v>24.23248737272424</v>
      </c>
      <c r="BD223" s="3">
        <v>20.26751262727576</v>
      </c>
      <c r="BE223" s="3">
        <v>15.76751262727576</v>
      </c>
      <c r="BF223" s="3">
        <v>13.62751262727576</v>
      </c>
      <c r="BG223" s="3">
        <v>8.3541792939424262</v>
      </c>
      <c r="BH223" s="3">
        <v>7.4941792939424303</v>
      </c>
      <c r="BI223" s="3">
        <v>7.2075126272757615</v>
      </c>
      <c r="BJ223" s="3">
        <v>9.9008459606090931</v>
      </c>
      <c r="BK223" s="3">
        <v>9.4741792939424236</v>
      </c>
      <c r="BL223" s="3">
        <v>14.147512627275763</v>
      </c>
      <c r="BM223" s="3">
        <v>12.680845960609094</v>
      </c>
      <c r="BN223" s="3">
        <v>10.864179293942424</v>
      </c>
      <c r="BO223" s="3">
        <v>11.230845960609098</v>
      </c>
      <c r="BP223" s="3">
        <v>10.94751262727576</v>
      </c>
      <c r="BQ223" s="3">
        <v>11.56417929394242</v>
      </c>
      <c r="BR223" s="3">
        <v>11.390845960609095</v>
      </c>
      <c r="BS223" s="3">
        <v>11.894179293942425</v>
      </c>
      <c r="BT223" s="3">
        <v>12.990845960609096</v>
      </c>
      <c r="BU223" s="3">
        <v>12.657512627275761</v>
      </c>
      <c r="BV223" s="3">
        <v>11.674179293942426</v>
      </c>
      <c r="BW223" s="3">
        <v>11.907512627275761</v>
      </c>
      <c r="BX223" s="3">
        <v>11.527512627275765</v>
      </c>
      <c r="BY223" s="3">
        <v>15.847512627275758</v>
      </c>
      <c r="BZ223" s="3">
        <v>16.177512627275764</v>
      </c>
      <c r="CA223" s="3">
        <v>10.277512627275751</v>
      </c>
      <c r="CB223" s="3">
        <v>10.014179293942423</v>
      </c>
      <c r="CC223" s="3">
        <v>10.62751262727576</v>
      </c>
      <c r="CD223" s="3">
        <v>9.534179293942433</v>
      </c>
      <c r="CE223" s="3">
        <v>9.8275126272757625</v>
      </c>
      <c r="CF223" s="3">
        <v>-0.85915403939090496</v>
      </c>
      <c r="CG223" s="3">
        <v>-1.3924873727242364</v>
      </c>
      <c r="CH223" s="3">
        <v>-2.4691540393909044</v>
      </c>
      <c r="CI223" s="13">
        <f>[1]!dbasum(RecData[[#This Row],[20]:[2000]],RecData[[#Headers],[20]:[2000]])</f>
        <v>20.733411807928363</v>
      </c>
      <c r="CJ223" s="14">
        <v>2905</v>
      </c>
      <c r="CK223" s="15" t="s">
        <v>249</v>
      </c>
      <c r="CL223" s="15">
        <f>RecData[[#This Row],[Start Time]]</f>
        <v>43257.166666666672</v>
      </c>
      <c r="CM223" s="16">
        <f>RecData[[#This Row],[Wind Speed avg]]</f>
        <v>0.38</v>
      </c>
      <c r="CN223" s="16">
        <f>RecData[[#This Row],[Wind Dir. avg]]</f>
        <v>131.4</v>
      </c>
      <c r="CO223" s="16">
        <f>RecData[[#This Row],[Amb. Humidity]]</f>
        <v>94.2</v>
      </c>
      <c r="CP223" s="16">
        <f>RecData[[#This Row],[Amb. Temperature]]</f>
        <v>3</v>
      </c>
      <c r="CQ223" s="17">
        <f>RecData[[#This Row],[Amb. Rain Gauge]]</f>
        <v>0</v>
      </c>
      <c r="CR223" s="4" t="s">
        <v>50</v>
      </c>
      <c r="CS223" s="4" t="s">
        <v>49</v>
      </c>
      <c r="CT223" s="70">
        <v>-10.769859309999999</v>
      </c>
      <c r="CU223" s="70">
        <v>156.0013123</v>
      </c>
      <c r="CV223" s="70">
        <v>1.8320738080000001</v>
      </c>
      <c r="CW223" s="70">
        <v>0</v>
      </c>
      <c r="CX223" s="4"/>
      <c r="CY223" s="69"/>
      <c r="CZ223" s="2" t="b">
        <f>IF($DP$1="YES",IF(RecData[[#This Row],[Power (kW)]]&gt;=$CR$3, TRUE,FALSE),TRUE)</f>
        <v>0</v>
      </c>
      <c r="DA223" s="16">
        <f>MIN(MOD(180-ABS(ABS($DA$1-RecData[Yaw Angle (°)])-180),360),MOD(180-ABS(ABS($DB$1-RecData[Yaw Angle (°)])-180),360))</f>
        <v>148.47138552231246</v>
      </c>
      <c r="DB223" s="2" t="str">
        <f>IF($DP$2="None","None",IF(RecData[[#This Row],[Relative Wind Direction]]&lt;=45,"DW",IF(RecData[[#This Row],[Relative Wind Direction]]&lt;=135,"CW","UW")))</f>
        <v>UW</v>
      </c>
      <c r="DC223" s="61">
        <f>IF($CL223-$CL219&gt;1/24,#REF!,IF(SUM($CQ219:$CQ223)&gt;$DS$1,$DS$5,DC224-1))</f>
        <v>-4</v>
      </c>
      <c r="DD223" s="61">
        <f>IF($CL224-$CL223&gt;1/24,#REF!,IF(SUM($CQ219:$CQ223)&gt;$DS$1,$DS$6,DD222-1))</f>
        <v>-7</v>
      </c>
      <c r="DE223" s="18" t="b">
        <v>0</v>
      </c>
      <c r="DF223" s="2" t="b">
        <f>IF(OR(RecData[[#This Row],[WSpd_Avg '[m/s']]]-RecData[[#This Row],[Wind Speed min]]&gt;=$DF$3,RecData[[#This Row],[Wind Speed max]]-RecData[[#This Row],[WSpd_Avg '[m/s']]]&gt;=$DF$2),TRUE,FALSE)</f>
        <v>0</v>
      </c>
      <c r="DG223" s="2" t="b">
        <f>RecData[[#This Row],[Temperature '[°C']]]&lt;=-20</f>
        <v>0</v>
      </c>
      <c r="DH223" s="18" t="b">
        <f>NOT(OR(MOD(RecData[[#This Row],[TIMESTAMP]],1)&gt;0.91632,MOD(RecData[[#This Row],[TIMESTAMP]],1)&lt;0.208681))</f>
        <v>0</v>
      </c>
      <c r="DI223" s="18" t="b">
        <f>RecData[[#This Row],[Overall (dBA)]]-RecData[[#This Row],[L90]]&gt;=$DS$4</f>
        <v>0</v>
      </c>
      <c r="DJ223" s="18" t="b">
        <f>RecData[[#This Row],[Overall (dBA)]]&gt;$DS$2</f>
        <v>0</v>
      </c>
      <c r="DK223" s="18" t="b">
        <f>RecData[[#This Row],[Overall (dBA)]]&lt;$DS$3</f>
        <v>0</v>
      </c>
      <c r="DL2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3" s="2">
        <f>IF(AND(RecData[[#This Row],[Turbines ON/OFF]] = "OFF", NOT(OR(RecData[[#This Row],[Junk?]]="YES",RecData[[#This Row],[Gust?]],RecData[[#This Row],[Rain?]:[Min SPL Threshold?]]))),1,0)</f>
        <v>1</v>
      </c>
      <c r="DN223" s="16">
        <f>RecData[[#This Row],[dBA Sum]]</f>
        <v>20.733411807928363</v>
      </c>
      <c r="DO223" s="16">
        <f>RecData[[#This Row],[LAF90.0]]</f>
        <v>22.2</v>
      </c>
      <c r="DP223" s="55" t="str">
        <f>IF(AND(RecData[[#This Row],[Useable TON Data?]],RecData[[#This Row],[Turbines ON/OFF]]="ON"),RecData[[#This Row],[dBA Sum]],"")</f>
        <v/>
      </c>
      <c r="DQ223" s="55">
        <f>IF(AND(RecData[[#This Row],[Useable Background Data?]],RecData[[#This Row],[Turbines ON/OFF]]="OFF"),RecData[[#This Row],[dBA Sum]],"")</f>
        <v>20.733411807928363</v>
      </c>
      <c r="DR223" s="3">
        <f>IF(OR(RecData[[#This Row],[Useable TON Data?]],RecData[[#This Row],[Useable Background Data?]]),ROUND(RecData[[#This Row],[WSpd_Avg '[m/s']]],0),"")</f>
        <v>0</v>
      </c>
      <c r="DS223" s="85">
        <f>(0.00002)^2*(10^(RecData[[#This Row],[Overall (dBA)]]/10))</f>
        <v>4.7358852629541608E-8</v>
      </c>
    </row>
    <row r="224" spans="1:123" ht="15" x14ac:dyDescent="0.25">
      <c r="A224" s="3" t="s">
        <v>249</v>
      </c>
      <c r="B224" s="12">
        <v>43257.167361111118</v>
      </c>
      <c r="C224" s="3"/>
      <c r="D224" s="3">
        <v>24.2</v>
      </c>
      <c r="E224" s="3"/>
      <c r="F224" s="3"/>
      <c r="G224" s="3"/>
      <c r="H224" s="3"/>
      <c r="I224" s="3"/>
      <c r="J224" s="3"/>
      <c r="K224" s="3">
        <v>22.2</v>
      </c>
      <c r="L224" s="3"/>
      <c r="M224" s="3"/>
      <c r="N224" s="3">
        <v>128.1</v>
      </c>
      <c r="O224" s="3"/>
      <c r="P224" s="3"/>
      <c r="Q224" s="3">
        <v>0.45</v>
      </c>
      <c r="R224" s="3">
        <v>0.4</v>
      </c>
      <c r="S224" s="3">
        <v>0.5</v>
      </c>
      <c r="T224" s="3">
        <v>3</v>
      </c>
      <c r="U224" s="3">
        <v>94.2</v>
      </c>
      <c r="V224" s="3">
        <v>969.9</v>
      </c>
      <c r="W224" s="3">
        <v>0</v>
      </c>
      <c r="X224" s="3">
        <v>20.399999999999999</v>
      </c>
      <c r="Y224" s="3">
        <v>15.4</v>
      </c>
      <c r="Z224" s="3">
        <v>16.899999999999999</v>
      </c>
      <c r="AA224" s="3">
        <v>8.5</v>
      </c>
      <c r="AB224" s="3">
        <v>7.9</v>
      </c>
      <c r="AC224" s="3">
        <v>7.9</v>
      </c>
      <c r="AD224" s="3">
        <v>10.199999999999999</v>
      </c>
      <c r="AE224" s="3">
        <v>9.6</v>
      </c>
      <c r="AF224" s="3">
        <v>14.2</v>
      </c>
      <c r="AG224" s="3">
        <v>13.1</v>
      </c>
      <c r="AH224" s="3">
        <v>10.199999999999999</v>
      </c>
      <c r="AI224" s="3">
        <v>11.4</v>
      </c>
      <c r="AJ224" s="3">
        <v>11.2</v>
      </c>
      <c r="AK224" s="3">
        <v>11.5</v>
      </c>
      <c r="AL224" s="3">
        <v>11.4</v>
      </c>
      <c r="AM224" s="3">
        <v>11.9</v>
      </c>
      <c r="AN224" s="3">
        <v>12.9</v>
      </c>
      <c r="AO224" s="3">
        <v>12.4</v>
      </c>
      <c r="AP224" s="3">
        <v>11.6</v>
      </c>
      <c r="AQ224" s="3">
        <v>11.4</v>
      </c>
      <c r="AR224" s="3">
        <v>10.5</v>
      </c>
      <c r="AS224" s="3">
        <v>16.100000000000001</v>
      </c>
      <c r="AT224" s="3">
        <v>15.3</v>
      </c>
      <c r="AU224" s="3">
        <v>9.6</v>
      </c>
      <c r="AV224" s="3">
        <v>10</v>
      </c>
      <c r="AW224" s="3">
        <v>10.4</v>
      </c>
      <c r="AX224" s="3">
        <v>10</v>
      </c>
      <c r="AY224" s="3">
        <v>10</v>
      </c>
      <c r="AZ224" s="3">
        <v>0</v>
      </c>
      <c r="BA224" s="3">
        <v>0</v>
      </c>
      <c r="BB224" s="3">
        <v>0</v>
      </c>
      <c r="BC224" s="3">
        <v>24.093608544608543</v>
      </c>
      <c r="BD224" s="3">
        <v>20.506391455391451</v>
      </c>
      <c r="BE224" s="3">
        <v>15.506391455391459</v>
      </c>
      <c r="BF224" s="3">
        <v>15.766391455391457</v>
      </c>
      <c r="BG224" s="3">
        <v>7.6930581220581189</v>
      </c>
      <c r="BH224" s="3">
        <v>7.2330581220581252</v>
      </c>
      <c r="BI224" s="3">
        <v>7.6463914553914591</v>
      </c>
      <c r="BJ224" s="3">
        <v>10.739724788724786</v>
      </c>
      <c r="BK224" s="3">
        <v>10.013058122058119</v>
      </c>
      <c r="BL224" s="3">
        <v>14.186391455391458</v>
      </c>
      <c r="BM224" s="3">
        <v>13.21972478872479</v>
      </c>
      <c r="BN224" s="3">
        <v>10.603058122058123</v>
      </c>
      <c r="BO224" s="3">
        <v>11.169724788724793</v>
      </c>
      <c r="BP224" s="3">
        <v>10.686391455391458</v>
      </c>
      <c r="BQ224" s="3">
        <v>11.403058122058113</v>
      </c>
      <c r="BR224" s="3">
        <v>11.629724788724793</v>
      </c>
      <c r="BS224" s="3">
        <v>11.933058122058128</v>
      </c>
      <c r="BT224" s="3">
        <v>13.129724788724793</v>
      </c>
      <c r="BU224" s="3">
        <v>12.596391455391462</v>
      </c>
      <c r="BV224" s="3">
        <v>11.513058122058126</v>
      </c>
      <c r="BW224" s="3">
        <v>11.846391455391462</v>
      </c>
      <c r="BX224" s="3">
        <v>10.866391455391465</v>
      </c>
      <c r="BY224" s="3">
        <v>16.286391455391453</v>
      </c>
      <c r="BZ224" s="3">
        <v>15.616391455391458</v>
      </c>
      <c r="CA224" s="3">
        <v>10.016391455391449</v>
      </c>
      <c r="CB224" s="3">
        <v>9.8530581220581226</v>
      </c>
      <c r="CC224" s="3">
        <v>10.466391455391459</v>
      </c>
      <c r="CD224" s="3">
        <v>9.3730581220581257</v>
      </c>
      <c r="CE224" s="3">
        <v>9.5663914553914537</v>
      </c>
      <c r="CF224" s="3">
        <v>-0.82027521127520941</v>
      </c>
      <c r="CG224" s="3">
        <v>-1.3536085446085409</v>
      </c>
      <c r="CH224" s="3">
        <v>-2.4302752112752088</v>
      </c>
      <c r="CI224" s="13">
        <f>[1]!dbasum(RecData[[#This Row],[20]:[2000]],RecData[[#Headers],[20]:[2000]])</f>
        <v>20.619937825509624</v>
      </c>
      <c r="CJ224" s="14">
        <v>2906</v>
      </c>
      <c r="CK224" s="15" t="s">
        <v>249</v>
      </c>
      <c r="CL224" s="15">
        <f>RecData[[#This Row],[Start Time]]</f>
        <v>43257.167361111118</v>
      </c>
      <c r="CM224" s="16">
        <f>RecData[[#This Row],[Wind Speed avg]]</f>
        <v>0.45</v>
      </c>
      <c r="CN224" s="16">
        <f>RecData[[#This Row],[Wind Dir. avg]]</f>
        <v>128.1</v>
      </c>
      <c r="CO224" s="16">
        <f>RecData[[#This Row],[Amb. Humidity]]</f>
        <v>94.2</v>
      </c>
      <c r="CP224" s="16">
        <f>RecData[[#This Row],[Amb. Temperature]]</f>
        <v>3</v>
      </c>
      <c r="CQ224" s="17">
        <f>RecData[[#This Row],[Amb. Rain Gauge]]</f>
        <v>0</v>
      </c>
      <c r="CR224" s="4" t="s">
        <v>50</v>
      </c>
      <c r="CS224" s="4" t="s">
        <v>49</v>
      </c>
      <c r="CT224" s="70">
        <v>-10.99565029</v>
      </c>
      <c r="CU224" s="70">
        <v>156.0013123</v>
      </c>
      <c r="CV224" s="70">
        <v>1.8782023189999999</v>
      </c>
      <c r="CW224" s="70">
        <v>0</v>
      </c>
      <c r="CX224" s="4"/>
      <c r="CY224" s="69"/>
      <c r="CZ224" s="2" t="b">
        <f>IF($DP$1="YES",IF(RecData[[#This Row],[Power (kW)]]&gt;=$CR$3, TRUE,FALSE),TRUE)</f>
        <v>0</v>
      </c>
      <c r="DA224" s="16">
        <f>MIN(MOD(180-ABS(ABS($DA$1-RecData[Yaw Angle (°)])-180),360),MOD(180-ABS(ABS($DB$1-RecData[Yaw Angle (°)])-180),360))</f>
        <v>148.47138552231246</v>
      </c>
      <c r="DB224" s="2" t="str">
        <f>IF($DP$2="None","None",IF(RecData[[#This Row],[Relative Wind Direction]]&lt;=45,"DW",IF(RecData[[#This Row],[Relative Wind Direction]]&lt;=135,"CW","UW")))</f>
        <v>UW</v>
      </c>
      <c r="DC224" s="61">
        <f>IF($CL224-$CL220&gt;1/24,#REF!,IF(SUM($CQ220:$CQ224)&gt;$DS$1,$DS$5,DC225-1))</f>
        <v>-3</v>
      </c>
      <c r="DD224" s="61">
        <f>IF($CL225-$CL224&gt;1/24,#REF!,IF(SUM($CQ220:$CQ224)&gt;$DS$1,$DS$6,DD223-1))</f>
        <v>-8</v>
      </c>
      <c r="DE224" s="18" t="b">
        <v>0</v>
      </c>
      <c r="DF224" s="2" t="b">
        <f>IF(OR(RecData[[#This Row],[WSpd_Avg '[m/s']]]-RecData[[#This Row],[Wind Speed min]]&gt;=$DF$3,RecData[[#This Row],[Wind Speed max]]-RecData[[#This Row],[WSpd_Avg '[m/s']]]&gt;=$DF$2),TRUE,FALSE)</f>
        <v>0</v>
      </c>
      <c r="DG224" s="2" t="b">
        <f>RecData[[#This Row],[Temperature '[°C']]]&lt;=-20</f>
        <v>0</v>
      </c>
      <c r="DH224" s="18" t="b">
        <f>NOT(OR(MOD(RecData[[#This Row],[TIMESTAMP]],1)&gt;0.91632,MOD(RecData[[#This Row],[TIMESTAMP]],1)&lt;0.208681))</f>
        <v>0</v>
      </c>
      <c r="DI224" s="18" t="b">
        <f>RecData[[#This Row],[Overall (dBA)]]-RecData[[#This Row],[L90]]&gt;=$DS$4</f>
        <v>0</v>
      </c>
      <c r="DJ224" s="18" t="b">
        <f>RecData[[#This Row],[Overall (dBA)]]&gt;$DS$2</f>
        <v>0</v>
      </c>
      <c r="DK224" s="18" t="b">
        <f>RecData[[#This Row],[Overall (dBA)]]&lt;$DS$3</f>
        <v>0</v>
      </c>
      <c r="DL2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4" s="2">
        <f>IF(AND(RecData[[#This Row],[Turbines ON/OFF]] = "OFF", NOT(OR(RecData[[#This Row],[Junk?]]="YES",RecData[[#This Row],[Gust?]],RecData[[#This Row],[Rain?]:[Min SPL Threshold?]]))),1,0)</f>
        <v>1</v>
      </c>
      <c r="DN224" s="16">
        <f>RecData[[#This Row],[dBA Sum]]</f>
        <v>20.619937825509624</v>
      </c>
      <c r="DO224" s="16">
        <f>RecData[[#This Row],[LAF90.0]]</f>
        <v>22.2</v>
      </c>
      <c r="DP224" s="55" t="str">
        <f>IF(AND(RecData[[#This Row],[Useable TON Data?]],RecData[[#This Row],[Turbines ON/OFF]]="ON"),RecData[[#This Row],[dBA Sum]],"")</f>
        <v/>
      </c>
      <c r="DQ224" s="55">
        <f>IF(AND(RecData[[#This Row],[Useable Background Data?]],RecData[[#This Row],[Turbines ON/OFF]]="OFF"),RecData[[#This Row],[dBA Sum]],"")</f>
        <v>20.619937825509624</v>
      </c>
      <c r="DR224" s="3">
        <f>IF(OR(RecData[[#This Row],[Useable TON Data?]],RecData[[#This Row],[Useable Background Data?]]),ROUND(RecData[[#This Row],[WSpd_Avg '[m/s']]],0),"")</f>
        <v>0</v>
      </c>
      <c r="DS224" s="85">
        <f>(0.00002)^2*(10^(RecData[[#This Row],[Overall (dBA)]]/10))</f>
        <v>4.6137469794618223E-8</v>
      </c>
    </row>
    <row r="225" spans="1:123" ht="15" x14ac:dyDescent="0.25">
      <c r="A225" s="3" t="s">
        <v>249</v>
      </c>
      <c r="B225" s="12">
        <v>43257.168055555558</v>
      </c>
      <c r="C225" s="3"/>
      <c r="D225" s="3">
        <v>23.7</v>
      </c>
      <c r="E225" s="3"/>
      <c r="F225" s="3"/>
      <c r="G225" s="3"/>
      <c r="H225" s="3"/>
      <c r="I225" s="3"/>
      <c r="J225" s="3"/>
      <c r="K225" s="3">
        <v>22.3</v>
      </c>
      <c r="L225" s="3"/>
      <c r="M225" s="3"/>
      <c r="N225" s="3">
        <v>127.4</v>
      </c>
      <c r="O225" s="3"/>
      <c r="P225" s="3"/>
      <c r="Q225" s="3">
        <v>0.51</v>
      </c>
      <c r="R225" s="3">
        <v>0.4</v>
      </c>
      <c r="S225" s="3">
        <v>0.7</v>
      </c>
      <c r="T225" s="3">
        <v>3</v>
      </c>
      <c r="U225" s="3">
        <v>94.2</v>
      </c>
      <c r="V225" s="3">
        <v>969.9</v>
      </c>
      <c r="W225" s="3">
        <v>0</v>
      </c>
      <c r="X225" s="3">
        <v>19.5</v>
      </c>
      <c r="Y225" s="3">
        <v>14.5</v>
      </c>
      <c r="Z225" s="3">
        <v>16.399999999999999</v>
      </c>
      <c r="AA225" s="3">
        <v>8.5</v>
      </c>
      <c r="AB225" s="3">
        <v>7.5</v>
      </c>
      <c r="AC225" s="3">
        <v>7.3</v>
      </c>
      <c r="AD225" s="3">
        <v>10.3</v>
      </c>
      <c r="AE225" s="3">
        <v>9.6</v>
      </c>
      <c r="AF225" s="3">
        <v>13.4</v>
      </c>
      <c r="AG225" s="3">
        <v>12.7</v>
      </c>
      <c r="AH225" s="3">
        <v>10</v>
      </c>
      <c r="AI225" s="3">
        <v>11.2</v>
      </c>
      <c r="AJ225" s="3">
        <v>11.4</v>
      </c>
      <c r="AK225" s="3">
        <v>11.5</v>
      </c>
      <c r="AL225" s="3">
        <v>11.1</v>
      </c>
      <c r="AM225" s="3">
        <v>11.7</v>
      </c>
      <c r="AN225" s="3">
        <v>12.8</v>
      </c>
      <c r="AO225" s="3">
        <v>12.4</v>
      </c>
      <c r="AP225" s="3">
        <v>11.7</v>
      </c>
      <c r="AQ225" s="3">
        <v>11.4</v>
      </c>
      <c r="AR225" s="3">
        <v>10.8</v>
      </c>
      <c r="AS225" s="3">
        <v>14.7</v>
      </c>
      <c r="AT225" s="3">
        <v>14.1</v>
      </c>
      <c r="AU225" s="3">
        <v>9.8000000000000007</v>
      </c>
      <c r="AV225" s="3">
        <v>10.5</v>
      </c>
      <c r="AW225" s="3">
        <v>10.5</v>
      </c>
      <c r="AX225" s="3">
        <v>10</v>
      </c>
      <c r="AY225" s="3">
        <v>9.9</v>
      </c>
      <c r="AZ225" s="3">
        <v>0</v>
      </c>
      <c r="BA225" s="3">
        <v>0</v>
      </c>
      <c r="BB225" s="3">
        <v>0</v>
      </c>
      <c r="BC225" s="3">
        <v>23.671746258875572</v>
      </c>
      <c r="BD225" s="3">
        <v>19.528253741124431</v>
      </c>
      <c r="BE225" s="3">
        <v>14.528253741124431</v>
      </c>
      <c r="BF225" s="3">
        <v>15.188253741124427</v>
      </c>
      <c r="BG225" s="3">
        <v>7.6149204077910895</v>
      </c>
      <c r="BH225" s="3">
        <v>6.7549204077910971</v>
      </c>
      <c r="BI225" s="3">
        <v>6.9682537411244283</v>
      </c>
      <c r="BJ225" s="3">
        <v>10.761587074457758</v>
      </c>
      <c r="BK225" s="3">
        <v>9.9349204077910898</v>
      </c>
      <c r="BL225" s="3">
        <v>13.308253741124432</v>
      </c>
      <c r="BM225" s="3">
        <v>12.741587074457762</v>
      </c>
      <c r="BN225" s="3">
        <v>10.324920407791097</v>
      </c>
      <c r="BO225" s="3">
        <v>10.89158707445776</v>
      </c>
      <c r="BP225" s="3">
        <v>10.808253741124432</v>
      </c>
      <c r="BQ225" s="3">
        <v>11.324920407791083</v>
      </c>
      <c r="BR225" s="3">
        <v>11.25158707445776</v>
      </c>
      <c r="BS225" s="3">
        <v>11.654920407791096</v>
      </c>
      <c r="BT225" s="3">
        <v>12.951587074457763</v>
      </c>
      <c r="BU225" s="3">
        <v>12.518253741124433</v>
      </c>
      <c r="BV225" s="3">
        <v>11.534920407791091</v>
      </c>
      <c r="BW225" s="3">
        <v>11.768253741124433</v>
      </c>
      <c r="BX225" s="3">
        <v>11.088253741124433</v>
      </c>
      <c r="BY225" s="3">
        <v>14.808253741124425</v>
      </c>
      <c r="BZ225" s="3">
        <v>14.338253741124433</v>
      </c>
      <c r="CA225" s="3">
        <v>10.138253741124423</v>
      </c>
      <c r="CB225" s="3">
        <v>10.274920407791093</v>
      </c>
      <c r="CC225" s="3">
        <v>10.488253741124424</v>
      </c>
      <c r="CD225" s="3">
        <v>9.2949204077910963</v>
      </c>
      <c r="CE225" s="3">
        <v>9.38825374112443</v>
      </c>
      <c r="CF225" s="3">
        <v>-0.89841292554223884</v>
      </c>
      <c r="CG225" s="3">
        <v>-1.4317462588755703</v>
      </c>
      <c r="CH225" s="3">
        <v>-2.5084129255422383</v>
      </c>
      <c r="CI225" s="13">
        <f>[1]!dbasum(RecData[[#This Row],[20]:[2000]],RecData[[#Headers],[20]:[2000]])</f>
        <v>20.542857547655366</v>
      </c>
      <c r="CJ225" s="14">
        <v>2907</v>
      </c>
      <c r="CK225" s="15" t="s">
        <v>249</v>
      </c>
      <c r="CL225" s="15">
        <f>RecData[[#This Row],[Start Time]]</f>
        <v>43257.168055555558</v>
      </c>
      <c r="CM225" s="16">
        <f>RecData[[#This Row],[Wind Speed avg]]</f>
        <v>0.51</v>
      </c>
      <c r="CN225" s="16">
        <f>RecData[[#This Row],[Wind Dir. avg]]</f>
        <v>127.4</v>
      </c>
      <c r="CO225" s="16">
        <f>RecData[[#This Row],[Amb. Humidity]]</f>
        <v>94.2</v>
      </c>
      <c r="CP225" s="16">
        <f>RecData[[#This Row],[Amb. Temperature]]</f>
        <v>3</v>
      </c>
      <c r="CQ225" s="17">
        <f>RecData[[#This Row],[Amb. Rain Gauge]]</f>
        <v>0</v>
      </c>
      <c r="CR225" s="4" t="s">
        <v>50</v>
      </c>
      <c r="CS225" s="4" t="s">
        <v>49</v>
      </c>
      <c r="CT225" s="70">
        <v>-10.99565029</v>
      </c>
      <c r="CU225" s="70">
        <v>156.0013123</v>
      </c>
      <c r="CV225" s="70">
        <v>1.8782023189999999</v>
      </c>
      <c r="CW225" s="70">
        <v>0</v>
      </c>
      <c r="CX225" s="4"/>
      <c r="CY225" s="69"/>
      <c r="CZ225" s="2" t="b">
        <f>IF($DP$1="YES",IF(RecData[[#This Row],[Power (kW)]]&gt;=$CR$3, TRUE,FALSE),TRUE)</f>
        <v>0</v>
      </c>
      <c r="DA225" s="16">
        <f>MIN(MOD(180-ABS(ABS($DA$1-RecData[Yaw Angle (°)])-180),360),MOD(180-ABS(ABS($DB$1-RecData[Yaw Angle (°)])-180),360))</f>
        <v>148.47138552231246</v>
      </c>
      <c r="DB225" s="2" t="str">
        <f>IF($DP$2="None","None",IF(RecData[[#This Row],[Relative Wind Direction]]&lt;=45,"DW",IF(RecData[[#This Row],[Relative Wind Direction]]&lt;=135,"CW","UW")))</f>
        <v>UW</v>
      </c>
      <c r="DC225" s="61">
        <f>IF($CL225-$CL221&gt;1/24,#REF!,IF(SUM($CQ221:$CQ225)&gt;$DS$1,$DS$5,DC226-1))</f>
        <v>-2</v>
      </c>
      <c r="DD225" s="61">
        <f>IF($CL226-$CL225&gt;1/24,#REF!,IF(SUM($CQ221:$CQ225)&gt;$DS$1,$DS$6,DD224-1))</f>
        <v>-9</v>
      </c>
      <c r="DE225" s="18" t="b">
        <v>0</v>
      </c>
      <c r="DF225" s="2" t="b">
        <f>IF(OR(RecData[[#This Row],[WSpd_Avg '[m/s']]]-RecData[[#This Row],[Wind Speed min]]&gt;=$DF$3,RecData[[#This Row],[Wind Speed max]]-RecData[[#This Row],[WSpd_Avg '[m/s']]]&gt;=$DF$2),TRUE,FALSE)</f>
        <v>0</v>
      </c>
      <c r="DG225" s="2" t="b">
        <f>RecData[[#This Row],[Temperature '[°C']]]&lt;=-20</f>
        <v>0</v>
      </c>
      <c r="DH225" s="18" t="b">
        <f>NOT(OR(MOD(RecData[[#This Row],[TIMESTAMP]],1)&gt;0.91632,MOD(RecData[[#This Row],[TIMESTAMP]],1)&lt;0.208681))</f>
        <v>0</v>
      </c>
      <c r="DI225" s="18" t="b">
        <f>RecData[[#This Row],[Overall (dBA)]]-RecData[[#This Row],[L90]]&gt;=$DS$4</f>
        <v>0</v>
      </c>
      <c r="DJ225" s="18" t="b">
        <f>RecData[[#This Row],[Overall (dBA)]]&gt;$DS$2</f>
        <v>0</v>
      </c>
      <c r="DK225" s="18" t="b">
        <f>RecData[[#This Row],[Overall (dBA)]]&lt;$DS$3</f>
        <v>0</v>
      </c>
      <c r="DL2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5" s="2">
        <f>IF(AND(RecData[[#This Row],[Turbines ON/OFF]] = "OFF", NOT(OR(RecData[[#This Row],[Junk?]]="YES",RecData[[#This Row],[Gust?]],RecData[[#This Row],[Rain?]:[Min SPL Threshold?]]))),1,0)</f>
        <v>1</v>
      </c>
      <c r="DN225" s="16">
        <f>RecData[[#This Row],[dBA Sum]]</f>
        <v>20.542857547655366</v>
      </c>
      <c r="DO225" s="16">
        <f>RecData[[#This Row],[LAF90.0]]</f>
        <v>22.3</v>
      </c>
      <c r="DP225" s="55" t="str">
        <f>IF(AND(RecData[[#This Row],[Useable TON Data?]],RecData[[#This Row],[Turbines ON/OFF]]="ON"),RecData[[#This Row],[dBA Sum]],"")</f>
        <v/>
      </c>
      <c r="DQ225" s="55">
        <f>IF(AND(RecData[[#This Row],[Useable Background Data?]],RecData[[#This Row],[Turbines ON/OFF]]="OFF"),RecData[[#This Row],[dBA Sum]],"")</f>
        <v>20.542857547655366</v>
      </c>
      <c r="DR225" s="3">
        <f>IF(OR(RecData[[#This Row],[Useable TON Data?]],RecData[[#This Row],[Useable Background Data?]]),ROUND(RecData[[#This Row],[WSpd_Avg '[m/s']]],0),"")</f>
        <v>1</v>
      </c>
      <c r="DS225" s="85">
        <f>(0.00002)^2*(10^(RecData[[#This Row],[Overall (dBA)]]/10))</f>
        <v>4.5325827966502087E-8</v>
      </c>
    </row>
    <row r="226" spans="1:123" ht="15" x14ac:dyDescent="0.25">
      <c r="A226" s="3" t="s">
        <v>249</v>
      </c>
      <c r="B226" s="12">
        <v>43257.168750000004</v>
      </c>
      <c r="C226" s="3"/>
      <c r="D226" s="3">
        <v>23.2</v>
      </c>
      <c r="E226" s="3"/>
      <c r="F226" s="3"/>
      <c r="G226" s="3"/>
      <c r="H226" s="3"/>
      <c r="I226" s="3"/>
      <c r="J226" s="3"/>
      <c r="K226" s="3">
        <v>22.1</v>
      </c>
      <c r="L226" s="3"/>
      <c r="M226" s="3"/>
      <c r="N226" s="3">
        <v>118.2</v>
      </c>
      <c r="O226" s="3"/>
      <c r="P226" s="3"/>
      <c r="Q226" s="3">
        <v>0.56999999999999995</v>
      </c>
      <c r="R226" s="3">
        <v>0.4</v>
      </c>
      <c r="S226" s="3">
        <v>0.8</v>
      </c>
      <c r="T226" s="3">
        <v>3</v>
      </c>
      <c r="U226" s="3">
        <v>94.2</v>
      </c>
      <c r="V226" s="3">
        <v>969.9</v>
      </c>
      <c r="W226" s="3">
        <v>0</v>
      </c>
      <c r="X226" s="3">
        <v>19</v>
      </c>
      <c r="Y226" s="3">
        <v>14.6</v>
      </c>
      <c r="Z226" s="3">
        <v>15.3</v>
      </c>
      <c r="AA226" s="3">
        <v>8.3000000000000007</v>
      </c>
      <c r="AB226" s="3">
        <v>7.2</v>
      </c>
      <c r="AC226" s="3">
        <v>7.2</v>
      </c>
      <c r="AD226" s="3">
        <v>9.9</v>
      </c>
      <c r="AE226" s="3">
        <v>9.5</v>
      </c>
      <c r="AF226" s="3">
        <v>14.4</v>
      </c>
      <c r="AG226" s="3">
        <v>11.5</v>
      </c>
      <c r="AH226" s="3">
        <v>10.199999999999999</v>
      </c>
      <c r="AI226" s="3">
        <v>11.3</v>
      </c>
      <c r="AJ226" s="3">
        <v>11.2</v>
      </c>
      <c r="AK226" s="3">
        <v>11.2</v>
      </c>
      <c r="AL226" s="3">
        <v>11</v>
      </c>
      <c r="AM226" s="3">
        <v>11.7</v>
      </c>
      <c r="AN226" s="3">
        <v>12.7</v>
      </c>
      <c r="AO226" s="3">
        <v>12.3</v>
      </c>
      <c r="AP226" s="3">
        <v>11.6</v>
      </c>
      <c r="AQ226" s="3">
        <v>11.3</v>
      </c>
      <c r="AR226" s="3">
        <v>10.6</v>
      </c>
      <c r="AS226" s="3">
        <v>12.5</v>
      </c>
      <c r="AT226" s="3">
        <v>13.1</v>
      </c>
      <c r="AU226" s="3">
        <v>9.8000000000000007</v>
      </c>
      <c r="AV226" s="3">
        <v>10.4</v>
      </c>
      <c r="AW226" s="3">
        <v>10.6</v>
      </c>
      <c r="AX226" s="3">
        <v>10</v>
      </c>
      <c r="AY226" s="3">
        <v>10</v>
      </c>
      <c r="AZ226" s="3">
        <v>0</v>
      </c>
      <c r="BA226" s="3">
        <v>0</v>
      </c>
      <c r="BB226" s="3">
        <v>0</v>
      </c>
      <c r="BC226" s="3">
        <v>23.169913456398007</v>
      </c>
      <c r="BD226" s="3">
        <v>19.030086543601996</v>
      </c>
      <c r="BE226" s="3">
        <v>14.63008654360199</v>
      </c>
      <c r="BF226" s="3">
        <v>14.090086543601991</v>
      </c>
      <c r="BG226" s="3">
        <v>7.4167532102686557</v>
      </c>
      <c r="BH226" s="3">
        <v>6.456753210268662</v>
      </c>
      <c r="BI226" s="3">
        <v>6.8700865436019924</v>
      </c>
      <c r="BJ226" s="3">
        <v>10.363419876935325</v>
      </c>
      <c r="BK226" s="3">
        <v>9.8367532102686539</v>
      </c>
      <c r="BL226" s="3">
        <v>14.310086543601997</v>
      </c>
      <c r="BM226" s="3">
        <v>11.543419876935332</v>
      </c>
      <c r="BN226" s="3">
        <v>10.526753210268659</v>
      </c>
      <c r="BO226" s="3">
        <v>10.993419876935327</v>
      </c>
      <c r="BP226" s="3">
        <v>10.610086543601994</v>
      </c>
      <c r="BQ226" s="3">
        <v>11.026753210268652</v>
      </c>
      <c r="BR226" s="3">
        <v>11.153419876935331</v>
      </c>
      <c r="BS226" s="3">
        <v>11.656753210268661</v>
      </c>
      <c r="BT226" s="3">
        <v>12.853419876935327</v>
      </c>
      <c r="BU226" s="3">
        <v>12.420086543601997</v>
      </c>
      <c r="BV226" s="3">
        <v>11.436753210268662</v>
      </c>
      <c r="BW226" s="3">
        <v>11.670086543601997</v>
      </c>
      <c r="BX226" s="3">
        <v>10.890086543601996</v>
      </c>
      <c r="BY226" s="3">
        <v>12.610086543601994</v>
      </c>
      <c r="BZ226" s="3">
        <v>13.340086543601998</v>
      </c>
      <c r="CA226" s="3">
        <v>10.140086543601988</v>
      </c>
      <c r="CB226" s="3">
        <v>10.176753210268657</v>
      </c>
      <c r="CC226" s="3">
        <v>10.590086543601991</v>
      </c>
      <c r="CD226" s="3">
        <v>9.2967532102686619</v>
      </c>
      <c r="CE226" s="3">
        <v>9.4900865436019899</v>
      </c>
      <c r="CF226" s="3">
        <v>-0.89658012306467327</v>
      </c>
      <c r="CG226" s="3">
        <v>-1.4299134563980047</v>
      </c>
      <c r="CH226" s="3">
        <v>-2.5065801230646727</v>
      </c>
      <c r="CI226" s="13">
        <f>[1]!dbasum(RecData[[#This Row],[20]:[2000]],RecData[[#Headers],[20]:[2000]])</f>
        <v>20.431527180537646</v>
      </c>
      <c r="CJ226" s="14">
        <v>2908</v>
      </c>
      <c r="CK226" s="15" t="s">
        <v>249</v>
      </c>
      <c r="CL226" s="15">
        <f>RecData[[#This Row],[Start Time]]</f>
        <v>43257.168750000004</v>
      </c>
      <c r="CM226" s="16">
        <f>RecData[[#This Row],[Wind Speed avg]]</f>
        <v>0.56999999999999995</v>
      </c>
      <c r="CN226" s="16">
        <f>RecData[[#This Row],[Wind Dir. avg]]</f>
        <v>118.2</v>
      </c>
      <c r="CO226" s="16">
        <f>RecData[[#This Row],[Amb. Humidity]]</f>
        <v>94.2</v>
      </c>
      <c r="CP226" s="16">
        <f>RecData[[#This Row],[Amb. Temperature]]</f>
        <v>3</v>
      </c>
      <c r="CQ226" s="17">
        <f>RecData[[#This Row],[Amb. Rain Gauge]]</f>
        <v>0</v>
      </c>
      <c r="CR226" s="4" t="s">
        <v>50</v>
      </c>
      <c r="CS226" s="4" t="s">
        <v>49</v>
      </c>
      <c r="CT226" s="70">
        <v>-10.99565029</v>
      </c>
      <c r="CU226" s="70">
        <v>156.0013123</v>
      </c>
      <c r="CV226" s="70">
        <v>1.8782023189999999</v>
      </c>
      <c r="CW226" s="70">
        <v>0</v>
      </c>
      <c r="CX226" s="4"/>
      <c r="CY226" s="69"/>
      <c r="CZ226" s="2" t="b">
        <f>IF($DP$1="YES",IF(RecData[[#This Row],[Power (kW)]]&gt;=$CR$3, TRUE,FALSE),TRUE)</f>
        <v>0</v>
      </c>
      <c r="DA226" s="16">
        <f>MIN(MOD(180-ABS(ABS($DA$1-RecData[Yaw Angle (°)])-180),360),MOD(180-ABS(ABS($DB$1-RecData[Yaw Angle (°)])-180),360))</f>
        <v>148.47138552231246</v>
      </c>
      <c r="DB226" s="2" t="str">
        <f>IF($DP$2="None","None",IF(RecData[[#This Row],[Relative Wind Direction]]&lt;=45,"DW",IF(RecData[[#This Row],[Relative Wind Direction]]&lt;=135,"CW","UW")))</f>
        <v>UW</v>
      </c>
      <c r="DC226" s="61">
        <v>-1</v>
      </c>
      <c r="DD226" s="61">
        <v>-1</v>
      </c>
      <c r="DE226" s="18" t="b">
        <v>0</v>
      </c>
      <c r="DF226" s="2" t="b">
        <f>IF(OR(RecData[[#This Row],[WSpd_Avg '[m/s']]]-RecData[[#This Row],[Wind Speed min]]&gt;=$DF$3,RecData[[#This Row],[Wind Speed max]]-RecData[[#This Row],[WSpd_Avg '[m/s']]]&gt;=$DF$2),TRUE,FALSE)</f>
        <v>0</v>
      </c>
      <c r="DG226" s="2" t="b">
        <f>RecData[[#This Row],[Temperature '[°C']]]&lt;=-20</f>
        <v>0</v>
      </c>
      <c r="DH226" s="18" t="b">
        <f>NOT(OR(MOD(RecData[[#This Row],[TIMESTAMP]],1)&gt;0.91632,MOD(RecData[[#This Row],[TIMESTAMP]],1)&lt;0.208681))</f>
        <v>0</v>
      </c>
      <c r="DI226" s="18" t="b">
        <f>RecData[[#This Row],[Overall (dBA)]]-RecData[[#This Row],[L90]]&gt;=$DS$4</f>
        <v>0</v>
      </c>
      <c r="DJ226" s="18" t="b">
        <f>RecData[[#This Row],[Overall (dBA)]]&gt;$DS$2</f>
        <v>0</v>
      </c>
      <c r="DK226" s="18" t="b">
        <f>RecData[[#This Row],[Overall (dBA)]]&lt;$DS$3</f>
        <v>0</v>
      </c>
      <c r="DL2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6" s="2">
        <f>IF(AND(RecData[[#This Row],[Turbines ON/OFF]] = "OFF", NOT(OR(RecData[[#This Row],[Junk?]]="YES",RecData[[#This Row],[Gust?]],RecData[[#This Row],[Rain?]:[Min SPL Threshold?]]))),1,0)</f>
        <v>1</v>
      </c>
      <c r="DN226" s="16">
        <f>RecData[[#This Row],[dBA Sum]]</f>
        <v>20.431527180537646</v>
      </c>
      <c r="DO226" s="16">
        <f>RecData[[#This Row],[LAF90.0]]</f>
        <v>22.1</v>
      </c>
      <c r="DP226" s="55" t="str">
        <f>IF(AND(RecData[[#This Row],[Useable TON Data?]],RecData[[#This Row],[Turbines ON/OFF]]="ON"),RecData[[#This Row],[dBA Sum]],"")</f>
        <v/>
      </c>
      <c r="DQ226" s="55">
        <f>IF(AND(RecData[[#This Row],[Useable Background Data?]],RecData[[#This Row],[Turbines ON/OFF]]="OFF"),RecData[[#This Row],[dBA Sum]],"")</f>
        <v>20.431527180537646</v>
      </c>
      <c r="DR226" s="3">
        <f>IF(OR(RecData[[#This Row],[Useable TON Data?]],RecData[[#This Row],[Useable Background Data?]]),ROUND(RecData[[#This Row],[WSpd_Avg '[m/s']]],0),"")</f>
        <v>1</v>
      </c>
      <c r="DS226" s="85">
        <f>(0.00002)^2*(10^(RecData[[#This Row],[Overall (dBA)]]/10))</f>
        <v>4.4178677333986224E-8</v>
      </c>
    </row>
    <row r="227" spans="1:123" ht="15" x14ac:dyDescent="0.25">
      <c r="A227" s="3" t="s">
        <v>249</v>
      </c>
      <c r="B227" s="12">
        <v>43257.169444444451</v>
      </c>
      <c r="C227" s="3"/>
      <c r="D227" s="3">
        <v>23.8</v>
      </c>
      <c r="E227" s="3"/>
      <c r="F227" s="3"/>
      <c r="G227" s="3"/>
      <c r="H227" s="3"/>
      <c r="I227" s="3"/>
      <c r="J227" s="3"/>
      <c r="K227" s="3">
        <v>22.3</v>
      </c>
      <c r="L227" s="3"/>
      <c r="M227" s="3"/>
      <c r="N227" s="3">
        <v>128.5</v>
      </c>
      <c r="O227" s="3"/>
      <c r="P227" s="3"/>
      <c r="Q227" s="3">
        <v>0.68</v>
      </c>
      <c r="R227" s="3">
        <v>0.5</v>
      </c>
      <c r="S227" s="3">
        <v>0.8</v>
      </c>
      <c r="T227" s="3">
        <v>2.9</v>
      </c>
      <c r="U227" s="3">
        <v>94.2</v>
      </c>
      <c r="V227" s="3">
        <v>969.9</v>
      </c>
      <c r="W227" s="3">
        <v>0</v>
      </c>
      <c r="X227" s="3">
        <v>19.600000000000001</v>
      </c>
      <c r="Y227" s="3">
        <v>15</v>
      </c>
      <c r="Z227" s="3">
        <v>15.8</v>
      </c>
      <c r="AA227" s="3">
        <v>8.8000000000000007</v>
      </c>
      <c r="AB227" s="3">
        <v>7.5</v>
      </c>
      <c r="AC227" s="3">
        <v>7.6</v>
      </c>
      <c r="AD227" s="3">
        <v>9.5</v>
      </c>
      <c r="AE227" s="3">
        <v>9.3000000000000007</v>
      </c>
      <c r="AF227" s="3">
        <v>14</v>
      </c>
      <c r="AG227" s="3">
        <v>12.8</v>
      </c>
      <c r="AH227" s="3">
        <v>10</v>
      </c>
      <c r="AI227" s="3">
        <v>11.1</v>
      </c>
      <c r="AJ227" s="3">
        <v>11</v>
      </c>
      <c r="AK227" s="3">
        <v>10.9</v>
      </c>
      <c r="AL227" s="3">
        <v>10.9</v>
      </c>
      <c r="AM227" s="3">
        <v>11.5</v>
      </c>
      <c r="AN227" s="3">
        <v>12.5</v>
      </c>
      <c r="AO227" s="3">
        <v>12.4</v>
      </c>
      <c r="AP227" s="3">
        <v>11.6</v>
      </c>
      <c r="AQ227" s="3">
        <v>11.2</v>
      </c>
      <c r="AR227" s="3">
        <v>10.6</v>
      </c>
      <c r="AS227" s="3">
        <v>14.8</v>
      </c>
      <c r="AT227" s="3">
        <v>15.2</v>
      </c>
      <c r="AU227" s="3">
        <v>9.9</v>
      </c>
      <c r="AV227" s="3">
        <v>10.3</v>
      </c>
      <c r="AW227" s="3">
        <v>10.5</v>
      </c>
      <c r="AX227" s="3">
        <v>9.9</v>
      </c>
      <c r="AY227" s="3">
        <v>9.9</v>
      </c>
      <c r="AZ227" s="3">
        <v>0</v>
      </c>
      <c r="BA227" s="3">
        <v>0</v>
      </c>
      <c r="BB227" s="3">
        <v>0</v>
      </c>
      <c r="BC227" s="3">
        <v>23.777566549202241</v>
      </c>
      <c r="BD227" s="3">
        <v>19.622433450797764</v>
      </c>
      <c r="BE227" s="3">
        <v>15.022433450797756</v>
      </c>
      <c r="BF227" s="3">
        <v>14.582433450797758</v>
      </c>
      <c r="BG227" s="3">
        <v>7.9091001174644227</v>
      </c>
      <c r="BH227" s="3">
        <v>6.7491001174644296</v>
      </c>
      <c r="BI227" s="3">
        <v>7.2624334507977579</v>
      </c>
      <c r="BJ227" s="3">
        <v>9.9557667841310931</v>
      </c>
      <c r="BK227" s="3">
        <v>9.6291001174644251</v>
      </c>
      <c r="BL227" s="3">
        <v>13.902433450797758</v>
      </c>
      <c r="BM227" s="3">
        <v>12.835766784131096</v>
      </c>
      <c r="BN227" s="3">
        <v>10.319100117464423</v>
      </c>
      <c r="BO227" s="3">
        <v>10.785766784131091</v>
      </c>
      <c r="BP227" s="3">
        <v>10.402433450797758</v>
      </c>
      <c r="BQ227" s="3">
        <v>10.719100117464414</v>
      </c>
      <c r="BR227" s="3">
        <v>11.045766784131096</v>
      </c>
      <c r="BS227" s="3">
        <v>11.449100117464425</v>
      </c>
      <c r="BT227" s="3">
        <v>12.645766784131091</v>
      </c>
      <c r="BU227" s="3">
        <v>12.512433450797765</v>
      </c>
      <c r="BV227" s="3">
        <v>11.429100117464422</v>
      </c>
      <c r="BW227" s="3">
        <v>11.562433450797762</v>
      </c>
      <c r="BX227" s="3">
        <v>10.882433450797762</v>
      </c>
      <c r="BY227" s="3">
        <v>14.902433450797758</v>
      </c>
      <c r="BZ227" s="3">
        <v>15.43243345079776</v>
      </c>
      <c r="CA227" s="3">
        <v>10.23243345079775</v>
      </c>
      <c r="CB227" s="3">
        <v>10.069100117464423</v>
      </c>
      <c r="CC227" s="3">
        <v>10.482433450797757</v>
      </c>
      <c r="CD227" s="3">
        <v>9.1891001174644273</v>
      </c>
      <c r="CE227" s="3">
        <v>9.3824334507977554</v>
      </c>
      <c r="CF227" s="3">
        <v>-0.90423321586890637</v>
      </c>
      <c r="CG227" s="3">
        <v>-1.4375665492022378</v>
      </c>
      <c r="CH227" s="3">
        <v>-2.5142332158689058</v>
      </c>
      <c r="CI227" s="13">
        <f>[1]!dbasum(RecData[[#This Row],[20]:[2000]],RecData[[#Headers],[20]:[2000]])</f>
        <v>20.358804683812089</v>
      </c>
      <c r="CJ227" s="14">
        <v>2909</v>
      </c>
      <c r="CK227" s="15" t="s">
        <v>249</v>
      </c>
      <c r="CL227" s="15">
        <f>RecData[[#This Row],[Start Time]]</f>
        <v>43257.169444444451</v>
      </c>
      <c r="CM227" s="16">
        <f>RecData[[#This Row],[Wind Speed avg]]</f>
        <v>0.68</v>
      </c>
      <c r="CN227" s="16">
        <f>RecData[[#This Row],[Wind Dir. avg]]</f>
        <v>128.5</v>
      </c>
      <c r="CO227" s="16">
        <f>RecData[[#This Row],[Amb. Humidity]]</f>
        <v>94.2</v>
      </c>
      <c r="CP227" s="16">
        <f>RecData[[#This Row],[Amb. Temperature]]</f>
        <v>2.9</v>
      </c>
      <c r="CQ227" s="17">
        <f>RecData[[#This Row],[Amb. Rain Gauge]]</f>
        <v>0</v>
      </c>
      <c r="CR227" s="4" t="s">
        <v>50</v>
      </c>
      <c r="CS227" s="4" t="s">
        <v>49</v>
      </c>
      <c r="CT227" s="70">
        <v>-10.99565029</v>
      </c>
      <c r="CU227" s="70">
        <v>156.0013123</v>
      </c>
      <c r="CV227" s="70">
        <v>1.8782023189999999</v>
      </c>
      <c r="CW227" s="70">
        <v>0</v>
      </c>
      <c r="CX227" s="4"/>
      <c r="CY227" s="69"/>
      <c r="CZ227" s="2" t="b">
        <f>IF($DP$1="YES",IF(RecData[[#This Row],[Power (kW)]]&gt;=$CR$3, TRUE,FALSE),TRUE)</f>
        <v>0</v>
      </c>
      <c r="DA227" s="16">
        <f>MIN(MOD(180-ABS(ABS($DA$1-RecData[Yaw Angle (°)])-180),360),MOD(180-ABS(ABS($DB$1-RecData[Yaw Angle (°)])-180),360))</f>
        <v>148.47138552231246</v>
      </c>
      <c r="DB227" s="2" t="str">
        <f>IF($DP$2="None","None",IF(RecData[[#This Row],[Relative Wind Direction]]&lt;=45,"DW",IF(RecData[[#This Row],[Relative Wind Direction]]&lt;=135,"CW","UW")))</f>
        <v>UW</v>
      </c>
      <c r="DC227" s="61" t="e">
        <f>IF($CL227-$CL226&gt;1/24,#REF!,IF(SUM($CQ226:$CQ227)&gt;$DS$1,$DS$5,DC228-1))</f>
        <v>#REF!</v>
      </c>
      <c r="DD227" s="61">
        <f>IF($CL228-$CL227&gt;1/24,#REF!,IF(SUM($CQ226:$CQ227)&gt;$DS$1,$DS$6,DD226-1))</f>
        <v>-2</v>
      </c>
      <c r="DE227" s="18" t="b">
        <v>0</v>
      </c>
      <c r="DF227" s="2" t="b">
        <f>IF(OR(RecData[[#This Row],[WSpd_Avg '[m/s']]]-RecData[[#This Row],[Wind Speed min]]&gt;=$DF$3,RecData[[#This Row],[Wind Speed max]]-RecData[[#This Row],[WSpd_Avg '[m/s']]]&gt;=$DF$2),TRUE,FALSE)</f>
        <v>0</v>
      </c>
      <c r="DG227" s="2" t="b">
        <f>RecData[[#This Row],[Temperature '[°C']]]&lt;=-20</f>
        <v>0</v>
      </c>
      <c r="DH227" s="18" t="b">
        <f>NOT(OR(MOD(RecData[[#This Row],[TIMESTAMP]],1)&gt;0.91632,MOD(RecData[[#This Row],[TIMESTAMP]],1)&lt;0.208681))</f>
        <v>0</v>
      </c>
      <c r="DI227" s="18" t="b">
        <f>RecData[[#This Row],[Overall (dBA)]]-RecData[[#This Row],[L90]]&gt;=$DS$4</f>
        <v>0</v>
      </c>
      <c r="DJ227" s="18" t="b">
        <f>RecData[[#This Row],[Overall (dBA)]]&gt;$DS$2</f>
        <v>0</v>
      </c>
      <c r="DK227" s="18" t="b">
        <f>RecData[[#This Row],[Overall (dBA)]]&lt;$DS$3</f>
        <v>0</v>
      </c>
      <c r="DL2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7" s="2">
        <f>IF(AND(RecData[[#This Row],[Turbines ON/OFF]] = "OFF", NOT(OR(RecData[[#This Row],[Junk?]]="YES",RecData[[#This Row],[Gust?]],RecData[[#This Row],[Rain?]:[Min SPL Threshold?]]))),1,0)</f>
        <v>1</v>
      </c>
      <c r="DN227" s="16">
        <f>RecData[[#This Row],[dBA Sum]]</f>
        <v>20.358804683812089</v>
      </c>
      <c r="DO227" s="16">
        <f>RecData[[#This Row],[LAF90.0]]</f>
        <v>22.3</v>
      </c>
      <c r="DP227" s="55" t="str">
        <f>IF(AND(RecData[[#This Row],[Useable TON Data?]],RecData[[#This Row],[Turbines ON/OFF]]="ON"),RecData[[#This Row],[dBA Sum]],"")</f>
        <v/>
      </c>
      <c r="DQ227" s="55">
        <f>IF(AND(RecData[[#This Row],[Useable Background Data?]],RecData[[#This Row],[Turbines ON/OFF]]="OFF"),RecData[[#This Row],[dBA Sum]],"")</f>
        <v>20.358804683812089</v>
      </c>
      <c r="DR227" s="3">
        <f>IF(OR(RecData[[#This Row],[Useable TON Data?]],RecData[[#This Row],[Useable Background Data?]]),ROUND(RecData[[#This Row],[WSpd_Avg '[m/s']]],0),"")</f>
        <v>1</v>
      </c>
      <c r="DS227" s="85">
        <f>(0.00002)^2*(10^(RecData[[#This Row],[Overall (dBA)]]/10))</f>
        <v>4.3445065838644112E-8</v>
      </c>
    </row>
    <row r="228" spans="1:123" ht="15" x14ac:dyDescent="0.25">
      <c r="A228" s="3" t="s">
        <v>249</v>
      </c>
      <c r="B228" s="12">
        <v>43257.170138888891</v>
      </c>
      <c r="C228" s="3"/>
      <c r="D228" s="3">
        <v>23</v>
      </c>
      <c r="E228" s="3"/>
      <c r="F228" s="3"/>
      <c r="G228" s="3"/>
      <c r="H228" s="3"/>
      <c r="I228" s="3"/>
      <c r="J228" s="3"/>
      <c r="K228" s="3">
        <v>22</v>
      </c>
      <c r="L228" s="3"/>
      <c r="M228" s="3"/>
      <c r="N228" s="3">
        <v>134.6</v>
      </c>
      <c r="O228" s="3"/>
      <c r="P228" s="3"/>
      <c r="Q228" s="3">
        <v>0.66</v>
      </c>
      <c r="R228" s="3">
        <v>0.5</v>
      </c>
      <c r="S228" s="3">
        <v>0.8</v>
      </c>
      <c r="T228" s="3">
        <v>2.9</v>
      </c>
      <c r="U228" s="3">
        <v>94.2</v>
      </c>
      <c r="V228" s="3">
        <v>969.9</v>
      </c>
      <c r="W228" s="3">
        <v>0</v>
      </c>
      <c r="X228" s="3">
        <v>20.9</v>
      </c>
      <c r="Y228" s="3">
        <v>16.3</v>
      </c>
      <c r="Z228" s="3">
        <v>15.3</v>
      </c>
      <c r="AA228" s="3">
        <v>9.1999999999999993</v>
      </c>
      <c r="AB228" s="3">
        <v>8</v>
      </c>
      <c r="AC228" s="3">
        <v>7.9</v>
      </c>
      <c r="AD228" s="3">
        <v>10.3</v>
      </c>
      <c r="AE228" s="3">
        <v>10.3</v>
      </c>
      <c r="AF228" s="3">
        <v>14.6</v>
      </c>
      <c r="AG228" s="3">
        <v>13.4</v>
      </c>
      <c r="AH228" s="3">
        <v>10</v>
      </c>
      <c r="AI228" s="3">
        <v>11</v>
      </c>
      <c r="AJ228" s="3">
        <v>11</v>
      </c>
      <c r="AK228" s="3">
        <v>10.8</v>
      </c>
      <c r="AL228" s="3">
        <v>10.6</v>
      </c>
      <c r="AM228" s="3">
        <v>11.4</v>
      </c>
      <c r="AN228" s="3">
        <v>12.5</v>
      </c>
      <c r="AO228" s="3">
        <v>12.3</v>
      </c>
      <c r="AP228" s="3">
        <v>11.6</v>
      </c>
      <c r="AQ228" s="3">
        <v>11.3</v>
      </c>
      <c r="AR228" s="3">
        <v>10.7</v>
      </c>
      <c r="AS228" s="3">
        <v>11.9</v>
      </c>
      <c r="AT228" s="3">
        <v>11.4</v>
      </c>
      <c r="AU228" s="3">
        <v>10.1</v>
      </c>
      <c r="AV228" s="3">
        <v>10.4</v>
      </c>
      <c r="AW228" s="3">
        <v>10.7</v>
      </c>
      <c r="AX228" s="3">
        <v>10.1</v>
      </c>
      <c r="AY228" s="3">
        <v>10</v>
      </c>
      <c r="AZ228" s="3">
        <v>0</v>
      </c>
      <c r="BA228" s="3">
        <v>0</v>
      </c>
      <c r="BB228" s="3">
        <v>0</v>
      </c>
      <c r="BC228" s="3">
        <v>22.905764705251578</v>
      </c>
      <c r="BD228" s="3">
        <v>20.994235294748421</v>
      </c>
      <c r="BE228" s="3">
        <v>16.39423529474842</v>
      </c>
      <c r="BF228" s="3">
        <v>14.154235294748425</v>
      </c>
      <c r="BG228" s="3">
        <v>8.3809019614150841</v>
      </c>
      <c r="BH228" s="3">
        <v>7.3209019614150925</v>
      </c>
      <c r="BI228" s="3">
        <v>7.6342352947484216</v>
      </c>
      <c r="BJ228" s="3">
        <v>10.827568628081757</v>
      </c>
      <c r="BK228" s="3">
        <v>10.700901961415084</v>
      </c>
      <c r="BL228" s="3">
        <v>14.574235294748426</v>
      </c>
      <c r="BM228" s="3">
        <v>13.507568628081756</v>
      </c>
      <c r="BN228" s="3">
        <v>10.390901961415089</v>
      </c>
      <c r="BO228" s="3">
        <v>10.757568628081756</v>
      </c>
      <c r="BP228" s="3">
        <v>10.474235294748425</v>
      </c>
      <c r="BQ228" s="3">
        <v>10.690901961415079</v>
      </c>
      <c r="BR228" s="3">
        <v>10.817568628081759</v>
      </c>
      <c r="BS228" s="3">
        <v>11.42090196141509</v>
      </c>
      <c r="BT228" s="3">
        <v>12.717568628081757</v>
      </c>
      <c r="BU228" s="3">
        <v>12.484235294748423</v>
      </c>
      <c r="BV228" s="3">
        <v>11.500901961415089</v>
      </c>
      <c r="BW228" s="3">
        <v>11.734235294748423</v>
      </c>
      <c r="BX228" s="3">
        <v>11.05423529474843</v>
      </c>
      <c r="BY228" s="3">
        <v>12.074235294748419</v>
      </c>
      <c r="BZ228" s="3">
        <v>11.704235294748422</v>
      </c>
      <c r="CA228" s="3">
        <v>10.504235294748419</v>
      </c>
      <c r="CB228" s="3">
        <v>10.240901961415084</v>
      </c>
      <c r="CC228" s="3">
        <v>10.754235294748419</v>
      </c>
      <c r="CD228" s="3">
        <v>9.4609019614150967</v>
      </c>
      <c r="CE228" s="3">
        <v>9.5542352947484233</v>
      </c>
      <c r="CF228" s="3">
        <v>-0.83243137191824346</v>
      </c>
      <c r="CG228" s="3">
        <v>-1.3657647052515749</v>
      </c>
      <c r="CH228" s="3">
        <v>-2.4424313719182429</v>
      </c>
      <c r="CI228" s="13">
        <f>[1]!dbasum(RecData[[#This Row],[20]:[2000]],RecData[[#Headers],[20]:[2000]])</f>
        <v>20.427470722946136</v>
      </c>
      <c r="CJ228" s="14">
        <v>2910</v>
      </c>
      <c r="CK228" s="15" t="s">
        <v>249</v>
      </c>
      <c r="CL228" s="15">
        <f>RecData[[#This Row],[Start Time]]</f>
        <v>43257.170138888891</v>
      </c>
      <c r="CM228" s="16">
        <f>RecData[[#This Row],[Wind Speed avg]]</f>
        <v>0.66</v>
      </c>
      <c r="CN228" s="16">
        <f>RecData[[#This Row],[Wind Dir. avg]]</f>
        <v>134.6</v>
      </c>
      <c r="CO228" s="16">
        <f>RecData[[#This Row],[Amb. Humidity]]</f>
        <v>94.2</v>
      </c>
      <c r="CP228" s="16">
        <f>RecData[[#This Row],[Amb. Temperature]]</f>
        <v>2.9</v>
      </c>
      <c r="CQ228" s="17">
        <f>RecData[[#This Row],[Amb. Rain Gauge]]</f>
        <v>0</v>
      </c>
      <c r="CR228" s="4" t="s">
        <v>50</v>
      </c>
      <c r="CS228" s="4" t="s">
        <v>49</v>
      </c>
      <c r="CT228" s="70">
        <v>-10.99565029</v>
      </c>
      <c r="CU228" s="70">
        <v>156.0013123</v>
      </c>
      <c r="CV228" s="70">
        <v>1.8782023189999999</v>
      </c>
      <c r="CW228" s="70">
        <v>0</v>
      </c>
      <c r="CX228" s="4"/>
      <c r="CY228" s="69"/>
      <c r="CZ228" s="2" t="b">
        <f>IF($DP$1="YES",IF(RecData[[#This Row],[Power (kW)]]&gt;=$CR$3, TRUE,FALSE),TRUE)</f>
        <v>0</v>
      </c>
      <c r="DA228" s="16">
        <f>MIN(MOD(180-ABS(ABS($DA$1-RecData[Yaw Angle (°)])-180),360),MOD(180-ABS(ABS($DB$1-RecData[Yaw Angle (°)])-180),360))</f>
        <v>148.47138552231246</v>
      </c>
      <c r="DB228" s="2" t="str">
        <f>IF($DP$2="None","None",IF(RecData[[#This Row],[Relative Wind Direction]]&lt;=45,"DW",IF(RecData[[#This Row],[Relative Wind Direction]]&lt;=135,"CW","UW")))</f>
        <v>UW</v>
      </c>
      <c r="DC228" s="61" t="e">
        <f>IF($CL228-$CL226&gt;1/24,#REF!,IF(SUM($CQ226:$CQ228)&gt;$DS$1,$DS$5,DC229-1))</f>
        <v>#REF!</v>
      </c>
      <c r="DD228" s="61">
        <f>IF($CL229-$CL228&gt;1/24,#REF!,IF(SUM($CQ226:$CQ228)&gt;$DS$1,$DS$6,DD227-1))</f>
        <v>-3</v>
      </c>
      <c r="DE228" s="18" t="b">
        <v>0</v>
      </c>
      <c r="DF228" s="2" t="b">
        <f>IF(OR(RecData[[#This Row],[WSpd_Avg '[m/s']]]-RecData[[#This Row],[Wind Speed min]]&gt;=$DF$3,RecData[[#This Row],[Wind Speed max]]-RecData[[#This Row],[WSpd_Avg '[m/s']]]&gt;=$DF$2),TRUE,FALSE)</f>
        <v>0</v>
      </c>
      <c r="DG228" s="2" t="b">
        <f>RecData[[#This Row],[Temperature '[°C']]]&lt;=-20</f>
        <v>0</v>
      </c>
      <c r="DH228" s="18" t="b">
        <f>NOT(OR(MOD(RecData[[#This Row],[TIMESTAMP]],1)&gt;0.91632,MOD(RecData[[#This Row],[TIMESTAMP]],1)&lt;0.208681))</f>
        <v>0</v>
      </c>
      <c r="DI228" s="18" t="b">
        <f>RecData[[#This Row],[Overall (dBA)]]-RecData[[#This Row],[L90]]&gt;=$DS$4</f>
        <v>0</v>
      </c>
      <c r="DJ228" s="18" t="b">
        <f>RecData[[#This Row],[Overall (dBA)]]&gt;$DS$2</f>
        <v>0</v>
      </c>
      <c r="DK228" s="18" t="b">
        <f>RecData[[#This Row],[Overall (dBA)]]&lt;$DS$3</f>
        <v>0</v>
      </c>
      <c r="DL2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8" s="2">
        <f>IF(AND(RecData[[#This Row],[Turbines ON/OFF]] = "OFF", NOT(OR(RecData[[#This Row],[Junk?]]="YES",RecData[[#This Row],[Gust?]],RecData[[#This Row],[Rain?]:[Min SPL Threshold?]]))),1,0)</f>
        <v>1</v>
      </c>
      <c r="DN228" s="16">
        <f>RecData[[#This Row],[dBA Sum]]</f>
        <v>20.427470722946136</v>
      </c>
      <c r="DO228" s="16">
        <f>RecData[[#This Row],[LAF90.0]]</f>
        <v>22</v>
      </c>
      <c r="DP228" s="55" t="str">
        <f>IF(AND(RecData[[#This Row],[Useable TON Data?]],RecData[[#This Row],[Turbines ON/OFF]]="ON"),RecData[[#This Row],[dBA Sum]],"")</f>
        <v/>
      </c>
      <c r="DQ228" s="55">
        <f>IF(AND(RecData[[#This Row],[Useable Background Data?]],RecData[[#This Row],[Turbines ON/OFF]]="OFF"),RecData[[#This Row],[dBA Sum]],"")</f>
        <v>20.427470722946136</v>
      </c>
      <c r="DR228" s="3">
        <f>IF(OR(RecData[[#This Row],[Useable TON Data?]],RecData[[#This Row],[Useable Background Data?]]),ROUND(RecData[[#This Row],[WSpd_Avg '[m/s']]],0),"")</f>
        <v>1</v>
      </c>
      <c r="DS228" s="85">
        <f>(0.00002)^2*(10^(RecData[[#This Row],[Overall (dBA)]]/10))</f>
        <v>4.4137432217835022E-8</v>
      </c>
    </row>
    <row r="229" spans="1:123" ht="15" x14ac:dyDescent="0.25">
      <c r="A229" s="3" t="s">
        <v>249</v>
      </c>
      <c r="B229" s="12">
        <v>43257.170833333337</v>
      </c>
      <c r="C229" s="3"/>
      <c r="D229" s="3">
        <v>23.3</v>
      </c>
      <c r="E229" s="3"/>
      <c r="F229" s="3"/>
      <c r="G229" s="3"/>
      <c r="H229" s="3"/>
      <c r="I229" s="3"/>
      <c r="J229" s="3"/>
      <c r="K229" s="3">
        <v>22</v>
      </c>
      <c r="L229" s="3"/>
      <c r="M229" s="3"/>
      <c r="N229" s="3">
        <v>142.5</v>
      </c>
      <c r="O229" s="3"/>
      <c r="P229" s="3"/>
      <c r="Q229" s="3">
        <v>0.63</v>
      </c>
      <c r="R229" s="3">
        <v>0.4</v>
      </c>
      <c r="S229" s="3">
        <v>0.8</v>
      </c>
      <c r="T229" s="3">
        <v>2.9</v>
      </c>
      <c r="U229" s="3">
        <v>94.2</v>
      </c>
      <c r="V229" s="3">
        <v>969.9</v>
      </c>
      <c r="W229" s="3">
        <v>0</v>
      </c>
      <c r="X229" s="3">
        <v>20.399999999999999</v>
      </c>
      <c r="Y229" s="3">
        <v>15.2</v>
      </c>
      <c r="Z229" s="3">
        <v>17.2</v>
      </c>
      <c r="AA229" s="3">
        <v>8.6999999999999993</v>
      </c>
      <c r="AB229" s="3">
        <v>8.3000000000000007</v>
      </c>
      <c r="AC229" s="3">
        <v>7.2</v>
      </c>
      <c r="AD229" s="3">
        <v>9.6999999999999993</v>
      </c>
      <c r="AE229" s="3">
        <v>9.6</v>
      </c>
      <c r="AF229" s="3">
        <v>14</v>
      </c>
      <c r="AG229" s="3">
        <v>12.6</v>
      </c>
      <c r="AH229" s="3">
        <v>9.8000000000000007</v>
      </c>
      <c r="AI229" s="3">
        <v>11</v>
      </c>
      <c r="AJ229" s="3">
        <v>11.1</v>
      </c>
      <c r="AK229" s="3">
        <v>11</v>
      </c>
      <c r="AL229" s="3">
        <v>10.7</v>
      </c>
      <c r="AM229" s="3">
        <v>11.2</v>
      </c>
      <c r="AN229" s="3">
        <v>12.3</v>
      </c>
      <c r="AO229" s="3">
        <v>12.2</v>
      </c>
      <c r="AP229" s="3">
        <v>11.7</v>
      </c>
      <c r="AQ229" s="3">
        <v>11.7</v>
      </c>
      <c r="AR229" s="3">
        <v>11</v>
      </c>
      <c r="AS229" s="3">
        <v>13.3</v>
      </c>
      <c r="AT229" s="3">
        <v>12.7</v>
      </c>
      <c r="AU229" s="3">
        <v>9.6</v>
      </c>
      <c r="AV229" s="3">
        <v>10.1</v>
      </c>
      <c r="AW229" s="3">
        <v>10.4</v>
      </c>
      <c r="AX229" s="3">
        <v>10</v>
      </c>
      <c r="AY229" s="3">
        <v>9.9</v>
      </c>
      <c r="AZ229" s="3">
        <v>0</v>
      </c>
      <c r="BA229" s="3">
        <v>0</v>
      </c>
      <c r="BB229" s="3">
        <v>0</v>
      </c>
      <c r="BC229" s="3">
        <v>23.178781350259218</v>
      </c>
      <c r="BD229" s="3">
        <v>20.521218649740785</v>
      </c>
      <c r="BE229" s="3">
        <v>15.321218649740782</v>
      </c>
      <c r="BF229" s="3">
        <v>16.08121864974078</v>
      </c>
      <c r="BG229" s="3">
        <v>7.9078853164074445</v>
      </c>
      <c r="BH229" s="3">
        <v>7.6478853164074536</v>
      </c>
      <c r="BI229" s="3">
        <v>6.9612186497407826</v>
      </c>
      <c r="BJ229" s="3">
        <v>10.254551983074112</v>
      </c>
      <c r="BK229" s="3">
        <v>10.027885316407446</v>
      </c>
      <c r="BL229" s="3">
        <v>14.001218649740782</v>
      </c>
      <c r="BM229" s="3">
        <v>12.734551983074116</v>
      </c>
      <c r="BN229" s="3">
        <v>10.21788531640745</v>
      </c>
      <c r="BO229" s="3">
        <v>10.78455198307412</v>
      </c>
      <c r="BP229" s="3">
        <v>10.601218649740783</v>
      </c>
      <c r="BQ229" s="3">
        <v>10.917885316407439</v>
      </c>
      <c r="BR229" s="3">
        <v>10.944551983074117</v>
      </c>
      <c r="BS229" s="3">
        <v>11.247885316407451</v>
      </c>
      <c r="BT229" s="3">
        <v>12.544551983074118</v>
      </c>
      <c r="BU229" s="3">
        <v>12.411218649740785</v>
      </c>
      <c r="BV229" s="3">
        <v>11.627885316407447</v>
      </c>
      <c r="BW229" s="3">
        <v>12.161218649740785</v>
      </c>
      <c r="BX229" s="3">
        <v>11.381218649740784</v>
      </c>
      <c r="BY229" s="3">
        <v>13.501218649740782</v>
      </c>
      <c r="BZ229" s="3">
        <v>13.031218649740783</v>
      </c>
      <c r="CA229" s="3">
        <v>10.031218649740776</v>
      </c>
      <c r="CB229" s="3">
        <v>9.9678853164074432</v>
      </c>
      <c r="CC229" s="3">
        <v>10.481218649740779</v>
      </c>
      <c r="CD229" s="3">
        <v>9.3878853164074521</v>
      </c>
      <c r="CE229" s="3">
        <v>9.4812186497407787</v>
      </c>
      <c r="CF229" s="3">
        <v>-0.80544801692588308</v>
      </c>
      <c r="CG229" s="3">
        <v>-1.3387813502592145</v>
      </c>
      <c r="CH229" s="3">
        <v>-2.4154480169258825</v>
      </c>
      <c r="CI229" s="13">
        <f>[1]!dbasum(RecData[[#This Row],[20]:[2000]],RecData[[#Headers],[20]:[2000]])</f>
        <v>20.529057890657882</v>
      </c>
      <c r="CJ229" s="14">
        <v>2911</v>
      </c>
      <c r="CK229" s="15" t="s">
        <v>249</v>
      </c>
      <c r="CL229" s="15">
        <f>RecData[[#This Row],[Start Time]]</f>
        <v>43257.170833333337</v>
      </c>
      <c r="CM229" s="16">
        <f>RecData[[#This Row],[Wind Speed avg]]</f>
        <v>0.63</v>
      </c>
      <c r="CN229" s="16">
        <f>RecData[[#This Row],[Wind Dir. avg]]</f>
        <v>142.5</v>
      </c>
      <c r="CO229" s="16">
        <f>RecData[[#This Row],[Amb. Humidity]]</f>
        <v>94.2</v>
      </c>
      <c r="CP229" s="16">
        <f>RecData[[#This Row],[Amb. Temperature]]</f>
        <v>2.9</v>
      </c>
      <c r="CQ229" s="17">
        <f>RecData[[#This Row],[Amb. Rain Gauge]]</f>
        <v>0</v>
      </c>
      <c r="CR229" s="4" t="s">
        <v>50</v>
      </c>
      <c r="CS229" s="4" t="s">
        <v>49</v>
      </c>
      <c r="CT229" s="70">
        <v>-10.99565029</v>
      </c>
      <c r="CU229" s="70">
        <v>156.0013123</v>
      </c>
      <c r="CV229" s="70">
        <v>1.8782023189999999</v>
      </c>
      <c r="CW229" s="70">
        <v>0</v>
      </c>
      <c r="CX229" s="4"/>
      <c r="CY229" s="69"/>
      <c r="CZ229" s="2" t="b">
        <f>IF($DP$1="YES",IF(RecData[[#This Row],[Power (kW)]]&gt;=$CR$3, TRUE,FALSE),TRUE)</f>
        <v>0</v>
      </c>
      <c r="DA229" s="16">
        <f>MIN(MOD(180-ABS(ABS($DA$1-RecData[Yaw Angle (°)])-180),360),MOD(180-ABS(ABS($DB$1-RecData[Yaw Angle (°)])-180),360))</f>
        <v>148.47138552231246</v>
      </c>
      <c r="DB229" s="2" t="str">
        <f>IF($DP$2="None","None",IF(RecData[[#This Row],[Relative Wind Direction]]&lt;=45,"DW",IF(RecData[[#This Row],[Relative Wind Direction]]&lt;=135,"CW","UW")))</f>
        <v>UW</v>
      </c>
      <c r="DC229" s="61" t="e">
        <f>IF($CL229-$CL226&gt;1/24,#REF!,IF(SUM($CQ226:$CQ229)&gt;$DS$1,$DS$5,DC230-1))</f>
        <v>#REF!</v>
      </c>
      <c r="DD229" s="61">
        <f>IF($CL230-$CL229&gt;1/24,#REF!,IF(SUM($CQ226:$CQ229)&gt;$DS$1,$DS$6,DD228-1))</f>
        <v>-4</v>
      </c>
      <c r="DE229" s="18" t="b">
        <v>0</v>
      </c>
      <c r="DF229" s="2" t="b">
        <f>IF(OR(RecData[[#This Row],[WSpd_Avg '[m/s']]]-RecData[[#This Row],[Wind Speed min]]&gt;=$DF$3,RecData[[#This Row],[Wind Speed max]]-RecData[[#This Row],[WSpd_Avg '[m/s']]]&gt;=$DF$2),TRUE,FALSE)</f>
        <v>0</v>
      </c>
      <c r="DG229" s="2" t="b">
        <f>RecData[[#This Row],[Temperature '[°C']]]&lt;=-20</f>
        <v>0</v>
      </c>
      <c r="DH229" s="18" t="b">
        <f>NOT(OR(MOD(RecData[[#This Row],[TIMESTAMP]],1)&gt;0.91632,MOD(RecData[[#This Row],[TIMESTAMP]],1)&lt;0.208681))</f>
        <v>0</v>
      </c>
      <c r="DI229" s="18" t="b">
        <f>RecData[[#This Row],[Overall (dBA)]]-RecData[[#This Row],[L90]]&gt;=$DS$4</f>
        <v>0</v>
      </c>
      <c r="DJ229" s="18" t="b">
        <f>RecData[[#This Row],[Overall (dBA)]]&gt;$DS$2</f>
        <v>0</v>
      </c>
      <c r="DK229" s="18" t="b">
        <f>RecData[[#This Row],[Overall (dBA)]]&lt;$DS$3</f>
        <v>0</v>
      </c>
      <c r="DL2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29" s="2">
        <f>IF(AND(RecData[[#This Row],[Turbines ON/OFF]] = "OFF", NOT(OR(RecData[[#This Row],[Junk?]]="YES",RecData[[#This Row],[Gust?]],RecData[[#This Row],[Rain?]:[Min SPL Threshold?]]))),1,0)</f>
        <v>1</v>
      </c>
      <c r="DN229" s="16">
        <f>RecData[[#This Row],[dBA Sum]]</f>
        <v>20.529057890657882</v>
      </c>
      <c r="DO229" s="16">
        <f>RecData[[#This Row],[LAF90.0]]</f>
        <v>22</v>
      </c>
      <c r="DP229" s="55" t="str">
        <f>IF(AND(RecData[[#This Row],[Useable TON Data?]],RecData[[#This Row],[Turbines ON/OFF]]="ON"),RecData[[#This Row],[dBA Sum]],"")</f>
        <v/>
      </c>
      <c r="DQ229" s="55">
        <f>IF(AND(RecData[[#This Row],[Useable Background Data?]],RecData[[#This Row],[Turbines ON/OFF]]="OFF"),RecData[[#This Row],[dBA Sum]],"")</f>
        <v>20.529057890657882</v>
      </c>
      <c r="DR229" s="3">
        <f>IF(OR(RecData[[#This Row],[Useable TON Data?]],RecData[[#This Row],[Useable Background Data?]]),ROUND(RecData[[#This Row],[WSpd_Avg '[m/s']]],0),"")</f>
        <v>1</v>
      </c>
      <c r="DS229" s="85">
        <f>(0.00002)^2*(10^(RecData[[#This Row],[Overall (dBA)]]/10))</f>
        <v>4.518203424412298E-8</v>
      </c>
    </row>
    <row r="230" spans="1:123" ht="15" x14ac:dyDescent="0.25">
      <c r="A230" s="3" t="s">
        <v>249</v>
      </c>
      <c r="B230" s="12">
        <v>43257.171527777784</v>
      </c>
      <c r="C230" s="3"/>
      <c r="D230" s="3">
        <v>23.7</v>
      </c>
      <c r="E230" s="3"/>
      <c r="F230" s="3"/>
      <c r="G230" s="3"/>
      <c r="H230" s="3"/>
      <c r="I230" s="3"/>
      <c r="J230" s="3"/>
      <c r="K230" s="3">
        <v>22.4</v>
      </c>
      <c r="L230" s="3"/>
      <c r="M230" s="3"/>
      <c r="N230" s="3">
        <v>139.5</v>
      </c>
      <c r="O230" s="3"/>
      <c r="P230" s="3"/>
      <c r="Q230" s="3">
        <v>0.66</v>
      </c>
      <c r="R230" s="3">
        <v>0.6</v>
      </c>
      <c r="S230" s="3">
        <v>0.8</v>
      </c>
      <c r="T230" s="3">
        <v>2.9</v>
      </c>
      <c r="U230" s="3">
        <v>94.2</v>
      </c>
      <c r="V230" s="3">
        <v>969.9</v>
      </c>
      <c r="W230" s="3">
        <v>0</v>
      </c>
      <c r="X230" s="3">
        <v>19.399999999999999</v>
      </c>
      <c r="Y230" s="3">
        <v>16.2</v>
      </c>
      <c r="Z230" s="3">
        <v>16</v>
      </c>
      <c r="AA230" s="3">
        <v>9.1999999999999993</v>
      </c>
      <c r="AB230" s="3">
        <v>7.9</v>
      </c>
      <c r="AC230" s="3">
        <v>7.5</v>
      </c>
      <c r="AD230" s="3">
        <v>9.3000000000000007</v>
      </c>
      <c r="AE230" s="3">
        <v>9.3000000000000007</v>
      </c>
      <c r="AF230" s="3">
        <v>13.8</v>
      </c>
      <c r="AG230" s="3">
        <v>12.3</v>
      </c>
      <c r="AH230" s="3">
        <v>9.9</v>
      </c>
      <c r="AI230" s="3">
        <v>11.2</v>
      </c>
      <c r="AJ230" s="3">
        <v>11.4</v>
      </c>
      <c r="AK230" s="3">
        <v>11.1</v>
      </c>
      <c r="AL230" s="3">
        <v>10.9</v>
      </c>
      <c r="AM230" s="3">
        <v>11.5</v>
      </c>
      <c r="AN230" s="3">
        <v>12.6</v>
      </c>
      <c r="AO230" s="3">
        <v>12.4</v>
      </c>
      <c r="AP230" s="3">
        <v>11.9</v>
      </c>
      <c r="AQ230" s="3">
        <v>11.6</v>
      </c>
      <c r="AR230" s="3">
        <v>11</v>
      </c>
      <c r="AS230" s="3">
        <v>14.4</v>
      </c>
      <c r="AT230" s="3">
        <v>14</v>
      </c>
      <c r="AU230" s="3">
        <v>10.1</v>
      </c>
      <c r="AV230" s="3">
        <v>10.6</v>
      </c>
      <c r="AW230" s="3">
        <v>11</v>
      </c>
      <c r="AX230" s="3">
        <v>10.199999999999999</v>
      </c>
      <c r="AY230" s="3">
        <v>10.3</v>
      </c>
      <c r="AZ230" s="3">
        <v>0</v>
      </c>
      <c r="BA230" s="3">
        <v>0</v>
      </c>
      <c r="BB230" s="3">
        <v>0</v>
      </c>
      <c r="BC230" s="3">
        <v>23.679769398184231</v>
      </c>
      <c r="BD230" s="3">
        <v>19.420230601815764</v>
      </c>
      <c r="BE230" s="3">
        <v>16.220230601815768</v>
      </c>
      <c r="BF230" s="3">
        <v>14.78023060181577</v>
      </c>
      <c r="BG230" s="3">
        <v>8.3068972684824338</v>
      </c>
      <c r="BH230" s="3">
        <v>7.1468972684824372</v>
      </c>
      <c r="BI230" s="3">
        <v>7.1602306018157691</v>
      </c>
      <c r="BJ230" s="3">
        <v>9.7535639351490993</v>
      </c>
      <c r="BK230" s="3">
        <v>9.6268972684824341</v>
      </c>
      <c r="BL230" s="3">
        <v>13.700230601815772</v>
      </c>
      <c r="BM230" s="3">
        <v>12.333563935149105</v>
      </c>
      <c r="BN230" s="3">
        <v>10.216897268482438</v>
      </c>
      <c r="BO230" s="3">
        <v>10.883563935149102</v>
      </c>
      <c r="BP230" s="3">
        <v>10.800230601815773</v>
      </c>
      <c r="BQ230" s="3">
        <v>10.916897268482426</v>
      </c>
      <c r="BR230" s="3">
        <v>11.043563935149106</v>
      </c>
      <c r="BS230" s="3">
        <v>11.446897268482434</v>
      </c>
      <c r="BT230" s="3">
        <v>12.743563935149101</v>
      </c>
      <c r="BU230" s="3">
        <v>12.510230601815774</v>
      </c>
      <c r="BV230" s="3">
        <v>11.726897268482436</v>
      </c>
      <c r="BW230" s="3">
        <v>11.96023060181577</v>
      </c>
      <c r="BX230" s="3">
        <v>11.280230601815777</v>
      </c>
      <c r="BY230" s="3">
        <v>14.500230601815769</v>
      </c>
      <c r="BZ230" s="3">
        <v>14.230230601815773</v>
      </c>
      <c r="CA230" s="3">
        <v>10.430230601815762</v>
      </c>
      <c r="CB230" s="3">
        <v>10.366897268482436</v>
      </c>
      <c r="CC230" s="3">
        <v>10.980230601815766</v>
      </c>
      <c r="CD230" s="3">
        <v>9.4868972684824406</v>
      </c>
      <c r="CE230" s="3">
        <v>9.7802306018157701</v>
      </c>
      <c r="CF230" s="3">
        <v>-0.90643606485089734</v>
      </c>
      <c r="CG230" s="3">
        <v>-1.4397693981842288</v>
      </c>
      <c r="CH230" s="3">
        <v>-2.5164360648508968</v>
      </c>
      <c r="CI230" s="13">
        <f>[1]!dbasum(RecData[[#This Row],[20]:[2000]],RecData[[#Headers],[20]:[2000]])</f>
        <v>20.555437785420146</v>
      </c>
      <c r="CJ230" s="14">
        <v>2912</v>
      </c>
      <c r="CK230" s="15" t="s">
        <v>249</v>
      </c>
      <c r="CL230" s="15">
        <f>RecData[[#This Row],[Start Time]]</f>
        <v>43257.171527777784</v>
      </c>
      <c r="CM230" s="16">
        <f>RecData[[#This Row],[Wind Speed avg]]</f>
        <v>0.66</v>
      </c>
      <c r="CN230" s="16">
        <f>RecData[[#This Row],[Wind Dir. avg]]</f>
        <v>139.5</v>
      </c>
      <c r="CO230" s="16">
        <f>RecData[[#This Row],[Amb. Humidity]]</f>
        <v>94.2</v>
      </c>
      <c r="CP230" s="16">
        <f>RecData[[#This Row],[Amb. Temperature]]</f>
        <v>2.9</v>
      </c>
      <c r="CQ230" s="17">
        <f>RecData[[#This Row],[Amb. Rain Gauge]]</f>
        <v>0</v>
      </c>
      <c r="CR230" s="4" t="s">
        <v>50</v>
      </c>
      <c r="CS230" s="4" t="s">
        <v>49</v>
      </c>
      <c r="CT230" s="70">
        <v>-10.99565029</v>
      </c>
      <c r="CU230" s="70">
        <v>156.0013123</v>
      </c>
      <c r="CV230" s="70">
        <v>1.8782023189999999</v>
      </c>
      <c r="CW230" s="70">
        <v>0</v>
      </c>
      <c r="CX230" s="4"/>
      <c r="CY230" s="69"/>
      <c r="CZ230" s="2" t="b">
        <f>IF($DP$1="YES",IF(RecData[[#This Row],[Power (kW)]]&gt;=$CR$3, TRUE,FALSE),TRUE)</f>
        <v>0</v>
      </c>
      <c r="DA230" s="16">
        <f>MIN(MOD(180-ABS(ABS($DA$1-RecData[Yaw Angle (°)])-180),360),MOD(180-ABS(ABS($DB$1-RecData[Yaw Angle (°)])-180),360))</f>
        <v>148.47138552231246</v>
      </c>
      <c r="DB230" s="2" t="str">
        <f>IF($DP$2="None","None",IF(RecData[[#This Row],[Relative Wind Direction]]&lt;=45,"DW",IF(RecData[[#This Row],[Relative Wind Direction]]&lt;=135,"CW","UW")))</f>
        <v>UW</v>
      </c>
      <c r="DC230" s="61" t="e">
        <f>IF($CL230-$CL226&gt;1/24,#REF!,IF(SUM($CQ226:$CQ230)&gt;$DS$1,$DS$5,DC231-1))</f>
        <v>#REF!</v>
      </c>
      <c r="DD230" s="61">
        <f>IF($CL231-$CL230&gt;1/24,#REF!,IF(SUM($CQ226:$CQ230)&gt;$DS$1,$DS$6,DD229-1))</f>
        <v>-5</v>
      </c>
      <c r="DE230" s="18" t="b">
        <v>0</v>
      </c>
      <c r="DF230" s="2" t="b">
        <f>IF(OR(RecData[[#This Row],[WSpd_Avg '[m/s']]]-RecData[[#This Row],[Wind Speed min]]&gt;=$DF$3,RecData[[#This Row],[Wind Speed max]]-RecData[[#This Row],[WSpd_Avg '[m/s']]]&gt;=$DF$2),TRUE,FALSE)</f>
        <v>0</v>
      </c>
      <c r="DG230" s="2" t="b">
        <f>RecData[[#This Row],[Temperature '[°C']]]&lt;=-20</f>
        <v>0</v>
      </c>
      <c r="DH230" s="18" t="b">
        <f>NOT(OR(MOD(RecData[[#This Row],[TIMESTAMP]],1)&gt;0.91632,MOD(RecData[[#This Row],[TIMESTAMP]],1)&lt;0.208681))</f>
        <v>0</v>
      </c>
      <c r="DI230" s="18" t="b">
        <f>RecData[[#This Row],[Overall (dBA)]]-RecData[[#This Row],[L90]]&gt;=$DS$4</f>
        <v>0</v>
      </c>
      <c r="DJ230" s="18" t="b">
        <f>RecData[[#This Row],[Overall (dBA)]]&gt;$DS$2</f>
        <v>0</v>
      </c>
      <c r="DK230" s="18" t="b">
        <f>RecData[[#This Row],[Overall (dBA)]]&lt;$DS$3</f>
        <v>0</v>
      </c>
      <c r="DL2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0" s="2">
        <f>IF(AND(RecData[[#This Row],[Turbines ON/OFF]] = "OFF", NOT(OR(RecData[[#This Row],[Junk?]]="YES",RecData[[#This Row],[Gust?]],RecData[[#This Row],[Rain?]:[Min SPL Threshold?]]))),1,0)</f>
        <v>1</v>
      </c>
      <c r="DN230" s="16">
        <f>RecData[[#This Row],[dBA Sum]]</f>
        <v>20.555437785420146</v>
      </c>
      <c r="DO230" s="16">
        <f>RecData[[#This Row],[LAF90.0]]</f>
        <v>22.4</v>
      </c>
      <c r="DP230" s="55" t="str">
        <f>IF(AND(RecData[[#This Row],[Useable TON Data?]],RecData[[#This Row],[Turbines ON/OFF]]="ON"),RecData[[#This Row],[dBA Sum]],"")</f>
        <v/>
      </c>
      <c r="DQ230" s="55">
        <f>IF(AND(RecData[[#This Row],[Useable Background Data?]],RecData[[#This Row],[Turbines ON/OFF]]="OFF"),RecData[[#This Row],[dBA Sum]],"")</f>
        <v>20.555437785420146</v>
      </c>
      <c r="DR230" s="3">
        <f>IF(OR(RecData[[#This Row],[Useable TON Data?]],RecData[[#This Row],[Useable Background Data?]]),ROUND(RecData[[#This Row],[WSpd_Avg '[m/s']]],0),"")</f>
        <v>1</v>
      </c>
      <c r="DS230" s="85">
        <f>(0.00002)^2*(10^(RecData[[#This Row],[Overall (dBA)]]/10))</f>
        <v>4.545731394655755E-8</v>
      </c>
    </row>
    <row r="231" spans="1:123" ht="15" x14ac:dyDescent="0.25">
      <c r="A231" s="3" t="s">
        <v>249</v>
      </c>
      <c r="B231" s="12">
        <v>43257.172222222231</v>
      </c>
      <c r="C231" s="3"/>
      <c r="D231" s="3">
        <v>24</v>
      </c>
      <c r="E231" s="3"/>
      <c r="F231" s="3"/>
      <c r="G231" s="3"/>
      <c r="H231" s="3"/>
      <c r="I231" s="3"/>
      <c r="J231" s="3"/>
      <c r="K231" s="3">
        <v>22.4</v>
      </c>
      <c r="L231" s="3"/>
      <c r="M231" s="3"/>
      <c r="N231" s="3">
        <v>137.69999999999999</v>
      </c>
      <c r="O231" s="3"/>
      <c r="P231" s="3"/>
      <c r="Q231" s="3">
        <v>0.71</v>
      </c>
      <c r="R231" s="3">
        <v>0.5</v>
      </c>
      <c r="S231" s="3">
        <v>0.9</v>
      </c>
      <c r="T231" s="3">
        <v>2.9</v>
      </c>
      <c r="U231" s="3">
        <v>94.3</v>
      </c>
      <c r="V231" s="3">
        <v>969.9</v>
      </c>
      <c r="W231" s="3">
        <v>0</v>
      </c>
      <c r="X231" s="3">
        <v>19.8</v>
      </c>
      <c r="Y231" s="3">
        <v>16.8</v>
      </c>
      <c r="Z231" s="3">
        <v>17.7</v>
      </c>
      <c r="AA231" s="3">
        <v>10.5</v>
      </c>
      <c r="AB231" s="3">
        <v>8.5</v>
      </c>
      <c r="AC231" s="3">
        <v>7.9</v>
      </c>
      <c r="AD231" s="3">
        <v>9.1</v>
      </c>
      <c r="AE231" s="3">
        <v>9</v>
      </c>
      <c r="AF231" s="3">
        <v>12.3</v>
      </c>
      <c r="AG231" s="3">
        <v>12.2</v>
      </c>
      <c r="AH231" s="3">
        <v>10.199999999999999</v>
      </c>
      <c r="AI231" s="3">
        <v>10.9</v>
      </c>
      <c r="AJ231" s="3">
        <v>11.2</v>
      </c>
      <c r="AK231" s="3">
        <v>11</v>
      </c>
      <c r="AL231" s="3">
        <v>10.8</v>
      </c>
      <c r="AM231" s="3">
        <v>11.6</v>
      </c>
      <c r="AN231" s="3">
        <v>12.6</v>
      </c>
      <c r="AO231" s="3">
        <v>12.2</v>
      </c>
      <c r="AP231" s="3">
        <v>11.6</v>
      </c>
      <c r="AQ231" s="3">
        <v>11.4</v>
      </c>
      <c r="AR231" s="3">
        <v>10.8</v>
      </c>
      <c r="AS231" s="3">
        <v>15.3</v>
      </c>
      <c r="AT231" s="3">
        <v>15.5</v>
      </c>
      <c r="AU231" s="3">
        <v>9.9</v>
      </c>
      <c r="AV231" s="3">
        <v>10.199999999999999</v>
      </c>
      <c r="AW231" s="3">
        <v>10.6</v>
      </c>
      <c r="AX231" s="3">
        <v>10</v>
      </c>
      <c r="AY231" s="3">
        <v>10.1</v>
      </c>
      <c r="AZ231" s="3">
        <v>0</v>
      </c>
      <c r="BA231" s="3">
        <v>0</v>
      </c>
      <c r="BB231" s="3">
        <v>0</v>
      </c>
      <c r="BC231" s="3">
        <v>23.946530726780889</v>
      </c>
      <c r="BD231" s="3">
        <v>19.853469273219108</v>
      </c>
      <c r="BE231" s="3">
        <v>16.853469273219108</v>
      </c>
      <c r="BF231" s="3">
        <v>16.513469273219112</v>
      </c>
      <c r="BG231" s="3">
        <v>9.6401359398857771</v>
      </c>
      <c r="BH231" s="3">
        <v>7.7801359398857812</v>
      </c>
      <c r="BI231" s="3">
        <v>7.5934692732191102</v>
      </c>
      <c r="BJ231" s="3">
        <v>9.5868026065524425</v>
      </c>
      <c r="BK231" s="3">
        <v>9.360135939885776</v>
      </c>
      <c r="BL231" s="3">
        <v>12.233469273219111</v>
      </c>
      <c r="BM231" s="3">
        <v>12.266802606552449</v>
      </c>
      <c r="BN231" s="3">
        <v>10.550135939885781</v>
      </c>
      <c r="BO231" s="3">
        <v>10.616802606552444</v>
      </c>
      <c r="BP231" s="3">
        <v>10.633469273219109</v>
      </c>
      <c r="BQ231" s="3">
        <v>10.850135939885771</v>
      </c>
      <c r="BR231" s="3">
        <v>10.976802606552443</v>
      </c>
      <c r="BS231" s="3">
        <v>11.580135939885782</v>
      </c>
      <c r="BT231" s="3">
        <v>12.776802606552447</v>
      </c>
      <c r="BU231" s="3">
        <v>12.343469273219117</v>
      </c>
      <c r="BV231" s="3">
        <v>11.460135939885777</v>
      </c>
      <c r="BW231" s="3">
        <v>11.793469273219113</v>
      </c>
      <c r="BX231" s="3">
        <v>11.113469273219113</v>
      </c>
      <c r="BY231" s="3">
        <v>15.433469273219107</v>
      </c>
      <c r="BZ231" s="3">
        <v>15.763469273219112</v>
      </c>
      <c r="CA231" s="3">
        <v>10.263469273219105</v>
      </c>
      <c r="CB231" s="3">
        <v>10.000135939885777</v>
      </c>
      <c r="CC231" s="3">
        <v>10.613469273219113</v>
      </c>
      <c r="CD231" s="3">
        <v>9.3201359398857839</v>
      </c>
      <c r="CE231" s="3">
        <v>9.6134692732191134</v>
      </c>
      <c r="CF231" s="3">
        <v>-0.87319739344755476</v>
      </c>
      <c r="CG231" s="3">
        <v>-1.4065307267808862</v>
      </c>
      <c r="CH231" s="3">
        <v>-2.4831973934475542</v>
      </c>
      <c r="CI231" s="13">
        <f>[1]!dbasum(RecData[[#This Row],[20]:[2000]],RecData[[#Headers],[20]:[2000]])</f>
        <v>20.433294497265102</v>
      </c>
      <c r="CJ231" s="14">
        <v>2913</v>
      </c>
      <c r="CK231" s="15" t="s">
        <v>249</v>
      </c>
      <c r="CL231" s="15">
        <f>RecData[[#This Row],[Start Time]]</f>
        <v>43257.172222222231</v>
      </c>
      <c r="CM231" s="16">
        <f>RecData[[#This Row],[Wind Speed avg]]</f>
        <v>0.71</v>
      </c>
      <c r="CN231" s="16">
        <f>RecData[[#This Row],[Wind Dir. avg]]</f>
        <v>137.69999999999999</v>
      </c>
      <c r="CO231" s="16">
        <f>RecData[[#This Row],[Amb. Humidity]]</f>
        <v>94.3</v>
      </c>
      <c r="CP231" s="16">
        <f>RecData[[#This Row],[Amb. Temperature]]</f>
        <v>2.9</v>
      </c>
      <c r="CQ231" s="17">
        <f>RecData[[#This Row],[Amb. Rain Gauge]]</f>
        <v>0</v>
      </c>
      <c r="CR231" s="4" t="s">
        <v>50</v>
      </c>
      <c r="CS231" s="4" t="s">
        <v>49</v>
      </c>
      <c r="CT231" s="70">
        <v>-10.99565029</v>
      </c>
      <c r="CU231" s="70">
        <v>156.0013123</v>
      </c>
      <c r="CV231" s="70">
        <v>1.8782023189999999</v>
      </c>
      <c r="CW231" s="70">
        <v>0</v>
      </c>
      <c r="CX231" s="4"/>
      <c r="CY231" s="69"/>
      <c r="CZ231" s="2" t="b">
        <f>IF($DP$1="YES",IF(RecData[[#This Row],[Power (kW)]]&gt;=$CR$3, TRUE,FALSE),TRUE)</f>
        <v>0</v>
      </c>
      <c r="DA231" s="16">
        <f>MIN(MOD(180-ABS(ABS($DA$1-RecData[Yaw Angle (°)])-180),360),MOD(180-ABS(ABS($DB$1-RecData[Yaw Angle (°)])-180),360))</f>
        <v>148.47138552231246</v>
      </c>
      <c r="DB231" s="2" t="str">
        <f>IF($DP$2="None","None",IF(RecData[[#This Row],[Relative Wind Direction]]&lt;=45,"DW",IF(RecData[[#This Row],[Relative Wind Direction]]&lt;=135,"CW","UW")))</f>
        <v>UW</v>
      </c>
      <c r="DC231" s="61" t="e">
        <f>IF($CL231-$CL227&gt;1/24,#REF!,IF(SUM($CQ227:$CQ231)&gt;$DS$1,$DS$5,DC232-1))</f>
        <v>#REF!</v>
      </c>
      <c r="DD231" s="61">
        <f>IF($CL232-$CL231&gt;1/24,#REF!,IF(SUM($CQ227:$CQ231)&gt;$DS$1,$DS$6,DD230-1))</f>
        <v>-6</v>
      </c>
      <c r="DE231" s="18" t="b">
        <v>0</v>
      </c>
      <c r="DF231" s="2" t="b">
        <f>IF(OR(RecData[[#This Row],[WSpd_Avg '[m/s']]]-RecData[[#This Row],[Wind Speed min]]&gt;=$DF$3,RecData[[#This Row],[Wind Speed max]]-RecData[[#This Row],[WSpd_Avg '[m/s']]]&gt;=$DF$2),TRUE,FALSE)</f>
        <v>0</v>
      </c>
      <c r="DG231" s="2" t="b">
        <f>RecData[[#This Row],[Temperature '[°C']]]&lt;=-20</f>
        <v>0</v>
      </c>
      <c r="DH231" s="18" t="b">
        <f>NOT(OR(MOD(RecData[[#This Row],[TIMESTAMP]],1)&gt;0.91632,MOD(RecData[[#This Row],[TIMESTAMP]],1)&lt;0.208681))</f>
        <v>0</v>
      </c>
      <c r="DI231" s="18" t="b">
        <f>RecData[[#This Row],[Overall (dBA)]]-RecData[[#This Row],[L90]]&gt;=$DS$4</f>
        <v>0</v>
      </c>
      <c r="DJ231" s="18" t="b">
        <f>RecData[[#This Row],[Overall (dBA)]]&gt;$DS$2</f>
        <v>0</v>
      </c>
      <c r="DK231" s="18" t="b">
        <f>RecData[[#This Row],[Overall (dBA)]]&lt;$DS$3</f>
        <v>0</v>
      </c>
      <c r="DL2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1" s="2">
        <f>IF(AND(RecData[[#This Row],[Turbines ON/OFF]] = "OFF", NOT(OR(RecData[[#This Row],[Junk?]]="YES",RecData[[#This Row],[Gust?]],RecData[[#This Row],[Rain?]:[Min SPL Threshold?]]))),1,0)</f>
        <v>1</v>
      </c>
      <c r="DN231" s="16">
        <f>RecData[[#This Row],[dBA Sum]]</f>
        <v>20.433294497265102</v>
      </c>
      <c r="DO231" s="16">
        <f>RecData[[#This Row],[LAF90.0]]</f>
        <v>22.4</v>
      </c>
      <c r="DP231" s="55" t="str">
        <f>IF(AND(RecData[[#This Row],[Useable TON Data?]],RecData[[#This Row],[Turbines ON/OFF]]="ON"),RecData[[#This Row],[dBA Sum]],"")</f>
        <v/>
      </c>
      <c r="DQ231" s="55">
        <f>IF(AND(RecData[[#This Row],[Useable Background Data?]],RecData[[#This Row],[Turbines ON/OFF]]="OFF"),RecData[[#This Row],[dBA Sum]],"")</f>
        <v>20.433294497265102</v>
      </c>
      <c r="DR231" s="3">
        <f>IF(OR(RecData[[#This Row],[Useable TON Data?]],RecData[[#This Row],[Useable Background Data?]]),ROUND(RecData[[#This Row],[WSpd_Avg '[m/s']]],0),"")</f>
        <v>1</v>
      </c>
      <c r="DS231" s="85">
        <f>(0.00002)^2*(10^(RecData[[#This Row],[Overall (dBA)]]/10))</f>
        <v>4.41966590508443E-8</v>
      </c>
    </row>
    <row r="232" spans="1:123" ht="15" x14ac:dyDescent="0.25">
      <c r="A232" s="3" t="s">
        <v>249</v>
      </c>
      <c r="B232" s="12">
        <v>43257.17291666667</v>
      </c>
      <c r="C232" s="3"/>
      <c r="D232" s="3">
        <v>24.6</v>
      </c>
      <c r="E232" s="3"/>
      <c r="F232" s="3"/>
      <c r="G232" s="3"/>
      <c r="H232" s="3"/>
      <c r="I232" s="3"/>
      <c r="J232" s="3"/>
      <c r="K232" s="3">
        <v>22.1</v>
      </c>
      <c r="L232" s="3"/>
      <c r="M232" s="3"/>
      <c r="N232" s="3">
        <v>133.4</v>
      </c>
      <c r="O232" s="3"/>
      <c r="P232" s="3"/>
      <c r="Q232" s="3">
        <v>0.75</v>
      </c>
      <c r="R232" s="3">
        <v>0.6</v>
      </c>
      <c r="S232" s="3">
        <v>1</v>
      </c>
      <c r="T232" s="3">
        <v>2.9</v>
      </c>
      <c r="U232" s="3">
        <v>94.3</v>
      </c>
      <c r="V232" s="3">
        <v>969.9</v>
      </c>
      <c r="W232" s="3">
        <v>0</v>
      </c>
      <c r="X232" s="3">
        <v>19.2</v>
      </c>
      <c r="Y232" s="3">
        <v>15.1</v>
      </c>
      <c r="Z232" s="3">
        <v>16.3</v>
      </c>
      <c r="AA232" s="3">
        <v>10.199999999999999</v>
      </c>
      <c r="AB232" s="3">
        <v>7.9</v>
      </c>
      <c r="AC232" s="3">
        <v>8</v>
      </c>
      <c r="AD232" s="3">
        <v>8.9</v>
      </c>
      <c r="AE232" s="3">
        <v>9.1</v>
      </c>
      <c r="AF232" s="3">
        <v>13.2</v>
      </c>
      <c r="AG232" s="3">
        <v>12.1</v>
      </c>
      <c r="AH232" s="3">
        <v>9.6</v>
      </c>
      <c r="AI232" s="3">
        <v>10.9</v>
      </c>
      <c r="AJ232" s="3">
        <v>11</v>
      </c>
      <c r="AK232" s="3">
        <v>10.7</v>
      </c>
      <c r="AL232" s="3">
        <v>10.5</v>
      </c>
      <c r="AM232" s="3">
        <v>11.3</v>
      </c>
      <c r="AN232" s="3">
        <v>12.3</v>
      </c>
      <c r="AO232" s="3">
        <v>12.1</v>
      </c>
      <c r="AP232" s="3">
        <v>11.5</v>
      </c>
      <c r="AQ232" s="3">
        <v>11.3</v>
      </c>
      <c r="AR232" s="3">
        <v>10.8</v>
      </c>
      <c r="AS232" s="3">
        <v>18.100000000000001</v>
      </c>
      <c r="AT232" s="3">
        <v>14.8</v>
      </c>
      <c r="AU232" s="3">
        <v>10.199999999999999</v>
      </c>
      <c r="AV232" s="3">
        <v>10.4</v>
      </c>
      <c r="AW232" s="3">
        <v>10.8</v>
      </c>
      <c r="AX232" s="3">
        <v>10.5</v>
      </c>
      <c r="AY232" s="3">
        <v>10.3</v>
      </c>
      <c r="AZ232" s="3">
        <v>0</v>
      </c>
      <c r="BA232" s="3">
        <v>0</v>
      </c>
      <c r="BB232" s="3">
        <v>0</v>
      </c>
      <c r="BC232" s="3">
        <v>24.499287014973632</v>
      </c>
      <c r="BD232" s="3">
        <v>19.300712985026365</v>
      </c>
      <c r="BE232" s="3">
        <v>15.200712985026371</v>
      </c>
      <c r="BF232" s="3">
        <v>15.160712985026372</v>
      </c>
      <c r="BG232" s="3">
        <v>9.3873796516930312</v>
      </c>
      <c r="BH232" s="3">
        <v>7.2273796516930382</v>
      </c>
      <c r="BI232" s="3">
        <v>7.7407129850263701</v>
      </c>
      <c r="BJ232" s="3">
        <v>9.4340463183597052</v>
      </c>
      <c r="BK232" s="3">
        <v>9.5073796516930287</v>
      </c>
      <c r="BL232" s="3">
        <v>13.180712985026368</v>
      </c>
      <c r="BM232" s="3">
        <v>12.214046318359706</v>
      </c>
      <c r="BN232" s="3">
        <v>9.9973796516930378</v>
      </c>
      <c r="BO232" s="3">
        <v>10.664046318359709</v>
      </c>
      <c r="BP232" s="3">
        <v>10.480712985026372</v>
      </c>
      <c r="BQ232" s="3">
        <v>10.597379651693025</v>
      </c>
      <c r="BR232" s="3">
        <v>10.724046318359704</v>
      </c>
      <c r="BS232" s="3">
        <v>11.327379651693036</v>
      </c>
      <c r="BT232" s="3">
        <v>12.524046318359709</v>
      </c>
      <c r="BU232" s="3">
        <v>12.290712985026374</v>
      </c>
      <c r="BV232" s="3">
        <v>11.407379651693034</v>
      </c>
      <c r="BW232" s="3">
        <v>11.740712985026377</v>
      </c>
      <c r="BX232" s="3">
        <v>11.160712985026379</v>
      </c>
      <c r="BY232" s="3">
        <v>18.280712985026369</v>
      </c>
      <c r="BZ232" s="3">
        <v>15.110712985026375</v>
      </c>
      <c r="CA232" s="3">
        <v>10.61071298502636</v>
      </c>
      <c r="CB232" s="3">
        <v>10.247379651693038</v>
      </c>
      <c r="CC232" s="3">
        <v>10.860712985026368</v>
      </c>
      <c r="CD232" s="3">
        <v>9.8673796516930423</v>
      </c>
      <c r="CE232" s="3">
        <v>9.8607129850263675</v>
      </c>
      <c r="CF232" s="3">
        <v>-0.82595368164029637</v>
      </c>
      <c r="CG232" s="3">
        <v>-1.3592870149736278</v>
      </c>
      <c r="CH232" s="3">
        <v>-2.4359536816402958</v>
      </c>
      <c r="CI232" s="13">
        <f>[1]!dbasum(RecData[[#This Row],[20]:[2000]],RecData[[#Headers],[20]:[2000]])</f>
        <v>20.333313533088884</v>
      </c>
      <c r="CJ232" s="14">
        <v>2914</v>
      </c>
      <c r="CK232" s="15" t="s">
        <v>249</v>
      </c>
      <c r="CL232" s="15">
        <f>RecData[[#This Row],[Start Time]]</f>
        <v>43257.17291666667</v>
      </c>
      <c r="CM232" s="16">
        <f>RecData[[#This Row],[Wind Speed avg]]</f>
        <v>0.75</v>
      </c>
      <c r="CN232" s="16">
        <f>RecData[[#This Row],[Wind Dir. avg]]</f>
        <v>133.4</v>
      </c>
      <c r="CO232" s="16">
        <f>RecData[[#This Row],[Amb. Humidity]]</f>
        <v>94.3</v>
      </c>
      <c r="CP232" s="16">
        <f>RecData[[#This Row],[Amb. Temperature]]</f>
        <v>2.9</v>
      </c>
      <c r="CQ232" s="17">
        <f>RecData[[#This Row],[Amb. Rain Gauge]]</f>
        <v>0</v>
      </c>
      <c r="CR232" s="4" t="s">
        <v>50</v>
      </c>
      <c r="CS232" s="4" t="s">
        <v>49</v>
      </c>
      <c r="CT232" s="70">
        <v>-10.99565029</v>
      </c>
      <c r="CU232" s="70">
        <v>156.0013123</v>
      </c>
      <c r="CV232" s="70">
        <v>1.8782023189999999</v>
      </c>
      <c r="CW232" s="70">
        <v>0</v>
      </c>
      <c r="CX232" s="4"/>
      <c r="CY232" s="69"/>
      <c r="CZ232" s="2" t="b">
        <f>IF($DP$1="YES",IF(RecData[[#This Row],[Power (kW)]]&gt;=$CR$3, TRUE,FALSE),TRUE)</f>
        <v>0</v>
      </c>
      <c r="DA232" s="16">
        <f>MIN(MOD(180-ABS(ABS($DA$1-RecData[Yaw Angle (°)])-180),360),MOD(180-ABS(ABS($DB$1-RecData[Yaw Angle (°)])-180),360))</f>
        <v>148.47138552231246</v>
      </c>
      <c r="DB232" s="2" t="str">
        <f>IF($DP$2="None","None",IF(RecData[[#This Row],[Relative Wind Direction]]&lt;=45,"DW",IF(RecData[[#This Row],[Relative Wind Direction]]&lt;=135,"CW","UW")))</f>
        <v>UW</v>
      </c>
      <c r="DC232" s="61" t="e">
        <f>IF($CL232-$CL228&gt;1/24,#REF!,IF(SUM($CQ228:$CQ232)&gt;$DS$1,$DS$5,DC233-1))</f>
        <v>#REF!</v>
      </c>
      <c r="DD232" s="61">
        <f>IF($CL233-$CL232&gt;1/24,#REF!,IF(SUM($CQ228:$CQ232)&gt;$DS$1,$DS$6,DD231-1))</f>
        <v>-7</v>
      </c>
      <c r="DE232" s="18" t="b">
        <v>0</v>
      </c>
      <c r="DF232" s="2" t="b">
        <f>IF(OR(RecData[[#This Row],[WSpd_Avg '[m/s']]]-RecData[[#This Row],[Wind Speed min]]&gt;=$DF$3,RecData[[#This Row],[Wind Speed max]]-RecData[[#This Row],[WSpd_Avg '[m/s']]]&gt;=$DF$2),TRUE,FALSE)</f>
        <v>0</v>
      </c>
      <c r="DG232" s="2" t="b">
        <f>RecData[[#This Row],[Temperature '[°C']]]&lt;=-20</f>
        <v>0</v>
      </c>
      <c r="DH232" s="18" t="b">
        <f>NOT(OR(MOD(RecData[[#This Row],[TIMESTAMP]],1)&gt;0.91632,MOD(RecData[[#This Row],[TIMESTAMP]],1)&lt;0.208681))</f>
        <v>0</v>
      </c>
      <c r="DI232" s="18" t="b">
        <f>RecData[[#This Row],[Overall (dBA)]]-RecData[[#This Row],[L90]]&gt;=$DS$4</f>
        <v>0</v>
      </c>
      <c r="DJ232" s="18" t="b">
        <f>RecData[[#This Row],[Overall (dBA)]]&gt;$DS$2</f>
        <v>0</v>
      </c>
      <c r="DK232" s="18" t="b">
        <f>RecData[[#This Row],[Overall (dBA)]]&lt;$DS$3</f>
        <v>0</v>
      </c>
      <c r="DL2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2" s="2">
        <f>IF(AND(RecData[[#This Row],[Turbines ON/OFF]] = "OFF", NOT(OR(RecData[[#This Row],[Junk?]]="YES",RecData[[#This Row],[Gust?]],RecData[[#This Row],[Rain?]:[Min SPL Threshold?]]))),1,0)</f>
        <v>1</v>
      </c>
      <c r="DN232" s="16">
        <f>RecData[[#This Row],[dBA Sum]]</f>
        <v>20.333313533088884</v>
      </c>
      <c r="DO232" s="16">
        <f>RecData[[#This Row],[LAF90.0]]</f>
        <v>22.1</v>
      </c>
      <c r="DP232" s="55" t="str">
        <f>IF(AND(RecData[[#This Row],[Useable TON Data?]],RecData[[#This Row],[Turbines ON/OFF]]="ON"),RecData[[#This Row],[dBA Sum]],"")</f>
        <v/>
      </c>
      <c r="DQ232" s="55">
        <f>IF(AND(RecData[[#This Row],[Useable Background Data?]],RecData[[#This Row],[Turbines ON/OFF]]="OFF"),RecData[[#This Row],[dBA Sum]],"")</f>
        <v>20.333313533088884</v>
      </c>
      <c r="DR232" s="3">
        <f>IF(OR(RecData[[#This Row],[Useable TON Data?]],RecData[[#This Row],[Useable Background Data?]]),ROUND(RecData[[#This Row],[WSpd_Avg '[m/s']]],0),"")</f>
        <v>1</v>
      </c>
      <c r="DS232" s="85">
        <f>(0.00002)^2*(10^(RecData[[#This Row],[Overall (dBA)]]/10))</f>
        <v>4.3190809578210168E-8</v>
      </c>
    </row>
    <row r="233" spans="1:123" ht="15" x14ac:dyDescent="0.25">
      <c r="A233" s="3" t="s">
        <v>249</v>
      </c>
      <c r="B233" s="12">
        <v>43257.173611111117</v>
      </c>
      <c r="C233" s="3"/>
      <c r="D233" s="3">
        <v>24.3</v>
      </c>
      <c r="E233" s="3"/>
      <c r="F233" s="3"/>
      <c r="G233" s="3"/>
      <c r="H233" s="3"/>
      <c r="I233" s="3"/>
      <c r="J233" s="3"/>
      <c r="K233" s="3">
        <v>21.9</v>
      </c>
      <c r="L233" s="3"/>
      <c r="M233" s="3"/>
      <c r="N233" s="3">
        <v>127.8</v>
      </c>
      <c r="O233" s="3"/>
      <c r="P233" s="3"/>
      <c r="Q233" s="3">
        <v>0.7</v>
      </c>
      <c r="R233" s="3">
        <v>0.4</v>
      </c>
      <c r="S233" s="3">
        <v>0.9</v>
      </c>
      <c r="T233" s="3">
        <v>2.9</v>
      </c>
      <c r="U233" s="3">
        <v>94.3</v>
      </c>
      <c r="V233" s="3">
        <v>969.9</v>
      </c>
      <c r="W233" s="3">
        <v>0</v>
      </c>
      <c r="X233" s="3">
        <v>20.2</v>
      </c>
      <c r="Y233" s="3">
        <v>14.7</v>
      </c>
      <c r="Z233" s="3">
        <v>16.3</v>
      </c>
      <c r="AA233" s="3">
        <v>9.1</v>
      </c>
      <c r="AB233" s="3">
        <v>7.9</v>
      </c>
      <c r="AC233" s="3">
        <v>7.5</v>
      </c>
      <c r="AD233" s="3">
        <v>8.4</v>
      </c>
      <c r="AE233" s="3">
        <v>8.6</v>
      </c>
      <c r="AF233" s="3">
        <v>13.1</v>
      </c>
      <c r="AG233" s="3">
        <v>12.4</v>
      </c>
      <c r="AH233" s="3">
        <v>9.3000000000000007</v>
      </c>
      <c r="AI233" s="3">
        <v>10.9</v>
      </c>
      <c r="AJ233" s="3">
        <v>11.1</v>
      </c>
      <c r="AK233" s="3">
        <v>10.9</v>
      </c>
      <c r="AL233" s="3">
        <v>10.5</v>
      </c>
      <c r="AM233" s="3">
        <v>11.4</v>
      </c>
      <c r="AN233" s="3">
        <v>12.4</v>
      </c>
      <c r="AO233" s="3">
        <v>12.1</v>
      </c>
      <c r="AP233" s="3">
        <v>11.7</v>
      </c>
      <c r="AQ233" s="3">
        <v>11.8</v>
      </c>
      <c r="AR233" s="3">
        <v>11.5</v>
      </c>
      <c r="AS233" s="3">
        <v>17.100000000000001</v>
      </c>
      <c r="AT233" s="3">
        <v>13.8</v>
      </c>
      <c r="AU233" s="3">
        <v>10</v>
      </c>
      <c r="AV233" s="3">
        <v>10.8</v>
      </c>
      <c r="AW233" s="3">
        <v>10.9</v>
      </c>
      <c r="AX233" s="3">
        <v>10.199999999999999</v>
      </c>
      <c r="AY233" s="3">
        <v>10</v>
      </c>
      <c r="AZ233" s="3">
        <v>0</v>
      </c>
      <c r="BA233" s="3">
        <v>0</v>
      </c>
      <c r="BB233" s="3">
        <v>0</v>
      </c>
      <c r="BC233" s="3">
        <v>24.184513167932522</v>
      </c>
      <c r="BD233" s="3">
        <v>20.315486832067478</v>
      </c>
      <c r="BE233" s="3">
        <v>14.815486832067478</v>
      </c>
      <c r="BF233" s="3">
        <v>15.175486832067477</v>
      </c>
      <c r="BG233" s="3">
        <v>8.3021534987341425</v>
      </c>
      <c r="BH233" s="3">
        <v>7.2421534987341474</v>
      </c>
      <c r="BI233" s="3">
        <v>7.2554868320674792</v>
      </c>
      <c r="BJ233" s="3">
        <v>8.9488201654008108</v>
      </c>
      <c r="BK233" s="3">
        <v>9.0221534987341414</v>
      </c>
      <c r="BL233" s="3">
        <v>13.095486832067479</v>
      </c>
      <c r="BM233" s="3">
        <v>12.528820165400816</v>
      </c>
      <c r="BN233" s="3">
        <v>9.7121534987341462</v>
      </c>
      <c r="BO233" s="3">
        <v>10.678820165400815</v>
      </c>
      <c r="BP233" s="3">
        <v>10.595486832067479</v>
      </c>
      <c r="BQ233" s="3">
        <v>10.812153498734133</v>
      </c>
      <c r="BR233" s="3">
        <v>10.73882016540081</v>
      </c>
      <c r="BS233" s="3">
        <v>11.442153498734143</v>
      </c>
      <c r="BT233" s="3">
        <v>12.638820165400816</v>
      </c>
      <c r="BU233" s="3">
        <v>12.30548683206748</v>
      </c>
      <c r="BV233" s="3">
        <v>11.622153498734143</v>
      </c>
      <c r="BW233" s="3">
        <v>12.255486832067483</v>
      </c>
      <c r="BX233" s="3">
        <v>11.87548683206748</v>
      </c>
      <c r="BY233" s="3">
        <v>17.295486832067482</v>
      </c>
      <c r="BZ233" s="3">
        <v>14.12548683206748</v>
      </c>
      <c r="CA233" s="3">
        <v>10.42548683206747</v>
      </c>
      <c r="CB233" s="3">
        <v>10.662153498734142</v>
      </c>
      <c r="CC233" s="3">
        <v>10.975486832067475</v>
      </c>
      <c r="CD233" s="3">
        <v>9.5821534987341508</v>
      </c>
      <c r="CE233" s="3">
        <v>9.575486832067476</v>
      </c>
      <c r="CF233" s="3">
        <v>-0.81117983459918719</v>
      </c>
      <c r="CG233" s="3">
        <v>-1.3445131679325186</v>
      </c>
      <c r="CH233" s="3">
        <v>-2.4211798345991866</v>
      </c>
      <c r="CI233" s="13">
        <f>[1]!dbasum(RecData[[#This Row],[20]:[2000]],RecData[[#Headers],[20]:[2000]])</f>
        <v>20.61326213923515</v>
      </c>
      <c r="CJ233" s="14">
        <v>2915</v>
      </c>
      <c r="CK233" s="15" t="s">
        <v>249</v>
      </c>
      <c r="CL233" s="15">
        <f>RecData[[#This Row],[Start Time]]</f>
        <v>43257.173611111117</v>
      </c>
      <c r="CM233" s="16">
        <f>RecData[[#This Row],[Wind Speed avg]]</f>
        <v>0.7</v>
      </c>
      <c r="CN233" s="16">
        <f>RecData[[#This Row],[Wind Dir. avg]]</f>
        <v>127.8</v>
      </c>
      <c r="CO233" s="16">
        <f>RecData[[#This Row],[Amb. Humidity]]</f>
        <v>94.3</v>
      </c>
      <c r="CP233" s="16">
        <f>RecData[[#This Row],[Amb. Temperature]]</f>
        <v>2.9</v>
      </c>
      <c r="CQ233" s="17">
        <f>RecData[[#This Row],[Amb. Rain Gauge]]</f>
        <v>0</v>
      </c>
      <c r="CR233" s="4" t="s">
        <v>50</v>
      </c>
      <c r="CS233" s="4" t="s">
        <v>49</v>
      </c>
      <c r="CT233" s="70">
        <v>-10.99565029</v>
      </c>
      <c r="CU233" s="70">
        <v>156.0013123</v>
      </c>
      <c r="CV233" s="70">
        <v>1.8782023189999999</v>
      </c>
      <c r="CW233" s="70">
        <v>0</v>
      </c>
      <c r="CX233" s="4"/>
      <c r="CY233" s="69"/>
      <c r="CZ233" s="2" t="b">
        <f>IF($DP$1="YES",IF(RecData[[#This Row],[Power (kW)]]&gt;=$CR$3, TRUE,FALSE),TRUE)</f>
        <v>0</v>
      </c>
      <c r="DA233" s="16">
        <f>MIN(MOD(180-ABS(ABS($DA$1-RecData[Yaw Angle (°)])-180),360),MOD(180-ABS(ABS($DB$1-RecData[Yaw Angle (°)])-180),360))</f>
        <v>148.47138552231246</v>
      </c>
      <c r="DB233" s="2" t="str">
        <f>IF($DP$2="None","None",IF(RecData[[#This Row],[Relative Wind Direction]]&lt;=45,"DW",IF(RecData[[#This Row],[Relative Wind Direction]]&lt;=135,"CW","UW")))</f>
        <v>UW</v>
      </c>
      <c r="DC233" s="61" t="e">
        <f>IF($CL233-$CL229&gt;1/24,#REF!,IF(SUM($CQ229:$CQ233)&gt;$DS$1,$DS$5,#REF!-1))</f>
        <v>#REF!</v>
      </c>
      <c r="DD233" s="61" t="e">
        <f>IF(#REF!-$CL233&gt;1/24,#REF!,IF(SUM($CQ229:$CQ233)&gt;$DS$1,$DS$6,DD232-1))</f>
        <v>#REF!</v>
      </c>
      <c r="DE233" s="18" t="b">
        <v>0</v>
      </c>
      <c r="DF233" s="2" t="b">
        <f>IF(OR(RecData[[#This Row],[WSpd_Avg '[m/s']]]-RecData[[#This Row],[Wind Speed min]]&gt;=$DF$3,RecData[[#This Row],[Wind Speed max]]-RecData[[#This Row],[WSpd_Avg '[m/s']]]&gt;=$DF$2),TRUE,FALSE)</f>
        <v>0</v>
      </c>
      <c r="DG233" s="2" t="b">
        <f>RecData[[#This Row],[Temperature '[°C']]]&lt;=-20</f>
        <v>0</v>
      </c>
      <c r="DH233" s="18" t="b">
        <f>NOT(OR(MOD(RecData[[#This Row],[TIMESTAMP]],1)&gt;0.91632,MOD(RecData[[#This Row],[TIMESTAMP]],1)&lt;0.208681))</f>
        <v>0</v>
      </c>
      <c r="DI233" s="18" t="b">
        <f>RecData[[#This Row],[Overall (dBA)]]-RecData[[#This Row],[L90]]&gt;=$DS$4</f>
        <v>0</v>
      </c>
      <c r="DJ233" s="18" t="b">
        <f>RecData[[#This Row],[Overall (dBA)]]&gt;$DS$2</f>
        <v>0</v>
      </c>
      <c r="DK233" s="18" t="b">
        <f>RecData[[#This Row],[Overall (dBA)]]&lt;$DS$3</f>
        <v>0</v>
      </c>
      <c r="DL2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3" s="2">
        <f>IF(AND(RecData[[#This Row],[Turbines ON/OFF]] = "OFF", NOT(OR(RecData[[#This Row],[Junk?]]="YES",RecData[[#This Row],[Gust?]],RecData[[#This Row],[Rain?]:[Min SPL Threshold?]]))),1,0)</f>
        <v>1</v>
      </c>
      <c r="DN233" s="16">
        <f>RecData[[#This Row],[dBA Sum]]</f>
        <v>20.61326213923515</v>
      </c>
      <c r="DO233" s="16">
        <f>RecData[[#This Row],[LAF90.0]]</f>
        <v>21.9</v>
      </c>
      <c r="DP233" s="55" t="str">
        <f>IF(AND(RecData[[#This Row],[Useable TON Data?]],RecData[[#This Row],[Turbines ON/OFF]]="ON"),RecData[[#This Row],[dBA Sum]],"")</f>
        <v/>
      </c>
      <c r="DQ233" s="55">
        <f>IF(AND(RecData[[#This Row],[Useable Background Data?]],RecData[[#This Row],[Turbines ON/OFF]]="OFF"),RecData[[#This Row],[dBA Sum]],"")</f>
        <v>20.61326213923515</v>
      </c>
      <c r="DR233" s="3">
        <f>IF(OR(RecData[[#This Row],[Useable TON Data?]],RecData[[#This Row],[Useable Background Data?]]),ROUND(RecData[[#This Row],[WSpd_Avg '[m/s']]],0),"")</f>
        <v>1</v>
      </c>
      <c r="DS233" s="85">
        <f>(0.00002)^2*(10^(RecData[[#This Row],[Overall (dBA)]]/10))</f>
        <v>4.6066604819376307E-8</v>
      </c>
    </row>
    <row r="234" spans="1:123" ht="15" x14ac:dyDescent="0.25">
      <c r="A234" s="3" t="s">
        <v>249</v>
      </c>
      <c r="B234" s="12">
        <v>43260.916678240748</v>
      </c>
      <c r="C234" s="3"/>
      <c r="D234" s="3">
        <v>46.5</v>
      </c>
      <c r="E234" s="3"/>
      <c r="F234" s="3"/>
      <c r="G234" s="3"/>
      <c r="H234" s="3"/>
      <c r="I234" s="3"/>
      <c r="J234" s="3"/>
      <c r="K234" s="3">
        <v>45.3</v>
      </c>
      <c r="L234" s="3"/>
      <c r="M234" s="3"/>
      <c r="N234" s="3">
        <v>159.9</v>
      </c>
      <c r="O234" s="3"/>
      <c r="P234" s="3"/>
      <c r="Q234" s="3">
        <v>0.32</v>
      </c>
      <c r="R234" s="3">
        <v>0.2</v>
      </c>
      <c r="S234" s="3">
        <v>0.5</v>
      </c>
      <c r="T234" s="3">
        <v>14.5</v>
      </c>
      <c r="U234" s="3">
        <v>78.400000000000006</v>
      </c>
      <c r="V234" s="3">
        <v>975.1</v>
      </c>
      <c r="W234" s="3">
        <v>0</v>
      </c>
      <c r="X234" s="3">
        <v>17.8</v>
      </c>
      <c r="Y234" s="3">
        <v>17.5</v>
      </c>
      <c r="Z234" s="3">
        <v>17.899999999999999</v>
      </c>
      <c r="AA234" s="3">
        <v>13.5</v>
      </c>
      <c r="AB234" s="3">
        <v>10.199999999999999</v>
      </c>
      <c r="AC234" s="3">
        <v>7.3</v>
      </c>
      <c r="AD234" s="3">
        <v>6.7</v>
      </c>
      <c r="AE234" s="3">
        <v>6.4</v>
      </c>
      <c r="AF234" s="3">
        <v>9</v>
      </c>
      <c r="AG234" s="3">
        <v>9.4</v>
      </c>
      <c r="AH234" s="3">
        <v>8.3000000000000007</v>
      </c>
      <c r="AI234" s="3">
        <v>8.6</v>
      </c>
      <c r="AJ234" s="3">
        <v>9.1</v>
      </c>
      <c r="AK234" s="3">
        <v>11.8</v>
      </c>
      <c r="AL234" s="3">
        <v>9.5</v>
      </c>
      <c r="AM234" s="3">
        <v>9</v>
      </c>
      <c r="AN234" s="3">
        <v>11.4</v>
      </c>
      <c r="AO234" s="3">
        <v>10.5</v>
      </c>
      <c r="AP234" s="3">
        <v>11.8</v>
      </c>
      <c r="AQ234" s="3">
        <v>15.9</v>
      </c>
      <c r="AR234" s="3">
        <v>14</v>
      </c>
      <c r="AS234" s="3">
        <v>36.1</v>
      </c>
      <c r="AT234" s="3">
        <v>44.7</v>
      </c>
      <c r="AU234" s="3">
        <v>20.8</v>
      </c>
      <c r="AV234" s="3">
        <v>10.7</v>
      </c>
      <c r="AW234" s="3">
        <v>9.5</v>
      </c>
      <c r="AX234" s="3">
        <v>9.4</v>
      </c>
      <c r="AY234" s="3">
        <v>9.6999999999999993</v>
      </c>
      <c r="AZ234" s="3">
        <v>0</v>
      </c>
      <c r="BA234" s="3">
        <v>0</v>
      </c>
      <c r="BB234" s="3">
        <v>0</v>
      </c>
      <c r="BC234" s="3">
        <v>46.49926605602468</v>
      </c>
      <c r="BD234" s="3">
        <v>17.800733943975317</v>
      </c>
      <c r="BE234" s="3">
        <v>17.50073394397532</v>
      </c>
      <c r="BF234" s="3">
        <v>16.660733943975316</v>
      </c>
      <c r="BG234" s="3">
        <v>12.587400610641986</v>
      </c>
      <c r="BH234" s="3">
        <v>9.427400610641989</v>
      </c>
      <c r="BI234" s="3">
        <v>6.9407339439753173</v>
      </c>
      <c r="BJ234" s="3">
        <v>7.1340672773086524</v>
      </c>
      <c r="BK234" s="3">
        <v>6.707400610641983</v>
      </c>
      <c r="BL234" s="3">
        <v>8.8807339439753221</v>
      </c>
      <c r="BM234" s="3">
        <v>9.4140672773086536</v>
      </c>
      <c r="BN234" s="3">
        <v>8.5974006106419836</v>
      </c>
      <c r="BO234" s="3">
        <v>8.264067277308655</v>
      </c>
      <c r="BP234" s="3">
        <v>8.4807339439753235</v>
      </c>
      <c r="BQ234" s="3">
        <v>11.597400610641976</v>
      </c>
      <c r="BR234" s="3">
        <v>9.6240672773086544</v>
      </c>
      <c r="BS234" s="3">
        <v>8.927400610641989</v>
      </c>
      <c r="BT234" s="3">
        <v>11.524067277308653</v>
      </c>
      <c r="BU234" s="3">
        <v>10.590733943975323</v>
      </c>
      <c r="BV234" s="3">
        <v>11.607400610641989</v>
      </c>
      <c r="BW234" s="3">
        <v>16.240733943975322</v>
      </c>
      <c r="BX234" s="3">
        <v>14.260733943975325</v>
      </c>
      <c r="BY234" s="3">
        <v>36.180733943975326</v>
      </c>
      <c r="BZ234" s="3">
        <v>44.910733943975316</v>
      </c>
      <c r="CA234" s="3">
        <v>21.110733943975305</v>
      </c>
      <c r="CB234" s="3">
        <v>10.447400610641985</v>
      </c>
      <c r="CC234" s="3">
        <v>9.4607339439753204</v>
      </c>
      <c r="CD234" s="3">
        <v>8.667400610641991</v>
      </c>
      <c r="CE234" s="3">
        <v>9.1607339439753162</v>
      </c>
      <c r="CF234" s="3">
        <v>-0.92593272269134985</v>
      </c>
      <c r="CG234" s="3">
        <v>-1.4592660560246813</v>
      </c>
      <c r="CH234" s="3">
        <v>-2.5359327226913493</v>
      </c>
      <c r="CI234" s="13">
        <f>[1]!dbasum(RecData[[#This Row],[20]:[2000]],RecData[[#Headers],[20]:[2000]])</f>
        <v>21.634121013826174</v>
      </c>
      <c r="CJ234" s="14">
        <v>4241</v>
      </c>
      <c r="CK234" s="15" t="s">
        <v>249</v>
      </c>
      <c r="CL234" s="15">
        <f>RecData[[#This Row],[Start Time]]</f>
        <v>43260.916678240748</v>
      </c>
      <c r="CM234" s="16">
        <f>RecData[[#This Row],[Wind Speed avg]]</f>
        <v>0.32</v>
      </c>
      <c r="CN234" s="16">
        <f>RecData[[#This Row],[Wind Dir. avg]]</f>
        <v>159.9</v>
      </c>
      <c r="CO234" s="16">
        <f>RecData[[#This Row],[Amb. Humidity]]</f>
        <v>78.400000000000006</v>
      </c>
      <c r="CP234" s="16">
        <f>RecData[[#This Row],[Amb. Temperature]]</f>
        <v>14.5</v>
      </c>
      <c r="CQ234" s="17">
        <f>RecData[[#This Row],[Amb. Rain Gauge]]</f>
        <v>0</v>
      </c>
      <c r="CR234" s="4" t="s">
        <v>50</v>
      </c>
      <c r="CS234" s="4" t="s">
        <v>49</v>
      </c>
      <c r="CT234" s="70">
        <v>-9.3080511090000009</v>
      </c>
      <c r="CU234" s="70">
        <v>248.00209050000001</v>
      </c>
      <c r="CV234" s="70">
        <v>1.210877776</v>
      </c>
      <c r="CW234" s="70">
        <v>0</v>
      </c>
      <c r="CX234" s="4"/>
      <c r="CY234" s="69"/>
      <c r="CZ234" s="2" t="b">
        <f>IF($DP$1="YES",IF(RecData[[#This Row],[Power (kW)]]&gt;=$CR$3, TRUE,FALSE),TRUE)</f>
        <v>0</v>
      </c>
      <c r="DA234" s="16">
        <f>MIN(MOD(180-ABS(ABS($DA$1-RecData[Yaw Angle (°)])-180),360),MOD(180-ABS(ABS($DB$1-RecData[Yaw Angle (°)])-180),360))</f>
        <v>119.52783627768753</v>
      </c>
      <c r="DB234" s="2" t="str">
        <f>IF($DP$2="None","None",IF(RecData[[#This Row],[Relative Wind Direction]]&lt;=45,"DW",IF(RecData[[#This Row],[Relative Wind Direction]]&lt;=135,"CW","UW")))</f>
        <v>CW</v>
      </c>
      <c r="DC234" s="61" t="e">
        <f>IF($CL234-#REF!&gt;1/24,#REF!,IF(SUM($CQ234:$CQ234)&gt;$DS$1,$DS$5,DC235-1))</f>
        <v>#REF!</v>
      </c>
      <c r="DD234" s="61" t="e">
        <f>IF($CL235-$CL234&gt;1/24,#REF!,IF(SUM($CQ234:$CQ234)&gt;$DS$1,$DS$6,#REF!-1))</f>
        <v>#REF!</v>
      </c>
      <c r="DE234" s="18" t="b">
        <v>0</v>
      </c>
      <c r="DF234" s="2" t="b">
        <f>IF(OR(RecData[[#This Row],[WSpd_Avg '[m/s']]]-RecData[[#This Row],[Wind Speed min]]&gt;=$DF$3,RecData[[#This Row],[Wind Speed max]]-RecData[[#This Row],[WSpd_Avg '[m/s']]]&gt;=$DF$2),TRUE,FALSE)</f>
        <v>0</v>
      </c>
      <c r="DG234" s="2" t="b">
        <f>RecData[[#This Row],[Temperature '[°C']]]&lt;=-20</f>
        <v>0</v>
      </c>
      <c r="DH234" s="18" t="b">
        <f>NOT(OR(MOD(RecData[[#This Row],[TIMESTAMP]],1)&gt;0.91632,MOD(RecData[[#This Row],[TIMESTAMP]],1)&lt;0.208681))</f>
        <v>0</v>
      </c>
      <c r="DI234" s="18" t="b">
        <f>RecData[[#This Row],[Overall (dBA)]]-RecData[[#This Row],[L90]]&gt;=$DS$4</f>
        <v>0</v>
      </c>
      <c r="DJ234" s="18" t="b">
        <f>RecData[[#This Row],[Overall (dBA)]]&gt;$DS$2</f>
        <v>0</v>
      </c>
      <c r="DK234" s="18" t="b">
        <f>RecData[[#This Row],[Overall (dBA)]]&lt;$DS$3</f>
        <v>0</v>
      </c>
      <c r="DL2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4" s="2">
        <f>IF(AND(RecData[[#This Row],[Turbines ON/OFF]] = "OFF", NOT(OR(RecData[[#This Row],[Junk?]]="YES",RecData[[#This Row],[Gust?]],RecData[[#This Row],[Rain?]:[Min SPL Threshold?]]))),1,0)</f>
        <v>1</v>
      </c>
      <c r="DN234" s="16">
        <f>RecData[[#This Row],[dBA Sum]]</f>
        <v>21.634121013826174</v>
      </c>
      <c r="DO234" s="16">
        <f>RecData[[#This Row],[LAF90.0]]</f>
        <v>45.3</v>
      </c>
      <c r="DP234" s="55" t="str">
        <f>IF(AND(RecData[[#This Row],[Useable TON Data?]],RecData[[#This Row],[Turbines ON/OFF]]="ON"),RecData[[#This Row],[dBA Sum]],"")</f>
        <v/>
      </c>
      <c r="DQ234" s="55">
        <f>IF(AND(RecData[[#This Row],[Useable Background Data?]],RecData[[#This Row],[Turbines ON/OFF]]="OFF"),RecData[[#This Row],[dBA Sum]],"")</f>
        <v>21.634121013826174</v>
      </c>
      <c r="DR234" s="3">
        <f>IF(OR(RecData[[#This Row],[Useable TON Data?]],RecData[[#This Row],[Useable Background Data?]]),ROUND(RecData[[#This Row],[WSpd_Avg '[m/s']]],0),"")</f>
        <v>0</v>
      </c>
      <c r="DS234" s="85">
        <f>(0.00002)^2*(10^(RecData[[#This Row],[Overall (dBA)]]/10))</f>
        <v>5.8273632759280802E-8</v>
      </c>
    </row>
    <row r="235" spans="1:123" ht="15" x14ac:dyDescent="0.25">
      <c r="A235" s="3" t="s">
        <v>249</v>
      </c>
      <c r="B235" s="12">
        <v>43260.917372685195</v>
      </c>
      <c r="C235" s="3"/>
      <c r="D235" s="3">
        <v>46.7</v>
      </c>
      <c r="E235" s="3"/>
      <c r="F235" s="3"/>
      <c r="G235" s="3"/>
      <c r="H235" s="3"/>
      <c r="I235" s="3"/>
      <c r="J235" s="3"/>
      <c r="K235" s="3">
        <v>45.6</v>
      </c>
      <c r="L235" s="3"/>
      <c r="M235" s="3"/>
      <c r="N235" s="3">
        <v>154.9</v>
      </c>
      <c r="O235" s="3"/>
      <c r="P235" s="3"/>
      <c r="Q235" s="3">
        <v>0.31</v>
      </c>
      <c r="R235" s="3">
        <v>0.2</v>
      </c>
      <c r="S235" s="3">
        <v>0.4</v>
      </c>
      <c r="T235" s="3">
        <v>14.4</v>
      </c>
      <c r="U235" s="3">
        <v>78.7</v>
      </c>
      <c r="V235" s="3">
        <v>975.1</v>
      </c>
      <c r="W235" s="3">
        <v>0</v>
      </c>
      <c r="X235" s="3">
        <v>18.3</v>
      </c>
      <c r="Y235" s="3">
        <v>18.8</v>
      </c>
      <c r="Z235" s="3">
        <v>21.7</v>
      </c>
      <c r="AA235" s="3">
        <v>14.6</v>
      </c>
      <c r="AB235" s="3">
        <v>9</v>
      </c>
      <c r="AC235" s="3">
        <v>6.6</v>
      </c>
      <c r="AD235" s="3">
        <v>7.7</v>
      </c>
      <c r="AE235" s="3">
        <v>7.7</v>
      </c>
      <c r="AF235" s="3">
        <v>16</v>
      </c>
      <c r="AG235" s="3">
        <v>9</v>
      </c>
      <c r="AH235" s="3">
        <v>7.9</v>
      </c>
      <c r="AI235" s="3">
        <v>17.399999999999999</v>
      </c>
      <c r="AJ235" s="3">
        <v>9.6</v>
      </c>
      <c r="AK235" s="3">
        <v>12.2</v>
      </c>
      <c r="AL235" s="3">
        <v>11.5</v>
      </c>
      <c r="AM235" s="3">
        <v>11.3</v>
      </c>
      <c r="AN235" s="3">
        <v>12.2</v>
      </c>
      <c r="AO235" s="3">
        <v>11.5</v>
      </c>
      <c r="AP235" s="3">
        <v>11.7</v>
      </c>
      <c r="AQ235" s="3">
        <v>16.399999999999999</v>
      </c>
      <c r="AR235" s="3">
        <v>13.5</v>
      </c>
      <c r="AS235" s="3">
        <v>36</v>
      </c>
      <c r="AT235" s="3">
        <v>45</v>
      </c>
      <c r="AU235" s="3">
        <v>21.3</v>
      </c>
      <c r="AV235" s="3">
        <v>12.9</v>
      </c>
      <c r="AW235" s="3">
        <v>10.7</v>
      </c>
      <c r="AX235" s="3">
        <v>9.8000000000000007</v>
      </c>
      <c r="AY235" s="3">
        <v>9.8000000000000007</v>
      </c>
      <c r="AZ235" s="3">
        <v>0</v>
      </c>
      <c r="BA235" s="3">
        <v>0</v>
      </c>
      <c r="BB235" s="3">
        <v>0</v>
      </c>
      <c r="BC235" s="3">
        <v>46.754968221053076</v>
      </c>
      <c r="BD235" s="3">
        <v>18.245031778946924</v>
      </c>
      <c r="BE235" s="3">
        <v>18.745031778946924</v>
      </c>
      <c r="BF235" s="3">
        <v>20.40503177894692</v>
      </c>
      <c r="BG235" s="3">
        <v>13.631698445613594</v>
      </c>
      <c r="BH235" s="3">
        <v>8.1716984456135933</v>
      </c>
      <c r="BI235" s="3">
        <v>6.1850317789469287</v>
      </c>
      <c r="BJ235" s="3">
        <v>8.0783651122802596</v>
      </c>
      <c r="BK235" s="3">
        <v>7.9516984456135873</v>
      </c>
      <c r="BL235" s="3">
        <v>15.825031778946929</v>
      </c>
      <c r="BM235" s="3">
        <v>8.9583651122802621</v>
      </c>
      <c r="BN235" s="3">
        <v>8.1416984456135921</v>
      </c>
      <c r="BO235" s="3">
        <v>17.008365112280259</v>
      </c>
      <c r="BP235" s="3">
        <v>8.9250317789469307</v>
      </c>
      <c r="BQ235" s="3">
        <v>11.941698445613582</v>
      </c>
      <c r="BR235" s="3">
        <v>11.568365112280262</v>
      </c>
      <c r="BS235" s="3">
        <v>11.171698445613593</v>
      </c>
      <c r="BT235" s="3">
        <v>12.268365112280264</v>
      </c>
      <c r="BU235" s="3">
        <v>11.53503177894693</v>
      </c>
      <c r="BV235" s="3">
        <v>11.451698445613594</v>
      </c>
      <c r="BW235" s="3">
        <v>16.685031778946929</v>
      </c>
      <c r="BX235" s="3">
        <v>13.705031778946932</v>
      </c>
      <c r="BY235" s="3">
        <v>36.025031778946925</v>
      </c>
      <c r="BZ235" s="3">
        <v>45.15503177894692</v>
      </c>
      <c r="CA235" s="3">
        <v>21.555031778946926</v>
      </c>
      <c r="CB235" s="3">
        <v>12.591698445613588</v>
      </c>
      <c r="CC235" s="3">
        <v>10.605031778946923</v>
      </c>
      <c r="CD235" s="3">
        <v>9.0116984456135967</v>
      </c>
      <c r="CE235" s="3">
        <v>9.2050317789469247</v>
      </c>
      <c r="CF235" s="3">
        <v>-0.98163488771974272</v>
      </c>
      <c r="CG235" s="3">
        <v>-1.5149682210530742</v>
      </c>
      <c r="CH235" s="3">
        <v>-2.5916348877197422</v>
      </c>
      <c r="CI235" s="13">
        <f>[1]!dbasum(RecData[[#This Row],[20]:[2000]],RecData[[#Headers],[20]:[2000]])</f>
        <v>22.162627396329896</v>
      </c>
      <c r="CJ235" s="14">
        <v>4242</v>
      </c>
      <c r="CK235" s="15" t="s">
        <v>249</v>
      </c>
      <c r="CL235" s="15">
        <f>RecData[[#This Row],[Start Time]]</f>
        <v>43260.917372685195</v>
      </c>
      <c r="CM235" s="16">
        <f>RecData[[#This Row],[Wind Speed avg]]</f>
        <v>0.31</v>
      </c>
      <c r="CN235" s="16">
        <f>RecData[[#This Row],[Wind Dir. avg]]</f>
        <v>154.9</v>
      </c>
      <c r="CO235" s="16">
        <f>RecData[[#This Row],[Amb. Humidity]]</f>
        <v>78.7</v>
      </c>
      <c r="CP235" s="16">
        <f>RecData[[#This Row],[Amb. Temperature]]</f>
        <v>14.4</v>
      </c>
      <c r="CQ235" s="17">
        <f>RecData[[#This Row],[Amb. Rain Gauge]]</f>
        <v>0</v>
      </c>
      <c r="CR235" s="4" t="s">
        <v>50</v>
      </c>
      <c r="CS235" s="4" t="s">
        <v>49</v>
      </c>
      <c r="CT235" s="70">
        <v>-9.3080511090000009</v>
      </c>
      <c r="CU235" s="70">
        <v>248.00209050000001</v>
      </c>
      <c r="CV235" s="70">
        <v>1.210877776</v>
      </c>
      <c r="CW235" s="70">
        <v>0</v>
      </c>
      <c r="CX235" s="4"/>
      <c r="CY235" s="69"/>
      <c r="CZ235" s="2" t="b">
        <f>IF($DP$1="YES",IF(RecData[[#This Row],[Power (kW)]]&gt;=$CR$3, TRUE,FALSE),TRUE)</f>
        <v>0</v>
      </c>
      <c r="DA235" s="16">
        <f>MIN(MOD(180-ABS(ABS($DA$1-RecData[Yaw Angle (°)])-180),360),MOD(180-ABS(ABS($DB$1-RecData[Yaw Angle (°)])-180),360))</f>
        <v>119.52783627768753</v>
      </c>
      <c r="DB235" s="2" t="str">
        <f>IF($DP$2="None","None",IF(RecData[[#This Row],[Relative Wind Direction]]&lt;=45,"DW",IF(RecData[[#This Row],[Relative Wind Direction]]&lt;=135,"CW","UW")))</f>
        <v>CW</v>
      </c>
      <c r="DC235" s="61" t="e">
        <f>IF($CL235-#REF!&gt;1/24,#REF!,IF(SUM($CQ234:$CQ235)&gt;$DS$1,$DS$5,DC236-1))</f>
        <v>#REF!</v>
      </c>
      <c r="DD235" s="61" t="e">
        <f>IF($CL236-$CL235&gt;1/24,#REF!,IF(SUM($CQ234:$CQ235)&gt;$DS$1,$DS$6,DD234-1))</f>
        <v>#REF!</v>
      </c>
      <c r="DE235" s="18" t="b">
        <v>0</v>
      </c>
      <c r="DF235" s="2" t="b">
        <f>IF(OR(RecData[[#This Row],[WSpd_Avg '[m/s']]]-RecData[[#This Row],[Wind Speed min]]&gt;=$DF$3,RecData[[#This Row],[Wind Speed max]]-RecData[[#This Row],[WSpd_Avg '[m/s']]]&gt;=$DF$2),TRUE,FALSE)</f>
        <v>0</v>
      </c>
      <c r="DG235" s="2" t="b">
        <f>RecData[[#This Row],[Temperature '[°C']]]&lt;=-20</f>
        <v>0</v>
      </c>
      <c r="DH235" s="18" t="b">
        <f>NOT(OR(MOD(RecData[[#This Row],[TIMESTAMP]],1)&gt;0.91632,MOD(RecData[[#This Row],[TIMESTAMP]],1)&lt;0.208681))</f>
        <v>0</v>
      </c>
      <c r="DI235" s="18" t="b">
        <f>RecData[[#This Row],[Overall (dBA)]]-RecData[[#This Row],[L90]]&gt;=$DS$4</f>
        <v>0</v>
      </c>
      <c r="DJ235" s="18" t="b">
        <f>RecData[[#This Row],[Overall (dBA)]]&gt;$DS$2</f>
        <v>0</v>
      </c>
      <c r="DK235" s="18" t="b">
        <f>RecData[[#This Row],[Overall (dBA)]]&lt;$DS$3</f>
        <v>0</v>
      </c>
      <c r="DL2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5" s="2">
        <f>IF(AND(RecData[[#This Row],[Turbines ON/OFF]] = "OFF", NOT(OR(RecData[[#This Row],[Junk?]]="YES",RecData[[#This Row],[Gust?]],RecData[[#This Row],[Rain?]:[Min SPL Threshold?]]))),1,0)</f>
        <v>1</v>
      </c>
      <c r="DN235" s="16">
        <f>RecData[[#This Row],[dBA Sum]]</f>
        <v>22.162627396329896</v>
      </c>
      <c r="DO235" s="16">
        <f>RecData[[#This Row],[LAF90.0]]</f>
        <v>45.6</v>
      </c>
      <c r="DP235" s="55" t="str">
        <f>IF(AND(RecData[[#This Row],[Useable TON Data?]],RecData[[#This Row],[Turbines ON/OFF]]="ON"),RecData[[#This Row],[dBA Sum]],"")</f>
        <v/>
      </c>
      <c r="DQ235" s="55">
        <f>IF(AND(RecData[[#This Row],[Useable Background Data?]],RecData[[#This Row],[Turbines ON/OFF]]="OFF"),RecData[[#This Row],[dBA Sum]],"")</f>
        <v>22.162627396329896</v>
      </c>
      <c r="DR235" s="3">
        <f>IF(OR(RecData[[#This Row],[Useable TON Data?]],RecData[[#This Row],[Useable Background Data?]]),ROUND(RecData[[#This Row],[WSpd_Avg '[m/s']]],0),"")</f>
        <v>0</v>
      </c>
      <c r="DS235" s="85">
        <f>(0.00002)^2*(10^(RecData[[#This Row],[Overall (dBA)]]/10))</f>
        <v>6.5814673471898826E-8</v>
      </c>
    </row>
    <row r="236" spans="1:123" ht="15" x14ac:dyDescent="0.25">
      <c r="A236" s="3" t="s">
        <v>249</v>
      </c>
      <c r="B236" s="12">
        <v>43260.918067129634</v>
      </c>
      <c r="C236" s="3"/>
      <c r="D236" s="3">
        <v>46.9</v>
      </c>
      <c r="E236" s="3"/>
      <c r="F236" s="3"/>
      <c r="G236" s="3"/>
      <c r="H236" s="3"/>
      <c r="I236" s="3"/>
      <c r="J236" s="3"/>
      <c r="K236" s="3">
        <v>45.6</v>
      </c>
      <c r="L236" s="3"/>
      <c r="M236" s="3"/>
      <c r="N236" s="3">
        <v>138.4</v>
      </c>
      <c r="O236" s="3"/>
      <c r="P236" s="3"/>
      <c r="Q236" s="3">
        <v>0.31</v>
      </c>
      <c r="R236" s="3">
        <v>0.2</v>
      </c>
      <c r="S236" s="3">
        <v>0.5</v>
      </c>
      <c r="T236" s="3">
        <v>14.4</v>
      </c>
      <c r="U236" s="3">
        <v>78.8</v>
      </c>
      <c r="V236" s="3">
        <v>975.2</v>
      </c>
      <c r="W236" s="3">
        <v>0</v>
      </c>
      <c r="X236" s="3">
        <v>25.1</v>
      </c>
      <c r="Y236" s="3">
        <v>27.8</v>
      </c>
      <c r="Z236" s="3">
        <v>25.4</v>
      </c>
      <c r="AA236" s="3">
        <v>26.3</v>
      </c>
      <c r="AB236" s="3">
        <v>14.2</v>
      </c>
      <c r="AC236" s="3">
        <v>11.1</v>
      </c>
      <c r="AD236" s="3">
        <v>8.9</v>
      </c>
      <c r="AE236" s="3">
        <v>7.9</v>
      </c>
      <c r="AF236" s="3">
        <v>11.6</v>
      </c>
      <c r="AG236" s="3">
        <v>8.8000000000000007</v>
      </c>
      <c r="AH236" s="3">
        <v>8.9</v>
      </c>
      <c r="AI236" s="3">
        <v>9.8000000000000007</v>
      </c>
      <c r="AJ236" s="3">
        <v>9.6</v>
      </c>
      <c r="AK236" s="3">
        <v>11.6</v>
      </c>
      <c r="AL236" s="3">
        <v>9.4</v>
      </c>
      <c r="AM236" s="3">
        <v>9.3000000000000007</v>
      </c>
      <c r="AN236" s="3">
        <v>11.3</v>
      </c>
      <c r="AO236" s="3">
        <v>10.5</v>
      </c>
      <c r="AP236" s="3">
        <v>10.6</v>
      </c>
      <c r="AQ236" s="3">
        <v>16.399999999999999</v>
      </c>
      <c r="AR236" s="3">
        <v>13</v>
      </c>
      <c r="AS236" s="3">
        <v>35.6</v>
      </c>
      <c r="AT236" s="3">
        <v>45.2</v>
      </c>
      <c r="AU236" s="3">
        <v>20.8</v>
      </c>
      <c r="AV236" s="3">
        <v>12.9</v>
      </c>
      <c r="AW236" s="3">
        <v>10.6</v>
      </c>
      <c r="AX236" s="3">
        <v>9.6999999999999993</v>
      </c>
      <c r="AY236" s="3">
        <v>9.8000000000000007</v>
      </c>
      <c r="AZ236" s="3">
        <v>0</v>
      </c>
      <c r="BA236" s="3">
        <v>0</v>
      </c>
      <c r="BB236" s="3">
        <v>0</v>
      </c>
      <c r="BC236" s="3">
        <v>46.885960290418012</v>
      </c>
      <c r="BD236" s="3">
        <v>25.114039709581988</v>
      </c>
      <c r="BE236" s="3">
        <v>27.814039709581991</v>
      </c>
      <c r="BF236" s="3">
        <v>24.17403970958199</v>
      </c>
      <c r="BG236" s="3">
        <v>25.40070637624865</v>
      </c>
      <c r="BH236" s="3">
        <v>13.440706376248656</v>
      </c>
      <c r="BI236" s="3">
        <v>10.754039709581988</v>
      </c>
      <c r="BJ236" s="3">
        <v>9.3473730429153221</v>
      </c>
      <c r="BK236" s="3">
        <v>8.2207063762486499</v>
      </c>
      <c r="BL236" s="3">
        <v>11.494039709581983</v>
      </c>
      <c r="BM236" s="3">
        <v>8.8273730429153261</v>
      </c>
      <c r="BN236" s="3">
        <v>9.2107063762486518</v>
      </c>
      <c r="BO236" s="3">
        <v>9.4773730429153247</v>
      </c>
      <c r="BP236" s="3">
        <v>8.9940397095819833</v>
      </c>
      <c r="BQ236" s="3">
        <v>11.41070637624864</v>
      </c>
      <c r="BR236" s="3">
        <v>9.5373730429153198</v>
      </c>
      <c r="BS236" s="3">
        <v>9.240706376248653</v>
      </c>
      <c r="BT236" s="3">
        <v>11.437373042915326</v>
      </c>
      <c r="BU236" s="3">
        <v>10.60403970958199</v>
      </c>
      <c r="BV236" s="3">
        <v>10.420706376248653</v>
      </c>
      <c r="BW236" s="3">
        <v>16.754039709581988</v>
      </c>
      <c r="BX236" s="3">
        <v>13.274039709581992</v>
      </c>
      <c r="BY236" s="3">
        <v>35.694039709581986</v>
      </c>
      <c r="BZ236" s="3">
        <v>45.42403970958199</v>
      </c>
      <c r="CA236" s="3">
        <v>21.124039709581979</v>
      </c>
      <c r="CB236" s="3">
        <v>12.660706376248655</v>
      </c>
      <c r="CC236" s="3">
        <v>10.574039709581982</v>
      </c>
      <c r="CD236" s="3">
        <v>8.980706376248655</v>
      </c>
      <c r="CE236" s="3">
        <v>9.2740397095819844</v>
      </c>
      <c r="CF236" s="3">
        <v>-0.912626957084683</v>
      </c>
      <c r="CG236" s="3">
        <v>-1.4459602904180144</v>
      </c>
      <c r="CH236" s="3">
        <v>-2.5226269570846824</v>
      </c>
      <c r="CI236" s="13">
        <f>[1]!dbasum(RecData[[#This Row],[20]:[2000]],RecData[[#Headers],[20]:[2000]])</f>
        <v>21.523491848185316</v>
      </c>
      <c r="CJ236" s="14">
        <v>4243</v>
      </c>
      <c r="CK236" s="15" t="s">
        <v>249</v>
      </c>
      <c r="CL236" s="15">
        <f>RecData[[#This Row],[Start Time]]</f>
        <v>43260.918067129634</v>
      </c>
      <c r="CM236" s="16">
        <f>RecData[[#This Row],[Wind Speed avg]]</f>
        <v>0.31</v>
      </c>
      <c r="CN236" s="16">
        <f>RecData[[#This Row],[Wind Dir. avg]]</f>
        <v>138.4</v>
      </c>
      <c r="CO236" s="16">
        <f>RecData[[#This Row],[Amb. Humidity]]</f>
        <v>78.8</v>
      </c>
      <c r="CP236" s="16">
        <f>RecData[[#This Row],[Amb. Temperature]]</f>
        <v>14.4</v>
      </c>
      <c r="CQ236" s="17">
        <f>RecData[[#This Row],[Amb. Rain Gauge]]</f>
        <v>0</v>
      </c>
      <c r="CR236" s="4" t="s">
        <v>50</v>
      </c>
      <c r="CS236" s="4" t="s">
        <v>49</v>
      </c>
      <c r="CT236" s="70">
        <v>-9.3080511090000009</v>
      </c>
      <c r="CU236" s="70">
        <v>248.00209050000001</v>
      </c>
      <c r="CV236" s="70">
        <v>1.210877776</v>
      </c>
      <c r="CW236" s="70">
        <v>0</v>
      </c>
      <c r="CX236" s="4"/>
      <c r="CY236" s="69"/>
      <c r="CZ236" s="2" t="b">
        <f>IF($DP$1="YES",IF(RecData[[#This Row],[Power (kW)]]&gt;=$CR$3, TRUE,FALSE),TRUE)</f>
        <v>0</v>
      </c>
      <c r="DA236" s="16">
        <f>MIN(MOD(180-ABS(ABS($DA$1-RecData[Yaw Angle (°)])-180),360),MOD(180-ABS(ABS($DB$1-RecData[Yaw Angle (°)])-180),360))</f>
        <v>119.52783627768753</v>
      </c>
      <c r="DB236" s="2" t="str">
        <f>IF($DP$2="None","None",IF(RecData[[#This Row],[Relative Wind Direction]]&lt;=45,"DW",IF(RecData[[#This Row],[Relative Wind Direction]]&lt;=135,"CW","UW")))</f>
        <v>CW</v>
      </c>
      <c r="DC236" s="61" t="e">
        <f>IF($CL236-#REF!&gt;1/24,#REF!,IF(SUM($CQ234:$CQ236)&gt;$DS$1,$DS$5,DC237-1))</f>
        <v>#REF!</v>
      </c>
      <c r="DD236" s="61" t="e">
        <f>IF($CL237-$CL236&gt;1/24,#REF!,IF(SUM($CQ234:$CQ236)&gt;$DS$1,$DS$6,DD235-1))</f>
        <v>#REF!</v>
      </c>
      <c r="DE236" s="18" t="b">
        <v>0</v>
      </c>
      <c r="DF236" s="2" t="b">
        <f>IF(OR(RecData[[#This Row],[WSpd_Avg '[m/s']]]-RecData[[#This Row],[Wind Speed min]]&gt;=$DF$3,RecData[[#This Row],[Wind Speed max]]-RecData[[#This Row],[WSpd_Avg '[m/s']]]&gt;=$DF$2),TRUE,FALSE)</f>
        <v>0</v>
      </c>
      <c r="DG236" s="2" t="b">
        <f>RecData[[#This Row],[Temperature '[°C']]]&lt;=-20</f>
        <v>0</v>
      </c>
      <c r="DH236" s="18" t="b">
        <f>NOT(OR(MOD(RecData[[#This Row],[TIMESTAMP]],1)&gt;0.91632,MOD(RecData[[#This Row],[TIMESTAMP]],1)&lt;0.208681))</f>
        <v>0</v>
      </c>
      <c r="DI236" s="18" t="b">
        <f>RecData[[#This Row],[Overall (dBA)]]-RecData[[#This Row],[L90]]&gt;=$DS$4</f>
        <v>0</v>
      </c>
      <c r="DJ236" s="18" t="b">
        <f>RecData[[#This Row],[Overall (dBA)]]&gt;$DS$2</f>
        <v>0</v>
      </c>
      <c r="DK236" s="18" t="b">
        <f>RecData[[#This Row],[Overall (dBA)]]&lt;$DS$3</f>
        <v>0</v>
      </c>
      <c r="DL2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6" s="2">
        <f>IF(AND(RecData[[#This Row],[Turbines ON/OFF]] = "OFF", NOT(OR(RecData[[#This Row],[Junk?]]="YES",RecData[[#This Row],[Gust?]],RecData[[#This Row],[Rain?]:[Min SPL Threshold?]]))),1,0)</f>
        <v>1</v>
      </c>
      <c r="DN236" s="16">
        <f>RecData[[#This Row],[dBA Sum]]</f>
        <v>21.523491848185316</v>
      </c>
      <c r="DO236" s="16">
        <f>RecData[[#This Row],[LAF90.0]]</f>
        <v>45.6</v>
      </c>
      <c r="DP236" s="55" t="str">
        <f>IF(AND(RecData[[#This Row],[Useable TON Data?]],RecData[[#This Row],[Turbines ON/OFF]]="ON"),RecData[[#This Row],[dBA Sum]],"")</f>
        <v/>
      </c>
      <c r="DQ236" s="55">
        <f>IF(AND(RecData[[#This Row],[Useable Background Data?]],RecData[[#This Row],[Turbines ON/OFF]]="OFF"),RecData[[#This Row],[dBA Sum]],"")</f>
        <v>21.523491848185316</v>
      </c>
      <c r="DR236" s="3">
        <f>IF(OR(RecData[[#This Row],[Useable TON Data?]],RecData[[#This Row],[Useable Background Data?]]),ROUND(RecData[[#This Row],[WSpd_Avg '[m/s']]],0),"")</f>
        <v>0</v>
      </c>
      <c r="DS236" s="85">
        <f>(0.00002)^2*(10^(RecData[[#This Row],[Overall (dBA)]]/10))</f>
        <v>5.6807957685275493E-8</v>
      </c>
    </row>
    <row r="237" spans="1:123" ht="15" x14ac:dyDescent="0.25">
      <c r="A237" s="3" t="s">
        <v>249</v>
      </c>
      <c r="B237" s="12">
        <v>43260.918761574081</v>
      </c>
      <c r="C237" s="3"/>
      <c r="D237" s="3">
        <v>46.4</v>
      </c>
      <c r="E237" s="3"/>
      <c r="F237" s="3"/>
      <c r="G237" s="3"/>
      <c r="H237" s="3"/>
      <c r="I237" s="3"/>
      <c r="J237" s="3"/>
      <c r="K237" s="3">
        <v>45.3</v>
      </c>
      <c r="L237" s="3"/>
      <c r="M237" s="3"/>
      <c r="N237" s="3">
        <v>161.1</v>
      </c>
      <c r="O237" s="3"/>
      <c r="P237" s="3"/>
      <c r="Q237" s="3">
        <v>0.3</v>
      </c>
      <c r="R237" s="3">
        <v>0.2</v>
      </c>
      <c r="S237" s="3">
        <v>0.4</v>
      </c>
      <c r="T237" s="3">
        <v>14.3</v>
      </c>
      <c r="U237" s="3">
        <v>79</v>
      </c>
      <c r="V237" s="3">
        <v>975.2</v>
      </c>
      <c r="W237" s="3">
        <v>0</v>
      </c>
      <c r="X237" s="3">
        <v>22.9</v>
      </c>
      <c r="Y237" s="3">
        <v>23.4</v>
      </c>
      <c r="Z237" s="3">
        <v>22.3</v>
      </c>
      <c r="AA237" s="3">
        <v>18</v>
      </c>
      <c r="AB237" s="3">
        <v>13</v>
      </c>
      <c r="AC237" s="3">
        <v>10.9</v>
      </c>
      <c r="AD237" s="3">
        <v>10</v>
      </c>
      <c r="AE237" s="3">
        <v>8.3000000000000007</v>
      </c>
      <c r="AF237" s="3">
        <v>10</v>
      </c>
      <c r="AG237" s="3">
        <v>9.6999999999999993</v>
      </c>
      <c r="AH237" s="3">
        <v>8</v>
      </c>
      <c r="AI237" s="3">
        <v>9.4</v>
      </c>
      <c r="AJ237" s="3">
        <v>9.4</v>
      </c>
      <c r="AK237" s="3">
        <v>11.4</v>
      </c>
      <c r="AL237" s="3">
        <v>9.6</v>
      </c>
      <c r="AM237" s="3">
        <v>10</v>
      </c>
      <c r="AN237" s="3">
        <v>11.8</v>
      </c>
      <c r="AO237" s="3">
        <v>11.7</v>
      </c>
      <c r="AP237" s="3">
        <v>12.4</v>
      </c>
      <c r="AQ237" s="3">
        <v>16</v>
      </c>
      <c r="AR237" s="3">
        <v>15.6</v>
      </c>
      <c r="AS237" s="3">
        <v>35.799999999999997</v>
      </c>
      <c r="AT237" s="3">
        <v>44.6</v>
      </c>
      <c r="AU237" s="3">
        <v>26.8</v>
      </c>
      <c r="AV237" s="3">
        <v>10.5</v>
      </c>
      <c r="AW237" s="3">
        <v>9.4</v>
      </c>
      <c r="AX237" s="3">
        <v>9.4</v>
      </c>
      <c r="AY237" s="3">
        <v>9.6999999999999993</v>
      </c>
      <c r="AZ237" s="3">
        <v>0</v>
      </c>
      <c r="BA237" s="3">
        <v>0</v>
      </c>
      <c r="BB237" s="3">
        <v>0</v>
      </c>
      <c r="BC237" s="3">
        <v>46.422920159333344</v>
      </c>
      <c r="BD237" s="3">
        <v>22.877079840666653</v>
      </c>
      <c r="BE237" s="3">
        <v>23.377079840666653</v>
      </c>
      <c r="BF237" s="3">
        <v>21.037079840666664</v>
      </c>
      <c r="BG237" s="3">
        <v>17.06374650733332</v>
      </c>
      <c r="BH237" s="3">
        <v>12.203746507333321</v>
      </c>
      <c r="BI237" s="3">
        <v>10.517079840666653</v>
      </c>
      <c r="BJ237" s="3">
        <v>10.410413173999984</v>
      </c>
      <c r="BK237" s="3">
        <v>8.5837465073333163</v>
      </c>
      <c r="BL237" s="3">
        <v>9.8570798406666569</v>
      </c>
      <c r="BM237" s="3">
        <v>9.6904131739999855</v>
      </c>
      <c r="BN237" s="3">
        <v>8.2737465073333212</v>
      </c>
      <c r="BO237" s="3">
        <v>9.040413173999994</v>
      </c>
      <c r="BP237" s="3">
        <v>8.7570798406666555</v>
      </c>
      <c r="BQ237" s="3">
        <v>11.173746507333313</v>
      </c>
      <c r="BR237" s="3">
        <v>9.7004131739999906</v>
      </c>
      <c r="BS237" s="3">
        <v>9.9037465073333237</v>
      </c>
      <c r="BT237" s="3">
        <v>11.900413173999993</v>
      </c>
      <c r="BU237" s="3">
        <v>11.767079840666653</v>
      </c>
      <c r="BV237" s="3">
        <v>12.183746507333325</v>
      </c>
      <c r="BW237" s="3">
        <v>16.317079840666658</v>
      </c>
      <c r="BX237" s="3">
        <v>15.837079840666661</v>
      </c>
      <c r="BY237" s="3">
        <v>35.857079840666657</v>
      </c>
      <c r="BZ237" s="3">
        <v>44.787079840666664</v>
      </c>
      <c r="CA237" s="3">
        <v>27.087079840666647</v>
      </c>
      <c r="CB237" s="3">
        <v>10.223746507333317</v>
      </c>
      <c r="CC237" s="3">
        <v>9.3370798406666538</v>
      </c>
      <c r="CD237" s="3">
        <v>8.6437465073333257</v>
      </c>
      <c r="CE237" s="3">
        <v>9.1370798406666509</v>
      </c>
      <c r="CF237" s="3">
        <v>-0.94958682600001509</v>
      </c>
      <c r="CG237" s="3">
        <v>-1.4829201593333465</v>
      </c>
      <c r="CH237" s="3">
        <v>-2.5595868260000145</v>
      </c>
      <c r="CI237" s="13">
        <f>[1]!dbasum(RecData[[#This Row],[20]:[2000]],RecData[[#Headers],[20]:[2000]])</f>
        <v>22.311999221786284</v>
      </c>
      <c r="CJ237" s="14">
        <v>4244</v>
      </c>
      <c r="CK237" s="15" t="s">
        <v>249</v>
      </c>
      <c r="CL237" s="15">
        <f>RecData[[#This Row],[Start Time]]</f>
        <v>43260.918761574081</v>
      </c>
      <c r="CM237" s="16">
        <f>RecData[[#This Row],[Wind Speed avg]]</f>
        <v>0.3</v>
      </c>
      <c r="CN237" s="16">
        <f>RecData[[#This Row],[Wind Dir. avg]]</f>
        <v>161.1</v>
      </c>
      <c r="CO237" s="16">
        <f>RecData[[#This Row],[Amb. Humidity]]</f>
        <v>79</v>
      </c>
      <c r="CP237" s="16">
        <f>RecData[[#This Row],[Amb. Temperature]]</f>
        <v>14.3</v>
      </c>
      <c r="CQ237" s="17">
        <f>RecData[[#This Row],[Amb. Rain Gauge]]</f>
        <v>0</v>
      </c>
      <c r="CR237" s="4" t="s">
        <v>50</v>
      </c>
      <c r="CS237" s="4" t="s">
        <v>49</v>
      </c>
      <c r="CT237" s="70">
        <v>-9.3080511090000009</v>
      </c>
      <c r="CU237" s="70">
        <v>248.00209050000001</v>
      </c>
      <c r="CV237" s="70">
        <v>1.210877776</v>
      </c>
      <c r="CW237" s="70">
        <v>0</v>
      </c>
      <c r="CX237" s="4"/>
      <c r="CY237" s="69"/>
      <c r="CZ237" s="2" t="b">
        <f>IF($DP$1="YES",IF(RecData[[#This Row],[Power (kW)]]&gt;=$CR$3, TRUE,FALSE),TRUE)</f>
        <v>0</v>
      </c>
      <c r="DA237" s="16">
        <f>MIN(MOD(180-ABS(ABS($DA$1-RecData[Yaw Angle (°)])-180),360),MOD(180-ABS(ABS($DB$1-RecData[Yaw Angle (°)])-180),360))</f>
        <v>119.52783627768753</v>
      </c>
      <c r="DB237" s="2" t="str">
        <f>IF($DP$2="None","None",IF(RecData[[#This Row],[Relative Wind Direction]]&lt;=45,"DW",IF(RecData[[#This Row],[Relative Wind Direction]]&lt;=135,"CW","UW")))</f>
        <v>CW</v>
      </c>
      <c r="DC237" s="61" t="e">
        <f>IF($CL237-#REF!&gt;1/24,#REF!,IF(SUM($CQ234:$CQ237)&gt;$DS$1,$DS$5,DC238-1))</f>
        <v>#REF!</v>
      </c>
      <c r="DD237" s="61" t="e">
        <f>IF($CL238-$CL237&gt;1/24,#REF!,IF(SUM($CQ234:$CQ237)&gt;$DS$1,$DS$6,DD236-1))</f>
        <v>#REF!</v>
      </c>
      <c r="DE237" s="18" t="b">
        <v>0</v>
      </c>
      <c r="DF237" s="2" t="b">
        <f>IF(OR(RecData[[#This Row],[WSpd_Avg '[m/s']]]-RecData[[#This Row],[Wind Speed min]]&gt;=$DF$3,RecData[[#This Row],[Wind Speed max]]-RecData[[#This Row],[WSpd_Avg '[m/s']]]&gt;=$DF$2),TRUE,FALSE)</f>
        <v>0</v>
      </c>
      <c r="DG237" s="2" t="b">
        <f>RecData[[#This Row],[Temperature '[°C']]]&lt;=-20</f>
        <v>0</v>
      </c>
      <c r="DH237" s="18" t="b">
        <f>NOT(OR(MOD(RecData[[#This Row],[TIMESTAMP]],1)&gt;0.91632,MOD(RecData[[#This Row],[TIMESTAMP]],1)&lt;0.208681))</f>
        <v>0</v>
      </c>
      <c r="DI237" s="18" t="b">
        <f>RecData[[#This Row],[Overall (dBA)]]-RecData[[#This Row],[L90]]&gt;=$DS$4</f>
        <v>0</v>
      </c>
      <c r="DJ237" s="18" t="b">
        <f>RecData[[#This Row],[Overall (dBA)]]&gt;$DS$2</f>
        <v>0</v>
      </c>
      <c r="DK237" s="18" t="b">
        <f>RecData[[#This Row],[Overall (dBA)]]&lt;$DS$3</f>
        <v>0</v>
      </c>
      <c r="DL2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7" s="2">
        <f>IF(AND(RecData[[#This Row],[Turbines ON/OFF]] = "OFF", NOT(OR(RecData[[#This Row],[Junk?]]="YES",RecData[[#This Row],[Gust?]],RecData[[#This Row],[Rain?]:[Min SPL Threshold?]]))),1,0)</f>
        <v>1</v>
      </c>
      <c r="DN237" s="16">
        <f>RecData[[#This Row],[dBA Sum]]</f>
        <v>22.311999221786284</v>
      </c>
      <c r="DO237" s="16">
        <f>RecData[[#This Row],[LAF90.0]]</f>
        <v>45.3</v>
      </c>
      <c r="DP237" s="55" t="str">
        <f>IF(AND(RecData[[#This Row],[Useable TON Data?]],RecData[[#This Row],[Turbines ON/OFF]]="ON"),RecData[[#This Row],[dBA Sum]],"")</f>
        <v/>
      </c>
      <c r="DQ237" s="55">
        <f>IF(AND(RecData[[#This Row],[Useable Background Data?]],RecData[[#This Row],[Turbines ON/OFF]]="OFF"),RecData[[#This Row],[dBA Sum]],"")</f>
        <v>22.311999221786284</v>
      </c>
      <c r="DR237" s="3">
        <f>IF(OR(RecData[[#This Row],[Useable TON Data?]],RecData[[#This Row],[Useable Background Data?]]),ROUND(RecData[[#This Row],[WSpd_Avg '[m/s']]],0),"")</f>
        <v>0</v>
      </c>
      <c r="DS237" s="85">
        <f>(0.00002)^2*(10^(RecData[[#This Row],[Overall (dBA)]]/10))</f>
        <v>6.8117690269069467E-8</v>
      </c>
    </row>
    <row r="238" spans="1:123" ht="15" x14ac:dyDescent="0.25">
      <c r="A238" s="3" t="s">
        <v>249</v>
      </c>
      <c r="B238" s="12">
        <v>43260.919456018528</v>
      </c>
      <c r="C238" s="3"/>
      <c r="D238" s="3">
        <v>46.2</v>
      </c>
      <c r="E238" s="3"/>
      <c r="F238" s="3"/>
      <c r="G238" s="3"/>
      <c r="H238" s="3"/>
      <c r="I238" s="3"/>
      <c r="J238" s="3"/>
      <c r="K238" s="3">
        <v>45</v>
      </c>
      <c r="L238" s="3"/>
      <c r="M238" s="3"/>
      <c r="N238" s="3">
        <v>151.4</v>
      </c>
      <c r="O238" s="3"/>
      <c r="P238" s="3"/>
      <c r="Q238" s="3">
        <v>0.37</v>
      </c>
      <c r="R238" s="3">
        <v>0.3</v>
      </c>
      <c r="S238" s="3">
        <v>0.5</v>
      </c>
      <c r="T238" s="3">
        <v>14.3</v>
      </c>
      <c r="U238" s="3">
        <v>79.2</v>
      </c>
      <c r="V238" s="3">
        <v>975.2</v>
      </c>
      <c r="W238" s="3">
        <v>0</v>
      </c>
      <c r="X238" s="3">
        <v>18.899999999999999</v>
      </c>
      <c r="Y238" s="3">
        <v>19.8</v>
      </c>
      <c r="Z238" s="3">
        <v>22.8</v>
      </c>
      <c r="AA238" s="3">
        <v>12.3</v>
      </c>
      <c r="AB238" s="3">
        <v>8.8000000000000007</v>
      </c>
      <c r="AC238" s="3">
        <v>6.1</v>
      </c>
      <c r="AD238" s="3">
        <v>5.9</v>
      </c>
      <c r="AE238" s="3">
        <v>6.2</v>
      </c>
      <c r="AF238" s="3">
        <v>8.1</v>
      </c>
      <c r="AG238" s="3">
        <v>8.4</v>
      </c>
      <c r="AH238" s="3">
        <v>7.2</v>
      </c>
      <c r="AI238" s="3">
        <v>9.3000000000000007</v>
      </c>
      <c r="AJ238" s="3">
        <v>8.6999999999999993</v>
      </c>
      <c r="AK238" s="3">
        <v>11</v>
      </c>
      <c r="AL238" s="3">
        <v>9.1999999999999993</v>
      </c>
      <c r="AM238" s="3">
        <v>8.8000000000000007</v>
      </c>
      <c r="AN238" s="3">
        <v>10.7</v>
      </c>
      <c r="AO238" s="3">
        <v>10</v>
      </c>
      <c r="AP238" s="3">
        <v>10</v>
      </c>
      <c r="AQ238" s="3">
        <v>15.2</v>
      </c>
      <c r="AR238" s="3">
        <v>14.5</v>
      </c>
      <c r="AS238" s="3">
        <v>35.700000000000003</v>
      </c>
      <c r="AT238" s="3">
        <v>44.4</v>
      </c>
      <c r="AU238" s="3">
        <v>19.7</v>
      </c>
      <c r="AV238" s="3">
        <v>10.1</v>
      </c>
      <c r="AW238" s="3">
        <v>9.4</v>
      </c>
      <c r="AX238" s="3">
        <v>9.4</v>
      </c>
      <c r="AY238" s="3">
        <v>9.6999999999999993</v>
      </c>
      <c r="AZ238" s="3">
        <v>0</v>
      </c>
      <c r="BA238" s="3">
        <v>0</v>
      </c>
      <c r="BB238" s="3">
        <v>0</v>
      </c>
      <c r="BC238" s="3">
        <v>46.184309119440115</v>
      </c>
      <c r="BD238" s="3">
        <v>18.915690880559879</v>
      </c>
      <c r="BE238" s="3">
        <v>19.815690880559885</v>
      </c>
      <c r="BF238" s="3">
        <v>21.57569088055989</v>
      </c>
      <c r="BG238" s="3">
        <v>11.402357547226551</v>
      </c>
      <c r="BH238" s="3">
        <v>8.0423575472265583</v>
      </c>
      <c r="BI238" s="3">
        <v>5.7556908805598894</v>
      </c>
      <c r="BJ238" s="3">
        <v>6.3490242138932231</v>
      </c>
      <c r="BK238" s="3">
        <v>6.522357547226548</v>
      </c>
      <c r="BL238" s="3">
        <v>7.9956908805598843</v>
      </c>
      <c r="BM238" s="3">
        <v>8.4290242138932214</v>
      </c>
      <c r="BN238" s="3">
        <v>7.5123575472265571</v>
      </c>
      <c r="BO238" s="3">
        <v>8.9790242138932257</v>
      </c>
      <c r="BP238" s="3">
        <v>8.0956908805598857</v>
      </c>
      <c r="BQ238" s="3">
        <v>10.812357547226547</v>
      </c>
      <c r="BR238" s="3">
        <v>9.3390242138932251</v>
      </c>
      <c r="BS238" s="3">
        <v>8.742357547226554</v>
      </c>
      <c r="BT238" s="3">
        <v>10.839024213893225</v>
      </c>
      <c r="BU238" s="3">
        <v>10.105690880559891</v>
      </c>
      <c r="BV238" s="3">
        <v>9.8223575472265523</v>
      </c>
      <c r="BW238" s="3">
        <v>15.555690880559894</v>
      </c>
      <c r="BX238" s="3">
        <v>14.775690880559893</v>
      </c>
      <c r="BY238" s="3">
        <v>35.795690880559889</v>
      </c>
      <c r="BZ238" s="3">
        <v>44.625690880559887</v>
      </c>
      <c r="CA238" s="3">
        <v>20.025690880559878</v>
      </c>
      <c r="CB238" s="3">
        <v>9.8623575472265514</v>
      </c>
      <c r="CC238" s="3">
        <v>9.3756908805598869</v>
      </c>
      <c r="CD238" s="3">
        <v>8.6823575472265588</v>
      </c>
      <c r="CE238" s="3">
        <v>9.175690880559884</v>
      </c>
      <c r="CF238" s="3">
        <v>-0.91097578610678198</v>
      </c>
      <c r="CG238" s="3">
        <v>-1.4443091194401134</v>
      </c>
      <c r="CH238" s="3">
        <v>-2.5209757861067814</v>
      </c>
      <c r="CI238" s="13">
        <f>[1]!dbasum(RecData[[#This Row],[20]:[2000]],RecData[[#Headers],[20]:[2000]])</f>
        <v>21.21882482074296</v>
      </c>
      <c r="CJ238" s="14">
        <v>4245</v>
      </c>
      <c r="CK238" s="15" t="s">
        <v>249</v>
      </c>
      <c r="CL238" s="15">
        <f>RecData[[#This Row],[Start Time]]</f>
        <v>43260.919456018528</v>
      </c>
      <c r="CM238" s="16">
        <f>RecData[[#This Row],[Wind Speed avg]]</f>
        <v>0.37</v>
      </c>
      <c r="CN238" s="16">
        <f>RecData[[#This Row],[Wind Dir. avg]]</f>
        <v>151.4</v>
      </c>
      <c r="CO238" s="16">
        <f>RecData[[#This Row],[Amb. Humidity]]</f>
        <v>79.2</v>
      </c>
      <c r="CP238" s="16">
        <f>RecData[[#This Row],[Amb. Temperature]]</f>
        <v>14.3</v>
      </c>
      <c r="CQ238" s="17">
        <f>RecData[[#This Row],[Amb. Rain Gauge]]</f>
        <v>0</v>
      </c>
      <c r="CR238" s="4" t="s">
        <v>50</v>
      </c>
      <c r="CS238" s="4" t="s">
        <v>49</v>
      </c>
      <c r="CT238" s="70">
        <v>-9.3080511090000009</v>
      </c>
      <c r="CU238" s="70">
        <v>248.00209050000001</v>
      </c>
      <c r="CV238" s="70">
        <v>1.210877776</v>
      </c>
      <c r="CW238" s="70">
        <v>0</v>
      </c>
      <c r="CX238" s="4"/>
      <c r="CY238" s="69"/>
      <c r="CZ238" s="2" t="b">
        <f>IF($DP$1="YES",IF(RecData[[#This Row],[Power (kW)]]&gt;=$CR$3, TRUE,FALSE),TRUE)</f>
        <v>0</v>
      </c>
      <c r="DA238" s="16">
        <f>MIN(MOD(180-ABS(ABS($DA$1-RecData[Yaw Angle (°)])-180),360),MOD(180-ABS(ABS($DB$1-RecData[Yaw Angle (°)])-180),360))</f>
        <v>119.52783627768753</v>
      </c>
      <c r="DB238" s="2" t="str">
        <f>IF($DP$2="None","None",IF(RecData[[#This Row],[Relative Wind Direction]]&lt;=45,"DW",IF(RecData[[#This Row],[Relative Wind Direction]]&lt;=135,"CW","UW")))</f>
        <v>CW</v>
      </c>
      <c r="DC238" s="61">
        <f>IF($CL238-$CL234&gt;1/24,#REF!,IF(SUM($CQ234:$CQ238)&gt;$DS$1,$DS$5,DC239-1))</f>
        <v>-5</v>
      </c>
      <c r="DD238" s="61" t="e">
        <f>IF($CL239-$CL238&gt;1/24,#REF!,IF(SUM($CQ234:$CQ238)&gt;$DS$1,$DS$6,DD237-1))</f>
        <v>#REF!</v>
      </c>
      <c r="DE238" s="18" t="b">
        <v>0</v>
      </c>
      <c r="DF238" s="2" t="b">
        <f>IF(OR(RecData[[#This Row],[WSpd_Avg '[m/s']]]-RecData[[#This Row],[Wind Speed min]]&gt;=$DF$3,RecData[[#This Row],[Wind Speed max]]-RecData[[#This Row],[WSpd_Avg '[m/s']]]&gt;=$DF$2),TRUE,FALSE)</f>
        <v>0</v>
      </c>
      <c r="DG238" s="2" t="b">
        <f>RecData[[#This Row],[Temperature '[°C']]]&lt;=-20</f>
        <v>0</v>
      </c>
      <c r="DH238" s="18" t="b">
        <f>NOT(OR(MOD(RecData[[#This Row],[TIMESTAMP]],1)&gt;0.91632,MOD(RecData[[#This Row],[TIMESTAMP]],1)&lt;0.208681))</f>
        <v>0</v>
      </c>
      <c r="DI238" s="18" t="b">
        <f>RecData[[#This Row],[Overall (dBA)]]-RecData[[#This Row],[L90]]&gt;=$DS$4</f>
        <v>0</v>
      </c>
      <c r="DJ238" s="18" t="b">
        <f>RecData[[#This Row],[Overall (dBA)]]&gt;$DS$2</f>
        <v>0</v>
      </c>
      <c r="DK238" s="18" t="b">
        <f>RecData[[#This Row],[Overall (dBA)]]&lt;$DS$3</f>
        <v>0</v>
      </c>
      <c r="DL2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8" s="2">
        <f>IF(AND(RecData[[#This Row],[Turbines ON/OFF]] = "OFF", NOT(OR(RecData[[#This Row],[Junk?]]="YES",RecData[[#This Row],[Gust?]],RecData[[#This Row],[Rain?]:[Min SPL Threshold?]]))),1,0)</f>
        <v>1</v>
      </c>
      <c r="DN238" s="16">
        <f>RecData[[#This Row],[dBA Sum]]</f>
        <v>21.21882482074296</v>
      </c>
      <c r="DO238" s="16">
        <f>RecData[[#This Row],[LAF90.0]]</f>
        <v>45</v>
      </c>
      <c r="DP238" s="55" t="str">
        <f>IF(AND(RecData[[#This Row],[Useable TON Data?]],RecData[[#This Row],[Turbines ON/OFF]]="ON"),RecData[[#This Row],[dBA Sum]],"")</f>
        <v/>
      </c>
      <c r="DQ238" s="55">
        <f>IF(AND(RecData[[#This Row],[Useable Background Data?]],RecData[[#This Row],[Turbines ON/OFF]]="OFF"),RecData[[#This Row],[dBA Sum]],"")</f>
        <v>21.21882482074296</v>
      </c>
      <c r="DR238" s="3">
        <f>IF(OR(RecData[[#This Row],[Useable TON Data?]],RecData[[#This Row],[Useable Background Data?]]),ROUND(RecData[[#This Row],[WSpd_Avg '[m/s']]],0),"")</f>
        <v>0</v>
      </c>
      <c r="DS238" s="85">
        <f>(0.00002)^2*(10^(RecData[[#This Row],[Overall (dBA)]]/10))</f>
        <v>5.2959328937847608E-8</v>
      </c>
    </row>
    <row r="239" spans="1:123" ht="15" x14ac:dyDescent="0.25">
      <c r="A239" s="3" t="s">
        <v>249</v>
      </c>
      <c r="B239" s="12">
        <v>43260.920150462967</v>
      </c>
      <c r="C239" s="3"/>
      <c r="D239" s="3">
        <v>46.6</v>
      </c>
      <c r="E239" s="3"/>
      <c r="F239" s="3"/>
      <c r="G239" s="3"/>
      <c r="H239" s="3"/>
      <c r="I239" s="3"/>
      <c r="J239" s="3"/>
      <c r="K239" s="3">
        <v>45.5</v>
      </c>
      <c r="L239" s="3"/>
      <c r="M239" s="3"/>
      <c r="N239" s="3">
        <v>139.4</v>
      </c>
      <c r="O239" s="3"/>
      <c r="P239" s="3"/>
      <c r="Q239" s="3">
        <v>0.37</v>
      </c>
      <c r="R239" s="3">
        <v>0.2</v>
      </c>
      <c r="S239" s="3">
        <v>0.5</v>
      </c>
      <c r="T239" s="3">
        <v>14.2</v>
      </c>
      <c r="U239" s="3">
        <v>79.3</v>
      </c>
      <c r="V239" s="3">
        <v>975.2</v>
      </c>
      <c r="W239" s="3">
        <v>0</v>
      </c>
      <c r="X239" s="3">
        <v>18.3</v>
      </c>
      <c r="Y239" s="3">
        <v>19</v>
      </c>
      <c r="Z239" s="3">
        <v>22.5</v>
      </c>
      <c r="AA239" s="3">
        <v>13.2</v>
      </c>
      <c r="AB239" s="3">
        <v>11.1</v>
      </c>
      <c r="AC239" s="3">
        <v>8.4</v>
      </c>
      <c r="AD239" s="3">
        <v>7.5</v>
      </c>
      <c r="AE239" s="3">
        <v>7.4</v>
      </c>
      <c r="AF239" s="3">
        <v>9.8000000000000007</v>
      </c>
      <c r="AG239" s="3">
        <v>8.9</v>
      </c>
      <c r="AH239" s="3">
        <v>7.7</v>
      </c>
      <c r="AI239" s="3">
        <v>8.6</v>
      </c>
      <c r="AJ239" s="3">
        <v>9</v>
      </c>
      <c r="AK239" s="3">
        <v>10.9</v>
      </c>
      <c r="AL239" s="3">
        <v>9.1</v>
      </c>
      <c r="AM239" s="3">
        <v>9.8000000000000007</v>
      </c>
      <c r="AN239" s="3">
        <v>10.4</v>
      </c>
      <c r="AO239" s="3">
        <v>9.6999999999999993</v>
      </c>
      <c r="AP239" s="3">
        <v>10.199999999999999</v>
      </c>
      <c r="AQ239" s="3">
        <v>15.7</v>
      </c>
      <c r="AR239" s="3">
        <v>13</v>
      </c>
      <c r="AS239" s="3">
        <v>36.200000000000003</v>
      </c>
      <c r="AT239" s="3">
        <v>44.8</v>
      </c>
      <c r="AU239" s="3">
        <v>19.899999999999999</v>
      </c>
      <c r="AV239" s="3">
        <v>10.3</v>
      </c>
      <c r="AW239" s="3">
        <v>9.4</v>
      </c>
      <c r="AX239" s="3">
        <v>9.4</v>
      </c>
      <c r="AY239" s="3">
        <v>9.6</v>
      </c>
      <c r="AZ239" s="3">
        <v>0</v>
      </c>
      <c r="BA239" s="3">
        <v>0</v>
      </c>
      <c r="BB239" s="3">
        <v>0</v>
      </c>
      <c r="BC239" s="3">
        <v>46.593936826123937</v>
      </c>
      <c r="BD239" s="3">
        <v>18.306063173876069</v>
      </c>
      <c r="BE239" s="3">
        <v>19.006063173876058</v>
      </c>
      <c r="BF239" s="3">
        <v>21.266063173876063</v>
      </c>
      <c r="BG239" s="3">
        <v>12.292729840542727</v>
      </c>
      <c r="BH239" s="3">
        <v>10.332729840542733</v>
      </c>
      <c r="BI239" s="3">
        <v>8.046063173876064</v>
      </c>
      <c r="BJ239" s="3">
        <v>7.9393965072093948</v>
      </c>
      <c r="BK239" s="3">
        <v>7.7127298405427283</v>
      </c>
      <c r="BL239" s="3">
        <v>9.6860631738760645</v>
      </c>
      <c r="BM239" s="3">
        <v>8.9193965072093988</v>
      </c>
      <c r="BN239" s="3">
        <v>8.0027298405427345</v>
      </c>
      <c r="BO239" s="3">
        <v>8.2693965072094002</v>
      </c>
      <c r="BP239" s="3">
        <v>8.3860631738760674</v>
      </c>
      <c r="BQ239" s="3">
        <v>10.702729840542723</v>
      </c>
      <c r="BR239" s="3">
        <v>9.2293965072094011</v>
      </c>
      <c r="BS239" s="3">
        <v>9.7327298405427314</v>
      </c>
      <c r="BT239" s="3">
        <v>10.529396507209398</v>
      </c>
      <c r="BU239" s="3">
        <v>9.796063173876064</v>
      </c>
      <c r="BV239" s="3">
        <v>10.012729840542733</v>
      </c>
      <c r="BW239" s="3">
        <v>16.046063173876064</v>
      </c>
      <c r="BX239" s="3">
        <v>13.26606317387607</v>
      </c>
      <c r="BY239" s="3">
        <v>36.286063173876059</v>
      </c>
      <c r="BZ239" s="3">
        <v>45.016063173876063</v>
      </c>
      <c r="CA239" s="3">
        <v>20.216063173876051</v>
      </c>
      <c r="CB239" s="3">
        <v>10.052729840542732</v>
      </c>
      <c r="CC239" s="3">
        <v>9.3660631738760642</v>
      </c>
      <c r="CD239" s="3">
        <v>8.6727298405427362</v>
      </c>
      <c r="CE239" s="3">
        <v>9.06606317387606</v>
      </c>
      <c r="CF239" s="3">
        <v>-0.92060349279060461</v>
      </c>
      <c r="CG239" s="3">
        <v>-1.453936826123936</v>
      </c>
      <c r="CH239" s="3">
        <v>-2.530603492790604</v>
      </c>
      <c r="CI239" s="13">
        <f>[1]!dbasum(RecData[[#This Row],[20]:[2000]],RecData[[#Headers],[20]:[2000]])</f>
        <v>21.018847313620995</v>
      </c>
      <c r="CJ239" s="14">
        <v>4246</v>
      </c>
      <c r="CK239" s="15" t="s">
        <v>249</v>
      </c>
      <c r="CL239" s="15">
        <f>RecData[[#This Row],[Start Time]]</f>
        <v>43260.920150462967</v>
      </c>
      <c r="CM239" s="16">
        <f>RecData[[#This Row],[Wind Speed avg]]</f>
        <v>0.37</v>
      </c>
      <c r="CN239" s="16">
        <f>RecData[[#This Row],[Wind Dir. avg]]</f>
        <v>139.4</v>
      </c>
      <c r="CO239" s="16">
        <f>RecData[[#This Row],[Amb. Humidity]]</f>
        <v>79.3</v>
      </c>
      <c r="CP239" s="16">
        <f>RecData[[#This Row],[Amb. Temperature]]</f>
        <v>14.2</v>
      </c>
      <c r="CQ239" s="17">
        <f>RecData[[#This Row],[Amb. Rain Gauge]]</f>
        <v>0</v>
      </c>
      <c r="CR239" s="4" t="s">
        <v>50</v>
      </c>
      <c r="CS239" s="4" t="s">
        <v>49</v>
      </c>
      <c r="CT239" s="70">
        <v>-9.3080511090000009</v>
      </c>
      <c r="CU239" s="70">
        <v>248.00209050000001</v>
      </c>
      <c r="CV239" s="70">
        <v>1.210877776</v>
      </c>
      <c r="CW239" s="70">
        <v>0</v>
      </c>
      <c r="CX239" s="4"/>
      <c r="CY239" s="69"/>
      <c r="CZ239" s="2" t="b">
        <f>IF($DP$1="YES",IF(RecData[[#This Row],[Power (kW)]]&gt;=$CR$3, TRUE,FALSE),TRUE)</f>
        <v>0</v>
      </c>
      <c r="DA239" s="16">
        <f>MIN(MOD(180-ABS(ABS($DA$1-RecData[Yaw Angle (°)])-180),360),MOD(180-ABS(ABS($DB$1-RecData[Yaw Angle (°)])-180),360))</f>
        <v>119.52783627768753</v>
      </c>
      <c r="DB239" s="2" t="str">
        <f>IF($DP$2="None","None",IF(RecData[[#This Row],[Relative Wind Direction]]&lt;=45,"DW",IF(RecData[[#This Row],[Relative Wind Direction]]&lt;=135,"CW","UW")))</f>
        <v>CW</v>
      </c>
      <c r="DC239" s="61">
        <f>IF($CL239-$CL235&gt;1/24,#REF!,IF(SUM($CQ235:$CQ239)&gt;$DS$1,$DS$5,DC240-1))</f>
        <v>-4</v>
      </c>
      <c r="DD239" s="61" t="e">
        <f>IF($CL240-$CL239&gt;1/24,#REF!,IF(SUM($CQ235:$CQ239)&gt;$DS$1,$DS$6,DD238-1))</f>
        <v>#REF!</v>
      </c>
      <c r="DE239" s="18" t="b">
        <v>0</v>
      </c>
      <c r="DF239" s="2" t="b">
        <f>IF(OR(RecData[[#This Row],[WSpd_Avg '[m/s']]]-RecData[[#This Row],[Wind Speed min]]&gt;=$DF$3,RecData[[#This Row],[Wind Speed max]]-RecData[[#This Row],[WSpd_Avg '[m/s']]]&gt;=$DF$2),TRUE,FALSE)</f>
        <v>0</v>
      </c>
      <c r="DG239" s="2" t="b">
        <f>RecData[[#This Row],[Temperature '[°C']]]&lt;=-20</f>
        <v>0</v>
      </c>
      <c r="DH239" s="18" t="b">
        <f>NOT(OR(MOD(RecData[[#This Row],[TIMESTAMP]],1)&gt;0.91632,MOD(RecData[[#This Row],[TIMESTAMP]],1)&lt;0.208681))</f>
        <v>0</v>
      </c>
      <c r="DI239" s="18" t="b">
        <f>RecData[[#This Row],[Overall (dBA)]]-RecData[[#This Row],[L90]]&gt;=$DS$4</f>
        <v>0</v>
      </c>
      <c r="DJ239" s="18" t="b">
        <f>RecData[[#This Row],[Overall (dBA)]]&gt;$DS$2</f>
        <v>0</v>
      </c>
      <c r="DK239" s="18" t="b">
        <f>RecData[[#This Row],[Overall (dBA)]]&lt;$DS$3</f>
        <v>0</v>
      </c>
      <c r="DL2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39" s="2">
        <f>IF(AND(RecData[[#This Row],[Turbines ON/OFF]] = "OFF", NOT(OR(RecData[[#This Row],[Junk?]]="YES",RecData[[#This Row],[Gust?]],RecData[[#This Row],[Rain?]:[Min SPL Threshold?]]))),1,0)</f>
        <v>1</v>
      </c>
      <c r="DN239" s="16">
        <f>RecData[[#This Row],[dBA Sum]]</f>
        <v>21.018847313620995</v>
      </c>
      <c r="DO239" s="16">
        <f>RecData[[#This Row],[LAF90.0]]</f>
        <v>45.5</v>
      </c>
      <c r="DP239" s="55" t="str">
        <f>IF(AND(RecData[[#This Row],[Useable TON Data?]],RecData[[#This Row],[Turbines ON/OFF]]="ON"),RecData[[#This Row],[dBA Sum]],"")</f>
        <v/>
      </c>
      <c r="DQ239" s="55">
        <f>IF(AND(RecData[[#This Row],[Useable Background Data?]],RecData[[#This Row],[Turbines ON/OFF]]="OFF"),RecData[[#This Row],[dBA Sum]],"")</f>
        <v>21.018847313620995</v>
      </c>
      <c r="DR239" s="3">
        <f>IF(OR(RecData[[#This Row],[Useable TON Data?]],RecData[[#This Row],[Useable Background Data?]]),ROUND(RecData[[#This Row],[WSpd_Avg '[m/s']]],0),"")</f>
        <v>0</v>
      </c>
      <c r="DS239" s="85">
        <f>(0.00002)^2*(10^(RecData[[#This Row],[Overall (dBA)]]/10))</f>
        <v>5.0576028437817968E-8</v>
      </c>
    </row>
    <row r="240" spans="1:123" ht="15" x14ac:dyDescent="0.25">
      <c r="A240" s="3" t="s">
        <v>249</v>
      </c>
      <c r="B240" s="12">
        <v>43260.920844907414</v>
      </c>
      <c r="C240" s="3"/>
      <c r="D240" s="3">
        <v>46.2</v>
      </c>
      <c r="E240" s="3"/>
      <c r="F240" s="3"/>
      <c r="G240" s="3"/>
      <c r="H240" s="3"/>
      <c r="I240" s="3"/>
      <c r="J240" s="3"/>
      <c r="K240" s="3">
        <v>45.1</v>
      </c>
      <c r="L240" s="3"/>
      <c r="M240" s="3"/>
      <c r="N240" s="3">
        <v>119.5</v>
      </c>
      <c r="O240" s="3"/>
      <c r="P240" s="3"/>
      <c r="Q240" s="3">
        <v>0.4</v>
      </c>
      <c r="R240" s="3">
        <v>0.2</v>
      </c>
      <c r="S240" s="3">
        <v>0.5</v>
      </c>
      <c r="T240" s="3">
        <v>14.2</v>
      </c>
      <c r="U240" s="3">
        <v>79.5</v>
      </c>
      <c r="V240" s="3">
        <v>975.2</v>
      </c>
      <c r="W240" s="3">
        <v>0</v>
      </c>
      <c r="X240" s="3">
        <v>19.3</v>
      </c>
      <c r="Y240" s="3">
        <v>17.7</v>
      </c>
      <c r="Z240" s="3">
        <v>21</v>
      </c>
      <c r="AA240" s="3">
        <v>13.3</v>
      </c>
      <c r="AB240" s="3">
        <v>9.6999999999999993</v>
      </c>
      <c r="AC240" s="3">
        <v>7.9</v>
      </c>
      <c r="AD240" s="3">
        <v>9.3000000000000007</v>
      </c>
      <c r="AE240" s="3">
        <v>8.4</v>
      </c>
      <c r="AF240" s="3">
        <v>10.8</v>
      </c>
      <c r="AG240" s="3">
        <v>6.2</v>
      </c>
      <c r="AH240" s="3">
        <v>7.6</v>
      </c>
      <c r="AI240" s="3">
        <v>8.3000000000000007</v>
      </c>
      <c r="AJ240" s="3">
        <v>8.9</v>
      </c>
      <c r="AK240" s="3">
        <v>10.9</v>
      </c>
      <c r="AL240" s="3">
        <v>10.199999999999999</v>
      </c>
      <c r="AM240" s="3">
        <v>8.3000000000000007</v>
      </c>
      <c r="AN240" s="3">
        <v>10.199999999999999</v>
      </c>
      <c r="AO240" s="3">
        <v>9.6999999999999993</v>
      </c>
      <c r="AP240" s="3">
        <v>10</v>
      </c>
      <c r="AQ240" s="3">
        <v>16</v>
      </c>
      <c r="AR240" s="3">
        <v>16.5</v>
      </c>
      <c r="AS240" s="3">
        <v>35.700000000000003</v>
      </c>
      <c r="AT240" s="3">
        <v>44.4</v>
      </c>
      <c r="AU240" s="3">
        <v>20.2</v>
      </c>
      <c r="AV240" s="3">
        <v>10.3</v>
      </c>
      <c r="AW240" s="3">
        <v>9.4</v>
      </c>
      <c r="AX240" s="3">
        <v>9.4</v>
      </c>
      <c r="AY240" s="3">
        <v>9.6</v>
      </c>
      <c r="AZ240" s="3">
        <v>0</v>
      </c>
      <c r="BA240" s="3">
        <v>0</v>
      </c>
      <c r="BB240" s="3">
        <v>0</v>
      </c>
      <c r="BC240" s="3">
        <v>46.188841049257896</v>
      </c>
      <c r="BD240" s="3">
        <v>19.311158950742104</v>
      </c>
      <c r="BE240" s="3">
        <v>17.71115895074211</v>
      </c>
      <c r="BF240" s="3">
        <v>19.771158950742112</v>
      </c>
      <c r="BG240" s="3">
        <v>12.39782561740877</v>
      </c>
      <c r="BH240" s="3">
        <v>8.9378256174087767</v>
      </c>
      <c r="BI240" s="3">
        <v>7.5511589507421064</v>
      </c>
      <c r="BJ240" s="3">
        <v>9.7444922840754415</v>
      </c>
      <c r="BK240" s="3">
        <v>8.7178256174087707</v>
      </c>
      <c r="BL240" s="3">
        <v>10.691158950742107</v>
      </c>
      <c r="BM240" s="3">
        <v>6.2244922840754455</v>
      </c>
      <c r="BN240" s="3">
        <v>7.9078256174087755</v>
      </c>
      <c r="BO240" s="3">
        <v>7.9744922840754455</v>
      </c>
      <c r="BP240" s="3">
        <v>8.2911589507421084</v>
      </c>
      <c r="BQ240" s="3">
        <v>10.707825617408766</v>
      </c>
      <c r="BR240" s="3">
        <v>10.334492284075445</v>
      </c>
      <c r="BS240" s="3">
        <v>8.2378256174087738</v>
      </c>
      <c r="BT240" s="3">
        <v>10.334492284075445</v>
      </c>
      <c r="BU240" s="3">
        <v>9.8011589507421135</v>
      </c>
      <c r="BV240" s="3">
        <v>9.8178256174087721</v>
      </c>
      <c r="BW240" s="3">
        <v>16.351158950742111</v>
      </c>
      <c r="BX240" s="3">
        <v>16.771158950742112</v>
      </c>
      <c r="BY240" s="3">
        <v>35.791158950742108</v>
      </c>
      <c r="BZ240" s="3">
        <v>44.621158950742107</v>
      </c>
      <c r="CA240" s="3">
        <v>20.521158950742098</v>
      </c>
      <c r="CB240" s="3">
        <v>10.057825617408774</v>
      </c>
      <c r="CC240" s="3">
        <v>9.3711589507421067</v>
      </c>
      <c r="CD240" s="3">
        <v>8.6778256174087787</v>
      </c>
      <c r="CE240" s="3">
        <v>9.0711589507421095</v>
      </c>
      <c r="CF240" s="3">
        <v>-0.91550771592456215</v>
      </c>
      <c r="CG240" s="3">
        <v>-1.4488410492578936</v>
      </c>
      <c r="CH240" s="3">
        <v>-2.5255077159245616</v>
      </c>
      <c r="CI240" s="13">
        <f>[1]!dbasum(RecData[[#This Row],[20]:[2000]],RecData[[#Headers],[20]:[2000]])</f>
        <v>22.124780759094573</v>
      </c>
      <c r="CJ240" s="14">
        <v>4247</v>
      </c>
      <c r="CK240" s="15" t="s">
        <v>249</v>
      </c>
      <c r="CL240" s="15">
        <f>RecData[[#This Row],[Start Time]]</f>
        <v>43260.920844907414</v>
      </c>
      <c r="CM240" s="16">
        <f>RecData[[#This Row],[Wind Speed avg]]</f>
        <v>0.4</v>
      </c>
      <c r="CN240" s="16">
        <f>RecData[[#This Row],[Wind Dir. avg]]</f>
        <v>119.5</v>
      </c>
      <c r="CO240" s="16">
        <f>RecData[[#This Row],[Amb. Humidity]]</f>
        <v>79.5</v>
      </c>
      <c r="CP240" s="16">
        <f>RecData[[#This Row],[Amb. Temperature]]</f>
        <v>14.2</v>
      </c>
      <c r="CQ240" s="17">
        <f>RecData[[#This Row],[Amb. Rain Gauge]]</f>
        <v>0</v>
      </c>
      <c r="CR240" s="4" t="s">
        <v>50</v>
      </c>
      <c r="CS240" s="4" t="s">
        <v>49</v>
      </c>
      <c r="CT240" s="70">
        <v>-9.3080511090000009</v>
      </c>
      <c r="CU240" s="70">
        <v>248.00209050000001</v>
      </c>
      <c r="CV240" s="70">
        <v>1.210877776</v>
      </c>
      <c r="CW240" s="70">
        <v>0</v>
      </c>
      <c r="CX240" s="4"/>
      <c r="CY240" s="69"/>
      <c r="CZ240" s="2" t="b">
        <f>IF($DP$1="YES",IF(RecData[[#This Row],[Power (kW)]]&gt;=$CR$3, TRUE,FALSE),TRUE)</f>
        <v>0</v>
      </c>
      <c r="DA240" s="16">
        <f>MIN(MOD(180-ABS(ABS($DA$1-RecData[Yaw Angle (°)])-180),360),MOD(180-ABS(ABS($DB$1-RecData[Yaw Angle (°)])-180),360))</f>
        <v>119.52783627768753</v>
      </c>
      <c r="DB240" s="2" t="str">
        <f>IF($DP$2="None","None",IF(RecData[[#This Row],[Relative Wind Direction]]&lt;=45,"DW",IF(RecData[[#This Row],[Relative Wind Direction]]&lt;=135,"CW","UW")))</f>
        <v>CW</v>
      </c>
      <c r="DC240" s="61">
        <f>IF($CL240-$CL236&gt;1/24,#REF!,IF(SUM($CQ236:$CQ240)&gt;$DS$1,$DS$5,DC241-1))</f>
        <v>-3</v>
      </c>
      <c r="DD240" s="61" t="e">
        <f>IF($CL241-$CL240&gt;1/24,#REF!,IF(SUM($CQ236:$CQ240)&gt;$DS$1,$DS$6,DD239-1))</f>
        <v>#REF!</v>
      </c>
      <c r="DE240" s="18" t="b">
        <v>0</v>
      </c>
      <c r="DF240" s="2" t="b">
        <f>IF(OR(RecData[[#This Row],[WSpd_Avg '[m/s']]]-RecData[[#This Row],[Wind Speed min]]&gt;=$DF$3,RecData[[#This Row],[Wind Speed max]]-RecData[[#This Row],[WSpd_Avg '[m/s']]]&gt;=$DF$2),TRUE,FALSE)</f>
        <v>0</v>
      </c>
      <c r="DG240" s="2" t="b">
        <f>RecData[[#This Row],[Temperature '[°C']]]&lt;=-20</f>
        <v>0</v>
      </c>
      <c r="DH240" s="18" t="b">
        <f>NOT(OR(MOD(RecData[[#This Row],[TIMESTAMP]],1)&gt;0.91632,MOD(RecData[[#This Row],[TIMESTAMP]],1)&lt;0.208681))</f>
        <v>0</v>
      </c>
      <c r="DI240" s="18" t="b">
        <f>RecData[[#This Row],[Overall (dBA)]]-RecData[[#This Row],[L90]]&gt;=$DS$4</f>
        <v>0</v>
      </c>
      <c r="DJ240" s="18" t="b">
        <f>RecData[[#This Row],[Overall (dBA)]]&gt;$DS$2</f>
        <v>0</v>
      </c>
      <c r="DK240" s="18" t="b">
        <f>RecData[[#This Row],[Overall (dBA)]]&lt;$DS$3</f>
        <v>0</v>
      </c>
      <c r="DL2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0" s="2">
        <f>IF(AND(RecData[[#This Row],[Turbines ON/OFF]] = "OFF", NOT(OR(RecData[[#This Row],[Junk?]]="YES",RecData[[#This Row],[Gust?]],RecData[[#This Row],[Rain?]:[Min SPL Threshold?]]))),1,0)</f>
        <v>1</v>
      </c>
      <c r="DN240" s="16">
        <f>RecData[[#This Row],[dBA Sum]]</f>
        <v>22.124780759094573</v>
      </c>
      <c r="DO240" s="16">
        <f>RecData[[#This Row],[LAF90.0]]</f>
        <v>45.1</v>
      </c>
      <c r="DP240" s="55" t="str">
        <f>IF(AND(RecData[[#This Row],[Useable TON Data?]],RecData[[#This Row],[Turbines ON/OFF]]="ON"),RecData[[#This Row],[dBA Sum]],"")</f>
        <v/>
      </c>
      <c r="DQ240" s="55">
        <f>IF(AND(RecData[[#This Row],[Useable Background Data?]],RecData[[#This Row],[Turbines ON/OFF]]="OFF"),RecData[[#This Row],[dBA Sum]],"")</f>
        <v>22.124780759094573</v>
      </c>
      <c r="DR240" s="3">
        <f>IF(OR(RecData[[#This Row],[Useable TON Data?]],RecData[[#This Row],[Useable Background Data?]]),ROUND(RecData[[#This Row],[WSpd_Avg '[m/s']]],0),"")</f>
        <v>0</v>
      </c>
      <c r="DS240" s="85">
        <f>(0.00002)^2*(10^(RecData[[#This Row],[Overall (dBA)]]/10))</f>
        <v>6.5243622651934277E-8</v>
      </c>
    </row>
    <row r="241" spans="1:123" ht="15" x14ac:dyDescent="0.25">
      <c r="A241" s="3" t="s">
        <v>249</v>
      </c>
      <c r="B241" s="12">
        <v>43260.921539351861</v>
      </c>
      <c r="C241" s="3"/>
      <c r="D241" s="3">
        <v>46.3</v>
      </c>
      <c r="E241" s="3"/>
      <c r="F241" s="3"/>
      <c r="G241" s="3"/>
      <c r="H241" s="3"/>
      <c r="I241" s="3"/>
      <c r="J241" s="3"/>
      <c r="K241" s="3">
        <v>45.2</v>
      </c>
      <c r="L241" s="3"/>
      <c r="M241" s="3"/>
      <c r="N241" s="3">
        <v>124.9</v>
      </c>
      <c r="O241" s="3"/>
      <c r="P241" s="3"/>
      <c r="Q241" s="3">
        <v>0.38</v>
      </c>
      <c r="R241" s="3">
        <v>0.1</v>
      </c>
      <c r="S241" s="3">
        <v>0.5</v>
      </c>
      <c r="T241" s="3">
        <v>14.2</v>
      </c>
      <c r="U241" s="3">
        <v>79.400000000000006</v>
      </c>
      <c r="V241" s="3">
        <v>975.2</v>
      </c>
      <c r="W241" s="3">
        <v>0</v>
      </c>
      <c r="X241" s="3">
        <v>17.7</v>
      </c>
      <c r="Y241" s="3">
        <v>15.7</v>
      </c>
      <c r="Z241" s="3">
        <v>19.399999999999999</v>
      </c>
      <c r="AA241" s="3">
        <v>10.9</v>
      </c>
      <c r="AB241" s="3">
        <v>9.5</v>
      </c>
      <c r="AC241" s="3">
        <v>8.1999999999999993</v>
      </c>
      <c r="AD241" s="3">
        <v>10.199999999999999</v>
      </c>
      <c r="AE241" s="3">
        <v>9.4</v>
      </c>
      <c r="AF241" s="3">
        <v>12</v>
      </c>
      <c r="AG241" s="3">
        <v>6.4</v>
      </c>
      <c r="AH241" s="3">
        <v>7.5</v>
      </c>
      <c r="AI241" s="3">
        <v>8.5</v>
      </c>
      <c r="AJ241" s="3">
        <v>8.6999999999999993</v>
      </c>
      <c r="AK241" s="3">
        <v>10.7</v>
      </c>
      <c r="AL241" s="3">
        <v>9.1999999999999993</v>
      </c>
      <c r="AM241" s="3">
        <v>8.6999999999999993</v>
      </c>
      <c r="AN241" s="3">
        <v>10.1</v>
      </c>
      <c r="AO241" s="3">
        <v>9.5</v>
      </c>
      <c r="AP241" s="3">
        <v>9.8000000000000007</v>
      </c>
      <c r="AQ241" s="3">
        <v>16.2</v>
      </c>
      <c r="AR241" s="3">
        <v>22.5</v>
      </c>
      <c r="AS241" s="3">
        <v>35.4</v>
      </c>
      <c r="AT241" s="3">
        <v>44.5</v>
      </c>
      <c r="AU241" s="3">
        <v>20.3</v>
      </c>
      <c r="AV241" s="3">
        <v>10.3</v>
      </c>
      <c r="AW241" s="3">
        <v>9.4</v>
      </c>
      <c r="AX241" s="3">
        <v>9.5</v>
      </c>
      <c r="AY241" s="3">
        <v>9.6999999999999993</v>
      </c>
      <c r="AZ241" s="3">
        <v>0</v>
      </c>
      <c r="BA241" s="3">
        <v>0</v>
      </c>
      <c r="BB241" s="3">
        <v>0</v>
      </c>
      <c r="BC241" s="3">
        <v>46.260580360202084</v>
      </c>
      <c r="BD241" s="3">
        <v>17.739419639797916</v>
      </c>
      <c r="BE241" s="3">
        <v>15.739419639797916</v>
      </c>
      <c r="BF241" s="3">
        <v>18.19941963979791</v>
      </c>
      <c r="BG241" s="3">
        <v>10.026086306464578</v>
      </c>
      <c r="BH241" s="3">
        <v>8.7660863064645795</v>
      </c>
      <c r="BI241" s="3">
        <v>7.8794196397979164</v>
      </c>
      <c r="BJ241" s="3">
        <v>10.672752973131246</v>
      </c>
      <c r="BK241" s="3">
        <v>9.7460863064645764</v>
      </c>
      <c r="BL241" s="3">
        <v>11.919419639797916</v>
      </c>
      <c r="BM241" s="3">
        <v>6.452752973131247</v>
      </c>
      <c r="BN241" s="3">
        <v>7.8360863064645798</v>
      </c>
      <c r="BO241" s="3">
        <v>8.202752973131247</v>
      </c>
      <c r="BP241" s="3">
        <v>8.1194196397979113</v>
      </c>
      <c r="BQ241" s="3">
        <v>10.536086306464568</v>
      </c>
      <c r="BR241" s="3">
        <v>9.3627529731312507</v>
      </c>
      <c r="BS241" s="3">
        <v>8.6660863064645781</v>
      </c>
      <c r="BT241" s="3">
        <v>10.262752973131249</v>
      </c>
      <c r="BU241" s="3">
        <v>9.6294196397979164</v>
      </c>
      <c r="BV241" s="3">
        <v>9.6460863064645821</v>
      </c>
      <c r="BW241" s="3">
        <v>16.579419639797919</v>
      </c>
      <c r="BX241" s="3">
        <v>22.799419639797918</v>
      </c>
      <c r="BY241" s="3">
        <v>35.519419639797917</v>
      </c>
      <c r="BZ241" s="3">
        <v>44.749419639797907</v>
      </c>
      <c r="CA241" s="3">
        <v>20.649419639797912</v>
      </c>
      <c r="CB241" s="3">
        <v>10.08608630646458</v>
      </c>
      <c r="CC241" s="3">
        <v>9.3994196397979124</v>
      </c>
      <c r="CD241" s="3">
        <v>8.8060863064645858</v>
      </c>
      <c r="CE241" s="3">
        <v>9.1994196397979096</v>
      </c>
      <c r="CF241" s="3">
        <v>-0.88724702686875645</v>
      </c>
      <c r="CG241" s="3">
        <v>-1.4205803602020879</v>
      </c>
      <c r="CH241" s="3">
        <v>-2.4972470268687559</v>
      </c>
      <c r="CI241" s="13">
        <f>[1]!dbasum(RecData[[#This Row],[20]:[2000]],RecData[[#Headers],[20]:[2000]])</f>
        <v>25.475839219950622</v>
      </c>
      <c r="CJ241" s="14">
        <v>4248</v>
      </c>
      <c r="CK241" s="15" t="s">
        <v>249</v>
      </c>
      <c r="CL241" s="15">
        <f>RecData[[#This Row],[Start Time]]</f>
        <v>43260.921539351861</v>
      </c>
      <c r="CM241" s="16">
        <f>RecData[[#This Row],[Wind Speed avg]]</f>
        <v>0.38</v>
      </c>
      <c r="CN241" s="16">
        <f>RecData[[#This Row],[Wind Dir. avg]]</f>
        <v>124.9</v>
      </c>
      <c r="CO241" s="16">
        <f>RecData[[#This Row],[Amb. Humidity]]</f>
        <v>79.400000000000006</v>
      </c>
      <c r="CP241" s="16">
        <f>RecData[[#This Row],[Amb. Temperature]]</f>
        <v>14.2</v>
      </c>
      <c r="CQ241" s="17">
        <f>RecData[[#This Row],[Amb. Rain Gauge]]</f>
        <v>0</v>
      </c>
      <c r="CR241" s="4" t="s">
        <v>50</v>
      </c>
      <c r="CS241" s="4" t="s">
        <v>49</v>
      </c>
      <c r="CT241" s="70">
        <v>-9.3080511090000009</v>
      </c>
      <c r="CU241" s="70">
        <v>248.00209050000001</v>
      </c>
      <c r="CV241" s="70">
        <v>1.210877776</v>
      </c>
      <c r="CW241" s="70">
        <v>0</v>
      </c>
      <c r="CX241" s="4"/>
      <c r="CY241" s="69"/>
      <c r="CZ241" s="2" t="b">
        <f>IF($DP$1="YES",IF(RecData[[#This Row],[Power (kW)]]&gt;=$CR$3, TRUE,FALSE),TRUE)</f>
        <v>0</v>
      </c>
      <c r="DA241" s="16">
        <f>MIN(MOD(180-ABS(ABS($DA$1-RecData[Yaw Angle (°)])-180),360),MOD(180-ABS(ABS($DB$1-RecData[Yaw Angle (°)])-180),360))</f>
        <v>119.52783627768753</v>
      </c>
      <c r="DB241" s="2" t="str">
        <f>IF($DP$2="None","None",IF(RecData[[#This Row],[Relative Wind Direction]]&lt;=45,"DW",IF(RecData[[#This Row],[Relative Wind Direction]]&lt;=135,"CW","UW")))</f>
        <v>CW</v>
      </c>
      <c r="DC241" s="61">
        <f>IF($CL241-$CL237&gt;1/24,#REF!,IF(SUM($CQ237:$CQ241)&gt;$DS$1,$DS$5,DC242-1))</f>
        <v>-2</v>
      </c>
      <c r="DD241" s="61" t="e">
        <f>IF($CL242-$CL241&gt;1/24,#REF!,IF(SUM($CQ237:$CQ241)&gt;$DS$1,$DS$6,DD240-1))</f>
        <v>#REF!</v>
      </c>
      <c r="DE241" s="18" t="b">
        <v>0</v>
      </c>
      <c r="DF241" s="2" t="b">
        <f>IF(OR(RecData[[#This Row],[WSpd_Avg '[m/s']]]-RecData[[#This Row],[Wind Speed min]]&gt;=$DF$3,RecData[[#This Row],[Wind Speed max]]-RecData[[#This Row],[WSpd_Avg '[m/s']]]&gt;=$DF$2),TRUE,FALSE)</f>
        <v>0</v>
      </c>
      <c r="DG241" s="2" t="b">
        <f>RecData[[#This Row],[Temperature '[°C']]]&lt;=-20</f>
        <v>0</v>
      </c>
      <c r="DH241" s="18" t="b">
        <f>NOT(OR(MOD(RecData[[#This Row],[TIMESTAMP]],1)&gt;0.91632,MOD(RecData[[#This Row],[TIMESTAMP]],1)&lt;0.208681))</f>
        <v>0</v>
      </c>
      <c r="DI241" s="18" t="b">
        <f>RecData[[#This Row],[Overall (dBA)]]-RecData[[#This Row],[L90]]&gt;=$DS$4</f>
        <v>0</v>
      </c>
      <c r="DJ241" s="18" t="b">
        <f>RecData[[#This Row],[Overall (dBA)]]&gt;$DS$2</f>
        <v>0</v>
      </c>
      <c r="DK241" s="18" t="b">
        <f>RecData[[#This Row],[Overall (dBA)]]&lt;$DS$3</f>
        <v>0</v>
      </c>
      <c r="DL2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1" s="2">
        <f>IF(AND(RecData[[#This Row],[Turbines ON/OFF]] = "OFF", NOT(OR(RecData[[#This Row],[Junk?]]="YES",RecData[[#This Row],[Gust?]],RecData[[#This Row],[Rain?]:[Min SPL Threshold?]]))),1,0)</f>
        <v>1</v>
      </c>
      <c r="DN241" s="16">
        <f>RecData[[#This Row],[dBA Sum]]</f>
        <v>25.475839219950622</v>
      </c>
      <c r="DO241" s="16">
        <f>RecData[[#This Row],[LAF90.0]]</f>
        <v>45.2</v>
      </c>
      <c r="DP241" s="55" t="str">
        <f>IF(AND(RecData[[#This Row],[Useable TON Data?]],RecData[[#This Row],[Turbines ON/OFF]]="ON"),RecData[[#This Row],[dBA Sum]],"")</f>
        <v/>
      </c>
      <c r="DQ241" s="55">
        <f>IF(AND(RecData[[#This Row],[Useable Background Data?]],RecData[[#This Row],[Turbines ON/OFF]]="OFF"),RecData[[#This Row],[dBA Sum]],"")</f>
        <v>25.475839219950622</v>
      </c>
      <c r="DR241" s="3">
        <f>IF(OR(RecData[[#This Row],[Useable TON Data?]],RecData[[#This Row],[Useable Background Data?]]),ROUND(RecData[[#This Row],[WSpd_Avg '[m/s']]],0),"")</f>
        <v>0</v>
      </c>
      <c r="DS241" s="85">
        <f>(0.00002)^2*(10^(RecData[[#This Row],[Overall (dBA)]]/10))</f>
        <v>1.4113798516894186E-7</v>
      </c>
    </row>
    <row r="242" spans="1:123" ht="15" x14ac:dyDescent="0.25">
      <c r="A242" s="3" t="s">
        <v>249</v>
      </c>
      <c r="B242" s="12">
        <v>43260.922233796307</v>
      </c>
      <c r="C242" s="3"/>
      <c r="D242" s="3">
        <v>46.2</v>
      </c>
      <c r="E242" s="3"/>
      <c r="F242" s="3"/>
      <c r="G242" s="3"/>
      <c r="H242" s="3"/>
      <c r="I242" s="3"/>
      <c r="J242" s="3"/>
      <c r="K242" s="3">
        <v>45.2</v>
      </c>
      <c r="L242" s="3"/>
      <c r="M242" s="3"/>
      <c r="N242" s="3">
        <v>139.19999999999999</v>
      </c>
      <c r="O242" s="3"/>
      <c r="P242" s="3"/>
      <c r="Q242" s="3">
        <v>0.36</v>
      </c>
      <c r="R242" s="3">
        <v>0.3</v>
      </c>
      <c r="S242" s="3">
        <v>0.5</v>
      </c>
      <c r="T242" s="3">
        <v>14.2</v>
      </c>
      <c r="U242" s="3">
        <v>79.5</v>
      </c>
      <c r="V242" s="3">
        <v>975.2</v>
      </c>
      <c r="W242" s="3">
        <v>0</v>
      </c>
      <c r="X242" s="3">
        <v>18.8</v>
      </c>
      <c r="Y242" s="3">
        <v>17.8</v>
      </c>
      <c r="Z242" s="3">
        <v>19</v>
      </c>
      <c r="AA242" s="3">
        <v>13.8</v>
      </c>
      <c r="AB242" s="3">
        <v>11.3</v>
      </c>
      <c r="AC242" s="3">
        <v>9.5</v>
      </c>
      <c r="AD242" s="3">
        <v>10.5</v>
      </c>
      <c r="AE242" s="3">
        <v>9.6999999999999993</v>
      </c>
      <c r="AF242" s="3">
        <v>13.2</v>
      </c>
      <c r="AG242" s="3">
        <v>7.3</v>
      </c>
      <c r="AH242" s="3">
        <v>7.9</v>
      </c>
      <c r="AI242" s="3">
        <v>8.6999999999999993</v>
      </c>
      <c r="AJ242" s="3">
        <v>8.5</v>
      </c>
      <c r="AK242" s="3">
        <v>10.5</v>
      </c>
      <c r="AL242" s="3">
        <v>8.5</v>
      </c>
      <c r="AM242" s="3">
        <v>8.1999999999999993</v>
      </c>
      <c r="AN242" s="3">
        <v>10.1</v>
      </c>
      <c r="AO242" s="3">
        <v>9.5</v>
      </c>
      <c r="AP242" s="3">
        <v>10</v>
      </c>
      <c r="AQ242" s="3">
        <v>15.4</v>
      </c>
      <c r="AR242" s="3">
        <v>14.1</v>
      </c>
      <c r="AS242" s="3">
        <v>35.200000000000003</v>
      </c>
      <c r="AT242" s="3">
        <v>44.5</v>
      </c>
      <c r="AU242" s="3">
        <v>21.6</v>
      </c>
      <c r="AV242" s="3">
        <v>10.9</v>
      </c>
      <c r="AW242" s="3">
        <v>9.4</v>
      </c>
      <c r="AX242" s="3">
        <v>9.5</v>
      </c>
      <c r="AY242" s="3">
        <v>9.6999999999999993</v>
      </c>
      <c r="AZ242" s="3">
        <v>0</v>
      </c>
      <c r="BA242" s="3">
        <v>0</v>
      </c>
      <c r="BB242" s="3">
        <v>0</v>
      </c>
      <c r="BC242" s="3">
        <v>46.222373711164252</v>
      </c>
      <c r="BD242" s="3">
        <v>18.777626288835748</v>
      </c>
      <c r="BE242" s="3">
        <v>17.777626288835748</v>
      </c>
      <c r="BF242" s="3">
        <v>17.737626288835756</v>
      </c>
      <c r="BG242" s="3">
        <v>12.864292955502414</v>
      </c>
      <c r="BH242" s="3">
        <v>10.504292955502422</v>
      </c>
      <c r="BI242" s="3">
        <v>9.1176262888357513</v>
      </c>
      <c r="BJ242" s="3">
        <v>10.910959622169081</v>
      </c>
      <c r="BK242" s="3">
        <v>9.9842929555024114</v>
      </c>
      <c r="BL242" s="3">
        <v>13.057626288835749</v>
      </c>
      <c r="BM242" s="3">
        <v>7.2909596221690833</v>
      </c>
      <c r="BN242" s="3">
        <v>8.1742929555024162</v>
      </c>
      <c r="BO242" s="3">
        <v>8.3409596221690876</v>
      </c>
      <c r="BP242" s="3">
        <v>7.8576262888357533</v>
      </c>
      <c r="BQ242" s="3">
        <v>10.274292955502411</v>
      </c>
      <c r="BR242" s="3">
        <v>8.6009596221690856</v>
      </c>
      <c r="BS242" s="3">
        <v>8.1042929555024159</v>
      </c>
      <c r="BT242" s="3">
        <v>10.200959622169087</v>
      </c>
      <c r="BU242" s="3">
        <v>9.5676262888357542</v>
      </c>
      <c r="BV242" s="3">
        <v>9.7842929555024156</v>
      </c>
      <c r="BW242" s="3">
        <v>15.717626288835753</v>
      </c>
      <c r="BX242" s="3">
        <v>14.337626288835757</v>
      </c>
      <c r="BY242" s="3">
        <v>35.257626288835752</v>
      </c>
      <c r="BZ242" s="3">
        <v>44.687626288835745</v>
      </c>
      <c r="CA242" s="3">
        <v>21.887626288835747</v>
      </c>
      <c r="CB242" s="3">
        <v>10.624292955502412</v>
      </c>
      <c r="CC242" s="3">
        <v>9.3376262888357502</v>
      </c>
      <c r="CD242" s="3">
        <v>8.7442929555024236</v>
      </c>
      <c r="CE242" s="3">
        <v>9.1376262888357473</v>
      </c>
      <c r="CF242" s="3">
        <v>-0.94904037783091866</v>
      </c>
      <c r="CG242" s="3">
        <v>-1.4823737111642501</v>
      </c>
      <c r="CH242" s="3">
        <v>-2.5590403778309181</v>
      </c>
      <c r="CI242" s="13">
        <f>[1]!dbasum(RecData[[#This Row],[20]:[2000]],RecData[[#Headers],[20]:[2000]])</f>
        <v>21.007883214160998</v>
      </c>
      <c r="CJ242" s="14">
        <v>4249</v>
      </c>
      <c r="CK242" s="15" t="s">
        <v>249</v>
      </c>
      <c r="CL242" s="15">
        <f>RecData[[#This Row],[Start Time]]</f>
        <v>43260.922233796307</v>
      </c>
      <c r="CM242" s="16">
        <f>RecData[[#This Row],[Wind Speed avg]]</f>
        <v>0.36</v>
      </c>
      <c r="CN242" s="16">
        <f>RecData[[#This Row],[Wind Dir. avg]]</f>
        <v>139.19999999999999</v>
      </c>
      <c r="CO242" s="16">
        <f>RecData[[#This Row],[Amb. Humidity]]</f>
        <v>79.5</v>
      </c>
      <c r="CP242" s="16">
        <f>RecData[[#This Row],[Amb. Temperature]]</f>
        <v>14.2</v>
      </c>
      <c r="CQ242" s="17">
        <f>RecData[[#This Row],[Amb. Rain Gauge]]</f>
        <v>0</v>
      </c>
      <c r="CR242" s="4" t="s">
        <v>50</v>
      </c>
      <c r="CS242" s="4" t="s">
        <v>49</v>
      </c>
      <c r="CT242" s="70">
        <v>-9.3080511090000009</v>
      </c>
      <c r="CU242" s="70">
        <v>248.00209050000001</v>
      </c>
      <c r="CV242" s="70">
        <v>1.210877776</v>
      </c>
      <c r="CW242" s="70">
        <v>0</v>
      </c>
      <c r="CX242" s="4"/>
      <c r="CY242" s="69"/>
      <c r="CZ242" s="2" t="b">
        <f>IF($DP$1="YES",IF(RecData[[#This Row],[Power (kW)]]&gt;=$CR$3, TRUE,FALSE),TRUE)</f>
        <v>0</v>
      </c>
      <c r="DA242" s="16">
        <f>MIN(MOD(180-ABS(ABS($DA$1-RecData[Yaw Angle (°)])-180),360),MOD(180-ABS(ABS($DB$1-RecData[Yaw Angle (°)])-180),360))</f>
        <v>119.52783627768753</v>
      </c>
      <c r="DB242" s="2" t="str">
        <f>IF($DP$2="None","None",IF(RecData[[#This Row],[Relative Wind Direction]]&lt;=45,"DW",IF(RecData[[#This Row],[Relative Wind Direction]]&lt;=135,"CW","UW")))</f>
        <v>CW</v>
      </c>
      <c r="DC242" s="61">
        <v>-1</v>
      </c>
      <c r="DD242" s="61">
        <v>-1</v>
      </c>
      <c r="DE242" s="18" t="b">
        <v>0</v>
      </c>
      <c r="DF242" s="2" t="b">
        <f>IF(OR(RecData[[#This Row],[WSpd_Avg '[m/s']]]-RecData[[#This Row],[Wind Speed min]]&gt;=$DF$3,RecData[[#This Row],[Wind Speed max]]-RecData[[#This Row],[WSpd_Avg '[m/s']]]&gt;=$DF$2),TRUE,FALSE)</f>
        <v>0</v>
      </c>
      <c r="DG242" s="2" t="b">
        <f>RecData[[#This Row],[Temperature '[°C']]]&lt;=-20</f>
        <v>0</v>
      </c>
      <c r="DH242" s="18" t="b">
        <f>NOT(OR(MOD(RecData[[#This Row],[TIMESTAMP]],1)&gt;0.91632,MOD(RecData[[#This Row],[TIMESTAMP]],1)&lt;0.208681))</f>
        <v>0</v>
      </c>
      <c r="DI242" s="18" t="b">
        <f>RecData[[#This Row],[Overall (dBA)]]-RecData[[#This Row],[L90]]&gt;=$DS$4</f>
        <v>0</v>
      </c>
      <c r="DJ242" s="18" t="b">
        <f>RecData[[#This Row],[Overall (dBA)]]&gt;$DS$2</f>
        <v>0</v>
      </c>
      <c r="DK242" s="18" t="b">
        <f>RecData[[#This Row],[Overall (dBA)]]&lt;$DS$3</f>
        <v>0</v>
      </c>
      <c r="DL2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2" s="2">
        <f>IF(AND(RecData[[#This Row],[Turbines ON/OFF]] = "OFF", NOT(OR(RecData[[#This Row],[Junk?]]="YES",RecData[[#This Row],[Gust?]],RecData[[#This Row],[Rain?]:[Min SPL Threshold?]]))),1,0)</f>
        <v>1</v>
      </c>
      <c r="DN242" s="16">
        <f>RecData[[#This Row],[dBA Sum]]</f>
        <v>21.007883214160998</v>
      </c>
      <c r="DO242" s="16">
        <f>RecData[[#This Row],[LAF90.0]]</f>
        <v>45.2</v>
      </c>
      <c r="DP242" s="55" t="str">
        <f>IF(AND(RecData[[#This Row],[Useable TON Data?]],RecData[[#This Row],[Turbines ON/OFF]]="ON"),RecData[[#This Row],[dBA Sum]],"")</f>
        <v/>
      </c>
      <c r="DQ242" s="55">
        <f>IF(AND(RecData[[#This Row],[Useable Background Data?]],RecData[[#This Row],[Turbines ON/OFF]]="OFF"),RecData[[#This Row],[dBA Sum]],"")</f>
        <v>21.007883214160998</v>
      </c>
      <c r="DR242" s="3">
        <f>IF(OR(RecData[[#This Row],[Useable TON Data?]],RecData[[#This Row],[Useable Background Data?]]),ROUND(RecData[[#This Row],[WSpd_Avg '[m/s']]],0),"")</f>
        <v>0</v>
      </c>
      <c r="DS242" s="85">
        <f>(0.00002)^2*(10^(RecData[[#This Row],[Overall (dBA)]]/10))</f>
        <v>5.0448506387046086E-8</v>
      </c>
    </row>
    <row r="243" spans="1:123" ht="15" x14ac:dyDescent="0.25">
      <c r="A243" s="3" t="s">
        <v>249</v>
      </c>
      <c r="B243" s="12">
        <v>43260.922928240747</v>
      </c>
      <c r="C243" s="3"/>
      <c r="D243" s="3">
        <v>46.1</v>
      </c>
      <c r="E243" s="3"/>
      <c r="F243" s="3"/>
      <c r="G243" s="3"/>
      <c r="H243" s="3"/>
      <c r="I243" s="3"/>
      <c r="J243" s="3"/>
      <c r="K243" s="3">
        <v>45</v>
      </c>
      <c r="L243" s="3"/>
      <c r="M243" s="3"/>
      <c r="N243" s="3">
        <v>164</v>
      </c>
      <c r="O243" s="3"/>
      <c r="P243" s="3"/>
      <c r="Q243" s="3">
        <v>0.33</v>
      </c>
      <c r="R243" s="3">
        <v>0.2</v>
      </c>
      <c r="S243" s="3">
        <v>0.5</v>
      </c>
      <c r="T243" s="3">
        <v>14.1</v>
      </c>
      <c r="U243" s="3">
        <v>79.400000000000006</v>
      </c>
      <c r="V243" s="3">
        <v>975.2</v>
      </c>
      <c r="W243" s="3">
        <v>0</v>
      </c>
      <c r="X243" s="3">
        <v>19.100000000000001</v>
      </c>
      <c r="Y243" s="3">
        <v>18</v>
      </c>
      <c r="Z243" s="3">
        <v>18.899999999999999</v>
      </c>
      <c r="AA243" s="3">
        <v>13.5</v>
      </c>
      <c r="AB243" s="3">
        <v>10</v>
      </c>
      <c r="AC243" s="3">
        <v>8</v>
      </c>
      <c r="AD243" s="3">
        <v>9.4</v>
      </c>
      <c r="AE243" s="3">
        <v>9.1</v>
      </c>
      <c r="AF243" s="3">
        <v>13.5</v>
      </c>
      <c r="AG243" s="3">
        <v>7.7</v>
      </c>
      <c r="AH243" s="3">
        <v>7.6</v>
      </c>
      <c r="AI243" s="3">
        <v>8.5</v>
      </c>
      <c r="AJ243" s="3">
        <v>8.3000000000000007</v>
      </c>
      <c r="AK243" s="3">
        <v>10.3</v>
      </c>
      <c r="AL243" s="3">
        <v>8.4</v>
      </c>
      <c r="AM243" s="3">
        <v>7.9</v>
      </c>
      <c r="AN243" s="3">
        <v>9.8000000000000007</v>
      </c>
      <c r="AO243" s="3">
        <v>9.1999999999999993</v>
      </c>
      <c r="AP243" s="3">
        <v>9.6999999999999993</v>
      </c>
      <c r="AQ243" s="3">
        <v>15.1</v>
      </c>
      <c r="AR243" s="3">
        <v>10.7</v>
      </c>
      <c r="AS243" s="3">
        <v>34.9</v>
      </c>
      <c r="AT243" s="3">
        <v>44.4</v>
      </c>
      <c r="AU243" s="3">
        <v>20.100000000000001</v>
      </c>
      <c r="AV243" s="3">
        <v>10.3</v>
      </c>
      <c r="AW243" s="3">
        <v>9.4</v>
      </c>
      <c r="AX243" s="3">
        <v>9.4</v>
      </c>
      <c r="AY243" s="3">
        <v>9.6999999999999993</v>
      </c>
      <c r="AZ243" s="3">
        <v>0</v>
      </c>
      <c r="BA243" s="3">
        <v>0</v>
      </c>
      <c r="BB243" s="3">
        <v>0</v>
      </c>
      <c r="BC243" s="3">
        <v>46.094091170562031</v>
      </c>
      <c r="BD243" s="3">
        <v>19.105908829437972</v>
      </c>
      <c r="BE243" s="3">
        <v>18.005908829437963</v>
      </c>
      <c r="BF243" s="3">
        <v>17.665908829437974</v>
      </c>
      <c r="BG243" s="3">
        <v>12.592575496104637</v>
      </c>
      <c r="BH243" s="3">
        <v>9.2325754961046371</v>
      </c>
      <c r="BI243" s="3">
        <v>7.6459088294379711</v>
      </c>
      <c r="BJ243" s="3">
        <v>9.8392421627713063</v>
      </c>
      <c r="BK243" s="3">
        <v>9.4125754961046297</v>
      </c>
      <c r="BL243" s="3">
        <v>13.385908829437973</v>
      </c>
      <c r="BM243" s="3">
        <v>7.7192421627713088</v>
      </c>
      <c r="BN243" s="3">
        <v>7.9025754961046388</v>
      </c>
      <c r="BO243" s="3">
        <v>8.1692421627713045</v>
      </c>
      <c r="BP243" s="3">
        <v>7.6859088294379703</v>
      </c>
      <c r="BQ243" s="3">
        <v>10.102575496104627</v>
      </c>
      <c r="BR243" s="3">
        <v>8.529242162771304</v>
      </c>
      <c r="BS243" s="3">
        <v>7.8325754961046385</v>
      </c>
      <c r="BT243" s="3">
        <v>9.9292421627713097</v>
      </c>
      <c r="BU243" s="3">
        <v>9.2959088294379697</v>
      </c>
      <c r="BV243" s="3">
        <v>9.5125754961046383</v>
      </c>
      <c r="BW243" s="3">
        <v>15.445908829437975</v>
      </c>
      <c r="BX243" s="3">
        <v>10.965908829437971</v>
      </c>
      <c r="BY243" s="3">
        <v>34.985908829437967</v>
      </c>
      <c r="BZ243" s="3">
        <v>44.615908829437977</v>
      </c>
      <c r="CA243" s="3">
        <v>20.41590882943796</v>
      </c>
      <c r="CB243" s="3">
        <v>10.052575496104637</v>
      </c>
      <c r="CC243" s="3">
        <v>9.36590882943797</v>
      </c>
      <c r="CD243" s="3">
        <v>8.672575496104642</v>
      </c>
      <c r="CE243" s="3">
        <v>9.1659088294379671</v>
      </c>
      <c r="CF243" s="3">
        <v>-0.92075783722869886</v>
      </c>
      <c r="CG243" s="3">
        <v>-1.4540911705620303</v>
      </c>
      <c r="CH243" s="3">
        <v>-2.5307578372286983</v>
      </c>
      <c r="CI243" s="13">
        <f>[1]!dbasum(RecData[[#This Row],[20]:[2000]],RecData[[#Headers],[20]:[2000]])</f>
        <v>20.072857381459038</v>
      </c>
      <c r="CJ243" s="14">
        <v>4250</v>
      </c>
      <c r="CK243" s="15" t="s">
        <v>249</v>
      </c>
      <c r="CL243" s="15">
        <f>RecData[[#This Row],[Start Time]]</f>
        <v>43260.922928240747</v>
      </c>
      <c r="CM243" s="16">
        <f>RecData[[#This Row],[Wind Speed avg]]</f>
        <v>0.33</v>
      </c>
      <c r="CN243" s="16">
        <f>RecData[[#This Row],[Wind Dir. avg]]</f>
        <v>164</v>
      </c>
      <c r="CO243" s="16">
        <f>RecData[[#This Row],[Amb. Humidity]]</f>
        <v>79.400000000000006</v>
      </c>
      <c r="CP243" s="16">
        <f>RecData[[#This Row],[Amb. Temperature]]</f>
        <v>14.1</v>
      </c>
      <c r="CQ243" s="17">
        <f>RecData[[#This Row],[Amb. Rain Gauge]]</f>
        <v>0</v>
      </c>
      <c r="CR243" s="4" t="s">
        <v>50</v>
      </c>
      <c r="CS243" s="4" t="s">
        <v>49</v>
      </c>
      <c r="CT243" s="70">
        <v>-9.3080511090000009</v>
      </c>
      <c r="CU243" s="70">
        <v>248.00209050000001</v>
      </c>
      <c r="CV243" s="70">
        <v>1.210877776</v>
      </c>
      <c r="CW243" s="70">
        <v>0</v>
      </c>
      <c r="CX243" s="4"/>
      <c r="CY243" s="69"/>
      <c r="CZ243" s="2" t="b">
        <f>IF($DP$1="YES",IF(RecData[[#This Row],[Power (kW)]]&gt;=$CR$3, TRUE,FALSE),TRUE)</f>
        <v>0</v>
      </c>
      <c r="DA243" s="16">
        <f>MIN(MOD(180-ABS(ABS($DA$1-RecData[Yaw Angle (°)])-180),360),MOD(180-ABS(ABS($DB$1-RecData[Yaw Angle (°)])-180),360))</f>
        <v>119.52783627768753</v>
      </c>
      <c r="DB243" s="2" t="str">
        <f>IF($DP$2="None","None",IF(RecData[[#This Row],[Relative Wind Direction]]&lt;=45,"DW",IF(RecData[[#This Row],[Relative Wind Direction]]&lt;=135,"CW","UW")))</f>
        <v>CW</v>
      </c>
      <c r="DC243" s="61">
        <f>IF($CL243-$CL242&gt;1/24,#REF!,IF(SUM($CQ242:$CQ243)&gt;$DS$1,$DS$5,DC244-1))</f>
        <v>-9</v>
      </c>
      <c r="DD243" s="61">
        <f>IF($CL244-$CL243&gt;1/24,#REF!,IF(SUM($CQ242:$CQ243)&gt;$DS$1,$DS$6,DD242-1))</f>
        <v>-2</v>
      </c>
      <c r="DE243" s="18" t="b">
        <v>0</v>
      </c>
      <c r="DF243" s="2" t="b">
        <f>IF(OR(RecData[[#This Row],[WSpd_Avg '[m/s']]]-RecData[[#This Row],[Wind Speed min]]&gt;=$DF$3,RecData[[#This Row],[Wind Speed max]]-RecData[[#This Row],[WSpd_Avg '[m/s']]]&gt;=$DF$2),TRUE,FALSE)</f>
        <v>0</v>
      </c>
      <c r="DG243" s="2" t="b">
        <f>RecData[[#This Row],[Temperature '[°C']]]&lt;=-20</f>
        <v>0</v>
      </c>
      <c r="DH243" s="18" t="b">
        <f>NOT(OR(MOD(RecData[[#This Row],[TIMESTAMP]],1)&gt;0.91632,MOD(RecData[[#This Row],[TIMESTAMP]],1)&lt;0.208681))</f>
        <v>0</v>
      </c>
      <c r="DI243" s="18" t="b">
        <f>RecData[[#This Row],[Overall (dBA)]]-RecData[[#This Row],[L90]]&gt;=$DS$4</f>
        <v>0</v>
      </c>
      <c r="DJ243" s="18" t="b">
        <f>RecData[[#This Row],[Overall (dBA)]]&gt;$DS$2</f>
        <v>0</v>
      </c>
      <c r="DK243" s="18" t="b">
        <f>RecData[[#This Row],[Overall (dBA)]]&lt;$DS$3</f>
        <v>0</v>
      </c>
      <c r="DL2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3" s="2">
        <f>IF(AND(RecData[[#This Row],[Turbines ON/OFF]] = "OFF", NOT(OR(RecData[[#This Row],[Junk?]]="YES",RecData[[#This Row],[Gust?]],RecData[[#This Row],[Rain?]:[Min SPL Threshold?]]))),1,0)</f>
        <v>1</v>
      </c>
      <c r="DN243" s="16">
        <f>RecData[[#This Row],[dBA Sum]]</f>
        <v>20.072857381459038</v>
      </c>
      <c r="DO243" s="16">
        <f>RecData[[#This Row],[LAF90.0]]</f>
        <v>45</v>
      </c>
      <c r="DP243" s="55" t="str">
        <f>IF(AND(RecData[[#This Row],[Useable TON Data?]],RecData[[#This Row],[Turbines ON/OFF]]="ON"),RecData[[#This Row],[dBA Sum]],"")</f>
        <v/>
      </c>
      <c r="DQ243" s="55">
        <f>IF(AND(RecData[[#This Row],[Useable Background Data?]],RecData[[#This Row],[Turbines ON/OFF]]="OFF"),RecData[[#This Row],[dBA Sum]],"")</f>
        <v>20.072857381459038</v>
      </c>
      <c r="DR243" s="3">
        <f>IF(OR(RecData[[#This Row],[Useable TON Data?]],RecData[[#This Row],[Useable Background Data?]]),ROUND(RecData[[#This Row],[WSpd_Avg '[m/s']]],0),"")</f>
        <v>0</v>
      </c>
      <c r="DS243" s="85">
        <f>(0.00002)^2*(10^(RecData[[#This Row],[Overall (dBA)]]/10))</f>
        <v>4.0676701595105452E-8</v>
      </c>
    </row>
    <row r="244" spans="1:123" ht="15" x14ac:dyDescent="0.25">
      <c r="A244" s="3" t="s">
        <v>249</v>
      </c>
      <c r="B244" s="12">
        <v>43260.923622685194</v>
      </c>
      <c r="C244" s="3"/>
      <c r="D244" s="3">
        <v>45.5</v>
      </c>
      <c r="E244" s="3"/>
      <c r="F244" s="3"/>
      <c r="G244" s="3"/>
      <c r="H244" s="3"/>
      <c r="I244" s="3"/>
      <c r="J244" s="3"/>
      <c r="K244" s="3">
        <v>44.6</v>
      </c>
      <c r="L244" s="3"/>
      <c r="M244" s="3"/>
      <c r="N244" s="3">
        <v>165.5</v>
      </c>
      <c r="O244" s="3"/>
      <c r="P244" s="3"/>
      <c r="Q244" s="3">
        <v>0.41</v>
      </c>
      <c r="R244" s="3">
        <v>0.3</v>
      </c>
      <c r="S244" s="3">
        <v>0.5</v>
      </c>
      <c r="T244" s="3">
        <v>14.1</v>
      </c>
      <c r="U244" s="3">
        <v>79.7</v>
      </c>
      <c r="V244" s="3">
        <v>975.2</v>
      </c>
      <c r="W244" s="3">
        <v>0</v>
      </c>
      <c r="X244" s="3">
        <v>17.600000000000001</v>
      </c>
      <c r="Y244" s="3">
        <v>18.5</v>
      </c>
      <c r="Z244" s="3">
        <v>18.899999999999999</v>
      </c>
      <c r="AA244" s="3">
        <v>13.9</v>
      </c>
      <c r="AB244" s="3">
        <v>11.5</v>
      </c>
      <c r="AC244" s="3">
        <v>9.1999999999999993</v>
      </c>
      <c r="AD244" s="3">
        <v>9.1999999999999993</v>
      </c>
      <c r="AE244" s="3">
        <v>8.9</v>
      </c>
      <c r="AF244" s="3">
        <v>13.5</v>
      </c>
      <c r="AG244" s="3">
        <v>8.3000000000000007</v>
      </c>
      <c r="AH244" s="3">
        <v>7.8</v>
      </c>
      <c r="AI244" s="3">
        <v>8.4</v>
      </c>
      <c r="AJ244" s="3">
        <v>8.4</v>
      </c>
      <c r="AK244" s="3">
        <v>10.4</v>
      </c>
      <c r="AL244" s="3">
        <v>8.3000000000000007</v>
      </c>
      <c r="AM244" s="3">
        <v>8</v>
      </c>
      <c r="AN244" s="3">
        <v>9.9</v>
      </c>
      <c r="AO244" s="3">
        <v>9</v>
      </c>
      <c r="AP244" s="3">
        <v>9.6</v>
      </c>
      <c r="AQ244" s="3">
        <v>14.7</v>
      </c>
      <c r="AR244" s="3">
        <v>12.6</v>
      </c>
      <c r="AS244" s="3">
        <v>35</v>
      </c>
      <c r="AT244" s="3">
        <v>43.7</v>
      </c>
      <c r="AU244" s="3">
        <v>19.600000000000001</v>
      </c>
      <c r="AV244" s="3">
        <v>10.3</v>
      </c>
      <c r="AW244" s="3">
        <v>9.4</v>
      </c>
      <c r="AX244" s="3">
        <v>9.5</v>
      </c>
      <c r="AY244" s="3">
        <v>10</v>
      </c>
      <c r="AZ244" s="3">
        <v>0</v>
      </c>
      <c r="BA244" s="3">
        <v>0</v>
      </c>
      <c r="BB244" s="3">
        <v>0</v>
      </c>
      <c r="BC244" s="3">
        <v>45.486163199161936</v>
      </c>
      <c r="BD244" s="3">
        <v>17.613836800838065</v>
      </c>
      <c r="BE244" s="3">
        <v>18.513836800838064</v>
      </c>
      <c r="BF244" s="3">
        <v>17.67383680083806</v>
      </c>
      <c r="BG244" s="3">
        <v>13.000503467504728</v>
      </c>
      <c r="BH244" s="3">
        <v>10.74050346750473</v>
      </c>
      <c r="BI244" s="3">
        <v>8.8538368008380672</v>
      </c>
      <c r="BJ244" s="3">
        <v>9.6471701341713967</v>
      </c>
      <c r="BK244" s="3">
        <v>9.2205034675047273</v>
      </c>
      <c r="BL244" s="3">
        <v>13.393836800838066</v>
      </c>
      <c r="BM244" s="3">
        <v>8.3271701341713964</v>
      </c>
      <c r="BN244" s="3">
        <v>8.1105034675047278</v>
      </c>
      <c r="BO244" s="3">
        <v>8.0771701341713964</v>
      </c>
      <c r="BP244" s="3">
        <v>7.793836800838065</v>
      </c>
      <c r="BQ244" s="3">
        <v>10.210503467504722</v>
      </c>
      <c r="BR244" s="3">
        <v>8.4371701341713958</v>
      </c>
      <c r="BS244" s="3">
        <v>7.9405034675047332</v>
      </c>
      <c r="BT244" s="3">
        <v>10.037170134171397</v>
      </c>
      <c r="BU244" s="3">
        <v>9.1038368008380672</v>
      </c>
      <c r="BV244" s="3">
        <v>9.4205034675047301</v>
      </c>
      <c r="BW244" s="3">
        <v>15.05383680083807</v>
      </c>
      <c r="BX244" s="3">
        <v>12.87383680083807</v>
      </c>
      <c r="BY244" s="3">
        <v>35.093836800838062</v>
      </c>
      <c r="BZ244" s="3">
        <v>43.92383680083806</v>
      </c>
      <c r="CA244" s="3">
        <v>19.92383680083806</v>
      </c>
      <c r="CB244" s="3">
        <v>10.060503467504731</v>
      </c>
      <c r="CC244" s="3">
        <v>9.3738368008380633</v>
      </c>
      <c r="CD244" s="3">
        <v>8.7805034675047366</v>
      </c>
      <c r="CE244" s="3">
        <v>9.4738368008380647</v>
      </c>
      <c r="CF244" s="3">
        <v>-0.91282986582860559</v>
      </c>
      <c r="CG244" s="3">
        <v>-1.446163199161937</v>
      </c>
      <c r="CH244" s="3">
        <v>-2.522829865828605</v>
      </c>
      <c r="CI244" s="13">
        <f>[1]!dbasum(RecData[[#This Row],[20]:[2000]],RecData[[#Headers],[20]:[2000]])</f>
        <v>20.285389749604761</v>
      </c>
      <c r="CJ244" s="14">
        <v>4251</v>
      </c>
      <c r="CK244" s="15" t="s">
        <v>249</v>
      </c>
      <c r="CL244" s="15">
        <f>RecData[[#This Row],[Start Time]]</f>
        <v>43260.923622685194</v>
      </c>
      <c r="CM244" s="16">
        <f>RecData[[#This Row],[Wind Speed avg]]</f>
        <v>0.41</v>
      </c>
      <c r="CN244" s="16">
        <f>RecData[[#This Row],[Wind Dir. avg]]</f>
        <v>165.5</v>
      </c>
      <c r="CO244" s="16">
        <f>RecData[[#This Row],[Amb. Humidity]]</f>
        <v>79.7</v>
      </c>
      <c r="CP244" s="16">
        <f>RecData[[#This Row],[Amb. Temperature]]</f>
        <v>14.1</v>
      </c>
      <c r="CQ244" s="17">
        <f>RecData[[#This Row],[Amb. Rain Gauge]]</f>
        <v>0</v>
      </c>
      <c r="CR244" s="4" t="s">
        <v>50</v>
      </c>
      <c r="CS244" s="4" t="s">
        <v>49</v>
      </c>
      <c r="CT244" s="70">
        <v>-9.2069034579999993</v>
      </c>
      <c r="CU244" s="70">
        <v>248.00207520000001</v>
      </c>
      <c r="CV244" s="70">
        <v>1.2890479560000001</v>
      </c>
      <c r="CW244" s="70">
        <v>0</v>
      </c>
      <c r="CX244" s="4"/>
      <c r="CY244" s="69"/>
      <c r="CZ244" s="2" t="b">
        <f>IF($DP$1="YES",IF(RecData[[#This Row],[Power (kW)]]&gt;=$CR$3, TRUE,FALSE),TRUE)</f>
        <v>0</v>
      </c>
      <c r="DA244" s="16">
        <f>MIN(MOD(180-ABS(ABS($DA$1-RecData[Yaw Angle (°)])-180),360),MOD(180-ABS(ABS($DB$1-RecData[Yaw Angle (°)])-180),360))</f>
        <v>119.52785157768756</v>
      </c>
      <c r="DB244" s="2" t="str">
        <f>IF($DP$2="None","None",IF(RecData[[#This Row],[Relative Wind Direction]]&lt;=45,"DW",IF(RecData[[#This Row],[Relative Wind Direction]]&lt;=135,"CW","UW")))</f>
        <v>CW</v>
      </c>
      <c r="DC244" s="61">
        <f>IF($CL244-$CL242&gt;1/24,#REF!,IF(SUM($CQ242:$CQ244)&gt;$DS$1,$DS$5,DC245-1))</f>
        <v>-8</v>
      </c>
      <c r="DD244" s="61">
        <f>IF($CL245-$CL244&gt;1/24,#REF!,IF(SUM($CQ242:$CQ244)&gt;$DS$1,$DS$6,DD243-1))</f>
        <v>-3</v>
      </c>
      <c r="DE244" s="18" t="b">
        <v>0</v>
      </c>
      <c r="DF244" s="2" t="b">
        <f>IF(OR(RecData[[#This Row],[WSpd_Avg '[m/s']]]-RecData[[#This Row],[Wind Speed min]]&gt;=$DF$3,RecData[[#This Row],[Wind Speed max]]-RecData[[#This Row],[WSpd_Avg '[m/s']]]&gt;=$DF$2),TRUE,FALSE)</f>
        <v>0</v>
      </c>
      <c r="DG244" s="2" t="b">
        <f>RecData[[#This Row],[Temperature '[°C']]]&lt;=-20</f>
        <v>0</v>
      </c>
      <c r="DH244" s="18" t="b">
        <f>NOT(OR(MOD(RecData[[#This Row],[TIMESTAMP]],1)&gt;0.91632,MOD(RecData[[#This Row],[TIMESTAMP]],1)&lt;0.208681))</f>
        <v>0</v>
      </c>
      <c r="DI244" s="18" t="b">
        <f>RecData[[#This Row],[Overall (dBA)]]-RecData[[#This Row],[L90]]&gt;=$DS$4</f>
        <v>0</v>
      </c>
      <c r="DJ244" s="18" t="b">
        <f>RecData[[#This Row],[Overall (dBA)]]&gt;$DS$2</f>
        <v>0</v>
      </c>
      <c r="DK244" s="18" t="b">
        <f>RecData[[#This Row],[Overall (dBA)]]&lt;$DS$3</f>
        <v>0</v>
      </c>
      <c r="DL2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4" s="2">
        <f>IF(AND(RecData[[#This Row],[Turbines ON/OFF]] = "OFF", NOT(OR(RecData[[#This Row],[Junk?]]="YES",RecData[[#This Row],[Gust?]],RecData[[#This Row],[Rain?]:[Min SPL Threshold?]]))),1,0)</f>
        <v>1</v>
      </c>
      <c r="DN244" s="16">
        <f>RecData[[#This Row],[dBA Sum]]</f>
        <v>20.285389749604761</v>
      </c>
      <c r="DO244" s="16">
        <f>RecData[[#This Row],[LAF90.0]]</f>
        <v>44.6</v>
      </c>
      <c r="DP244" s="55" t="str">
        <f>IF(AND(RecData[[#This Row],[Useable TON Data?]],RecData[[#This Row],[Turbines ON/OFF]]="ON"),RecData[[#This Row],[dBA Sum]],"")</f>
        <v/>
      </c>
      <c r="DQ244" s="55">
        <f>IF(AND(RecData[[#This Row],[Useable Background Data?]],RecData[[#This Row],[Turbines ON/OFF]]="OFF"),RecData[[#This Row],[dBA Sum]],"")</f>
        <v>20.285389749604761</v>
      </c>
      <c r="DR244" s="3">
        <f>IF(OR(RecData[[#This Row],[Useable TON Data?]],RecData[[#This Row],[Useable Background Data?]]),ROUND(RecData[[#This Row],[WSpd_Avg '[m/s']]],0),"")</f>
        <v>0</v>
      </c>
      <c r="DS244" s="85">
        <f>(0.00002)^2*(10^(RecData[[#This Row],[Overall (dBA)]]/10))</f>
        <v>4.2716825072546961E-8</v>
      </c>
    </row>
    <row r="245" spans="1:123" ht="15" x14ac:dyDescent="0.25">
      <c r="A245" s="3" t="s">
        <v>249</v>
      </c>
      <c r="B245" s="12">
        <v>43260.92431712964</v>
      </c>
      <c r="C245" s="3"/>
      <c r="D245" s="3">
        <v>45.3</v>
      </c>
      <c r="E245" s="3"/>
      <c r="F245" s="3"/>
      <c r="G245" s="3"/>
      <c r="H245" s="3"/>
      <c r="I245" s="3"/>
      <c r="J245" s="3"/>
      <c r="K245" s="3">
        <v>44.3</v>
      </c>
      <c r="L245" s="3"/>
      <c r="M245" s="3"/>
      <c r="N245" s="3">
        <v>171.4</v>
      </c>
      <c r="O245" s="3"/>
      <c r="P245" s="3"/>
      <c r="Q245" s="3">
        <v>0.38</v>
      </c>
      <c r="R245" s="3">
        <v>0.3</v>
      </c>
      <c r="S245" s="3">
        <v>0.4</v>
      </c>
      <c r="T245" s="3">
        <v>14</v>
      </c>
      <c r="U245" s="3">
        <v>79.900000000000006</v>
      </c>
      <c r="V245" s="3">
        <v>975.2</v>
      </c>
      <c r="W245" s="3">
        <v>0</v>
      </c>
      <c r="X245" s="3">
        <v>18</v>
      </c>
      <c r="Y245" s="3">
        <v>17.8</v>
      </c>
      <c r="Z245" s="3">
        <v>18.7</v>
      </c>
      <c r="AA245" s="3">
        <v>12.8</v>
      </c>
      <c r="AB245" s="3">
        <v>10.5</v>
      </c>
      <c r="AC245" s="3">
        <v>8.1</v>
      </c>
      <c r="AD245" s="3">
        <v>9.1</v>
      </c>
      <c r="AE245" s="3">
        <v>9.1</v>
      </c>
      <c r="AF245" s="3">
        <v>14.4</v>
      </c>
      <c r="AG245" s="3">
        <v>8.9</v>
      </c>
      <c r="AH245" s="3">
        <v>8</v>
      </c>
      <c r="AI245" s="3">
        <v>8.8000000000000007</v>
      </c>
      <c r="AJ245" s="3">
        <v>8.3000000000000007</v>
      </c>
      <c r="AK245" s="3">
        <v>10.1</v>
      </c>
      <c r="AL245" s="3">
        <v>7.7</v>
      </c>
      <c r="AM245" s="3">
        <v>7.9</v>
      </c>
      <c r="AN245" s="3">
        <v>9.8000000000000007</v>
      </c>
      <c r="AO245" s="3">
        <v>8.9</v>
      </c>
      <c r="AP245" s="3">
        <v>9.5</v>
      </c>
      <c r="AQ245" s="3">
        <v>14.5</v>
      </c>
      <c r="AR245" s="3">
        <v>12.2</v>
      </c>
      <c r="AS245" s="3">
        <v>34.4</v>
      </c>
      <c r="AT245" s="3">
        <v>43.6</v>
      </c>
      <c r="AU245" s="3">
        <v>19.5</v>
      </c>
      <c r="AV245" s="3">
        <v>9.9</v>
      </c>
      <c r="AW245" s="3">
        <v>9.5</v>
      </c>
      <c r="AX245" s="3">
        <v>9.8000000000000007</v>
      </c>
      <c r="AY245" s="3">
        <v>9.9</v>
      </c>
      <c r="AZ245" s="3">
        <v>0</v>
      </c>
      <c r="BA245" s="3">
        <v>0</v>
      </c>
      <c r="BB245" s="3">
        <v>0</v>
      </c>
      <c r="BC245" s="3">
        <v>45.328967082916883</v>
      </c>
      <c r="BD245" s="3">
        <v>17.971032917083114</v>
      </c>
      <c r="BE245" s="3">
        <v>17.771032917083112</v>
      </c>
      <c r="BF245" s="3">
        <v>17.431032917083115</v>
      </c>
      <c r="BG245" s="3">
        <v>11.857699583749778</v>
      </c>
      <c r="BH245" s="3">
        <v>9.697699583749781</v>
      </c>
      <c r="BI245" s="3">
        <v>7.7110329170831164</v>
      </c>
      <c r="BJ245" s="3">
        <v>9.5043662504164459</v>
      </c>
      <c r="BK245" s="3">
        <v>9.3776995837497807</v>
      </c>
      <c r="BL245" s="3">
        <v>14.251032917083116</v>
      </c>
      <c r="BM245" s="3">
        <v>8.8843662504164485</v>
      </c>
      <c r="BN245" s="3">
        <v>8.2676995837497813</v>
      </c>
      <c r="BO245" s="3">
        <v>8.4343662504164527</v>
      </c>
      <c r="BP245" s="3">
        <v>7.6510329170831142</v>
      </c>
      <c r="BQ245" s="3">
        <v>9.8676995837497756</v>
      </c>
      <c r="BR245" s="3">
        <v>7.7943662504164521</v>
      </c>
      <c r="BS245" s="3">
        <v>7.7976995837497824</v>
      </c>
      <c r="BT245" s="3">
        <v>9.8943662504164465</v>
      </c>
      <c r="BU245" s="3">
        <v>8.9610329170831164</v>
      </c>
      <c r="BV245" s="3">
        <v>9.2776995837497793</v>
      </c>
      <c r="BW245" s="3">
        <v>14.811032917083118</v>
      </c>
      <c r="BX245" s="3">
        <v>12.431032917083122</v>
      </c>
      <c r="BY245" s="3">
        <v>34.451032917083118</v>
      </c>
      <c r="BZ245" s="3">
        <v>43.781032917083117</v>
      </c>
      <c r="CA245" s="3">
        <v>19.781032917083103</v>
      </c>
      <c r="CB245" s="3">
        <v>9.6176995837497756</v>
      </c>
      <c r="CC245" s="3">
        <v>9.4310329170831153</v>
      </c>
      <c r="CD245" s="3">
        <v>9.0376995837497844</v>
      </c>
      <c r="CE245" s="3">
        <v>9.3310329170831139</v>
      </c>
      <c r="CF245" s="3">
        <v>-0.95563374958355496</v>
      </c>
      <c r="CG245" s="3">
        <v>-1.4889670829168864</v>
      </c>
      <c r="CH245" s="3">
        <v>-2.5656337495835544</v>
      </c>
      <c r="CI245" s="13">
        <f>[1]!dbasum(RecData[[#This Row],[20]:[2000]],RecData[[#Headers],[20]:[2000]])</f>
        <v>20.027217879233177</v>
      </c>
      <c r="CJ245" s="14">
        <v>4252</v>
      </c>
      <c r="CK245" s="15" t="s">
        <v>249</v>
      </c>
      <c r="CL245" s="15">
        <f>RecData[[#This Row],[Start Time]]</f>
        <v>43260.92431712964</v>
      </c>
      <c r="CM245" s="16">
        <f>RecData[[#This Row],[Wind Speed avg]]</f>
        <v>0.38</v>
      </c>
      <c r="CN245" s="16">
        <f>RecData[[#This Row],[Wind Dir. avg]]</f>
        <v>171.4</v>
      </c>
      <c r="CO245" s="16">
        <f>RecData[[#This Row],[Amb. Humidity]]</f>
        <v>79.900000000000006</v>
      </c>
      <c r="CP245" s="16">
        <f>RecData[[#This Row],[Amb. Temperature]]</f>
        <v>14</v>
      </c>
      <c r="CQ245" s="17">
        <f>RecData[[#This Row],[Amb. Rain Gauge]]</f>
        <v>0</v>
      </c>
      <c r="CR245" s="4" t="s">
        <v>50</v>
      </c>
      <c r="CS245" s="4" t="s">
        <v>49</v>
      </c>
      <c r="CT245" s="70">
        <v>-9.2069034579999993</v>
      </c>
      <c r="CU245" s="70">
        <v>248.00207520000001</v>
      </c>
      <c r="CV245" s="70">
        <v>1.2890479560000001</v>
      </c>
      <c r="CW245" s="70">
        <v>0</v>
      </c>
      <c r="CX245" s="4"/>
      <c r="CY245" s="69"/>
      <c r="CZ245" s="2" t="b">
        <f>IF($DP$1="YES",IF(RecData[[#This Row],[Power (kW)]]&gt;=$CR$3, TRUE,FALSE),TRUE)</f>
        <v>0</v>
      </c>
      <c r="DA245" s="16">
        <f>MIN(MOD(180-ABS(ABS($DA$1-RecData[Yaw Angle (°)])-180),360),MOD(180-ABS(ABS($DB$1-RecData[Yaw Angle (°)])-180),360))</f>
        <v>119.52785157768756</v>
      </c>
      <c r="DB245" s="2" t="str">
        <f>IF($DP$2="None","None",IF(RecData[[#This Row],[Relative Wind Direction]]&lt;=45,"DW",IF(RecData[[#This Row],[Relative Wind Direction]]&lt;=135,"CW","UW")))</f>
        <v>CW</v>
      </c>
      <c r="DC245" s="61">
        <f>IF($CL245-$CL242&gt;1/24,#REF!,IF(SUM($CQ242:$CQ245)&gt;$DS$1,$DS$5,DC246-1))</f>
        <v>-7</v>
      </c>
      <c r="DD245" s="61">
        <f>IF($CL246-$CL245&gt;1/24,#REF!,IF(SUM($CQ242:$CQ245)&gt;$DS$1,$DS$6,DD244-1))</f>
        <v>-4</v>
      </c>
      <c r="DE245" s="18" t="b">
        <v>0</v>
      </c>
      <c r="DF245" s="2" t="b">
        <f>IF(OR(RecData[[#This Row],[WSpd_Avg '[m/s']]]-RecData[[#This Row],[Wind Speed min]]&gt;=$DF$3,RecData[[#This Row],[Wind Speed max]]-RecData[[#This Row],[WSpd_Avg '[m/s']]]&gt;=$DF$2),TRUE,FALSE)</f>
        <v>0</v>
      </c>
      <c r="DG245" s="2" t="b">
        <f>RecData[[#This Row],[Temperature '[°C']]]&lt;=-20</f>
        <v>0</v>
      </c>
      <c r="DH245" s="18" t="b">
        <f>NOT(OR(MOD(RecData[[#This Row],[TIMESTAMP]],1)&gt;0.91632,MOD(RecData[[#This Row],[TIMESTAMP]],1)&lt;0.208681))</f>
        <v>0</v>
      </c>
      <c r="DI245" s="18" t="b">
        <f>RecData[[#This Row],[Overall (dBA)]]-RecData[[#This Row],[L90]]&gt;=$DS$4</f>
        <v>0</v>
      </c>
      <c r="DJ245" s="18" t="b">
        <f>RecData[[#This Row],[Overall (dBA)]]&gt;$DS$2</f>
        <v>0</v>
      </c>
      <c r="DK245" s="18" t="b">
        <f>RecData[[#This Row],[Overall (dBA)]]&lt;$DS$3</f>
        <v>0</v>
      </c>
      <c r="DL2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5" s="2">
        <f>IF(AND(RecData[[#This Row],[Turbines ON/OFF]] = "OFF", NOT(OR(RecData[[#This Row],[Junk?]]="YES",RecData[[#This Row],[Gust?]],RecData[[#This Row],[Rain?]:[Min SPL Threshold?]]))),1,0)</f>
        <v>1</v>
      </c>
      <c r="DN245" s="16">
        <f>RecData[[#This Row],[dBA Sum]]</f>
        <v>20.027217879233177</v>
      </c>
      <c r="DO245" s="16">
        <f>RecData[[#This Row],[LAF90.0]]</f>
        <v>44.3</v>
      </c>
      <c r="DP245" s="55" t="str">
        <f>IF(AND(RecData[[#This Row],[Useable TON Data?]],RecData[[#This Row],[Turbines ON/OFF]]="ON"),RecData[[#This Row],[dBA Sum]],"")</f>
        <v/>
      </c>
      <c r="DQ245" s="55">
        <f>IF(AND(RecData[[#This Row],[Useable Background Data?]],RecData[[#This Row],[Turbines ON/OFF]]="OFF"),RecData[[#This Row],[dBA Sum]],"")</f>
        <v>20.027217879233177</v>
      </c>
      <c r="DR245" s="3">
        <f>IF(OR(RecData[[#This Row],[Useable TON Data?]],RecData[[#This Row],[Useable Background Data?]]),ROUND(RecData[[#This Row],[WSpd_Avg '[m/s']]],0),"")</f>
        <v>0</v>
      </c>
      <c r="DS245" s="85">
        <f>(0.00002)^2*(10^(RecData[[#This Row],[Overall (dBA)]]/10))</f>
        <v>4.0251473118509309E-8</v>
      </c>
    </row>
    <row r="246" spans="1:123" ht="15" x14ac:dyDescent="0.25">
      <c r="A246" s="3" t="s">
        <v>249</v>
      </c>
      <c r="B246" s="12">
        <v>43260.92501157408</v>
      </c>
      <c r="C246" s="3"/>
      <c r="D246" s="3">
        <v>45.5</v>
      </c>
      <c r="E246" s="3"/>
      <c r="F246" s="3"/>
      <c r="G246" s="3"/>
      <c r="H246" s="3"/>
      <c r="I246" s="3"/>
      <c r="J246" s="3"/>
      <c r="K246" s="3">
        <v>44.4</v>
      </c>
      <c r="L246" s="3"/>
      <c r="M246" s="3"/>
      <c r="N246" s="3">
        <v>163.1</v>
      </c>
      <c r="O246" s="3"/>
      <c r="P246" s="3"/>
      <c r="Q246" s="3">
        <v>0.38</v>
      </c>
      <c r="R246" s="3">
        <v>0.3</v>
      </c>
      <c r="S246" s="3">
        <v>0.4</v>
      </c>
      <c r="T246" s="3">
        <v>14</v>
      </c>
      <c r="U246" s="3">
        <v>79.8</v>
      </c>
      <c r="V246" s="3">
        <v>975.2</v>
      </c>
      <c r="W246" s="3">
        <v>0</v>
      </c>
      <c r="X246" s="3">
        <v>18</v>
      </c>
      <c r="Y246" s="3">
        <v>14.8</v>
      </c>
      <c r="Z246" s="3">
        <v>17.100000000000001</v>
      </c>
      <c r="AA246" s="3">
        <v>8.5</v>
      </c>
      <c r="AB246" s="3">
        <v>8.9</v>
      </c>
      <c r="AC246" s="3">
        <v>7.3</v>
      </c>
      <c r="AD246" s="3">
        <v>9.1999999999999993</v>
      </c>
      <c r="AE246" s="3">
        <v>9.1</v>
      </c>
      <c r="AF246" s="3">
        <v>13.7</v>
      </c>
      <c r="AG246" s="3">
        <v>8.1999999999999993</v>
      </c>
      <c r="AH246" s="3">
        <v>7.9</v>
      </c>
      <c r="AI246" s="3">
        <v>8.5</v>
      </c>
      <c r="AJ246" s="3">
        <v>8.4</v>
      </c>
      <c r="AK246" s="3">
        <v>10</v>
      </c>
      <c r="AL246" s="3">
        <v>7.7</v>
      </c>
      <c r="AM246" s="3">
        <v>8</v>
      </c>
      <c r="AN246" s="3">
        <v>10.199999999999999</v>
      </c>
      <c r="AO246" s="3">
        <v>9.3000000000000007</v>
      </c>
      <c r="AP246" s="3">
        <v>9.5</v>
      </c>
      <c r="AQ246" s="3">
        <v>14.5</v>
      </c>
      <c r="AR246" s="3">
        <v>12.3</v>
      </c>
      <c r="AS246" s="3">
        <v>34.4</v>
      </c>
      <c r="AT246" s="3">
        <v>43.8</v>
      </c>
      <c r="AU246" s="3">
        <v>19.100000000000001</v>
      </c>
      <c r="AV246" s="3">
        <v>10.1</v>
      </c>
      <c r="AW246" s="3">
        <v>9.6</v>
      </c>
      <c r="AX246" s="3">
        <v>9.6</v>
      </c>
      <c r="AY246" s="3">
        <v>9.6999999999999993</v>
      </c>
      <c r="AZ246" s="3">
        <v>0</v>
      </c>
      <c r="BA246" s="3">
        <v>0</v>
      </c>
      <c r="BB246" s="3">
        <v>0</v>
      </c>
      <c r="BC246" s="3">
        <v>45.505443306642917</v>
      </c>
      <c r="BD246" s="3">
        <v>17.994556693357083</v>
      </c>
      <c r="BE246" s="3">
        <v>14.79455669335708</v>
      </c>
      <c r="BF246" s="3">
        <v>15.854556693357083</v>
      </c>
      <c r="BG246" s="3">
        <v>7.5812233600237491</v>
      </c>
      <c r="BH246" s="3">
        <v>8.1212233600237482</v>
      </c>
      <c r="BI246" s="3">
        <v>6.9345566933570808</v>
      </c>
      <c r="BJ246" s="3">
        <v>9.6278900266904159</v>
      </c>
      <c r="BK246" s="3">
        <v>9.4012233600237494</v>
      </c>
      <c r="BL246" s="3">
        <v>13.574556693357081</v>
      </c>
      <c r="BM246" s="3">
        <v>8.2078900266904213</v>
      </c>
      <c r="BN246" s="3">
        <v>8.1912233600237485</v>
      </c>
      <c r="BO246" s="3">
        <v>8.1578900266904171</v>
      </c>
      <c r="BP246" s="3">
        <v>7.7745566933570842</v>
      </c>
      <c r="BQ246" s="3">
        <v>9.7912233600237428</v>
      </c>
      <c r="BR246" s="3">
        <v>7.8178900266904208</v>
      </c>
      <c r="BS246" s="3">
        <v>7.9212233600237525</v>
      </c>
      <c r="BT246" s="3">
        <v>10.317890026690421</v>
      </c>
      <c r="BU246" s="3">
        <v>9.3845566933570836</v>
      </c>
      <c r="BV246" s="3">
        <v>9.3012233600237479</v>
      </c>
      <c r="BW246" s="3">
        <v>14.834556693357086</v>
      </c>
      <c r="BX246" s="3">
        <v>12.554556693357085</v>
      </c>
      <c r="BY246" s="3">
        <v>34.474556693357073</v>
      </c>
      <c r="BZ246" s="3">
        <v>44.004556693357074</v>
      </c>
      <c r="CA246" s="3">
        <v>19.40455669335708</v>
      </c>
      <c r="CB246" s="3">
        <v>9.8412233600237471</v>
      </c>
      <c r="CC246" s="3">
        <v>9.5545566933570854</v>
      </c>
      <c r="CD246" s="3">
        <v>8.8612233600237573</v>
      </c>
      <c r="CE246" s="3">
        <v>9.1545566933570797</v>
      </c>
      <c r="CF246" s="3">
        <v>-0.93210997330958634</v>
      </c>
      <c r="CG246" s="3">
        <v>-1.4654433066429178</v>
      </c>
      <c r="CH246" s="3">
        <v>-2.5421099733095858</v>
      </c>
      <c r="CI246" s="13">
        <f>[1]!dbasum(RecData[[#This Row],[20]:[2000]],RecData[[#Headers],[20]:[2000]])</f>
        <v>20.131554351408031</v>
      </c>
      <c r="CJ246" s="14">
        <v>4253</v>
      </c>
      <c r="CK246" s="15" t="s">
        <v>249</v>
      </c>
      <c r="CL246" s="15">
        <f>RecData[[#This Row],[Start Time]]</f>
        <v>43260.92501157408</v>
      </c>
      <c r="CM246" s="16">
        <f>RecData[[#This Row],[Wind Speed avg]]</f>
        <v>0.38</v>
      </c>
      <c r="CN246" s="16">
        <f>RecData[[#This Row],[Wind Dir. avg]]</f>
        <v>163.1</v>
      </c>
      <c r="CO246" s="16">
        <f>RecData[[#This Row],[Amb. Humidity]]</f>
        <v>79.8</v>
      </c>
      <c r="CP246" s="16">
        <f>RecData[[#This Row],[Amb. Temperature]]</f>
        <v>14</v>
      </c>
      <c r="CQ246" s="17">
        <f>RecData[[#This Row],[Amb. Rain Gauge]]</f>
        <v>0</v>
      </c>
      <c r="CR246" s="4" t="s">
        <v>50</v>
      </c>
      <c r="CS246" s="4" t="s">
        <v>49</v>
      </c>
      <c r="CT246" s="70">
        <v>-9.2069034579999993</v>
      </c>
      <c r="CU246" s="70">
        <v>248.00207520000001</v>
      </c>
      <c r="CV246" s="70">
        <v>1.2890479560000001</v>
      </c>
      <c r="CW246" s="70">
        <v>0</v>
      </c>
      <c r="CX246" s="4"/>
      <c r="CY246" s="69"/>
      <c r="CZ246" s="2" t="b">
        <f>IF($DP$1="YES",IF(RecData[[#This Row],[Power (kW)]]&gt;=$CR$3, TRUE,FALSE),TRUE)</f>
        <v>0</v>
      </c>
      <c r="DA246" s="16">
        <f>MIN(MOD(180-ABS(ABS($DA$1-RecData[Yaw Angle (°)])-180),360),MOD(180-ABS(ABS($DB$1-RecData[Yaw Angle (°)])-180),360))</f>
        <v>119.52785157768756</v>
      </c>
      <c r="DB246" s="2" t="str">
        <f>IF($DP$2="None","None",IF(RecData[[#This Row],[Relative Wind Direction]]&lt;=45,"DW",IF(RecData[[#This Row],[Relative Wind Direction]]&lt;=135,"CW","UW")))</f>
        <v>CW</v>
      </c>
      <c r="DC246" s="61">
        <f>IF($CL246-$CL242&gt;1/24,#REF!,IF(SUM($CQ242:$CQ246)&gt;$DS$1,$DS$5,DC247-1))</f>
        <v>-6</v>
      </c>
      <c r="DD246" s="61">
        <f>IF($CL247-$CL246&gt;1/24,#REF!,IF(SUM($CQ242:$CQ246)&gt;$DS$1,$DS$6,DD245-1))</f>
        <v>-5</v>
      </c>
      <c r="DE246" s="18" t="b">
        <v>0</v>
      </c>
      <c r="DF246" s="2" t="b">
        <f>IF(OR(RecData[[#This Row],[WSpd_Avg '[m/s']]]-RecData[[#This Row],[Wind Speed min]]&gt;=$DF$3,RecData[[#This Row],[Wind Speed max]]-RecData[[#This Row],[WSpd_Avg '[m/s']]]&gt;=$DF$2),TRUE,FALSE)</f>
        <v>0</v>
      </c>
      <c r="DG246" s="2" t="b">
        <f>RecData[[#This Row],[Temperature '[°C']]]&lt;=-20</f>
        <v>0</v>
      </c>
      <c r="DH246" s="18" t="b">
        <f>NOT(OR(MOD(RecData[[#This Row],[TIMESTAMP]],1)&gt;0.91632,MOD(RecData[[#This Row],[TIMESTAMP]],1)&lt;0.208681))</f>
        <v>0</v>
      </c>
      <c r="DI246" s="18" t="b">
        <f>RecData[[#This Row],[Overall (dBA)]]-RecData[[#This Row],[L90]]&gt;=$DS$4</f>
        <v>0</v>
      </c>
      <c r="DJ246" s="18" t="b">
        <f>RecData[[#This Row],[Overall (dBA)]]&gt;$DS$2</f>
        <v>0</v>
      </c>
      <c r="DK246" s="18" t="b">
        <f>RecData[[#This Row],[Overall (dBA)]]&lt;$DS$3</f>
        <v>0</v>
      </c>
      <c r="DL2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6" s="2">
        <f>IF(AND(RecData[[#This Row],[Turbines ON/OFF]] = "OFF", NOT(OR(RecData[[#This Row],[Junk?]]="YES",RecData[[#This Row],[Gust?]],RecData[[#This Row],[Rain?]:[Min SPL Threshold?]]))),1,0)</f>
        <v>1</v>
      </c>
      <c r="DN246" s="16">
        <f>RecData[[#This Row],[dBA Sum]]</f>
        <v>20.131554351408031</v>
      </c>
      <c r="DO246" s="16">
        <f>RecData[[#This Row],[LAF90.0]]</f>
        <v>44.4</v>
      </c>
      <c r="DP246" s="55" t="str">
        <f>IF(AND(RecData[[#This Row],[Useable TON Data?]],RecData[[#This Row],[Turbines ON/OFF]]="ON"),RecData[[#This Row],[dBA Sum]],"")</f>
        <v/>
      </c>
      <c r="DQ246" s="55">
        <f>IF(AND(RecData[[#This Row],[Useable Background Data?]],RecData[[#This Row],[Turbines ON/OFF]]="OFF"),RecData[[#This Row],[dBA Sum]],"")</f>
        <v>20.131554351408031</v>
      </c>
      <c r="DR246" s="3">
        <f>IF(OR(RecData[[#This Row],[Useable TON Data?]],RecData[[#This Row],[Useable Background Data?]]),ROUND(RecData[[#This Row],[WSpd_Avg '[m/s']]],0),"")</f>
        <v>0</v>
      </c>
      <c r="DS246" s="85">
        <f>(0.00002)^2*(10^(RecData[[#This Row],[Overall (dBA)]]/10))</f>
        <v>4.1230198574143743E-8</v>
      </c>
    </row>
    <row r="247" spans="1:123" ht="15" x14ac:dyDescent="0.25">
      <c r="A247" s="3" t="s">
        <v>249</v>
      </c>
      <c r="B247" s="12">
        <v>43260.925706018526</v>
      </c>
      <c r="C247" s="3"/>
      <c r="D247" s="3">
        <v>45.4</v>
      </c>
      <c r="E247" s="3"/>
      <c r="F247" s="3"/>
      <c r="G247" s="3"/>
      <c r="H247" s="3"/>
      <c r="I247" s="3"/>
      <c r="J247" s="3"/>
      <c r="K247" s="3">
        <v>44.4</v>
      </c>
      <c r="L247" s="3"/>
      <c r="M247" s="3"/>
      <c r="N247" s="3">
        <v>166.9</v>
      </c>
      <c r="O247" s="3"/>
      <c r="P247" s="3"/>
      <c r="Q247" s="3">
        <v>0.3</v>
      </c>
      <c r="R247" s="3">
        <v>0.2</v>
      </c>
      <c r="S247" s="3">
        <v>0.4</v>
      </c>
      <c r="T247" s="3">
        <v>14</v>
      </c>
      <c r="U247" s="3">
        <v>79.5</v>
      </c>
      <c r="V247" s="3">
        <v>975.3</v>
      </c>
      <c r="W247" s="3">
        <v>0</v>
      </c>
      <c r="X247" s="3">
        <v>17.7</v>
      </c>
      <c r="Y247" s="3">
        <v>17.5</v>
      </c>
      <c r="Z247" s="3">
        <v>18.8</v>
      </c>
      <c r="AA247" s="3">
        <v>13.8</v>
      </c>
      <c r="AB247" s="3">
        <v>12.6</v>
      </c>
      <c r="AC247" s="3">
        <v>9</v>
      </c>
      <c r="AD247" s="3">
        <v>9.6999999999999993</v>
      </c>
      <c r="AE247" s="3">
        <v>10</v>
      </c>
      <c r="AF247" s="3">
        <v>14.4</v>
      </c>
      <c r="AG247" s="3">
        <v>11.4</v>
      </c>
      <c r="AH247" s="3">
        <v>9.5</v>
      </c>
      <c r="AI247" s="3">
        <v>9</v>
      </c>
      <c r="AJ247" s="3">
        <v>8.6</v>
      </c>
      <c r="AK247" s="3">
        <v>9.6999999999999993</v>
      </c>
      <c r="AL247" s="3">
        <v>7.7</v>
      </c>
      <c r="AM247" s="3">
        <v>7.9</v>
      </c>
      <c r="AN247" s="3">
        <v>9.8000000000000007</v>
      </c>
      <c r="AO247" s="3">
        <v>8.6999999999999993</v>
      </c>
      <c r="AP247" s="3">
        <v>9.3000000000000007</v>
      </c>
      <c r="AQ247" s="3">
        <v>14.3</v>
      </c>
      <c r="AR247" s="3">
        <v>12.1</v>
      </c>
      <c r="AS247" s="3">
        <v>34.299999999999997</v>
      </c>
      <c r="AT247" s="3">
        <v>43.7</v>
      </c>
      <c r="AU247" s="3">
        <v>18.899999999999999</v>
      </c>
      <c r="AV247" s="3">
        <v>10.1</v>
      </c>
      <c r="AW247" s="3">
        <v>9.5</v>
      </c>
      <c r="AX247" s="3">
        <v>9.5</v>
      </c>
      <c r="AY247" s="3">
        <v>9.8000000000000007</v>
      </c>
      <c r="AZ247" s="3">
        <v>0</v>
      </c>
      <c r="BA247" s="3">
        <v>0</v>
      </c>
      <c r="BB247" s="3">
        <v>0</v>
      </c>
      <c r="BC247" s="3">
        <v>45.404965800900676</v>
      </c>
      <c r="BD247" s="3">
        <v>17.695034199099318</v>
      </c>
      <c r="BE247" s="3">
        <v>17.495034199099322</v>
      </c>
      <c r="BF247" s="3">
        <v>17.555034199099325</v>
      </c>
      <c r="BG247" s="3">
        <v>12.881700865765985</v>
      </c>
      <c r="BH247" s="3">
        <v>11.82170086576599</v>
      </c>
      <c r="BI247" s="3">
        <v>8.6350341990993229</v>
      </c>
      <c r="BJ247" s="3">
        <v>10.128367532432655</v>
      </c>
      <c r="BK247" s="3">
        <v>10.301700865765987</v>
      </c>
      <c r="BL247" s="3">
        <v>14.275034199099323</v>
      </c>
      <c r="BM247" s="3">
        <v>11.408367532432656</v>
      </c>
      <c r="BN247" s="3">
        <v>9.7917008657659892</v>
      </c>
      <c r="BO247" s="3">
        <v>8.6583675324326563</v>
      </c>
      <c r="BP247" s="3">
        <v>7.9750341990993192</v>
      </c>
      <c r="BQ247" s="3">
        <v>9.4917008657659778</v>
      </c>
      <c r="BR247" s="3">
        <v>7.81836753243266</v>
      </c>
      <c r="BS247" s="3">
        <v>7.8217008657659903</v>
      </c>
      <c r="BT247" s="3">
        <v>9.9183675324326614</v>
      </c>
      <c r="BU247" s="3">
        <v>8.7850341990993215</v>
      </c>
      <c r="BV247" s="3">
        <v>9.1017008657659915</v>
      </c>
      <c r="BW247" s="3">
        <v>14.63503419909933</v>
      </c>
      <c r="BX247" s="3">
        <v>12.355034199099329</v>
      </c>
      <c r="BY247" s="3">
        <v>34.375034199099325</v>
      </c>
      <c r="BZ247" s="3">
        <v>43.905034199099326</v>
      </c>
      <c r="CA247" s="3">
        <v>19.205034199099309</v>
      </c>
      <c r="CB247" s="3">
        <v>9.8417008657659864</v>
      </c>
      <c r="CC247" s="3">
        <v>9.4550341990993232</v>
      </c>
      <c r="CD247" s="3">
        <v>8.7617008657659952</v>
      </c>
      <c r="CE247" s="3">
        <v>9.2550341990993203</v>
      </c>
      <c r="CF247" s="3">
        <v>-0.93163246756734708</v>
      </c>
      <c r="CG247" s="3">
        <v>-1.4649658009006785</v>
      </c>
      <c r="CH247" s="3">
        <v>-2.5416324675673465</v>
      </c>
      <c r="CI247" s="13">
        <f>[1]!dbasum(RecData[[#This Row],[20]:[2000]],RecData[[#Headers],[20]:[2000]])</f>
        <v>19.936657685539561</v>
      </c>
      <c r="CJ247" s="14">
        <v>4254</v>
      </c>
      <c r="CK247" s="15" t="s">
        <v>249</v>
      </c>
      <c r="CL247" s="15">
        <f>RecData[[#This Row],[Start Time]]</f>
        <v>43260.925706018526</v>
      </c>
      <c r="CM247" s="16">
        <f>RecData[[#This Row],[Wind Speed avg]]</f>
        <v>0.3</v>
      </c>
      <c r="CN247" s="16">
        <f>RecData[[#This Row],[Wind Dir. avg]]</f>
        <v>166.9</v>
      </c>
      <c r="CO247" s="16">
        <f>RecData[[#This Row],[Amb. Humidity]]</f>
        <v>79.5</v>
      </c>
      <c r="CP247" s="16">
        <f>RecData[[#This Row],[Amb. Temperature]]</f>
        <v>14</v>
      </c>
      <c r="CQ247" s="17">
        <f>RecData[[#This Row],[Amb. Rain Gauge]]</f>
        <v>0</v>
      </c>
      <c r="CR247" s="4" t="s">
        <v>50</v>
      </c>
      <c r="CS247" s="4" t="s">
        <v>49</v>
      </c>
      <c r="CT247" s="70">
        <v>-9.2069034579999993</v>
      </c>
      <c r="CU247" s="70">
        <v>248.00207520000001</v>
      </c>
      <c r="CV247" s="70">
        <v>1.2890479560000001</v>
      </c>
      <c r="CW247" s="70">
        <v>0</v>
      </c>
      <c r="CX247" s="4"/>
      <c r="CY247" s="69"/>
      <c r="CZ247" s="2" t="b">
        <f>IF($DP$1="YES",IF(RecData[[#This Row],[Power (kW)]]&gt;=$CR$3, TRUE,FALSE),TRUE)</f>
        <v>0</v>
      </c>
      <c r="DA247" s="16">
        <f>MIN(MOD(180-ABS(ABS($DA$1-RecData[Yaw Angle (°)])-180),360),MOD(180-ABS(ABS($DB$1-RecData[Yaw Angle (°)])-180),360))</f>
        <v>119.52785157768756</v>
      </c>
      <c r="DB247" s="2" t="str">
        <f>IF($DP$2="None","None",IF(RecData[[#This Row],[Relative Wind Direction]]&lt;=45,"DW",IF(RecData[[#This Row],[Relative Wind Direction]]&lt;=135,"CW","UW")))</f>
        <v>CW</v>
      </c>
      <c r="DC247" s="61">
        <f>IF($CL247-$CL243&gt;1/24,#REF!,IF(SUM($CQ243:$CQ247)&gt;$DS$1,$DS$5,DC248-1))</f>
        <v>-5</v>
      </c>
      <c r="DD247" s="61">
        <f>IF($CL248-$CL247&gt;1/24,#REF!,IF(SUM($CQ243:$CQ247)&gt;$DS$1,$DS$6,DD246-1))</f>
        <v>-6</v>
      </c>
      <c r="DE247" s="18" t="b">
        <v>0</v>
      </c>
      <c r="DF247" s="2" t="b">
        <f>IF(OR(RecData[[#This Row],[WSpd_Avg '[m/s']]]-RecData[[#This Row],[Wind Speed min]]&gt;=$DF$3,RecData[[#This Row],[Wind Speed max]]-RecData[[#This Row],[WSpd_Avg '[m/s']]]&gt;=$DF$2),TRUE,FALSE)</f>
        <v>0</v>
      </c>
      <c r="DG247" s="2" t="b">
        <f>RecData[[#This Row],[Temperature '[°C']]]&lt;=-20</f>
        <v>0</v>
      </c>
      <c r="DH247" s="18" t="b">
        <f>NOT(OR(MOD(RecData[[#This Row],[TIMESTAMP]],1)&gt;0.91632,MOD(RecData[[#This Row],[TIMESTAMP]],1)&lt;0.208681))</f>
        <v>0</v>
      </c>
      <c r="DI247" s="18" t="b">
        <f>RecData[[#This Row],[Overall (dBA)]]-RecData[[#This Row],[L90]]&gt;=$DS$4</f>
        <v>0</v>
      </c>
      <c r="DJ247" s="18" t="b">
        <f>RecData[[#This Row],[Overall (dBA)]]&gt;$DS$2</f>
        <v>0</v>
      </c>
      <c r="DK247" s="18" t="b">
        <f>RecData[[#This Row],[Overall (dBA)]]&lt;$DS$3</f>
        <v>0</v>
      </c>
      <c r="DL2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7" s="2">
        <f>IF(AND(RecData[[#This Row],[Turbines ON/OFF]] = "OFF", NOT(OR(RecData[[#This Row],[Junk?]]="YES",RecData[[#This Row],[Gust?]],RecData[[#This Row],[Rain?]:[Min SPL Threshold?]]))),1,0)</f>
        <v>1</v>
      </c>
      <c r="DN247" s="16">
        <f>RecData[[#This Row],[dBA Sum]]</f>
        <v>19.936657685539561</v>
      </c>
      <c r="DO247" s="16">
        <f>RecData[[#This Row],[LAF90.0]]</f>
        <v>44.4</v>
      </c>
      <c r="DP247" s="55" t="str">
        <f>IF(AND(RecData[[#This Row],[Useable TON Data?]],RecData[[#This Row],[Turbines ON/OFF]]="ON"),RecData[[#This Row],[dBA Sum]],"")</f>
        <v/>
      </c>
      <c r="DQ247" s="55">
        <f>IF(AND(RecData[[#This Row],[Useable Background Data?]],RecData[[#This Row],[Turbines ON/OFF]]="OFF"),RecData[[#This Row],[dBA Sum]],"")</f>
        <v>19.936657685539561</v>
      </c>
      <c r="DR247" s="3">
        <f>IF(OR(RecData[[#This Row],[Useable TON Data?]],RecData[[#This Row],[Useable Background Data?]]),ROUND(RecData[[#This Row],[WSpd_Avg '[m/s']]],0),"")</f>
        <v>0</v>
      </c>
      <c r="DS247" s="85">
        <f>(0.00002)^2*(10^(RecData[[#This Row],[Overall (dBA)]]/10))</f>
        <v>3.9420829621793024E-8</v>
      </c>
    </row>
    <row r="248" spans="1:123" ht="15" x14ac:dyDescent="0.25">
      <c r="A248" s="3" t="s">
        <v>249</v>
      </c>
      <c r="B248" s="12">
        <v>43260.926400462973</v>
      </c>
      <c r="C248" s="3"/>
      <c r="D248" s="3">
        <v>45.6</v>
      </c>
      <c r="E248" s="3"/>
      <c r="F248" s="3"/>
      <c r="G248" s="3"/>
      <c r="H248" s="3"/>
      <c r="I248" s="3"/>
      <c r="J248" s="3"/>
      <c r="K248" s="3">
        <v>44.6</v>
      </c>
      <c r="L248" s="3"/>
      <c r="M248" s="3"/>
      <c r="N248" s="3">
        <v>167.6</v>
      </c>
      <c r="O248" s="3"/>
      <c r="P248" s="3"/>
      <c r="Q248" s="3">
        <v>0.3</v>
      </c>
      <c r="R248" s="3">
        <v>0.2</v>
      </c>
      <c r="S248" s="3">
        <v>0.4</v>
      </c>
      <c r="T248" s="3">
        <v>13.9</v>
      </c>
      <c r="U248" s="3">
        <v>79.2</v>
      </c>
      <c r="V248" s="3">
        <v>975.3</v>
      </c>
      <c r="W248" s="3">
        <v>0</v>
      </c>
      <c r="X248" s="3">
        <v>17.2</v>
      </c>
      <c r="Y248" s="3">
        <v>16.8</v>
      </c>
      <c r="Z248" s="3">
        <v>18.7</v>
      </c>
      <c r="AA248" s="3">
        <v>12.5</v>
      </c>
      <c r="AB248" s="3">
        <v>14.5</v>
      </c>
      <c r="AC248" s="3">
        <v>7.8</v>
      </c>
      <c r="AD248" s="3">
        <v>9.9</v>
      </c>
      <c r="AE248" s="3">
        <v>17.600000000000001</v>
      </c>
      <c r="AF248" s="3">
        <v>13.8</v>
      </c>
      <c r="AG248" s="3">
        <v>9.9</v>
      </c>
      <c r="AH248" s="3">
        <v>15.1</v>
      </c>
      <c r="AI248" s="3">
        <v>10.7</v>
      </c>
      <c r="AJ248" s="3">
        <v>12.2</v>
      </c>
      <c r="AK248" s="3">
        <v>11</v>
      </c>
      <c r="AL248" s="3">
        <v>8.3000000000000007</v>
      </c>
      <c r="AM248" s="3">
        <v>8.3000000000000007</v>
      </c>
      <c r="AN248" s="3">
        <v>9.8000000000000007</v>
      </c>
      <c r="AO248" s="3">
        <v>9.1</v>
      </c>
      <c r="AP248" s="3">
        <v>9.6999999999999993</v>
      </c>
      <c r="AQ248" s="3">
        <v>14.6</v>
      </c>
      <c r="AR248" s="3">
        <v>11.2</v>
      </c>
      <c r="AS248" s="3">
        <v>34.9</v>
      </c>
      <c r="AT248" s="3">
        <v>43.9</v>
      </c>
      <c r="AU248" s="3">
        <v>19.100000000000001</v>
      </c>
      <c r="AV248" s="3">
        <v>10.3</v>
      </c>
      <c r="AW248" s="3">
        <v>9.6999999999999993</v>
      </c>
      <c r="AX248" s="3">
        <v>9.6</v>
      </c>
      <c r="AY248" s="3">
        <v>9.8000000000000007</v>
      </c>
      <c r="AZ248" s="3">
        <v>0</v>
      </c>
      <c r="BA248" s="3">
        <v>0</v>
      </c>
      <c r="BB248" s="3">
        <v>0</v>
      </c>
      <c r="BC248" s="3">
        <v>45.648457490481391</v>
      </c>
      <c r="BD248" s="3">
        <v>17.151542509518606</v>
      </c>
      <c r="BE248" s="3">
        <v>16.751542509518615</v>
      </c>
      <c r="BF248" s="3">
        <v>17.411542509518611</v>
      </c>
      <c r="BG248" s="3">
        <v>11.538209176185276</v>
      </c>
      <c r="BH248" s="3">
        <v>13.678209176185277</v>
      </c>
      <c r="BI248" s="3">
        <v>7.391542509518608</v>
      </c>
      <c r="BJ248" s="3">
        <v>10.284875842851946</v>
      </c>
      <c r="BK248" s="3">
        <v>17.858209176185269</v>
      </c>
      <c r="BL248" s="3">
        <v>13.63154250951861</v>
      </c>
      <c r="BM248" s="3">
        <v>9.8648758428519443</v>
      </c>
      <c r="BN248" s="3">
        <v>15.348209176185279</v>
      </c>
      <c r="BO248" s="3">
        <v>10.314875842851947</v>
      </c>
      <c r="BP248" s="3">
        <v>11.531542509518609</v>
      </c>
      <c r="BQ248" s="3">
        <v>10.74820917618527</v>
      </c>
      <c r="BR248" s="3">
        <v>8.3748758428519494</v>
      </c>
      <c r="BS248" s="3">
        <v>8.1782091761852769</v>
      </c>
      <c r="BT248" s="3">
        <v>9.8748758428519494</v>
      </c>
      <c r="BU248" s="3">
        <v>9.1415425095186151</v>
      </c>
      <c r="BV248" s="3">
        <v>9.458209176185278</v>
      </c>
      <c r="BW248" s="3">
        <v>14.891542509518615</v>
      </c>
      <c r="BX248" s="3">
        <v>11.411542509518611</v>
      </c>
      <c r="BY248" s="3">
        <v>34.931542509518607</v>
      </c>
      <c r="BZ248" s="3">
        <v>44.061542509518617</v>
      </c>
      <c r="CA248" s="3">
        <v>19.3615425095186</v>
      </c>
      <c r="CB248" s="3">
        <v>9.9982091761852772</v>
      </c>
      <c r="CC248" s="3">
        <v>9.6115425095186069</v>
      </c>
      <c r="CD248" s="3">
        <v>8.8182091761852774</v>
      </c>
      <c r="CE248" s="3">
        <v>9.2115425095186083</v>
      </c>
      <c r="CF248" s="3">
        <v>-0.97512415714805911</v>
      </c>
      <c r="CG248" s="3">
        <v>-1.5084574904813906</v>
      </c>
      <c r="CH248" s="3">
        <v>-2.5851241571480585</v>
      </c>
      <c r="CI248" s="13">
        <f>[1]!dbasum(RecData[[#This Row],[20]:[2000]],RecData[[#Headers],[20]:[2000]])</f>
        <v>20.169175510216249</v>
      </c>
      <c r="CJ248" s="14">
        <v>4255</v>
      </c>
      <c r="CK248" s="15" t="s">
        <v>249</v>
      </c>
      <c r="CL248" s="15">
        <f>RecData[[#This Row],[Start Time]]</f>
        <v>43260.926400462973</v>
      </c>
      <c r="CM248" s="16">
        <f>RecData[[#This Row],[Wind Speed avg]]</f>
        <v>0.3</v>
      </c>
      <c r="CN248" s="16">
        <f>RecData[[#This Row],[Wind Dir. avg]]</f>
        <v>167.6</v>
      </c>
      <c r="CO248" s="16">
        <f>RecData[[#This Row],[Amb. Humidity]]</f>
        <v>79.2</v>
      </c>
      <c r="CP248" s="16">
        <f>RecData[[#This Row],[Amb. Temperature]]</f>
        <v>13.9</v>
      </c>
      <c r="CQ248" s="17">
        <f>RecData[[#This Row],[Amb. Rain Gauge]]</f>
        <v>0</v>
      </c>
      <c r="CR248" s="4" t="s">
        <v>50</v>
      </c>
      <c r="CS248" s="4" t="s">
        <v>49</v>
      </c>
      <c r="CT248" s="70">
        <v>-9.2069034579999993</v>
      </c>
      <c r="CU248" s="70">
        <v>248.00207520000001</v>
      </c>
      <c r="CV248" s="70">
        <v>1.2890479560000001</v>
      </c>
      <c r="CW248" s="70">
        <v>0</v>
      </c>
      <c r="CX248" s="4"/>
      <c r="CY248" s="69"/>
      <c r="CZ248" s="2" t="b">
        <f>IF($DP$1="YES",IF(RecData[[#This Row],[Power (kW)]]&gt;=$CR$3, TRUE,FALSE),TRUE)</f>
        <v>0</v>
      </c>
      <c r="DA248" s="16">
        <f>MIN(MOD(180-ABS(ABS($DA$1-RecData[Yaw Angle (°)])-180),360),MOD(180-ABS(ABS($DB$1-RecData[Yaw Angle (°)])-180),360))</f>
        <v>119.52785157768756</v>
      </c>
      <c r="DB248" s="2" t="str">
        <f>IF($DP$2="None","None",IF(RecData[[#This Row],[Relative Wind Direction]]&lt;=45,"DW",IF(RecData[[#This Row],[Relative Wind Direction]]&lt;=135,"CW","UW")))</f>
        <v>CW</v>
      </c>
      <c r="DC248" s="61">
        <f>IF($CL248-$CL244&gt;1/24,#REF!,IF(SUM($CQ244:$CQ248)&gt;$DS$1,$DS$5,DC249-1))</f>
        <v>-4</v>
      </c>
      <c r="DD248" s="61">
        <f>IF($CL249-$CL248&gt;1/24,#REF!,IF(SUM($CQ244:$CQ248)&gt;$DS$1,$DS$6,DD247-1))</f>
        <v>-7</v>
      </c>
      <c r="DE248" s="18" t="b">
        <v>0</v>
      </c>
      <c r="DF248" s="2" t="b">
        <f>IF(OR(RecData[[#This Row],[WSpd_Avg '[m/s']]]-RecData[[#This Row],[Wind Speed min]]&gt;=$DF$3,RecData[[#This Row],[Wind Speed max]]-RecData[[#This Row],[WSpd_Avg '[m/s']]]&gt;=$DF$2),TRUE,FALSE)</f>
        <v>0</v>
      </c>
      <c r="DG248" s="2" t="b">
        <f>RecData[[#This Row],[Temperature '[°C']]]&lt;=-20</f>
        <v>0</v>
      </c>
      <c r="DH248" s="18" t="b">
        <f>NOT(OR(MOD(RecData[[#This Row],[TIMESTAMP]],1)&gt;0.91632,MOD(RecData[[#This Row],[TIMESTAMP]],1)&lt;0.208681))</f>
        <v>0</v>
      </c>
      <c r="DI248" s="18" t="b">
        <f>RecData[[#This Row],[Overall (dBA)]]-RecData[[#This Row],[L90]]&gt;=$DS$4</f>
        <v>0</v>
      </c>
      <c r="DJ248" s="18" t="b">
        <f>RecData[[#This Row],[Overall (dBA)]]&gt;$DS$2</f>
        <v>0</v>
      </c>
      <c r="DK248" s="18" t="b">
        <f>RecData[[#This Row],[Overall (dBA)]]&lt;$DS$3</f>
        <v>0</v>
      </c>
      <c r="DL2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8" s="2">
        <f>IF(AND(RecData[[#This Row],[Turbines ON/OFF]] = "OFF", NOT(OR(RecData[[#This Row],[Junk?]]="YES",RecData[[#This Row],[Gust?]],RecData[[#This Row],[Rain?]:[Min SPL Threshold?]]))),1,0)</f>
        <v>1</v>
      </c>
      <c r="DN248" s="16">
        <f>RecData[[#This Row],[dBA Sum]]</f>
        <v>20.169175510216249</v>
      </c>
      <c r="DO248" s="16">
        <f>RecData[[#This Row],[LAF90.0]]</f>
        <v>44.6</v>
      </c>
      <c r="DP248" s="55" t="str">
        <f>IF(AND(RecData[[#This Row],[Useable TON Data?]],RecData[[#This Row],[Turbines ON/OFF]]="ON"),RecData[[#This Row],[dBA Sum]],"")</f>
        <v/>
      </c>
      <c r="DQ248" s="55">
        <f>IF(AND(RecData[[#This Row],[Useable Background Data?]],RecData[[#This Row],[Turbines ON/OFF]]="OFF"),RecData[[#This Row],[dBA Sum]],"")</f>
        <v>20.169175510216249</v>
      </c>
      <c r="DR248" s="3">
        <f>IF(OR(RecData[[#This Row],[Useable TON Data?]],RecData[[#This Row],[Useable Background Data?]]),ROUND(RecData[[#This Row],[WSpd_Avg '[m/s']]],0),"")</f>
        <v>0</v>
      </c>
      <c r="DS248" s="85">
        <f>(0.00002)^2*(10^(RecData[[#This Row],[Overall (dBA)]]/10))</f>
        <v>4.1588910404163042E-8</v>
      </c>
    </row>
    <row r="249" spans="1:123" ht="15" x14ac:dyDescent="0.25">
      <c r="A249" s="3" t="s">
        <v>249</v>
      </c>
      <c r="B249" s="12">
        <v>43260.927094907413</v>
      </c>
      <c r="C249" s="3"/>
      <c r="D249" s="3">
        <v>45.4</v>
      </c>
      <c r="E249" s="3"/>
      <c r="F249" s="3"/>
      <c r="G249" s="3"/>
      <c r="H249" s="3"/>
      <c r="I249" s="3"/>
      <c r="J249" s="3"/>
      <c r="K249" s="3">
        <v>44.3</v>
      </c>
      <c r="L249" s="3"/>
      <c r="M249" s="3"/>
      <c r="N249" s="3">
        <v>162.4</v>
      </c>
      <c r="O249" s="3"/>
      <c r="P249" s="3"/>
      <c r="Q249" s="3">
        <v>0.28999999999999998</v>
      </c>
      <c r="R249" s="3">
        <v>0.2</v>
      </c>
      <c r="S249" s="3">
        <v>0.4</v>
      </c>
      <c r="T249" s="3">
        <v>13.9</v>
      </c>
      <c r="U249" s="3">
        <v>79.099999999999994</v>
      </c>
      <c r="V249" s="3">
        <v>975.3</v>
      </c>
      <c r="W249" s="3">
        <v>0</v>
      </c>
      <c r="X249" s="3">
        <v>17.399999999999999</v>
      </c>
      <c r="Y249" s="3">
        <v>13.8</v>
      </c>
      <c r="Z249" s="3">
        <v>18.600000000000001</v>
      </c>
      <c r="AA249" s="3">
        <v>8.8000000000000007</v>
      </c>
      <c r="AB249" s="3">
        <v>12</v>
      </c>
      <c r="AC249" s="3">
        <v>7.2</v>
      </c>
      <c r="AD249" s="3">
        <v>8.6</v>
      </c>
      <c r="AE249" s="3">
        <v>13.1</v>
      </c>
      <c r="AF249" s="3">
        <v>14.1</v>
      </c>
      <c r="AG249" s="3">
        <v>9.8000000000000007</v>
      </c>
      <c r="AH249" s="3">
        <v>12</v>
      </c>
      <c r="AI249" s="3">
        <v>9.9</v>
      </c>
      <c r="AJ249" s="3">
        <v>10.1</v>
      </c>
      <c r="AK249" s="3">
        <v>9.9</v>
      </c>
      <c r="AL249" s="3">
        <v>7.8</v>
      </c>
      <c r="AM249" s="3">
        <v>7.9</v>
      </c>
      <c r="AN249" s="3">
        <v>9.6</v>
      </c>
      <c r="AO249" s="3">
        <v>8.6999999999999993</v>
      </c>
      <c r="AP249" s="3">
        <v>9.5</v>
      </c>
      <c r="AQ249" s="3">
        <v>14.5</v>
      </c>
      <c r="AR249" s="3">
        <v>11.2</v>
      </c>
      <c r="AS249" s="3">
        <v>34.700000000000003</v>
      </c>
      <c r="AT249" s="3">
        <v>43.7</v>
      </c>
      <c r="AU249" s="3">
        <v>18.8</v>
      </c>
      <c r="AV249" s="3">
        <v>10.199999999999999</v>
      </c>
      <c r="AW249" s="3">
        <v>9.6999999999999993</v>
      </c>
      <c r="AX249" s="3">
        <v>9.6</v>
      </c>
      <c r="AY249" s="3">
        <v>9.8000000000000007</v>
      </c>
      <c r="AZ249" s="3">
        <v>0</v>
      </c>
      <c r="BA249" s="3">
        <v>0</v>
      </c>
      <c r="BB249" s="3">
        <v>0</v>
      </c>
      <c r="BC249" s="3">
        <v>45.447975914820169</v>
      </c>
      <c r="BD249" s="3">
        <v>17.352024085179828</v>
      </c>
      <c r="BE249" s="3">
        <v>13.752024085179833</v>
      </c>
      <c r="BF249" s="3">
        <v>17.312024085179836</v>
      </c>
      <c r="BG249" s="3">
        <v>7.8386907518464923</v>
      </c>
      <c r="BH249" s="3">
        <v>11.178690751846496</v>
      </c>
      <c r="BI249" s="3">
        <v>6.7920240851798326</v>
      </c>
      <c r="BJ249" s="3">
        <v>8.9853574185131606</v>
      </c>
      <c r="BK249" s="3">
        <v>13.358690751846488</v>
      </c>
      <c r="BL249" s="3">
        <v>13.932024085179826</v>
      </c>
      <c r="BM249" s="3">
        <v>9.7653574185131689</v>
      </c>
      <c r="BN249" s="3">
        <v>12.248690751846496</v>
      </c>
      <c r="BO249" s="3">
        <v>9.5153574185131689</v>
      </c>
      <c r="BP249" s="3">
        <v>9.432024085179826</v>
      </c>
      <c r="BQ249" s="3">
        <v>9.6486907518464875</v>
      </c>
      <c r="BR249" s="3">
        <v>7.8753574185131612</v>
      </c>
      <c r="BS249" s="3">
        <v>7.7786907518464972</v>
      </c>
      <c r="BT249" s="3">
        <v>9.6753574185131654</v>
      </c>
      <c r="BU249" s="3">
        <v>8.7420240851798283</v>
      </c>
      <c r="BV249" s="3">
        <v>9.258690751846494</v>
      </c>
      <c r="BW249" s="3">
        <v>14.792024085179833</v>
      </c>
      <c r="BX249" s="3">
        <v>11.41202408517983</v>
      </c>
      <c r="BY249" s="3">
        <v>34.732024085179837</v>
      </c>
      <c r="BZ249" s="3">
        <v>43.862024085179833</v>
      </c>
      <c r="CA249" s="3">
        <v>19.062024085179821</v>
      </c>
      <c r="CB249" s="3">
        <v>9.8986907518464946</v>
      </c>
      <c r="CC249" s="3">
        <v>9.6120240851798258</v>
      </c>
      <c r="CD249" s="3">
        <v>8.8186907518464963</v>
      </c>
      <c r="CE249" s="3">
        <v>9.2120240851798272</v>
      </c>
      <c r="CF249" s="3">
        <v>-0.97464258148684024</v>
      </c>
      <c r="CG249" s="3">
        <v>-1.5079759148201717</v>
      </c>
      <c r="CH249" s="3">
        <v>-2.5846425814868397</v>
      </c>
      <c r="CI249" s="13">
        <f>[1]!dbasum(RecData[[#This Row],[20]:[2000]],RecData[[#Headers],[20]:[2000]])</f>
        <v>19.850169341566257</v>
      </c>
      <c r="CJ249" s="14">
        <v>4256</v>
      </c>
      <c r="CK249" s="15" t="s">
        <v>249</v>
      </c>
      <c r="CL249" s="15">
        <f>RecData[[#This Row],[Start Time]]</f>
        <v>43260.927094907413</v>
      </c>
      <c r="CM249" s="16">
        <f>RecData[[#This Row],[Wind Speed avg]]</f>
        <v>0.28999999999999998</v>
      </c>
      <c r="CN249" s="16">
        <f>RecData[[#This Row],[Wind Dir. avg]]</f>
        <v>162.4</v>
      </c>
      <c r="CO249" s="16">
        <f>RecData[[#This Row],[Amb. Humidity]]</f>
        <v>79.099999999999994</v>
      </c>
      <c r="CP249" s="16">
        <f>RecData[[#This Row],[Amb. Temperature]]</f>
        <v>13.9</v>
      </c>
      <c r="CQ249" s="17">
        <f>RecData[[#This Row],[Amb. Rain Gauge]]</f>
        <v>0</v>
      </c>
      <c r="CR249" s="4" t="s">
        <v>50</v>
      </c>
      <c r="CS249" s="4" t="s">
        <v>49</v>
      </c>
      <c r="CT249" s="70">
        <v>-9.2069034579999993</v>
      </c>
      <c r="CU249" s="70">
        <v>248.00207520000001</v>
      </c>
      <c r="CV249" s="70">
        <v>1.2890479560000001</v>
      </c>
      <c r="CW249" s="70">
        <v>0</v>
      </c>
      <c r="CX249" s="4"/>
      <c r="CY249" s="69"/>
      <c r="CZ249" s="2" t="b">
        <f>IF($DP$1="YES",IF(RecData[[#This Row],[Power (kW)]]&gt;=$CR$3, TRUE,FALSE),TRUE)</f>
        <v>0</v>
      </c>
      <c r="DA249" s="16">
        <f>MIN(MOD(180-ABS(ABS($DA$1-RecData[Yaw Angle (°)])-180),360),MOD(180-ABS(ABS($DB$1-RecData[Yaw Angle (°)])-180),360))</f>
        <v>119.52785157768756</v>
      </c>
      <c r="DB249" s="2" t="str">
        <f>IF($DP$2="None","None",IF(RecData[[#This Row],[Relative Wind Direction]]&lt;=45,"DW",IF(RecData[[#This Row],[Relative Wind Direction]]&lt;=135,"CW","UW")))</f>
        <v>CW</v>
      </c>
      <c r="DC249" s="61">
        <f>IF($CL249-$CL245&gt;1/24,#REF!,IF(SUM($CQ245:$CQ249)&gt;$DS$1,$DS$5,DC250-1))</f>
        <v>-3</v>
      </c>
      <c r="DD249" s="61">
        <f>IF($CL250-$CL249&gt;1/24,#REF!,IF(SUM($CQ245:$CQ249)&gt;$DS$1,$DS$6,DD248-1))</f>
        <v>-8</v>
      </c>
      <c r="DE249" s="18" t="b">
        <v>0</v>
      </c>
      <c r="DF249" s="2" t="b">
        <f>IF(OR(RecData[[#This Row],[WSpd_Avg '[m/s']]]-RecData[[#This Row],[Wind Speed min]]&gt;=$DF$3,RecData[[#This Row],[Wind Speed max]]-RecData[[#This Row],[WSpd_Avg '[m/s']]]&gt;=$DF$2),TRUE,FALSE)</f>
        <v>0</v>
      </c>
      <c r="DG249" s="2" t="b">
        <f>RecData[[#This Row],[Temperature '[°C']]]&lt;=-20</f>
        <v>0</v>
      </c>
      <c r="DH249" s="18" t="b">
        <f>NOT(OR(MOD(RecData[[#This Row],[TIMESTAMP]],1)&gt;0.91632,MOD(RecData[[#This Row],[TIMESTAMP]],1)&lt;0.208681))</f>
        <v>0</v>
      </c>
      <c r="DI249" s="18" t="b">
        <f>RecData[[#This Row],[Overall (dBA)]]-RecData[[#This Row],[L90]]&gt;=$DS$4</f>
        <v>0</v>
      </c>
      <c r="DJ249" s="18" t="b">
        <f>RecData[[#This Row],[Overall (dBA)]]&gt;$DS$2</f>
        <v>0</v>
      </c>
      <c r="DK249" s="18" t="b">
        <f>RecData[[#This Row],[Overall (dBA)]]&lt;$DS$3</f>
        <v>0</v>
      </c>
      <c r="DL2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49" s="2">
        <f>IF(AND(RecData[[#This Row],[Turbines ON/OFF]] = "OFF", NOT(OR(RecData[[#This Row],[Junk?]]="YES",RecData[[#This Row],[Gust?]],RecData[[#This Row],[Rain?]:[Min SPL Threshold?]]))),1,0)</f>
        <v>1</v>
      </c>
      <c r="DN249" s="16">
        <f>RecData[[#This Row],[dBA Sum]]</f>
        <v>19.850169341566257</v>
      </c>
      <c r="DO249" s="16">
        <f>RecData[[#This Row],[LAF90.0]]</f>
        <v>44.3</v>
      </c>
      <c r="DP249" s="55" t="str">
        <f>IF(AND(RecData[[#This Row],[Useable TON Data?]],RecData[[#This Row],[Turbines ON/OFF]]="ON"),RecData[[#This Row],[dBA Sum]],"")</f>
        <v/>
      </c>
      <c r="DQ249" s="55">
        <f>IF(AND(RecData[[#This Row],[Useable Background Data?]],RecData[[#This Row],[Turbines ON/OFF]]="OFF"),RecData[[#This Row],[dBA Sum]],"")</f>
        <v>19.850169341566257</v>
      </c>
      <c r="DR249" s="3">
        <f>IF(OR(RecData[[#This Row],[Useable TON Data?]],RecData[[#This Row],[Useable Background Data?]]),ROUND(RecData[[#This Row],[WSpd_Avg '[m/s']]],0),"")</f>
        <v>0</v>
      </c>
      <c r="DS249" s="85">
        <f>(0.00002)^2*(10^(RecData[[#This Row],[Overall (dBA)]]/10))</f>
        <v>3.8643541932210846E-8</v>
      </c>
    </row>
    <row r="250" spans="1:123" ht="15" x14ac:dyDescent="0.25">
      <c r="A250" s="3" t="s">
        <v>249</v>
      </c>
      <c r="B250" s="12">
        <v>43260.927789351859</v>
      </c>
      <c r="C250" s="3"/>
      <c r="D250" s="3">
        <v>45.9</v>
      </c>
      <c r="E250" s="3"/>
      <c r="F250" s="3"/>
      <c r="G250" s="3"/>
      <c r="H250" s="3"/>
      <c r="I250" s="3"/>
      <c r="J250" s="3"/>
      <c r="K250" s="3">
        <v>44.7</v>
      </c>
      <c r="L250" s="3"/>
      <c r="M250" s="3"/>
      <c r="N250" s="3">
        <v>161.30000000000001</v>
      </c>
      <c r="O250" s="3"/>
      <c r="P250" s="3"/>
      <c r="Q250" s="3">
        <v>0.23</v>
      </c>
      <c r="R250" s="3">
        <v>0.1</v>
      </c>
      <c r="S250" s="3">
        <v>0.3</v>
      </c>
      <c r="T250" s="3">
        <v>13.9</v>
      </c>
      <c r="U250" s="3">
        <v>79.3</v>
      </c>
      <c r="V250" s="3">
        <v>975.3</v>
      </c>
      <c r="W250" s="3">
        <v>0</v>
      </c>
      <c r="X250" s="3">
        <v>18.8</v>
      </c>
      <c r="Y250" s="3">
        <v>16</v>
      </c>
      <c r="Z250" s="3">
        <v>19.8</v>
      </c>
      <c r="AA250" s="3">
        <v>10.8</v>
      </c>
      <c r="AB250" s="3">
        <v>12.4</v>
      </c>
      <c r="AC250" s="3">
        <v>7.9</v>
      </c>
      <c r="AD250" s="3">
        <v>9.3000000000000007</v>
      </c>
      <c r="AE250" s="3">
        <v>11.1</v>
      </c>
      <c r="AF250" s="3">
        <v>12.9</v>
      </c>
      <c r="AG250" s="3">
        <v>9.4</v>
      </c>
      <c r="AH250" s="3">
        <v>9.9</v>
      </c>
      <c r="AI250" s="3">
        <v>10.1</v>
      </c>
      <c r="AJ250" s="3">
        <v>10.1</v>
      </c>
      <c r="AK250" s="3">
        <v>9.8000000000000007</v>
      </c>
      <c r="AL250" s="3">
        <v>7.3</v>
      </c>
      <c r="AM250" s="3">
        <v>7.6</v>
      </c>
      <c r="AN250" s="3">
        <v>9.1999999999999993</v>
      </c>
      <c r="AO250" s="3">
        <v>8.1999999999999993</v>
      </c>
      <c r="AP250" s="3">
        <v>9.1</v>
      </c>
      <c r="AQ250" s="3">
        <v>14.3</v>
      </c>
      <c r="AR250" s="3">
        <v>10.199999999999999</v>
      </c>
      <c r="AS250" s="3">
        <v>34.799999999999997</v>
      </c>
      <c r="AT250" s="3">
        <v>44.2</v>
      </c>
      <c r="AU250" s="3">
        <v>19.2</v>
      </c>
      <c r="AV250" s="3">
        <v>10.3</v>
      </c>
      <c r="AW250" s="3">
        <v>9.6</v>
      </c>
      <c r="AX250" s="3">
        <v>9.5</v>
      </c>
      <c r="AY250" s="3">
        <v>9.6999999999999993</v>
      </c>
      <c r="AZ250" s="3">
        <v>0</v>
      </c>
      <c r="BA250" s="3">
        <v>0</v>
      </c>
      <c r="BB250" s="3">
        <v>0</v>
      </c>
      <c r="BC250" s="3">
        <v>45.90167712318555</v>
      </c>
      <c r="BD250" s="3">
        <v>18.798322876814453</v>
      </c>
      <c r="BE250" s="3">
        <v>15.998322876814449</v>
      </c>
      <c r="BF250" s="3">
        <v>18.558322876814458</v>
      </c>
      <c r="BG250" s="3">
        <v>9.8849895434811117</v>
      </c>
      <c r="BH250" s="3">
        <v>11.624989543481121</v>
      </c>
      <c r="BI250" s="3">
        <v>7.5383228768144477</v>
      </c>
      <c r="BJ250" s="3">
        <v>9.7316562101477828</v>
      </c>
      <c r="BK250" s="3">
        <v>11.404989543481108</v>
      </c>
      <c r="BL250" s="3">
        <v>12.77832287681445</v>
      </c>
      <c r="BM250" s="3">
        <v>9.4116562101477825</v>
      </c>
      <c r="BN250" s="3">
        <v>10.194989543481114</v>
      </c>
      <c r="BO250" s="3">
        <v>9.761656210147784</v>
      </c>
      <c r="BP250" s="3">
        <v>9.4783228768144454</v>
      </c>
      <c r="BQ250" s="3">
        <v>9.5949895434811054</v>
      </c>
      <c r="BR250" s="3">
        <v>7.4216562101477805</v>
      </c>
      <c r="BS250" s="3">
        <v>7.5249895434811123</v>
      </c>
      <c r="BT250" s="3">
        <v>9.3216562101477791</v>
      </c>
      <c r="BU250" s="3">
        <v>8.2883228768144477</v>
      </c>
      <c r="BV250" s="3">
        <v>8.9049895434811148</v>
      </c>
      <c r="BW250" s="3">
        <v>14.638322876814456</v>
      </c>
      <c r="BX250" s="3">
        <v>10.458322876814449</v>
      </c>
      <c r="BY250" s="3">
        <v>34.878322876814451</v>
      </c>
      <c r="BZ250" s="3">
        <v>44.408322876814452</v>
      </c>
      <c r="CA250" s="3">
        <v>19.508322876814447</v>
      </c>
      <c r="CB250" s="3">
        <v>10.044989543481115</v>
      </c>
      <c r="CC250" s="3">
        <v>9.5583228768144437</v>
      </c>
      <c r="CD250" s="3">
        <v>8.7649895434811214</v>
      </c>
      <c r="CE250" s="3">
        <v>9.1583228768144451</v>
      </c>
      <c r="CF250" s="3">
        <v>-0.92834378985222088</v>
      </c>
      <c r="CG250" s="3">
        <v>-1.4616771231855523</v>
      </c>
      <c r="CH250" s="3">
        <v>-2.5383437898522203</v>
      </c>
      <c r="CI250" s="13">
        <f>[1]!dbasum(RecData[[#This Row],[20]:[2000]],RecData[[#Headers],[20]:[2000]])</f>
        <v>19.46319574393754</v>
      </c>
      <c r="CJ250" s="14">
        <v>4257</v>
      </c>
      <c r="CK250" s="15" t="s">
        <v>249</v>
      </c>
      <c r="CL250" s="15">
        <f>RecData[[#This Row],[Start Time]]</f>
        <v>43260.927789351859</v>
      </c>
      <c r="CM250" s="16">
        <f>RecData[[#This Row],[Wind Speed avg]]</f>
        <v>0.23</v>
      </c>
      <c r="CN250" s="16">
        <f>RecData[[#This Row],[Wind Dir. avg]]</f>
        <v>161.30000000000001</v>
      </c>
      <c r="CO250" s="16">
        <f>RecData[[#This Row],[Amb. Humidity]]</f>
        <v>79.3</v>
      </c>
      <c r="CP250" s="16">
        <f>RecData[[#This Row],[Amb. Temperature]]</f>
        <v>13.9</v>
      </c>
      <c r="CQ250" s="17">
        <f>RecData[[#This Row],[Amb. Rain Gauge]]</f>
        <v>0</v>
      </c>
      <c r="CR250" s="4" t="s">
        <v>50</v>
      </c>
      <c r="CS250" s="4" t="s">
        <v>49</v>
      </c>
      <c r="CT250" s="70">
        <v>-9.2069034579999993</v>
      </c>
      <c r="CU250" s="70">
        <v>248.00207520000001</v>
      </c>
      <c r="CV250" s="70">
        <v>1.2890479560000001</v>
      </c>
      <c r="CW250" s="70">
        <v>0</v>
      </c>
      <c r="CX250" s="4"/>
      <c r="CY250" s="69"/>
      <c r="CZ250" s="2" t="b">
        <f>IF($DP$1="YES",IF(RecData[[#This Row],[Power (kW)]]&gt;=$CR$3, TRUE,FALSE),TRUE)</f>
        <v>0</v>
      </c>
      <c r="DA250" s="16">
        <f>MIN(MOD(180-ABS(ABS($DA$1-RecData[Yaw Angle (°)])-180),360),MOD(180-ABS(ABS($DB$1-RecData[Yaw Angle (°)])-180),360))</f>
        <v>119.52785157768756</v>
      </c>
      <c r="DB250" s="2" t="str">
        <f>IF($DP$2="None","None",IF(RecData[[#This Row],[Relative Wind Direction]]&lt;=45,"DW",IF(RecData[[#This Row],[Relative Wind Direction]]&lt;=135,"CW","UW")))</f>
        <v>CW</v>
      </c>
      <c r="DC250" s="61">
        <f>IF($CL250-$CL246&gt;1/24,#REF!,IF(SUM($CQ246:$CQ250)&gt;$DS$1,$DS$5,DC251-1))</f>
        <v>-2</v>
      </c>
      <c r="DD250" s="61">
        <f>IF($CL251-$CL250&gt;1/24,#REF!,IF(SUM($CQ246:$CQ250)&gt;$DS$1,$DS$6,DD249-1))</f>
        <v>-9</v>
      </c>
      <c r="DE250" s="18" t="b">
        <v>0</v>
      </c>
      <c r="DF250" s="2" t="b">
        <f>IF(OR(RecData[[#This Row],[WSpd_Avg '[m/s']]]-RecData[[#This Row],[Wind Speed min]]&gt;=$DF$3,RecData[[#This Row],[Wind Speed max]]-RecData[[#This Row],[WSpd_Avg '[m/s']]]&gt;=$DF$2),TRUE,FALSE)</f>
        <v>0</v>
      </c>
      <c r="DG250" s="2" t="b">
        <f>RecData[[#This Row],[Temperature '[°C']]]&lt;=-20</f>
        <v>0</v>
      </c>
      <c r="DH250" s="18" t="b">
        <f>NOT(OR(MOD(RecData[[#This Row],[TIMESTAMP]],1)&gt;0.91632,MOD(RecData[[#This Row],[TIMESTAMP]],1)&lt;0.208681))</f>
        <v>0</v>
      </c>
      <c r="DI250" s="18" t="b">
        <f>RecData[[#This Row],[Overall (dBA)]]-RecData[[#This Row],[L90]]&gt;=$DS$4</f>
        <v>0</v>
      </c>
      <c r="DJ250" s="18" t="b">
        <f>RecData[[#This Row],[Overall (dBA)]]&gt;$DS$2</f>
        <v>0</v>
      </c>
      <c r="DK250" s="18" t="b">
        <f>RecData[[#This Row],[Overall (dBA)]]&lt;$DS$3</f>
        <v>0</v>
      </c>
      <c r="DL2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0" s="2">
        <f>IF(AND(RecData[[#This Row],[Turbines ON/OFF]] = "OFF", NOT(OR(RecData[[#This Row],[Junk?]]="YES",RecData[[#This Row],[Gust?]],RecData[[#This Row],[Rain?]:[Min SPL Threshold?]]))),1,0)</f>
        <v>1</v>
      </c>
      <c r="DN250" s="16">
        <f>RecData[[#This Row],[dBA Sum]]</f>
        <v>19.46319574393754</v>
      </c>
      <c r="DO250" s="16">
        <f>RecData[[#This Row],[LAF90.0]]</f>
        <v>44.7</v>
      </c>
      <c r="DP250" s="55" t="str">
        <f>IF(AND(RecData[[#This Row],[Useable TON Data?]],RecData[[#This Row],[Turbines ON/OFF]]="ON"),RecData[[#This Row],[dBA Sum]],"")</f>
        <v/>
      </c>
      <c r="DQ250" s="55">
        <f>IF(AND(RecData[[#This Row],[Useable Background Data?]],RecData[[#This Row],[Turbines ON/OFF]]="OFF"),RecData[[#This Row],[dBA Sum]],"")</f>
        <v>19.46319574393754</v>
      </c>
      <c r="DR250" s="3">
        <f>IF(OR(RecData[[#This Row],[Useable TON Data?]],RecData[[#This Row],[Useable Background Data?]]),ROUND(RecData[[#This Row],[WSpd_Avg '[m/s']]],0),"")</f>
        <v>0</v>
      </c>
      <c r="DS250" s="85">
        <f>(0.00002)^2*(10^(RecData[[#This Row],[Overall (dBA)]]/10))</f>
        <v>3.5349198058460452E-8</v>
      </c>
    </row>
    <row r="251" spans="1:123" ht="15" x14ac:dyDescent="0.25">
      <c r="A251" s="3" t="s">
        <v>249</v>
      </c>
      <c r="B251" s="12">
        <v>43260.928483796306</v>
      </c>
      <c r="C251" s="3"/>
      <c r="D251" s="3">
        <v>45.2</v>
      </c>
      <c r="E251" s="3"/>
      <c r="F251" s="3"/>
      <c r="G251" s="3"/>
      <c r="H251" s="3"/>
      <c r="I251" s="3"/>
      <c r="J251" s="3"/>
      <c r="K251" s="3">
        <v>44</v>
      </c>
      <c r="L251" s="3"/>
      <c r="M251" s="3"/>
      <c r="N251" s="3">
        <v>156.30000000000001</v>
      </c>
      <c r="O251" s="3"/>
      <c r="P251" s="3"/>
      <c r="Q251" s="3">
        <v>0.25</v>
      </c>
      <c r="R251" s="3">
        <v>0.2</v>
      </c>
      <c r="S251" s="3">
        <v>0.3</v>
      </c>
      <c r="T251" s="3">
        <v>13.9</v>
      </c>
      <c r="U251" s="3">
        <v>79.900000000000006</v>
      </c>
      <c r="V251" s="3">
        <v>975.3</v>
      </c>
      <c r="W251" s="3">
        <v>0</v>
      </c>
      <c r="X251" s="3">
        <v>18.5</v>
      </c>
      <c r="Y251" s="3">
        <v>17.600000000000001</v>
      </c>
      <c r="Z251" s="3">
        <v>23.5</v>
      </c>
      <c r="AA251" s="3">
        <v>9.5</v>
      </c>
      <c r="AB251" s="3">
        <v>14.3</v>
      </c>
      <c r="AC251" s="3">
        <v>9.1999999999999993</v>
      </c>
      <c r="AD251" s="3">
        <v>10</v>
      </c>
      <c r="AE251" s="3">
        <v>18.100000000000001</v>
      </c>
      <c r="AF251" s="3">
        <v>10.6</v>
      </c>
      <c r="AG251" s="3">
        <v>11.5</v>
      </c>
      <c r="AH251" s="3">
        <v>15.6</v>
      </c>
      <c r="AI251" s="3">
        <v>11.5</v>
      </c>
      <c r="AJ251" s="3">
        <v>12.6</v>
      </c>
      <c r="AK251" s="3">
        <v>11.1</v>
      </c>
      <c r="AL251" s="3">
        <v>10.9</v>
      </c>
      <c r="AM251" s="3">
        <v>8.1999999999999993</v>
      </c>
      <c r="AN251" s="3">
        <v>9.6999999999999993</v>
      </c>
      <c r="AO251" s="3">
        <v>8.8000000000000007</v>
      </c>
      <c r="AP251" s="3">
        <v>9.5</v>
      </c>
      <c r="AQ251" s="3">
        <v>13.9</v>
      </c>
      <c r="AR251" s="3">
        <v>9.9</v>
      </c>
      <c r="AS251" s="3">
        <v>34.5</v>
      </c>
      <c r="AT251" s="3">
        <v>43.4</v>
      </c>
      <c r="AU251" s="3">
        <v>18.600000000000001</v>
      </c>
      <c r="AV251" s="3">
        <v>10.3</v>
      </c>
      <c r="AW251" s="3">
        <v>9.6999999999999993</v>
      </c>
      <c r="AX251" s="3">
        <v>9.6999999999999993</v>
      </c>
      <c r="AY251" s="3">
        <v>10.1</v>
      </c>
      <c r="AZ251" s="3">
        <v>0</v>
      </c>
      <c r="BA251" s="3">
        <v>0</v>
      </c>
      <c r="BB251" s="3">
        <v>0</v>
      </c>
      <c r="BC251" s="3">
        <v>45.16087426835476</v>
      </c>
      <c r="BD251" s="3">
        <v>18.539125731645242</v>
      </c>
      <c r="BE251" s="3">
        <v>17.639125731645244</v>
      </c>
      <c r="BF251" s="3">
        <v>22.299125731645248</v>
      </c>
      <c r="BG251" s="3">
        <v>8.6257923983119085</v>
      </c>
      <c r="BH251" s="3">
        <v>13.565792398311913</v>
      </c>
      <c r="BI251" s="3">
        <v>8.8791257316452459</v>
      </c>
      <c r="BJ251" s="3">
        <v>10.472459064978572</v>
      </c>
      <c r="BK251" s="3">
        <v>18.445792398311909</v>
      </c>
      <c r="BL251" s="3">
        <v>10.519125731645246</v>
      </c>
      <c r="BM251" s="3">
        <v>11.552459064978578</v>
      </c>
      <c r="BN251" s="3">
        <v>15.935792398311911</v>
      </c>
      <c r="BO251" s="3">
        <v>11.202459064978576</v>
      </c>
      <c r="BP251" s="3">
        <v>12.019125731645246</v>
      </c>
      <c r="BQ251" s="3">
        <v>10.935792398311904</v>
      </c>
      <c r="BR251" s="3">
        <v>11.062459064978576</v>
      </c>
      <c r="BS251" s="3">
        <v>8.1657923983119076</v>
      </c>
      <c r="BT251" s="3">
        <v>9.8624590649785802</v>
      </c>
      <c r="BU251" s="3">
        <v>8.929125731645243</v>
      </c>
      <c r="BV251" s="3">
        <v>9.3457923983119073</v>
      </c>
      <c r="BW251" s="3">
        <v>14.279125731645244</v>
      </c>
      <c r="BX251" s="3">
        <v>10.199125731645246</v>
      </c>
      <c r="BY251" s="3">
        <v>34.619125731645241</v>
      </c>
      <c r="BZ251" s="3">
        <v>43.649125731645242</v>
      </c>
      <c r="CA251" s="3">
        <v>18.949125731645239</v>
      </c>
      <c r="CB251" s="3">
        <v>10.085792398311909</v>
      </c>
      <c r="CC251" s="3">
        <v>9.6991257316452391</v>
      </c>
      <c r="CD251" s="3">
        <v>9.005792398311911</v>
      </c>
      <c r="CE251" s="3">
        <v>9.5991257316452447</v>
      </c>
      <c r="CF251" s="3">
        <v>-0.88754093502142695</v>
      </c>
      <c r="CG251" s="3">
        <v>-1.4208742683547584</v>
      </c>
      <c r="CH251" s="3">
        <v>-2.4975409350214264</v>
      </c>
      <c r="CI251" s="13">
        <f>[1]!dbasum(RecData[[#This Row],[20]:[2000]],RecData[[#Headers],[20]:[2000]])</f>
        <v>19.906885283388426</v>
      </c>
      <c r="CJ251" s="14">
        <v>4258</v>
      </c>
      <c r="CK251" s="15" t="s">
        <v>249</v>
      </c>
      <c r="CL251" s="15">
        <f>RecData[[#This Row],[Start Time]]</f>
        <v>43260.928483796306</v>
      </c>
      <c r="CM251" s="16">
        <f>RecData[[#This Row],[Wind Speed avg]]</f>
        <v>0.25</v>
      </c>
      <c r="CN251" s="16">
        <f>RecData[[#This Row],[Wind Dir. avg]]</f>
        <v>156.30000000000001</v>
      </c>
      <c r="CO251" s="16">
        <f>RecData[[#This Row],[Amb. Humidity]]</f>
        <v>79.900000000000006</v>
      </c>
      <c r="CP251" s="16">
        <f>RecData[[#This Row],[Amb. Temperature]]</f>
        <v>13.9</v>
      </c>
      <c r="CQ251" s="17">
        <f>RecData[[#This Row],[Amb. Rain Gauge]]</f>
        <v>0</v>
      </c>
      <c r="CR251" s="4" t="s">
        <v>50</v>
      </c>
      <c r="CS251" s="4" t="s">
        <v>49</v>
      </c>
      <c r="CT251" s="70">
        <v>-9.2069034579999993</v>
      </c>
      <c r="CU251" s="70">
        <v>248.00207520000001</v>
      </c>
      <c r="CV251" s="70">
        <v>1.2890479560000001</v>
      </c>
      <c r="CW251" s="70">
        <v>0</v>
      </c>
      <c r="CX251" s="4"/>
      <c r="CY251" s="69"/>
      <c r="CZ251" s="2" t="b">
        <f>IF($DP$1="YES",IF(RecData[[#This Row],[Power (kW)]]&gt;=$CR$3, TRUE,FALSE),TRUE)</f>
        <v>0</v>
      </c>
      <c r="DA251" s="16">
        <f>MIN(MOD(180-ABS(ABS($DA$1-RecData[Yaw Angle (°)])-180),360),MOD(180-ABS(ABS($DB$1-RecData[Yaw Angle (°)])-180),360))</f>
        <v>119.52785157768756</v>
      </c>
      <c r="DB251" s="2" t="str">
        <f>IF($DP$2="None","None",IF(RecData[[#This Row],[Relative Wind Direction]]&lt;=45,"DW",IF(RecData[[#This Row],[Relative Wind Direction]]&lt;=135,"CW","UW")))</f>
        <v>CW</v>
      </c>
      <c r="DC251" s="61">
        <v>-1</v>
      </c>
      <c r="DD251" s="61">
        <v>-1</v>
      </c>
      <c r="DE251" s="18" t="b">
        <v>0</v>
      </c>
      <c r="DF251" s="2" t="b">
        <f>IF(OR(RecData[[#This Row],[WSpd_Avg '[m/s']]]-RecData[[#This Row],[Wind Speed min]]&gt;=$DF$3,RecData[[#This Row],[Wind Speed max]]-RecData[[#This Row],[WSpd_Avg '[m/s']]]&gt;=$DF$2),TRUE,FALSE)</f>
        <v>0</v>
      </c>
      <c r="DG251" s="2" t="b">
        <f>RecData[[#This Row],[Temperature '[°C']]]&lt;=-20</f>
        <v>0</v>
      </c>
      <c r="DH251" s="18" t="b">
        <f>NOT(OR(MOD(RecData[[#This Row],[TIMESTAMP]],1)&gt;0.91632,MOD(RecData[[#This Row],[TIMESTAMP]],1)&lt;0.208681))</f>
        <v>0</v>
      </c>
      <c r="DI251" s="18" t="b">
        <f>RecData[[#This Row],[Overall (dBA)]]-RecData[[#This Row],[L90]]&gt;=$DS$4</f>
        <v>0</v>
      </c>
      <c r="DJ251" s="18" t="b">
        <f>RecData[[#This Row],[Overall (dBA)]]&gt;$DS$2</f>
        <v>0</v>
      </c>
      <c r="DK251" s="18" t="b">
        <f>RecData[[#This Row],[Overall (dBA)]]&lt;$DS$3</f>
        <v>0</v>
      </c>
      <c r="DL2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1" s="2">
        <f>IF(AND(RecData[[#This Row],[Turbines ON/OFF]] = "OFF", NOT(OR(RecData[[#This Row],[Junk?]]="YES",RecData[[#This Row],[Gust?]],RecData[[#This Row],[Rain?]:[Min SPL Threshold?]]))),1,0)</f>
        <v>1</v>
      </c>
      <c r="DN251" s="16">
        <f>RecData[[#This Row],[dBA Sum]]</f>
        <v>19.906885283388426</v>
      </c>
      <c r="DO251" s="16">
        <f>RecData[[#This Row],[LAF90.0]]</f>
        <v>44</v>
      </c>
      <c r="DP251" s="55" t="str">
        <f>IF(AND(RecData[[#This Row],[Useable TON Data?]],RecData[[#This Row],[Turbines ON/OFF]]="ON"),RecData[[#This Row],[dBA Sum]],"")</f>
        <v/>
      </c>
      <c r="DQ251" s="55">
        <f>IF(AND(RecData[[#This Row],[Useable Background Data?]],RecData[[#This Row],[Turbines ON/OFF]]="OFF"),RecData[[#This Row],[dBA Sum]],"")</f>
        <v>19.906885283388426</v>
      </c>
      <c r="DR251" s="3">
        <f>IF(OR(RecData[[#This Row],[Useable TON Data?]],RecData[[#This Row],[Useable Background Data?]]),ROUND(RecData[[#This Row],[WSpd_Avg '[m/s']]],0),"")</f>
        <v>0</v>
      </c>
      <c r="DS251" s="85">
        <f>(0.00002)^2*(10^(RecData[[#This Row],[Overall (dBA)]]/10))</f>
        <v>3.9151510273121262E-8</v>
      </c>
    </row>
    <row r="252" spans="1:123" ht="15" x14ac:dyDescent="0.25">
      <c r="A252" s="3" t="s">
        <v>249</v>
      </c>
      <c r="B252" s="12">
        <v>43260.929178240745</v>
      </c>
      <c r="C252" s="3"/>
      <c r="D252" s="3">
        <v>45.1</v>
      </c>
      <c r="E252" s="3"/>
      <c r="F252" s="3"/>
      <c r="G252" s="3"/>
      <c r="H252" s="3"/>
      <c r="I252" s="3"/>
      <c r="J252" s="3"/>
      <c r="K252" s="3">
        <v>44</v>
      </c>
      <c r="L252" s="3"/>
      <c r="M252" s="3"/>
      <c r="N252" s="3">
        <v>161.4</v>
      </c>
      <c r="O252" s="3"/>
      <c r="P252" s="3"/>
      <c r="Q252" s="3">
        <v>0.23</v>
      </c>
      <c r="R252" s="3">
        <v>0</v>
      </c>
      <c r="S252" s="3">
        <v>0.4</v>
      </c>
      <c r="T252" s="3">
        <v>13.8</v>
      </c>
      <c r="U252" s="3">
        <v>80.599999999999994</v>
      </c>
      <c r="V252" s="3">
        <v>975.3</v>
      </c>
      <c r="W252" s="3">
        <v>0</v>
      </c>
      <c r="X252" s="3">
        <v>19</v>
      </c>
      <c r="Y252" s="3">
        <v>18.100000000000001</v>
      </c>
      <c r="Z252" s="3">
        <v>26</v>
      </c>
      <c r="AA252" s="3">
        <v>12.6</v>
      </c>
      <c r="AB252" s="3">
        <v>16.399999999999999</v>
      </c>
      <c r="AC252" s="3">
        <v>10.4</v>
      </c>
      <c r="AD252" s="3">
        <v>10.7</v>
      </c>
      <c r="AE252" s="3">
        <v>16.600000000000001</v>
      </c>
      <c r="AF252" s="3">
        <v>10</v>
      </c>
      <c r="AG252" s="3">
        <v>10.1</v>
      </c>
      <c r="AH252" s="3">
        <v>12.6</v>
      </c>
      <c r="AI252" s="3">
        <v>11.8</v>
      </c>
      <c r="AJ252" s="3">
        <v>11.8</v>
      </c>
      <c r="AK252" s="3">
        <v>11.1</v>
      </c>
      <c r="AL252" s="3">
        <v>9.1999999999999993</v>
      </c>
      <c r="AM252" s="3">
        <v>8.6</v>
      </c>
      <c r="AN252" s="3">
        <v>9.5</v>
      </c>
      <c r="AO252" s="3">
        <v>8.4</v>
      </c>
      <c r="AP252" s="3">
        <v>9.1</v>
      </c>
      <c r="AQ252" s="3">
        <v>13.9</v>
      </c>
      <c r="AR252" s="3">
        <v>9.6999999999999993</v>
      </c>
      <c r="AS252" s="3">
        <v>34.799999999999997</v>
      </c>
      <c r="AT252" s="3">
        <v>43.3</v>
      </c>
      <c r="AU252" s="3">
        <v>18.100000000000001</v>
      </c>
      <c r="AV252" s="3">
        <v>10</v>
      </c>
      <c r="AW252" s="3">
        <v>9.6</v>
      </c>
      <c r="AX252" s="3">
        <v>9.6</v>
      </c>
      <c r="AY252" s="3">
        <v>9.8000000000000007</v>
      </c>
      <c r="AZ252" s="3">
        <v>0</v>
      </c>
      <c r="BA252" s="3">
        <v>0</v>
      </c>
      <c r="BB252" s="3">
        <v>0</v>
      </c>
      <c r="BC252" s="3">
        <v>45.107070653196921</v>
      </c>
      <c r="BD252" s="3">
        <v>18.992929346803074</v>
      </c>
      <c r="BE252" s="3">
        <v>18.092929346803082</v>
      </c>
      <c r="BF252" s="3">
        <v>24.752929346803079</v>
      </c>
      <c r="BG252" s="3">
        <v>11.679596013469741</v>
      </c>
      <c r="BH252" s="3">
        <v>15.619596013469746</v>
      </c>
      <c r="BI252" s="3">
        <v>10.03292934680308</v>
      </c>
      <c r="BJ252" s="3">
        <v>11.126262680136414</v>
      </c>
      <c r="BK252" s="3">
        <v>16.89959601346974</v>
      </c>
      <c r="BL252" s="3">
        <v>9.8729293468030832</v>
      </c>
      <c r="BM252" s="3">
        <v>10.106262680136417</v>
      </c>
      <c r="BN252" s="3">
        <v>12.889596013469749</v>
      </c>
      <c r="BO252" s="3">
        <v>11.456262680136419</v>
      </c>
      <c r="BP252" s="3">
        <v>11.17292934680308</v>
      </c>
      <c r="BQ252" s="3">
        <v>10.889596013469735</v>
      </c>
      <c r="BR252" s="3">
        <v>9.3162626801364112</v>
      </c>
      <c r="BS252" s="3">
        <v>8.5195960134697444</v>
      </c>
      <c r="BT252" s="3">
        <v>9.6162626801364155</v>
      </c>
      <c r="BU252" s="3">
        <v>8.4829293468030826</v>
      </c>
      <c r="BV252" s="3">
        <v>8.8995960134697469</v>
      </c>
      <c r="BW252" s="3">
        <v>14.232929346803083</v>
      </c>
      <c r="BX252" s="3">
        <v>9.9529293468030815</v>
      </c>
      <c r="BY252" s="3">
        <v>34.872929346803069</v>
      </c>
      <c r="BZ252" s="3">
        <v>43.502929346803079</v>
      </c>
      <c r="CA252" s="3">
        <v>18.40292934680307</v>
      </c>
      <c r="CB252" s="3">
        <v>9.7395960134697432</v>
      </c>
      <c r="CC252" s="3">
        <v>9.5529293468030758</v>
      </c>
      <c r="CD252" s="3">
        <v>8.8595960134697478</v>
      </c>
      <c r="CE252" s="3">
        <v>9.2529293468030787</v>
      </c>
      <c r="CF252" s="3">
        <v>-0.93373731986358877</v>
      </c>
      <c r="CG252" s="3">
        <v>-1.4670706531969202</v>
      </c>
      <c r="CH252" s="3">
        <v>-2.5437373198635882</v>
      </c>
      <c r="CI252" s="13">
        <f>[1]!dbasum(RecData[[#This Row],[20]:[2000]],RecData[[#Headers],[20]:[2000]])</f>
        <v>19.559173916302051</v>
      </c>
      <c r="CJ252" s="14">
        <v>4259</v>
      </c>
      <c r="CK252" s="15" t="s">
        <v>249</v>
      </c>
      <c r="CL252" s="15">
        <f>RecData[[#This Row],[Start Time]]</f>
        <v>43260.929178240745</v>
      </c>
      <c r="CM252" s="16">
        <f>RecData[[#This Row],[Wind Speed avg]]</f>
        <v>0.23</v>
      </c>
      <c r="CN252" s="16">
        <f>RecData[[#This Row],[Wind Dir. avg]]</f>
        <v>161.4</v>
      </c>
      <c r="CO252" s="16">
        <f>RecData[[#This Row],[Amb. Humidity]]</f>
        <v>80.599999999999994</v>
      </c>
      <c r="CP252" s="16">
        <f>RecData[[#This Row],[Amb. Temperature]]</f>
        <v>13.8</v>
      </c>
      <c r="CQ252" s="17">
        <f>RecData[[#This Row],[Amb. Rain Gauge]]</f>
        <v>0</v>
      </c>
      <c r="CR252" s="4" t="s">
        <v>50</v>
      </c>
      <c r="CS252" s="4" t="s">
        <v>49</v>
      </c>
      <c r="CT252" s="70">
        <v>-9.2069034579999993</v>
      </c>
      <c r="CU252" s="70">
        <v>248.00207520000001</v>
      </c>
      <c r="CV252" s="70">
        <v>1.2890479560000001</v>
      </c>
      <c r="CW252" s="70">
        <v>0</v>
      </c>
      <c r="CX252" s="4"/>
      <c r="CY252" s="69"/>
      <c r="CZ252" s="2" t="b">
        <f>IF($DP$1="YES",IF(RecData[[#This Row],[Power (kW)]]&gt;=$CR$3, TRUE,FALSE),TRUE)</f>
        <v>0</v>
      </c>
      <c r="DA252" s="16">
        <f>MIN(MOD(180-ABS(ABS($DA$1-RecData[Yaw Angle (°)])-180),360),MOD(180-ABS(ABS($DB$1-RecData[Yaw Angle (°)])-180),360))</f>
        <v>119.52785157768756</v>
      </c>
      <c r="DB252" s="2" t="str">
        <f>IF($DP$2="None","None",IF(RecData[[#This Row],[Relative Wind Direction]]&lt;=45,"DW",IF(RecData[[#This Row],[Relative Wind Direction]]&lt;=135,"CW","UW")))</f>
        <v>CW</v>
      </c>
      <c r="DC252" s="61">
        <f>IF($CL252-$CL251&gt;1/24,#REF!,IF(SUM($CQ251:$CQ252)&gt;$DS$1,$DS$5,DC253-1))</f>
        <v>-9</v>
      </c>
      <c r="DD252" s="61">
        <f>IF($CL253-$CL252&gt;1/24,#REF!,IF(SUM($CQ251:$CQ252)&gt;$DS$1,$DS$6,DD251-1))</f>
        <v>-2</v>
      </c>
      <c r="DE252" s="18" t="b">
        <v>0</v>
      </c>
      <c r="DF252" s="2" t="b">
        <f>IF(OR(RecData[[#This Row],[WSpd_Avg '[m/s']]]-RecData[[#This Row],[Wind Speed min]]&gt;=$DF$3,RecData[[#This Row],[Wind Speed max]]-RecData[[#This Row],[WSpd_Avg '[m/s']]]&gt;=$DF$2),TRUE,FALSE)</f>
        <v>0</v>
      </c>
      <c r="DG252" s="2" t="b">
        <f>RecData[[#This Row],[Temperature '[°C']]]&lt;=-20</f>
        <v>0</v>
      </c>
      <c r="DH252" s="18" t="b">
        <f>NOT(OR(MOD(RecData[[#This Row],[TIMESTAMP]],1)&gt;0.91632,MOD(RecData[[#This Row],[TIMESTAMP]],1)&lt;0.208681))</f>
        <v>0</v>
      </c>
      <c r="DI252" s="18" t="b">
        <f>RecData[[#This Row],[Overall (dBA)]]-RecData[[#This Row],[L90]]&gt;=$DS$4</f>
        <v>0</v>
      </c>
      <c r="DJ252" s="18" t="b">
        <f>RecData[[#This Row],[Overall (dBA)]]&gt;$DS$2</f>
        <v>0</v>
      </c>
      <c r="DK252" s="18" t="b">
        <f>RecData[[#This Row],[Overall (dBA)]]&lt;$DS$3</f>
        <v>0</v>
      </c>
      <c r="DL2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2" s="2">
        <f>IF(AND(RecData[[#This Row],[Turbines ON/OFF]] = "OFF", NOT(OR(RecData[[#This Row],[Junk?]]="YES",RecData[[#This Row],[Gust?]],RecData[[#This Row],[Rain?]:[Min SPL Threshold?]]))),1,0)</f>
        <v>1</v>
      </c>
      <c r="DN252" s="16">
        <f>RecData[[#This Row],[dBA Sum]]</f>
        <v>19.559173916302051</v>
      </c>
      <c r="DO252" s="16">
        <f>RecData[[#This Row],[LAF90.0]]</f>
        <v>44</v>
      </c>
      <c r="DP252" s="55" t="str">
        <f>IF(AND(RecData[[#This Row],[Useable TON Data?]],RecData[[#This Row],[Turbines ON/OFF]]="ON"),RecData[[#This Row],[dBA Sum]],"")</f>
        <v/>
      </c>
      <c r="DQ252" s="55">
        <f>IF(AND(RecData[[#This Row],[Useable Background Data?]],RecData[[#This Row],[Turbines ON/OFF]]="OFF"),RecData[[#This Row],[dBA Sum]],"")</f>
        <v>19.559173916302051</v>
      </c>
      <c r="DR252" s="3">
        <f>IF(OR(RecData[[#This Row],[Useable TON Data?]],RecData[[#This Row],[Useable Background Data?]]),ROUND(RecData[[#This Row],[WSpd_Avg '[m/s']]],0),"")</f>
        <v>0</v>
      </c>
      <c r="DS252" s="85">
        <f>(0.00002)^2*(10^(RecData[[#This Row],[Overall (dBA)]]/10))</f>
        <v>3.6139104174852631E-8</v>
      </c>
    </row>
    <row r="253" spans="1:123" ht="15" x14ac:dyDescent="0.25">
      <c r="A253" s="3" t="s">
        <v>249</v>
      </c>
      <c r="B253" s="12">
        <v>43260.929872685192</v>
      </c>
      <c r="C253" s="3"/>
      <c r="D253" s="3">
        <v>44.7</v>
      </c>
      <c r="E253" s="3"/>
      <c r="F253" s="3"/>
      <c r="G253" s="3"/>
      <c r="H253" s="3"/>
      <c r="I253" s="3"/>
      <c r="J253" s="3"/>
      <c r="K253" s="3">
        <v>43.5</v>
      </c>
      <c r="L253" s="3"/>
      <c r="M253" s="3"/>
      <c r="N253" s="3">
        <v>162.30000000000001</v>
      </c>
      <c r="O253" s="3"/>
      <c r="P253" s="3"/>
      <c r="Q253" s="3">
        <v>0.27</v>
      </c>
      <c r="R253" s="3">
        <v>0.2</v>
      </c>
      <c r="S253" s="3">
        <v>0.4</v>
      </c>
      <c r="T253" s="3">
        <v>13.8</v>
      </c>
      <c r="U253" s="3">
        <v>81.2</v>
      </c>
      <c r="V253" s="3">
        <v>975.4</v>
      </c>
      <c r="W253" s="3">
        <v>0</v>
      </c>
      <c r="X253" s="3">
        <v>20.399999999999999</v>
      </c>
      <c r="Y253" s="3">
        <v>19.8</v>
      </c>
      <c r="Z253" s="3">
        <v>24.9</v>
      </c>
      <c r="AA253" s="3">
        <v>15.8</v>
      </c>
      <c r="AB253" s="3">
        <v>17.2</v>
      </c>
      <c r="AC253" s="3">
        <v>14.9</v>
      </c>
      <c r="AD253" s="3">
        <v>15.4</v>
      </c>
      <c r="AE253" s="3">
        <v>19</v>
      </c>
      <c r="AF253" s="3">
        <v>15.1</v>
      </c>
      <c r="AG253" s="3">
        <v>13</v>
      </c>
      <c r="AH253" s="3">
        <v>14.2</v>
      </c>
      <c r="AI253" s="3">
        <v>11.5</v>
      </c>
      <c r="AJ253" s="3">
        <v>13.1</v>
      </c>
      <c r="AK253" s="3">
        <v>11</v>
      </c>
      <c r="AL253" s="3">
        <v>9.4</v>
      </c>
      <c r="AM253" s="3">
        <v>9.3000000000000007</v>
      </c>
      <c r="AN253" s="3">
        <v>10.3</v>
      </c>
      <c r="AO253" s="3">
        <v>8.6999999999999993</v>
      </c>
      <c r="AP253" s="3">
        <v>9</v>
      </c>
      <c r="AQ253" s="3">
        <v>13.6</v>
      </c>
      <c r="AR253" s="3">
        <v>9.4</v>
      </c>
      <c r="AS253" s="3">
        <v>34.1</v>
      </c>
      <c r="AT253" s="3">
        <v>42.9</v>
      </c>
      <c r="AU253" s="3">
        <v>18.100000000000001</v>
      </c>
      <c r="AV253" s="3">
        <v>10</v>
      </c>
      <c r="AW253" s="3">
        <v>9.6</v>
      </c>
      <c r="AX253" s="3">
        <v>9.6</v>
      </c>
      <c r="AY253" s="3">
        <v>9.8000000000000007</v>
      </c>
      <c r="AZ253" s="3">
        <v>0</v>
      </c>
      <c r="BA253" s="3">
        <v>0</v>
      </c>
      <c r="BB253" s="3">
        <v>0</v>
      </c>
      <c r="BC253" s="3">
        <v>44.673837415902241</v>
      </c>
      <c r="BD253" s="3">
        <v>20.426162584097753</v>
      </c>
      <c r="BE253" s="3">
        <v>19.826162584097759</v>
      </c>
      <c r="BF253" s="3">
        <v>23.686162584097758</v>
      </c>
      <c r="BG253" s="3">
        <v>14.912829250764425</v>
      </c>
      <c r="BH253" s="3">
        <v>16.452829250764431</v>
      </c>
      <c r="BI253" s="3">
        <v>14.566162584097761</v>
      </c>
      <c r="BJ253" s="3">
        <v>15.85949591743109</v>
      </c>
      <c r="BK253" s="3">
        <v>19.332829250764419</v>
      </c>
      <c r="BL253" s="3">
        <v>15.006162584097765</v>
      </c>
      <c r="BM253" s="3">
        <v>13.039495917431097</v>
      </c>
      <c r="BN253" s="3">
        <v>14.522829250764431</v>
      </c>
      <c r="BO253" s="3">
        <v>11.189495917431096</v>
      </c>
      <c r="BP253" s="3">
        <v>12.506162584097765</v>
      </c>
      <c r="BQ253" s="3">
        <v>10.822829250764421</v>
      </c>
      <c r="BR253" s="3">
        <v>9.5494959174310949</v>
      </c>
      <c r="BS253" s="3">
        <v>9.2528292507644281</v>
      </c>
      <c r="BT253" s="3">
        <v>10.449495917431094</v>
      </c>
      <c r="BU253" s="3">
        <v>8.8161625840977678</v>
      </c>
      <c r="BV253" s="3">
        <v>8.8328292507644264</v>
      </c>
      <c r="BW253" s="3">
        <v>13.966162584097766</v>
      </c>
      <c r="BX253" s="3">
        <v>9.6861625840977652</v>
      </c>
      <c r="BY253" s="3">
        <v>34.206162584097754</v>
      </c>
      <c r="BZ253" s="3">
        <v>43.136162584097761</v>
      </c>
      <c r="CA253" s="3">
        <v>18.436162584097758</v>
      </c>
      <c r="CB253" s="3">
        <v>9.7728292507644241</v>
      </c>
      <c r="CC253" s="3">
        <v>9.5861625840977638</v>
      </c>
      <c r="CD253" s="3">
        <v>8.8928292507644358</v>
      </c>
      <c r="CE253" s="3">
        <v>9.2861625840977595</v>
      </c>
      <c r="CF253" s="3">
        <v>-0.9005040825689079</v>
      </c>
      <c r="CG253" s="3">
        <v>-1.4338374159022393</v>
      </c>
      <c r="CH253" s="3">
        <v>-2.5105040825689073</v>
      </c>
      <c r="CI253" s="13">
        <f>[1]!dbasum(RecData[[#This Row],[20]:[2000]],RecData[[#Headers],[20]:[2000]])</f>
        <v>19.726908199853114</v>
      </c>
      <c r="CJ253" s="14">
        <v>4260</v>
      </c>
      <c r="CK253" s="15" t="s">
        <v>249</v>
      </c>
      <c r="CL253" s="15">
        <f>RecData[[#This Row],[Start Time]]</f>
        <v>43260.929872685192</v>
      </c>
      <c r="CM253" s="16">
        <f>RecData[[#This Row],[Wind Speed avg]]</f>
        <v>0.27</v>
      </c>
      <c r="CN253" s="16">
        <f>RecData[[#This Row],[Wind Dir. avg]]</f>
        <v>162.30000000000001</v>
      </c>
      <c r="CO253" s="16">
        <f>RecData[[#This Row],[Amb. Humidity]]</f>
        <v>81.2</v>
      </c>
      <c r="CP253" s="16">
        <f>RecData[[#This Row],[Amb. Temperature]]</f>
        <v>13.8</v>
      </c>
      <c r="CQ253" s="17">
        <f>RecData[[#This Row],[Amb. Rain Gauge]]</f>
        <v>0</v>
      </c>
      <c r="CR253" s="4" t="s">
        <v>50</v>
      </c>
      <c r="CS253" s="4" t="s">
        <v>49</v>
      </c>
      <c r="CT253" s="70">
        <v>-9.2069034579999993</v>
      </c>
      <c r="CU253" s="70">
        <v>248.00207520000001</v>
      </c>
      <c r="CV253" s="70">
        <v>1.2890479560000001</v>
      </c>
      <c r="CW253" s="70">
        <v>0</v>
      </c>
      <c r="CX253" s="4"/>
      <c r="CY253" s="69"/>
      <c r="CZ253" s="2" t="b">
        <f>IF($DP$1="YES",IF(RecData[[#This Row],[Power (kW)]]&gt;=$CR$3, TRUE,FALSE),TRUE)</f>
        <v>0</v>
      </c>
      <c r="DA253" s="16">
        <f>MIN(MOD(180-ABS(ABS($DA$1-RecData[Yaw Angle (°)])-180),360),MOD(180-ABS(ABS($DB$1-RecData[Yaw Angle (°)])-180),360))</f>
        <v>119.52785157768756</v>
      </c>
      <c r="DB253" s="2" t="str">
        <f>IF($DP$2="None","None",IF(RecData[[#This Row],[Relative Wind Direction]]&lt;=45,"DW",IF(RecData[[#This Row],[Relative Wind Direction]]&lt;=135,"CW","UW")))</f>
        <v>CW</v>
      </c>
      <c r="DC253" s="61">
        <f>IF($CL253-$CL251&gt;1/24,#REF!,IF(SUM($CQ251:$CQ253)&gt;$DS$1,$DS$5,DC254-1))</f>
        <v>-8</v>
      </c>
      <c r="DD253" s="61">
        <f>IF($CL254-$CL253&gt;1/24,#REF!,IF(SUM($CQ251:$CQ253)&gt;$DS$1,$DS$6,DD252-1))</f>
        <v>-3</v>
      </c>
      <c r="DE253" s="18" t="b">
        <v>0</v>
      </c>
      <c r="DF253" s="2" t="b">
        <f>IF(OR(RecData[[#This Row],[WSpd_Avg '[m/s']]]-RecData[[#This Row],[Wind Speed min]]&gt;=$DF$3,RecData[[#This Row],[Wind Speed max]]-RecData[[#This Row],[WSpd_Avg '[m/s']]]&gt;=$DF$2),TRUE,FALSE)</f>
        <v>0</v>
      </c>
      <c r="DG253" s="2" t="b">
        <f>RecData[[#This Row],[Temperature '[°C']]]&lt;=-20</f>
        <v>0</v>
      </c>
      <c r="DH253" s="18" t="b">
        <f>NOT(OR(MOD(RecData[[#This Row],[TIMESTAMP]],1)&gt;0.91632,MOD(RecData[[#This Row],[TIMESTAMP]],1)&lt;0.208681))</f>
        <v>0</v>
      </c>
      <c r="DI253" s="18" t="b">
        <f>RecData[[#This Row],[Overall (dBA)]]-RecData[[#This Row],[L90]]&gt;=$DS$4</f>
        <v>0</v>
      </c>
      <c r="DJ253" s="18" t="b">
        <f>RecData[[#This Row],[Overall (dBA)]]&gt;$DS$2</f>
        <v>0</v>
      </c>
      <c r="DK253" s="18" t="b">
        <f>RecData[[#This Row],[Overall (dBA)]]&lt;$DS$3</f>
        <v>0</v>
      </c>
      <c r="DL2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3" s="2">
        <f>IF(AND(RecData[[#This Row],[Turbines ON/OFF]] = "OFF", NOT(OR(RecData[[#This Row],[Junk?]]="YES",RecData[[#This Row],[Gust?]],RecData[[#This Row],[Rain?]:[Min SPL Threshold?]]))),1,0)</f>
        <v>1</v>
      </c>
      <c r="DN253" s="16">
        <f>RecData[[#This Row],[dBA Sum]]</f>
        <v>19.726908199853114</v>
      </c>
      <c r="DO253" s="16">
        <f>RecData[[#This Row],[LAF90.0]]</f>
        <v>43.5</v>
      </c>
      <c r="DP253" s="55" t="str">
        <f>IF(AND(RecData[[#This Row],[Useable TON Data?]],RecData[[#This Row],[Turbines ON/OFF]]="ON"),RecData[[#This Row],[dBA Sum]],"")</f>
        <v/>
      </c>
      <c r="DQ253" s="55">
        <f>IF(AND(RecData[[#This Row],[Useable Background Data?]],RecData[[#This Row],[Turbines ON/OFF]]="OFF"),RecData[[#This Row],[dBA Sum]],"")</f>
        <v>19.726908199853114</v>
      </c>
      <c r="DR253" s="3">
        <f>IF(OR(RecData[[#This Row],[Useable TON Data?]],RecData[[#This Row],[Useable Background Data?]]),ROUND(RecData[[#This Row],[WSpd_Avg '[m/s']]],0),"")</f>
        <v>0</v>
      </c>
      <c r="DS253" s="85">
        <f>(0.00002)^2*(10^(RecData[[#This Row],[Overall (dBA)]]/10))</f>
        <v>3.7562181885090366E-8</v>
      </c>
    </row>
    <row r="254" spans="1:123" ht="15" x14ac:dyDescent="0.25">
      <c r="A254" s="3" t="s">
        <v>249</v>
      </c>
      <c r="B254" s="12">
        <v>43260.930567129639</v>
      </c>
      <c r="C254" s="3"/>
      <c r="D254" s="3">
        <v>44.7</v>
      </c>
      <c r="E254" s="3"/>
      <c r="F254" s="3"/>
      <c r="G254" s="3"/>
      <c r="H254" s="3"/>
      <c r="I254" s="3"/>
      <c r="J254" s="3"/>
      <c r="K254" s="3">
        <v>43.5</v>
      </c>
      <c r="L254" s="3"/>
      <c r="M254" s="3"/>
      <c r="N254" s="3">
        <v>157.1</v>
      </c>
      <c r="O254" s="3"/>
      <c r="P254" s="3"/>
      <c r="Q254" s="3">
        <v>0.28000000000000003</v>
      </c>
      <c r="R254" s="3">
        <v>0.2</v>
      </c>
      <c r="S254" s="3">
        <v>0.4</v>
      </c>
      <c r="T254" s="3">
        <v>13.8</v>
      </c>
      <c r="U254" s="3">
        <v>81.3</v>
      </c>
      <c r="V254" s="3">
        <v>975.4</v>
      </c>
      <c r="W254" s="3">
        <v>0</v>
      </c>
      <c r="X254" s="3">
        <v>20.3</v>
      </c>
      <c r="Y254" s="3">
        <v>21.3</v>
      </c>
      <c r="Z254" s="3">
        <v>25.2</v>
      </c>
      <c r="AA254" s="3">
        <v>16.899999999999999</v>
      </c>
      <c r="AB254" s="3">
        <v>17.600000000000001</v>
      </c>
      <c r="AC254" s="3">
        <v>18.2</v>
      </c>
      <c r="AD254" s="3">
        <v>19.600000000000001</v>
      </c>
      <c r="AE254" s="3">
        <v>20</v>
      </c>
      <c r="AF254" s="3">
        <v>18.600000000000001</v>
      </c>
      <c r="AG254" s="3">
        <v>17.7</v>
      </c>
      <c r="AH254" s="3">
        <v>13.7</v>
      </c>
      <c r="AI254" s="3">
        <v>11</v>
      </c>
      <c r="AJ254" s="3">
        <v>9.8000000000000007</v>
      </c>
      <c r="AK254" s="3">
        <v>9.6999999999999993</v>
      </c>
      <c r="AL254" s="3">
        <v>9</v>
      </c>
      <c r="AM254" s="3">
        <v>7.6</v>
      </c>
      <c r="AN254" s="3">
        <v>9.1999999999999993</v>
      </c>
      <c r="AO254" s="3">
        <v>8.3000000000000007</v>
      </c>
      <c r="AP254" s="3">
        <v>9</v>
      </c>
      <c r="AQ254" s="3">
        <v>13.7</v>
      </c>
      <c r="AR254" s="3">
        <v>9</v>
      </c>
      <c r="AS254" s="3">
        <v>34.5</v>
      </c>
      <c r="AT254" s="3">
        <v>42.9</v>
      </c>
      <c r="AU254" s="3">
        <v>18.3</v>
      </c>
      <c r="AV254" s="3">
        <v>9.9</v>
      </c>
      <c r="AW254" s="3">
        <v>9.4</v>
      </c>
      <c r="AX254" s="3">
        <v>9.4</v>
      </c>
      <c r="AY254" s="3">
        <v>9.6</v>
      </c>
      <c r="AZ254" s="3">
        <v>0</v>
      </c>
      <c r="BA254" s="3">
        <v>0</v>
      </c>
      <c r="BB254" s="3">
        <v>0</v>
      </c>
      <c r="BC254" s="3">
        <v>44.722280047846255</v>
      </c>
      <c r="BD254" s="3">
        <v>20.277719952153745</v>
      </c>
      <c r="BE254" s="3">
        <v>21.277719952153745</v>
      </c>
      <c r="BF254" s="3">
        <v>23.937719952153742</v>
      </c>
      <c r="BG254" s="3">
        <v>15.964386618820413</v>
      </c>
      <c r="BH254" s="3">
        <v>16.804386618820416</v>
      </c>
      <c r="BI254" s="3">
        <v>17.817719952153752</v>
      </c>
      <c r="BJ254" s="3">
        <v>20.01105328548708</v>
      </c>
      <c r="BK254" s="3">
        <v>20.284386618820406</v>
      </c>
      <c r="BL254" s="3">
        <v>18.457719952153752</v>
      </c>
      <c r="BM254" s="3">
        <v>17.691053285487087</v>
      </c>
      <c r="BN254" s="3">
        <v>13.974386618820418</v>
      </c>
      <c r="BO254" s="3">
        <v>10.641053285487082</v>
      </c>
      <c r="BP254" s="3">
        <v>9.157719952153748</v>
      </c>
      <c r="BQ254" s="3">
        <v>9.4743866188204038</v>
      </c>
      <c r="BR254" s="3">
        <v>9.1010532854870831</v>
      </c>
      <c r="BS254" s="3">
        <v>7.504386618820412</v>
      </c>
      <c r="BT254" s="3">
        <v>9.301053285487086</v>
      </c>
      <c r="BU254" s="3">
        <v>8.3677199521537489</v>
      </c>
      <c r="BV254" s="3">
        <v>8.7843866188204132</v>
      </c>
      <c r="BW254" s="3">
        <v>14.017719952153755</v>
      </c>
      <c r="BX254" s="3">
        <v>9.2377199521537534</v>
      </c>
      <c r="BY254" s="3">
        <v>34.557719952153747</v>
      </c>
      <c r="BZ254" s="3">
        <v>43.087719952153748</v>
      </c>
      <c r="CA254" s="3">
        <v>18.587719952153741</v>
      </c>
      <c r="CB254" s="3">
        <v>9.6243866188204095</v>
      </c>
      <c r="CC254" s="3">
        <v>9.3377199521537477</v>
      </c>
      <c r="CD254" s="3">
        <v>8.6443866188204197</v>
      </c>
      <c r="CE254" s="3">
        <v>9.0377199521537506</v>
      </c>
      <c r="CF254" s="3">
        <v>-0.94894671451292112</v>
      </c>
      <c r="CG254" s="3">
        <v>-1.4822800478462526</v>
      </c>
      <c r="CH254" s="3">
        <v>-2.5589467145129206</v>
      </c>
      <c r="CI254" s="13">
        <f>[1]!dbasum(RecData[[#This Row],[20]:[2000]],RecData[[#Headers],[20]:[2000]])</f>
        <v>19.429528727048194</v>
      </c>
      <c r="CJ254" s="14">
        <v>4261</v>
      </c>
      <c r="CK254" s="15" t="s">
        <v>249</v>
      </c>
      <c r="CL254" s="15">
        <f>RecData[[#This Row],[Start Time]]</f>
        <v>43260.930567129639</v>
      </c>
      <c r="CM254" s="16">
        <f>RecData[[#This Row],[Wind Speed avg]]</f>
        <v>0.28000000000000003</v>
      </c>
      <c r="CN254" s="16">
        <f>RecData[[#This Row],[Wind Dir. avg]]</f>
        <v>157.1</v>
      </c>
      <c r="CO254" s="16">
        <f>RecData[[#This Row],[Amb. Humidity]]</f>
        <v>81.3</v>
      </c>
      <c r="CP254" s="16">
        <f>RecData[[#This Row],[Amb. Temperature]]</f>
        <v>13.8</v>
      </c>
      <c r="CQ254" s="17">
        <f>RecData[[#This Row],[Amb. Rain Gauge]]</f>
        <v>0</v>
      </c>
      <c r="CR254" s="4" t="s">
        <v>50</v>
      </c>
      <c r="CS254" s="4" t="s">
        <v>49</v>
      </c>
      <c r="CT254" s="70">
        <v>-9.2512187959999999</v>
      </c>
      <c r="CU254" s="70">
        <v>248.00207520000001</v>
      </c>
      <c r="CV254" s="70">
        <v>1.5847834350000001</v>
      </c>
      <c r="CW254" s="70">
        <v>0</v>
      </c>
      <c r="CX254" s="4"/>
      <c r="CY254" s="69"/>
      <c r="CZ254" s="2" t="b">
        <f>IF($DP$1="YES",IF(RecData[[#This Row],[Power (kW)]]&gt;=$CR$3, TRUE,FALSE),TRUE)</f>
        <v>0</v>
      </c>
      <c r="DA254" s="16">
        <f>MIN(MOD(180-ABS(ABS($DA$1-RecData[Yaw Angle (°)])-180),360),MOD(180-ABS(ABS($DB$1-RecData[Yaw Angle (°)])-180),360))</f>
        <v>119.52785157768756</v>
      </c>
      <c r="DB254" s="2" t="str">
        <f>IF($DP$2="None","None",IF(RecData[[#This Row],[Relative Wind Direction]]&lt;=45,"DW",IF(RecData[[#This Row],[Relative Wind Direction]]&lt;=135,"CW","UW")))</f>
        <v>CW</v>
      </c>
      <c r="DC254" s="61">
        <f>IF($CL254-$CL251&gt;1/24,#REF!,IF(SUM($CQ251:$CQ254)&gt;$DS$1,$DS$5,DC255-1))</f>
        <v>-7</v>
      </c>
      <c r="DD254" s="61">
        <f>IF($CL255-$CL254&gt;1/24,#REF!,IF(SUM($CQ251:$CQ254)&gt;$DS$1,$DS$6,DD253-1))</f>
        <v>-4</v>
      </c>
      <c r="DE254" s="18" t="b">
        <v>0</v>
      </c>
      <c r="DF254" s="2" t="b">
        <f>IF(OR(RecData[[#This Row],[WSpd_Avg '[m/s']]]-RecData[[#This Row],[Wind Speed min]]&gt;=$DF$3,RecData[[#This Row],[Wind Speed max]]-RecData[[#This Row],[WSpd_Avg '[m/s']]]&gt;=$DF$2),TRUE,FALSE)</f>
        <v>0</v>
      </c>
      <c r="DG254" s="2" t="b">
        <f>RecData[[#This Row],[Temperature '[°C']]]&lt;=-20</f>
        <v>0</v>
      </c>
      <c r="DH254" s="18" t="b">
        <f>NOT(OR(MOD(RecData[[#This Row],[TIMESTAMP]],1)&gt;0.91632,MOD(RecData[[#This Row],[TIMESTAMP]],1)&lt;0.208681))</f>
        <v>0</v>
      </c>
      <c r="DI254" s="18" t="b">
        <f>RecData[[#This Row],[Overall (dBA)]]-RecData[[#This Row],[L90]]&gt;=$DS$4</f>
        <v>0</v>
      </c>
      <c r="DJ254" s="18" t="b">
        <f>RecData[[#This Row],[Overall (dBA)]]&gt;$DS$2</f>
        <v>0</v>
      </c>
      <c r="DK254" s="18" t="b">
        <f>RecData[[#This Row],[Overall (dBA)]]&lt;$DS$3</f>
        <v>0</v>
      </c>
      <c r="DL2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4" s="2">
        <f>IF(AND(RecData[[#This Row],[Turbines ON/OFF]] = "OFF", NOT(OR(RecData[[#This Row],[Junk?]]="YES",RecData[[#This Row],[Gust?]],RecData[[#This Row],[Rain?]:[Min SPL Threshold?]]))),1,0)</f>
        <v>1</v>
      </c>
      <c r="DN254" s="16">
        <f>RecData[[#This Row],[dBA Sum]]</f>
        <v>19.429528727048194</v>
      </c>
      <c r="DO254" s="16">
        <f>RecData[[#This Row],[LAF90.0]]</f>
        <v>43.5</v>
      </c>
      <c r="DP254" s="55" t="str">
        <f>IF(AND(RecData[[#This Row],[Useable TON Data?]],RecData[[#This Row],[Turbines ON/OFF]]="ON"),RecData[[#This Row],[dBA Sum]],"")</f>
        <v/>
      </c>
      <c r="DQ254" s="55">
        <f>IF(AND(RecData[[#This Row],[Useable Background Data?]],RecData[[#This Row],[Turbines ON/OFF]]="OFF"),RecData[[#This Row],[dBA Sum]],"")</f>
        <v>19.429528727048194</v>
      </c>
      <c r="DR254" s="3">
        <f>IF(OR(RecData[[#This Row],[Useable TON Data?]],RecData[[#This Row],[Useable Background Data?]]),ROUND(RecData[[#This Row],[WSpd_Avg '[m/s']]],0),"")</f>
        <v>0</v>
      </c>
      <c r="DS254" s="85">
        <f>(0.00002)^2*(10^(RecData[[#This Row],[Overall (dBA)]]/10))</f>
        <v>3.5076226356288714E-8</v>
      </c>
    </row>
    <row r="255" spans="1:123" ht="15" x14ac:dyDescent="0.25">
      <c r="A255" s="3" t="s">
        <v>249</v>
      </c>
      <c r="B255" s="12">
        <v>43260.931261574078</v>
      </c>
      <c r="C255" s="3"/>
      <c r="D255" s="3">
        <v>44.9</v>
      </c>
      <c r="E255" s="3"/>
      <c r="F255" s="3"/>
      <c r="G255" s="3"/>
      <c r="H255" s="3"/>
      <c r="I255" s="3"/>
      <c r="J255" s="3"/>
      <c r="K255" s="3">
        <v>43.6</v>
      </c>
      <c r="L255" s="3"/>
      <c r="M255" s="3"/>
      <c r="N255" s="3">
        <v>163.1</v>
      </c>
      <c r="O255" s="3"/>
      <c r="P255" s="3"/>
      <c r="Q255" s="3">
        <v>0.31</v>
      </c>
      <c r="R255" s="3">
        <v>0.2</v>
      </c>
      <c r="S255" s="3">
        <v>0.4</v>
      </c>
      <c r="T255" s="3">
        <v>13.8</v>
      </c>
      <c r="U255" s="3">
        <v>80.8</v>
      </c>
      <c r="V255" s="3">
        <v>975.4</v>
      </c>
      <c r="W255" s="3">
        <v>0</v>
      </c>
      <c r="X255" s="3">
        <v>19.8</v>
      </c>
      <c r="Y255" s="3">
        <v>17.899999999999999</v>
      </c>
      <c r="Z255" s="3">
        <v>21.8</v>
      </c>
      <c r="AA255" s="3">
        <v>15</v>
      </c>
      <c r="AB255" s="3">
        <v>15.8</v>
      </c>
      <c r="AC255" s="3">
        <v>14.5</v>
      </c>
      <c r="AD255" s="3">
        <v>17.3</v>
      </c>
      <c r="AE255" s="3">
        <v>17.8</v>
      </c>
      <c r="AF255" s="3">
        <v>15.5</v>
      </c>
      <c r="AG255" s="3">
        <v>14.1</v>
      </c>
      <c r="AH255" s="3">
        <v>12.6</v>
      </c>
      <c r="AI255" s="3">
        <v>10.8</v>
      </c>
      <c r="AJ255" s="3">
        <v>10.1</v>
      </c>
      <c r="AK255" s="3">
        <v>9.9</v>
      </c>
      <c r="AL255" s="3">
        <v>9.4</v>
      </c>
      <c r="AM255" s="3">
        <v>7.3</v>
      </c>
      <c r="AN255" s="3">
        <v>8.9</v>
      </c>
      <c r="AO255" s="3">
        <v>8.1999999999999993</v>
      </c>
      <c r="AP255" s="3">
        <v>8.9</v>
      </c>
      <c r="AQ255" s="3">
        <v>13.8</v>
      </c>
      <c r="AR255" s="3">
        <v>9</v>
      </c>
      <c r="AS255" s="3">
        <v>34.6</v>
      </c>
      <c r="AT255" s="3">
        <v>43.1</v>
      </c>
      <c r="AU255" s="3">
        <v>18.2</v>
      </c>
      <c r="AV255" s="3">
        <v>10</v>
      </c>
      <c r="AW255" s="3">
        <v>9.6</v>
      </c>
      <c r="AX255" s="3">
        <v>9.5</v>
      </c>
      <c r="AY255" s="3">
        <v>9.6999999999999993</v>
      </c>
      <c r="AZ255" s="3">
        <v>0</v>
      </c>
      <c r="BA255" s="3">
        <v>0</v>
      </c>
      <c r="BB255" s="3">
        <v>0</v>
      </c>
      <c r="BC255" s="3">
        <v>44.90772474051721</v>
      </c>
      <c r="BD255" s="3">
        <v>19.792275259482793</v>
      </c>
      <c r="BE255" s="3">
        <v>17.892275259482787</v>
      </c>
      <c r="BF255" s="3">
        <v>20.552275259482798</v>
      </c>
      <c r="BG255" s="3">
        <v>14.078941926149454</v>
      </c>
      <c r="BH255" s="3">
        <v>15.018941926149459</v>
      </c>
      <c r="BI255" s="3">
        <v>14.132275259482789</v>
      </c>
      <c r="BJ255" s="3">
        <v>17.725608592816123</v>
      </c>
      <c r="BK255" s="3">
        <v>18.09894192614945</v>
      </c>
      <c r="BL255" s="3">
        <v>15.372275259482791</v>
      </c>
      <c r="BM255" s="3">
        <v>14.105608592816125</v>
      </c>
      <c r="BN255" s="3">
        <v>12.888941926149457</v>
      </c>
      <c r="BO255" s="3">
        <v>10.455608592816127</v>
      </c>
      <c r="BP255" s="3">
        <v>9.4722752594827853</v>
      </c>
      <c r="BQ255" s="3">
        <v>9.6889419261494467</v>
      </c>
      <c r="BR255" s="3">
        <v>9.5156085928161218</v>
      </c>
      <c r="BS255" s="3">
        <v>7.218941926149455</v>
      </c>
      <c r="BT255" s="3">
        <v>9.0156085928161218</v>
      </c>
      <c r="BU255" s="3">
        <v>8.2822752594827875</v>
      </c>
      <c r="BV255" s="3">
        <v>8.6989419261494589</v>
      </c>
      <c r="BW255" s="3">
        <v>14.132275259482796</v>
      </c>
      <c r="BX255" s="3">
        <v>9.2522752594827935</v>
      </c>
      <c r="BY255" s="3">
        <v>34.672275259482788</v>
      </c>
      <c r="BZ255" s="3">
        <v>43.302275259482798</v>
      </c>
      <c r="CA255" s="3">
        <v>18.502275259482779</v>
      </c>
      <c r="CB255" s="3">
        <v>9.738941926149451</v>
      </c>
      <c r="CC255" s="3">
        <v>9.5522752594827836</v>
      </c>
      <c r="CD255" s="3">
        <v>8.7589419261494612</v>
      </c>
      <c r="CE255" s="3">
        <v>9.152275259482785</v>
      </c>
      <c r="CF255" s="3">
        <v>-0.93439140718388103</v>
      </c>
      <c r="CG255" s="3">
        <v>-1.4677247405172125</v>
      </c>
      <c r="CH255" s="3">
        <v>-2.5443914071838805</v>
      </c>
      <c r="CI255" s="13">
        <f>[1]!dbasum(RecData[[#This Row],[20]:[2000]],RecData[[#Headers],[20]:[2000]])</f>
        <v>19.26605754691219</v>
      </c>
      <c r="CJ255" s="14">
        <v>4262</v>
      </c>
      <c r="CK255" s="15" t="s">
        <v>249</v>
      </c>
      <c r="CL255" s="15">
        <f>RecData[[#This Row],[Start Time]]</f>
        <v>43260.931261574078</v>
      </c>
      <c r="CM255" s="16">
        <f>RecData[[#This Row],[Wind Speed avg]]</f>
        <v>0.31</v>
      </c>
      <c r="CN255" s="16">
        <f>RecData[[#This Row],[Wind Dir. avg]]</f>
        <v>163.1</v>
      </c>
      <c r="CO255" s="16">
        <f>RecData[[#This Row],[Amb. Humidity]]</f>
        <v>80.8</v>
      </c>
      <c r="CP255" s="16">
        <f>RecData[[#This Row],[Amb. Temperature]]</f>
        <v>13.8</v>
      </c>
      <c r="CQ255" s="17">
        <f>RecData[[#This Row],[Amb. Rain Gauge]]</f>
        <v>0</v>
      </c>
      <c r="CR255" s="4" t="s">
        <v>50</v>
      </c>
      <c r="CS255" s="4" t="s">
        <v>49</v>
      </c>
      <c r="CT255" s="70">
        <v>-9.2512187959999999</v>
      </c>
      <c r="CU255" s="70">
        <v>248.00207520000001</v>
      </c>
      <c r="CV255" s="70">
        <v>1.5847834350000001</v>
      </c>
      <c r="CW255" s="70">
        <v>0</v>
      </c>
      <c r="CX255" s="4"/>
      <c r="CY255" s="69"/>
      <c r="CZ255" s="2" t="b">
        <f>IF($DP$1="YES",IF(RecData[[#This Row],[Power (kW)]]&gt;=$CR$3, TRUE,FALSE),TRUE)</f>
        <v>0</v>
      </c>
      <c r="DA255" s="16">
        <f>MIN(MOD(180-ABS(ABS($DA$1-RecData[Yaw Angle (°)])-180),360),MOD(180-ABS(ABS($DB$1-RecData[Yaw Angle (°)])-180),360))</f>
        <v>119.52785157768756</v>
      </c>
      <c r="DB255" s="2" t="str">
        <f>IF($DP$2="None","None",IF(RecData[[#This Row],[Relative Wind Direction]]&lt;=45,"DW",IF(RecData[[#This Row],[Relative Wind Direction]]&lt;=135,"CW","UW")))</f>
        <v>CW</v>
      </c>
      <c r="DC255" s="61">
        <f>IF($CL255-$CL251&gt;1/24,#REF!,IF(SUM($CQ251:$CQ255)&gt;$DS$1,$DS$5,DC256-1))</f>
        <v>-6</v>
      </c>
      <c r="DD255" s="61">
        <f>IF($CL256-$CL255&gt;1/24,#REF!,IF(SUM($CQ251:$CQ255)&gt;$DS$1,$DS$6,DD254-1))</f>
        <v>-5</v>
      </c>
      <c r="DE255" s="18" t="b">
        <v>0</v>
      </c>
      <c r="DF255" s="2" t="b">
        <f>IF(OR(RecData[[#This Row],[WSpd_Avg '[m/s']]]-RecData[[#This Row],[Wind Speed min]]&gt;=$DF$3,RecData[[#This Row],[Wind Speed max]]-RecData[[#This Row],[WSpd_Avg '[m/s']]]&gt;=$DF$2),TRUE,FALSE)</f>
        <v>0</v>
      </c>
      <c r="DG255" s="2" t="b">
        <f>RecData[[#This Row],[Temperature '[°C']]]&lt;=-20</f>
        <v>0</v>
      </c>
      <c r="DH255" s="18" t="b">
        <f>NOT(OR(MOD(RecData[[#This Row],[TIMESTAMP]],1)&gt;0.91632,MOD(RecData[[#This Row],[TIMESTAMP]],1)&lt;0.208681))</f>
        <v>0</v>
      </c>
      <c r="DI255" s="18" t="b">
        <f>RecData[[#This Row],[Overall (dBA)]]-RecData[[#This Row],[L90]]&gt;=$DS$4</f>
        <v>0</v>
      </c>
      <c r="DJ255" s="18" t="b">
        <f>RecData[[#This Row],[Overall (dBA)]]&gt;$DS$2</f>
        <v>0</v>
      </c>
      <c r="DK255" s="18" t="b">
        <f>RecData[[#This Row],[Overall (dBA)]]&lt;$DS$3</f>
        <v>0</v>
      </c>
      <c r="DL2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5" s="2">
        <f>IF(AND(RecData[[#This Row],[Turbines ON/OFF]] = "OFF", NOT(OR(RecData[[#This Row],[Junk?]]="YES",RecData[[#This Row],[Gust?]],RecData[[#This Row],[Rain?]:[Min SPL Threshold?]]))),1,0)</f>
        <v>1</v>
      </c>
      <c r="DN255" s="16">
        <f>RecData[[#This Row],[dBA Sum]]</f>
        <v>19.26605754691219</v>
      </c>
      <c r="DO255" s="16">
        <f>RecData[[#This Row],[LAF90.0]]</f>
        <v>43.6</v>
      </c>
      <c r="DP255" s="55" t="str">
        <f>IF(AND(RecData[[#This Row],[Useable TON Data?]],RecData[[#This Row],[Turbines ON/OFF]]="ON"),RecData[[#This Row],[dBA Sum]],"")</f>
        <v/>
      </c>
      <c r="DQ255" s="55">
        <f>IF(AND(RecData[[#This Row],[Useable Background Data?]],RecData[[#This Row],[Turbines ON/OFF]]="OFF"),RecData[[#This Row],[dBA Sum]],"")</f>
        <v>19.26605754691219</v>
      </c>
      <c r="DR255" s="3">
        <f>IF(OR(RecData[[#This Row],[Useable TON Data?]],RecData[[#This Row],[Useable Background Data?]]),ROUND(RecData[[#This Row],[WSpd_Avg '[m/s']]],0),"")</f>
        <v>0</v>
      </c>
      <c r="DS255" s="85">
        <f>(0.00002)^2*(10^(RecData[[#This Row],[Overall (dBA)]]/10))</f>
        <v>3.3780474530407572E-8</v>
      </c>
    </row>
    <row r="256" spans="1:123" ht="15" x14ac:dyDescent="0.25">
      <c r="A256" s="3" t="s">
        <v>249</v>
      </c>
      <c r="B256" s="12">
        <v>43260.931956018525</v>
      </c>
      <c r="C256" s="3"/>
      <c r="D256" s="3">
        <v>44.5</v>
      </c>
      <c r="E256" s="3"/>
      <c r="F256" s="3"/>
      <c r="G256" s="3"/>
      <c r="H256" s="3"/>
      <c r="I256" s="3"/>
      <c r="J256" s="3"/>
      <c r="K256" s="3">
        <v>43.3</v>
      </c>
      <c r="L256" s="3"/>
      <c r="M256" s="3"/>
      <c r="N256" s="3">
        <v>155.6</v>
      </c>
      <c r="O256" s="3"/>
      <c r="P256" s="3"/>
      <c r="Q256" s="3">
        <v>0.33</v>
      </c>
      <c r="R256" s="3">
        <v>0.3</v>
      </c>
      <c r="S256" s="3">
        <v>0.5</v>
      </c>
      <c r="T256" s="3">
        <v>13.7</v>
      </c>
      <c r="U256" s="3">
        <v>80.5</v>
      </c>
      <c r="V256" s="3">
        <v>975.4</v>
      </c>
      <c r="W256" s="3">
        <v>0</v>
      </c>
      <c r="X256" s="3">
        <v>21.3</v>
      </c>
      <c r="Y256" s="3">
        <v>22.4</v>
      </c>
      <c r="Z256" s="3">
        <v>24</v>
      </c>
      <c r="AA256" s="3">
        <v>16.8</v>
      </c>
      <c r="AB256" s="3">
        <v>17.3</v>
      </c>
      <c r="AC256" s="3">
        <v>14.6</v>
      </c>
      <c r="AD256" s="3">
        <v>17</v>
      </c>
      <c r="AE256" s="3">
        <v>18</v>
      </c>
      <c r="AF256" s="3">
        <v>15</v>
      </c>
      <c r="AG256" s="3">
        <v>12.8</v>
      </c>
      <c r="AH256" s="3">
        <v>12</v>
      </c>
      <c r="AI256" s="3">
        <v>11.1</v>
      </c>
      <c r="AJ256" s="3">
        <v>10.9</v>
      </c>
      <c r="AK256" s="3">
        <v>10</v>
      </c>
      <c r="AL256" s="3">
        <v>7.3</v>
      </c>
      <c r="AM256" s="3">
        <v>7.7</v>
      </c>
      <c r="AN256" s="3">
        <v>9.1</v>
      </c>
      <c r="AO256" s="3">
        <v>8.1999999999999993</v>
      </c>
      <c r="AP256" s="3">
        <v>8.9</v>
      </c>
      <c r="AQ256" s="3">
        <v>13.7</v>
      </c>
      <c r="AR256" s="3">
        <v>9.3000000000000007</v>
      </c>
      <c r="AS256" s="3">
        <v>34.299999999999997</v>
      </c>
      <c r="AT256" s="3">
        <v>42.6</v>
      </c>
      <c r="AU256" s="3">
        <v>18</v>
      </c>
      <c r="AV256" s="3">
        <v>10.199999999999999</v>
      </c>
      <c r="AW256" s="3">
        <v>9.8000000000000007</v>
      </c>
      <c r="AX256" s="3">
        <v>9.6</v>
      </c>
      <c r="AY256" s="3">
        <v>9.8000000000000007</v>
      </c>
      <c r="AZ256" s="3">
        <v>0</v>
      </c>
      <c r="BA256" s="3">
        <v>0</v>
      </c>
      <c r="BB256" s="3">
        <v>0</v>
      </c>
      <c r="BC256" s="3">
        <v>44.436011458306844</v>
      </c>
      <c r="BD256" s="3">
        <v>21.363988541693153</v>
      </c>
      <c r="BE256" s="3">
        <v>22.463988541693162</v>
      </c>
      <c r="BF256" s="3">
        <v>22.823988541693161</v>
      </c>
      <c r="BG256" s="3">
        <v>15.950655208359819</v>
      </c>
      <c r="BH256" s="3">
        <v>16.590655208359827</v>
      </c>
      <c r="BI256" s="3">
        <v>14.303988541693158</v>
      </c>
      <c r="BJ256" s="3">
        <v>17.497321875026493</v>
      </c>
      <c r="BK256" s="3">
        <v>18.370655208359814</v>
      </c>
      <c r="BL256" s="3">
        <v>14.943988541693159</v>
      </c>
      <c r="BM256" s="3">
        <v>12.877321875026489</v>
      </c>
      <c r="BN256" s="3">
        <v>12.360655208359823</v>
      </c>
      <c r="BO256" s="3">
        <v>10.827321875026492</v>
      </c>
      <c r="BP256" s="3">
        <v>10.343988541693157</v>
      </c>
      <c r="BQ256" s="3">
        <v>9.860655208359816</v>
      </c>
      <c r="BR256" s="3">
        <v>7.4873218750264883</v>
      </c>
      <c r="BS256" s="3">
        <v>7.6906552083598214</v>
      </c>
      <c r="BT256" s="3">
        <v>9.2873218750264925</v>
      </c>
      <c r="BU256" s="3">
        <v>8.3539885416931625</v>
      </c>
      <c r="BV256" s="3">
        <v>8.7706552083598197</v>
      </c>
      <c r="BW256" s="3">
        <v>14.103988541693163</v>
      </c>
      <c r="BX256" s="3">
        <v>9.6239885416931585</v>
      </c>
      <c r="BY256" s="3">
        <v>34.443988541693152</v>
      </c>
      <c r="BZ256" s="3">
        <v>42.873988541693159</v>
      </c>
      <c r="CA256" s="3">
        <v>18.373988541693144</v>
      </c>
      <c r="CB256" s="3">
        <v>10.010655208359822</v>
      </c>
      <c r="CC256" s="3">
        <v>9.8239885416931543</v>
      </c>
      <c r="CD256" s="3">
        <v>8.9306552083598305</v>
      </c>
      <c r="CE256" s="3">
        <v>9.3239885416931543</v>
      </c>
      <c r="CF256" s="3">
        <v>-0.86267812497351315</v>
      </c>
      <c r="CG256" s="3">
        <v>-1.3960114583068446</v>
      </c>
      <c r="CH256" s="3">
        <v>-2.4726781249735126</v>
      </c>
      <c r="CI256" s="13">
        <f>[1]!dbasum(RecData[[#This Row],[20]:[2000]],RecData[[#Headers],[20]:[2000]])</f>
        <v>19.289791147502758</v>
      </c>
      <c r="CJ256" s="14">
        <v>4263</v>
      </c>
      <c r="CK256" s="15" t="s">
        <v>249</v>
      </c>
      <c r="CL256" s="15">
        <f>RecData[[#This Row],[Start Time]]</f>
        <v>43260.931956018525</v>
      </c>
      <c r="CM256" s="16">
        <f>RecData[[#This Row],[Wind Speed avg]]</f>
        <v>0.33</v>
      </c>
      <c r="CN256" s="16">
        <f>RecData[[#This Row],[Wind Dir. avg]]</f>
        <v>155.6</v>
      </c>
      <c r="CO256" s="16">
        <f>RecData[[#This Row],[Amb. Humidity]]</f>
        <v>80.5</v>
      </c>
      <c r="CP256" s="16">
        <f>RecData[[#This Row],[Amb. Temperature]]</f>
        <v>13.7</v>
      </c>
      <c r="CQ256" s="17">
        <f>RecData[[#This Row],[Amb. Rain Gauge]]</f>
        <v>0</v>
      </c>
      <c r="CR256" s="4" t="s">
        <v>50</v>
      </c>
      <c r="CS256" s="4" t="s">
        <v>49</v>
      </c>
      <c r="CT256" s="70">
        <v>-9.2512187959999999</v>
      </c>
      <c r="CU256" s="70">
        <v>248.00207520000001</v>
      </c>
      <c r="CV256" s="70">
        <v>1.5847834350000001</v>
      </c>
      <c r="CW256" s="70">
        <v>0</v>
      </c>
      <c r="CX256" s="4"/>
      <c r="CY256" s="69"/>
      <c r="CZ256" s="2" t="b">
        <f>IF($DP$1="YES",IF(RecData[[#This Row],[Power (kW)]]&gt;=$CR$3, TRUE,FALSE),TRUE)</f>
        <v>0</v>
      </c>
      <c r="DA256" s="16">
        <f>MIN(MOD(180-ABS(ABS($DA$1-RecData[Yaw Angle (°)])-180),360),MOD(180-ABS(ABS($DB$1-RecData[Yaw Angle (°)])-180),360))</f>
        <v>119.52785157768756</v>
      </c>
      <c r="DB256" s="2" t="str">
        <f>IF($DP$2="None","None",IF(RecData[[#This Row],[Relative Wind Direction]]&lt;=45,"DW",IF(RecData[[#This Row],[Relative Wind Direction]]&lt;=135,"CW","UW")))</f>
        <v>CW</v>
      </c>
      <c r="DC256" s="61">
        <f>IF($CL256-$CL252&gt;1/24,#REF!,IF(SUM($CQ252:$CQ256)&gt;$DS$1,$DS$5,DC257-1))</f>
        <v>-5</v>
      </c>
      <c r="DD256" s="61">
        <f>IF($CL257-$CL256&gt;1/24,#REF!,IF(SUM($CQ252:$CQ256)&gt;$DS$1,$DS$6,DD255-1))</f>
        <v>-6</v>
      </c>
      <c r="DE256" s="18" t="b">
        <v>0</v>
      </c>
      <c r="DF256" s="2" t="b">
        <f>IF(OR(RecData[[#This Row],[WSpd_Avg '[m/s']]]-RecData[[#This Row],[Wind Speed min]]&gt;=$DF$3,RecData[[#This Row],[Wind Speed max]]-RecData[[#This Row],[WSpd_Avg '[m/s']]]&gt;=$DF$2),TRUE,FALSE)</f>
        <v>0</v>
      </c>
      <c r="DG256" s="2" t="b">
        <f>RecData[[#This Row],[Temperature '[°C']]]&lt;=-20</f>
        <v>0</v>
      </c>
      <c r="DH256" s="18" t="b">
        <f>NOT(OR(MOD(RecData[[#This Row],[TIMESTAMP]],1)&gt;0.91632,MOD(RecData[[#This Row],[TIMESTAMP]],1)&lt;0.208681))</f>
        <v>0</v>
      </c>
      <c r="DI256" s="18" t="b">
        <f>RecData[[#This Row],[Overall (dBA)]]-RecData[[#This Row],[L90]]&gt;=$DS$4</f>
        <v>0</v>
      </c>
      <c r="DJ256" s="18" t="b">
        <f>RecData[[#This Row],[Overall (dBA)]]&gt;$DS$2</f>
        <v>0</v>
      </c>
      <c r="DK256" s="18" t="b">
        <f>RecData[[#This Row],[Overall (dBA)]]&lt;$DS$3</f>
        <v>0</v>
      </c>
      <c r="DL2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6" s="2">
        <f>IF(AND(RecData[[#This Row],[Turbines ON/OFF]] = "OFF", NOT(OR(RecData[[#This Row],[Junk?]]="YES",RecData[[#This Row],[Gust?]],RecData[[#This Row],[Rain?]:[Min SPL Threshold?]]))),1,0)</f>
        <v>1</v>
      </c>
      <c r="DN256" s="16">
        <f>RecData[[#This Row],[dBA Sum]]</f>
        <v>19.289791147502758</v>
      </c>
      <c r="DO256" s="16">
        <f>RecData[[#This Row],[LAF90.0]]</f>
        <v>43.3</v>
      </c>
      <c r="DP256" s="55" t="str">
        <f>IF(AND(RecData[[#This Row],[Useable TON Data?]],RecData[[#This Row],[Turbines ON/OFF]]="ON"),RecData[[#This Row],[dBA Sum]],"")</f>
        <v/>
      </c>
      <c r="DQ256" s="55">
        <f>IF(AND(RecData[[#This Row],[Useable Background Data?]],RecData[[#This Row],[Turbines ON/OFF]]="OFF"),RecData[[#This Row],[dBA Sum]],"")</f>
        <v>19.289791147502758</v>
      </c>
      <c r="DR256" s="3">
        <f>IF(OR(RecData[[#This Row],[Useable TON Data?]],RecData[[#This Row],[Useable Background Data?]]),ROUND(RecData[[#This Row],[WSpd_Avg '[m/s']]],0),"")</f>
        <v>0</v>
      </c>
      <c r="DS256" s="85">
        <f>(0.00002)^2*(10^(RecData[[#This Row],[Overall (dBA)]]/10))</f>
        <v>3.396558555497042E-8</v>
      </c>
    </row>
    <row r="257" spans="1:123" ht="15" x14ac:dyDescent="0.25">
      <c r="A257" s="3" t="s">
        <v>249</v>
      </c>
      <c r="B257" s="12">
        <v>43260.932650462972</v>
      </c>
      <c r="C257" s="3"/>
      <c r="D257" s="3">
        <v>44.9</v>
      </c>
      <c r="E257" s="3"/>
      <c r="F257" s="3"/>
      <c r="G257" s="3"/>
      <c r="H257" s="3"/>
      <c r="I257" s="3"/>
      <c r="J257" s="3"/>
      <c r="K257" s="3">
        <v>43.7</v>
      </c>
      <c r="L257" s="3"/>
      <c r="M257" s="3"/>
      <c r="N257" s="3">
        <v>146</v>
      </c>
      <c r="O257" s="3"/>
      <c r="P257" s="3"/>
      <c r="Q257" s="3">
        <v>0.39</v>
      </c>
      <c r="R257" s="3">
        <v>0.3</v>
      </c>
      <c r="S257" s="3">
        <v>0.5</v>
      </c>
      <c r="T257" s="3">
        <v>13.7</v>
      </c>
      <c r="U257" s="3">
        <v>81</v>
      </c>
      <c r="V257" s="3">
        <v>975.4</v>
      </c>
      <c r="W257" s="3">
        <v>0</v>
      </c>
      <c r="X257" s="3">
        <v>23.6</v>
      </c>
      <c r="Y257" s="3">
        <v>23.7</v>
      </c>
      <c r="Z257" s="3">
        <v>25.7</v>
      </c>
      <c r="AA257" s="3">
        <v>19.5</v>
      </c>
      <c r="AB257" s="3">
        <v>18.899999999999999</v>
      </c>
      <c r="AC257" s="3">
        <v>14.7</v>
      </c>
      <c r="AD257" s="3">
        <v>16.8</v>
      </c>
      <c r="AE257" s="3">
        <v>17.7</v>
      </c>
      <c r="AF257" s="3">
        <v>14.6</v>
      </c>
      <c r="AG257" s="3">
        <v>12</v>
      </c>
      <c r="AH257" s="3">
        <v>13.2</v>
      </c>
      <c r="AI257" s="3">
        <v>12.3</v>
      </c>
      <c r="AJ257" s="3">
        <v>11.3</v>
      </c>
      <c r="AK257" s="3">
        <v>10.4</v>
      </c>
      <c r="AL257" s="3">
        <v>7.4</v>
      </c>
      <c r="AM257" s="3">
        <v>7.9</v>
      </c>
      <c r="AN257" s="3">
        <v>9.1</v>
      </c>
      <c r="AO257" s="3">
        <v>8.1999999999999993</v>
      </c>
      <c r="AP257" s="3">
        <v>9.1999999999999993</v>
      </c>
      <c r="AQ257" s="3">
        <v>13.8</v>
      </c>
      <c r="AR257" s="3">
        <v>9.4</v>
      </c>
      <c r="AS257" s="3">
        <v>34.4</v>
      </c>
      <c r="AT257" s="3">
        <v>43.1</v>
      </c>
      <c r="AU257" s="3">
        <v>18.7</v>
      </c>
      <c r="AV257" s="3">
        <v>10.4</v>
      </c>
      <c r="AW257" s="3">
        <v>10</v>
      </c>
      <c r="AX257" s="3">
        <v>9.9</v>
      </c>
      <c r="AY257" s="3">
        <v>9.9</v>
      </c>
      <c r="AZ257" s="3">
        <v>0</v>
      </c>
      <c r="BA257" s="3">
        <v>0</v>
      </c>
      <c r="BB257" s="3">
        <v>0</v>
      </c>
      <c r="BC257" s="3">
        <v>44.885431848715498</v>
      </c>
      <c r="BD257" s="3">
        <v>23.614568151284502</v>
      </c>
      <c r="BE257" s="3">
        <v>23.714568151284496</v>
      </c>
      <c r="BF257" s="3">
        <v>24.474568151284501</v>
      </c>
      <c r="BG257" s="3">
        <v>18.601234817951166</v>
      </c>
      <c r="BH257" s="3">
        <v>18.141234817951172</v>
      </c>
      <c r="BI257" s="3">
        <v>14.354568151284496</v>
      </c>
      <c r="BJ257" s="3">
        <v>17.247901484617834</v>
      </c>
      <c r="BK257" s="3">
        <v>18.021234817951161</v>
      </c>
      <c r="BL257" s="3">
        <v>14.494568151284497</v>
      </c>
      <c r="BM257" s="3">
        <v>12.027901484617836</v>
      </c>
      <c r="BN257" s="3">
        <v>13.511234817951163</v>
      </c>
      <c r="BO257" s="3">
        <v>11.977901484617838</v>
      </c>
      <c r="BP257" s="3">
        <v>10.6945681512845</v>
      </c>
      <c r="BQ257" s="3">
        <v>10.211234817951159</v>
      </c>
      <c r="BR257" s="3">
        <v>7.5379014846178336</v>
      </c>
      <c r="BS257" s="3">
        <v>7.8412348179511682</v>
      </c>
      <c r="BT257" s="3">
        <v>9.2379014846178364</v>
      </c>
      <c r="BU257" s="3">
        <v>8.3045681512844993</v>
      </c>
      <c r="BV257" s="3">
        <v>9.0212348179511679</v>
      </c>
      <c r="BW257" s="3">
        <v>14.154568151284508</v>
      </c>
      <c r="BX257" s="3">
        <v>9.6745681512845039</v>
      </c>
      <c r="BY257" s="3">
        <v>34.494568151284497</v>
      </c>
      <c r="BZ257" s="3">
        <v>43.32456815128451</v>
      </c>
      <c r="CA257" s="3">
        <v>19.024568151284491</v>
      </c>
      <c r="CB257" s="3">
        <v>10.161234817951168</v>
      </c>
      <c r="CC257" s="3">
        <v>9.974568151284501</v>
      </c>
      <c r="CD257" s="3">
        <v>9.1812348179511716</v>
      </c>
      <c r="CE257" s="3">
        <v>9.3745681512844996</v>
      </c>
      <c r="CF257" s="3">
        <v>-0.91209851538216924</v>
      </c>
      <c r="CG257" s="3">
        <v>-1.4454318487155007</v>
      </c>
      <c r="CH257" s="3">
        <v>-2.5220985153821687</v>
      </c>
      <c r="CI257" s="13">
        <f>[1]!dbasum(RecData[[#This Row],[20]:[2000]],RecData[[#Headers],[20]:[2000]])</f>
        <v>19.39870078781172</v>
      </c>
      <c r="CJ257" s="14">
        <v>4264</v>
      </c>
      <c r="CK257" s="15" t="s">
        <v>249</v>
      </c>
      <c r="CL257" s="15">
        <f>RecData[[#This Row],[Start Time]]</f>
        <v>43260.932650462972</v>
      </c>
      <c r="CM257" s="16">
        <f>RecData[[#This Row],[Wind Speed avg]]</f>
        <v>0.39</v>
      </c>
      <c r="CN257" s="16">
        <f>RecData[[#This Row],[Wind Dir. avg]]</f>
        <v>146</v>
      </c>
      <c r="CO257" s="16">
        <f>RecData[[#This Row],[Amb. Humidity]]</f>
        <v>81</v>
      </c>
      <c r="CP257" s="16">
        <f>RecData[[#This Row],[Amb. Temperature]]</f>
        <v>13.7</v>
      </c>
      <c r="CQ257" s="17">
        <f>RecData[[#This Row],[Amb. Rain Gauge]]</f>
        <v>0</v>
      </c>
      <c r="CR257" s="4" t="s">
        <v>50</v>
      </c>
      <c r="CS257" s="4" t="s">
        <v>49</v>
      </c>
      <c r="CT257" s="70">
        <v>-9.2512187959999999</v>
      </c>
      <c r="CU257" s="70">
        <v>248.00207520000001</v>
      </c>
      <c r="CV257" s="70">
        <v>1.5847834350000001</v>
      </c>
      <c r="CW257" s="70">
        <v>0</v>
      </c>
      <c r="CX257" s="4"/>
      <c r="CY257" s="69"/>
      <c r="CZ257" s="2" t="b">
        <f>IF($DP$1="YES",IF(RecData[[#This Row],[Power (kW)]]&gt;=$CR$3, TRUE,FALSE),TRUE)</f>
        <v>0</v>
      </c>
      <c r="DA257" s="16">
        <f>MIN(MOD(180-ABS(ABS($DA$1-RecData[Yaw Angle (°)])-180),360),MOD(180-ABS(ABS($DB$1-RecData[Yaw Angle (°)])-180),360))</f>
        <v>119.52785157768756</v>
      </c>
      <c r="DB257" s="2" t="str">
        <f>IF($DP$2="None","None",IF(RecData[[#This Row],[Relative Wind Direction]]&lt;=45,"DW",IF(RecData[[#This Row],[Relative Wind Direction]]&lt;=135,"CW","UW")))</f>
        <v>CW</v>
      </c>
      <c r="DC257" s="61">
        <f>IF($CL257-$CL253&gt;1/24,#REF!,IF(SUM($CQ253:$CQ257)&gt;$DS$1,$DS$5,DC258-1))</f>
        <v>-4</v>
      </c>
      <c r="DD257" s="61">
        <f>IF($CL258-$CL257&gt;1/24,#REF!,IF(SUM($CQ253:$CQ257)&gt;$DS$1,$DS$6,DD256-1))</f>
        <v>-7</v>
      </c>
      <c r="DE257" s="18" t="b">
        <v>0</v>
      </c>
      <c r="DF257" s="2" t="b">
        <f>IF(OR(RecData[[#This Row],[WSpd_Avg '[m/s']]]-RecData[[#This Row],[Wind Speed min]]&gt;=$DF$3,RecData[[#This Row],[Wind Speed max]]-RecData[[#This Row],[WSpd_Avg '[m/s']]]&gt;=$DF$2),TRUE,FALSE)</f>
        <v>0</v>
      </c>
      <c r="DG257" s="2" t="b">
        <f>RecData[[#This Row],[Temperature '[°C']]]&lt;=-20</f>
        <v>0</v>
      </c>
      <c r="DH257" s="18" t="b">
        <f>NOT(OR(MOD(RecData[[#This Row],[TIMESTAMP]],1)&gt;0.91632,MOD(RecData[[#This Row],[TIMESTAMP]],1)&lt;0.208681))</f>
        <v>0</v>
      </c>
      <c r="DI257" s="18" t="b">
        <f>RecData[[#This Row],[Overall (dBA)]]-RecData[[#This Row],[L90]]&gt;=$DS$4</f>
        <v>0</v>
      </c>
      <c r="DJ257" s="18" t="b">
        <f>RecData[[#This Row],[Overall (dBA)]]&gt;$DS$2</f>
        <v>0</v>
      </c>
      <c r="DK257" s="18" t="b">
        <f>RecData[[#This Row],[Overall (dBA)]]&lt;$DS$3</f>
        <v>0</v>
      </c>
      <c r="DL2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7" s="2">
        <f>IF(AND(RecData[[#This Row],[Turbines ON/OFF]] = "OFF", NOT(OR(RecData[[#This Row],[Junk?]]="YES",RecData[[#This Row],[Gust?]],RecData[[#This Row],[Rain?]:[Min SPL Threshold?]]))),1,0)</f>
        <v>1</v>
      </c>
      <c r="DN257" s="16">
        <f>RecData[[#This Row],[dBA Sum]]</f>
        <v>19.39870078781172</v>
      </c>
      <c r="DO257" s="16">
        <f>RecData[[#This Row],[LAF90.0]]</f>
        <v>43.7</v>
      </c>
      <c r="DP257" s="55" t="str">
        <f>IF(AND(RecData[[#This Row],[Useable TON Data?]],RecData[[#This Row],[Turbines ON/OFF]]="ON"),RecData[[#This Row],[dBA Sum]],"")</f>
        <v/>
      </c>
      <c r="DQ257" s="55">
        <f>IF(AND(RecData[[#This Row],[Useable Background Data?]],RecData[[#This Row],[Turbines ON/OFF]]="OFF"),RecData[[#This Row],[dBA Sum]],"")</f>
        <v>19.39870078781172</v>
      </c>
      <c r="DR257" s="3">
        <f>IF(OR(RecData[[#This Row],[Useable TON Data?]],RecData[[#This Row],[Useable Background Data?]]),ROUND(RecData[[#This Row],[WSpd_Avg '[m/s']]],0),"")</f>
        <v>0</v>
      </c>
      <c r="DS257" s="85">
        <f>(0.00002)^2*(10^(RecData[[#This Row],[Overall (dBA)]]/10))</f>
        <v>3.4828123044274063E-8</v>
      </c>
    </row>
    <row r="258" spans="1:123" ht="15" x14ac:dyDescent="0.25">
      <c r="A258" s="3" t="s">
        <v>249</v>
      </c>
      <c r="B258" s="12">
        <v>43260.933344907418</v>
      </c>
      <c r="C258" s="3"/>
      <c r="D258" s="3">
        <v>45</v>
      </c>
      <c r="E258" s="3"/>
      <c r="F258" s="3"/>
      <c r="G258" s="3"/>
      <c r="H258" s="3"/>
      <c r="I258" s="3"/>
      <c r="J258" s="3"/>
      <c r="K258" s="3">
        <v>43.8</v>
      </c>
      <c r="L258" s="3"/>
      <c r="M258" s="3"/>
      <c r="N258" s="3">
        <v>142.80000000000001</v>
      </c>
      <c r="O258" s="3"/>
      <c r="P258" s="3"/>
      <c r="Q258" s="3">
        <v>0.42</v>
      </c>
      <c r="R258" s="3">
        <v>0.3</v>
      </c>
      <c r="S258" s="3">
        <v>0.5</v>
      </c>
      <c r="T258" s="3">
        <v>13.7</v>
      </c>
      <c r="U258" s="3">
        <v>81.2</v>
      </c>
      <c r="V258" s="3">
        <v>975.4</v>
      </c>
      <c r="W258" s="3">
        <v>0</v>
      </c>
      <c r="X258" s="3">
        <v>23.3</v>
      </c>
      <c r="Y258" s="3">
        <v>21.4</v>
      </c>
      <c r="Z258" s="3">
        <v>21</v>
      </c>
      <c r="AA258" s="3">
        <v>15.6</v>
      </c>
      <c r="AB258" s="3">
        <v>17.8</v>
      </c>
      <c r="AC258" s="3">
        <v>16.2</v>
      </c>
      <c r="AD258" s="3">
        <v>18.2</v>
      </c>
      <c r="AE258" s="3">
        <v>19.600000000000001</v>
      </c>
      <c r="AF258" s="3">
        <v>16.100000000000001</v>
      </c>
      <c r="AG258" s="3">
        <v>13.2</v>
      </c>
      <c r="AH258" s="3">
        <v>15.2</v>
      </c>
      <c r="AI258" s="3">
        <v>12.7</v>
      </c>
      <c r="AJ258" s="3">
        <v>13.4</v>
      </c>
      <c r="AK258" s="3">
        <v>11.4</v>
      </c>
      <c r="AL258" s="3">
        <v>8</v>
      </c>
      <c r="AM258" s="3">
        <v>7.8</v>
      </c>
      <c r="AN258" s="3">
        <v>9.1</v>
      </c>
      <c r="AO258" s="3">
        <v>8.4</v>
      </c>
      <c r="AP258" s="3">
        <v>9.3000000000000007</v>
      </c>
      <c r="AQ258" s="3">
        <v>14</v>
      </c>
      <c r="AR258" s="3">
        <v>9.5</v>
      </c>
      <c r="AS258" s="3">
        <v>34.700000000000003</v>
      </c>
      <c r="AT258" s="3">
        <v>43.1</v>
      </c>
      <c r="AU258" s="3">
        <v>18.100000000000001</v>
      </c>
      <c r="AV258" s="3">
        <v>10.4</v>
      </c>
      <c r="AW258" s="3">
        <v>10.1</v>
      </c>
      <c r="AX258" s="3">
        <v>9.9</v>
      </c>
      <c r="AY258" s="3">
        <v>9.9</v>
      </c>
      <c r="AZ258" s="3">
        <v>0</v>
      </c>
      <c r="BA258" s="3">
        <v>0</v>
      </c>
      <c r="BB258" s="3">
        <v>0</v>
      </c>
      <c r="BC258" s="3">
        <v>44.921867513205164</v>
      </c>
      <c r="BD258" s="3">
        <v>23.378132486794833</v>
      </c>
      <c r="BE258" s="3">
        <v>21.478132486794841</v>
      </c>
      <c r="BF258" s="3">
        <v>19.838132486794841</v>
      </c>
      <c r="BG258" s="3">
        <v>14.764799153461503</v>
      </c>
      <c r="BH258" s="3">
        <v>17.104799153461506</v>
      </c>
      <c r="BI258" s="3">
        <v>15.918132486794839</v>
      </c>
      <c r="BJ258" s="3">
        <v>18.711465820128169</v>
      </c>
      <c r="BK258" s="3">
        <v>19.984799153461502</v>
      </c>
      <c r="BL258" s="3">
        <v>16.05813248679484</v>
      </c>
      <c r="BM258" s="3">
        <v>13.291465820128174</v>
      </c>
      <c r="BN258" s="3">
        <v>15.574799153461505</v>
      </c>
      <c r="BO258" s="3">
        <v>12.441465820128172</v>
      </c>
      <c r="BP258" s="3">
        <v>12.858132486794837</v>
      </c>
      <c r="BQ258" s="3">
        <v>11.274799153461494</v>
      </c>
      <c r="BR258" s="3">
        <v>8.2014658201281705</v>
      </c>
      <c r="BS258" s="3">
        <v>7.8047991534615022</v>
      </c>
      <c r="BT258" s="3">
        <v>9.3014658201281719</v>
      </c>
      <c r="BU258" s="3">
        <v>8.5681324867948376</v>
      </c>
      <c r="BV258" s="3">
        <v>9.1847991534615048</v>
      </c>
      <c r="BW258" s="3">
        <v>14.418132486794839</v>
      </c>
      <c r="BX258" s="3">
        <v>9.8381324867948408</v>
      </c>
      <c r="BY258" s="3">
        <v>34.858132486794837</v>
      </c>
      <c r="BZ258" s="3">
        <v>43.388132486794838</v>
      </c>
      <c r="CA258" s="3">
        <v>18.488132486794832</v>
      </c>
      <c r="CB258" s="3">
        <v>10.224799153461497</v>
      </c>
      <c r="CC258" s="3">
        <v>10.138132486794838</v>
      </c>
      <c r="CD258" s="3">
        <v>9.244799153461507</v>
      </c>
      <c r="CE258" s="3">
        <v>9.4381324867948351</v>
      </c>
      <c r="CF258" s="3">
        <v>-0.84853417987183377</v>
      </c>
      <c r="CG258" s="3">
        <v>-1.3818675132051652</v>
      </c>
      <c r="CH258" s="3">
        <v>-2.4585341798718332</v>
      </c>
      <c r="CI258" s="13">
        <f>[1]!dbasum(RecData[[#This Row],[20]:[2000]],RecData[[#Headers],[20]:[2000]])</f>
        <v>19.819526393805578</v>
      </c>
      <c r="CJ258" s="14">
        <v>4265</v>
      </c>
      <c r="CK258" s="15" t="s">
        <v>249</v>
      </c>
      <c r="CL258" s="15">
        <f>RecData[[#This Row],[Start Time]]</f>
        <v>43260.933344907418</v>
      </c>
      <c r="CM258" s="16">
        <f>RecData[[#This Row],[Wind Speed avg]]</f>
        <v>0.42</v>
      </c>
      <c r="CN258" s="16">
        <f>RecData[[#This Row],[Wind Dir. avg]]</f>
        <v>142.80000000000001</v>
      </c>
      <c r="CO258" s="16">
        <f>RecData[[#This Row],[Amb. Humidity]]</f>
        <v>81.2</v>
      </c>
      <c r="CP258" s="16">
        <f>RecData[[#This Row],[Amb. Temperature]]</f>
        <v>13.7</v>
      </c>
      <c r="CQ258" s="17">
        <f>RecData[[#This Row],[Amb. Rain Gauge]]</f>
        <v>0</v>
      </c>
      <c r="CR258" s="4" t="s">
        <v>50</v>
      </c>
      <c r="CS258" s="4" t="s">
        <v>49</v>
      </c>
      <c r="CT258" s="70">
        <v>-9.2512187959999999</v>
      </c>
      <c r="CU258" s="70">
        <v>248.00207520000001</v>
      </c>
      <c r="CV258" s="70">
        <v>1.5847834350000001</v>
      </c>
      <c r="CW258" s="70">
        <v>0</v>
      </c>
      <c r="CX258" s="4"/>
      <c r="CY258" s="69"/>
      <c r="CZ258" s="2" t="b">
        <f>IF($DP$1="YES",IF(RecData[[#This Row],[Power (kW)]]&gt;=$CR$3, TRUE,FALSE),TRUE)</f>
        <v>0</v>
      </c>
      <c r="DA258" s="16">
        <f>MIN(MOD(180-ABS(ABS($DA$1-RecData[Yaw Angle (°)])-180),360),MOD(180-ABS(ABS($DB$1-RecData[Yaw Angle (°)])-180),360))</f>
        <v>119.52785157768756</v>
      </c>
      <c r="DB258" s="2" t="str">
        <f>IF($DP$2="None","None",IF(RecData[[#This Row],[Relative Wind Direction]]&lt;=45,"DW",IF(RecData[[#This Row],[Relative Wind Direction]]&lt;=135,"CW","UW")))</f>
        <v>CW</v>
      </c>
      <c r="DC258" s="61">
        <f>IF($CL258-$CL254&gt;1/24,#REF!,IF(SUM($CQ254:$CQ258)&gt;$DS$1,$DS$5,DC259-1))</f>
        <v>-3</v>
      </c>
      <c r="DD258" s="61">
        <f>IF($CL259-$CL258&gt;1/24,#REF!,IF(SUM($CQ254:$CQ258)&gt;$DS$1,$DS$6,DD257-1))</f>
        <v>-8</v>
      </c>
      <c r="DE258" s="18" t="b">
        <v>0</v>
      </c>
      <c r="DF258" s="2" t="b">
        <f>IF(OR(RecData[[#This Row],[WSpd_Avg '[m/s']]]-RecData[[#This Row],[Wind Speed min]]&gt;=$DF$3,RecData[[#This Row],[Wind Speed max]]-RecData[[#This Row],[WSpd_Avg '[m/s']]]&gt;=$DF$2),TRUE,FALSE)</f>
        <v>0</v>
      </c>
      <c r="DG258" s="2" t="b">
        <f>RecData[[#This Row],[Temperature '[°C']]]&lt;=-20</f>
        <v>0</v>
      </c>
      <c r="DH258" s="18" t="b">
        <f>NOT(OR(MOD(RecData[[#This Row],[TIMESTAMP]],1)&gt;0.91632,MOD(RecData[[#This Row],[TIMESTAMP]],1)&lt;0.208681))</f>
        <v>0</v>
      </c>
      <c r="DI258" s="18" t="b">
        <f>RecData[[#This Row],[Overall (dBA)]]-RecData[[#This Row],[L90]]&gt;=$DS$4</f>
        <v>0</v>
      </c>
      <c r="DJ258" s="18" t="b">
        <f>RecData[[#This Row],[Overall (dBA)]]&gt;$DS$2</f>
        <v>0</v>
      </c>
      <c r="DK258" s="18" t="b">
        <f>RecData[[#This Row],[Overall (dBA)]]&lt;$DS$3</f>
        <v>0</v>
      </c>
      <c r="DL2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8" s="2">
        <f>IF(AND(RecData[[#This Row],[Turbines ON/OFF]] = "OFF", NOT(OR(RecData[[#This Row],[Junk?]]="YES",RecData[[#This Row],[Gust?]],RecData[[#This Row],[Rain?]:[Min SPL Threshold?]]))),1,0)</f>
        <v>1</v>
      </c>
      <c r="DN258" s="16">
        <f>RecData[[#This Row],[dBA Sum]]</f>
        <v>19.819526393805578</v>
      </c>
      <c r="DO258" s="16">
        <f>RecData[[#This Row],[LAF90.0]]</f>
        <v>43.8</v>
      </c>
      <c r="DP258" s="55" t="str">
        <f>IF(AND(RecData[[#This Row],[Useable TON Data?]],RecData[[#This Row],[Turbines ON/OFF]]="ON"),RecData[[#This Row],[dBA Sum]],"")</f>
        <v/>
      </c>
      <c r="DQ258" s="55">
        <f>IF(AND(RecData[[#This Row],[Useable Background Data?]],RecData[[#This Row],[Turbines ON/OFF]]="OFF"),RecData[[#This Row],[dBA Sum]],"")</f>
        <v>19.819526393805578</v>
      </c>
      <c r="DR258" s="3">
        <f>IF(OR(RecData[[#This Row],[Useable TON Data?]],RecData[[#This Row],[Useable Background Data?]]),ROUND(RecData[[#This Row],[WSpd_Avg '[m/s']]],0),"")</f>
        <v>0</v>
      </c>
      <c r="DS258" s="85">
        <f>(0.00002)^2*(10^(RecData[[#This Row],[Overall (dBA)]]/10))</f>
        <v>3.8371840512025861E-8</v>
      </c>
    </row>
    <row r="259" spans="1:123" ht="15" x14ac:dyDescent="0.25">
      <c r="A259" s="3" t="s">
        <v>249</v>
      </c>
      <c r="B259" s="12">
        <v>43260.934039351858</v>
      </c>
      <c r="C259" s="3"/>
      <c r="D259" s="3">
        <v>44.5</v>
      </c>
      <c r="E259" s="3"/>
      <c r="F259" s="3"/>
      <c r="G259" s="3"/>
      <c r="H259" s="3"/>
      <c r="I259" s="3"/>
      <c r="J259" s="3"/>
      <c r="K259" s="3">
        <v>43.1</v>
      </c>
      <c r="L259" s="3"/>
      <c r="M259" s="3"/>
      <c r="N259" s="3">
        <v>157.9</v>
      </c>
      <c r="O259" s="3"/>
      <c r="P259" s="3"/>
      <c r="Q259" s="3">
        <v>0.45</v>
      </c>
      <c r="R259" s="3">
        <v>0.4</v>
      </c>
      <c r="S259" s="3">
        <v>0.6</v>
      </c>
      <c r="T259" s="3">
        <v>13.6</v>
      </c>
      <c r="U259" s="3">
        <v>80.7</v>
      </c>
      <c r="V259" s="3">
        <v>975.5</v>
      </c>
      <c r="W259" s="3">
        <v>0</v>
      </c>
      <c r="X259" s="3">
        <v>22.5</v>
      </c>
      <c r="Y259" s="3">
        <v>19.3</v>
      </c>
      <c r="Z259" s="3">
        <v>19.8</v>
      </c>
      <c r="AA259" s="3">
        <v>15.7</v>
      </c>
      <c r="AB259" s="3">
        <v>18.3</v>
      </c>
      <c r="AC259" s="3">
        <v>12.7</v>
      </c>
      <c r="AD259" s="3">
        <v>14.3</v>
      </c>
      <c r="AE259" s="3">
        <v>18.8</v>
      </c>
      <c r="AF259" s="3">
        <v>16.8</v>
      </c>
      <c r="AG259" s="3">
        <v>14.5</v>
      </c>
      <c r="AH259" s="3">
        <v>15</v>
      </c>
      <c r="AI259" s="3">
        <v>13.3</v>
      </c>
      <c r="AJ259" s="3">
        <v>13.6</v>
      </c>
      <c r="AK259" s="3">
        <v>11.8</v>
      </c>
      <c r="AL259" s="3">
        <v>9.1999999999999993</v>
      </c>
      <c r="AM259" s="3">
        <v>7.9</v>
      </c>
      <c r="AN259" s="3">
        <v>9.1</v>
      </c>
      <c r="AO259" s="3">
        <v>8.4</v>
      </c>
      <c r="AP259" s="3">
        <v>9</v>
      </c>
      <c r="AQ259" s="3">
        <v>13.6</v>
      </c>
      <c r="AR259" s="3">
        <v>9.4</v>
      </c>
      <c r="AS259" s="3">
        <v>33.700000000000003</v>
      </c>
      <c r="AT259" s="3">
        <v>42.8</v>
      </c>
      <c r="AU259" s="3">
        <v>17.899999999999999</v>
      </c>
      <c r="AV259" s="3">
        <v>10.3</v>
      </c>
      <c r="AW259" s="3">
        <v>10.5</v>
      </c>
      <c r="AX259" s="3">
        <v>10.1</v>
      </c>
      <c r="AY259" s="3">
        <v>10.199999999999999</v>
      </c>
      <c r="AZ259" s="3">
        <v>0</v>
      </c>
      <c r="BA259" s="3">
        <v>0</v>
      </c>
      <c r="BB259" s="3">
        <v>0</v>
      </c>
      <c r="BC259" s="3">
        <v>44.540365033895114</v>
      </c>
      <c r="BD259" s="3">
        <v>22.459634966104886</v>
      </c>
      <c r="BE259" s="3">
        <v>19.259634966104883</v>
      </c>
      <c r="BF259" s="3">
        <v>18.519634966104888</v>
      </c>
      <c r="BG259" s="3">
        <v>14.746301632771548</v>
      </c>
      <c r="BH259" s="3">
        <v>17.486301632771557</v>
      </c>
      <c r="BI259" s="3">
        <v>12.29963496610489</v>
      </c>
      <c r="BJ259" s="3">
        <v>14.69296829943822</v>
      </c>
      <c r="BK259" s="3">
        <v>19.066301632771548</v>
      </c>
      <c r="BL259" s="3">
        <v>16.639634966104886</v>
      </c>
      <c r="BM259" s="3">
        <v>14.472968299438222</v>
      </c>
      <c r="BN259" s="3">
        <v>15.256301632771553</v>
      </c>
      <c r="BO259" s="3">
        <v>12.922968299438224</v>
      </c>
      <c r="BP259" s="3">
        <v>12.93963496610489</v>
      </c>
      <c r="BQ259" s="3">
        <v>11.556301632771543</v>
      </c>
      <c r="BR259" s="3">
        <v>9.2829682994382239</v>
      </c>
      <c r="BS259" s="3">
        <v>7.7863016327715542</v>
      </c>
      <c r="BT259" s="3">
        <v>9.1829682994382225</v>
      </c>
      <c r="BU259" s="3">
        <v>8.4496349661048882</v>
      </c>
      <c r="BV259" s="3">
        <v>8.7663016327715511</v>
      </c>
      <c r="BW259" s="3">
        <v>13.899634966104891</v>
      </c>
      <c r="BX259" s="3">
        <v>9.6196349661048899</v>
      </c>
      <c r="BY259" s="3">
        <v>33.739634966104887</v>
      </c>
      <c r="BZ259" s="3">
        <v>42.969634966104877</v>
      </c>
      <c r="CA259" s="3">
        <v>18.16963496610488</v>
      </c>
      <c r="CB259" s="3">
        <v>10.006301632771553</v>
      </c>
      <c r="CC259" s="3">
        <v>10.419634966104887</v>
      </c>
      <c r="CD259" s="3">
        <v>9.3263016327715604</v>
      </c>
      <c r="CE259" s="3">
        <v>9.6196349661048828</v>
      </c>
      <c r="CF259" s="3">
        <v>-0.96703170056178323</v>
      </c>
      <c r="CG259" s="3">
        <v>-1.5003650338951147</v>
      </c>
      <c r="CH259" s="3">
        <v>-2.5770317005617827</v>
      </c>
      <c r="CI259" s="13">
        <f>[1]!dbasum(RecData[[#This Row],[20]:[2000]],RecData[[#Headers],[20]:[2000]])</f>
        <v>19.608146731193724</v>
      </c>
      <c r="CJ259" s="14">
        <v>4266</v>
      </c>
      <c r="CK259" s="15" t="s">
        <v>249</v>
      </c>
      <c r="CL259" s="15">
        <f>RecData[[#This Row],[Start Time]]</f>
        <v>43260.934039351858</v>
      </c>
      <c r="CM259" s="16">
        <f>RecData[[#This Row],[Wind Speed avg]]</f>
        <v>0.45</v>
      </c>
      <c r="CN259" s="16">
        <f>RecData[[#This Row],[Wind Dir. avg]]</f>
        <v>157.9</v>
      </c>
      <c r="CO259" s="16">
        <f>RecData[[#This Row],[Amb. Humidity]]</f>
        <v>80.7</v>
      </c>
      <c r="CP259" s="16">
        <f>RecData[[#This Row],[Amb. Temperature]]</f>
        <v>13.6</v>
      </c>
      <c r="CQ259" s="17">
        <f>RecData[[#This Row],[Amb. Rain Gauge]]</f>
        <v>0</v>
      </c>
      <c r="CR259" s="4" t="s">
        <v>50</v>
      </c>
      <c r="CS259" s="4" t="s">
        <v>49</v>
      </c>
      <c r="CT259" s="70">
        <v>-9.2512187959999999</v>
      </c>
      <c r="CU259" s="70">
        <v>248.00207520000001</v>
      </c>
      <c r="CV259" s="70">
        <v>1.5847834350000001</v>
      </c>
      <c r="CW259" s="70">
        <v>0</v>
      </c>
      <c r="CX259" s="4"/>
      <c r="CY259" s="69"/>
      <c r="CZ259" s="2" t="b">
        <f>IF($DP$1="YES",IF(RecData[[#This Row],[Power (kW)]]&gt;=$CR$3, TRUE,FALSE),TRUE)</f>
        <v>0</v>
      </c>
      <c r="DA259" s="16">
        <f>MIN(MOD(180-ABS(ABS($DA$1-RecData[Yaw Angle (°)])-180),360),MOD(180-ABS(ABS($DB$1-RecData[Yaw Angle (°)])-180),360))</f>
        <v>119.52785157768756</v>
      </c>
      <c r="DB259" s="2" t="str">
        <f>IF($DP$2="None","None",IF(RecData[[#This Row],[Relative Wind Direction]]&lt;=45,"DW",IF(RecData[[#This Row],[Relative Wind Direction]]&lt;=135,"CW","UW")))</f>
        <v>CW</v>
      </c>
      <c r="DC259" s="61">
        <f>IF($CL259-$CL255&gt;1/24,#REF!,IF(SUM($CQ255:$CQ259)&gt;$DS$1,$DS$5,DC260-1))</f>
        <v>-2</v>
      </c>
      <c r="DD259" s="61">
        <f>IF($CL260-$CL259&gt;1/24,#REF!,IF(SUM($CQ255:$CQ259)&gt;$DS$1,$DS$6,DD258-1))</f>
        <v>-9</v>
      </c>
      <c r="DE259" s="18" t="b">
        <v>0</v>
      </c>
      <c r="DF259" s="2" t="b">
        <f>IF(OR(RecData[[#This Row],[WSpd_Avg '[m/s']]]-RecData[[#This Row],[Wind Speed min]]&gt;=$DF$3,RecData[[#This Row],[Wind Speed max]]-RecData[[#This Row],[WSpd_Avg '[m/s']]]&gt;=$DF$2),TRUE,FALSE)</f>
        <v>0</v>
      </c>
      <c r="DG259" s="2" t="b">
        <f>RecData[[#This Row],[Temperature '[°C']]]&lt;=-20</f>
        <v>0</v>
      </c>
      <c r="DH259" s="18" t="b">
        <f>NOT(OR(MOD(RecData[[#This Row],[TIMESTAMP]],1)&gt;0.91632,MOD(RecData[[#This Row],[TIMESTAMP]],1)&lt;0.208681))</f>
        <v>0</v>
      </c>
      <c r="DI259" s="18" t="b">
        <f>RecData[[#This Row],[Overall (dBA)]]-RecData[[#This Row],[L90]]&gt;=$DS$4</f>
        <v>0</v>
      </c>
      <c r="DJ259" s="18" t="b">
        <f>RecData[[#This Row],[Overall (dBA)]]&gt;$DS$2</f>
        <v>0</v>
      </c>
      <c r="DK259" s="18" t="b">
        <f>RecData[[#This Row],[Overall (dBA)]]&lt;$DS$3</f>
        <v>0</v>
      </c>
      <c r="DL2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59" s="2">
        <f>IF(AND(RecData[[#This Row],[Turbines ON/OFF]] = "OFF", NOT(OR(RecData[[#This Row],[Junk?]]="YES",RecData[[#This Row],[Gust?]],RecData[[#This Row],[Rain?]:[Min SPL Threshold?]]))),1,0)</f>
        <v>1</v>
      </c>
      <c r="DN259" s="16">
        <f>RecData[[#This Row],[dBA Sum]]</f>
        <v>19.608146731193724</v>
      </c>
      <c r="DO259" s="16">
        <f>RecData[[#This Row],[LAF90.0]]</f>
        <v>43.1</v>
      </c>
      <c r="DP259" s="55" t="str">
        <f>IF(AND(RecData[[#This Row],[Useable TON Data?]],RecData[[#This Row],[Turbines ON/OFF]]="ON"),RecData[[#This Row],[dBA Sum]],"")</f>
        <v/>
      </c>
      <c r="DQ259" s="55">
        <f>IF(AND(RecData[[#This Row],[Useable Background Data?]],RecData[[#This Row],[Turbines ON/OFF]]="OFF"),RecData[[#This Row],[dBA Sum]],"")</f>
        <v>19.608146731193724</v>
      </c>
      <c r="DR259" s="3">
        <f>IF(OR(RecData[[#This Row],[Useable TON Data?]],RecData[[#This Row],[Useable Background Data?]]),ROUND(RecData[[#This Row],[WSpd_Avg '[m/s']]],0),"")</f>
        <v>0</v>
      </c>
      <c r="DS259" s="85">
        <f>(0.00002)^2*(10^(RecData[[#This Row],[Overall (dBA)]]/10))</f>
        <v>3.6548929772411183E-8</v>
      </c>
    </row>
    <row r="260" spans="1:123" ht="15" x14ac:dyDescent="0.25">
      <c r="A260" s="3" t="s">
        <v>249</v>
      </c>
      <c r="B260" s="12">
        <v>43260.934733796304</v>
      </c>
      <c r="C260" s="3"/>
      <c r="D260" s="3">
        <v>44.5</v>
      </c>
      <c r="E260" s="3"/>
      <c r="F260" s="3"/>
      <c r="G260" s="3"/>
      <c r="H260" s="3"/>
      <c r="I260" s="3"/>
      <c r="J260" s="3"/>
      <c r="K260" s="3">
        <v>43.2</v>
      </c>
      <c r="L260" s="3"/>
      <c r="M260" s="3"/>
      <c r="N260" s="3">
        <v>165.4</v>
      </c>
      <c r="O260" s="3"/>
      <c r="P260" s="3"/>
      <c r="Q260" s="3">
        <v>0.37</v>
      </c>
      <c r="R260" s="3">
        <v>0.1</v>
      </c>
      <c r="S260" s="3">
        <v>0.5</v>
      </c>
      <c r="T260" s="3">
        <v>13.6</v>
      </c>
      <c r="U260" s="3">
        <v>80.900000000000006</v>
      </c>
      <c r="V260" s="3">
        <v>975.5</v>
      </c>
      <c r="W260" s="3">
        <v>0</v>
      </c>
      <c r="X260" s="3">
        <v>21.1</v>
      </c>
      <c r="Y260" s="3">
        <v>17.399999999999999</v>
      </c>
      <c r="Z260" s="3">
        <v>19.399999999999999</v>
      </c>
      <c r="AA260" s="3">
        <v>14.9</v>
      </c>
      <c r="AB260" s="3">
        <v>19.8</v>
      </c>
      <c r="AC260" s="3">
        <v>12.3</v>
      </c>
      <c r="AD260" s="3">
        <v>11.1</v>
      </c>
      <c r="AE260" s="3">
        <v>17.8</v>
      </c>
      <c r="AF260" s="3">
        <v>14.6</v>
      </c>
      <c r="AG260" s="3">
        <v>13.9</v>
      </c>
      <c r="AH260" s="3">
        <v>14.6</v>
      </c>
      <c r="AI260" s="3">
        <v>14.6</v>
      </c>
      <c r="AJ260" s="3">
        <v>14</v>
      </c>
      <c r="AK260" s="3">
        <v>11.7</v>
      </c>
      <c r="AL260" s="3">
        <v>9.9</v>
      </c>
      <c r="AM260" s="3">
        <v>7.8</v>
      </c>
      <c r="AN260" s="3">
        <v>9</v>
      </c>
      <c r="AO260" s="3">
        <v>8.3000000000000007</v>
      </c>
      <c r="AP260" s="3">
        <v>9.1</v>
      </c>
      <c r="AQ260" s="3">
        <v>13.6</v>
      </c>
      <c r="AR260" s="3">
        <v>9.5</v>
      </c>
      <c r="AS260" s="3">
        <v>33.799999999999997</v>
      </c>
      <c r="AT260" s="3">
        <v>42.7</v>
      </c>
      <c r="AU260" s="3">
        <v>18.100000000000001</v>
      </c>
      <c r="AV260" s="3">
        <v>10.199999999999999</v>
      </c>
      <c r="AW260" s="3">
        <v>10</v>
      </c>
      <c r="AX260" s="3">
        <v>9.9</v>
      </c>
      <c r="AY260" s="3">
        <v>9.9</v>
      </c>
      <c r="AZ260" s="3">
        <v>0</v>
      </c>
      <c r="BA260" s="3">
        <v>0</v>
      </c>
      <c r="BB260" s="3">
        <v>0</v>
      </c>
      <c r="BC260" s="3">
        <v>44.463986939588267</v>
      </c>
      <c r="BD260" s="3">
        <v>21.136013060411727</v>
      </c>
      <c r="BE260" s="3">
        <v>17.436013060411732</v>
      </c>
      <c r="BF260" s="3">
        <v>18.19601306041173</v>
      </c>
      <c r="BG260" s="3">
        <v>14.022679727078398</v>
      </c>
      <c r="BH260" s="3">
        <v>19.062679727078404</v>
      </c>
      <c r="BI260" s="3">
        <v>11.976013060411731</v>
      </c>
      <c r="BJ260" s="3">
        <v>11.569346393745064</v>
      </c>
      <c r="BK260" s="3">
        <v>18.142679727078395</v>
      </c>
      <c r="BL260" s="3">
        <v>14.516013060411737</v>
      </c>
      <c r="BM260" s="3">
        <v>13.949346393745067</v>
      </c>
      <c r="BN260" s="3">
        <v>14.932679727078401</v>
      </c>
      <c r="BO260" s="3">
        <v>14.299346393745068</v>
      </c>
      <c r="BP260" s="3">
        <v>13.416013060411736</v>
      </c>
      <c r="BQ260" s="3">
        <v>11.532679727078389</v>
      </c>
      <c r="BR260" s="3">
        <v>10.059346393745066</v>
      </c>
      <c r="BS260" s="3">
        <v>7.7626797270783996</v>
      </c>
      <c r="BT260" s="3">
        <v>9.1593463937450679</v>
      </c>
      <c r="BU260" s="3">
        <v>8.4260130604117336</v>
      </c>
      <c r="BV260" s="3">
        <v>8.9426797270783993</v>
      </c>
      <c r="BW260" s="3">
        <v>13.976013060411738</v>
      </c>
      <c r="BX260" s="3">
        <v>9.7960130604117381</v>
      </c>
      <c r="BY260" s="3">
        <v>33.916013060411728</v>
      </c>
      <c r="BZ260" s="3">
        <v>42.94601306041173</v>
      </c>
      <c r="CA260" s="3">
        <v>18.44601306041173</v>
      </c>
      <c r="CB260" s="3">
        <v>9.9826797270783985</v>
      </c>
      <c r="CC260" s="3">
        <v>9.9960130604117339</v>
      </c>
      <c r="CD260" s="3">
        <v>9.2026797270784044</v>
      </c>
      <c r="CE260" s="3">
        <v>9.3960130604117325</v>
      </c>
      <c r="CF260" s="3">
        <v>-0.89065360625493639</v>
      </c>
      <c r="CG260" s="3">
        <v>-1.4239869395882678</v>
      </c>
      <c r="CH260" s="3">
        <v>-2.5006536062549358</v>
      </c>
      <c r="CI260" s="13">
        <f>[1]!dbasum(RecData[[#This Row],[20]:[2000]],RecData[[#Headers],[20]:[2000]])</f>
        <v>19.726052384557931</v>
      </c>
      <c r="CJ260" s="14">
        <v>4267</v>
      </c>
      <c r="CK260" s="15" t="s">
        <v>249</v>
      </c>
      <c r="CL260" s="15">
        <f>RecData[[#This Row],[Start Time]]</f>
        <v>43260.934733796304</v>
      </c>
      <c r="CM260" s="16">
        <f>RecData[[#This Row],[Wind Speed avg]]</f>
        <v>0.37</v>
      </c>
      <c r="CN260" s="16">
        <f>RecData[[#This Row],[Wind Dir. avg]]</f>
        <v>165.4</v>
      </c>
      <c r="CO260" s="16">
        <f>RecData[[#This Row],[Amb. Humidity]]</f>
        <v>80.900000000000006</v>
      </c>
      <c r="CP260" s="16">
        <f>RecData[[#This Row],[Amb. Temperature]]</f>
        <v>13.6</v>
      </c>
      <c r="CQ260" s="17">
        <f>RecData[[#This Row],[Amb. Rain Gauge]]</f>
        <v>0</v>
      </c>
      <c r="CR260" s="4" t="s">
        <v>50</v>
      </c>
      <c r="CS260" s="4" t="s">
        <v>49</v>
      </c>
      <c r="CT260" s="70">
        <v>-9.2512187959999999</v>
      </c>
      <c r="CU260" s="70">
        <v>248.00207520000001</v>
      </c>
      <c r="CV260" s="70">
        <v>1.5847834350000001</v>
      </c>
      <c r="CW260" s="70">
        <v>0</v>
      </c>
      <c r="CX260" s="4"/>
      <c r="CY260" s="69"/>
      <c r="CZ260" s="2" t="b">
        <f>IF($DP$1="YES",IF(RecData[[#This Row],[Power (kW)]]&gt;=$CR$3, TRUE,FALSE),TRUE)</f>
        <v>0</v>
      </c>
      <c r="DA260" s="16">
        <f>MIN(MOD(180-ABS(ABS($DA$1-RecData[Yaw Angle (°)])-180),360),MOD(180-ABS(ABS($DB$1-RecData[Yaw Angle (°)])-180),360))</f>
        <v>119.52785157768756</v>
      </c>
      <c r="DB260" s="2" t="str">
        <f>IF($DP$2="None","None",IF(RecData[[#This Row],[Relative Wind Direction]]&lt;=45,"DW",IF(RecData[[#This Row],[Relative Wind Direction]]&lt;=135,"CW","UW")))</f>
        <v>CW</v>
      </c>
      <c r="DC260" s="61">
        <v>-1</v>
      </c>
      <c r="DD260" s="61">
        <v>-1</v>
      </c>
      <c r="DE260" s="18" t="b">
        <v>0</v>
      </c>
      <c r="DF260" s="2" t="b">
        <f>IF(OR(RecData[[#This Row],[WSpd_Avg '[m/s']]]-RecData[[#This Row],[Wind Speed min]]&gt;=$DF$3,RecData[[#This Row],[Wind Speed max]]-RecData[[#This Row],[WSpd_Avg '[m/s']]]&gt;=$DF$2),TRUE,FALSE)</f>
        <v>0</v>
      </c>
      <c r="DG260" s="2" t="b">
        <f>RecData[[#This Row],[Temperature '[°C']]]&lt;=-20</f>
        <v>0</v>
      </c>
      <c r="DH260" s="18" t="b">
        <f>NOT(OR(MOD(RecData[[#This Row],[TIMESTAMP]],1)&gt;0.91632,MOD(RecData[[#This Row],[TIMESTAMP]],1)&lt;0.208681))</f>
        <v>0</v>
      </c>
      <c r="DI260" s="18" t="b">
        <f>RecData[[#This Row],[Overall (dBA)]]-RecData[[#This Row],[L90]]&gt;=$DS$4</f>
        <v>0</v>
      </c>
      <c r="DJ260" s="18" t="b">
        <f>RecData[[#This Row],[Overall (dBA)]]&gt;$DS$2</f>
        <v>0</v>
      </c>
      <c r="DK260" s="18" t="b">
        <f>RecData[[#This Row],[Overall (dBA)]]&lt;$DS$3</f>
        <v>0</v>
      </c>
      <c r="DL2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0" s="2">
        <f>IF(AND(RecData[[#This Row],[Turbines ON/OFF]] = "OFF", NOT(OR(RecData[[#This Row],[Junk?]]="YES",RecData[[#This Row],[Gust?]],RecData[[#This Row],[Rain?]:[Min SPL Threshold?]]))),1,0)</f>
        <v>1</v>
      </c>
      <c r="DN260" s="16">
        <f>RecData[[#This Row],[dBA Sum]]</f>
        <v>19.726052384557931</v>
      </c>
      <c r="DO260" s="16">
        <f>RecData[[#This Row],[LAF90.0]]</f>
        <v>43.2</v>
      </c>
      <c r="DP260" s="55" t="str">
        <f>IF(AND(RecData[[#This Row],[Useable TON Data?]],RecData[[#This Row],[Turbines ON/OFF]]="ON"),RecData[[#This Row],[dBA Sum]],"")</f>
        <v/>
      </c>
      <c r="DQ260" s="55">
        <f>IF(AND(RecData[[#This Row],[Useable Background Data?]],RecData[[#This Row],[Turbines ON/OFF]]="OFF"),RecData[[#This Row],[dBA Sum]],"")</f>
        <v>19.726052384557931</v>
      </c>
      <c r="DR260" s="3">
        <f>IF(OR(RecData[[#This Row],[Useable TON Data?]],RecData[[#This Row],[Useable Background Data?]]),ROUND(RecData[[#This Row],[WSpd_Avg '[m/s']]],0),"")</f>
        <v>0</v>
      </c>
      <c r="DS260" s="85">
        <f>(0.00002)^2*(10^(RecData[[#This Row],[Overall (dBA)]]/10))</f>
        <v>3.7554780657588957E-8</v>
      </c>
    </row>
    <row r="261" spans="1:123" ht="15" x14ac:dyDescent="0.25">
      <c r="A261" s="3" t="s">
        <v>249</v>
      </c>
      <c r="B261" s="12">
        <v>43260.935428240751</v>
      </c>
      <c r="C261" s="3"/>
      <c r="D261" s="3">
        <v>45.1</v>
      </c>
      <c r="E261" s="3"/>
      <c r="F261" s="3"/>
      <c r="G261" s="3"/>
      <c r="H261" s="3"/>
      <c r="I261" s="3"/>
      <c r="J261" s="3"/>
      <c r="K261" s="3">
        <v>43.8</v>
      </c>
      <c r="L261" s="3"/>
      <c r="M261" s="3"/>
      <c r="N261" s="3">
        <v>159.30000000000001</v>
      </c>
      <c r="O261" s="3"/>
      <c r="P261" s="3"/>
      <c r="Q261" s="3">
        <v>0.5</v>
      </c>
      <c r="R261" s="3">
        <v>0.2</v>
      </c>
      <c r="S261" s="3">
        <v>0.7</v>
      </c>
      <c r="T261" s="3">
        <v>13.6</v>
      </c>
      <c r="U261" s="3">
        <v>80.900000000000006</v>
      </c>
      <c r="V261" s="3">
        <v>975.5</v>
      </c>
      <c r="W261" s="3">
        <v>0</v>
      </c>
      <c r="X261" s="3">
        <v>19.899999999999999</v>
      </c>
      <c r="Y261" s="3">
        <v>17.5</v>
      </c>
      <c r="Z261" s="3">
        <v>17.399999999999999</v>
      </c>
      <c r="AA261" s="3">
        <v>14.1</v>
      </c>
      <c r="AB261" s="3">
        <v>16.7</v>
      </c>
      <c r="AC261" s="3">
        <v>8.3000000000000007</v>
      </c>
      <c r="AD261" s="3">
        <v>9.8000000000000007</v>
      </c>
      <c r="AE261" s="3">
        <v>14.6</v>
      </c>
      <c r="AF261" s="3">
        <v>13.4</v>
      </c>
      <c r="AG261" s="3">
        <v>13.1</v>
      </c>
      <c r="AH261" s="3">
        <v>12.7</v>
      </c>
      <c r="AI261" s="3">
        <v>13</v>
      </c>
      <c r="AJ261" s="3">
        <v>12.7</v>
      </c>
      <c r="AK261" s="3">
        <v>11.3</v>
      </c>
      <c r="AL261" s="3">
        <v>8</v>
      </c>
      <c r="AM261" s="3">
        <v>7.8</v>
      </c>
      <c r="AN261" s="3">
        <v>8.9</v>
      </c>
      <c r="AO261" s="3">
        <v>8.1999999999999993</v>
      </c>
      <c r="AP261" s="3">
        <v>9.1</v>
      </c>
      <c r="AQ261" s="3">
        <v>14</v>
      </c>
      <c r="AR261" s="3">
        <v>9.4</v>
      </c>
      <c r="AS261" s="3">
        <v>34.200000000000003</v>
      </c>
      <c r="AT261" s="3">
        <v>43.4</v>
      </c>
      <c r="AU261" s="3">
        <v>18.600000000000001</v>
      </c>
      <c r="AV261" s="3">
        <v>10.1</v>
      </c>
      <c r="AW261" s="3">
        <v>9.6999999999999993</v>
      </c>
      <c r="AX261" s="3">
        <v>9.6</v>
      </c>
      <c r="AY261" s="3">
        <v>9.8000000000000007</v>
      </c>
      <c r="AZ261" s="3">
        <v>0</v>
      </c>
      <c r="BA261" s="3">
        <v>0</v>
      </c>
      <c r="BB261" s="3">
        <v>0</v>
      </c>
      <c r="BC261" s="3">
        <v>45.126294196778154</v>
      </c>
      <c r="BD261" s="3">
        <v>19.873705803221846</v>
      </c>
      <c r="BE261" s="3">
        <v>17.473705803221847</v>
      </c>
      <c r="BF261" s="3">
        <v>16.133705803221851</v>
      </c>
      <c r="BG261" s="3">
        <v>13.160372469888507</v>
      </c>
      <c r="BH261" s="3">
        <v>15.900372469888516</v>
      </c>
      <c r="BI261" s="3">
        <v>7.9137058032218519</v>
      </c>
      <c r="BJ261" s="3">
        <v>10.207039136555181</v>
      </c>
      <c r="BK261" s="3">
        <v>14.880372469888506</v>
      </c>
      <c r="BL261" s="3">
        <v>13.253705803221848</v>
      </c>
      <c r="BM261" s="3">
        <v>13.087039136555184</v>
      </c>
      <c r="BN261" s="3">
        <v>12.97037246988851</v>
      </c>
      <c r="BO261" s="3">
        <v>12.637039136555181</v>
      </c>
      <c r="BP261" s="3">
        <v>12.053705803221845</v>
      </c>
      <c r="BQ261" s="3">
        <v>11.070372469888504</v>
      </c>
      <c r="BR261" s="3">
        <v>8.0970391365551819</v>
      </c>
      <c r="BS261" s="3">
        <v>7.7003724698885136</v>
      </c>
      <c r="BT261" s="3">
        <v>8.9970391365551805</v>
      </c>
      <c r="BU261" s="3">
        <v>8.2637058032218462</v>
      </c>
      <c r="BV261" s="3">
        <v>8.8803724698885134</v>
      </c>
      <c r="BW261" s="3">
        <v>14.31370580322185</v>
      </c>
      <c r="BX261" s="3">
        <v>9.6337058032218508</v>
      </c>
      <c r="BY261" s="3">
        <v>34.253705803221841</v>
      </c>
      <c r="BZ261" s="3">
        <v>43.583705803221854</v>
      </c>
      <c r="CA261" s="3">
        <v>18.883705803221837</v>
      </c>
      <c r="CB261" s="3">
        <v>9.8203724698885111</v>
      </c>
      <c r="CC261" s="3">
        <v>9.6337058032218437</v>
      </c>
      <c r="CD261" s="3">
        <v>8.8403724698885142</v>
      </c>
      <c r="CE261" s="3">
        <v>9.2337058032218451</v>
      </c>
      <c r="CF261" s="3">
        <v>-0.95296086344482234</v>
      </c>
      <c r="CG261" s="3">
        <v>-1.4862941967781538</v>
      </c>
      <c r="CH261" s="3">
        <v>-2.5629608634448218</v>
      </c>
      <c r="CI261" s="13">
        <f>[1]!dbasum(RecData[[#This Row],[20]:[2000]],RecData[[#Headers],[20]:[2000]])</f>
        <v>19.483738935234062</v>
      </c>
      <c r="CJ261" s="14">
        <v>4268</v>
      </c>
      <c r="CK261" s="15" t="s">
        <v>249</v>
      </c>
      <c r="CL261" s="15">
        <f>RecData[[#This Row],[Start Time]]</f>
        <v>43260.935428240751</v>
      </c>
      <c r="CM261" s="16">
        <f>RecData[[#This Row],[Wind Speed avg]]</f>
        <v>0.5</v>
      </c>
      <c r="CN261" s="16">
        <f>RecData[[#This Row],[Wind Dir. avg]]</f>
        <v>159.30000000000001</v>
      </c>
      <c r="CO261" s="16">
        <f>RecData[[#This Row],[Amb. Humidity]]</f>
        <v>80.900000000000006</v>
      </c>
      <c r="CP261" s="16">
        <f>RecData[[#This Row],[Amb. Temperature]]</f>
        <v>13.6</v>
      </c>
      <c r="CQ261" s="17">
        <f>RecData[[#This Row],[Amb. Rain Gauge]]</f>
        <v>0</v>
      </c>
      <c r="CR261" s="4" t="s">
        <v>50</v>
      </c>
      <c r="CS261" s="4" t="s">
        <v>49</v>
      </c>
      <c r="CT261" s="70">
        <v>-9.2512187959999999</v>
      </c>
      <c r="CU261" s="70">
        <v>248.00207520000001</v>
      </c>
      <c r="CV261" s="70">
        <v>1.5847834350000001</v>
      </c>
      <c r="CW261" s="70">
        <v>0</v>
      </c>
      <c r="CX261" s="4"/>
      <c r="CY261" s="69"/>
      <c r="CZ261" s="2" t="b">
        <f>IF($DP$1="YES",IF(RecData[[#This Row],[Power (kW)]]&gt;=$CR$3, TRUE,FALSE),TRUE)</f>
        <v>0</v>
      </c>
      <c r="DA261" s="16">
        <f>MIN(MOD(180-ABS(ABS($DA$1-RecData[Yaw Angle (°)])-180),360),MOD(180-ABS(ABS($DB$1-RecData[Yaw Angle (°)])-180),360))</f>
        <v>119.52785157768756</v>
      </c>
      <c r="DB261" s="2" t="str">
        <f>IF($DP$2="None","None",IF(RecData[[#This Row],[Relative Wind Direction]]&lt;=45,"DW",IF(RecData[[#This Row],[Relative Wind Direction]]&lt;=135,"CW","UW")))</f>
        <v>CW</v>
      </c>
      <c r="DC261" s="61">
        <f>IF($CL261-$CL260&gt;1/24,#REF!,IF(SUM($CQ260:$CQ261)&gt;$DS$1,$DS$5,DC262-1))</f>
        <v>-9</v>
      </c>
      <c r="DD261" s="61">
        <f>IF($CL262-$CL261&gt;1/24,#REF!,IF(SUM($CQ260:$CQ261)&gt;$DS$1,$DS$6,DD260-1))</f>
        <v>-2</v>
      </c>
      <c r="DE261" s="18" t="b">
        <v>0</v>
      </c>
      <c r="DF261" s="2" t="b">
        <f>IF(OR(RecData[[#This Row],[WSpd_Avg '[m/s']]]-RecData[[#This Row],[Wind Speed min]]&gt;=$DF$3,RecData[[#This Row],[Wind Speed max]]-RecData[[#This Row],[WSpd_Avg '[m/s']]]&gt;=$DF$2),TRUE,FALSE)</f>
        <v>0</v>
      </c>
      <c r="DG261" s="2" t="b">
        <f>RecData[[#This Row],[Temperature '[°C']]]&lt;=-20</f>
        <v>0</v>
      </c>
      <c r="DH261" s="18" t="b">
        <f>NOT(OR(MOD(RecData[[#This Row],[TIMESTAMP]],1)&gt;0.91632,MOD(RecData[[#This Row],[TIMESTAMP]],1)&lt;0.208681))</f>
        <v>0</v>
      </c>
      <c r="DI261" s="18" t="b">
        <f>RecData[[#This Row],[Overall (dBA)]]-RecData[[#This Row],[L90]]&gt;=$DS$4</f>
        <v>0</v>
      </c>
      <c r="DJ261" s="18" t="b">
        <f>RecData[[#This Row],[Overall (dBA)]]&gt;$DS$2</f>
        <v>0</v>
      </c>
      <c r="DK261" s="18" t="b">
        <f>RecData[[#This Row],[Overall (dBA)]]&lt;$DS$3</f>
        <v>0</v>
      </c>
      <c r="DL2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1" s="2">
        <f>IF(AND(RecData[[#This Row],[Turbines ON/OFF]] = "OFF", NOT(OR(RecData[[#This Row],[Junk?]]="YES",RecData[[#This Row],[Gust?]],RecData[[#This Row],[Rain?]:[Min SPL Threshold?]]))),1,0)</f>
        <v>1</v>
      </c>
      <c r="DN261" s="16">
        <f>RecData[[#This Row],[dBA Sum]]</f>
        <v>19.483738935234062</v>
      </c>
      <c r="DO261" s="16">
        <f>RecData[[#This Row],[LAF90.0]]</f>
        <v>43.8</v>
      </c>
      <c r="DP261" s="55" t="str">
        <f>IF(AND(RecData[[#This Row],[Useable TON Data?]],RecData[[#This Row],[Turbines ON/OFF]]="ON"),RecData[[#This Row],[dBA Sum]],"")</f>
        <v/>
      </c>
      <c r="DQ261" s="55">
        <f>IF(AND(RecData[[#This Row],[Useable Background Data?]],RecData[[#This Row],[Turbines ON/OFF]]="OFF"),RecData[[#This Row],[dBA Sum]],"")</f>
        <v>19.483738935234062</v>
      </c>
      <c r="DR261" s="3">
        <f>IF(OR(RecData[[#This Row],[Useable TON Data?]],RecData[[#This Row],[Useable Background Data?]]),ROUND(RecData[[#This Row],[WSpd_Avg '[m/s']]],0),"")</f>
        <v>1</v>
      </c>
      <c r="DS261" s="85">
        <f>(0.00002)^2*(10^(RecData[[#This Row],[Overall (dBA)]]/10))</f>
        <v>3.551680450907417E-8</v>
      </c>
    </row>
    <row r="262" spans="1:123" ht="15" x14ac:dyDescent="0.25">
      <c r="A262" s="3" t="s">
        <v>249</v>
      </c>
      <c r="B262" s="12">
        <v>43260.936122685191</v>
      </c>
      <c r="C262" s="3"/>
      <c r="D262" s="3">
        <v>45.4</v>
      </c>
      <c r="E262" s="3"/>
      <c r="F262" s="3"/>
      <c r="G262" s="3"/>
      <c r="H262" s="3"/>
      <c r="I262" s="3"/>
      <c r="J262" s="3"/>
      <c r="K262" s="3">
        <v>44.1</v>
      </c>
      <c r="L262" s="3"/>
      <c r="M262" s="3"/>
      <c r="N262" s="3">
        <v>150.19999999999999</v>
      </c>
      <c r="O262" s="3"/>
      <c r="P262" s="3"/>
      <c r="Q262" s="3">
        <v>0.47</v>
      </c>
      <c r="R262" s="3">
        <v>0.3</v>
      </c>
      <c r="S262" s="3">
        <v>0.6</v>
      </c>
      <c r="T262" s="3">
        <v>13.6</v>
      </c>
      <c r="U262" s="3">
        <v>80.5</v>
      </c>
      <c r="V262" s="3">
        <v>975.5</v>
      </c>
      <c r="W262" s="3">
        <v>0</v>
      </c>
      <c r="X262" s="3">
        <v>18.899999999999999</v>
      </c>
      <c r="Y262" s="3">
        <v>15.7</v>
      </c>
      <c r="Z262" s="3">
        <v>15.7</v>
      </c>
      <c r="AA262" s="3">
        <v>11.7</v>
      </c>
      <c r="AB262" s="3">
        <v>18.399999999999999</v>
      </c>
      <c r="AC262" s="3">
        <v>7.1</v>
      </c>
      <c r="AD262" s="3">
        <v>9.9</v>
      </c>
      <c r="AE262" s="3">
        <v>17.600000000000001</v>
      </c>
      <c r="AF262" s="3">
        <v>13.2</v>
      </c>
      <c r="AG262" s="3">
        <v>12.4</v>
      </c>
      <c r="AH262" s="3">
        <v>14.6</v>
      </c>
      <c r="AI262" s="3">
        <v>12.2</v>
      </c>
      <c r="AJ262" s="3">
        <v>12.6</v>
      </c>
      <c r="AK262" s="3">
        <v>10.8</v>
      </c>
      <c r="AL262" s="3">
        <v>7.6</v>
      </c>
      <c r="AM262" s="3">
        <v>7.6</v>
      </c>
      <c r="AN262" s="3">
        <v>8.8000000000000007</v>
      </c>
      <c r="AO262" s="3">
        <v>8.1999999999999993</v>
      </c>
      <c r="AP262" s="3">
        <v>9.4</v>
      </c>
      <c r="AQ262" s="3">
        <v>14.2</v>
      </c>
      <c r="AR262" s="3">
        <v>9.8000000000000007</v>
      </c>
      <c r="AS262" s="3">
        <v>35</v>
      </c>
      <c r="AT262" s="3">
        <v>43.6</v>
      </c>
      <c r="AU262" s="3">
        <v>18.7</v>
      </c>
      <c r="AV262" s="3">
        <v>10.199999999999999</v>
      </c>
      <c r="AW262" s="3">
        <v>9.8000000000000007</v>
      </c>
      <c r="AX262" s="3">
        <v>9.6</v>
      </c>
      <c r="AY262" s="3">
        <v>9.8000000000000007</v>
      </c>
      <c r="AZ262" s="3">
        <v>0</v>
      </c>
      <c r="BA262" s="3">
        <v>0</v>
      </c>
      <c r="BB262" s="3">
        <v>0</v>
      </c>
      <c r="BC262" s="3">
        <v>45.394750355891873</v>
      </c>
      <c r="BD262" s="3">
        <v>18.905249644108125</v>
      </c>
      <c r="BE262" s="3">
        <v>15.705249644108122</v>
      </c>
      <c r="BF262" s="3">
        <v>14.465249644108127</v>
      </c>
      <c r="BG262" s="3">
        <v>10.791916310774788</v>
      </c>
      <c r="BH262" s="3">
        <v>17.631916310774798</v>
      </c>
      <c r="BI262" s="3">
        <v>6.745249644108128</v>
      </c>
      <c r="BJ262" s="3">
        <v>10.338582977441462</v>
      </c>
      <c r="BK262" s="3">
        <v>17.911916310774785</v>
      </c>
      <c r="BL262" s="3">
        <v>13.085249644108124</v>
      </c>
      <c r="BM262" s="3">
        <v>12.41858297744146</v>
      </c>
      <c r="BN262" s="3">
        <v>14.901916310774794</v>
      </c>
      <c r="BO262" s="3">
        <v>11.868582977441463</v>
      </c>
      <c r="BP262" s="3">
        <v>11.985249644108123</v>
      </c>
      <c r="BQ262" s="3">
        <v>10.601916310774783</v>
      </c>
      <c r="BR262" s="3">
        <v>7.7285829774414623</v>
      </c>
      <c r="BS262" s="3">
        <v>7.5319163107747897</v>
      </c>
      <c r="BT262" s="3">
        <v>8.9285829774414651</v>
      </c>
      <c r="BU262" s="3">
        <v>8.2952496441081252</v>
      </c>
      <c r="BV262" s="3">
        <v>9.2119163107747966</v>
      </c>
      <c r="BW262" s="3">
        <v>14.545249644108125</v>
      </c>
      <c r="BX262" s="3">
        <v>10.065249644108135</v>
      </c>
      <c r="BY262" s="3">
        <v>35.085249644108117</v>
      </c>
      <c r="BZ262" s="3">
        <v>43.815249644108135</v>
      </c>
      <c r="CA262" s="3">
        <v>19.015249644108124</v>
      </c>
      <c r="CB262" s="3">
        <v>9.9519163107747914</v>
      </c>
      <c r="CC262" s="3">
        <v>9.765249644108124</v>
      </c>
      <c r="CD262" s="3">
        <v>8.8719163107747931</v>
      </c>
      <c r="CE262" s="3">
        <v>9.265249644108124</v>
      </c>
      <c r="CF262" s="3">
        <v>-0.92141702255854341</v>
      </c>
      <c r="CG262" s="3">
        <v>-1.4547503558918748</v>
      </c>
      <c r="CH262" s="3">
        <v>-2.5314170225585428</v>
      </c>
      <c r="CI262" s="13">
        <f>[1]!dbasum(RecData[[#This Row],[20]:[2000]],RecData[[#Headers],[20]:[2000]])</f>
        <v>19.65754156219656</v>
      </c>
      <c r="CJ262" s="14">
        <v>4269</v>
      </c>
      <c r="CK262" s="15" t="s">
        <v>249</v>
      </c>
      <c r="CL262" s="15">
        <f>RecData[[#This Row],[Start Time]]</f>
        <v>43260.936122685191</v>
      </c>
      <c r="CM262" s="16">
        <f>RecData[[#This Row],[Wind Speed avg]]</f>
        <v>0.47</v>
      </c>
      <c r="CN262" s="16">
        <f>RecData[[#This Row],[Wind Dir. avg]]</f>
        <v>150.19999999999999</v>
      </c>
      <c r="CO262" s="16">
        <f>RecData[[#This Row],[Amb. Humidity]]</f>
        <v>80.5</v>
      </c>
      <c r="CP262" s="16">
        <f>RecData[[#This Row],[Amb. Temperature]]</f>
        <v>13.6</v>
      </c>
      <c r="CQ262" s="17">
        <f>RecData[[#This Row],[Amb. Rain Gauge]]</f>
        <v>0</v>
      </c>
      <c r="CR262" s="4" t="s">
        <v>50</v>
      </c>
      <c r="CS262" s="4" t="s">
        <v>49</v>
      </c>
      <c r="CT262" s="70">
        <v>-9.2512187959999999</v>
      </c>
      <c r="CU262" s="70">
        <v>248.00207520000001</v>
      </c>
      <c r="CV262" s="70">
        <v>1.5847834350000001</v>
      </c>
      <c r="CW262" s="70">
        <v>0</v>
      </c>
      <c r="CX262" s="4"/>
      <c r="CY262" s="69"/>
      <c r="CZ262" s="2" t="b">
        <f>IF($DP$1="YES",IF(RecData[[#This Row],[Power (kW)]]&gt;=$CR$3, TRUE,FALSE),TRUE)</f>
        <v>0</v>
      </c>
      <c r="DA262" s="16">
        <f>MIN(MOD(180-ABS(ABS($DA$1-RecData[Yaw Angle (°)])-180),360),MOD(180-ABS(ABS($DB$1-RecData[Yaw Angle (°)])-180),360))</f>
        <v>119.52785157768756</v>
      </c>
      <c r="DB262" s="2" t="str">
        <f>IF($DP$2="None","None",IF(RecData[[#This Row],[Relative Wind Direction]]&lt;=45,"DW",IF(RecData[[#This Row],[Relative Wind Direction]]&lt;=135,"CW","UW")))</f>
        <v>CW</v>
      </c>
      <c r="DC262" s="61">
        <f>IF($CL262-$CL260&gt;1/24,#REF!,IF(SUM($CQ260:$CQ262)&gt;$DS$1,$DS$5,DC263-1))</f>
        <v>-8</v>
      </c>
      <c r="DD262" s="61">
        <f>IF($CL263-$CL262&gt;1/24,#REF!,IF(SUM($CQ260:$CQ262)&gt;$DS$1,$DS$6,DD261-1))</f>
        <v>-3</v>
      </c>
      <c r="DE262" s="18" t="b">
        <v>0</v>
      </c>
      <c r="DF262" s="2" t="b">
        <f>IF(OR(RecData[[#This Row],[WSpd_Avg '[m/s']]]-RecData[[#This Row],[Wind Speed min]]&gt;=$DF$3,RecData[[#This Row],[Wind Speed max]]-RecData[[#This Row],[WSpd_Avg '[m/s']]]&gt;=$DF$2),TRUE,FALSE)</f>
        <v>0</v>
      </c>
      <c r="DG262" s="2" t="b">
        <f>RecData[[#This Row],[Temperature '[°C']]]&lt;=-20</f>
        <v>0</v>
      </c>
      <c r="DH262" s="18" t="b">
        <f>NOT(OR(MOD(RecData[[#This Row],[TIMESTAMP]],1)&gt;0.91632,MOD(RecData[[#This Row],[TIMESTAMP]],1)&lt;0.208681))</f>
        <v>0</v>
      </c>
      <c r="DI262" s="18" t="b">
        <f>RecData[[#This Row],[Overall (dBA)]]-RecData[[#This Row],[L90]]&gt;=$DS$4</f>
        <v>0</v>
      </c>
      <c r="DJ262" s="18" t="b">
        <f>RecData[[#This Row],[Overall (dBA)]]&gt;$DS$2</f>
        <v>0</v>
      </c>
      <c r="DK262" s="18" t="b">
        <f>RecData[[#This Row],[Overall (dBA)]]&lt;$DS$3</f>
        <v>0</v>
      </c>
      <c r="DL2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2" s="2">
        <f>IF(AND(RecData[[#This Row],[Turbines ON/OFF]] = "OFF", NOT(OR(RecData[[#This Row],[Junk?]]="YES",RecData[[#This Row],[Gust?]],RecData[[#This Row],[Rain?]:[Min SPL Threshold?]]))),1,0)</f>
        <v>1</v>
      </c>
      <c r="DN262" s="16">
        <f>RecData[[#This Row],[dBA Sum]]</f>
        <v>19.65754156219656</v>
      </c>
      <c r="DO262" s="16">
        <f>RecData[[#This Row],[LAF90.0]]</f>
        <v>44.1</v>
      </c>
      <c r="DP262" s="55" t="str">
        <f>IF(AND(RecData[[#This Row],[Useable TON Data?]],RecData[[#This Row],[Turbines ON/OFF]]="ON"),RecData[[#This Row],[dBA Sum]],"")</f>
        <v/>
      </c>
      <c r="DQ262" s="55">
        <f>IF(AND(RecData[[#This Row],[Useable Background Data?]],RecData[[#This Row],[Turbines ON/OFF]]="OFF"),RecData[[#This Row],[dBA Sum]],"")</f>
        <v>19.65754156219656</v>
      </c>
      <c r="DR262" s="3">
        <f>IF(OR(RecData[[#This Row],[Useable TON Data?]],RecData[[#This Row],[Useable Background Data?]]),ROUND(RecData[[#This Row],[WSpd_Avg '[m/s']]],0),"")</f>
        <v>0</v>
      </c>
      <c r="DS262" s="85">
        <f>(0.00002)^2*(10^(RecData[[#This Row],[Overall (dBA)]]/10))</f>
        <v>3.6966994896639631E-8</v>
      </c>
    </row>
    <row r="263" spans="1:123" ht="15" x14ac:dyDescent="0.25">
      <c r="A263" s="3" t="s">
        <v>249</v>
      </c>
      <c r="B263" s="12">
        <v>43260.936817129637</v>
      </c>
      <c r="C263" s="3"/>
      <c r="D263" s="3">
        <v>44.7</v>
      </c>
      <c r="E263" s="3"/>
      <c r="F263" s="3"/>
      <c r="G263" s="3"/>
      <c r="H263" s="3"/>
      <c r="I263" s="3"/>
      <c r="J263" s="3"/>
      <c r="K263" s="3">
        <v>43.5</v>
      </c>
      <c r="L263" s="3"/>
      <c r="M263" s="3"/>
      <c r="N263" s="3">
        <v>146.80000000000001</v>
      </c>
      <c r="O263" s="3"/>
      <c r="P263" s="3"/>
      <c r="Q263" s="3">
        <v>0.37</v>
      </c>
      <c r="R263" s="3">
        <v>0.3</v>
      </c>
      <c r="S263" s="3">
        <v>0.5</v>
      </c>
      <c r="T263" s="3">
        <v>13.5</v>
      </c>
      <c r="U263" s="3">
        <v>80.900000000000006</v>
      </c>
      <c r="V263" s="3">
        <v>975.5</v>
      </c>
      <c r="W263" s="3">
        <v>0</v>
      </c>
      <c r="X263" s="3">
        <v>16.5</v>
      </c>
      <c r="Y263" s="3">
        <v>14.3</v>
      </c>
      <c r="Z263" s="3">
        <v>15.6</v>
      </c>
      <c r="AA263" s="3">
        <v>10.4</v>
      </c>
      <c r="AB263" s="3">
        <v>15.6</v>
      </c>
      <c r="AC263" s="3">
        <v>6.9</v>
      </c>
      <c r="AD263" s="3">
        <v>10</v>
      </c>
      <c r="AE263" s="3">
        <v>14</v>
      </c>
      <c r="AF263" s="3">
        <v>12.9</v>
      </c>
      <c r="AG263" s="3">
        <v>11.8</v>
      </c>
      <c r="AH263" s="3">
        <v>12.2</v>
      </c>
      <c r="AI263" s="3">
        <v>11.6</v>
      </c>
      <c r="AJ263" s="3">
        <v>11.9</v>
      </c>
      <c r="AK263" s="3">
        <v>10.4</v>
      </c>
      <c r="AL263" s="3">
        <v>7.3</v>
      </c>
      <c r="AM263" s="3">
        <v>7.8</v>
      </c>
      <c r="AN263" s="3">
        <v>8.8000000000000007</v>
      </c>
      <c r="AO263" s="3">
        <v>8</v>
      </c>
      <c r="AP263" s="3">
        <v>9</v>
      </c>
      <c r="AQ263" s="3">
        <v>14</v>
      </c>
      <c r="AR263" s="3">
        <v>9.4</v>
      </c>
      <c r="AS263" s="3">
        <v>35.200000000000003</v>
      </c>
      <c r="AT263" s="3">
        <v>42.8</v>
      </c>
      <c r="AU263" s="3">
        <v>17.600000000000001</v>
      </c>
      <c r="AV263" s="3">
        <v>10.3</v>
      </c>
      <c r="AW263" s="3">
        <v>9.8000000000000007</v>
      </c>
      <c r="AX263" s="3">
        <v>9.6</v>
      </c>
      <c r="AY263" s="3">
        <v>9.9</v>
      </c>
      <c r="AZ263" s="3">
        <v>0</v>
      </c>
      <c r="BA263" s="3">
        <v>0</v>
      </c>
      <c r="BB263" s="3">
        <v>0</v>
      </c>
      <c r="BC263" s="3">
        <v>44.731455460100698</v>
      </c>
      <c r="BD263" s="3">
        <v>16.468544539899305</v>
      </c>
      <c r="BE263" s="3">
        <v>14.268544539899302</v>
      </c>
      <c r="BF263" s="3">
        <v>14.328544539899305</v>
      </c>
      <c r="BG263" s="3">
        <v>9.4552112065659699</v>
      </c>
      <c r="BH263" s="3">
        <v>14.795211206565973</v>
      </c>
      <c r="BI263" s="3">
        <v>6.5085445398993045</v>
      </c>
      <c r="BJ263" s="3">
        <v>10.401877873232635</v>
      </c>
      <c r="BK263" s="3">
        <v>14.27521120656597</v>
      </c>
      <c r="BL263" s="3">
        <v>12.748544539899306</v>
      </c>
      <c r="BM263" s="3">
        <v>11.781877873232638</v>
      </c>
      <c r="BN263" s="3">
        <v>12.465211206565975</v>
      </c>
      <c r="BO263" s="3">
        <v>11.231877873232641</v>
      </c>
      <c r="BP263" s="3">
        <v>11.248544539899306</v>
      </c>
      <c r="BQ263" s="3">
        <v>10.165211206565964</v>
      </c>
      <c r="BR263" s="3">
        <v>7.3918778732326373</v>
      </c>
      <c r="BS263" s="3">
        <v>7.6952112065659719</v>
      </c>
      <c r="BT263" s="3">
        <v>8.8918778732326373</v>
      </c>
      <c r="BU263" s="3">
        <v>8.0585445398993087</v>
      </c>
      <c r="BV263" s="3">
        <v>8.7752112065659702</v>
      </c>
      <c r="BW263" s="3">
        <v>14.308544539899309</v>
      </c>
      <c r="BX263" s="3">
        <v>9.628544539899309</v>
      </c>
      <c r="BY263" s="3">
        <v>35.248544539899306</v>
      </c>
      <c r="BZ263" s="3">
        <v>42.97854453989931</v>
      </c>
      <c r="CA263" s="3">
        <v>17.878544539899302</v>
      </c>
      <c r="CB263" s="3">
        <v>10.015211206565972</v>
      </c>
      <c r="CC263" s="3">
        <v>9.7285445398993033</v>
      </c>
      <c r="CD263" s="3">
        <v>8.8352112065659796</v>
      </c>
      <c r="CE263" s="3">
        <v>9.3285445398993048</v>
      </c>
      <c r="CF263" s="3">
        <v>-0.95812212676736408</v>
      </c>
      <c r="CG263" s="3">
        <v>-1.4914554601006955</v>
      </c>
      <c r="CH263" s="3">
        <v>-2.5681221267673635</v>
      </c>
      <c r="CI263" s="13">
        <f>[1]!dbasum(RecData[[#This Row],[20]:[2000]],RecData[[#Headers],[20]:[2000]])</f>
        <v>19.29272152344954</v>
      </c>
      <c r="CJ263" s="14">
        <v>4270</v>
      </c>
      <c r="CK263" s="15" t="s">
        <v>249</v>
      </c>
      <c r="CL263" s="15">
        <f>RecData[[#This Row],[Start Time]]</f>
        <v>43260.936817129637</v>
      </c>
      <c r="CM263" s="16">
        <f>RecData[[#This Row],[Wind Speed avg]]</f>
        <v>0.37</v>
      </c>
      <c r="CN263" s="16">
        <f>RecData[[#This Row],[Wind Dir. avg]]</f>
        <v>146.80000000000001</v>
      </c>
      <c r="CO263" s="16">
        <f>RecData[[#This Row],[Amb. Humidity]]</f>
        <v>80.900000000000006</v>
      </c>
      <c r="CP263" s="16">
        <f>RecData[[#This Row],[Amb. Temperature]]</f>
        <v>13.5</v>
      </c>
      <c r="CQ263" s="17">
        <f>RecData[[#This Row],[Amb. Rain Gauge]]</f>
        <v>0</v>
      </c>
      <c r="CR263" s="4" t="s">
        <v>50</v>
      </c>
      <c r="CS263" s="4" t="s">
        <v>49</v>
      </c>
      <c r="CT263" s="70">
        <v>-9.2512187959999999</v>
      </c>
      <c r="CU263" s="70">
        <v>248.00207520000001</v>
      </c>
      <c r="CV263" s="70">
        <v>1.5847834350000001</v>
      </c>
      <c r="CW263" s="70">
        <v>0</v>
      </c>
      <c r="CX263" s="4"/>
      <c r="CY263" s="69"/>
      <c r="CZ263" s="2" t="b">
        <f>IF($DP$1="YES",IF(RecData[[#This Row],[Power (kW)]]&gt;=$CR$3, TRUE,FALSE),TRUE)</f>
        <v>0</v>
      </c>
      <c r="DA263" s="16">
        <f>MIN(MOD(180-ABS(ABS($DA$1-RecData[Yaw Angle (°)])-180),360),MOD(180-ABS(ABS($DB$1-RecData[Yaw Angle (°)])-180),360))</f>
        <v>119.52785157768756</v>
      </c>
      <c r="DB263" s="2" t="str">
        <f>IF($DP$2="None","None",IF(RecData[[#This Row],[Relative Wind Direction]]&lt;=45,"DW",IF(RecData[[#This Row],[Relative Wind Direction]]&lt;=135,"CW","UW")))</f>
        <v>CW</v>
      </c>
      <c r="DC263" s="61">
        <f>IF($CL263-$CL260&gt;1/24,#REF!,IF(SUM($CQ260:$CQ263)&gt;$DS$1,$DS$5,DC264-1))</f>
        <v>-7</v>
      </c>
      <c r="DD263" s="61">
        <f>IF($CL264-$CL263&gt;1/24,#REF!,IF(SUM($CQ260:$CQ263)&gt;$DS$1,$DS$6,DD262-1))</f>
        <v>-4</v>
      </c>
      <c r="DE263" s="18" t="b">
        <v>0</v>
      </c>
      <c r="DF263" s="2" t="b">
        <f>IF(OR(RecData[[#This Row],[WSpd_Avg '[m/s']]]-RecData[[#This Row],[Wind Speed min]]&gt;=$DF$3,RecData[[#This Row],[Wind Speed max]]-RecData[[#This Row],[WSpd_Avg '[m/s']]]&gt;=$DF$2),TRUE,FALSE)</f>
        <v>0</v>
      </c>
      <c r="DG263" s="2" t="b">
        <f>RecData[[#This Row],[Temperature '[°C']]]&lt;=-20</f>
        <v>0</v>
      </c>
      <c r="DH263" s="18" t="b">
        <f>NOT(OR(MOD(RecData[[#This Row],[TIMESTAMP]],1)&gt;0.91632,MOD(RecData[[#This Row],[TIMESTAMP]],1)&lt;0.208681))</f>
        <v>0</v>
      </c>
      <c r="DI263" s="18" t="b">
        <f>RecData[[#This Row],[Overall (dBA)]]-RecData[[#This Row],[L90]]&gt;=$DS$4</f>
        <v>0</v>
      </c>
      <c r="DJ263" s="18" t="b">
        <f>RecData[[#This Row],[Overall (dBA)]]&gt;$DS$2</f>
        <v>0</v>
      </c>
      <c r="DK263" s="18" t="b">
        <f>RecData[[#This Row],[Overall (dBA)]]&lt;$DS$3</f>
        <v>0</v>
      </c>
      <c r="DL2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3" s="2">
        <f>IF(AND(RecData[[#This Row],[Turbines ON/OFF]] = "OFF", NOT(OR(RecData[[#This Row],[Junk?]]="YES",RecData[[#This Row],[Gust?]],RecData[[#This Row],[Rain?]:[Min SPL Threshold?]]))),1,0)</f>
        <v>1</v>
      </c>
      <c r="DN263" s="16">
        <f>RecData[[#This Row],[dBA Sum]]</f>
        <v>19.29272152344954</v>
      </c>
      <c r="DO263" s="16">
        <f>RecData[[#This Row],[LAF90.0]]</f>
        <v>43.5</v>
      </c>
      <c r="DP263" s="55" t="str">
        <f>IF(AND(RecData[[#This Row],[Useable TON Data?]],RecData[[#This Row],[Turbines ON/OFF]]="ON"),RecData[[#This Row],[dBA Sum]],"")</f>
        <v/>
      </c>
      <c r="DQ263" s="55">
        <f>IF(AND(RecData[[#This Row],[Useable Background Data?]],RecData[[#This Row],[Turbines ON/OFF]]="OFF"),RecData[[#This Row],[dBA Sum]],"")</f>
        <v>19.29272152344954</v>
      </c>
      <c r="DR263" s="3">
        <f>IF(OR(RecData[[#This Row],[Useable TON Data?]],RecData[[#This Row],[Useable Background Data?]]),ROUND(RecData[[#This Row],[WSpd_Avg '[m/s']]],0),"")</f>
        <v>0</v>
      </c>
      <c r="DS263" s="85">
        <f>(0.00002)^2*(10^(RecData[[#This Row],[Overall (dBA)]]/10))</f>
        <v>3.3988511363590872E-8</v>
      </c>
    </row>
    <row r="264" spans="1:123" ht="15" x14ac:dyDescent="0.25">
      <c r="A264" s="3" t="s">
        <v>249</v>
      </c>
      <c r="B264" s="12">
        <v>43260.937511574084</v>
      </c>
      <c r="C264" s="3"/>
      <c r="D264" s="3">
        <v>44.9</v>
      </c>
      <c r="E264" s="3"/>
      <c r="F264" s="3"/>
      <c r="G264" s="3"/>
      <c r="H264" s="3"/>
      <c r="I264" s="3"/>
      <c r="J264" s="3"/>
      <c r="K264" s="3">
        <v>43.5</v>
      </c>
      <c r="L264" s="3"/>
      <c r="M264" s="3"/>
      <c r="N264" s="3">
        <v>157.6</v>
      </c>
      <c r="O264" s="3"/>
      <c r="P264" s="3"/>
      <c r="Q264" s="3">
        <v>0.28999999999999998</v>
      </c>
      <c r="R264" s="3">
        <v>0.2</v>
      </c>
      <c r="S264" s="3">
        <v>0.4</v>
      </c>
      <c r="T264" s="3">
        <v>13.5</v>
      </c>
      <c r="U264" s="3">
        <v>81.099999999999994</v>
      </c>
      <c r="V264" s="3">
        <v>975.5</v>
      </c>
      <c r="W264" s="3">
        <v>0</v>
      </c>
      <c r="X264" s="3">
        <v>16.399999999999999</v>
      </c>
      <c r="Y264" s="3">
        <v>18.5</v>
      </c>
      <c r="Z264" s="3">
        <v>22.8</v>
      </c>
      <c r="AA264" s="3">
        <v>13.8</v>
      </c>
      <c r="AB264" s="3">
        <v>19.3</v>
      </c>
      <c r="AC264" s="3">
        <v>7.3</v>
      </c>
      <c r="AD264" s="3">
        <v>9.6</v>
      </c>
      <c r="AE264" s="3">
        <v>15.5</v>
      </c>
      <c r="AF264" s="3">
        <v>13.8</v>
      </c>
      <c r="AG264" s="3">
        <v>12.1</v>
      </c>
      <c r="AH264" s="3">
        <v>13.2</v>
      </c>
      <c r="AI264" s="3">
        <v>12.1</v>
      </c>
      <c r="AJ264" s="3">
        <v>12.8</v>
      </c>
      <c r="AK264" s="3">
        <v>12.3</v>
      </c>
      <c r="AL264" s="3">
        <v>14.1</v>
      </c>
      <c r="AM264" s="3">
        <v>8.5</v>
      </c>
      <c r="AN264" s="3">
        <v>8.9</v>
      </c>
      <c r="AO264" s="3">
        <v>8.1999999999999993</v>
      </c>
      <c r="AP264" s="3">
        <v>8.9</v>
      </c>
      <c r="AQ264" s="3">
        <v>13.8</v>
      </c>
      <c r="AR264" s="3">
        <v>9.4</v>
      </c>
      <c r="AS264" s="3">
        <v>34.5</v>
      </c>
      <c r="AT264" s="3">
        <v>43.1</v>
      </c>
      <c r="AU264" s="3">
        <v>17.899999999999999</v>
      </c>
      <c r="AV264" s="3">
        <v>10.9</v>
      </c>
      <c r="AW264" s="3">
        <v>10</v>
      </c>
      <c r="AX264" s="3">
        <v>9.6999999999999993</v>
      </c>
      <c r="AY264" s="3">
        <v>9.9</v>
      </c>
      <c r="AZ264" s="3">
        <v>0</v>
      </c>
      <c r="BA264" s="3">
        <v>0</v>
      </c>
      <c r="BB264" s="3">
        <v>0</v>
      </c>
      <c r="BC264" s="3">
        <v>44.897135507114825</v>
      </c>
      <c r="BD264" s="3">
        <v>16.402864492885172</v>
      </c>
      <c r="BE264" s="3">
        <v>18.502864492885173</v>
      </c>
      <c r="BF264" s="3">
        <v>21.562864492885183</v>
      </c>
      <c r="BG264" s="3">
        <v>12.889531159551836</v>
      </c>
      <c r="BH264" s="3">
        <v>18.529531159551844</v>
      </c>
      <c r="BI264" s="3">
        <v>6.942864492885171</v>
      </c>
      <c r="BJ264" s="3">
        <v>10.036197826218505</v>
      </c>
      <c r="BK264" s="3">
        <v>15.809531159551838</v>
      </c>
      <c r="BL264" s="3">
        <v>13.682864492885173</v>
      </c>
      <c r="BM264" s="3">
        <v>12.11619782621851</v>
      </c>
      <c r="BN264" s="3">
        <v>13.499531159551836</v>
      </c>
      <c r="BO264" s="3">
        <v>11.766197826218509</v>
      </c>
      <c r="BP264" s="3">
        <v>12.182864492885173</v>
      </c>
      <c r="BQ264" s="3">
        <v>12.09953115955183</v>
      </c>
      <c r="BR264" s="3">
        <v>14.22619782621851</v>
      </c>
      <c r="BS264" s="3">
        <v>8.4295311595518427</v>
      </c>
      <c r="BT264" s="3">
        <v>9.0261978262185067</v>
      </c>
      <c r="BU264" s="3">
        <v>8.2928644928851725</v>
      </c>
      <c r="BV264" s="3">
        <v>8.7095311595518439</v>
      </c>
      <c r="BW264" s="3">
        <v>14.142864492885181</v>
      </c>
      <c r="BX264" s="3">
        <v>9.662864492885177</v>
      </c>
      <c r="BY264" s="3">
        <v>34.582864492885165</v>
      </c>
      <c r="BZ264" s="3">
        <v>43.312864492885183</v>
      </c>
      <c r="CA264" s="3">
        <v>18.21286449288516</v>
      </c>
      <c r="CB264" s="3">
        <v>10.649531159551842</v>
      </c>
      <c r="CC264" s="3">
        <v>9.9628644928851742</v>
      </c>
      <c r="CD264" s="3">
        <v>8.9695311595518419</v>
      </c>
      <c r="CE264" s="3">
        <v>9.3628644928851728</v>
      </c>
      <c r="CF264" s="3">
        <v>-0.92380217378149609</v>
      </c>
      <c r="CG264" s="3">
        <v>-1.4571355071148275</v>
      </c>
      <c r="CH264" s="3">
        <v>-2.5338021737814955</v>
      </c>
      <c r="CI264" s="13">
        <f>[1]!dbasum(RecData[[#This Row],[20]:[2000]],RecData[[#Headers],[20]:[2000]])</f>
        <v>19.932544587954744</v>
      </c>
      <c r="CJ264" s="14">
        <v>4271</v>
      </c>
      <c r="CK264" s="15" t="s">
        <v>249</v>
      </c>
      <c r="CL264" s="15">
        <f>RecData[[#This Row],[Start Time]]</f>
        <v>43260.937511574084</v>
      </c>
      <c r="CM264" s="16">
        <f>RecData[[#This Row],[Wind Speed avg]]</f>
        <v>0.28999999999999998</v>
      </c>
      <c r="CN264" s="16">
        <f>RecData[[#This Row],[Wind Dir. avg]]</f>
        <v>157.6</v>
      </c>
      <c r="CO264" s="16">
        <f>RecData[[#This Row],[Amb. Humidity]]</f>
        <v>81.099999999999994</v>
      </c>
      <c r="CP264" s="16">
        <f>RecData[[#This Row],[Amb. Temperature]]</f>
        <v>13.5</v>
      </c>
      <c r="CQ264" s="17">
        <f>RecData[[#This Row],[Amb. Rain Gauge]]</f>
        <v>0</v>
      </c>
      <c r="CR264" s="4" t="s">
        <v>50</v>
      </c>
      <c r="CS264" s="4" t="s">
        <v>49</v>
      </c>
      <c r="CT264" s="70">
        <v>-9.2572793959999995</v>
      </c>
      <c r="CU264" s="70">
        <v>248.00209050000001</v>
      </c>
      <c r="CV264" s="70">
        <v>1.361344814</v>
      </c>
      <c r="CW264" s="70">
        <v>0</v>
      </c>
      <c r="CX264" s="4"/>
      <c r="CY264" s="69"/>
      <c r="CZ264" s="2" t="b">
        <f>IF($DP$1="YES",IF(RecData[[#This Row],[Power (kW)]]&gt;=$CR$3, TRUE,FALSE),TRUE)</f>
        <v>0</v>
      </c>
      <c r="DA264" s="16">
        <f>MIN(MOD(180-ABS(ABS($DA$1-RecData[Yaw Angle (°)])-180),360),MOD(180-ABS(ABS($DB$1-RecData[Yaw Angle (°)])-180),360))</f>
        <v>119.52783627768753</v>
      </c>
      <c r="DB264" s="2" t="str">
        <f>IF($DP$2="None","None",IF(RecData[[#This Row],[Relative Wind Direction]]&lt;=45,"DW",IF(RecData[[#This Row],[Relative Wind Direction]]&lt;=135,"CW","UW")))</f>
        <v>CW</v>
      </c>
      <c r="DC264" s="61">
        <f>IF($CL264-$CL260&gt;1/24,#REF!,IF(SUM($CQ260:$CQ264)&gt;$DS$1,$DS$5,DC265-1))</f>
        <v>-6</v>
      </c>
      <c r="DD264" s="61">
        <f>IF($CL265-$CL264&gt;1/24,#REF!,IF(SUM($CQ260:$CQ264)&gt;$DS$1,$DS$6,DD263-1))</f>
        <v>-5</v>
      </c>
      <c r="DE264" s="18" t="b">
        <v>0</v>
      </c>
      <c r="DF264" s="2" t="b">
        <f>IF(OR(RecData[[#This Row],[WSpd_Avg '[m/s']]]-RecData[[#This Row],[Wind Speed min]]&gt;=$DF$3,RecData[[#This Row],[Wind Speed max]]-RecData[[#This Row],[WSpd_Avg '[m/s']]]&gt;=$DF$2),TRUE,FALSE)</f>
        <v>0</v>
      </c>
      <c r="DG264" s="2" t="b">
        <f>RecData[[#This Row],[Temperature '[°C']]]&lt;=-20</f>
        <v>0</v>
      </c>
      <c r="DH264" s="18" t="b">
        <f>NOT(OR(MOD(RecData[[#This Row],[TIMESTAMP]],1)&gt;0.91632,MOD(RecData[[#This Row],[TIMESTAMP]],1)&lt;0.208681))</f>
        <v>0</v>
      </c>
      <c r="DI264" s="18" t="b">
        <f>RecData[[#This Row],[Overall (dBA)]]-RecData[[#This Row],[L90]]&gt;=$DS$4</f>
        <v>0</v>
      </c>
      <c r="DJ264" s="18" t="b">
        <f>RecData[[#This Row],[Overall (dBA)]]&gt;$DS$2</f>
        <v>0</v>
      </c>
      <c r="DK264" s="18" t="b">
        <f>RecData[[#This Row],[Overall (dBA)]]&lt;$DS$3</f>
        <v>0</v>
      </c>
      <c r="DL2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4" s="2">
        <f>IF(AND(RecData[[#This Row],[Turbines ON/OFF]] = "OFF", NOT(OR(RecData[[#This Row],[Junk?]]="YES",RecData[[#This Row],[Gust?]],RecData[[#This Row],[Rain?]:[Min SPL Threshold?]]))),1,0)</f>
        <v>1</v>
      </c>
      <c r="DN264" s="16">
        <f>RecData[[#This Row],[dBA Sum]]</f>
        <v>19.932544587954744</v>
      </c>
      <c r="DO264" s="16">
        <f>RecData[[#This Row],[LAF90.0]]</f>
        <v>43.5</v>
      </c>
      <c r="DP264" s="55" t="str">
        <f>IF(AND(RecData[[#This Row],[Useable TON Data?]],RecData[[#This Row],[Turbines ON/OFF]]="ON"),RecData[[#This Row],[dBA Sum]],"")</f>
        <v/>
      </c>
      <c r="DQ264" s="55">
        <f>IF(AND(RecData[[#This Row],[Useable Background Data?]],RecData[[#This Row],[Turbines ON/OFF]]="OFF"),RecData[[#This Row],[dBA Sum]],"")</f>
        <v>19.932544587954744</v>
      </c>
      <c r="DR264" s="3">
        <f>IF(OR(RecData[[#This Row],[Useable TON Data?]],RecData[[#This Row],[Useable Background Data?]]),ROUND(RecData[[#This Row],[WSpd_Avg '[m/s']]],0),"")</f>
        <v>0</v>
      </c>
      <c r="DS264" s="85">
        <f>(0.00002)^2*(10^(RecData[[#This Row],[Overall (dBA)]]/10))</f>
        <v>3.9383512784980068E-8</v>
      </c>
    </row>
    <row r="265" spans="1:123" ht="15" x14ac:dyDescent="0.25">
      <c r="A265" s="3" t="s">
        <v>249</v>
      </c>
      <c r="B265" s="12">
        <v>43260.938206018523</v>
      </c>
      <c r="C265" s="3"/>
      <c r="D265" s="3">
        <v>45.2</v>
      </c>
      <c r="E265" s="3"/>
      <c r="F265" s="3"/>
      <c r="G265" s="3"/>
      <c r="H265" s="3"/>
      <c r="I265" s="3"/>
      <c r="J265" s="3"/>
      <c r="K265" s="3">
        <v>43.8</v>
      </c>
      <c r="L265" s="3"/>
      <c r="M265" s="3"/>
      <c r="N265" s="3">
        <v>155.6</v>
      </c>
      <c r="O265" s="3"/>
      <c r="P265" s="3"/>
      <c r="Q265" s="3">
        <v>0.3</v>
      </c>
      <c r="R265" s="3">
        <v>0.2</v>
      </c>
      <c r="S265" s="3">
        <v>0.4</v>
      </c>
      <c r="T265" s="3">
        <v>13.5</v>
      </c>
      <c r="U265" s="3">
        <v>81.2</v>
      </c>
      <c r="V265" s="3">
        <v>975.6</v>
      </c>
      <c r="W265" s="3">
        <v>0</v>
      </c>
      <c r="X265" s="3">
        <v>15.5</v>
      </c>
      <c r="Y265" s="3">
        <v>14.2</v>
      </c>
      <c r="Z265" s="3">
        <v>16.100000000000001</v>
      </c>
      <c r="AA265" s="3">
        <v>11.5</v>
      </c>
      <c r="AB265" s="3">
        <v>20.399999999999999</v>
      </c>
      <c r="AC265" s="3">
        <v>7.7</v>
      </c>
      <c r="AD265" s="3">
        <v>8.6999999999999993</v>
      </c>
      <c r="AE265" s="3">
        <v>16.100000000000001</v>
      </c>
      <c r="AF265" s="3">
        <v>12.2</v>
      </c>
      <c r="AG265" s="3">
        <v>12</v>
      </c>
      <c r="AH265" s="3">
        <v>14.3</v>
      </c>
      <c r="AI265" s="3">
        <v>12.5</v>
      </c>
      <c r="AJ265" s="3">
        <v>13.3</v>
      </c>
      <c r="AK265" s="3">
        <v>11.3</v>
      </c>
      <c r="AL265" s="3">
        <v>12.4</v>
      </c>
      <c r="AM265" s="3">
        <v>8.4</v>
      </c>
      <c r="AN265" s="3">
        <v>9</v>
      </c>
      <c r="AO265" s="3">
        <v>8.3000000000000007</v>
      </c>
      <c r="AP265" s="3">
        <v>9.3000000000000007</v>
      </c>
      <c r="AQ265" s="3">
        <v>14.2</v>
      </c>
      <c r="AR265" s="3">
        <v>9.6999999999999993</v>
      </c>
      <c r="AS265" s="3">
        <v>35.4</v>
      </c>
      <c r="AT265" s="3">
        <v>43.3</v>
      </c>
      <c r="AU265" s="3">
        <v>18.2</v>
      </c>
      <c r="AV265" s="3">
        <v>10.4</v>
      </c>
      <c r="AW265" s="3">
        <v>10.1</v>
      </c>
      <c r="AX265" s="3">
        <v>9.8000000000000007</v>
      </c>
      <c r="AY265" s="3">
        <v>9.9</v>
      </c>
      <c r="AZ265" s="3">
        <v>0</v>
      </c>
      <c r="BA265" s="3">
        <v>0</v>
      </c>
      <c r="BB265" s="3">
        <v>0</v>
      </c>
      <c r="BC265" s="3">
        <v>45.188335684198229</v>
      </c>
      <c r="BD265" s="3">
        <v>15.511664315801774</v>
      </c>
      <c r="BE265" s="3">
        <v>14.211664315801777</v>
      </c>
      <c r="BF265" s="3">
        <v>14.871664315801773</v>
      </c>
      <c r="BG265" s="3">
        <v>10.59833098246844</v>
      </c>
      <c r="BH265" s="3">
        <v>19.638330982468439</v>
      </c>
      <c r="BI265" s="3">
        <v>7.3516643158017771</v>
      </c>
      <c r="BJ265" s="3">
        <v>9.1449976491351066</v>
      </c>
      <c r="BK265" s="3">
        <v>16.41833098246844</v>
      </c>
      <c r="BL265" s="3">
        <v>12.091664315801772</v>
      </c>
      <c r="BM265" s="3">
        <v>12.024997649135109</v>
      </c>
      <c r="BN265" s="3">
        <v>14.608330982468438</v>
      </c>
      <c r="BO265" s="3">
        <v>12.174997649135108</v>
      </c>
      <c r="BP265" s="3">
        <v>12.691664315801773</v>
      </c>
      <c r="BQ265" s="3">
        <v>11.108330982468431</v>
      </c>
      <c r="BR265" s="3">
        <v>12.534997649135107</v>
      </c>
      <c r="BS265" s="3">
        <v>8.3383309824684417</v>
      </c>
      <c r="BT265" s="3">
        <v>9.1349976491351086</v>
      </c>
      <c r="BU265" s="3">
        <v>8.4016643158017743</v>
      </c>
      <c r="BV265" s="3">
        <v>9.1183309824684429</v>
      </c>
      <c r="BW265" s="3">
        <v>14.55166431580178</v>
      </c>
      <c r="BX265" s="3">
        <v>9.9716643158017817</v>
      </c>
      <c r="BY265" s="3">
        <v>35.491664315801778</v>
      </c>
      <c r="BZ265" s="3">
        <v>43.521664315801779</v>
      </c>
      <c r="CA265" s="3">
        <v>18.521664315801765</v>
      </c>
      <c r="CB265" s="3">
        <v>10.158330982468435</v>
      </c>
      <c r="CC265" s="3">
        <v>10.071664315801776</v>
      </c>
      <c r="CD265" s="3">
        <v>9.0783309824684437</v>
      </c>
      <c r="CE265" s="3">
        <v>9.3716643158017732</v>
      </c>
      <c r="CF265" s="3">
        <v>-0.91500235086489567</v>
      </c>
      <c r="CG265" s="3">
        <v>-1.4483356841982271</v>
      </c>
      <c r="CH265" s="3">
        <v>-2.5250023508648951</v>
      </c>
      <c r="CI265" s="13">
        <f>[1]!dbasum(RecData[[#This Row],[20]:[2000]],RecData[[#Headers],[20]:[2000]])</f>
        <v>19.981514923923037</v>
      </c>
      <c r="CJ265" s="14">
        <v>4272</v>
      </c>
      <c r="CK265" s="15" t="s">
        <v>249</v>
      </c>
      <c r="CL265" s="15">
        <f>RecData[[#This Row],[Start Time]]</f>
        <v>43260.938206018523</v>
      </c>
      <c r="CM265" s="16">
        <f>RecData[[#This Row],[Wind Speed avg]]</f>
        <v>0.3</v>
      </c>
      <c r="CN265" s="16">
        <f>RecData[[#This Row],[Wind Dir. avg]]</f>
        <v>155.6</v>
      </c>
      <c r="CO265" s="16">
        <f>RecData[[#This Row],[Amb. Humidity]]</f>
        <v>81.2</v>
      </c>
      <c r="CP265" s="16">
        <f>RecData[[#This Row],[Amb. Temperature]]</f>
        <v>13.5</v>
      </c>
      <c r="CQ265" s="17">
        <f>RecData[[#This Row],[Amb. Rain Gauge]]</f>
        <v>0</v>
      </c>
      <c r="CR265" s="4" t="s">
        <v>50</v>
      </c>
      <c r="CS265" s="4" t="s">
        <v>49</v>
      </c>
      <c r="CT265" s="70">
        <v>-9.2572793959999995</v>
      </c>
      <c r="CU265" s="70">
        <v>248.00209050000001</v>
      </c>
      <c r="CV265" s="70">
        <v>1.361344814</v>
      </c>
      <c r="CW265" s="70">
        <v>0</v>
      </c>
      <c r="CX265" s="4"/>
      <c r="CY265" s="69"/>
      <c r="CZ265" s="2" t="b">
        <f>IF($DP$1="YES",IF(RecData[[#This Row],[Power (kW)]]&gt;=$CR$3, TRUE,FALSE),TRUE)</f>
        <v>0</v>
      </c>
      <c r="DA265" s="16">
        <f>MIN(MOD(180-ABS(ABS($DA$1-RecData[Yaw Angle (°)])-180),360),MOD(180-ABS(ABS($DB$1-RecData[Yaw Angle (°)])-180),360))</f>
        <v>119.52783627768753</v>
      </c>
      <c r="DB265" s="2" t="str">
        <f>IF($DP$2="None","None",IF(RecData[[#This Row],[Relative Wind Direction]]&lt;=45,"DW",IF(RecData[[#This Row],[Relative Wind Direction]]&lt;=135,"CW","UW")))</f>
        <v>CW</v>
      </c>
      <c r="DC265" s="61">
        <f>IF($CL265-$CL261&gt;1/24,#REF!,IF(SUM($CQ261:$CQ265)&gt;$DS$1,$DS$5,DC266-1))</f>
        <v>-5</v>
      </c>
      <c r="DD265" s="61">
        <f>IF($CL266-$CL265&gt;1/24,#REF!,IF(SUM($CQ261:$CQ265)&gt;$DS$1,$DS$6,DD264-1))</f>
        <v>-6</v>
      </c>
      <c r="DE265" s="18" t="b">
        <v>0</v>
      </c>
      <c r="DF265" s="2" t="b">
        <f>IF(OR(RecData[[#This Row],[WSpd_Avg '[m/s']]]-RecData[[#This Row],[Wind Speed min]]&gt;=$DF$3,RecData[[#This Row],[Wind Speed max]]-RecData[[#This Row],[WSpd_Avg '[m/s']]]&gt;=$DF$2),TRUE,FALSE)</f>
        <v>0</v>
      </c>
      <c r="DG265" s="2" t="b">
        <f>RecData[[#This Row],[Temperature '[°C']]]&lt;=-20</f>
        <v>0</v>
      </c>
      <c r="DH265" s="18" t="b">
        <f>NOT(OR(MOD(RecData[[#This Row],[TIMESTAMP]],1)&gt;0.91632,MOD(RecData[[#This Row],[TIMESTAMP]],1)&lt;0.208681))</f>
        <v>0</v>
      </c>
      <c r="DI265" s="18" t="b">
        <f>RecData[[#This Row],[Overall (dBA)]]-RecData[[#This Row],[L90]]&gt;=$DS$4</f>
        <v>0</v>
      </c>
      <c r="DJ265" s="18" t="b">
        <f>RecData[[#This Row],[Overall (dBA)]]&gt;$DS$2</f>
        <v>0</v>
      </c>
      <c r="DK265" s="18" t="b">
        <f>RecData[[#This Row],[Overall (dBA)]]&lt;$DS$3</f>
        <v>0</v>
      </c>
      <c r="DL2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5" s="2">
        <f>IF(AND(RecData[[#This Row],[Turbines ON/OFF]] = "OFF", NOT(OR(RecData[[#This Row],[Junk?]]="YES",RecData[[#This Row],[Gust?]],RecData[[#This Row],[Rain?]:[Min SPL Threshold?]]))),1,0)</f>
        <v>1</v>
      </c>
      <c r="DN265" s="16">
        <f>RecData[[#This Row],[dBA Sum]]</f>
        <v>19.981514923923037</v>
      </c>
      <c r="DO265" s="16">
        <f>RecData[[#This Row],[LAF90.0]]</f>
        <v>43.8</v>
      </c>
      <c r="DP265" s="55" t="str">
        <f>IF(AND(RecData[[#This Row],[Useable TON Data?]],RecData[[#This Row],[Turbines ON/OFF]]="ON"),RecData[[#This Row],[dBA Sum]],"")</f>
        <v/>
      </c>
      <c r="DQ265" s="55">
        <f>IF(AND(RecData[[#This Row],[Useable Background Data?]],RecData[[#This Row],[Turbines ON/OFF]]="OFF"),RecData[[#This Row],[dBA Sum]],"")</f>
        <v>19.981514923923037</v>
      </c>
      <c r="DR265" s="3">
        <f>IF(OR(RecData[[#This Row],[Useable TON Data?]],RecData[[#This Row],[Useable Background Data?]]),ROUND(RecData[[#This Row],[WSpd_Avg '[m/s']]],0),"")</f>
        <v>0</v>
      </c>
      <c r="DS265" s="85">
        <f>(0.00002)^2*(10^(RecData[[#This Row],[Overall (dBA)]]/10))</f>
        <v>3.9830107973645048E-8</v>
      </c>
    </row>
    <row r="266" spans="1:123" ht="15" x14ac:dyDescent="0.25">
      <c r="A266" s="3" t="s">
        <v>249</v>
      </c>
      <c r="B266" s="12">
        <v>43260.93890046297</v>
      </c>
      <c r="C266" s="3"/>
      <c r="D266" s="3">
        <v>44.7</v>
      </c>
      <c r="E266" s="3"/>
      <c r="F266" s="3"/>
      <c r="G266" s="3"/>
      <c r="H266" s="3"/>
      <c r="I266" s="3"/>
      <c r="J266" s="3"/>
      <c r="K266" s="3">
        <v>43.1</v>
      </c>
      <c r="L266" s="3"/>
      <c r="M266" s="3"/>
      <c r="N266" s="3">
        <v>181.1</v>
      </c>
      <c r="O266" s="3"/>
      <c r="P266" s="3"/>
      <c r="Q266" s="3">
        <v>0.21</v>
      </c>
      <c r="R266" s="3">
        <v>0.1</v>
      </c>
      <c r="S266" s="3">
        <v>0.3</v>
      </c>
      <c r="T266" s="3">
        <v>13.4</v>
      </c>
      <c r="U266" s="3">
        <v>81.3</v>
      </c>
      <c r="V266" s="3">
        <v>975.6</v>
      </c>
      <c r="W266" s="3">
        <v>0</v>
      </c>
      <c r="X266" s="3">
        <v>19.2</v>
      </c>
      <c r="Y266" s="3">
        <v>23</v>
      </c>
      <c r="Z266" s="3">
        <v>25.9</v>
      </c>
      <c r="AA266" s="3">
        <v>16.600000000000001</v>
      </c>
      <c r="AB266" s="3">
        <v>17.100000000000001</v>
      </c>
      <c r="AC266" s="3">
        <v>7.4</v>
      </c>
      <c r="AD266" s="3">
        <v>9.1</v>
      </c>
      <c r="AE266" s="3">
        <v>15.3</v>
      </c>
      <c r="AF266" s="3">
        <v>12.5</v>
      </c>
      <c r="AG266" s="3">
        <v>11.5</v>
      </c>
      <c r="AH266" s="3">
        <v>14.2</v>
      </c>
      <c r="AI266" s="3">
        <v>12.3</v>
      </c>
      <c r="AJ266" s="3">
        <v>12.4</v>
      </c>
      <c r="AK266" s="3">
        <v>10.6</v>
      </c>
      <c r="AL266" s="3">
        <v>10</v>
      </c>
      <c r="AM266" s="3">
        <v>7.8</v>
      </c>
      <c r="AN266" s="3">
        <v>8.8000000000000007</v>
      </c>
      <c r="AO266" s="3">
        <v>8.1</v>
      </c>
      <c r="AP266" s="3">
        <v>8.8000000000000007</v>
      </c>
      <c r="AQ266" s="3">
        <v>13.8</v>
      </c>
      <c r="AR266" s="3">
        <v>9.4</v>
      </c>
      <c r="AS266" s="3">
        <v>34.6</v>
      </c>
      <c r="AT266" s="3">
        <v>42.9</v>
      </c>
      <c r="AU266" s="3">
        <v>18</v>
      </c>
      <c r="AV266" s="3">
        <v>10</v>
      </c>
      <c r="AW266" s="3">
        <v>9.8000000000000007</v>
      </c>
      <c r="AX266" s="3">
        <v>9.6</v>
      </c>
      <c r="AY266" s="3">
        <v>9.8000000000000007</v>
      </c>
      <c r="AZ266" s="3">
        <v>0</v>
      </c>
      <c r="BA266" s="3">
        <v>0</v>
      </c>
      <c r="BB266" s="3">
        <v>0</v>
      </c>
      <c r="BC266" s="3">
        <v>44.734530705563841</v>
      </c>
      <c r="BD266" s="3">
        <v>19.165469294436164</v>
      </c>
      <c r="BE266" s="3">
        <v>22.965469294436161</v>
      </c>
      <c r="BF266" s="3">
        <v>24.625469294436158</v>
      </c>
      <c r="BG266" s="3">
        <v>15.652135961102829</v>
      </c>
      <c r="BH266" s="3">
        <v>16.292135961102829</v>
      </c>
      <c r="BI266" s="3">
        <v>7.0054692944361605</v>
      </c>
      <c r="BJ266" s="3">
        <v>9.4988026277694928</v>
      </c>
      <c r="BK266" s="3">
        <v>15.572135961102823</v>
      </c>
      <c r="BL266" s="3">
        <v>12.345469294436164</v>
      </c>
      <c r="BM266" s="3">
        <v>11.478802627769497</v>
      </c>
      <c r="BN266" s="3">
        <v>14.462135961102831</v>
      </c>
      <c r="BO266" s="3">
        <v>11.9288026277695</v>
      </c>
      <c r="BP266" s="3">
        <v>11.745469294436162</v>
      </c>
      <c r="BQ266" s="3">
        <v>10.362135961102823</v>
      </c>
      <c r="BR266" s="3">
        <v>10.088802627769496</v>
      </c>
      <c r="BS266" s="3">
        <v>7.6921359611028279</v>
      </c>
      <c r="BT266" s="3">
        <v>8.8888026277694934</v>
      </c>
      <c r="BU266" s="3">
        <v>8.1554692944361662</v>
      </c>
      <c r="BV266" s="3">
        <v>8.5721359611028305</v>
      </c>
      <c r="BW266" s="3">
        <v>14.105469294436162</v>
      </c>
      <c r="BX266" s="3">
        <v>9.6254692944361651</v>
      </c>
      <c r="BY266" s="3">
        <v>34.645469294436154</v>
      </c>
      <c r="BZ266" s="3">
        <v>43.075469294436161</v>
      </c>
      <c r="CA266" s="3">
        <v>18.275469294436149</v>
      </c>
      <c r="CB266" s="3">
        <v>9.712135961102824</v>
      </c>
      <c r="CC266" s="3">
        <v>9.7254692944361594</v>
      </c>
      <c r="CD266" s="3">
        <v>8.8321359611028356</v>
      </c>
      <c r="CE266" s="3">
        <v>9.2254692944361594</v>
      </c>
      <c r="CF266" s="3">
        <v>-0.96119737223050805</v>
      </c>
      <c r="CG266" s="3">
        <v>-1.4945307055638395</v>
      </c>
      <c r="CH266" s="3">
        <v>-2.5711973722305075</v>
      </c>
      <c r="CI266" s="13">
        <f>[1]!dbasum(RecData[[#This Row],[20]:[2000]],RecData[[#Headers],[20]:[2000]])</f>
        <v>19.401849388474147</v>
      </c>
      <c r="CJ266" s="14">
        <v>4273</v>
      </c>
      <c r="CK266" s="15" t="s">
        <v>249</v>
      </c>
      <c r="CL266" s="15">
        <f>RecData[[#This Row],[Start Time]]</f>
        <v>43260.93890046297</v>
      </c>
      <c r="CM266" s="16">
        <f>RecData[[#This Row],[Wind Speed avg]]</f>
        <v>0.21</v>
      </c>
      <c r="CN266" s="16">
        <f>RecData[[#This Row],[Wind Dir. avg]]</f>
        <v>181.1</v>
      </c>
      <c r="CO266" s="16">
        <f>RecData[[#This Row],[Amb. Humidity]]</f>
        <v>81.3</v>
      </c>
      <c r="CP266" s="16">
        <f>RecData[[#This Row],[Amb. Temperature]]</f>
        <v>13.4</v>
      </c>
      <c r="CQ266" s="17">
        <f>RecData[[#This Row],[Amb. Rain Gauge]]</f>
        <v>0</v>
      </c>
      <c r="CR266" s="4" t="s">
        <v>50</v>
      </c>
      <c r="CS266" s="4" t="s">
        <v>49</v>
      </c>
      <c r="CT266" s="70">
        <v>-9.2572793959999995</v>
      </c>
      <c r="CU266" s="70">
        <v>248.00209050000001</v>
      </c>
      <c r="CV266" s="70">
        <v>1.361344814</v>
      </c>
      <c r="CW266" s="70">
        <v>0</v>
      </c>
      <c r="CX266" s="4"/>
      <c r="CY266" s="69"/>
      <c r="CZ266" s="2" t="b">
        <f>IF($DP$1="YES",IF(RecData[[#This Row],[Power (kW)]]&gt;=$CR$3, TRUE,FALSE),TRUE)</f>
        <v>0</v>
      </c>
      <c r="DA266" s="16">
        <f>MIN(MOD(180-ABS(ABS($DA$1-RecData[Yaw Angle (°)])-180),360),MOD(180-ABS(ABS($DB$1-RecData[Yaw Angle (°)])-180),360))</f>
        <v>119.52783627768753</v>
      </c>
      <c r="DB266" s="2" t="str">
        <f>IF($DP$2="None","None",IF(RecData[[#This Row],[Relative Wind Direction]]&lt;=45,"DW",IF(RecData[[#This Row],[Relative Wind Direction]]&lt;=135,"CW","UW")))</f>
        <v>CW</v>
      </c>
      <c r="DC266" s="61">
        <f>IF($CL266-$CL262&gt;1/24,#REF!,IF(SUM($CQ262:$CQ266)&gt;$DS$1,$DS$5,DC267-1))</f>
        <v>-4</v>
      </c>
      <c r="DD266" s="61">
        <f>IF($CL267-$CL266&gt;1/24,#REF!,IF(SUM($CQ262:$CQ266)&gt;$DS$1,$DS$6,DD265-1))</f>
        <v>-7</v>
      </c>
      <c r="DE266" s="18" t="b">
        <v>0</v>
      </c>
      <c r="DF266" s="2" t="b">
        <f>IF(OR(RecData[[#This Row],[WSpd_Avg '[m/s']]]-RecData[[#This Row],[Wind Speed min]]&gt;=$DF$3,RecData[[#This Row],[Wind Speed max]]-RecData[[#This Row],[WSpd_Avg '[m/s']]]&gt;=$DF$2),TRUE,FALSE)</f>
        <v>0</v>
      </c>
      <c r="DG266" s="2" t="b">
        <f>RecData[[#This Row],[Temperature '[°C']]]&lt;=-20</f>
        <v>0</v>
      </c>
      <c r="DH266" s="18" t="b">
        <f>NOT(OR(MOD(RecData[[#This Row],[TIMESTAMP]],1)&gt;0.91632,MOD(RecData[[#This Row],[TIMESTAMP]],1)&lt;0.208681))</f>
        <v>0</v>
      </c>
      <c r="DI266" s="18" t="b">
        <f>RecData[[#This Row],[Overall (dBA)]]-RecData[[#This Row],[L90]]&gt;=$DS$4</f>
        <v>0</v>
      </c>
      <c r="DJ266" s="18" t="b">
        <f>RecData[[#This Row],[Overall (dBA)]]&gt;$DS$2</f>
        <v>0</v>
      </c>
      <c r="DK266" s="18" t="b">
        <f>RecData[[#This Row],[Overall (dBA)]]&lt;$DS$3</f>
        <v>0</v>
      </c>
      <c r="DL2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6" s="2">
        <f>IF(AND(RecData[[#This Row],[Turbines ON/OFF]] = "OFF", NOT(OR(RecData[[#This Row],[Junk?]]="YES",RecData[[#This Row],[Gust?]],RecData[[#This Row],[Rain?]:[Min SPL Threshold?]]))),1,0)</f>
        <v>1</v>
      </c>
      <c r="DN266" s="16">
        <f>RecData[[#This Row],[dBA Sum]]</f>
        <v>19.401849388474147</v>
      </c>
      <c r="DO266" s="16">
        <f>RecData[[#This Row],[LAF90.0]]</f>
        <v>43.1</v>
      </c>
      <c r="DP266" s="55" t="str">
        <f>IF(AND(RecData[[#This Row],[Useable TON Data?]],RecData[[#This Row],[Turbines ON/OFF]]="ON"),RecData[[#This Row],[dBA Sum]],"")</f>
        <v/>
      </c>
      <c r="DQ266" s="55">
        <f>IF(AND(RecData[[#This Row],[Useable Background Data?]],RecData[[#This Row],[Turbines ON/OFF]]="OFF"),RecData[[#This Row],[dBA Sum]],"")</f>
        <v>19.401849388474147</v>
      </c>
      <c r="DR266" s="3">
        <f>IF(OR(RecData[[#This Row],[Useable TON Data?]],RecData[[#This Row],[Useable Background Data?]]),ROUND(RecData[[#This Row],[WSpd_Avg '[m/s']]],0),"")</f>
        <v>0</v>
      </c>
      <c r="DS266" s="85">
        <f>(0.00002)^2*(10^(RecData[[#This Row],[Overall (dBA)]]/10))</f>
        <v>3.4853382313440569E-8</v>
      </c>
    </row>
    <row r="267" spans="1:123" ht="15" x14ac:dyDescent="0.25">
      <c r="A267" s="3" t="s">
        <v>249</v>
      </c>
      <c r="B267" s="12">
        <v>43260.939594907417</v>
      </c>
      <c r="C267" s="3"/>
      <c r="D267" s="3">
        <v>44.6</v>
      </c>
      <c r="E267" s="3"/>
      <c r="F267" s="3"/>
      <c r="G267" s="3"/>
      <c r="H267" s="3"/>
      <c r="I267" s="3"/>
      <c r="J267" s="3"/>
      <c r="K267" s="3">
        <v>43</v>
      </c>
      <c r="L267" s="3"/>
      <c r="M267" s="3"/>
      <c r="N267" s="3">
        <v>231.4</v>
      </c>
      <c r="O267" s="3"/>
      <c r="P267" s="3"/>
      <c r="Q267" s="3">
        <v>0.26</v>
      </c>
      <c r="R267" s="3">
        <v>0.2</v>
      </c>
      <c r="S267" s="3">
        <v>0.4</v>
      </c>
      <c r="T267" s="3">
        <v>13.4</v>
      </c>
      <c r="U267" s="3">
        <v>80.400000000000006</v>
      </c>
      <c r="V267" s="3">
        <v>975.6</v>
      </c>
      <c r="W267" s="3">
        <v>0</v>
      </c>
      <c r="X267" s="3">
        <v>17.8</v>
      </c>
      <c r="Y267" s="3">
        <v>15.8</v>
      </c>
      <c r="Z267" s="3">
        <v>18.7</v>
      </c>
      <c r="AA267" s="3">
        <v>13.2</v>
      </c>
      <c r="AB267" s="3">
        <v>16.3</v>
      </c>
      <c r="AC267" s="3">
        <v>6.4</v>
      </c>
      <c r="AD267" s="3">
        <v>9.8000000000000007</v>
      </c>
      <c r="AE267" s="3">
        <v>14.4</v>
      </c>
      <c r="AF267" s="3">
        <v>11.7</v>
      </c>
      <c r="AG267" s="3">
        <v>11.4</v>
      </c>
      <c r="AH267" s="3">
        <v>12.7</v>
      </c>
      <c r="AI267" s="3">
        <v>11.9</v>
      </c>
      <c r="AJ267" s="3">
        <v>12.3</v>
      </c>
      <c r="AK267" s="3">
        <v>10.7</v>
      </c>
      <c r="AL267" s="3">
        <v>7.3</v>
      </c>
      <c r="AM267" s="3">
        <v>7.8</v>
      </c>
      <c r="AN267" s="3">
        <v>9.1</v>
      </c>
      <c r="AO267" s="3">
        <v>8.1</v>
      </c>
      <c r="AP267" s="3">
        <v>8.8000000000000007</v>
      </c>
      <c r="AQ267" s="3">
        <v>13.8</v>
      </c>
      <c r="AR267" s="3">
        <v>9.5</v>
      </c>
      <c r="AS267" s="3">
        <v>35.1</v>
      </c>
      <c r="AT267" s="3">
        <v>42.7</v>
      </c>
      <c r="AU267" s="3">
        <v>17.600000000000001</v>
      </c>
      <c r="AV267" s="3">
        <v>10</v>
      </c>
      <c r="AW267" s="3">
        <v>9.6999999999999993</v>
      </c>
      <c r="AX267" s="3">
        <v>9.6</v>
      </c>
      <c r="AY267" s="3">
        <v>9.8000000000000007</v>
      </c>
      <c r="AZ267" s="3">
        <v>0</v>
      </c>
      <c r="BA267" s="3">
        <v>0</v>
      </c>
      <c r="BB267" s="3">
        <v>0</v>
      </c>
      <c r="BC267" s="3">
        <v>44.631895100242723</v>
      </c>
      <c r="BD267" s="3">
        <v>17.768104899757283</v>
      </c>
      <c r="BE267" s="3">
        <v>15.768104899757283</v>
      </c>
      <c r="BF267" s="3">
        <v>17.42810489975728</v>
      </c>
      <c r="BG267" s="3">
        <v>12.25477156642394</v>
      </c>
      <c r="BH267" s="3">
        <v>15.49477156642395</v>
      </c>
      <c r="BI267" s="3">
        <v>6.0081048997572779</v>
      </c>
      <c r="BJ267" s="3">
        <v>10.201438233090613</v>
      </c>
      <c r="BK267" s="3">
        <v>14.674771566423942</v>
      </c>
      <c r="BL267" s="3">
        <v>11.548104899757277</v>
      </c>
      <c r="BM267" s="3">
        <v>11.381438233090613</v>
      </c>
      <c r="BN267" s="3">
        <v>12.964771566423941</v>
      </c>
      <c r="BO267" s="3">
        <v>11.531438233090618</v>
      </c>
      <c r="BP267" s="3">
        <v>11.648104899757278</v>
      </c>
      <c r="BQ267" s="3">
        <v>10.464771566423934</v>
      </c>
      <c r="BR267" s="3">
        <v>7.3914382330906108</v>
      </c>
      <c r="BS267" s="3">
        <v>7.6947715664239453</v>
      </c>
      <c r="BT267" s="3">
        <v>9.191438233090615</v>
      </c>
      <c r="BU267" s="3">
        <v>8.1581048997572836</v>
      </c>
      <c r="BV267" s="3">
        <v>8.5747715664239479</v>
      </c>
      <c r="BW267" s="3">
        <v>14.108104899757286</v>
      </c>
      <c r="BX267" s="3">
        <v>9.7281048997572839</v>
      </c>
      <c r="BY267" s="3">
        <v>35.148104899757278</v>
      </c>
      <c r="BZ267" s="3">
        <v>42.878104899757282</v>
      </c>
      <c r="CA267" s="3">
        <v>17.878104899757268</v>
      </c>
      <c r="CB267" s="3">
        <v>9.7147715664239414</v>
      </c>
      <c r="CC267" s="3">
        <v>9.6281048997572753</v>
      </c>
      <c r="CD267" s="3">
        <v>8.8347715664239459</v>
      </c>
      <c r="CE267" s="3">
        <v>9.2281048997572768</v>
      </c>
      <c r="CF267" s="3">
        <v>-0.95856176690939066</v>
      </c>
      <c r="CG267" s="3">
        <v>-1.4918951002427221</v>
      </c>
      <c r="CH267" s="3">
        <v>-2.5685617669093901</v>
      </c>
      <c r="CI267" s="13">
        <f>[1]!dbasum(RecData[[#This Row],[20]:[2000]],RecData[[#Headers],[20]:[2000]])</f>
        <v>19.275801099160709</v>
      </c>
      <c r="CJ267" s="14">
        <v>4274</v>
      </c>
      <c r="CK267" s="15" t="s">
        <v>249</v>
      </c>
      <c r="CL267" s="15">
        <f>RecData[[#This Row],[Start Time]]</f>
        <v>43260.939594907417</v>
      </c>
      <c r="CM267" s="16">
        <f>RecData[[#This Row],[Wind Speed avg]]</f>
        <v>0.26</v>
      </c>
      <c r="CN267" s="16">
        <f>RecData[[#This Row],[Wind Dir. avg]]</f>
        <v>231.4</v>
      </c>
      <c r="CO267" s="16">
        <f>RecData[[#This Row],[Amb. Humidity]]</f>
        <v>80.400000000000006</v>
      </c>
      <c r="CP267" s="16">
        <f>RecData[[#This Row],[Amb. Temperature]]</f>
        <v>13.4</v>
      </c>
      <c r="CQ267" s="17">
        <f>RecData[[#This Row],[Amb. Rain Gauge]]</f>
        <v>0</v>
      </c>
      <c r="CR267" s="4" t="s">
        <v>50</v>
      </c>
      <c r="CS267" s="4" t="s">
        <v>49</v>
      </c>
      <c r="CT267" s="70">
        <v>-9.2572793959999995</v>
      </c>
      <c r="CU267" s="70">
        <v>248.00209050000001</v>
      </c>
      <c r="CV267" s="70">
        <v>1.361344814</v>
      </c>
      <c r="CW267" s="70">
        <v>0</v>
      </c>
      <c r="CX267" s="4"/>
      <c r="CY267" s="69"/>
      <c r="CZ267" s="2" t="b">
        <f>IF($DP$1="YES",IF(RecData[[#This Row],[Power (kW)]]&gt;=$CR$3, TRUE,FALSE),TRUE)</f>
        <v>0</v>
      </c>
      <c r="DA267" s="16">
        <f>MIN(MOD(180-ABS(ABS($DA$1-RecData[Yaw Angle (°)])-180),360),MOD(180-ABS(ABS($DB$1-RecData[Yaw Angle (°)])-180),360))</f>
        <v>119.52783627768753</v>
      </c>
      <c r="DB267" s="2" t="str">
        <f>IF($DP$2="None","None",IF(RecData[[#This Row],[Relative Wind Direction]]&lt;=45,"DW",IF(RecData[[#This Row],[Relative Wind Direction]]&lt;=135,"CW","UW")))</f>
        <v>CW</v>
      </c>
      <c r="DC267" s="61">
        <f>IF($CL267-$CL263&gt;1/24,#REF!,IF(SUM($CQ263:$CQ267)&gt;$DS$1,$DS$5,DC268-1))</f>
        <v>-3</v>
      </c>
      <c r="DD267" s="61">
        <f>IF($CL268-$CL267&gt;1/24,#REF!,IF(SUM($CQ263:$CQ267)&gt;$DS$1,$DS$6,DD266-1))</f>
        <v>-8</v>
      </c>
      <c r="DE267" s="18" t="b">
        <v>0</v>
      </c>
      <c r="DF267" s="2" t="b">
        <f>IF(OR(RecData[[#This Row],[WSpd_Avg '[m/s']]]-RecData[[#This Row],[Wind Speed min]]&gt;=$DF$3,RecData[[#This Row],[Wind Speed max]]-RecData[[#This Row],[WSpd_Avg '[m/s']]]&gt;=$DF$2),TRUE,FALSE)</f>
        <v>0</v>
      </c>
      <c r="DG267" s="2" t="b">
        <f>RecData[[#This Row],[Temperature '[°C']]]&lt;=-20</f>
        <v>0</v>
      </c>
      <c r="DH267" s="18" t="b">
        <f>NOT(OR(MOD(RecData[[#This Row],[TIMESTAMP]],1)&gt;0.91632,MOD(RecData[[#This Row],[TIMESTAMP]],1)&lt;0.208681))</f>
        <v>0</v>
      </c>
      <c r="DI267" s="18" t="b">
        <f>RecData[[#This Row],[Overall (dBA)]]-RecData[[#This Row],[L90]]&gt;=$DS$4</f>
        <v>0</v>
      </c>
      <c r="DJ267" s="18" t="b">
        <f>RecData[[#This Row],[Overall (dBA)]]&gt;$DS$2</f>
        <v>0</v>
      </c>
      <c r="DK267" s="18" t="b">
        <f>RecData[[#This Row],[Overall (dBA)]]&lt;$DS$3</f>
        <v>0</v>
      </c>
      <c r="DL2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7" s="2">
        <f>IF(AND(RecData[[#This Row],[Turbines ON/OFF]] = "OFF", NOT(OR(RecData[[#This Row],[Junk?]]="YES",RecData[[#This Row],[Gust?]],RecData[[#This Row],[Rain?]:[Min SPL Threshold?]]))),1,0)</f>
        <v>1</v>
      </c>
      <c r="DN267" s="16">
        <f>RecData[[#This Row],[dBA Sum]]</f>
        <v>19.275801099160709</v>
      </c>
      <c r="DO267" s="16">
        <f>RecData[[#This Row],[LAF90.0]]</f>
        <v>43</v>
      </c>
      <c r="DP267" s="55" t="str">
        <f>IF(AND(RecData[[#This Row],[Useable TON Data?]],RecData[[#This Row],[Turbines ON/OFF]]="ON"),RecData[[#This Row],[dBA Sum]],"")</f>
        <v/>
      </c>
      <c r="DQ267" s="55">
        <f>IF(AND(RecData[[#This Row],[Useable Background Data?]],RecData[[#This Row],[Turbines ON/OFF]]="OFF"),RecData[[#This Row],[dBA Sum]],"")</f>
        <v>19.275801099160709</v>
      </c>
      <c r="DR267" s="3">
        <f>IF(OR(RecData[[#This Row],[Useable TON Data?]],RecData[[#This Row],[Useable Background Data?]]),ROUND(RecData[[#This Row],[WSpd_Avg '[m/s']]],0),"")</f>
        <v>0</v>
      </c>
      <c r="DS267" s="85">
        <f>(0.00002)^2*(10^(RecData[[#This Row],[Overall (dBA)]]/10))</f>
        <v>3.3856347314728211E-8</v>
      </c>
    </row>
    <row r="268" spans="1:123" ht="15" x14ac:dyDescent="0.25">
      <c r="A268" s="3" t="s">
        <v>249</v>
      </c>
      <c r="B268" s="12">
        <v>43260.940289351856</v>
      </c>
      <c r="C268" s="3"/>
      <c r="D268" s="3">
        <v>44</v>
      </c>
      <c r="E268" s="3"/>
      <c r="F268" s="3"/>
      <c r="G268" s="3"/>
      <c r="H268" s="3"/>
      <c r="I268" s="3"/>
      <c r="J268" s="3"/>
      <c r="K268" s="3">
        <v>42.5</v>
      </c>
      <c r="L268" s="3"/>
      <c r="M268" s="3"/>
      <c r="N268" s="3">
        <v>243.3</v>
      </c>
      <c r="O268" s="3"/>
      <c r="P268" s="3"/>
      <c r="Q268" s="3">
        <v>0.41</v>
      </c>
      <c r="R268" s="3">
        <v>0.4</v>
      </c>
      <c r="S268" s="3">
        <v>0.5</v>
      </c>
      <c r="T268" s="3">
        <v>13.4</v>
      </c>
      <c r="U268" s="3">
        <v>80.5</v>
      </c>
      <c r="V268" s="3">
        <v>975.6</v>
      </c>
      <c r="W268" s="3">
        <v>0</v>
      </c>
      <c r="X268" s="3">
        <v>19.5</v>
      </c>
      <c r="Y268" s="3">
        <v>21.9</v>
      </c>
      <c r="Z268" s="3">
        <v>22.5</v>
      </c>
      <c r="AA268" s="3">
        <v>16</v>
      </c>
      <c r="AB268" s="3">
        <v>16.600000000000001</v>
      </c>
      <c r="AC268" s="3">
        <v>7.4</v>
      </c>
      <c r="AD268" s="3">
        <v>8.6999999999999993</v>
      </c>
      <c r="AE268" s="3">
        <v>15.3</v>
      </c>
      <c r="AF268" s="3">
        <v>11.4</v>
      </c>
      <c r="AG268" s="3">
        <v>11.5</v>
      </c>
      <c r="AH268" s="3">
        <v>14.9</v>
      </c>
      <c r="AI268" s="3">
        <v>11.3</v>
      </c>
      <c r="AJ268" s="3">
        <v>13.3</v>
      </c>
      <c r="AK268" s="3">
        <v>10.1</v>
      </c>
      <c r="AL268" s="3">
        <v>7.1</v>
      </c>
      <c r="AM268" s="3">
        <v>7.4</v>
      </c>
      <c r="AN268" s="3">
        <v>8.6999999999999993</v>
      </c>
      <c r="AO268" s="3">
        <v>8.1</v>
      </c>
      <c r="AP268" s="3">
        <v>8.9</v>
      </c>
      <c r="AQ268" s="3">
        <v>13.5</v>
      </c>
      <c r="AR268" s="3">
        <v>9.5</v>
      </c>
      <c r="AS268" s="3">
        <v>34.6</v>
      </c>
      <c r="AT268" s="3">
        <v>42</v>
      </c>
      <c r="AU268" s="3">
        <v>17.2</v>
      </c>
      <c r="AV268" s="3">
        <v>10</v>
      </c>
      <c r="AW268" s="3">
        <v>9.8000000000000007</v>
      </c>
      <c r="AX268" s="3">
        <v>9.6</v>
      </c>
      <c r="AY268" s="3">
        <v>9.8000000000000007</v>
      </c>
      <c r="AZ268" s="3">
        <v>0</v>
      </c>
      <c r="BA268" s="3">
        <v>0</v>
      </c>
      <c r="BB268" s="3">
        <v>0</v>
      </c>
      <c r="BC268" s="3">
        <v>43.965829956912955</v>
      </c>
      <c r="BD268" s="3">
        <v>19.534170043087045</v>
      </c>
      <c r="BE268" s="3">
        <v>21.93417004308705</v>
      </c>
      <c r="BF268" s="3">
        <v>21.29417004308705</v>
      </c>
      <c r="BG268" s="3">
        <v>15.120836709753711</v>
      </c>
      <c r="BH268" s="3">
        <v>15.860836709753713</v>
      </c>
      <c r="BI268" s="3">
        <v>7.0741700430870438</v>
      </c>
      <c r="BJ268" s="3">
        <v>9.1675033764203775</v>
      </c>
      <c r="BK268" s="3">
        <v>15.640836709753707</v>
      </c>
      <c r="BL268" s="3">
        <v>11.314170043087046</v>
      </c>
      <c r="BM268" s="3">
        <v>11.54750337642038</v>
      </c>
      <c r="BN268" s="3">
        <v>15.23083670975371</v>
      </c>
      <c r="BO268" s="3">
        <v>10.997503376420383</v>
      </c>
      <c r="BP268" s="3">
        <v>12.714170043087044</v>
      </c>
      <c r="BQ268" s="3">
        <v>9.9308367097537058</v>
      </c>
      <c r="BR268" s="3">
        <v>7.2575033764203809</v>
      </c>
      <c r="BS268" s="3">
        <v>7.3608367097537126</v>
      </c>
      <c r="BT268" s="3">
        <v>8.8575033764203823</v>
      </c>
      <c r="BU268" s="3">
        <v>8.2241700430870495</v>
      </c>
      <c r="BV268" s="3">
        <v>8.7408367097537081</v>
      </c>
      <c r="BW268" s="3">
        <v>13.874170043087048</v>
      </c>
      <c r="BX268" s="3">
        <v>9.7941700430870497</v>
      </c>
      <c r="BY268" s="3">
        <v>34.714170043087051</v>
      </c>
      <c r="BZ268" s="3">
        <v>42.244170043087053</v>
      </c>
      <c r="CA268" s="3">
        <v>17.544170043087036</v>
      </c>
      <c r="CB268" s="3">
        <v>9.7808367097537072</v>
      </c>
      <c r="CC268" s="3">
        <v>9.7941700430870426</v>
      </c>
      <c r="CD268" s="3">
        <v>8.9008367097537189</v>
      </c>
      <c r="CE268" s="3">
        <v>9.2941700430870426</v>
      </c>
      <c r="CF268" s="3">
        <v>-0.89249662357962478</v>
      </c>
      <c r="CG268" s="3">
        <v>-1.4258299569129562</v>
      </c>
      <c r="CH268" s="3">
        <v>-2.5024966235796242</v>
      </c>
      <c r="CI268" s="13">
        <f>[1]!dbasum(RecData[[#This Row],[20]:[2000]],RecData[[#Headers],[20]:[2000]])</f>
        <v>19.249786423768093</v>
      </c>
      <c r="CJ268" s="14">
        <v>4275</v>
      </c>
      <c r="CK268" s="15" t="s">
        <v>249</v>
      </c>
      <c r="CL268" s="15">
        <f>RecData[[#This Row],[Start Time]]</f>
        <v>43260.940289351856</v>
      </c>
      <c r="CM268" s="16">
        <f>RecData[[#This Row],[Wind Speed avg]]</f>
        <v>0.41</v>
      </c>
      <c r="CN268" s="16">
        <f>RecData[[#This Row],[Wind Dir. avg]]</f>
        <v>243.3</v>
      </c>
      <c r="CO268" s="16">
        <f>RecData[[#This Row],[Amb. Humidity]]</f>
        <v>80.5</v>
      </c>
      <c r="CP268" s="16">
        <f>RecData[[#This Row],[Amb. Temperature]]</f>
        <v>13.4</v>
      </c>
      <c r="CQ268" s="17">
        <f>RecData[[#This Row],[Amb. Rain Gauge]]</f>
        <v>0</v>
      </c>
      <c r="CR268" s="4" t="s">
        <v>50</v>
      </c>
      <c r="CS268" s="4" t="s">
        <v>49</v>
      </c>
      <c r="CT268" s="70">
        <v>-9.2572793959999995</v>
      </c>
      <c r="CU268" s="70">
        <v>248.00209050000001</v>
      </c>
      <c r="CV268" s="70">
        <v>1.361344814</v>
      </c>
      <c r="CW268" s="70">
        <v>0</v>
      </c>
      <c r="CX268" s="4"/>
      <c r="CY268" s="69"/>
      <c r="CZ268" s="2" t="b">
        <f>IF($DP$1="YES",IF(RecData[[#This Row],[Power (kW)]]&gt;=$CR$3, TRUE,FALSE),TRUE)</f>
        <v>0</v>
      </c>
      <c r="DA268" s="16">
        <f>MIN(MOD(180-ABS(ABS($DA$1-RecData[Yaw Angle (°)])-180),360),MOD(180-ABS(ABS($DB$1-RecData[Yaw Angle (°)])-180),360))</f>
        <v>119.52783627768753</v>
      </c>
      <c r="DB268" s="2" t="str">
        <f>IF($DP$2="None","None",IF(RecData[[#This Row],[Relative Wind Direction]]&lt;=45,"DW",IF(RecData[[#This Row],[Relative Wind Direction]]&lt;=135,"CW","UW")))</f>
        <v>CW</v>
      </c>
      <c r="DC268" s="61">
        <f>IF($CL268-$CL264&gt;1/24,#REF!,IF(SUM($CQ264:$CQ268)&gt;$DS$1,$DS$5,DC269-1))</f>
        <v>-2</v>
      </c>
      <c r="DD268" s="61">
        <f>IF($CL269-$CL268&gt;1/24,#REF!,IF(SUM($CQ264:$CQ268)&gt;$DS$1,$DS$6,DD267-1))</f>
        <v>-9</v>
      </c>
      <c r="DE268" s="18" t="b">
        <v>0</v>
      </c>
      <c r="DF268" s="2" t="b">
        <f>IF(OR(RecData[[#This Row],[WSpd_Avg '[m/s']]]-RecData[[#This Row],[Wind Speed min]]&gt;=$DF$3,RecData[[#This Row],[Wind Speed max]]-RecData[[#This Row],[WSpd_Avg '[m/s']]]&gt;=$DF$2),TRUE,FALSE)</f>
        <v>0</v>
      </c>
      <c r="DG268" s="2" t="b">
        <f>RecData[[#This Row],[Temperature '[°C']]]&lt;=-20</f>
        <v>0</v>
      </c>
      <c r="DH268" s="18" t="b">
        <f>NOT(OR(MOD(RecData[[#This Row],[TIMESTAMP]],1)&gt;0.91632,MOD(RecData[[#This Row],[TIMESTAMP]],1)&lt;0.208681))</f>
        <v>0</v>
      </c>
      <c r="DI268" s="18" t="b">
        <f>RecData[[#This Row],[Overall (dBA)]]-RecData[[#This Row],[L90]]&gt;=$DS$4</f>
        <v>0</v>
      </c>
      <c r="DJ268" s="18" t="b">
        <f>RecData[[#This Row],[Overall (dBA)]]&gt;$DS$2</f>
        <v>0</v>
      </c>
      <c r="DK268" s="18" t="b">
        <f>RecData[[#This Row],[Overall (dBA)]]&lt;$DS$3</f>
        <v>0</v>
      </c>
      <c r="DL2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8" s="2">
        <f>IF(AND(RecData[[#This Row],[Turbines ON/OFF]] = "OFF", NOT(OR(RecData[[#This Row],[Junk?]]="YES",RecData[[#This Row],[Gust?]],RecData[[#This Row],[Rain?]:[Min SPL Threshold?]]))),1,0)</f>
        <v>1</v>
      </c>
      <c r="DN268" s="16">
        <f>RecData[[#This Row],[dBA Sum]]</f>
        <v>19.249786423768093</v>
      </c>
      <c r="DO268" s="16">
        <f>RecData[[#This Row],[LAF90.0]]</f>
        <v>42.5</v>
      </c>
      <c r="DP268" s="55" t="str">
        <f>IF(AND(RecData[[#This Row],[Useable TON Data?]],RecData[[#This Row],[Turbines ON/OFF]]="ON"),RecData[[#This Row],[dBA Sum]],"")</f>
        <v/>
      </c>
      <c r="DQ268" s="55">
        <f>IF(AND(RecData[[#This Row],[Useable Background Data?]],RecData[[#This Row],[Turbines ON/OFF]]="OFF"),RecData[[#This Row],[dBA Sum]],"")</f>
        <v>19.249786423768093</v>
      </c>
      <c r="DR268" s="3">
        <f>IF(OR(RecData[[#This Row],[Useable TON Data?]],RecData[[#This Row],[Useable Background Data?]]),ROUND(RecData[[#This Row],[WSpd_Avg '[m/s']]],0),"")</f>
        <v>0</v>
      </c>
      <c r="DS268" s="85">
        <f>(0.00002)^2*(10^(RecData[[#This Row],[Overall (dBA)]]/10))</f>
        <v>3.3654150589883194E-8</v>
      </c>
    </row>
    <row r="269" spans="1:123" ht="15" x14ac:dyDescent="0.25">
      <c r="A269" s="3" t="s">
        <v>249</v>
      </c>
      <c r="B269" s="12">
        <v>43260.940983796303</v>
      </c>
      <c r="C269" s="3"/>
      <c r="D269" s="3">
        <v>44.3</v>
      </c>
      <c r="E269" s="3"/>
      <c r="F269" s="3"/>
      <c r="G269" s="3"/>
      <c r="H269" s="3"/>
      <c r="I269" s="3"/>
      <c r="J269" s="3"/>
      <c r="K269" s="3">
        <v>42.8</v>
      </c>
      <c r="L269" s="3"/>
      <c r="M269" s="3"/>
      <c r="N269" s="3">
        <v>243.3</v>
      </c>
      <c r="O269" s="3"/>
      <c r="P269" s="3"/>
      <c r="Q269" s="3">
        <v>0.44</v>
      </c>
      <c r="R269" s="3">
        <v>0.3</v>
      </c>
      <c r="S269" s="3">
        <v>0.5</v>
      </c>
      <c r="T269" s="3">
        <v>13.4</v>
      </c>
      <c r="U269" s="3">
        <v>81.2</v>
      </c>
      <c r="V269" s="3">
        <v>975.6</v>
      </c>
      <c r="W269" s="3">
        <v>0</v>
      </c>
      <c r="X269" s="3">
        <v>17</v>
      </c>
      <c r="Y269" s="3">
        <v>16.100000000000001</v>
      </c>
      <c r="Z269" s="3">
        <v>18.899999999999999</v>
      </c>
      <c r="AA269" s="3">
        <v>13</v>
      </c>
      <c r="AB269" s="3">
        <v>15.9</v>
      </c>
      <c r="AC269" s="3">
        <v>6.9</v>
      </c>
      <c r="AD269" s="3">
        <v>9.1</v>
      </c>
      <c r="AE269" s="3">
        <v>14</v>
      </c>
      <c r="AF269" s="3">
        <v>12.6</v>
      </c>
      <c r="AG269" s="3">
        <v>10.9</v>
      </c>
      <c r="AH269" s="3">
        <v>11.8</v>
      </c>
      <c r="AI269" s="3">
        <v>11.4</v>
      </c>
      <c r="AJ269" s="3">
        <v>11.9</v>
      </c>
      <c r="AK269" s="3">
        <v>10.5</v>
      </c>
      <c r="AL269" s="3">
        <v>7.4</v>
      </c>
      <c r="AM269" s="3">
        <v>7.7</v>
      </c>
      <c r="AN269" s="3">
        <v>8.6999999999999993</v>
      </c>
      <c r="AO269" s="3">
        <v>8</v>
      </c>
      <c r="AP269" s="3">
        <v>8.5</v>
      </c>
      <c r="AQ269" s="3">
        <v>13.1</v>
      </c>
      <c r="AR269" s="3">
        <v>9.3000000000000007</v>
      </c>
      <c r="AS269" s="3">
        <v>35</v>
      </c>
      <c r="AT269" s="3">
        <v>42.3</v>
      </c>
      <c r="AU269" s="3">
        <v>17.2</v>
      </c>
      <c r="AV269" s="3">
        <v>10</v>
      </c>
      <c r="AW269" s="3">
        <v>9.8000000000000007</v>
      </c>
      <c r="AX269" s="3">
        <v>9.6</v>
      </c>
      <c r="AY269" s="3">
        <v>9.8000000000000007</v>
      </c>
      <c r="AZ269" s="3">
        <v>0</v>
      </c>
      <c r="BA269" s="3">
        <v>0</v>
      </c>
      <c r="BB269" s="3">
        <v>0</v>
      </c>
      <c r="BC269" s="3">
        <v>44.278447265474199</v>
      </c>
      <c r="BD269" s="3">
        <v>17.021552734525798</v>
      </c>
      <c r="BE269" s="3">
        <v>16.1215527345258</v>
      </c>
      <c r="BF269" s="3">
        <v>17.681552734525795</v>
      </c>
      <c r="BG269" s="3">
        <v>12.108219401192464</v>
      </c>
      <c r="BH269" s="3">
        <v>15.148219401192463</v>
      </c>
      <c r="BI269" s="3">
        <v>6.5615527345257973</v>
      </c>
      <c r="BJ269" s="3">
        <v>9.5548860678591296</v>
      </c>
      <c r="BK269" s="3">
        <v>14.328219401192463</v>
      </c>
      <c r="BL269" s="3">
        <v>12.501552734525802</v>
      </c>
      <c r="BM269" s="3">
        <v>10.934886067859132</v>
      </c>
      <c r="BN269" s="3">
        <v>12.118219401192462</v>
      </c>
      <c r="BO269" s="3">
        <v>11.084886067859131</v>
      </c>
      <c r="BP269" s="3">
        <v>11.301552734525799</v>
      </c>
      <c r="BQ269" s="3">
        <v>10.318219401192458</v>
      </c>
      <c r="BR269" s="3">
        <v>7.5448860678591316</v>
      </c>
      <c r="BS269" s="3">
        <v>7.6482194011924634</v>
      </c>
      <c r="BT269" s="3">
        <v>8.8448860678591359</v>
      </c>
      <c r="BU269" s="3">
        <v>8.1115527345258016</v>
      </c>
      <c r="BV269" s="3">
        <v>8.3282194011924631</v>
      </c>
      <c r="BW269" s="3">
        <v>13.461552734525803</v>
      </c>
      <c r="BX269" s="3">
        <v>9.5815527345258005</v>
      </c>
      <c r="BY269" s="3">
        <v>35.101552734525796</v>
      </c>
      <c r="BZ269" s="3">
        <v>42.531552734525803</v>
      </c>
      <c r="CA269" s="3">
        <v>17.531552734525789</v>
      </c>
      <c r="CB269" s="3">
        <v>9.7682194011924608</v>
      </c>
      <c r="CC269" s="3">
        <v>9.7815527345257962</v>
      </c>
      <c r="CD269" s="3">
        <v>8.8882194011924724</v>
      </c>
      <c r="CE269" s="3">
        <v>9.2815527345257962</v>
      </c>
      <c r="CF269" s="3">
        <v>-0.90511393214087121</v>
      </c>
      <c r="CG269" s="3">
        <v>-1.4384472654742027</v>
      </c>
      <c r="CH269" s="3">
        <v>-2.5151139321408706</v>
      </c>
      <c r="CI269" s="13">
        <f>[1]!dbasum(RecData[[#This Row],[20]:[2000]],RecData[[#Headers],[20]:[2000]])</f>
        <v>18.915334417943946</v>
      </c>
      <c r="CJ269" s="14">
        <v>4276</v>
      </c>
      <c r="CK269" s="15" t="s">
        <v>249</v>
      </c>
      <c r="CL269" s="15">
        <f>RecData[[#This Row],[Start Time]]</f>
        <v>43260.940983796303</v>
      </c>
      <c r="CM269" s="16">
        <f>RecData[[#This Row],[Wind Speed avg]]</f>
        <v>0.44</v>
      </c>
      <c r="CN269" s="16">
        <f>RecData[[#This Row],[Wind Dir. avg]]</f>
        <v>243.3</v>
      </c>
      <c r="CO269" s="16">
        <f>RecData[[#This Row],[Amb. Humidity]]</f>
        <v>81.2</v>
      </c>
      <c r="CP269" s="16">
        <f>RecData[[#This Row],[Amb. Temperature]]</f>
        <v>13.4</v>
      </c>
      <c r="CQ269" s="17">
        <f>RecData[[#This Row],[Amb. Rain Gauge]]</f>
        <v>0</v>
      </c>
      <c r="CR269" s="4" t="s">
        <v>50</v>
      </c>
      <c r="CS269" s="4" t="s">
        <v>49</v>
      </c>
      <c r="CT269" s="70">
        <v>-9.2572793959999995</v>
      </c>
      <c r="CU269" s="70">
        <v>248.00209050000001</v>
      </c>
      <c r="CV269" s="70">
        <v>1.361344814</v>
      </c>
      <c r="CW269" s="70">
        <v>0</v>
      </c>
      <c r="CX269" s="4"/>
      <c r="CY269" s="69"/>
      <c r="CZ269" s="2" t="b">
        <f>IF($DP$1="YES",IF(RecData[[#This Row],[Power (kW)]]&gt;=$CR$3, TRUE,FALSE),TRUE)</f>
        <v>0</v>
      </c>
      <c r="DA269" s="16">
        <f>MIN(MOD(180-ABS(ABS($DA$1-RecData[Yaw Angle (°)])-180),360),MOD(180-ABS(ABS($DB$1-RecData[Yaw Angle (°)])-180),360))</f>
        <v>119.52783627768753</v>
      </c>
      <c r="DB269" s="2" t="str">
        <f>IF($DP$2="None","None",IF(RecData[[#This Row],[Relative Wind Direction]]&lt;=45,"DW",IF(RecData[[#This Row],[Relative Wind Direction]]&lt;=135,"CW","UW")))</f>
        <v>CW</v>
      </c>
      <c r="DC269" s="61">
        <v>-1</v>
      </c>
      <c r="DD269" s="61">
        <v>-1</v>
      </c>
      <c r="DE269" s="18" t="b">
        <v>0</v>
      </c>
      <c r="DF269" s="2" t="b">
        <f>IF(OR(RecData[[#This Row],[WSpd_Avg '[m/s']]]-RecData[[#This Row],[Wind Speed min]]&gt;=$DF$3,RecData[[#This Row],[Wind Speed max]]-RecData[[#This Row],[WSpd_Avg '[m/s']]]&gt;=$DF$2),TRUE,FALSE)</f>
        <v>0</v>
      </c>
      <c r="DG269" s="2" t="b">
        <f>RecData[[#This Row],[Temperature '[°C']]]&lt;=-20</f>
        <v>0</v>
      </c>
      <c r="DH269" s="18" t="b">
        <f>NOT(OR(MOD(RecData[[#This Row],[TIMESTAMP]],1)&gt;0.91632,MOD(RecData[[#This Row],[TIMESTAMP]],1)&lt;0.208681))</f>
        <v>0</v>
      </c>
      <c r="DI269" s="18" t="b">
        <f>RecData[[#This Row],[Overall (dBA)]]-RecData[[#This Row],[L90]]&gt;=$DS$4</f>
        <v>0</v>
      </c>
      <c r="DJ269" s="18" t="b">
        <f>RecData[[#This Row],[Overall (dBA)]]&gt;$DS$2</f>
        <v>0</v>
      </c>
      <c r="DK269" s="18" t="b">
        <f>RecData[[#This Row],[Overall (dBA)]]&lt;$DS$3</f>
        <v>0</v>
      </c>
      <c r="DL2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69" s="2">
        <f>IF(AND(RecData[[#This Row],[Turbines ON/OFF]] = "OFF", NOT(OR(RecData[[#This Row],[Junk?]]="YES",RecData[[#This Row],[Gust?]],RecData[[#This Row],[Rain?]:[Min SPL Threshold?]]))),1,0)</f>
        <v>1</v>
      </c>
      <c r="DN269" s="16">
        <f>RecData[[#This Row],[dBA Sum]]</f>
        <v>18.915334417943946</v>
      </c>
      <c r="DO269" s="16">
        <f>RecData[[#This Row],[LAF90.0]]</f>
        <v>42.8</v>
      </c>
      <c r="DP269" s="55" t="str">
        <f>IF(AND(RecData[[#This Row],[Useable TON Data?]],RecData[[#This Row],[Turbines ON/OFF]]="ON"),RecData[[#This Row],[dBA Sum]],"")</f>
        <v/>
      </c>
      <c r="DQ269" s="55">
        <f>IF(AND(RecData[[#This Row],[Useable Background Data?]],RecData[[#This Row],[Turbines ON/OFF]]="OFF"),RecData[[#This Row],[dBA Sum]],"")</f>
        <v>18.915334417943946</v>
      </c>
      <c r="DR269" s="3">
        <f>IF(OR(RecData[[#This Row],[Useable TON Data?]],RecData[[#This Row],[Useable Background Data?]]),ROUND(RecData[[#This Row],[WSpd_Avg '[m/s']]],0),"")</f>
        <v>0</v>
      </c>
      <c r="DS269" s="85">
        <f>(0.00002)^2*(10^(RecData[[#This Row],[Overall (dBA)]]/10))</f>
        <v>3.1159711867890511E-8</v>
      </c>
    </row>
    <row r="270" spans="1:123" ht="15" x14ac:dyDescent="0.25">
      <c r="A270" s="3" t="s">
        <v>249</v>
      </c>
      <c r="B270" s="12">
        <v>43260.94167824075</v>
      </c>
      <c r="C270" s="3"/>
      <c r="D270" s="3">
        <v>43.8</v>
      </c>
      <c r="E270" s="3"/>
      <c r="F270" s="3"/>
      <c r="G270" s="3"/>
      <c r="H270" s="3"/>
      <c r="I270" s="3"/>
      <c r="J270" s="3"/>
      <c r="K270" s="3">
        <v>42.5</v>
      </c>
      <c r="L270" s="3"/>
      <c r="M270" s="3"/>
      <c r="N270" s="3">
        <v>243.1</v>
      </c>
      <c r="O270" s="3"/>
      <c r="P270" s="3"/>
      <c r="Q270" s="3">
        <v>0.32</v>
      </c>
      <c r="R270" s="3">
        <v>0.3</v>
      </c>
      <c r="S270" s="3">
        <v>0.4</v>
      </c>
      <c r="T270" s="3">
        <v>13.4</v>
      </c>
      <c r="U270" s="3">
        <v>81.3</v>
      </c>
      <c r="V270" s="3">
        <v>975.6</v>
      </c>
      <c r="W270" s="3">
        <v>0</v>
      </c>
      <c r="X270" s="3">
        <v>16.100000000000001</v>
      </c>
      <c r="Y270" s="3">
        <v>13.6</v>
      </c>
      <c r="Z270" s="3">
        <v>15.4</v>
      </c>
      <c r="AA270" s="3">
        <v>10.3</v>
      </c>
      <c r="AB270" s="3">
        <v>16.600000000000001</v>
      </c>
      <c r="AC270" s="3">
        <v>7.5</v>
      </c>
      <c r="AD270" s="3">
        <v>9.1999999999999993</v>
      </c>
      <c r="AE270" s="3">
        <v>15.4</v>
      </c>
      <c r="AF270" s="3">
        <v>13.1</v>
      </c>
      <c r="AG270" s="3">
        <v>11.9</v>
      </c>
      <c r="AH270" s="3">
        <v>13</v>
      </c>
      <c r="AI270" s="3">
        <v>12</v>
      </c>
      <c r="AJ270" s="3">
        <v>12.5</v>
      </c>
      <c r="AK270" s="3">
        <v>11.6</v>
      </c>
      <c r="AL270" s="3">
        <v>8.1</v>
      </c>
      <c r="AM270" s="3">
        <v>7.7</v>
      </c>
      <c r="AN270" s="3">
        <v>8.9</v>
      </c>
      <c r="AO270" s="3">
        <v>8.3000000000000007</v>
      </c>
      <c r="AP270" s="3">
        <v>8.8000000000000007</v>
      </c>
      <c r="AQ270" s="3">
        <v>13</v>
      </c>
      <c r="AR270" s="3">
        <v>9.3000000000000007</v>
      </c>
      <c r="AS270" s="3">
        <v>33.5</v>
      </c>
      <c r="AT270" s="3">
        <v>41.9</v>
      </c>
      <c r="AU270" s="3">
        <v>17.2</v>
      </c>
      <c r="AV270" s="3">
        <v>10</v>
      </c>
      <c r="AW270" s="3">
        <v>9.9</v>
      </c>
      <c r="AX270" s="3">
        <v>9.6999999999999993</v>
      </c>
      <c r="AY270" s="3">
        <v>9.8000000000000007</v>
      </c>
      <c r="AZ270" s="3">
        <v>0</v>
      </c>
      <c r="BA270" s="3">
        <v>0</v>
      </c>
      <c r="BB270" s="3">
        <v>0</v>
      </c>
      <c r="BC270" s="3">
        <v>43.725643914963172</v>
      </c>
      <c r="BD270" s="3">
        <v>16.174356085036827</v>
      </c>
      <c r="BE270" s="3">
        <v>13.674356085036827</v>
      </c>
      <c r="BF270" s="3">
        <v>14.234356085036822</v>
      </c>
      <c r="BG270" s="3">
        <v>9.4610227517034886</v>
      </c>
      <c r="BH270" s="3">
        <v>15.901022751703493</v>
      </c>
      <c r="BI270" s="3">
        <v>7.214356085036826</v>
      </c>
      <c r="BJ270" s="3">
        <v>9.7076894183701583</v>
      </c>
      <c r="BK270" s="3">
        <v>15.781022751703489</v>
      </c>
      <c r="BL270" s="3">
        <v>13.054356085036829</v>
      </c>
      <c r="BM270" s="3">
        <v>11.987689418370159</v>
      </c>
      <c r="BN270" s="3">
        <v>13.371022751703492</v>
      </c>
      <c r="BO270" s="3">
        <v>11.737689418370159</v>
      </c>
      <c r="BP270" s="3">
        <v>11.954356085036828</v>
      </c>
      <c r="BQ270" s="3">
        <v>11.471022751703487</v>
      </c>
      <c r="BR270" s="3">
        <v>8.2976894183701617</v>
      </c>
      <c r="BS270" s="3">
        <v>7.7010227517034906</v>
      </c>
      <c r="BT270" s="3">
        <v>9.0976894183701589</v>
      </c>
      <c r="BU270" s="3">
        <v>8.464356085036826</v>
      </c>
      <c r="BV270" s="3">
        <v>8.6810227517034946</v>
      </c>
      <c r="BW270" s="3">
        <v>13.414356085036829</v>
      </c>
      <c r="BX270" s="3">
        <v>9.6343560850368277</v>
      </c>
      <c r="BY270" s="3">
        <v>33.654356085036824</v>
      </c>
      <c r="BZ270" s="3">
        <v>42.184356085036825</v>
      </c>
      <c r="CA270" s="3">
        <v>17.584356085036816</v>
      </c>
      <c r="CB270" s="3">
        <v>9.821022751703488</v>
      </c>
      <c r="CC270" s="3">
        <v>9.9343560850368249</v>
      </c>
      <c r="CD270" s="3">
        <v>9.041022751703494</v>
      </c>
      <c r="CE270" s="3">
        <v>9.3343560850368235</v>
      </c>
      <c r="CF270" s="3">
        <v>-0.85231058162984397</v>
      </c>
      <c r="CG270" s="3">
        <v>-1.3856439149631754</v>
      </c>
      <c r="CH270" s="3">
        <v>-2.4623105816298434</v>
      </c>
      <c r="CI270" s="13">
        <f>[1]!dbasum(RecData[[#This Row],[20]:[2000]],RecData[[#Headers],[20]:[2000]])</f>
        <v>19.166113655862617</v>
      </c>
      <c r="CJ270" s="14">
        <v>4277</v>
      </c>
      <c r="CK270" s="15" t="s">
        <v>249</v>
      </c>
      <c r="CL270" s="15">
        <f>RecData[[#This Row],[Start Time]]</f>
        <v>43260.94167824075</v>
      </c>
      <c r="CM270" s="16">
        <f>RecData[[#This Row],[Wind Speed avg]]</f>
        <v>0.32</v>
      </c>
      <c r="CN270" s="16">
        <f>RecData[[#This Row],[Wind Dir. avg]]</f>
        <v>243.1</v>
      </c>
      <c r="CO270" s="16">
        <f>RecData[[#This Row],[Amb. Humidity]]</f>
        <v>81.3</v>
      </c>
      <c r="CP270" s="16">
        <f>RecData[[#This Row],[Amb. Temperature]]</f>
        <v>13.4</v>
      </c>
      <c r="CQ270" s="17">
        <f>RecData[[#This Row],[Amb. Rain Gauge]]</f>
        <v>0</v>
      </c>
      <c r="CR270" s="4" t="s">
        <v>50</v>
      </c>
      <c r="CS270" s="4" t="s">
        <v>49</v>
      </c>
      <c r="CT270" s="70">
        <v>-9.2572793959999995</v>
      </c>
      <c r="CU270" s="70">
        <v>248.00209050000001</v>
      </c>
      <c r="CV270" s="70">
        <v>1.361344814</v>
      </c>
      <c r="CW270" s="70">
        <v>0</v>
      </c>
      <c r="CX270" s="4"/>
      <c r="CY270" s="69"/>
      <c r="CZ270" s="2" t="b">
        <f>IF($DP$1="YES",IF(RecData[[#This Row],[Power (kW)]]&gt;=$CR$3, TRUE,FALSE),TRUE)</f>
        <v>0</v>
      </c>
      <c r="DA270" s="16">
        <f>MIN(MOD(180-ABS(ABS($DA$1-RecData[Yaw Angle (°)])-180),360),MOD(180-ABS(ABS($DB$1-RecData[Yaw Angle (°)])-180),360))</f>
        <v>119.52783627768753</v>
      </c>
      <c r="DB270" s="2" t="str">
        <f>IF($DP$2="None","None",IF(RecData[[#This Row],[Relative Wind Direction]]&lt;=45,"DW",IF(RecData[[#This Row],[Relative Wind Direction]]&lt;=135,"CW","UW")))</f>
        <v>CW</v>
      </c>
      <c r="DC270" s="61">
        <f>IF($CL270-$CL269&gt;1/24,#REF!,IF(SUM($CQ269:$CQ270)&gt;$DS$1,$DS$5,DC271-1))</f>
        <v>-9</v>
      </c>
      <c r="DD270" s="61">
        <f>IF($CL271-$CL270&gt;1/24,#REF!,IF(SUM($CQ269:$CQ270)&gt;$DS$1,$DS$6,DD269-1))</f>
        <v>-2</v>
      </c>
      <c r="DE270" s="18" t="b">
        <v>0</v>
      </c>
      <c r="DF270" s="2" t="b">
        <f>IF(OR(RecData[[#This Row],[WSpd_Avg '[m/s']]]-RecData[[#This Row],[Wind Speed min]]&gt;=$DF$3,RecData[[#This Row],[Wind Speed max]]-RecData[[#This Row],[WSpd_Avg '[m/s']]]&gt;=$DF$2),TRUE,FALSE)</f>
        <v>0</v>
      </c>
      <c r="DG270" s="2" t="b">
        <f>RecData[[#This Row],[Temperature '[°C']]]&lt;=-20</f>
        <v>0</v>
      </c>
      <c r="DH270" s="18" t="b">
        <f>NOT(OR(MOD(RecData[[#This Row],[TIMESTAMP]],1)&gt;0.91632,MOD(RecData[[#This Row],[TIMESTAMP]],1)&lt;0.208681))</f>
        <v>0</v>
      </c>
      <c r="DI270" s="18" t="b">
        <f>RecData[[#This Row],[Overall (dBA)]]-RecData[[#This Row],[L90]]&gt;=$DS$4</f>
        <v>0</v>
      </c>
      <c r="DJ270" s="18" t="b">
        <f>RecData[[#This Row],[Overall (dBA)]]&gt;$DS$2</f>
        <v>0</v>
      </c>
      <c r="DK270" s="18" t="b">
        <f>RecData[[#This Row],[Overall (dBA)]]&lt;$DS$3</f>
        <v>0</v>
      </c>
      <c r="DL2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0" s="2">
        <f>IF(AND(RecData[[#This Row],[Turbines ON/OFF]] = "OFF", NOT(OR(RecData[[#This Row],[Junk?]]="YES",RecData[[#This Row],[Gust?]],RecData[[#This Row],[Rain?]:[Min SPL Threshold?]]))),1,0)</f>
        <v>1</v>
      </c>
      <c r="DN270" s="16">
        <f>RecData[[#This Row],[dBA Sum]]</f>
        <v>19.166113655862617</v>
      </c>
      <c r="DO270" s="16">
        <f>RecData[[#This Row],[LAF90.0]]</f>
        <v>42.5</v>
      </c>
      <c r="DP270" s="55" t="str">
        <f>IF(AND(RecData[[#This Row],[Useable TON Data?]],RecData[[#This Row],[Turbines ON/OFF]]="ON"),RecData[[#This Row],[dBA Sum]],"")</f>
        <v/>
      </c>
      <c r="DQ270" s="55">
        <f>IF(AND(RecData[[#This Row],[Useable Background Data?]],RecData[[#This Row],[Turbines ON/OFF]]="OFF"),RecData[[#This Row],[dBA Sum]],"")</f>
        <v>19.166113655862617</v>
      </c>
      <c r="DR270" s="3">
        <f>IF(OR(RecData[[#This Row],[Useable TON Data?]],RecData[[#This Row],[Useable Background Data?]]),ROUND(RecData[[#This Row],[WSpd_Avg '[m/s']]],0),"")</f>
        <v>0</v>
      </c>
      <c r="DS270" s="85">
        <f>(0.00002)^2*(10^(RecData[[#This Row],[Overall (dBA)]]/10))</f>
        <v>3.3011963550061141E-8</v>
      </c>
    </row>
    <row r="271" spans="1:123" ht="15" x14ac:dyDescent="0.25">
      <c r="A271" s="3" t="s">
        <v>249</v>
      </c>
      <c r="B271" s="12">
        <v>43260.942372685189</v>
      </c>
      <c r="C271" s="3"/>
      <c r="D271" s="3">
        <v>44</v>
      </c>
      <c r="E271" s="3"/>
      <c r="F271" s="3"/>
      <c r="G271" s="3"/>
      <c r="H271" s="3"/>
      <c r="I271" s="3"/>
      <c r="J271" s="3"/>
      <c r="K271" s="3">
        <v>42.8</v>
      </c>
      <c r="L271" s="3"/>
      <c r="M271" s="3"/>
      <c r="N271" s="3">
        <v>245.6</v>
      </c>
      <c r="O271" s="3"/>
      <c r="P271" s="3"/>
      <c r="Q271" s="3">
        <v>0.28999999999999998</v>
      </c>
      <c r="R271" s="3">
        <v>0.2</v>
      </c>
      <c r="S271" s="3">
        <v>0.4</v>
      </c>
      <c r="T271" s="3">
        <v>13.4</v>
      </c>
      <c r="U271" s="3">
        <v>81.599999999999994</v>
      </c>
      <c r="V271" s="3">
        <v>975.6</v>
      </c>
      <c r="W271" s="3">
        <v>0</v>
      </c>
      <c r="X271" s="3">
        <v>17.7</v>
      </c>
      <c r="Y271" s="3">
        <v>13.7</v>
      </c>
      <c r="Z271" s="3">
        <v>15.3</v>
      </c>
      <c r="AA271" s="3">
        <v>10.3</v>
      </c>
      <c r="AB271" s="3">
        <v>16.5</v>
      </c>
      <c r="AC271" s="3">
        <v>6.8</v>
      </c>
      <c r="AD271" s="3">
        <v>10</v>
      </c>
      <c r="AE271" s="3">
        <v>15.2</v>
      </c>
      <c r="AF271" s="3">
        <v>12.7</v>
      </c>
      <c r="AG271" s="3">
        <v>12</v>
      </c>
      <c r="AH271" s="3">
        <v>13.3</v>
      </c>
      <c r="AI271" s="3">
        <v>11.9</v>
      </c>
      <c r="AJ271" s="3">
        <v>12.6</v>
      </c>
      <c r="AK271" s="3">
        <v>10.9</v>
      </c>
      <c r="AL271" s="3">
        <v>7.9</v>
      </c>
      <c r="AM271" s="3">
        <v>7.7</v>
      </c>
      <c r="AN271" s="3">
        <v>8.6</v>
      </c>
      <c r="AO271" s="3">
        <v>8</v>
      </c>
      <c r="AP271" s="3">
        <v>8.6999999999999993</v>
      </c>
      <c r="AQ271" s="3">
        <v>13.1</v>
      </c>
      <c r="AR271" s="3">
        <v>9.3000000000000007</v>
      </c>
      <c r="AS271" s="3">
        <v>33.799999999999997</v>
      </c>
      <c r="AT271" s="3">
        <v>42.2</v>
      </c>
      <c r="AU271" s="3">
        <v>17.100000000000001</v>
      </c>
      <c r="AV271" s="3">
        <v>10</v>
      </c>
      <c r="AW271" s="3">
        <v>9.9</v>
      </c>
      <c r="AX271" s="3">
        <v>9.6999999999999993</v>
      </c>
      <c r="AY271" s="3">
        <v>9.8000000000000007</v>
      </c>
      <c r="AZ271" s="3">
        <v>0</v>
      </c>
      <c r="BA271" s="3">
        <v>0</v>
      </c>
      <c r="BB271" s="3">
        <v>0</v>
      </c>
      <c r="BC271" s="3">
        <v>44.022987003973441</v>
      </c>
      <c r="BD271" s="3">
        <v>17.677012996026562</v>
      </c>
      <c r="BE271" s="3">
        <v>13.677012996026562</v>
      </c>
      <c r="BF271" s="3">
        <v>14.037012996026561</v>
      </c>
      <c r="BG271" s="3">
        <v>9.3636796626932224</v>
      </c>
      <c r="BH271" s="3">
        <v>15.703679662693226</v>
      </c>
      <c r="BI271" s="3">
        <v>6.4170129960265569</v>
      </c>
      <c r="BJ271" s="3">
        <v>10.410346329359889</v>
      </c>
      <c r="BK271" s="3">
        <v>15.48367966269322</v>
      </c>
      <c r="BL271" s="3">
        <v>12.557012996026558</v>
      </c>
      <c r="BM271" s="3">
        <v>11.990346329359895</v>
      </c>
      <c r="BN271" s="3">
        <v>13.573679662693223</v>
      </c>
      <c r="BO271" s="3">
        <v>11.540346329359892</v>
      </c>
      <c r="BP271" s="3">
        <v>11.957012996026563</v>
      </c>
      <c r="BQ271" s="3">
        <v>10.673679662693218</v>
      </c>
      <c r="BR271" s="3">
        <v>8.0003463293598926</v>
      </c>
      <c r="BS271" s="3">
        <v>7.6036796626932244</v>
      </c>
      <c r="BT271" s="3">
        <v>8.7003463293598955</v>
      </c>
      <c r="BU271" s="3">
        <v>8.0670129960265626</v>
      </c>
      <c r="BV271" s="3">
        <v>8.4836796626932269</v>
      </c>
      <c r="BW271" s="3">
        <v>13.417012996026564</v>
      </c>
      <c r="BX271" s="3">
        <v>9.5370129960265615</v>
      </c>
      <c r="BY271" s="3">
        <v>33.857012996026555</v>
      </c>
      <c r="BZ271" s="3">
        <v>42.387012996026556</v>
      </c>
      <c r="CA271" s="3">
        <v>17.387012996026556</v>
      </c>
      <c r="CB271" s="3">
        <v>9.7236796626932218</v>
      </c>
      <c r="CC271" s="3">
        <v>9.8370129960265587</v>
      </c>
      <c r="CD271" s="3">
        <v>8.9436796626932278</v>
      </c>
      <c r="CE271" s="3">
        <v>9.2370129960265572</v>
      </c>
      <c r="CF271" s="3">
        <v>-0.94965367064011019</v>
      </c>
      <c r="CG271" s="3">
        <v>-1.4829870039734416</v>
      </c>
      <c r="CH271" s="3">
        <v>-2.5596536706401096</v>
      </c>
      <c r="CI271" s="13">
        <f>[1]!dbasum(RecData[[#This Row],[20]:[2000]],RecData[[#Headers],[20]:[2000]])</f>
        <v>19.00596844447346</v>
      </c>
      <c r="CJ271" s="14">
        <v>4278</v>
      </c>
      <c r="CK271" s="15" t="s">
        <v>249</v>
      </c>
      <c r="CL271" s="15">
        <f>RecData[[#This Row],[Start Time]]</f>
        <v>43260.942372685189</v>
      </c>
      <c r="CM271" s="16">
        <f>RecData[[#This Row],[Wind Speed avg]]</f>
        <v>0.28999999999999998</v>
      </c>
      <c r="CN271" s="16">
        <f>RecData[[#This Row],[Wind Dir. avg]]</f>
        <v>245.6</v>
      </c>
      <c r="CO271" s="16">
        <f>RecData[[#This Row],[Amb. Humidity]]</f>
        <v>81.599999999999994</v>
      </c>
      <c r="CP271" s="16">
        <f>RecData[[#This Row],[Amb. Temperature]]</f>
        <v>13.4</v>
      </c>
      <c r="CQ271" s="17">
        <f>RecData[[#This Row],[Amb. Rain Gauge]]</f>
        <v>0</v>
      </c>
      <c r="CR271" s="4" t="s">
        <v>50</v>
      </c>
      <c r="CS271" s="4" t="s">
        <v>49</v>
      </c>
      <c r="CT271" s="70">
        <v>-9.2572793959999995</v>
      </c>
      <c r="CU271" s="70">
        <v>248.00209050000001</v>
      </c>
      <c r="CV271" s="70">
        <v>1.361344814</v>
      </c>
      <c r="CW271" s="70">
        <v>0</v>
      </c>
      <c r="CX271" s="4"/>
      <c r="CY271" s="69"/>
      <c r="CZ271" s="2" t="b">
        <f>IF($DP$1="YES",IF(RecData[[#This Row],[Power (kW)]]&gt;=$CR$3, TRUE,FALSE),TRUE)</f>
        <v>0</v>
      </c>
      <c r="DA271" s="16">
        <f>MIN(MOD(180-ABS(ABS($DA$1-RecData[Yaw Angle (°)])-180),360),MOD(180-ABS(ABS($DB$1-RecData[Yaw Angle (°)])-180),360))</f>
        <v>119.52783627768753</v>
      </c>
      <c r="DB271" s="2" t="str">
        <f>IF($DP$2="None","None",IF(RecData[[#This Row],[Relative Wind Direction]]&lt;=45,"DW",IF(RecData[[#This Row],[Relative Wind Direction]]&lt;=135,"CW","UW")))</f>
        <v>CW</v>
      </c>
      <c r="DC271" s="61">
        <f>IF($CL271-$CL269&gt;1/24,#REF!,IF(SUM($CQ269:$CQ271)&gt;$DS$1,$DS$5,DC272-1))</f>
        <v>-8</v>
      </c>
      <c r="DD271" s="61">
        <f>IF($CL272-$CL271&gt;1/24,#REF!,IF(SUM($CQ269:$CQ271)&gt;$DS$1,$DS$6,DD270-1))</f>
        <v>-3</v>
      </c>
      <c r="DE271" s="18" t="b">
        <v>0</v>
      </c>
      <c r="DF271" s="2" t="b">
        <f>IF(OR(RecData[[#This Row],[WSpd_Avg '[m/s']]]-RecData[[#This Row],[Wind Speed min]]&gt;=$DF$3,RecData[[#This Row],[Wind Speed max]]-RecData[[#This Row],[WSpd_Avg '[m/s']]]&gt;=$DF$2),TRUE,FALSE)</f>
        <v>0</v>
      </c>
      <c r="DG271" s="2" t="b">
        <f>RecData[[#This Row],[Temperature '[°C']]]&lt;=-20</f>
        <v>0</v>
      </c>
      <c r="DH271" s="18" t="b">
        <f>NOT(OR(MOD(RecData[[#This Row],[TIMESTAMP]],1)&gt;0.91632,MOD(RecData[[#This Row],[TIMESTAMP]],1)&lt;0.208681))</f>
        <v>0</v>
      </c>
      <c r="DI271" s="18" t="b">
        <f>RecData[[#This Row],[Overall (dBA)]]-RecData[[#This Row],[L90]]&gt;=$DS$4</f>
        <v>0</v>
      </c>
      <c r="DJ271" s="18" t="b">
        <f>RecData[[#This Row],[Overall (dBA)]]&gt;$DS$2</f>
        <v>0</v>
      </c>
      <c r="DK271" s="18" t="b">
        <f>RecData[[#This Row],[Overall (dBA)]]&lt;$DS$3</f>
        <v>0</v>
      </c>
      <c r="DL2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1" s="2">
        <f>IF(AND(RecData[[#This Row],[Turbines ON/OFF]] = "OFF", NOT(OR(RecData[[#This Row],[Junk?]]="YES",RecData[[#This Row],[Gust?]],RecData[[#This Row],[Rain?]:[Min SPL Threshold?]]))),1,0)</f>
        <v>1</v>
      </c>
      <c r="DN271" s="16">
        <f>RecData[[#This Row],[dBA Sum]]</f>
        <v>19.00596844447346</v>
      </c>
      <c r="DO271" s="16">
        <f>RecData[[#This Row],[LAF90.0]]</f>
        <v>42.8</v>
      </c>
      <c r="DP271" s="55" t="str">
        <f>IF(AND(RecData[[#This Row],[Useable TON Data?]],RecData[[#This Row],[Turbines ON/OFF]]="ON"),RecData[[#This Row],[dBA Sum]],"")</f>
        <v/>
      </c>
      <c r="DQ271" s="55">
        <f>IF(AND(RecData[[#This Row],[Useable Background Data?]],RecData[[#This Row],[Turbines ON/OFF]]="OFF"),RecData[[#This Row],[dBA Sum]],"")</f>
        <v>19.00596844447346</v>
      </c>
      <c r="DR271" s="3">
        <f>IF(OR(RecData[[#This Row],[Useable TON Data?]],RecData[[#This Row],[Useable Background Data?]]),ROUND(RecData[[#This Row],[WSpd_Avg '[m/s']]],0),"")</f>
        <v>0</v>
      </c>
      <c r="DS271" s="85">
        <f>(0.00002)^2*(10^(RecData[[#This Row],[Overall (dBA)]]/10))</f>
        <v>3.1816824746200825E-8</v>
      </c>
    </row>
    <row r="272" spans="1:123" ht="15" x14ac:dyDescent="0.25">
      <c r="A272" s="3" t="s">
        <v>249</v>
      </c>
      <c r="B272" s="12">
        <v>43260.943067129636</v>
      </c>
      <c r="C272" s="3"/>
      <c r="D272" s="3">
        <v>44</v>
      </c>
      <c r="E272" s="3"/>
      <c r="F272" s="3"/>
      <c r="G272" s="3"/>
      <c r="H272" s="3"/>
      <c r="I272" s="3"/>
      <c r="J272" s="3"/>
      <c r="K272" s="3">
        <v>42.8</v>
      </c>
      <c r="L272" s="3"/>
      <c r="M272" s="3"/>
      <c r="N272" s="3">
        <v>200.7</v>
      </c>
      <c r="O272" s="3"/>
      <c r="P272" s="3"/>
      <c r="Q272" s="3">
        <v>0.17</v>
      </c>
      <c r="R272" s="3">
        <v>0.1</v>
      </c>
      <c r="S272" s="3">
        <v>0.3</v>
      </c>
      <c r="T272" s="3">
        <v>13.4</v>
      </c>
      <c r="U272" s="3">
        <v>82</v>
      </c>
      <c r="V272" s="3">
        <v>975.6</v>
      </c>
      <c r="W272" s="3">
        <v>0</v>
      </c>
      <c r="X272" s="3">
        <v>16.2</v>
      </c>
      <c r="Y272" s="3">
        <v>13.3</v>
      </c>
      <c r="Z272" s="3">
        <v>13.7</v>
      </c>
      <c r="AA272" s="3">
        <v>10.3</v>
      </c>
      <c r="AB272" s="3">
        <v>16.2</v>
      </c>
      <c r="AC272" s="3">
        <v>6.7</v>
      </c>
      <c r="AD272" s="3">
        <v>9.4</v>
      </c>
      <c r="AE272" s="3">
        <v>14.2</v>
      </c>
      <c r="AF272" s="3">
        <v>13.8</v>
      </c>
      <c r="AG272" s="3">
        <v>12.1</v>
      </c>
      <c r="AH272" s="3">
        <v>12.7</v>
      </c>
      <c r="AI272" s="3">
        <v>11.6</v>
      </c>
      <c r="AJ272" s="3">
        <v>12</v>
      </c>
      <c r="AK272" s="3">
        <v>10.7</v>
      </c>
      <c r="AL272" s="3">
        <v>8</v>
      </c>
      <c r="AM272" s="3">
        <v>7.6</v>
      </c>
      <c r="AN272" s="3">
        <v>8.5</v>
      </c>
      <c r="AO272" s="3">
        <v>7.8</v>
      </c>
      <c r="AP272" s="3">
        <v>8.6</v>
      </c>
      <c r="AQ272" s="3">
        <v>13.7</v>
      </c>
      <c r="AR272" s="3">
        <v>9.3000000000000007</v>
      </c>
      <c r="AS272" s="3">
        <v>33.200000000000003</v>
      </c>
      <c r="AT272" s="3">
        <v>42.3</v>
      </c>
      <c r="AU272" s="3">
        <v>17</v>
      </c>
      <c r="AV272" s="3">
        <v>10.1</v>
      </c>
      <c r="AW272" s="3">
        <v>9.8000000000000007</v>
      </c>
      <c r="AX272" s="3">
        <v>9.6</v>
      </c>
      <c r="AY272" s="3">
        <v>9.8000000000000007</v>
      </c>
      <c r="AZ272" s="3">
        <v>0</v>
      </c>
      <c r="BA272" s="3">
        <v>0</v>
      </c>
      <c r="BB272" s="3">
        <v>0</v>
      </c>
      <c r="BC272" s="3">
        <v>44.039383088094795</v>
      </c>
      <c r="BD272" s="3">
        <v>16.160616911905208</v>
      </c>
      <c r="BE272" s="3">
        <v>13.260616911905203</v>
      </c>
      <c r="BF272" s="3">
        <v>12.420616911905206</v>
      </c>
      <c r="BG272" s="3">
        <v>9.3472835785718686</v>
      </c>
      <c r="BH272" s="3">
        <v>15.387283578571875</v>
      </c>
      <c r="BI272" s="3">
        <v>6.3006169119052089</v>
      </c>
      <c r="BJ272" s="3">
        <v>9.7939502452385341</v>
      </c>
      <c r="BK272" s="3">
        <v>14.467283578571866</v>
      </c>
      <c r="BL272" s="3">
        <v>13.640616911905205</v>
      </c>
      <c r="BM272" s="3">
        <v>12.073950245238542</v>
      </c>
      <c r="BN272" s="3">
        <v>12.957283578571875</v>
      </c>
      <c r="BO272" s="3">
        <v>11.223950245238541</v>
      </c>
      <c r="BP272" s="3">
        <v>11.340616911905208</v>
      </c>
      <c r="BQ272" s="3">
        <v>10.457283578571861</v>
      </c>
      <c r="BR272" s="3">
        <v>8.0839502452385403</v>
      </c>
      <c r="BS272" s="3">
        <v>7.4872835785718692</v>
      </c>
      <c r="BT272" s="3">
        <v>8.5839502452385403</v>
      </c>
      <c r="BU272" s="3">
        <v>7.8506169119052061</v>
      </c>
      <c r="BV272" s="3">
        <v>8.3672835785718718</v>
      </c>
      <c r="BW272" s="3">
        <v>14.000616911905212</v>
      </c>
      <c r="BX272" s="3">
        <v>9.5206169119052078</v>
      </c>
      <c r="BY272" s="3">
        <v>33.240616911905207</v>
      </c>
      <c r="BZ272" s="3">
        <v>42.470616911905196</v>
      </c>
      <c r="CA272" s="3">
        <v>17.270616911905194</v>
      </c>
      <c r="CB272" s="3">
        <v>9.8072835785718695</v>
      </c>
      <c r="CC272" s="3">
        <v>9.7206169119052035</v>
      </c>
      <c r="CD272" s="3">
        <v>8.8272835785718797</v>
      </c>
      <c r="CE272" s="3">
        <v>9.2206169119052035</v>
      </c>
      <c r="CF272" s="3">
        <v>-0.96604975476146393</v>
      </c>
      <c r="CG272" s="3">
        <v>-1.4993830880947954</v>
      </c>
      <c r="CH272" s="3">
        <v>-2.5760497547614634</v>
      </c>
      <c r="CI272" s="13">
        <f>[1]!dbasum(RecData[[#This Row],[20]:[2000]],RecData[[#Headers],[20]:[2000]])</f>
        <v>19.12491782578477</v>
      </c>
      <c r="CJ272" s="14">
        <v>4279</v>
      </c>
      <c r="CK272" s="15" t="s">
        <v>249</v>
      </c>
      <c r="CL272" s="15">
        <f>RecData[[#This Row],[Start Time]]</f>
        <v>43260.943067129636</v>
      </c>
      <c r="CM272" s="16">
        <f>RecData[[#This Row],[Wind Speed avg]]</f>
        <v>0.17</v>
      </c>
      <c r="CN272" s="16">
        <f>RecData[[#This Row],[Wind Dir. avg]]</f>
        <v>200.7</v>
      </c>
      <c r="CO272" s="16">
        <f>RecData[[#This Row],[Amb. Humidity]]</f>
        <v>82</v>
      </c>
      <c r="CP272" s="16">
        <f>RecData[[#This Row],[Amb. Temperature]]</f>
        <v>13.4</v>
      </c>
      <c r="CQ272" s="17">
        <f>RecData[[#This Row],[Amb. Rain Gauge]]</f>
        <v>0</v>
      </c>
      <c r="CR272" s="4" t="s">
        <v>50</v>
      </c>
      <c r="CS272" s="4" t="s">
        <v>49</v>
      </c>
      <c r="CT272" s="70">
        <v>-9.2572793959999995</v>
      </c>
      <c r="CU272" s="70">
        <v>248.00209050000001</v>
      </c>
      <c r="CV272" s="70">
        <v>1.361344814</v>
      </c>
      <c r="CW272" s="70">
        <v>0</v>
      </c>
      <c r="CX272" s="4"/>
      <c r="CY272" s="69"/>
      <c r="CZ272" s="2" t="b">
        <f>IF($DP$1="YES",IF(RecData[[#This Row],[Power (kW)]]&gt;=$CR$3, TRUE,FALSE),TRUE)</f>
        <v>0</v>
      </c>
      <c r="DA272" s="16">
        <f>MIN(MOD(180-ABS(ABS($DA$1-RecData[Yaw Angle (°)])-180),360),MOD(180-ABS(ABS($DB$1-RecData[Yaw Angle (°)])-180),360))</f>
        <v>119.52783627768753</v>
      </c>
      <c r="DB272" s="2" t="str">
        <f>IF($DP$2="None","None",IF(RecData[[#This Row],[Relative Wind Direction]]&lt;=45,"DW",IF(RecData[[#This Row],[Relative Wind Direction]]&lt;=135,"CW","UW")))</f>
        <v>CW</v>
      </c>
      <c r="DC272" s="61">
        <f>IF($CL272-$CL269&gt;1/24,#REF!,IF(SUM($CQ269:$CQ272)&gt;$DS$1,$DS$5,DC273-1))</f>
        <v>-7</v>
      </c>
      <c r="DD272" s="61">
        <f>IF($CL273-$CL272&gt;1/24,#REF!,IF(SUM($CQ269:$CQ272)&gt;$DS$1,$DS$6,DD271-1))</f>
        <v>-4</v>
      </c>
      <c r="DE272" s="18" t="b">
        <v>0</v>
      </c>
      <c r="DF272" s="2" t="b">
        <f>IF(OR(RecData[[#This Row],[WSpd_Avg '[m/s']]]-RecData[[#This Row],[Wind Speed min]]&gt;=$DF$3,RecData[[#This Row],[Wind Speed max]]-RecData[[#This Row],[WSpd_Avg '[m/s']]]&gt;=$DF$2),TRUE,FALSE)</f>
        <v>0</v>
      </c>
      <c r="DG272" s="2" t="b">
        <f>RecData[[#This Row],[Temperature '[°C']]]&lt;=-20</f>
        <v>0</v>
      </c>
      <c r="DH272" s="18" t="b">
        <f>NOT(OR(MOD(RecData[[#This Row],[TIMESTAMP]],1)&gt;0.91632,MOD(RecData[[#This Row],[TIMESTAMP]],1)&lt;0.208681))</f>
        <v>0</v>
      </c>
      <c r="DI272" s="18" t="b">
        <f>RecData[[#This Row],[Overall (dBA)]]-RecData[[#This Row],[L90]]&gt;=$DS$4</f>
        <v>0</v>
      </c>
      <c r="DJ272" s="18" t="b">
        <f>RecData[[#This Row],[Overall (dBA)]]&gt;$DS$2</f>
        <v>0</v>
      </c>
      <c r="DK272" s="18" t="b">
        <f>RecData[[#This Row],[Overall (dBA)]]&lt;$DS$3</f>
        <v>0</v>
      </c>
      <c r="DL2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2" s="2">
        <f>IF(AND(RecData[[#This Row],[Turbines ON/OFF]] = "OFF", NOT(OR(RecData[[#This Row],[Junk?]]="YES",RecData[[#This Row],[Gust?]],RecData[[#This Row],[Rain?]:[Min SPL Threshold?]]))),1,0)</f>
        <v>1</v>
      </c>
      <c r="DN272" s="16">
        <f>RecData[[#This Row],[dBA Sum]]</f>
        <v>19.12491782578477</v>
      </c>
      <c r="DO272" s="16">
        <f>RecData[[#This Row],[LAF90.0]]</f>
        <v>42.8</v>
      </c>
      <c r="DP272" s="55" t="str">
        <f>IF(AND(RecData[[#This Row],[Useable TON Data?]],RecData[[#This Row],[Turbines ON/OFF]]="ON"),RecData[[#This Row],[dBA Sum]],"")</f>
        <v/>
      </c>
      <c r="DQ272" s="55">
        <f>IF(AND(RecData[[#This Row],[Useable Background Data?]],RecData[[#This Row],[Turbines ON/OFF]]="OFF"),RecData[[#This Row],[dBA Sum]],"")</f>
        <v>19.12491782578477</v>
      </c>
      <c r="DR272" s="3">
        <f>IF(OR(RecData[[#This Row],[Useable TON Data?]],RecData[[#This Row],[Useable Background Data?]]),ROUND(RecData[[#This Row],[WSpd_Avg '[m/s']]],0),"")</f>
        <v>0</v>
      </c>
      <c r="DS272" s="85">
        <f>(0.00002)^2*(10^(RecData[[#This Row],[Overall (dBA)]]/10))</f>
        <v>3.2700302779251113E-8</v>
      </c>
    </row>
    <row r="273" spans="1:123" ht="15" x14ac:dyDescent="0.25">
      <c r="A273" s="3" t="s">
        <v>249</v>
      </c>
      <c r="B273" s="12">
        <v>43260.943761574083</v>
      </c>
      <c r="C273" s="3"/>
      <c r="D273" s="3">
        <v>43.8</v>
      </c>
      <c r="E273" s="3"/>
      <c r="F273" s="3"/>
      <c r="G273" s="3"/>
      <c r="H273" s="3"/>
      <c r="I273" s="3"/>
      <c r="J273" s="3"/>
      <c r="K273" s="3">
        <v>42.5</v>
      </c>
      <c r="L273" s="3"/>
      <c r="M273" s="3"/>
      <c r="N273" s="3">
        <v>139.80000000000001</v>
      </c>
      <c r="O273" s="3"/>
      <c r="P273" s="3"/>
      <c r="Q273" s="3">
        <v>0.28999999999999998</v>
      </c>
      <c r="R273" s="3">
        <v>0.1</v>
      </c>
      <c r="S273" s="3">
        <v>0.4</v>
      </c>
      <c r="T273" s="3">
        <v>13.4</v>
      </c>
      <c r="U273" s="3">
        <v>82.1</v>
      </c>
      <c r="V273" s="3">
        <v>975.6</v>
      </c>
      <c r="W273" s="3">
        <v>0</v>
      </c>
      <c r="X273" s="3">
        <v>17.8</v>
      </c>
      <c r="Y273" s="3">
        <v>16.399999999999999</v>
      </c>
      <c r="Z273" s="3">
        <v>15.9</v>
      </c>
      <c r="AA273" s="3">
        <v>13.1</v>
      </c>
      <c r="AB273" s="3">
        <v>15.6</v>
      </c>
      <c r="AC273" s="3">
        <v>7.8</v>
      </c>
      <c r="AD273" s="3">
        <v>10.4</v>
      </c>
      <c r="AE273" s="3">
        <v>14.3</v>
      </c>
      <c r="AF273" s="3">
        <v>12.7</v>
      </c>
      <c r="AG273" s="3">
        <v>11.6</v>
      </c>
      <c r="AH273" s="3">
        <v>12.6</v>
      </c>
      <c r="AI273" s="3">
        <v>11.8</v>
      </c>
      <c r="AJ273" s="3">
        <v>12.6</v>
      </c>
      <c r="AK273" s="3">
        <v>11.9</v>
      </c>
      <c r="AL273" s="3">
        <v>8.9</v>
      </c>
      <c r="AM273" s="3">
        <v>8.1999999999999993</v>
      </c>
      <c r="AN273" s="3">
        <v>8.6999999999999993</v>
      </c>
      <c r="AO273" s="3">
        <v>8</v>
      </c>
      <c r="AP273" s="3">
        <v>9</v>
      </c>
      <c r="AQ273" s="3">
        <v>13.4</v>
      </c>
      <c r="AR273" s="3">
        <v>9.4</v>
      </c>
      <c r="AS273" s="3">
        <v>33.700000000000003</v>
      </c>
      <c r="AT273" s="3">
        <v>42</v>
      </c>
      <c r="AU273" s="3">
        <v>16.5</v>
      </c>
      <c r="AV273" s="3">
        <v>9.9</v>
      </c>
      <c r="AW273" s="3">
        <v>9.8000000000000007</v>
      </c>
      <c r="AX273" s="3">
        <v>9.6</v>
      </c>
      <c r="AY273" s="3">
        <v>9.8000000000000007</v>
      </c>
      <c r="AZ273" s="3">
        <v>0</v>
      </c>
      <c r="BA273" s="3">
        <v>0</v>
      </c>
      <c r="BB273" s="3">
        <v>0</v>
      </c>
      <c r="BC273" s="3">
        <v>43.836491784999019</v>
      </c>
      <c r="BD273" s="3">
        <v>17.763508215000975</v>
      </c>
      <c r="BE273" s="3">
        <v>16.363508215000977</v>
      </c>
      <c r="BF273" s="3">
        <v>14.623508215000975</v>
      </c>
      <c r="BG273" s="3">
        <v>12.150174881667645</v>
      </c>
      <c r="BH273" s="3">
        <v>14.790174881667646</v>
      </c>
      <c r="BI273" s="3">
        <v>7.4035082150009757</v>
      </c>
      <c r="BJ273" s="3">
        <v>10.796841548334307</v>
      </c>
      <c r="BK273" s="3">
        <v>14.57017488166764</v>
      </c>
      <c r="BL273" s="3">
        <v>12.543508215000976</v>
      </c>
      <c r="BM273" s="3">
        <v>11.576841548334315</v>
      </c>
      <c r="BN273" s="3">
        <v>12.860174881667646</v>
      </c>
      <c r="BO273" s="3">
        <v>11.426841548334316</v>
      </c>
      <c r="BP273" s="3">
        <v>11.943508215000982</v>
      </c>
      <c r="BQ273" s="3">
        <v>11.660174881667636</v>
      </c>
      <c r="BR273" s="3">
        <v>8.9868415483343114</v>
      </c>
      <c r="BS273" s="3">
        <v>8.0901748816676431</v>
      </c>
      <c r="BT273" s="3">
        <v>8.7868415483343156</v>
      </c>
      <c r="BU273" s="3">
        <v>8.0535082150009814</v>
      </c>
      <c r="BV273" s="3">
        <v>8.7701748816676428</v>
      </c>
      <c r="BW273" s="3">
        <v>13.70350821500098</v>
      </c>
      <c r="BX273" s="3">
        <v>9.6235082150009816</v>
      </c>
      <c r="BY273" s="3">
        <v>33.743508215000979</v>
      </c>
      <c r="BZ273" s="3">
        <v>42.173508215000972</v>
      </c>
      <c r="CA273" s="3">
        <v>16.773508215000966</v>
      </c>
      <c r="CB273" s="3">
        <v>9.6101748816676391</v>
      </c>
      <c r="CC273" s="3">
        <v>9.723508215000976</v>
      </c>
      <c r="CD273" s="3">
        <v>8.8301748816676522</v>
      </c>
      <c r="CE273" s="3">
        <v>9.223508215000976</v>
      </c>
      <c r="CF273" s="3">
        <v>-0.96315845166569147</v>
      </c>
      <c r="CG273" s="3">
        <v>-1.4964917849990229</v>
      </c>
      <c r="CH273" s="3">
        <v>-2.5731584516656909</v>
      </c>
      <c r="CI273" s="13">
        <f>[1]!dbasum(RecData[[#This Row],[20]:[2000]],RecData[[#Headers],[20]:[2000]])</f>
        <v>19.243637476638241</v>
      </c>
      <c r="CJ273" s="14">
        <v>4280</v>
      </c>
      <c r="CK273" s="15" t="s">
        <v>249</v>
      </c>
      <c r="CL273" s="15">
        <f>RecData[[#This Row],[Start Time]]</f>
        <v>43260.943761574083</v>
      </c>
      <c r="CM273" s="16">
        <f>RecData[[#This Row],[Wind Speed avg]]</f>
        <v>0.28999999999999998</v>
      </c>
      <c r="CN273" s="16">
        <f>RecData[[#This Row],[Wind Dir. avg]]</f>
        <v>139.80000000000001</v>
      </c>
      <c r="CO273" s="16">
        <f>RecData[[#This Row],[Amb. Humidity]]</f>
        <v>82.1</v>
      </c>
      <c r="CP273" s="16">
        <f>RecData[[#This Row],[Amb. Temperature]]</f>
        <v>13.4</v>
      </c>
      <c r="CQ273" s="17">
        <f>RecData[[#This Row],[Amb. Rain Gauge]]</f>
        <v>0</v>
      </c>
      <c r="CR273" s="4" t="s">
        <v>50</v>
      </c>
      <c r="CS273" s="4" t="s">
        <v>49</v>
      </c>
      <c r="CT273" s="70">
        <v>-9.2572793959999995</v>
      </c>
      <c r="CU273" s="70">
        <v>248.00209050000001</v>
      </c>
      <c r="CV273" s="70">
        <v>1.361344814</v>
      </c>
      <c r="CW273" s="70">
        <v>0</v>
      </c>
      <c r="CX273" s="4"/>
      <c r="CY273" s="69"/>
      <c r="CZ273" s="2" t="b">
        <f>IF($DP$1="YES",IF(RecData[[#This Row],[Power (kW)]]&gt;=$CR$3, TRUE,FALSE),TRUE)</f>
        <v>0</v>
      </c>
      <c r="DA273" s="16">
        <f>MIN(MOD(180-ABS(ABS($DA$1-RecData[Yaw Angle (°)])-180),360),MOD(180-ABS(ABS($DB$1-RecData[Yaw Angle (°)])-180),360))</f>
        <v>119.52783627768753</v>
      </c>
      <c r="DB273" s="2" t="str">
        <f>IF($DP$2="None","None",IF(RecData[[#This Row],[Relative Wind Direction]]&lt;=45,"DW",IF(RecData[[#This Row],[Relative Wind Direction]]&lt;=135,"CW","UW")))</f>
        <v>CW</v>
      </c>
      <c r="DC273" s="61">
        <f>IF($CL273-$CL269&gt;1/24,#REF!,IF(SUM($CQ269:$CQ273)&gt;$DS$1,$DS$5,DC274-1))</f>
        <v>-6</v>
      </c>
      <c r="DD273" s="61">
        <f>IF($CL274-$CL273&gt;1/24,#REF!,IF(SUM($CQ269:$CQ273)&gt;$DS$1,$DS$6,DD272-1))</f>
        <v>-5</v>
      </c>
      <c r="DE273" s="18" t="b">
        <v>0</v>
      </c>
      <c r="DF273" s="2" t="b">
        <f>IF(OR(RecData[[#This Row],[WSpd_Avg '[m/s']]]-RecData[[#This Row],[Wind Speed min]]&gt;=$DF$3,RecData[[#This Row],[Wind Speed max]]-RecData[[#This Row],[WSpd_Avg '[m/s']]]&gt;=$DF$2),TRUE,FALSE)</f>
        <v>0</v>
      </c>
      <c r="DG273" s="2" t="b">
        <f>RecData[[#This Row],[Temperature '[°C']]]&lt;=-20</f>
        <v>0</v>
      </c>
      <c r="DH273" s="18" t="b">
        <f>NOT(OR(MOD(RecData[[#This Row],[TIMESTAMP]],1)&gt;0.91632,MOD(RecData[[#This Row],[TIMESTAMP]],1)&lt;0.208681))</f>
        <v>0</v>
      </c>
      <c r="DI273" s="18" t="b">
        <f>RecData[[#This Row],[Overall (dBA)]]-RecData[[#This Row],[L90]]&gt;=$DS$4</f>
        <v>0</v>
      </c>
      <c r="DJ273" s="18" t="b">
        <f>RecData[[#This Row],[Overall (dBA)]]&gt;$DS$2</f>
        <v>0</v>
      </c>
      <c r="DK273" s="18" t="b">
        <f>RecData[[#This Row],[Overall (dBA)]]&lt;$DS$3</f>
        <v>0</v>
      </c>
      <c r="DL2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3" s="2">
        <f>IF(AND(RecData[[#This Row],[Turbines ON/OFF]] = "OFF", NOT(OR(RecData[[#This Row],[Junk?]]="YES",RecData[[#This Row],[Gust?]],RecData[[#This Row],[Rain?]:[Min SPL Threshold?]]))),1,0)</f>
        <v>1</v>
      </c>
      <c r="DN273" s="16">
        <f>RecData[[#This Row],[dBA Sum]]</f>
        <v>19.243637476638241</v>
      </c>
      <c r="DO273" s="16">
        <f>RecData[[#This Row],[LAF90.0]]</f>
        <v>42.5</v>
      </c>
      <c r="DP273" s="55" t="str">
        <f>IF(AND(RecData[[#This Row],[Useable TON Data?]],RecData[[#This Row],[Turbines ON/OFF]]="ON"),RecData[[#This Row],[dBA Sum]],"")</f>
        <v/>
      </c>
      <c r="DQ273" s="55">
        <f>IF(AND(RecData[[#This Row],[Useable Background Data?]],RecData[[#This Row],[Turbines ON/OFF]]="OFF"),RecData[[#This Row],[dBA Sum]],"")</f>
        <v>19.243637476638241</v>
      </c>
      <c r="DR273" s="3">
        <f>IF(OR(RecData[[#This Row],[Useable TON Data?]],RecData[[#This Row],[Useable Background Data?]]),ROUND(RecData[[#This Row],[WSpd_Avg '[m/s']]],0),"")</f>
        <v>0</v>
      </c>
      <c r="DS273" s="85">
        <f>(0.00002)^2*(10^(RecData[[#This Row],[Overall (dBA)]]/10))</f>
        <v>3.3606535164317799E-8</v>
      </c>
    </row>
    <row r="274" spans="1:123" ht="15" x14ac:dyDescent="0.25">
      <c r="A274" s="3" t="s">
        <v>249</v>
      </c>
      <c r="B274" s="12">
        <v>43260.944456018529</v>
      </c>
      <c r="C274" s="3"/>
      <c r="D274" s="3">
        <v>43.2</v>
      </c>
      <c r="E274" s="3"/>
      <c r="F274" s="3"/>
      <c r="G274" s="3"/>
      <c r="H274" s="3"/>
      <c r="I274" s="3"/>
      <c r="J274" s="3"/>
      <c r="K274" s="3">
        <v>41.7</v>
      </c>
      <c r="L274" s="3"/>
      <c r="M274" s="3"/>
      <c r="N274" s="3">
        <v>120.5</v>
      </c>
      <c r="O274" s="3"/>
      <c r="P274" s="3"/>
      <c r="Q274" s="3">
        <v>0.3</v>
      </c>
      <c r="R274" s="3">
        <v>0.2</v>
      </c>
      <c r="S274" s="3">
        <v>0.4</v>
      </c>
      <c r="T274" s="3">
        <v>13.4</v>
      </c>
      <c r="U274" s="3">
        <v>82</v>
      </c>
      <c r="V274" s="3">
        <v>975.6</v>
      </c>
      <c r="W274" s="3">
        <v>0</v>
      </c>
      <c r="X274" s="3">
        <v>17.8</v>
      </c>
      <c r="Y274" s="3">
        <v>17.399999999999999</v>
      </c>
      <c r="Z274" s="3">
        <v>19.3</v>
      </c>
      <c r="AA274" s="3">
        <v>11.5</v>
      </c>
      <c r="AB274" s="3">
        <v>15.6</v>
      </c>
      <c r="AC274" s="3">
        <v>6.9</v>
      </c>
      <c r="AD274" s="3">
        <v>10.7</v>
      </c>
      <c r="AE274" s="3">
        <v>14.8</v>
      </c>
      <c r="AF274" s="3">
        <v>13.2</v>
      </c>
      <c r="AG274" s="3">
        <v>12.2</v>
      </c>
      <c r="AH274" s="3">
        <v>12.8</v>
      </c>
      <c r="AI274" s="3">
        <v>12.1</v>
      </c>
      <c r="AJ274" s="3">
        <v>12.6</v>
      </c>
      <c r="AK274" s="3">
        <v>11.6</v>
      </c>
      <c r="AL274" s="3">
        <v>9.1</v>
      </c>
      <c r="AM274" s="3">
        <v>8.6999999999999993</v>
      </c>
      <c r="AN274" s="3">
        <v>8.9</v>
      </c>
      <c r="AO274" s="3">
        <v>8.4</v>
      </c>
      <c r="AP274" s="3">
        <v>9.1</v>
      </c>
      <c r="AQ274" s="3">
        <v>13.2</v>
      </c>
      <c r="AR274" s="3">
        <v>9.6</v>
      </c>
      <c r="AS274" s="3">
        <v>32.799999999999997</v>
      </c>
      <c r="AT274" s="3">
        <v>41.4</v>
      </c>
      <c r="AU274" s="3">
        <v>15.6</v>
      </c>
      <c r="AV274" s="3">
        <v>10</v>
      </c>
      <c r="AW274" s="3">
        <v>9.8000000000000007</v>
      </c>
      <c r="AX274" s="3">
        <v>9.6</v>
      </c>
      <c r="AY274" s="3">
        <v>9.8000000000000007</v>
      </c>
      <c r="AZ274" s="3">
        <v>0</v>
      </c>
      <c r="BA274" s="3">
        <v>0</v>
      </c>
      <c r="BB274" s="3">
        <v>0</v>
      </c>
      <c r="BC274" s="3">
        <v>43.201443589832053</v>
      </c>
      <c r="BD274" s="3">
        <v>17.798556410167947</v>
      </c>
      <c r="BE274" s="3">
        <v>17.398556410167949</v>
      </c>
      <c r="BF274" s="3">
        <v>18.058556410167952</v>
      </c>
      <c r="BG274" s="3">
        <v>10.585223076834616</v>
      </c>
      <c r="BH274" s="3">
        <v>14.825223076834618</v>
      </c>
      <c r="BI274" s="3">
        <v>6.5385564101679492</v>
      </c>
      <c r="BJ274" s="3">
        <v>11.131889743501283</v>
      </c>
      <c r="BK274" s="3">
        <v>15.105223076834612</v>
      </c>
      <c r="BL274" s="3">
        <v>13.078556410167948</v>
      </c>
      <c r="BM274" s="3">
        <v>12.211889743501288</v>
      </c>
      <c r="BN274" s="3">
        <v>13.095223076834614</v>
      </c>
      <c r="BO274" s="3">
        <v>11.761889743501285</v>
      </c>
      <c r="BP274" s="3">
        <v>11.978556410167954</v>
      </c>
      <c r="BQ274" s="3">
        <v>11.395223076834611</v>
      </c>
      <c r="BR274" s="3">
        <v>9.2218897435012863</v>
      </c>
      <c r="BS274" s="3">
        <v>8.6252230768346152</v>
      </c>
      <c r="BT274" s="3">
        <v>9.0218897435012835</v>
      </c>
      <c r="BU274" s="3">
        <v>8.488556410167952</v>
      </c>
      <c r="BV274" s="3">
        <v>8.9052230768346163</v>
      </c>
      <c r="BW274" s="3">
        <v>13.538556410167956</v>
      </c>
      <c r="BX274" s="3">
        <v>9.8585564101679566</v>
      </c>
      <c r="BY274" s="3">
        <v>32.878556410167946</v>
      </c>
      <c r="BZ274" s="3">
        <v>41.608556410167949</v>
      </c>
      <c r="CA274" s="3">
        <v>15.908556410167947</v>
      </c>
      <c r="CB274" s="3">
        <v>9.7452230768346126</v>
      </c>
      <c r="CC274" s="3">
        <v>9.7585564101679481</v>
      </c>
      <c r="CD274" s="3">
        <v>8.8652230768346243</v>
      </c>
      <c r="CE274" s="3">
        <v>9.2585564101679481</v>
      </c>
      <c r="CF274" s="3">
        <v>-0.92811025649871937</v>
      </c>
      <c r="CG274" s="3">
        <v>-1.4614435898320508</v>
      </c>
      <c r="CH274" s="3">
        <v>-2.5381102564987188</v>
      </c>
      <c r="CI274" s="13">
        <f>[1]!dbasum(RecData[[#This Row],[20]:[2000]],RecData[[#Headers],[20]:[2000]])</f>
        <v>19.336359500477766</v>
      </c>
      <c r="CJ274" s="14">
        <v>4281</v>
      </c>
      <c r="CK274" s="15" t="s">
        <v>249</v>
      </c>
      <c r="CL274" s="15">
        <f>RecData[[#This Row],[Start Time]]</f>
        <v>43260.944456018529</v>
      </c>
      <c r="CM274" s="16">
        <f>RecData[[#This Row],[Wind Speed avg]]</f>
        <v>0.3</v>
      </c>
      <c r="CN274" s="16">
        <f>RecData[[#This Row],[Wind Dir. avg]]</f>
        <v>120.5</v>
      </c>
      <c r="CO274" s="16">
        <f>RecData[[#This Row],[Amb. Humidity]]</f>
        <v>82</v>
      </c>
      <c r="CP274" s="16">
        <f>RecData[[#This Row],[Amb. Temperature]]</f>
        <v>13.4</v>
      </c>
      <c r="CQ274" s="17">
        <f>RecData[[#This Row],[Amb. Rain Gauge]]</f>
        <v>0</v>
      </c>
      <c r="CR274" s="4" t="s">
        <v>50</v>
      </c>
      <c r="CS274" s="4" t="s">
        <v>49</v>
      </c>
      <c r="CT274" s="70">
        <v>-9.9185676570000005</v>
      </c>
      <c r="CU274" s="70">
        <v>258.01998900000001</v>
      </c>
      <c r="CV274" s="70">
        <v>1.1719782350000001</v>
      </c>
      <c r="CW274" s="70">
        <v>0</v>
      </c>
      <c r="CX274" s="4"/>
      <c r="CY274" s="69"/>
      <c r="CZ274" s="2" t="b">
        <f>IF($DP$1="YES",IF(RecData[[#This Row],[Power (kW)]]&gt;=$CR$3, TRUE,FALSE),TRUE)</f>
        <v>0</v>
      </c>
      <c r="DA274" s="16">
        <f>MIN(MOD(180-ABS(ABS($DA$1-RecData[Yaw Angle (°)])-180),360),MOD(180-ABS(ABS($DB$1-RecData[Yaw Angle (°)])-180),360))</f>
        <v>109.50993777768753</v>
      </c>
      <c r="DB274" s="2" t="str">
        <f>IF($DP$2="None","None",IF(RecData[[#This Row],[Relative Wind Direction]]&lt;=45,"DW",IF(RecData[[#This Row],[Relative Wind Direction]]&lt;=135,"CW","UW")))</f>
        <v>CW</v>
      </c>
      <c r="DC274" s="61">
        <f>IF($CL274-$CL270&gt;1/24,#REF!,IF(SUM($CQ270:$CQ274)&gt;$DS$1,$DS$5,DC275-1))</f>
        <v>-5</v>
      </c>
      <c r="DD274" s="61">
        <f>IF($CL275-$CL274&gt;1/24,#REF!,IF(SUM($CQ270:$CQ274)&gt;$DS$1,$DS$6,DD273-1))</f>
        <v>-6</v>
      </c>
      <c r="DE274" s="18" t="b">
        <v>0</v>
      </c>
      <c r="DF274" s="2" t="b">
        <f>IF(OR(RecData[[#This Row],[WSpd_Avg '[m/s']]]-RecData[[#This Row],[Wind Speed min]]&gt;=$DF$3,RecData[[#This Row],[Wind Speed max]]-RecData[[#This Row],[WSpd_Avg '[m/s']]]&gt;=$DF$2),TRUE,FALSE)</f>
        <v>0</v>
      </c>
      <c r="DG274" s="2" t="b">
        <f>RecData[[#This Row],[Temperature '[°C']]]&lt;=-20</f>
        <v>0</v>
      </c>
      <c r="DH274" s="18" t="b">
        <f>NOT(OR(MOD(RecData[[#This Row],[TIMESTAMP]],1)&gt;0.91632,MOD(RecData[[#This Row],[TIMESTAMP]],1)&lt;0.208681))</f>
        <v>0</v>
      </c>
      <c r="DI274" s="18" t="b">
        <f>RecData[[#This Row],[Overall (dBA)]]-RecData[[#This Row],[L90]]&gt;=$DS$4</f>
        <v>0</v>
      </c>
      <c r="DJ274" s="18" t="b">
        <f>RecData[[#This Row],[Overall (dBA)]]&gt;$DS$2</f>
        <v>0</v>
      </c>
      <c r="DK274" s="18" t="b">
        <f>RecData[[#This Row],[Overall (dBA)]]&lt;$DS$3</f>
        <v>0</v>
      </c>
      <c r="DL2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4" s="2">
        <f>IF(AND(RecData[[#This Row],[Turbines ON/OFF]] = "OFF", NOT(OR(RecData[[#This Row],[Junk?]]="YES",RecData[[#This Row],[Gust?]],RecData[[#This Row],[Rain?]:[Min SPL Threshold?]]))),1,0)</f>
        <v>1</v>
      </c>
      <c r="DN274" s="16">
        <f>RecData[[#This Row],[dBA Sum]]</f>
        <v>19.336359500477766</v>
      </c>
      <c r="DO274" s="16">
        <f>RecData[[#This Row],[LAF90.0]]</f>
        <v>41.7</v>
      </c>
      <c r="DP274" s="55" t="str">
        <f>IF(AND(RecData[[#This Row],[Useable TON Data?]],RecData[[#This Row],[Turbines ON/OFF]]="ON"),RecData[[#This Row],[dBA Sum]],"")</f>
        <v/>
      </c>
      <c r="DQ274" s="55">
        <f>IF(AND(RecData[[#This Row],[Useable Background Data?]],RecData[[#This Row],[Turbines ON/OFF]]="OFF"),RecData[[#This Row],[dBA Sum]],"")</f>
        <v>19.336359500477766</v>
      </c>
      <c r="DR274" s="3">
        <f>IF(OR(RecData[[#This Row],[Useable TON Data?]],RecData[[#This Row],[Useable Background Data?]]),ROUND(RecData[[#This Row],[WSpd_Avg '[m/s']]],0),"")</f>
        <v>0</v>
      </c>
      <c r="DS274" s="85">
        <f>(0.00002)^2*(10^(RecData[[#This Row],[Overall (dBA)]]/10))</f>
        <v>3.4331749999655396E-8</v>
      </c>
    </row>
    <row r="275" spans="1:123" ht="15" x14ac:dyDescent="0.25">
      <c r="A275" s="3" t="s">
        <v>249</v>
      </c>
      <c r="B275" s="12">
        <v>43260.945150462969</v>
      </c>
      <c r="C275" s="3"/>
      <c r="D275" s="3">
        <v>43.8</v>
      </c>
      <c r="E275" s="3"/>
      <c r="F275" s="3"/>
      <c r="G275" s="3"/>
      <c r="H275" s="3"/>
      <c r="I275" s="3"/>
      <c r="J275" s="3"/>
      <c r="K275" s="3">
        <v>42.3</v>
      </c>
      <c r="L275" s="3"/>
      <c r="M275" s="3"/>
      <c r="N275" s="3">
        <v>115.1</v>
      </c>
      <c r="O275" s="3"/>
      <c r="P275" s="3"/>
      <c r="Q275" s="3">
        <v>0.47</v>
      </c>
      <c r="R275" s="3">
        <v>0.2</v>
      </c>
      <c r="S275" s="3">
        <v>0.7</v>
      </c>
      <c r="T275" s="3">
        <v>13.4</v>
      </c>
      <c r="U275" s="3">
        <v>82.2</v>
      </c>
      <c r="V275" s="3">
        <v>975.6</v>
      </c>
      <c r="W275" s="3">
        <v>0</v>
      </c>
      <c r="X275" s="3">
        <v>19.3</v>
      </c>
      <c r="Y275" s="3">
        <v>17.600000000000001</v>
      </c>
      <c r="Z275" s="3">
        <v>19.100000000000001</v>
      </c>
      <c r="AA275" s="3">
        <v>13</v>
      </c>
      <c r="AB275" s="3">
        <v>16.2</v>
      </c>
      <c r="AC275" s="3">
        <v>7.3</v>
      </c>
      <c r="AD275" s="3">
        <v>9.4</v>
      </c>
      <c r="AE275" s="3">
        <v>13.9</v>
      </c>
      <c r="AF275" s="3">
        <v>12.5</v>
      </c>
      <c r="AG275" s="3">
        <v>12.3</v>
      </c>
      <c r="AH275" s="3">
        <v>11.9</v>
      </c>
      <c r="AI275" s="3">
        <v>11.7</v>
      </c>
      <c r="AJ275" s="3">
        <v>12.3</v>
      </c>
      <c r="AK275" s="3">
        <v>11.2</v>
      </c>
      <c r="AL275" s="3">
        <v>9.6</v>
      </c>
      <c r="AM275" s="3">
        <v>8.8000000000000007</v>
      </c>
      <c r="AN275" s="3">
        <v>8.9</v>
      </c>
      <c r="AO275" s="3">
        <v>8.1999999999999993</v>
      </c>
      <c r="AP275" s="3">
        <v>9.1999999999999993</v>
      </c>
      <c r="AQ275" s="3">
        <v>13.7</v>
      </c>
      <c r="AR275" s="3">
        <v>9.6999999999999993</v>
      </c>
      <c r="AS275" s="3">
        <v>32.700000000000003</v>
      </c>
      <c r="AT275" s="3">
        <v>42.1</v>
      </c>
      <c r="AU275" s="3">
        <v>16.399999999999999</v>
      </c>
      <c r="AV275" s="3">
        <v>10.1</v>
      </c>
      <c r="AW275" s="3">
        <v>9.8000000000000007</v>
      </c>
      <c r="AX275" s="3">
        <v>9.6</v>
      </c>
      <c r="AY275" s="3">
        <v>9.8000000000000007</v>
      </c>
      <c r="AZ275" s="3">
        <v>0</v>
      </c>
      <c r="BA275" s="3">
        <v>0</v>
      </c>
      <c r="BB275" s="3">
        <v>0</v>
      </c>
      <c r="BC275" s="3">
        <v>43.808399732073475</v>
      </c>
      <c r="BD275" s="3">
        <v>19.291600267926519</v>
      </c>
      <c r="BE275" s="3">
        <v>17.591600267926523</v>
      </c>
      <c r="BF275" s="3">
        <v>17.851600267926521</v>
      </c>
      <c r="BG275" s="3">
        <v>12.078266934593188</v>
      </c>
      <c r="BH275" s="3">
        <v>15.418266934593191</v>
      </c>
      <c r="BI275" s="3">
        <v>6.9316002679265196</v>
      </c>
      <c r="BJ275" s="3">
        <v>9.8249336012598505</v>
      </c>
      <c r="BK275" s="3">
        <v>14.198266934593185</v>
      </c>
      <c r="BL275" s="3">
        <v>12.371600267926524</v>
      </c>
      <c r="BM275" s="3">
        <v>12.304933601259854</v>
      </c>
      <c r="BN275" s="3">
        <v>12.188266934593187</v>
      </c>
      <c r="BO275" s="3">
        <v>11.354933601259859</v>
      </c>
      <c r="BP275" s="3">
        <v>11.671600267926522</v>
      </c>
      <c r="BQ275" s="3">
        <v>10.988266934593177</v>
      </c>
      <c r="BR275" s="3">
        <v>9.7149336012598582</v>
      </c>
      <c r="BS275" s="3">
        <v>8.7182669345931885</v>
      </c>
      <c r="BT275" s="3">
        <v>9.0149336012598553</v>
      </c>
      <c r="BU275" s="3">
        <v>8.2816002679265281</v>
      </c>
      <c r="BV275" s="3">
        <v>8.9982669345931896</v>
      </c>
      <c r="BW275" s="3">
        <v>14.031600267926528</v>
      </c>
      <c r="BX275" s="3">
        <v>9.9516002679265299</v>
      </c>
      <c r="BY275" s="3">
        <v>32.771600267926523</v>
      </c>
      <c r="BZ275" s="3">
        <v>42.301600267926524</v>
      </c>
      <c r="CA275" s="3">
        <v>16.701600267926516</v>
      </c>
      <c r="CB275" s="3">
        <v>9.8382669345931859</v>
      </c>
      <c r="CC275" s="3">
        <v>9.7516002679265199</v>
      </c>
      <c r="CD275" s="3">
        <v>8.8582669345931961</v>
      </c>
      <c r="CE275" s="3">
        <v>9.2516002679265199</v>
      </c>
      <c r="CF275" s="3">
        <v>-0.93506639874014752</v>
      </c>
      <c r="CG275" s="3">
        <v>-1.468399732073479</v>
      </c>
      <c r="CH275" s="3">
        <v>-2.545066398740147</v>
      </c>
      <c r="CI275" s="13">
        <f>[1]!dbasum(RecData[[#This Row],[20]:[2000]],RecData[[#Headers],[20]:[2000]])</f>
        <v>19.477328670377595</v>
      </c>
      <c r="CJ275" s="14">
        <v>4282</v>
      </c>
      <c r="CK275" s="15" t="s">
        <v>249</v>
      </c>
      <c r="CL275" s="15">
        <f>RecData[[#This Row],[Start Time]]</f>
        <v>43260.945150462969</v>
      </c>
      <c r="CM275" s="16">
        <f>RecData[[#This Row],[Wind Speed avg]]</f>
        <v>0.47</v>
      </c>
      <c r="CN275" s="16">
        <f>RecData[[#This Row],[Wind Dir. avg]]</f>
        <v>115.1</v>
      </c>
      <c r="CO275" s="16">
        <f>RecData[[#This Row],[Amb. Humidity]]</f>
        <v>82.2</v>
      </c>
      <c r="CP275" s="16">
        <f>RecData[[#This Row],[Amb. Temperature]]</f>
        <v>13.4</v>
      </c>
      <c r="CQ275" s="17">
        <f>RecData[[#This Row],[Amb. Rain Gauge]]</f>
        <v>0</v>
      </c>
      <c r="CR275" s="4" t="s">
        <v>50</v>
      </c>
      <c r="CS275" s="4" t="s">
        <v>49</v>
      </c>
      <c r="CT275" s="70">
        <v>-9.9185676570000005</v>
      </c>
      <c r="CU275" s="70">
        <v>258.01998900000001</v>
      </c>
      <c r="CV275" s="70">
        <v>1.1719782350000001</v>
      </c>
      <c r="CW275" s="70">
        <v>0</v>
      </c>
      <c r="CX275" s="4"/>
      <c r="CY275" s="69"/>
      <c r="CZ275" s="2" t="b">
        <f>IF($DP$1="YES",IF(RecData[[#This Row],[Power (kW)]]&gt;=$CR$3, TRUE,FALSE),TRUE)</f>
        <v>0</v>
      </c>
      <c r="DA275" s="16">
        <f>MIN(MOD(180-ABS(ABS($DA$1-RecData[Yaw Angle (°)])-180),360),MOD(180-ABS(ABS($DB$1-RecData[Yaw Angle (°)])-180),360))</f>
        <v>109.50993777768753</v>
      </c>
      <c r="DB275" s="2" t="str">
        <f>IF($DP$2="None","None",IF(RecData[[#This Row],[Relative Wind Direction]]&lt;=45,"DW",IF(RecData[[#This Row],[Relative Wind Direction]]&lt;=135,"CW","UW")))</f>
        <v>CW</v>
      </c>
      <c r="DC275" s="61">
        <f>IF($CL275-$CL271&gt;1/24,#REF!,IF(SUM($CQ271:$CQ275)&gt;$DS$1,$DS$5,DC276-1))</f>
        <v>-4</v>
      </c>
      <c r="DD275" s="61">
        <f>IF($CL276-$CL275&gt;1/24,#REF!,IF(SUM($CQ271:$CQ275)&gt;$DS$1,$DS$6,DD274-1))</f>
        <v>-7</v>
      </c>
      <c r="DE275" s="18" t="b">
        <v>0</v>
      </c>
      <c r="DF275" s="2" t="b">
        <f>IF(OR(RecData[[#This Row],[WSpd_Avg '[m/s']]]-RecData[[#This Row],[Wind Speed min]]&gt;=$DF$3,RecData[[#This Row],[Wind Speed max]]-RecData[[#This Row],[WSpd_Avg '[m/s']]]&gt;=$DF$2),TRUE,FALSE)</f>
        <v>0</v>
      </c>
      <c r="DG275" s="2" t="b">
        <f>RecData[[#This Row],[Temperature '[°C']]]&lt;=-20</f>
        <v>0</v>
      </c>
      <c r="DH275" s="18" t="b">
        <f>NOT(OR(MOD(RecData[[#This Row],[TIMESTAMP]],1)&gt;0.91632,MOD(RecData[[#This Row],[TIMESTAMP]],1)&lt;0.208681))</f>
        <v>0</v>
      </c>
      <c r="DI275" s="18" t="b">
        <f>RecData[[#This Row],[Overall (dBA)]]-RecData[[#This Row],[L90]]&gt;=$DS$4</f>
        <v>0</v>
      </c>
      <c r="DJ275" s="18" t="b">
        <f>RecData[[#This Row],[Overall (dBA)]]&gt;$DS$2</f>
        <v>0</v>
      </c>
      <c r="DK275" s="18" t="b">
        <f>RecData[[#This Row],[Overall (dBA)]]&lt;$DS$3</f>
        <v>0</v>
      </c>
      <c r="DL2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5" s="2">
        <f>IF(AND(RecData[[#This Row],[Turbines ON/OFF]] = "OFF", NOT(OR(RecData[[#This Row],[Junk?]]="YES",RecData[[#This Row],[Gust?]],RecData[[#This Row],[Rain?]:[Min SPL Threshold?]]))),1,0)</f>
        <v>1</v>
      </c>
      <c r="DN275" s="16">
        <f>RecData[[#This Row],[dBA Sum]]</f>
        <v>19.477328670377595</v>
      </c>
      <c r="DO275" s="16">
        <f>RecData[[#This Row],[LAF90.0]]</f>
        <v>42.3</v>
      </c>
      <c r="DP275" s="55" t="str">
        <f>IF(AND(RecData[[#This Row],[Useable TON Data?]],RecData[[#This Row],[Turbines ON/OFF]]="ON"),RecData[[#This Row],[dBA Sum]],"")</f>
        <v/>
      </c>
      <c r="DQ275" s="55">
        <f>IF(AND(RecData[[#This Row],[Useable Background Data?]],RecData[[#This Row],[Turbines ON/OFF]]="OFF"),RecData[[#This Row],[dBA Sum]],"")</f>
        <v>19.477328670377595</v>
      </c>
      <c r="DR275" s="3">
        <f>IF(OR(RecData[[#This Row],[Useable TON Data?]],RecData[[#This Row],[Useable Background Data?]]),ROUND(RecData[[#This Row],[WSpd_Avg '[m/s']]],0),"")</f>
        <v>0</v>
      </c>
      <c r="DS275" s="85">
        <f>(0.00002)^2*(10^(RecData[[#This Row],[Overall (dBA)]]/10))</f>
        <v>3.5464419735194479E-8</v>
      </c>
    </row>
    <row r="276" spans="1:123" ht="15" x14ac:dyDescent="0.25">
      <c r="A276" s="3" t="s">
        <v>249</v>
      </c>
      <c r="B276" s="12">
        <v>43260.945844907415</v>
      </c>
      <c r="C276" s="3"/>
      <c r="D276" s="3">
        <v>44.7</v>
      </c>
      <c r="E276" s="3"/>
      <c r="F276" s="3"/>
      <c r="G276" s="3"/>
      <c r="H276" s="3"/>
      <c r="I276" s="3"/>
      <c r="J276" s="3"/>
      <c r="K276" s="3">
        <v>43.2</v>
      </c>
      <c r="L276" s="3"/>
      <c r="M276" s="3"/>
      <c r="N276" s="3">
        <v>123.5</v>
      </c>
      <c r="O276" s="3"/>
      <c r="P276" s="3"/>
      <c r="Q276" s="3">
        <v>0.69</v>
      </c>
      <c r="R276" s="3">
        <v>0.5</v>
      </c>
      <c r="S276" s="3">
        <v>0.9</v>
      </c>
      <c r="T276" s="3">
        <v>13.4</v>
      </c>
      <c r="U276" s="3">
        <v>82.3</v>
      </c>
      <c r="V276" s="3">
        <v>975.5</v>
      </c>
      <c r="W276" s="3">
        <v>0</v>
      </c>
      <c r="X276" s="3">
        <v>19</v>
      </c>
      <c r="Y276" s="3">
        <v>16.3</v>
      </c>
      <c r="Z276" s="3">
        <v>14.7</v>
      </c>
      <c r="AA276" s="3">
        <v>11.4</v>
      </c>
      <c r="AB276" s="3">
        <v>16.3</v>
      </c>
      <c r="AC276" s="3">
        <v>6.4</v>
      </c>
      <c r="AD276" s="3">
        <v>9.1999999999999993</v>
      </c>
      <c r="AE276" s="3">
        <v>14.5</v>
      </c>
      <c r="AF276" s="3">
        <v>12.2</v>
      </c>
      <c r="AG276" s="3">
        <v>13.7</v>
      </c>
      <c r="AH276" s="3">
        <v>13.6</v>
      </c>
      <c r="AI276" s="3">
        <v>11.9</v>
      </c>
      <c r="AJ276" s="3">
        <v>12.8</v>
      </c>
      <c r="AK276" s="3">
        <v>12.1</v>
      </c>
      <c r="AL276" s="3">
        <v>10.1</v>
      </c>
      <c r="AM276" s="3">
        <v>9.9</v>
      </c>
      <c r="AN276" s="3">
        <v>9.3000000000000007</v>
      </c>
      <c r="AO276" s="3">
        <v>8.6</v>
      </c>
      <c r="AP276" s="3">
        <v>9.6</v>
      </c>
      <c r="AQ276" s="3">
        <v>14.4</v>
      </c>
      <c r="AR276" s="3">
        <v>10.4</v>
      </c>
      <c r="AS276" s="3">
        <v>34.700000000000003</v>
      </c>
      <c r="AT276" s="3">
        <v>42.8</v>
      </c>
      <c r="AU276" s="3">
        <v>16.5</v>
      </c>
      <c r="AV276" s="3">
        <v>11.6</v>
      </c>
      <c r="AW276" s="3">
        <v>10.8</v>
      </c>
      <c r="AX276" s="3">
        <v>10.1</v>
      </c>
      <c r="AY276" s="3">
        <v>10.3</v>
      </c>
      <c r="AZ276" s="3">
        <v>0</v>
      </c>
      <c r="BA276" s="3">
        <v>0</v>
      </c>
      <c r="BB276" s="3">
        <v>0</v>
      </c>
      <c r="BC276" s="3">
        <v>44.661827022808261</v>
      </c>
      <c r="BD276" s="3">
        <v>19.038172977191742</v>
      </c>
      <c r="BE276" s="3">
        <v>16.338172977191739</v>
      </c>
      <c r="BF276" s="3">
        <v>13.498172977191743</v>
      </c>
      <c r="BG276" s="3">
        <v>10.524839643858407</v>
      </c>
      <c r="BH276" s="3">
        <v>15.564839643858413</v>
      </c>
      <c r="BI276" s="3">
        <v>6.0781729771917412</v>
      </c>
      <c r="BJ276" s="3">
        <v>9.6715063105250749</v>
      </c>
      <c r="BK276" s="3">
        <v>14.844839643858407</v>
      </c>
      <c r="BL276" s="3">
        <v>12.11817297719174</v>
      </c>
      <c r="BM276" s="3">
        <v>13.75150631052508</v>
      </c>
      <c r="BN276" s="3">
        <v>13.93483964385841</v>
      </c>
      <c r="BO276" s="3">
        <v>11.601506310525075</v>
      </c>
      <c r="BP276" s="3">
        <v>12.218172977191742</v>
      </c>
      <c r="BQ276" s="3">
        <v>11.934839643858403</v>
      </c>
      <c r="BR276" s="3">
        <v>10.261506310525078</v>
      </c>
      <c r="BS276" s="3">
        <v>9.8648396438584101</v>
      </c>
      <c r="BT276" s="3">
        <v>9.4615063105250741</v>
      </c>
      <c r="BU276" s="3">
        <v>8.7281729771917469</v>
      </c>
      <c r="BV276" s="3">
        <v>9.4448396438584084</v>
      </c>
      <c r="BW276" s="3">
        <v>14.778172977191744</v>
      </c>
      <c r="BX276" s="3">
        <v>10.698172977191746</v>
      </c>
      <c r="BY276" s="3">
        <v>34.818172977191743</v>
      </c>
      <c r="BZ276" s="3">
        <v>43.048172977191747</v>
      </c>
      <c r="CA276" s="3">
        <v>16.84817297719173</v>
      </c>
      <c r="CB276" s="3">
        <v>11.384839643858406</v>
      </c>
      <c r="CC276" s="3">
        <v>10.79817297719174</v>
      </c>
      <c r="CD276" s="3">
        <v>9.4048396438584163</v>
      </c>
      <c r="CE276" s="3">
        <v>9.7981729771917401</v>
      </c>
      <c r="CF276" s="3">
        <v>-0.88849368947492735</v>
      </c>
      <c r="CG276" s="3">
        <v>-1.4218270228082588</v>
      </c>
      <c r="CH276" s="3">
        <v>-2.4984936894749268</v>
      </c>
      <c r="CI276" s="13">
        <f>[1]!dbasum(RecData[[#This Row],[20]:[2000]],RecData[[#Headers],[20]:[2000]])</f>
        <v>20.174329258390497</v>
      </c>
      <c r="CJ276" s="14">
        <v>4283</v>
      </c>
      <c r="CK276" s="15" t="s">
        <v>249</v>
      </c>
      <c r="CL276" s="15">
        <f>RecData[[#This Row],[Start Time]]</f>
        <v>43260.945844907415</v>
      </c>
      <c r="CM276" s="16">
        <f>RecData[[#This Row],[Wind Speed avg]]</f>
        <v>0.69</v>
      </c>
      <c r="CN276" s="16">
        <f>RecData[[#This Row],[Wind Dir. avg]]</f>
        <v>123.5</v>
      </c>
      <c r="CO276" s="16">
        <f>RecData[[#This Row],[Amb. Humidity]]</f>
        <v>82.3</v>
      </c>
      <c r="CP276" s="16">
        <f>RecData[[#This Row],[Amb. Temperature]]</f>
        <v>13.4</v>
      </c>
      <c r="CQ276" s="17">
        <f>RecData[[#This Row],[Amb. Rain Gauge]]</f>
        <v>0</v>
      </c>
      <c r="CR276" s="4" t="s">
        <v>50</v>
      </c>
      <c r="CS276" s="4" t="s">
        <v>49</v>
      </c>
      <c r="CT276" s="70">
        <v>-9.9185676570000005</v>
      </c>
      <c r="CU276" s="70">
        <v>258.01998900000001</v>
      </c>
      <c r="CV276" s="70">
        <v>1.1719782350000001</v>
      </c>
      <c r="CW276" s="70">
        <v>0</v>
      </c>
      <c r="CX276" s="4"/>
      <c r="CY276" s="69"/>
      <c r="CZ276" s="2" t="b">
        <f>IF($DP$1="YES",IF(RecData[[#This Row],[Power (kW)]]&gt;=$CR$3, TRUE,FALSE),TRUE)</f>
        <v>0</v>
      </c>
      <c r="DA276" s="16">
        <f>MIN(MOD(180-ABS(ABS($DA$1-RecData[Yaw Angle (°)])-180),360),MOD(180-ABS(ABS($DB$1-RecData[Yaw Angle (°)])-180),360))</f>
        <v>109.50993777768753</v>
      </c>
      <c r="DB276" s="2" t="str">
        <f>IF($DP$2="None","None",IF(RecData[[#This Row],[Relative Wind Direction]]&lt;=45,"DW",IF(RecData[[#This Row],[Relative Wind Direction]]&lt;=135,"CW","UW")))</f>
        <v>CW</v>
      </c>
      <c r="DC276" s="61">
        <f>IF($CL276-$CL272&gt;1/24,#REF!,IF(SUM($CQ272:$CQ276)&gt;$DS$1,$DS$5,DC277-1))</f>
        <v>-3</v>
      </c>
      <c r="DD276" s="61">
        <f>IF($CL277-$CL276&gt;1/24,#REF!,IF(SUM($CQ272:$CQ276)&gt;$DS$1,$DS$6,DD275-1))</f>
        <v>-8</v>
      </c>
      <c r="DE276" s="18" t="b">
        <v>0</v>
      </c>
      <c r="DF276" s="2" t="b">
        <f>IF(OR(RecData[[#This Row],[WSpd_Avg '[m/s']]]-RecData[[#This Row],[Wind Speed min]]&gt;=$DF$3,RecData[[#This Row],[Wind Speed max]]-RecData[[#This Row],[WSpd_Avg '[m/s']]]&gt;=$DF$2),TRUE,FALSE)</f>
        <v>0</v>
      </c>
      <c r="DG276" s="2" t="b">
        <f>RecData[[#This Row],[Temperature '[°C']]]&lt;=-20</f>
        <v>0</v>
      </c>
      <c r="DH276" s="18" t="b">
        <f>NOT(OR(MOD(RecData[[#This Row],[TIMESTAMP]],1)&gt;0.91632,MOD(RecData[[#This Row],[TIMESTAMP]],1)&lt;0.208681))</f>
        <v>0</v>
      </c>
      <c r="DI276" s="18" t="b">
        <f>RecData[[#This Row],[Overall (dBA)]]-RecData[[#This Row],[L90]]&gt;=$DS$4</f>
        <v>0</v>
      </c>
      <c r="DJ276" s="18" t="b">
        <f>RecData[[#This Row],[Overall (dBA)]]&gt;$DS$2</f>
        <v>0</v>
      </c>
      <c r="DK276" s="18" t="b">
        <f>RecData[[#This Row],[Overall (dBA)]]&lt;$DS$3</f>
        <v>0</v>
      </c>
      <c r="DL2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6" s="2">
        <f>IF(AND(RecData[[#This Row],[Turbines ON/OFF]] = "OFF", NOT(OR(RecData[[#This Row],[Junk?]]="YES",RecData[[#This Row],[Gust?]],RecData[[#This Row],[Rain?]:[Min SPL Threshold?]]))),1,0)</f>
        <v>1</v>
      </c>
      <c r="DN276" s="16">
        <f>RecData[[#This Row],[dBA Sum]]</f>
        <v>20.174329258390497</v>
      </c>
      <c r="DO276" s="16">
        <f>RecData[[#This Row],[LAF90.0]]</f>
        <v>43.2</v>
      </c>
      <c r="DP276" s="55" t="str">
        <f>IF(AND(RecData[[#This Row],[Useable TON Data?]],RecData[[#This Row],[Turbines ON/OFF]]="ON"),RecData[[#This Row],[dBA Sum]],"")</f>
        <v/>
      </c>
      <c r="DQ276" s="55">
        <f>IF(AND(RecData[[#This Row],[Useable Background Data?]],RecData[[#This Row],[Turbines ON/OFF]]="OFF"),RecData[[#This Row],[dBA Sum]],"")</f>
        <v>20.174329258390497</v>
      </c>
      <c r="DR276" s="3">
        <f>IF(OR(RecData[[#This Row],[Useable TON Data?]],RecData[[#This Row],[Useable Background Data?]]),ROUND(RecData[[#This Row],[WSpd_Avg '[m/s']]],0),"")</f>
        <v>1</v>
      </c>
      <c r="DS276" s="85">
        <f>(0.00002)^2*(10^(RecData[[#This Row],[Overall (dBA)]]/10))</f>
        <v>4.1638293025317487E-8</v>
      </c>
    </row>
    <row r="277" spans="1:123" ht="15" x14ac:dyDescent="0.25">
      <c r="A277" s="3" t="s">
        <v>249</v>
      </c>
      <c r="B277" s="12">
        <v>43260.946539351862</v>
      </c>
      <c r="C277" s="3"/>
      <c r="D277" s="3">
        <v>43.4</v>
      </c>
      <c r="E277" s="3"/>
      <c r="F277" s="3"/>
      <c r="G277" s="3"/>
      <c r="H277" s="3"/>
      <c r="I277" s="3"/>
      <c r="J277" s="3"/>
      <c r="K277" s="3">
        <v>41.9</v>
      </c>
      <c r="L277" s="3"/>
      <c r="M277" s="3"/>
      <c r="N277" s="3">
        <v>142.80000000000001</v>
      </c>
      <c r="O277" s="3"/>
      <c r="P277" s="3"/>
      <c r="Q277" s="3">
        <v>0.57999999999999996</v>
      </c>
      <c r="R277" s="3">
        <v>0.5</v>
      </c>
      <c r="S277" s="3">
        <v>0.7</v>
      </c>
      <c r="T277" s="3">
        <v>13.4</v>
      </c>
      <c r="U277" s="3">
        <v>82</v>
      </c>
      <c r="V277" s="3">
        <v>975.5</v>
      </c>
      <c r="W277" s="3">
        <v>0</v>
      </c>
      <c r="X277" s="3">
        <v>18.5</v>
      </c>
      <c r="Y277" s="3">
        <v>14.7</v>
      </c>
      <c r="Z277" s="3">
        <v>15.6</v>
      </c>
      <c r="AA277" s="3">
        <v>11.7</v>
      </c>
      <c r="AB277" s="3">
        <v>15.8</v>
      </c>
      <c r="AC277" s="3">
        <v>5.7</v>
      </c>
      <c r="AD277" s="3">
        <v>9.1999999999999993</v>
      </c>
      <c r="AE277" s="3">
        <v>14.2</v>
      </c>
      <c r="AF277" s="3">
        <v>12.1</v>
      </c>
      <c r="AG277" s="3">
        <v>11.5</v>
      </c>
      <c r="AH277" s="3">
        <v>12.2</v>
      </c>
      <c r="AI277" s="3">
        <v>12</v>
      </c>
      <c r="AJ277" s="3">
        <v>12.4</v>
      </c>
      <c r="AK277" s="3">
        <v>10.5</v>
      </c>
      <c r="AL277" s="3">
        <v>8</v>
      </c>
      <c r="AM277" s="3">
        <v>8.1</v>
      </c>
      <c r="AN277" s="3">
        <v>8.6999999999999993</v>
      </c>
      <c r="AO277" s="3">
        <v>8.1999999999999993</v>
      </c>
      <c r="AP277" s="3">
        <v>9</v>
      </c>
      <c r="AQ277" s="3">
        <v>13.6</v>
      </c>
      <c r="AR277" s="3">
        <v>9.4</v>
      </c>
      <c r="AS277" s="3">
        <v>32.9</v>
      </c>
      <c r="AT277" s="3">
        <v>41.6</v>
      </c>
      <c r="AU277" s="3">
        <v>15.4</v>
      </c>
      <c r="AV277" s="3">
        <v>10</v>
      </c>
      <c r="AW277" s="3">
        <v>10</v>
      </c>
      <c r="AX277" s="3">
        <v>9.6999999999999993</v>
      </c>
      <c r="AY277" s="3">
        <v>9.9</v>
      </c>
      <c r="AZ277" s="3">
        <v>0</v>
      </c>
      <c r="BA277" s="3">
        <v>0</v>
      </c>
      <c r="BB277" s="3">
        <v>0</v>
      </c>
      <c r="BC277" s="3">
        <v>43.387159485968454</v>
      </c>
      <c r="BD277" s="3">
        <v>18.512840514031545</v>
      </c>
      <c r="BE277" s="3">
        <v>14.712840514031541</v>
      </c>
      <c r="BF277" s="3">
        <v>14.372840514031545</v>
      </c>
      <c r="BG277" s="3">
        <v>10.799507180698207</v>
      </c>
      <c r="BH277" s="3">
        <v>15.039507180698216</v>
      </c>
      <c r="BI277" s="3">
        <v>5.3528405140315485</v>
      </c>
      <c r="BJ277" s="3">
        <v>9.6461738473648779</v>
      </c>
      <c r="BK277" s="3">
        <v>14.519507180698206</v>
      </c>
      <c r="BL277" s="3">
        <v>11.992840514031542</v>
      </c>
      <c r="BM277" s="3">
        <v>11.52617384736488</v>
      </c>
      <c r="BN277" s="3">
        <v>12.509507180698208</v>
      </c>
      <c r="BO277" s="3">
        <v>11.676173847364879</v>
      </c>
      <c r="BP277" s="3">
        <v>11.792840514031546</v>
      </c>
      <c r="BQ277" s="3">
        <v>10.309507180698205</v>
      </c>
      <c r="BR277" s="3">
        <v>8.1361738473648799</v>
      </c>
      <c r="BS277" s="3">
        <v>8.0395071806982088</v>
      </c>
      <c r="BT277" s="3">
        <v>8.8361738473648757</v>
      </c>
      <c r="BU277" s="3">
        <v>8.3028405140315442</v>
      </c>
      <c r="BV277" s="3">
        <v>8.8195071806982099</v>
      </c>
      <c r="BW277" s="3">
        <v>13.95284051403155</v>
      </c>
      <c r="BX277" s="3">
        <v>9.6728405140315488</v>
      </c>
      <c r="BY277" s="3">
        <v>32.992840514031542</v>
      </c>
      <c r="BZ277" s="3">
        <v>41.822840514031554</v>
      </c>
      <c r="CA277" s="3">
        <v>15.722840514031539</v>
      </c>
      <c r="CB277" s="3">
        <v>9.7595071806982077</v>
      </c>
      <c r="CC277" s="3">
        <v>9.9728405140315459</v>
      </c>
      <c r="CD277" s="3">
        <v>8.9795071806982136</v>
      </c>
      <c r="CE277" s="3">
        <v>9.3728405140315445</v>
      </c>
      <c r="CF277" s="3">
        <v>-0.91382615263512434</v>
      </c>
      <c r="CG277" s="3">
        <v>-1.4471594859684558</v>
      </c>
      <c r="CH277" s="3">
        <v>-2.5238261526351238</v>
      </c>
      <c r="CI277" s="13">
        <f>[1]!dbasum(RecData[[#This Row],[20]:[2000]],RecData[[#Headers],[20]:[2000]])</f>
        <v>19.253754962220956</v>
      </c>
      <c r="CJ277" s="14">
        <v>4284</v>
      </c>
      <c r="CK277" s="15" t="s">
        <v>249</v>
      </c>
      <c r="CL277" s="15">
        <f>RecData[[#This Row],[Start Time]]</f>
        <v>43260.946539351862</v>
      </c>
      <c r="CM277" s="16">
        <f>RecData[[#This Row],[Wind Speed avg]]</f>
        <v>0.57999999999999996</v>
      </c>
      <c r="CN277" s="16">
        <f>RecData[[#This Row],[Wind Dir. avg]]</f>
        <v>142.80000000000001</v>
      </c>
      <c r="CO277" s="16">
        <f>RecData[[#This Row],[Amb. Humidity]]</f>
        <v>82</v>
      </c>
      <c r="CP277" s="16">
        <f>RecData[[#This Row],[Amb. Temperature]]</f>
        <v>13.4</v>
      </c>
      <c r="CQ277" s="17">
        <f>RecData[[#This Row],[Amb. Rain Gauge]]</f>
        <v>0</v>
      </c>
      <c r="CR277" s="4" t="s">
        <v>50</v>
      </c>
      <c r="CS277" s="4" t="s">
        <v>49</v>
      </c>
      <c r="CT277" s="70">
        <v>-9.9185676570000005</v>
      </c>
      <c r="CU277" s="70">
        <v>258.01998900000001</v>
      </c>
      <c r="CV277" s="70">
        <v>1.1719782350000001</v>
      </c>
      <c r="CW277" s="70">
        <v>0</v>
      </c>
      <c r="CX277" s="4"/>
      <c r="CY277" s="69"/>
      <c r="CZ277" s="2" t="b">
        <f>IF($DP$1="YES",IF(RecData[[#This Row],[Power (kW)]]&gt;=$CR$3, TRUE,FALSE),TRUE)</f>
        <v>0</v>
      </c>
      <c r="DA277" s="16">
        <f>MIN(MOD(180-ABS(ABS($DA$1-RecData[Yaw Angle (°)])-180),360),MOD(180-ABS(ABS($DB$1-RecData[Yaw Angle (°)])-180),360))</f>
        <v>109.50993777768753</v>
      </c>
      <c r="DB277" s="2" t="str">
        <f>IF($DP$2="None","None",IF(RecData[[#This Row],[Relative Wind Direction]]&lt;=45,"DW",IF(RecData[[#This Row],[Relative Wind Direction]]&lt;=135,"CW","UW")))</f>
        <v>CW</v>
      </c>
      <c r="DC277" s="61">
        <f>IF($CL277-$CL273&gt;1/24,#REF!,IF(SUM($CQ273:$CQ277)&gt;$DS$1,$DS$5,DC278-1))</f>
        <v>-2</v>
      </c>
      <c r="DD277" s="61">
        <f>IF($CL278-$CL277&gt;1/24,#REF!,IF(SUM($CQ273:$CQ277)&gt;$DS$1,$DS$6,DD276-1))</f>
        <v>-9</v>
      </c>
      <c r="DE277" s="18" t="b">
        <v>0</v>
      </c>
      <c r="DF277" s="2" t="b">
        <f>IF(OR(RecData[[#This Row],[WSpd_Avg '[m/s']]]-RecData[[#This Row],[Wind Speed min]]&gt;=$DF$3,RecData[[#This Row],[Wind Speed max]]-RecData[[#This Row],[WSpd_Avg '[m/s']]]&gt;=$DF$2),TRUE,FALSE)</f>
        <v>0</v>
      </c>
      <c r="DG277" s="2" t="b">
        <f>RecData[[#This Row],[Temperature '[°C']]]&lt;=-20</f>
        <v>0</v>
      </c>
      <c r="DH277" s="18" t="b">
        <f>NOT(OR(MOD(RecData[[#This Row],[TIMESTAMP]],1)&gt;0.91632,MOD(RecData[[#This Row],[TIMESTAMP]],1)&lt;0.208681))</f>
        <v>0</v>
      </c>
      <c r="DI277" s="18" t="b">
        <f>RecData[[#This Row],[Overall (dBA)]]-RecData[[#This Row],[L90]]&gt;=$DS$4</f>
        <v>0</v>
      </c>
      <c r="DJ277" s="18" t="b">
        <f>RecData[[#This Row],[Overall (dBA)]]&gt;$DS$2</f>
        <v>0</v>
      </c>
      <c r="DK277" s="18" t="b">
        <f>RecData[[#This Row],[Overall (dBA)]]&lt;$DS$3</f>
        <v>0</v>
      </c>
      <c r="DL2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7" s="2">
        <f>IF(AND(RecData[[#This Row],[Turbines ON/OFF]] = "OFF", NOT(OR(RecData[[#This Row],[Junk?]]="YES",RecData[[#This Row],[Gust?]],RecData[[#This Row],[Rain?]:[Min SPL Threshold?]]))),1,0)</f>
        <v>1</v>
      </c>
      <c r="DN277" s="16">
        <f>RecData[[#This Row],[dBA Sum]]</f>
        <v>19.253754962220956</v>
      </c>
      <c r="DO277" s="16">
        <f>RecData[[#This Row],[LAF90.0]]</f>
        <v>41.9</v>
      </c>
      <c r="DP277" s="55" t="str">
        <f>IF(AND(RecData[[#This Row],[Useable TON Data?]],RecData[[#This Row],[Turbines ON/OFF]]="ON"),RecData[[#This Row],[dBA Sum]],"")</f>
        <v/>
      </c>
      <c r="DQ277" s="55">
        <f>IF(AND(RecData[[#This Row],[Useable Background Data?]],RecData[[#This Row],[Turbines ON/OFF]]="OFF"),RecData[[#This Row],[dBA Sum]],"")</f>
        <v>19.253754962220956</v>
      </c>
      <c r="DR277" s="3">
        <f>IF(OR(RecData[[#This Row],[Useable TON Data?]],RecData[[#This Row],[Useable Background Data?]]),ROUND(RecData[[#This Row],[WSpd_Avg '[m/s']]],0),"")</f>
        <v>1</v>
      </c>
      <c r="DS277" s="85">
        <f>(0.00002)^2*(10^(RecData[[#This Row],[Overall (dBA)]]/10))</f>
        <v>3.368491746276404E-8</v>
      </c>
    </row>
    <row r="278" spans="1:123" ht="15" x14ac:dyDescent="0.25">
      <c r="A278" s="3" t="s">
        <v>249</v>
      </c>
      <c r="B278" s="12">
        <v>43260.947233796302</v>
      </c>
      <c r="C278" s="3"/>
      <c r="D278" s="3">
        <v>44.4</v>
      </c>
      <c r="E278" s="3"/>
      <c r="F278" s="3"/>
      <c r="G278" s="3"/>
      <c r="H278" s="3"/>
      <c r="I278" s="3"/>
      <c r="J278" s="3"/>
      <c r="K278" s="3">
        <v>42.6</v>
      </c>
      <c r="L278" s="3"/>
      <c r="M278" s="3"/>
      <c r="N278" s="3">
        <v>168.6</v>
      </c>
      <c r="O278" s="3"/>
      <c r="P278" s="3"/>
      <c r="Q278" s="3">
        <v>0.5</v>
      </c>
      <c r="R278" s="3">
        <v>0.4</v>
      </c>
      <c r="S278" s="3">
        <v>0.6</v>
      </c>
      <c r="T278" s="3">
        <v>13.3</v>
      </c>
      <c r="U278" s="3">
        <v>82.2</v>
      </c>
      <c r="V278" s="3">
        <v>975.5</v>
      </c>
      <c r="W278" s="3">
        <v>0</v>
      </c>
      <c r="X278" s="3">
        <v>18</v>
      </c>
      <c r="Y278" s="3">
        <v>14.3</v>
      </c>
      <c r="Z278" s="3">
        <v>16.5</v>
      </c>
      <c r="AA278" s="3">
        <v>10.7</v>
      </c>
      <c r="AB278" s="3">
        <v>15.2</v>
      </c>
      <c r="AC278" s="3">
        <v>5.7</v>
      </c>
      <c r="AD278" s="3">
        <v>9.6999999999999993</v>
      </c>
      <c r="AE278" s="3">
        <v>13.7</v>
      </c>
      <c r="AF278" s="3">
        <v>12.4</v>
      </c>
      <c r="AG278" s="3">
        <v>11.5</v>
      </c>
      <c r="AH278" s="3">
        <v>12.9</v>
      </c>
      <c r="AI278" s="3">
        <v>11</v>
      </c>
      <c r="AJ278" s="3">
        <v>12.1</v>
      </c>
      <c r="AK278" s="3">
        <v>10.199999999999999</v>
      </c>
      <c r="AL278" s="3">
        <v>7.7</v>
      </c>
      <c r="AM278" s="3">
        <v>8.1</v>
      </c>
      <c r="AN278" s="3">
        <v>8.6</v>
      </c>
      <c r="AO278" s="3">
        <v>8.1999999999999993</v>
      </c>
      <c r="AP278" s="3">
        <v>8.8000000000000007</v>
      </c>
      <c r="AQ278" s="3">
        <v>13.9</v>
      </c>
      <c r="AR278" s="3">
        <v>9.1999999999999993</v>
      </c>
      <c r="AS278" s="3">
        <v>34</v>
      </c>
      <c r="AT278" s="3">
        <v>42.6</v>
      </c>
      <c r="AU278" s="3">
        <v>17</v>
      </c>
      <c r="AV278" s="3">
        <v>10.1</v>
      </c>
      <c r="AW278" s="3">
        <v>10</v>
      </c>
      <c r="AX278" s="3">
        <v>9.6999999999999993</v>
      </c>
      <c r="AY278" s="3">
        <v>9.8000000000000007</v>
      </c>
      <c r="AZ278" s="3">
        <v>0</v>
      </c>
      <c r="BA278" s="3">
        <v>0</v>
      </c>
      <c r="BB278" s="3">
        <v>0</v>
      </c>
      <c r="BC278" s="3">
        <v>44.395839812139755</v>
      </c>
      <c r="BD278" s="3">
        <v>18.004160187860244</v>
      </c>
      <c r="BE278" s="3">
        <v>14.304160187860248</v>
      </c>
      <c r="BF278" s="3">
        <v>15.264160187860242</v>
      </c>
      <c r="BG278" s="3">
        <v>9.7908268545269053</v>
      </c>
      <c r="BH278" s="3">
        <v>14.430826854526913</v>
      </c>
      <c r="BI278" s="3">
        <v>5.3441601878602469</v>
      </c>
      <c r="BJ278" s="3">
        <v>10.137493521193576</v>
      </c>
      <c r="BK278" s="3">
        <v>14.010826854526904</v>
      </c>
      <c r="BL278" s="3">
        <v>12.284160187860245</v>
      </c>
      <c r="BM278" s="3">
        <v>11.517493521193579</v>
      </c>
      <c r="BN278" s="3">
        <v>13.200826854526909</v>
      </c>
      <c r="BO278" s="3">
        <v>10.667493521193578</v>
      </c>
      <c r="BP278" s="3">
        <v>11.48416018786024</v>
      </c>
      <c r="BQ278" s="3">
        <v>10.000826854526899</v>
      </c>
      <c r="BR278" s="3">
        <v>7.8274935211935812</v>
      </c>
      <c r="BS278" s="3">
        <v>8.0308268545269073</v>
      </c>
      <c r="BT278" s="3">
        <v>8.7274935211935798</v>
      </c>
      <c r="BU278" s="3">
        <v>8.2941601878602427</v>
      </c>
      <c r="BV278" s="3">
        <v>8.6108268545269127</v>
      </c>
      <c r="BW278" s="3">
        <v>14.244160187860246</v>
      </c>
      <c r="BX278" s="3">
        <v>9.4641601878602444</v>
      </c>
      <c r="BY278" s="3">
        <v>34.084160187860235</v>
      </c>
      <c r="BZ278" s="3">
        <v>42.814160187860253</v>
      </c>
      <c r="CA278" s="3">
        <v>17.314160187860239</v>
      </c>
      <c r="CB278" s="3">
        <v>9.8508268545269075</v>
      </c>
      <c r="CC278" s="3">
        <v>9.9641601878602444</v>
      </c>
      <c r="CD278" s="3">
        <v>8.9708268545269121</v>
      </c>
      <c r="CE278" s="3">
        <v>9.2641601878602415</v>
      </c>
      <c r="CF278" s="3">
        <v>-0.92250647880642589</v>
      </c>
      <c r="CG278" s="3">
        <v>-1.4558398121397573</v>
      </c>
      <c r="CH278" s="3">
        <v>-2.5325064788064253</v>
      </c>
      <c r="CI278" s="13">
        <f>[1]!dbasum(RecData[[#This Row],[20]:[2000]],RecData[[#Headers],[20]:[2000]])</f>
        <v>19.26161583459702</v>
      </c>
      <c r="CJ278" s="14">
        <v>4285</v>
      </c>
      <c r="CK278" s="15" t="s">
        <v>249</v>
      </c>
      <c r="CL278" s="15">
        <f>RecData[[#This Row],[Start Time]]</f>
        <v>43260.947233796302</v>
      </c>
      <c r="CM278" s="16">
        <f>RecData[[#This Row],[Wind Speed avg]]</f>
        <v>0.5</v>
      </c>
      <c r="CN278" s="16">
        <f>RecData[[#This Row],[Wind Dir. avg]]</f>
        <v>168.6</v>
      </c>
      <c r="CO278" s="16">
        <f>RecData[[#This Row],[Amb. Humidity]]</f>
        <v>82.2</v>
      </c>
      <c r="CP278" s="16">
        <f>RecData[[#This Row],[Amb. Temperature]]</f>
        <v>13.3</v>
      </c>
      <c r="CQ278" s="17">
        <f>RecData[[#This Row],[Amb. Rain Gauge]]</f>
        <v>0</v>
      </c>
      <c r="CR278" s="4" t="s">
        <v>50</v>
      </c>
      <c r="CS278" s="4" t="s">
        <v>49</v>
      </c>
      <c r="CT278" s="70">
        <v>-9.9185676570000005</v>
      </c>
      <c r="CU278" s="70">
        <v>258.01998900000001</v>
      </c>
      <c r="CV278" s="70">
        <v>1.1719782350000001</v>
      </c>
      <c r="CW278" s="70">
        <v>0</v>
      </c>
      <c r="CX278" s="4"/>
      <c r="CY278" s="69"/>
      <c r="CZ278" s="2" t="b">
        <f>IF($DP$1="YES",IF(RecData[[#This Row],[Power (kW)]]&gt;=$CR$3, TRUE,FALSE),TRUE)</f>
        <v>0</v>
      </c>
      <c r="DA278" s="16">
        <f>MIN(MOD(180-ABS(ABS($DA$1-RecData[Yaw Angle (°)])-180),360),MOD(180-ABS(ABS($DB$1-RecData[Yaw Angle (°)])-180),360))</f>
        <v>109.50993777768753</v>
      </c>
      <c r="DB278" s="2" t="str">
        <f>IF($DP$2="None","None",IF(RecData[[#This Row],[Relative Wind Direction]]&lt;=45,"DW",IF(RecData[[#This Row],[Relative Wind Direction]]&lt;=135,"CW","UW")))</f>
        <v>CW</v>
      </c>
      <c r="DC278" s="61">
        <v>-1</v>
      </c>
      <c r="DD278" s="61">
        <v>-1</v>
      </c>
      <c r="DE278" s="18" t="b">
        <v>0</v>
      </c>
      <c r="DF278" s="2" t="b">
        <f>IF(OR(RecData[[#This Row],[WSpd_Avg '[m/s']]]-RecData[[#This Row],[Wind Speed min]]&gt;=$DF$3,RecData[[#This Row],[Wind Speed max]]-RecData[[#This Row],[WSpd_Avg '[m/s']]]&gt;=$DF$2),TRUE,FALSE)</f>
        <v>0</v>
      </c>
      <c r="DG278" s="2" t="b">
        <f>RecData[[#This Row],[Temperature '[°C']]]&lt;=-20</f>
        <v>0</v>
      </c>
      <c r="DH278" s="18" t="b">
        <f>NOT(OR(MOD(RecData[[#This Row],[TIMESTAMP]],1)&gt;0.91632,MOD(RecData[[#This Row],[TIMESTAMP]],1)&lt;0.208681))</f>
        <v>0</v>
      </c>
      <c r="DI278" s="18" t="b">
        <f>RecData[[#This Row],[Overall (dBA)]]-RecData[[#This Row],[L90]]&gt;=$DS$4</f>
        <v>0</v>
      </c>
      <c r="DJ278" s="18" t="b">
        <f>RecData[[#This Row],[Overall (dBA)]]&gt;$DS$2</f>
        <v>0</v>
      </c>
      <c r="DK278" s="18" t="b">
        <f>RecData[[#This Row],[Overall (dBA)]]&lt;$DS$3</f>
        <v>0</v>
      </c>
      <c r="DL2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8" s="2">
        <f>IF(AND(RecData[[#This Row],[Turbines ON/OFF]] = "OFF", NOT(OR(RecData[[#This Row],[Junk?]]="YES",RecData[[#This Row],[Gust?]],RecData[[#This Row],[Rain?]:[Min SPL Threshold?]]))),1,0)</f>
        <v>1</v>
      </c>
      <c r="DN278" s="16">
        <f>RecData[[#This Row],[dBA Sum]]</f>
        <v>19.26161583459702</v>
      </c>
      <c r="DO278" s="16">
        <f>RecData[[#This Row],[LAF90.0]]</f>
        <v>42.6</v>
      </c>
      <c r="DP278" s="55" t="str">
        <f>IF(AND(RecData[[#This Row],[Useable TON Data?]],RecData[[#This Row],[Turbines ON/OFF]]="ON"),RecData[[#This Row],[dBA Sum]],"")</f>
        <v/>
      </c>
      <c r="DQ278" s="55">
        <f>IF(AND(RecData[[#This Row],[Useable Background Data?]],RecData[[#This Row],[Turbines ON/OFF]]="OFF"),RecData[[#This Row],[dBA Sum]],"")</f>
        <v>19.26161583459702</v>
      </c>
      <c r="DR278" s="3">
        <f>IF(OR(RecData[[#This Row],[Useable TON Data?]],RecData[[#This Row],[Useable Background Data?]]),ROUND(RecData[[#This Row],[WSpd_Avg '[m/s']]],0),"")</f>
        <v>1</v>
      </c>
      <c r="DS278" s="85">
        <f>(0.00002)^2*(10^(RecData[[#This Row],[Overall (dBA)]]/10))</f>
        <v>3.3745943479608122E-8</v>
      </c>
    </row>
    <row r="279" spans="1:123" ht="15" x14ac:dyDescent="0.25">
      <c r="A279" s="3" t="s">
        <v>249</v>
      </c>
      <c r="B279" s="12">
        <v>43260.947928240748</v>
      </c>
      <c r="C279" s="3"/>
      <c r="D279" s="3">
        <v>43.5</v>
      </c>
      <c r="E279" s="3"/>
      <c r="F279" s="3"/>
      <c r="G279" s="3"/>
      <c r="H279" s="3"/>
      <c r="I279" s="3"/>
      <c r="J279" s="3"/>
      <c r="K279" s="3">
        <v>41.9</v>
      </c>
      <c r="L279" s="3"/>
      <c r="M279" s="3"/>
      <c r="N279" s="3">
        <v>189.5</v>
      </c>
      <c r="O279" s="3"/>
      <c r="P279" s="3"/>
      <c r="Q279" s="3">
        <v>0.41</v>
      </c>
      <c r="R279" s="3">
        <v>0.2</v>
      </c>
      <c r="S279" s="3">
        <v>0.5</v>
      </c>
      <c r="T279" s="3">
        <v>13.3</v>
      </c>
      <c r="U279" s="3">
        <v>82.3</v>
      </c>
      <c r="V279" s="3">
        <v>975.5</v>
      </c>
      <c r="W279" s="3">
        <v>0</v>
      </c>
      <c r="X279" s="3">
        <v>19.399999999999999</v>
      </c>
      <c r="Y279" s="3">
        <v>15.9</v>
      </c>
      <c r="Z279" s="3">
        <v>16.100000000000001</v>
      </c>
      <c r="AA279" s="3">
        <v>12.3</v>
      </c>
      <c r="AB279" s="3">
        <v>15.4</v>
      </c>
      <c r="AC279" s="3">
        <v>6.5</v>
      </c>
      <c r="AD279" s="3">
        <v>10.4</v>
      </c>
      <c r="AE279" s="3">
        <v>14.3</v>
      </c>
      <c r="AF279" s="3">
        <v>13.4</v>
      </c>
      <c r="AG279" s="3">
        <v>14.3</v>
      </c>
      <c r="AH279" s="3">
        <v>13.7</v>
      </c>
      <c r="AI279" s="3">
        <v>11.7</v>
      </c>
      <c r="AJ279" s="3">
        <v>12.3</v>
      </c>
      <c r="AK279" s="3">
        <v>10.3</v>
      </c>
      <c r="AL279" s="3">
        <v>7.9</v>
      </c>
      <c r="AM279" s="3">
        <v>7.7</v>
      </c>
      <c r="AN279" s="3">
        <v>8.4</v>
      </c>
      <c r="AO279" s="3">
        <v>8.1999999999999993</v>
      </c>
      <c r="AP279" s="3">
        <v>8.6999999999999993</v>
      </c>
      <c r="AQ279" s="3">
        <v>13.2</v>
      </c>
      <c r="AR279" s="3">
        <v>9.5</v>
      </c>
      <c r="AS279" s="3">
        <v>33.200000000000003</v>
      </c>
      <c r="AT279" s="3">
        <v>41.7</v>
      </c>
      <c r="AU279" s="3">
        <v>16.100000000000001</v>
      </c>
      <c r="AV279" s="3">
        <v>10.5</v>
      </c>
      <c r="AW279" s="3">
        <v>10.5</v>
      </c>
      <c r="AX279" s="3">
        <v>10</v>
      </c>
      <c r="AY279" s="3">
        <v>10.1</v>
      </c>
      <c r="AZ279" s="3">
        <v>0</v>
      </c>
      <c r="BA279" s="3">
        <v>0</v>
      </c>
      <c r="BB279" s="3">
        <v>0</v>
      </c>
      <c r="BC279" s="3">
        <v>43.512440486766089</v>
      </c>
      <c r="BD279" s="3">
        <v>19.38755951323391</v>
      </c>
      <c r="BE279" s="3">
        <v>15.88755951323391</v>
      </c>
      <c r="BF279" s="3">
        <v>14.847559513233911</v>
      </c>
      <c r="BG279" s="3">
        <v>11.374226179900575</v>
      </c>
      <c r="BH279" s="3">
        <v>14.614226179900577</v>
      </c>
      <c r="BI279" s="3">
        <v>6.127559513233912</v>
      </c>
      <c r="BJ279" s="3">
        <v>10.82089284656724</v>
      </c>
      <c r="BK279" s="3">
        <v>14.594226179900573</v>
      </c>
      <c r="BL279" s="3">
        <v>13.267559513233913</v>
      </c>
      <c r="BM279" s="3">
        <v>14.300892846567244</v>
      </c>
      <c r="BN279" s="3">
        <v>13.984226179900581</v>
      </c>
      <c r="BO279" s="3">
        <v>11.350892846567248</v>
      </c>
      <c r="BP279" s="3">
        <v>11.667559513233911</v>
      </c>
      <c r="BQ279" s="3">
        <v>10.084226179900568</v>
      </c>
      <c r="BR279" s="3">
        <v>8.0108928465672449</v>
      </c>
      <c r="BS279" s="3">
        <v>7.6142261799005766</v>
      </c>
      <c r="BT279" s="3">
        <v>8.5108928465672449</v>
      </c>
      <c r="BU279" s="3">
        <v>8.2775595132339177</v>
      </c>
      <c r="BV279" s="3">
        <v>8.4942261799005792</v>
      </c>
      <c r="BW279" s="3">
        <v>13.527559513233918</v>
      </c>
      <c r="BX279" s="3">
        <v>9.7475595132339166</v>
      </c>
      <c r="BY279" s="3">
        <v>33.267559513233913</v>
      </c>
      <c r="BZ279" s="3">
        <v>41.897559513233908</v>
      </c>
      <c r="CA279" s="3">
        <v>16.397559513233908</v>
      </c>
      <c r="CB279" s="3">
        <v>10.234226179900574</v>
      </c>
      <c r="CC279" s="3">
        <v>10.447559513233912</v>
      </c>
      <c r="CD279" s="3">
        <v>9.2542261799005843</v>
      </c>
      <c r="CE279" s="3">
        <v>9.5475595132339137</v>
      </c>
      <c r="CF279" s="3">
        <v>-0.93910715343275797</v>
      </c>
      <c r="CG279" s="3">
        <v>-1.4724404867660894</v>
      </c>
      <c r="CH279" s="3">
        <v>-2.5491071534327574</v>
      </c>
      <c r="CI279" s="13">
        <f>[1]!dbasum(RecData[[#This Row],[20]:[2000]],RecData[[#Headers],[20]:[2000]])</f>
        <v>19.076629084897696</v>
      </c>
      <c r="CJ279" s="14">
        <v>4286</v>
      </c>
      <c r="CK279" s="15" t="s">
        <v>249</v>
      </c>
      <c r="CL279" s="15">
        <f>RecData[[#This Row],[Start Time]]</f>
        <v>43260.947928240748</v>
      </c>
      <c r="CM279" s="16">
        <f>RecData[[#This Row],[Wind Speed avg]]</f>
        <v>0.41</v>
      </c>
      <c r="CN279" s="16">
        <f>RecData[[#This Row],[Wind Dir. avg]]</f>
        <v>189.5</v>
      </c>
      <c r="CO279" s="16">
        <f>RecData[[#This Row],[Amb. Humidity]]</f>
        <v>82.3</v>
      </c>
      <c r="CP279" s="16">
        <f>RecData[[#This Row],[Amb. Temperature]]</f>
        <v>13.3</v>
      </c>
      <c r="CQ279" s="17">
        <f>RecData[[#This Row],[Amb. Rain Gauge]]</f>
        <v>0</v>
      </c>
      <c r="CR279" s="4" t="s">
        <v>50</v>
      </c>
      <c r="CS279" s="4" t="s">
        <v>49</v>
      </c>
      <c r="CT279" s="70">
        <v>-9.9185676570000005</v>
      </c>
      <c r="CU279" s="70">
        <v>258.01998900000001</v>
      </c>
      <c r="CV279" s="70">
        <v>1.1719782350000001</v>
      </c>
      <c r="CW279" s="70">
        <v>0</v>
      </c>
      <c r="CX279" s="4"/>
      <c r="CY279" s="69"/>
      <c r="CZ279" s="2" t="b">
        <f>IF($DP$1="YES",IF(RecData[[#This Row],[Power (kW)]]&gt;=$CR$3, TRUE,FALSE),TRUE)</f>
        <v>0</v>
      </c>
      <c r="DA279" s="16">
        <f>MIN(MOD(180-ABS(ABS($DA$1-RecData[Yaw Angle (°)])-180),360),MOD(180-ABS(ABS($DB$1-RecData[Yaw Angle (°)])-180),360))</f>
        <v>109.50993777768753</v>
      </c>
      <c r="DB279" s="2" t="str">
        <f>IF($DP$2="None","None",IF(RecData[[#This Row],[Relative Wind Direction]]&lt;=45,"DW",IF(RecData[[#This Row],[Relative Wind Direction]]&lt;=135,"CW","UW")))</f>
        <v>CW</v>
      </c>
      <c r="DC279" s="61">
        <f>IF($CL279-$CL278&gt;1/24,#REF!,IF(SUM($CQ278:$CQ279)&gt;$DS$1,$DS$5,DC280-1))</f>
        <v>-9</v>
      </c>
      <c r="DD279" s="61">
        <f>IF($CL280-$CL279&gt;1/24,#REF!,IF(SUM($CQ278:$CQ279)&gt;$DS$1,$DS$6,DD278-1))</f>
        <v>-2</v>
      </c>
      <c r="DE279" s="18" t="b">
        <v>0</v>
      </c>
      <c r="DF279" s="2" t="b">
        <f>IF(OR(RecData[[#This Row],[WSpd_Avg '[m/s']]]-RecData[[#This Row],[Wind Speed min]]&gt;=$DF$3,RecData[[#This Row],[Wind Speed max]]-RecData[[#This Row],[WSpd_Avg '[m/s']]]&gt;=$DF$2),TRUE,FALSE)</f>
        <v>0</v>
      </c>
      <c r="DG279" s="2" t="b">
        <f>RecData[[#This Row],[Temperature '[°C']]]&lt;=-20</f>
        <v>0</v>
      </c>
      <c r="DH279" s="18" t="b">
        <f>NOT(OR(MOD(RecData[[#This Row],[TIMESTAMP]],1)&gt;0.91632,MOD(RecData[[#This Row],[TIMESTAMP]],1)&lt;0.208681))</f>
        <v>0</v>
      </c>
      <c r="DI279" s="18" t="b">
        <f>RecData[[#This Row],[Overall (dBA)]]-RecData[[#This Row],[L90]]&gt;=$DS$4</f>
        <v>0</v>
      </c>
      <c r="DJ279" s="18" t="b">
        <f>RecData[[#This Row],[Overall (dBA)]]&gt;$DS$2</f>
        <v>0</v>
      </c>
      <c r="DK279" s="18" t="b">
        <f>RecData[[#This Row],[Overall (dBA)]]&lt;$DS$3</f>
        <v>0</v>
      </c>
      <c r="DL2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79" s="2">
        <f>IF(AND(RecData[[#This Row],[Turbines ON/OFF]] = "OFF", NOT(OR(RecData[[#This Row],[Junk?]]="YES",RecData[[#This Row],[Gust?]],RecData[[#This Row],[Rain?]:[Min SPL Threshold?]]))),1,0)</f>
        <v>1</v>
      </c>
      <c r="DN279" s="16">
        <f>RecData[[#This Row],[dBA Sum]]</f>
        <v>19.076629084897696</v>
      </c>
      <c r="DO279" s="16">
        <f>RecData[[#This Row],[LAF90.0]]</f>
        <v>41.9</v>
      </c>
      <c r="DP279" s="55" t="str">
        <f>IF(AND(RecData[[#This Row],[Useable TON Data?]],RecData[[#This Row],[Turbines ON/OFF]]="ON"),RecData[[#This Row],[dBA Sum]],"")</f>
        <v/>
      </c>
      <c r="DQ279" s="55">
        <f>IF(AND(RecData[[#This Row],[Useable Background Data?]],RecData[[#This Row],[Turbines ON/OFF]]="OFF"),RecData[[#This Row],[dBA Sum]],"")</f>
        <v>19.076629084897696</v>
      </c>
      <c r="DR279" s="3">
        <f>IF(OR(RecData[[#This Row],[Useable TON Data?]],RecData[[#This Row],[Useable Background Data?]]),ROUND(RecData[[#This Row],[WSpd_Avg '[m/s']]],0),"")</f>
        <v>0</v>
      </c>
      <c r="DS279" s="85">
        <f>(0.00002)^2*(10^(RecData[[#This Row],[Overall (dBA)]]/10))</f>
        <v>3.2338725490291506E-8</v>
      </c>
    </row>
    <row r="280" spans="1:123" ht="15" x14ac:dyDescent="0.25">
      <c r="A280" s="3" t="s">
        <v>249</v>
      </c>
      <c r="B280" s="12">
        <v>43260.948622685195</v>
      </c>
      <c r="C280" s="3"/>
      <c r="D280" s="3">
        <v>43.3</v>
      </c>
      <c r="E280" s="3"/>
      <c r="F280" s="3"/>
      <c r="G280" s="3"/>
      <c r="H280" s="3"/>
      <c r="I280" s="3"/>
      <c r="J280" s="3"/>
      <c r="K280" s="3">
        <v>41.5</v>
      </c>
      <c r="L280" s="3"/>
      <c r="M280" s="3"/>
      <c r="N280" s="3">
        <v>168.3</v>
      </c>
      <c r="O280" s="3"/>
      <c r="P280" s="3"/>
      <c r="Q280" s="3">
        <v>0.5</v>
      </c>
      <c r="R280" s="3">
        <v>0.4</v>
      </c>
      <c r="S280" s="3">
        <v>0.6</v>
      </c>
      <c r="T280" s="3">
        <v>13.2</v>
      </c>
      <c r="U280" s="3">
        <v>82.6</v>
      </c>
      <c r="V280" s="3">
        <v>975.5</v>
      </c>
      <c r="W280" s="3">
        <v>0</v>
      </c>
      <c r="X280" s="3">
        <v>24.5</v>
      </c>
      <c r="Y280" s="3">
        <v>29.8</v>
      </c>
      <c r="Z280" s="3">
        <v>33.799999999999997</v>
      </c>
      <c r="AA280" s="3">
        <v>30.9</v>
      </c>
      <c r="AB280" s="3">
        <v>19.600000000000001</v>
      </c>
      <c r="AC280" s="3">
        <v>12</v>
      </c>
      <c r="AD280" s="3">
        <v>12.1</v>
      </c>
      <c r="AE280" s="3">
        <v>17</v>
      </c>
      <c r="AF280" s="3">
        <v>15.3</v>
      </c>
      <c r="AG280" s="3">
        <v>14.4</v>
      </c>
      <c r="AH280" s="3">
        <v>16.7</v>
      </c>
      <c r="AI280" s="3">
        <v>14</v>
      </c>
      <c r="AJ280" s="3">
        <v>14.7</v>
      </c>
      <c r="AK280" s="3">
        <v>11</v>
      </c>
      <c r="AL280" s="3">
        <v>8.8000000000000007</v>
      </c>
      <c r="AM280" s="3">
        <v>8.6</v>
      </c>
      <c r="AN280" s="3">
        <v>8.9</v>
      </c>
      <c r="AO280" s="3">
        <v>8.6999999999999993</v>
      </c>
      <c r="AP280" s="3">
        <v>9</v>
      </c>
      <c r="AQ280" s="3">
        <v>12.9</v>
      </c>
      <c r="AR280" s="3">
        <v>9.8000000000000007</v>
      </c>
      <c r="AS280" s="3">
        <v>32.6</v>
      </c>
      <c r="AT280" s="3">
        <v>41.6</v>
      </c>
      <c r="AU280" s="3">
        <v>17.899999999999999</v>
      </c>
      <c r="AV280" s="3">
        <v>10.7</v>
      </c>
      <c r="AW280" s="3">
        <v>11</v>
      </c>
      <c r="AX280" s="3">
        <v>10.199999999999999</v>
      </c>
      <c r="AY280" s="3">
        <v>10.4</v>
      </c>
      <c r="AZ280" s="3">
        <v>0</v>
      </c>
      <c r="BA280" s="3">
        <v>0</v>
      </c>
      <c r="BB280" s="3">
        <v>0</v>
      </c>
      <c r="BC280" s="3">
        <v>43.361906580638099</v>
      </c>
      <c r="BD280" s="3">
        <v>24.438093419361898</v>
      </c>
      <c r="BE280" s="3">
        <v>29.738093419361896</v>
      </c>
      <c r="BF280" s="3">
        <v>32.498093419361886</v>
      </c>
      <c r="BG280" s="3">
        <v>29.924760086028563</v>
      </c>
      <c r="BH280" s="3">
        <v>18.764760086028566</v>
      </c>
      <c r="BI280" s="3">
        <v>11.578093419361899</v>
      </c>
      <c r="BJ280" s="3">
        <v>12.47142675269523</v>
      </c>
      <c r="BK280" s="3">
        <v>17.244760086028556</v>
      </c>
      <c r="BL280" s="3">
        <v>15.118093419361898</v>
      </c>
      <c r="BM280" s="3">
        <v>14.351426752695232</v>
      </c>
      <c r="BN280" s="3">
        <v>16.934760086028568</v>
      </c>
      <c r="BO280" s="3">
        <v>13.601426752695232</v>
      </c>
      <c r="BP280" s="3">
        <v>14.018093419361897</v>
      </c>
      <c r="BQ280" s="3">
        <v>10.734760086028558</v>
      </c>
      <c r="BR280" s="3">
        <v>8.8614267526952304</v>
      </c>
      <c r="BS280" s="3">
        <v>8.4647600860285692</v>
      </c>
      <c r="BT280" s="3">
        <v>8.9614267526952318</v>
      </c>
      <c r="BU280" s="3">
        <v>8.7280934193619046</v>
      </c>
      <c r="BV280" s="3">
        <v>8.7447600860285633</v>
      </c>
      <c r="BW280" s="3">
        <v>13.1780934193619</v>
      </c>
      <c r="BX280" s="3">
        <v>9.9980934193619007</v>
      </c>
      <c r="BY280" s="3">
        <v>32.618093419361891</v>
      </c>
      <c r="BZ280" s="3">
        <v>41.748093419361901</v>
      </c>
      <c r="CA280" s="3">
        <v>18.148093419361892</v>
      </c>
      <c r="CB280" s="3">
        <v>10.384760086028564</v>
      </c>
      <c r="CC280" s="3">
        <v>10.898093419361899</v>
      </c>
      <c r="CD280" s="3">
        <v>9.4047600860285669</v>
      </c>
      <c r="CE280" s="3">
        <v>9.7980934193618978</v>
      </c>
      <c r="CF280" s="3">
        <v>-0.98857324730477103</v>
      </c>
      <c r="CG280" s="3">
        <v>-1.5219065806381025</v>
      </c>
      <c r="CH280" s="3">
        <v>-2.5985732473047705</v>
      </c>
      <c r="CI280" s="13">
        <f>[1]!dbasum(RecData[[#This Row],[20]:[2000]],RecData[[#Headers],[20]:[2000]])</f>
        <v>19.544406858679114</v>
      </c>
      <c r="CJ280" s="14">
        <v>4287</v>
      </c>
      <c r="CK280" s="15" t="s">
        <v>249</v>
      </c>
      <c r="CL280" s="15">
        <f>RecData[[#This Row],[Start Time]]</f>
        <v>43260.948622685195</v>
      </c>
      <c r="CM280" s="16">
        <f>RecData[[#This Row],[Wind Speed avg]]</f>
        <v>0.5</v>
      </c>
      <c r="CN280" s="16">
        <f>RecData[[#This Row],[Wind Dir. avg]]</f>
        <v>168.3</v>
      </c>
      <c r="CO280" s="16">
        <f>RecData[[#This Row],[Amb. Humidity]]</f>
        <v>82.6</v>
      </c>
      <c r="CP280" s="16">
        <f>RecData[[#This Row],[Amb. Temperature]]</f>
        <v>13.2</v>
      </c>
      <c r="CQ280" s="17">
        <f>RecData[[#This Row],[Amb. Rain Gauge]]</f>
        <v>0</v>
      </c>
      <c r="CR280" s="4" t="s">
        <v>50</v>
      </c>
      <c r="CS280" s="4" t="s">
        <v>49</v>
      </c>
      <c r="CT280" s="70">
        <v>-9.9185676570000005</v>
      </c>
      <c r="CU280" s="70">
        <v>258.01998900000001</v>
      </c>
      <c r="CV280" s="70">
        <v>1.1719782350000001</v>
      </c>
      <c r="CW280" s="70">
        <v>0</v>
      </c>
      <c r="CX280" s="4"/>
      <c r="CY280" s="69"/>
      <c r="CZ280" s="2" t="b">
        <f>IF($DP$1="YES",IF(RecData[[#This Row],[Power (kW)]]&gt;=$CR$3, TRUE,FALSE),TRUE)</f>
        <v>0</v>
      </c>
      <c r="DA280" s="16">
        <f>MIN(MOD(180-ABS(ABS($DA$1-RecData[Yaw Angle (°)])-180),360),MOD(180-ABS(ABS($DB$1-RecData[Yaw Angle (°)])-180),360))</f>
        <v>109.50993777768753</v>
      </c>
      <c r="DB280" s="2" t="str">
        <f>IF($DP$2="None","None",IF(RecData[[#This Row],[Relative Wind Direction]]&lt;=45,"DW",IF(RecData[[#This Row],[Relative Wind Direction]]&lt;=135,"CW","UW")))</f>
        <v>CW</v>
      </c>
      <c r="DC280" s="61">
        <f>IF($CL280-$CL278&gt;1/24,#REF!,IF(SUM($CQ278:$CQ280)&gt;$DS$1,$DS$5,DC281-1))</f>
        <v>-8</v>
      </c>
      <c r="DD280" s="61">
        <f>IF($CL281-$CL280&gt;1/24,#REF!,IF(SUM($CQ278:$CQ280)&gt;$DS$1,$DS$6,DD279-1))</f>
        <v>-3</v>
      </c>
      <c r="DE280" s="18" t="b">
        <v>0</v>
      </c>
      <c r="DF280" s="2" t="b">
        <f>IF(OR(RecData[[#This Row],[WSpd_Avg '[m/s']]]-RecData[[#This Row],[Wind Speed min]]&gt;=$DF$3,RecData[[#This Row],[Wind Speed max]]-RecData[[#This Row],[WSpd_Avg '[m/s']]]&gt;=$DF$2),TRUE,FALSE)</f>
        <v>0</v>
      </c>
      <c r="DG280" s="2" t="b">
        <f>RecData[[#This Row],[Temperature '[°C']]]&lt;=-20</f>
        <v>0</v>
      </c>
      <c r="DH280" s="18" t="b">
        <f>NOT(OR(MOD(RecData[[#This Row],[TIMESTAMP]],1)&gt;0.91632,MOD(RecData[[#This Row],[TIMESTAMP]],1)&lt;0.208681))</f>
        <v>0</v>
      </c>
      <c r="DI280" s="18" t="b">
        <f>RecData[[#This Row],[Overall (dBA)]]-RecData[[#This Row],[L90]]&gt;=$DS$4</f>
        <v>0</v>
      </c>
      <c r="DJ280" s="18" t="b">
        <f>RecData[[#This Row],[Overall (dBA)]]&gt;$DS$2</f>
        <v>0</v>
      </c>
      <c r="DK280" s="18" t="b">
        <f>RecData[[#This Row],[Overall (dBA)]]&lt;$DS$3</f>
        <v>0</v>
      </c>
      <c r="DL2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0" s="2">
        <f>IF(AND(RecData[[#This Row],[Turbines ON/OFF]] = "OFF", NOT(OR(RecData[[#This Row],[Junk?]]="YES",RecData[[#This Row],[Gust?]],RecData[[#This Row],[Rain?]:[Min SPL Threshold?]]))),1,0)</f>
        <v>1</v>
      </c>
      <c r="DN280" s="16">
        <f>RecData[[#This Row],[dBA Sum]]</f>
        <v>19.544406858679114</v>
      </c>
      <c r="DO280" s="16">
        <f>RecData[[#This Row],[LAF90.0]]</f>
        <v>41.5</v>
      </c>
      <c r="DP280" s="55" t="str">
        <f>IF(AND(RecData[[#This Row],[Useable TON Data?]],RecData[[#This Row],[Turbines ON/OFF]]="ON"),RecData[[#This Row],[dBA Sum]],"")</f>
        <v/>
      </c>
      <c r="DQ280" s="55">
        <f>IF(AND(RecData[[#This Row],[Useable Background Data?]],RecData[[#This Row],[Turbines ON/OFF]]="OFF"),RecData[[#This Row],[dBA Sum]],"")</f>
        <v>19.544406858679114</v>
      </c>
      <c r="DR280" s="3">
        <f>IF(OR(RecData[[#This Row],[Useable TON Data?]],RecData[[#This Row],[Useable Background Data?]]),ROUND(RecData[[#This Row],[WSpd_Avg '[m/s']]],0),"")</f>
        <v>1</v>
      </c>
      <c r="DS280" s="85">
        <f>(0.00002)^2*(10^(RecData[[#This Row],[Overall (dBA)]]/10))</f>
        <v>3.6016431199890635E-8</v>
      </c>
    </row>
    <row r="281" spans="1:123" ht="15" x14ac:dyDescent="0.25">
      <c r="A281" s="3" t="s">
        <v>249</v>
      </c>
      <c r="B281" s="12">
        <v>43260.949317129634</v>
      </c>
      <c r="C281" s="3"/>
      <c r="D281" s="3">
        <v>42.9</v>
      </c>
      <c r="E281" s="3"/>
      <c r="F281" s="3"/>
      <c r="G281" s="3"/>
      <c r="H281" s="3"/>
      <c r="I281" s="3"/>
      <c r="J281" s="3"/>
      <c r="K281" s="3">
        <v>41.2</v>
      </c>
      <c r="L281" s="3"/>
      <c r="M281" s="3"/>
      <c r="N281" s="3">
        <v>148.69999999999999</v>
      </c>
      <c r="O281" s="3"/>
      <c r="P281" s="3"/>
      <c r="Q281" s="3">
        <v>0.45</v>
      </c>
      <c r="R281" s="3">
        <v>0.4</v>
      </c>
      <c r="S281" s="3">
        <v>0.6</v>
      </c>
      <c r="T281" s="3">
        <v>13.2</v>
      </c>
      <c r="U281" s="3">
        <v>82.7</v>
      </c>
      <c r="V281" s="3">
        <v>975.6</v>
      </c>
      <c r="W281" s="3">
        <v>0</v>
      </c>
      <c r="X281" s="3">
        <v>17.3</v>
      </c>
      <c r="Y281" s="3">
        <v>15</v>
      </c>
      <c r="Z281" s="3">
        <v>16.7</v>
      </c>
      <c r="AA281" s="3">
        <v>13.7</v>
      </c>
      <c r="AB281" s="3">
        <v>15.4</v>
      </c>
      <c r="AC281" s="3">
        <v>7.8</v>
      </c>
      <c r="AD281" s="3">
        <v>11.4</v>
      </c>
      <c r="AE281" s="3">
        <v>14.7</v>
      </c>
      <c r="AF281" s="3">
        <v>13.5</v>
      </c>
      <c r="AG281" s="3">
        <v>16.600000000000001</v>
      </c>
      <c r="AH281" s="3">
        <v>18.2</v>
      </c>
      <c r="AI281" s="3">
        <v>15</v>
      </c>
      <c r="AJ281" s="3">
        <v>14.2</v>
      </c>
      <c r="AK281" s="3">
        <v>14.8</v>
      </c>
      <c r="AL281" s="3">
        <v>10</v>
      </c>
      <c r="AM281" s="3">
        <v>17.899999999999999</v>
      </c>
      <c r="AN281" s="3">
        <v>14.9</v>
      </c>
      <c r="AO281" s="3">
        <v>17.399999999999999</v>
      </c>
      <c r="AP281" s="3">
        <v>11.2</v>
      </c>
      <c r="AQ281" s="3">
        <v>12.9</v>
      </c>
      <c r="AR281" s="3">
        <v>8.9</v>
      </c>
      <c r="AS281" s="3">
        <v>32.299999999999997</v>
      </c>
      <c r="AT281" s="3">
        <v>41</v>
      </c>
      <c r="AU281" s="3">
        <v>17.600000000000001</v>
      </c>
      <c r="AV281" s="3">
        <v>9.8000000000000007</v>
      </c>
      <c r="AW281" s="3">
        <v>10</v>
      </c>
      <c r="AX281" s="3">
        <v>9.6999999999999993</v>
      </c>
      <c r="AY281" s="3">
        <v>9.9</v>
      </c>
      <c r="AZ281" s="3">
        <v>0</v>
      </c>
      <c r="BA281" s="3">
        <v>0</v>
      </c>
      <c r="BB281" s="3">
        <v>0</v>
      </c>
      <c r="BC281" s="3">
        <v>42.825902261746187</v>
      </c>
      <c r="BD281" s="3">
        <v>17.374097738253816</v>
      </c>
      <c r="BE281" s="3">
        <v>15.074097738253812</v>
      </c>
      <c r="BF281" s="3">
        <v>15.534097738253813</v>
      </c>
      <c r="BG281" s="3">
        <v>12.860764404920474</v>
      </c>
      <c r="BH281" s="3">
        <v>14.700764404920484</v>
      </c>
      <c r="BI281" s="3">
        <v>7.5140977382538097</v>
      </c>
      <c r="BJ281" s="3">
        <v>11.907431071587148</v>
      </c>
      <c r="BK281" s="3">
        <v>15.080764404920473</v>
      </c>
      <c r="BL281" s="3">
        <v>13.454097738253814</v>
      </c>
      <c r="BM281" s="3">
        <v>16.687431071587149</v>
      </c>
      <c r="BN281" s="3">
        <v>18.570764404920475</v>
      </c>
      <c r="BO281" s="3">
        <v>14.737431071587146</v>
      </c>
      <c r="BP281" s="3">
        <v>13.65409773825381</v>
      </c>
      <c r="BQ281" s="3">
        <v>14.670764404920469</v>
      </c>
      <c r="BR281" s="3">
        <v>10.197431071587147</v>
      </c>
      <c r="BS281" s="3">
        <v>17.900764404920473</v>
      </c>
      <c r="BT281" s="3">
        <v>15.097431071587145</v>
      </c>
      <c r="BU281" s="3">
        <v>17.564097738253814</v>
      </c>
      <c r="BV281" s="3">
        <v>11.08076440492048</v>
      </c>
      <c r="BW281" s="3">
        <v>13.314097738253814</v>
      </c>
      <c r="BX281" s="3">
        <v>9.2340977382538156</v>
      </c>
      <c r="BY281" s="3">
        <v>32.454097738253814</v>
      </c>
      <c r="BZ281" s="3">
        <v>41.284097738253813</v>
      </c>
      <c r="CA281" s="3">
        <v>17.984097738253801</v>
      </c>
      <c r="CB281" s="3">
        <v>9.6207644049204788</v>
      </c>
      <c r="CC281" s="3">
        <v>10.034097738253813</v>
      </c>
      <c r="CD281" s="3">
        <v>9.0407644049204805</v>
      </c>
      <c r="CE281" s="3">
        <v>9.4340977382538114</v>
      </c>
      <c r="CF281" s="3">
        <v>-0.85256892841285747</v>
      </c>
      <c r="CG281" s="3">
        <v>-1.3859022617461889</v>
      </c>
      <c r="CH281" s="3">
        <v>-2.4625689284128569</v>
      </c>
      <c r="CI281" s="13">
        <f>[1]!dbasum(RecData[[#This Row],[20]:[2000]],RecData[[#Headers],[20]:[2000]])</f>
        <v>23.205158966149895</v>
      </c>
      <c r="CJ281" s="14">
        <v>4288</v>
      </c>
      <c r="CK281" s="15" t="s">
        <v>249</v>
      </c>
      <c r="CL281" s="15">
        <f>RecData[[#This Row],[Start Time]]</f>
        <v>43260.949317129634</v>
      </c>
      <c r="CM281" s="16">
        <f>RecData[[#This Row],[Wind Speed avg]]</f>
        <v>0.45</v>
      </c>
      <c r="CN281" s="16">
        <f>RecData[[#This Row],[Wind Dir. avg]]</f>
        <v>148.69999999999999</v>
      </c>
      <c r="CO281" s="16">
        <f>RecData[[#This Row],[Amb. Humidity]]</f>
        <v>82.7</v>
      </c>
      <c r="CP281" s="16">
        <f>RecData[[#This Row],[Amb. Temperature]]</f>
        <v>13.2</v>
      </c>
      <c r="CQ281" s="17">
        <f>RecData[[#This Row],[Amb. Rain Gauge]]</f>
        <v>0</v>
      </c>
      <c r="CR281" s="4" t="s">
        <v>50</v>
      </c>
      <c r="CS281" s="4" t="s">
        <v>49</v>
      </c>
      <c r="CT281" s="70">
        <v>-9.9185676570000005</v>
      </c>
      <c r="CU281" s="70">
        <v>258.01998900000001</v>
      </c>
      <c r="CV281" s="70">
        <v>1.1719782350000001</v>
      </c>
      <c r="CW281" s="70">
        <v>0</v>
      </c>
      <c r="CX281" s="4"/>
      <c r="CY281" s="69"/>
      <c r="CZ281" s="2" t="b">
        <f>IF($DP$1="YES",IF(RecData[[#This Row],[Power (kW)]]&gt;=$CR$3, TRUE,FALSE),TRUE)</f>
        <v>0</v>
      </c>
      <c r="DA281" s="16">
        <f>MIN(MOD(180-ABS(ABS($DA$1-RecData[Yaw Angle (°)])-180),360),MOD(180-ABS(ABS($DB$1-RecData[Yaw Angle (°)])-180),360))</f>
        <v>109.50993777768753</v>
      </c>
      <c r="DB281" s="2" t="str">
        <f>IF($DP$2="None","None",IF(RecData[[#This Row],[Relative Wind Direction]]&lt;=45,"DW",IF(RecData[[#This Row],[Relative Wind Direction]]&lt;=135,"CW","UW")))</f>
        <v>CW</v>
      </c>
      <c r="DC281" s="61">
        <f>IF($CL281-$CL278&gt;1/24,#REF!,IF(SUM($CQ278:$CQ281)&gt;$DS$1,$DS$5,DC282-1))</f>
        <v>-7</v>
      </c>
      <c r="DD281" s="61">
        <f>IF($CL282-$CL281&gt;1/24,#REF!,IF(SUM($CQ278:$CQ281)&gt;$DS$1,$DS$6,DD280-1))</f>
        <v>-4</v>
      </c>
      <c r="DE281" s="18" t="b">
        <v>0</v>
      </c>
      <c r="DF281" s="2" t="b">
        <f>IF(OR(RecData[[#This Row],[WSpd_Avg '[m/s']]]-RecData[[#This Row],[Wind Speed min]]&gt;=$DF$3,RecData[[#This Row],[Wind Speed max]]-RecData[[#This Row],[WSpd_Avg '[m/s']]]&gt;=$DF$2),TRUE,FALSE)</f>
        <v>0</v>
      </c>
      <c r="DG281" s="2" t="b">
        <f>RecData[[#This Row],[Temperature '[°C']]]&lt;=-20</f>
        <v>0</v>
      </c>
      <c r="DH281" s="18" t="b">
        <f>NOT(OR(MOD(RecData[[#This Row],[TIMESTAMP]],1)&gt;0.91632,MOD(RecData[[#This Row],[TIMESTAMP]],1)&lt;0.208681))</f>
        <v>0</v>
      </c>
      <c r="DI281" s="18" t="b">
        <f>RecData[[#This Row],[Overall (dBA)]]-RecData[[#This Row],[L90]]&gt;=$DS$4</f>
        <v>0</v>
      </c>
      <c r="DJ281" s="18" t="b">
        <f>RecData[[#This Row],[Overall (dBA)]]&gt;$DS$2</f>
        <v>0</v>
      </c>
      <c r="DK281" s="18" t="b">
        <f>RecData[[#This Row],[Overall (dBA)]]&lt;$DS$3</f>
        <v>0</v>
      </c>
      <c r="DL2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1" s="2">
        <f>IF(AND(RecData[[#This Row],[Turbines ON/OFF]] = "OFF", NOT(OR(RecData[[#This Row],[Junk?]]="YES",RecData[[#This Row],[Gust?]],RecData[[#This Row],[Rain?]:[Min SPL Threshold?]]))),1,0)</f>
        <v>1</v>
      </c>
      <c r="DN281" s="16">
        <f>RecData[[#This Row],[dBA Sum]]</f>
        <v>23.205158966149895</v>
      </c>
      <c r="DO281" s="16">
        <f>RecData[[#This Row],[LAF90.0]]</f>
        <v>41.2</v>
      </c>
      <c r="DP281" s="55" t="str">
        <f>IF(AND(RecData[[#This Row],[Useable TON Data?]],RecData[[#This Row],[Turbines ON/OFF]]="ON"),RecData[[#This Row],[dBA Sum]],"")</f>
        <v/>
      </c>
      <c r="DQ281" s="55">
        <f>IF(AND(RecData[[#This Row],[Useable Background Data?]],RecData[[#This Row],[Turbines ON/OFF]]="OFF"),RecData[[#This Row],[dBA Sum]],"")</f>
        <v>23.205158966149895</v>
      </c>
      <c r="DR281" s="3">
        <f>IF(OR(RecData[[#This Row],[Useable TON Data?]],RecData[[#This Row],[Useable Background Data?]]),ROUND(RecData[[#This Row],[WSpd_Avg '[m/s']]],0),"")</f>
        <v>0</v>
      </c>
      <c r="DS281" s="85">
        <f>(0.00002)^2*(10^(RecData[[#This Row],[Overall (dBA)]]/10))</f>
        <v>8.3671178870053191E-8</v>
      </c>
    </row>
    <row r="282" spans="1:123" ht="15" x14ac:dyDescent="0.25">
      <c r="A282" s="3" t="s">
        <v>249</v>
      </c>
      <c r="B282" s="12">
        <v>43260.950011574081</v>
      </c>
      <c r="C282" s="3"/>
      <c r="D282" s="3">
        <v>43.6</v>
      </c>
      <c r="E282" s="3"/>
      <c r="F282" s="3"/>
      <c r="G282" s="3"/>
      <c r="H282" s="3"/>
      <c r="I282" s="3"/>
      <c r="J282" s="3"/>
      <c r="K282" s="3">
        <v>41.6</v>
      </c>
      <c r="L282" s="3"/>
      <c r="M282" s="3"/>
      <c r="N282" s="3">
        <v>147.30000000000001</v>
      </c>
      <c r="O282" s="3"/>
      <c r="P282" s="3"/>
      <c r="Q282" s="3">
        <v>0.43</v>
      </c>
      <c r="R282" s="3">
        <v>0.3</v>
      </c>
      <c r="S282" s="3">
        <v>0.5</v>
      </c>
      <c r="T282" s="3">
        <v>13.2</v>
      </c>
      <c r="U282" s="3">
        <v>82.9</v>
      </c>
      <c r="V282" s="3">
        <v>975.6</v>
      </c>
      <c r="W282" s="3">
        <v>0</v>
      </c>
      <c r="X282" s="3">
        <v>19.100000000000001</v>
      </c>
      <c r="Y282" s="3">
        <v>15.8</v>
      </c>
      <c r="Z282" s="3">
        <v>16</v>
      </c>
      <c r="AA282" s="3">
        <v>12.3</v>
      </c>
      <c r="AB282" s="3">
        <v>14.9</v>
      </c>
      <c r="AC282" s="3">
        <v>6.6</v>
      </c>
      <c r="AD282" s="3">
        <v>9.6999999999999993</v>
      </c>
      <c r="AE282" s="3">
        <v>13.6</v>
      </c>
      <c r="AF282" s="3">
        <v>13.7</v>
      </c>
      <c r="AG282" s="3">
        <v>12.8</v>
      </c>
      <c r="AH282" s="3">
        <v>14.7</v>
      </c>
      <c r="AI282" s="3">
        <v>12.7</v>
      </c>
      <c r="AJ282" s="3">
        <v>12.5</v>
      </c>
      <c r="AK282" s="3">
        <v>11.1</v>
      </c>
      <c r="AL282" s="3">
        <v>8.5</v>
      </c>
      <c r="AM282" s="3">
        <v>11.9</v>
      </c>
      <c r="AN282" s="3">
        <v>10.6</v>
      </c>
      <c r="AO282" s="3">
        <v>12</v>
      </c>
      <c r="AP282" s="3">
        <v>9</v>
      </c>
      <c r="AQ282" s="3">
        <v>12.5</v>
      </c>
      <c r="AR282" s="3">
        <v>9.1999999999999993</v>
      </c>
      <c r="AS282" s="3">
        <v>33.4</v>
      </c>
      <c r="AT282" s="3">
        <v>41.7</v>
      </c>
      <c r="AU282" s="3">
        <v>19</v>
      </c>
      <c r="AV282" s="3">
        <v>10.1</v>
      </c>
      <c r="AW282" s="3">
        <v>10.199999999999999</v>
      </c>
      <c r="AX282" s="3">
        <v>9.8000000000000007</v>
      </c>
      <c r="AY282" s="3">
        <v>10</v>
      </c>
      <c r="AZ282" s="3">
        <v>0</v>
      </c>
      <c r="BA282" s="3">
        <v>0</v>
      </c>
      <c r="BB282" s="3">
        <v>0</v>
      </c>
      <c r="BC282" s="3">
        <v>43.549965815116224</v>
      </c>
      <c r="BD282" s="3">
        <v>19.150034184883779</v>
      </c>
      <c r="BE282" s="3">
        <v>15.850034184883782</v>
      </c>
      <c r="BF282" s="3">
        <v>14.810034184883776</v>
      </c>
      <c r="BG282" s="3">
        <v>11.436700851550441</v>
      </c>
      <c r="BH282" s="3">
        <v>14.17670085155045</v>
      </c>
      <c r="BI282" s="3">
        <v>6.2900341848837797</v>
      </c>
      <c r="BJ282" s="3">
        <v>10.183367518217111</v>
      </c>
      <c r="BK282" s="3">
        <v>13.956700851550437</v>
      </c>
      <c r="BL282" s="3">
        <v>13.630034184883776</v>
      </c>
      <c r="BM282" s="3">
        <v>12.863367518217117</v>
      </c>
      <c r="BN282" s="3">
        <v>15.04670085155044</v>
      </c>
      <c r="BO282" s="3">
        <v>12.413367518217115</v>
      </c>
      <c r="BP282" s="3">
        <v>11.93003418488378</v>
      </c>
      <c r="BQ282" s="3">
        <v>10.946700851550432</v>
      </c>
      <c r="BR282" s="3">
        <v>8.6733675182171126</v>
      </c>
      <c r="BS282" s="3">
        <v>11.876700851550446</v>
      </c>
      <c r="BT282" s="3">
        <v>10.773367518217114</v>
      </c>
      <c r="BU282" s="3">
        <v>12.140034184883781</v>
      </c>
      <c r="BV282" s="3">
        <v>8.8567008515504426</v>
      </c>
      <c r="BW282" s="3">
        <v>12.890034184883781</v>
      </c>
      <c r="BX282" s="3">
        <v>9.5100341848837786</v>
      </c>
      <c r="BY282" s="3">
        <v>33.530034184883775</v>
      </c>
      <c r="BZ282" s="3">
        <v>41.960034184883781</v>
      </c>
      <c r="CA282" s="3">
        <v>19.360034184883773</v>
      </c>
      <c r="CB282" s="3">
        <v>9.8967008515504418</v>
      </c>
      <c r="CC282" s="3">
        <v>10.210034184883774</v>
      </c>
      <c r="CD282" s="3">
        <v>9.1167008515504477</v>
      </c>
      <c r="CE282" s="3">
        <v>9.5100341848837786</v>
      </c>
      <c r="CF282" s="3">
        <v>-0.87663248178289166</v>
      </c>
      <c r="CG282" s="3">
        <v>-1.4099658151162231</v>
      </c>
      <c r="CH282" s="3">
        <v>-2.4866324817828911</v>
      </c>
      <c r="CI282" s="13">
        <f>[1]!dbasum(RecData[[#This Row],[20]:[2000]],RecData[[#Headers],[20]:[2000]])</f>
        <v>19.958100878177611</v>
      </c>
      <c r="CJ282" s="14">
        <v>4289</v>
      </c>
      <c r="CK282" s="15" t="s">
        <v>249</v>
      </c>
      <c r="CL282" s="15">
        <f>RecData[[#This Row],[Start Time]]</f>
        <v>43260.950011574081</v>
      </c>
      <c r="CM282" s="16">
        <f>RecData[[#This Row],[Wind Speed avg]]</f>
        <v>0.43</v>
      </c>
      <c r="CN282" s="16">
        <f>RecData[[#This Row],[Wind Dir. avg]]</f>
        <v>147.30000000000001</v>
      </c>
      <c r="CO282" s="16">
        <f>RecData[[#This Row],[Amb. Humidity]]</f>
        <v>82.9</v>
      </c>
      <c r="CP282" s="16">
        <f>RecData[[#This Row],[Amb. Temperature]]</f>
        <v>13.2</v>
      </c>
      <c r="CQ282" s="17">
        <f>RecData[[#This Row],[Amb. Rain Gauge]]</f>
        <v>0</v>
      </c>
      <c r="CR282" s="4" t="s">
        <v>50</v>
      </c>
      <c r="CS282" s="4" t="s">
        <v>49</v>
      </c>
      <c r="CT282" s="70">
        <v>-9.9185676570000005</v>
      </c>
      <c r="CU282" s="70">
        <v>258.01998900000001</v>
      </c>
      <c r="CV282" s="70">
        <v>1.1719782350000001</v>
      </c>
      <c r="CW282" s="70">
        <v>0</v>
      </c>
      <c r="CX282" s="4"/>
      <c r="CY282" s="69"/>
      <c r="CZ282" s="2" t="b">
        <f>IF($DP$1="YES",IF(RecData[[#This Row],[Power (kW)]]&gt;=$CR$3, TRUE,FALSE),TRUE)</f>
        <v>0</v>
      </c>
      <c r="DA282" s="16">
        <f>MIN(MOD(180-ABS(ABS($DA$1-RecData[Yaw Angle (°)])-180),360),MOD(180-ABS(ABS($DB$1-RecData[Yaw Angle (°)])-180),360))</f>
        <v>109.50993777768753</v>
      </c>
      <c r="DB282" s="2" t="str">
        <f>IF($DP$2="None","None",IF(RecData[[#This Row],[Relative Wind Direction]]&lt;=45,"DW",IF(RecData[[#This Row],[Relative Wind Direction]]&lt;=135,"CW","UW")))</f>
        <v>CW</v>
      </c>
      <c r="DC282" s="61">
        <f>IF($CL282-$CL278&gt;1/24,#REF!,IF(SUM($CQ278:$CQ282)&gt;$DS$1,$DS$5,DC283-1))</f>
        <v>-6</v>
      </c>
      <c r="DD282" s="61">
        <f>IF($CL283-$CL282&gt;1/24,#REF!,IF(SUM($CQ278:$CQ282)&gt;$DS$1,$DS$6,DD281-1))</f>
        <v>-5</v>
      </c>
      <c r="DE282" s="18" t="b">
        <v>0</v>
      </c>
      <c r="DF282" s="2" t="b">
        <f>IF(OR(RecData[[#This Row],[WSpd_Avg '[m/s']]]-RecData[[#This Row],[Wind Speed min]]&gt;=$DF$3,RecData[[#This Row],[Wind Speed max]]-RecData[[#This Row],[WSpd_Avg '[m/s']]]&gt;=$DF$2),TRUE,FALSE)</f>
        <v>0</v>
      </c>
      <c r="DG282" s="2" t="b">
        <f>RecData[[#This Row],[Temperature '[°C']]]&lt;=-20</f>
        <v>0</v>
      </c>
      <c r="DH282" s="18" t="b">
        <f>NOT(OR(MOD(RecData[[#This Row],[TIMESTAMP]],1)&gt;0.91632,MOD(RecData[[#This Row],[TIMESTAMP]],1)&lt;0.208681))</f>
        <v>0</v>
      </c>
      <c r="DI282" s="18" t="b">
        <f>RecData[[#This Row],[Overall (dBA)]]-RecData[[#This Row],[L90]]&gt;=$DS$4</f>
        <v>0</v>
      </c>
      <c r="DJ282" s="18" t="b">
        <f>RecData[[#This Row],[Overall (dBA)]]&gt;$DS$2</f>
        <v>0</v>
      </c>
      <c r="DK282" s="18" t="b">
        <f>RecData[[#This Row],[Overall (dBA)]]&lt;$DS$3</f>
        <v>0</v>
      </c>
      <c r="DL2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2" s="2">
        <f>IF(AND(RecData[[#This Row],[Turbines ON/OFF]] = "OFF", NOT(OR(RecData[[#This Row],[Junk?]]="YES",RecData[[#This Row],[Gust?]],RecData[[#This Row],[Rain?]:[Min SPL Threshold?]]))),1,0)</f>
        <v>1</v>
      </c>
      <c r="DN282" s="16">
        <f>RecData[[#This Row],[dBA Sum]]</f>
        <v>19.958100878177611</v>
      </c>
      <c r="DO282" s="16">
        <f>RecData[[#This Row],[LAF90.0]]</f>
        <v>41.6</v>
      </c>
      <c r="DP282" s="55" t="str">
        <f>IF(AND(RecData[[#This Row],[Useable TON Data?]],RecData[[#This Row],[Turbines ON/OFF]]="ON"),RecData[[#This Row],[dBA Sum]],"")</f>
        <v/>
      </c>
      <c r="DQ282" s="55">
        <f>IF(AND(RecData[[#This Row],[Useable Background Data?]],RecData[[#This Row],[Turbines ON/OFF]]="OFF"),RecData[[#This Row],[dBA Sum]],"")</f>
        <v>19.958100878177611</v>
      </c>
      <c r="DR282" s="3">
        <f>IF(OR(RecData[[#This Row],[Useable TON Data?]],RecData[[#This Row],[Useable Background Data?]]),ROUND(RecData[[#This Row],[WSpd_Avg '[m/s']]],0),"")</f>
        <v>0</v>
      </c>
      <c r="DS282" s="85">
        <f>(0.00002)^2*(10^(RecData[[#This Row],[Overall (dBA)]]/10))</f>
        <v>3.9615950389707729E-8</v>
      </c>
    </row>
    <row r="283" spans="1:123" ht="15" x14ac:dyDescent="0.25">
      <c r="A283" s="3" t="s">
        <v>249</v>
      </c>
      <c r="B283" s="12">
        <v>43260.950706018528</v>
      </c>
      <c r="C283" s="3"/>
      <c r="D283" s="3">
        <v>43.5</v>
      </c>
      <c r="E283" s="3"/>
      <c r="F283" s="3"/>
      <c r="G283" s="3"/>
      <c r="H283" s="3"/>
      <c r="I283" s="3"/>
      <c r="J283" s="3"/>
      <c r="K283" s="3">
        <v>41.8</v>
      </c>
      <c r="L283" s="3"/>
      <c r="M283" s="3"/>
      <c r="N283" s="3">
        <v>148</v>
      </c>
      <c r="O283" s="3"/>
      <c r="P283" s="3"/>
      <c r="Q283" s="3">
        <v>0.43</v>
      </c>
      <c r="R283" s="3">
        <v>0.3</v>
      </c>
      <c r="S283" s="3">
        <v>0.5</v>
      </c>
      <c r="T283" s="3">
        <v>13.1</v>
      </c>
      <c r="U283" s="3">
        <v>83</v>
      </c>
      <c r="V283" s="3">
        <v>975.6</v>
      </c>
      <c r="W283" s="3">
        <v>0</v>
      </c>
      <c r="X283" s="3">
        <v>21.2</v>
      </c>
      <c r="Y283" s="3">
        <v>15.9</v>
      </c>
      <c r="Z283" s="3">
        <v>16.100000000000001</v>
      </c>
      <c r="AA283" s="3">
        <v>10.8</v>
      </c>
      <c r="AB283" s="3">
        <v>14.8</v>
      </c>
      <c r="AC283" s="3">
        <v>5.9</v>
      </c>
      <c r="AD283" s="3">
        <v>7.1</v>
      </c>
      <c r="AE283" s="3">
        <v>13</v>
      </c>
      <c r="AF283" s="3">
        <v>12.8</v>
      </c>
      <c r="AG283" s="3">
        <v>10.6</v>
      </c>
      <c r="AH283" s="3">
        <v>11.5</v>
      </c>
      <c r="AI283" s="3">
        <v>10.8</v>
      </c>
      <c r="AJ283" s="3">
        <v>11.4</v>
      </c>
      <c r="AK283" s="3">
        <v>9.3000000000000007</v>
      </c>
      <c r="AL283" s="3">
        <v>7.3</v>
      </c>
      <c r="AM283" s="3">
        <v>7.5</v>
      </c>
      <c r="AN283" s="3">
        <v>8.1999999999999993</v>
      </c>
      <c r="AO283" s="3">
        <v>7.9</v>
      </c>
      <c r="AP283" s="3">
        <v>8.6</v>
      </c>
      <c r="AQ283" s="3">
        <v>13.5</v>
      </c>
      <c r="AR283" s="3">
        <v>9.3000000000000007</v>
      </c>
      <c r="AS283" s="3">
        <v>32.6</v>
      </c>
      <c r="AT283" s="3">
        <v>41.7</v>
      </c>
      <c r="AU283" s="3">
        <v>20.399999999999999</v>
      </c>
      <c r="AV283" s="3">
        <v>10.3</v>
      </c>
      <c r="AW283" s="3">
        <v>10.199999999999999</v>
      </c>
      <c r="AX283" s="3">
        <v>9.8000000000000007</v>
      </c>
      <c r="AY283" s="3">
        <v>9.9</v>
      </c>
      <c r="AZ283" s="3">
        <v>0</v>
      </c>
      <c r="BA283" s="3">
        <v>0</v>
      </c>
      <c r="BB283" s="3">
        <v>0</v>
      </c>
      <c r="BC283" s="3">
        <v>43.457851322332822</v>
      </c>
      <c r="BD283" s="3">
        <v>21.242148677667181</v>
      </c>
      <c r="BE283" s="3">
        <v>15.942148677667177</v>
      </c>
      <c r="BF283" s="3">
        <v>14.902148677667178</v>
      </c>
      <c r="BG283" s="3">
        <v>9.9288153443338416</v>
      </c>
      <c r="BH283" s="3">
        <v>14.068815344333849</v>
      </c>
      <c r="BI283" s="3">
        <v>5.5821486776671776</v>
      </c>
      <c r="BJ283" s="3">
        <v>7.5754820110005099</v>
      </c>
      <c r="BK283" s="3">
        <v>13.348815344333843</v>
      </c>
      <c r="BL283" s="3">
        <v>12.722148677667178</v>
      </c>
      <c r="BM283" s="3">
        <v>10.655482011000515</v>
      </c>
      <c r="BN283" s="3">
        <v>11.838815344333845</v>
      </c>
      <c r="BO283" s="3">
        <v>10.505482011000517</v>
      </c>
      <c r="BP283" s="3">
        <v>10.82214867766718</v>
      </c>
      <c r="BQ283" s="3">
        <v>9.1388153443338354</v>
      </c>
      <c r="BR283" s="3">
        <v>7.4654820110005105</v>
      </c>
      <c r="BS283" s="3">
        <v>7.4688153443338479</v>
      </c>
      <c r="BT283" s="3">
        <v>8.3654820110005161</v>
      </c>
      <c r="BU283" s="3">
        <v>8.0321486776671804</v>
      </c>
      <c r="BV283" s="3">
        <v>8.4488153443338447</v>
      </c>
      <c r="BW283" s="3">
        <v>13.882148677667182</v>
      </c>
      <c r="BX283" s="3">
        <v>9.6021486776671807</v>
      </c>
      <c r="BY283" s="3">
        <v>32.722148677667185</v>
      </c>
      <c r="BZ283" s="3">
        <v>41.952148677667175</v>
      </c>
      <c r="CA283" s="3">
        <v>20.752148677667172</v>
      </c>
      <c r="CB283" s="3">
        <v>10.088815344333845</v>
      </c>
      <c r="CC283" s="3">
        <v>10.202148677667175</v>
      </c>
      <c r="CD283" s="3">
        <v>9.1088153443338484</v>
      </c>
      <c r="CE283" s="3">
        <v>9.4021486776671779</v>
      </c>
      <c r="CF283" s="3">
        <v>-0.88451798899949097</v>
      </c>
      <c r="CG283" s="3">
        <v>-1.4178513223328224</v>
      </c>
      <c r="CH283" s="3">
        <v>-2.4945179889994904</v>
      </c>
      <c r="CI283" s="13">
        <f>[1]!dbasum(RecData[[#This Row],[20]:[2000]],RecData[[#Headers],[20]:[2000]])</f>
        <v>18.946121960218058</v>
      </c>
      <c r="CJ283" s="14">
        <v>4290</v>
      </c>
      <c r="CK283" s="15" t="s">
        <v>249</v>
      </c>
      <c r="CL283" s="15">
        <f>RecData[[#This Row],[Start Time]]</f>
        <v>43260.950706018528</v>
      </c>
      <c r="CM283" s="16">
        <f>RecData[[#This Row],[Wind Speed avg]]</f>
        <v>0.43</v>
      </c>
      <c r="CN283" s="16">
        <f>RecData[[#This Row],[Wind Dir. avg]]</f>
        <v>148</v>
      </c>
      <c r="CO283" s="16">
        <f>RecData[[#This Row],[Amb. Humidity]]</f>
        <v>83</v>
      </c>
      <c r="CP283" s="16">
        <f>RecData[[#This Row],[Amb. Temperature]]</f>
        <v>13.1</v>
      </c>
      <c r="CQ283" s="17">
        <f>RecData[[#This Row],[Amb. Rain Gauge]]</f>
        <v>0</v>
      </c>
      <c r="CR283" s="4" t="s">
        <v>50</v>
      </c>
      <c r="CS283" s="4" t="s">
        <v>49</v>
      </c>
      <c r="CT283" s="70">
        <v>-9.9185676570000005</v>
      </c>
      <c r="CU283" s="70">
        <v>258.01998900000001</v>
      </c>
      <c r="CV283" s="70">
        <v>1.1719782350000001</v>
      </c>
      <c r="CW283" s="70">
        <v>0</v>
      </c>
      <c r="CX283" s="4"/>
      <c r="CY283" s="69"/>
      <c r="CZ283" s="2" t="b">
        <f>IF($DP$1="YES",IF(RecData[[#This Row],[Power (kW)]]&gt;=$CR$3, TRUE,FALSE),TRUE)</f>
        <v>0</v>
      </c>
      <c r="DA283" s="16">
        <f>MIN(MOD(180-ABS(ABS($DA$1-RecData[Yaw Angle (°)])-180),360),MOD(180-ABS(ABS($DB$1-RecData[Yaw Angle (°)])-180),360))</f>
        <v>109.50993777768753</v>
      </c>
      <c r="DB283" s="2" t="str">
        <f>IF($DP$2="None","None",IF(RecData[[#This Row],[Relative Wind Direction]]&lt;=45,"DW",IF(RecData[[#This Row],[Relative Wind Direction]]&lt;=135,"CW","UW")))</f>
        <v>CW</v>
      </c>
      <c r="DC283" s="61">
        <f>IF($CL283-$CL279&gt;1/24,#REF!,IF(SUM($CQ279:$CQ283)&gt;$DS$1,$DS$5,DC284-1))</f>
        <v>-5</v>
      </c>
      <c r="DD283" s="61">
        <f>IF($CL284-$CL283&gt;1/24,#REF!,IF(SUM($CQ279:$CQ283)&gt;$DS$1,$DS$6,DD282-1))</f>
        <v>-6</v>
      </c>
      <c r="DE283" s="18" t="b">
        <v>0</v>
      </c>
      <c r="DF283" s="2" t="b">
        <f>IF(OR(RecData[[#This Row],[WSpd_Avg '[m/s']]]-RecData[[#This Row],[Wind Speed min]]&gt;=$DF$3,RecData[[#This Row],[Wind Speed max]]-RecData[[#This Row],[WSpd_Avg '[m/s']]]&gt;=$DF$2),TRUE,FALSE)</f>
        <v>0</v>
      </c>
      <c r="DG283" s="2" t="b">
        <f>RecData[[#This Row],[Temperature '[°C']]]&lt;=-20</f>
        <v>0</v>
      </c>
      <c r="DH283" s="18" t="b">
        <f>NOT(OR(MOD(RecData[[#This Row],[TIMESTAMP]],1)&gt;0.91632,MOD(RecData[[#This Row],[TIMESTAMP]],1)&lt;0.208681))</f>
        <v>0</v>
      </c>
      <c r="DI283" s="18" t="b">
        <f>RecData[[#This Row],[Overall (dBA)]]-RecData[[#This Row],[L90]]&gt;=$DS$4</f>
        <v>0</v>
      </c>
      <c r="DJ283" s="18" t="b">
        <f>RecData[[#This Row],[Overall (dBA)]]&gt;$DS$2</f>
        <v>0</v>
      </c>
      <c r="DK283" s="18" t="b">
        <f>RecData[[#This Row],[Overall (dBA)]]&lt;$DS$3</f>
        <v>0</v>
      </c>
      <c r="DL2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3" s="2">
        <f>IF(AND(RecData[[#This Row],[Turbines ON/OFF]] = "OFF", NOT(OR(RecData[[#This Row],[Junk?]]="YES",RecData[[#This Row],[Gust?]],RecData[[#This Row],[Rain?]:[Min SPL Threshold?]]))),1,0)</f>
        <v>1</v>
      </c>
      <c r="DN283" s="16">
        <f>RecData[[#This Row],[dBA Sum]]</f>
        <v>18.946121960218058</v>
      </c>
      <c r="DO283" s="16">
        <f>RecData[[#This Row],[LAF90.0]]</f>
        <v>41.8</v>
      </c>
      <c r="DP283" s="55" t="str">
        <f>IF(AND(RecData[[#This Row],[Useable TON Data?]],RecData[[#This Row],[Turbines ON/OFF]]="ON"),RecData[[#This Row],[dBA Sum]],"")</f>
        <v/>
      </c>
      <c r="DQ283" s="55">
        <f>IF(AND(RecData[[#This Row],[Useable Background Data?]],RecData[[#This Row],[Turbines ON/OFF]]="OFF"),RecData[[#This Row],[dBA Sum]],"")</f>
        <v>18.946121960218058</v>
      </c>
      <c r="DR283" s="3">
        <f>IF(OR(RecData[[#This Row],[Useable TON Data?]],RecData[[#This Row],[Useable Background Data?]]),ROUND(RecData[[#This Row],[WSpd_Avg '[m/s']]],0),"")</f>
        <v>0</v>
      </c>
      <c r="DS283" s="85">
        <f>(0.00002)^2*(10^(RecData[[#This Row],[Overall (dBA)]]/10))</f>
        <v>3.1381390804516698E-8</v>
      </c>
    </row>
    <row r="284" spans="1:123" ht="15" x14ac:dyDescent="0.25">
      <c r="A284" s="3" t="s">
        <v>249</v>
      </c>
      <c r="B284" s="12">
        <v>43260.951400462967</v>
      </c>
      <c r="C284" s="3"/>
      <c r="D284" s="3">
        <v>43.6</v>
      </c>
      <c r="E284" s="3"/>
      <c r="F284" s="3"/>
      <c r="G284" s="3"/>
      <c r="H284" s="3"/>
      <c r="I284" s="3"/>
      <c r="J284" s="3"/>
      <c r="K284" s="3">
        <v>41.3</v>
      </c>
      <c r="L284" s="3"/>
      <c r="M284" s="3"/>
      <c r="N284" s="3">
        <v>136.6</v>
      </c>
      <c r="O284" s="3"/>
      <c r="P284" s="3"/>
      <c r="Q284" s="3">
        <v>0.33</v>
      </c>
      <c r="R284" s="3">
        <v>0.3</v>
      </c>
      <c r="S284" s="3">
        <v>0.4</v>
      </c>
      <c r="T284" s="3">
        <v>13.1</v>
      </c>
      <c r="U284" s="3">
        <v>83.3</v>
      </c>
      <c r="V284" s="3">
        <v>975.6</v>
      </c>
      <c r="W284" s="3">
        <v>0</v>
      </c>
      <c r="X284" s="3">
        <v>20.5</v>
      </c>
      <c r="Y284" s="3">
        <v>15.1</v>
      </c>
      <c r="Z284" s="3">
        <v>15.3</v>
      </c>
      <c r="AA284" s="3">
        <v>11.4</v>
      </c>
      <c r="AB284" s="3">
        <v>16.3</v>
      </c>
      <c r="AC284" s="3">
        <v>6.5</v>
      </c>
      <c r="AD284" s="3">
        <v>7.6</v>
      </c>
      <c r="AE284" s="3">
        <v>14.3</v>
      </c>
      <c r="AF284" s="3">
        <v>12</v>
      </c>
      <c r="AG284" s="3">
        <v>11.5</v>
      </c>
      <c r="AH284" s="3">
        <v>12.5</v>
      </c>
      <c r="AI284" s="3">
        <v>12.2</v>
      </c>
      <c r="AJ284" s="3">
        <v>12.7</v>
      </c>
      <c r="AK284" s="3">
        <v>10.3</v>
      </c>
      <c r="AL284" s="3">
        <v>7.8</v>
      </c>
      <c r="AM284" s="3">
        <v>7.6</v>
      </c>
      <c r="AN284" s="3">
        <v>8.1999999999999993</v>
      </c>
      <c r="AO284" s="3">
        <v>8.1</v>
      </c>
      <c r="AP284" s="3">
        <v>8.8000000000000007</v>
      </c>
      <c r="AQ284" s="3">
        <v>13.1</v>
      </c>
      <c r="AR284" s="3">
        <v>9.4</v>
      </c>
      <c r="AS284" s="3">
        <v>33.700000000000003</v>
      </c>
      <c r="AT284" s="3">
        <v>41.6</v>
      </c>
      <c r="AU284" s="3">
        <v>22.4</v>
      </c>
      <c r="AV284" s="3">
        <v>10.199999999999999</v>
      </c>
      <c r="AW284" s="3">
        <v>10.1</v>
      </c>
      <c r="AX284" s="3">
        <v>9.8000000000000007</v>
      </c>
      <c r="AY284" s="3">
        <v>9.9</v>
      </c>
      <c r="AZ284" s="3">
        <v>0</v>
      </c>
      <c r="BA284" s="3">
        <v>0</v>
      </c>
      <c r="BB284" s="3">
        <v>0</v>
      </c>
      <c r="BC284" s="3">
        <v>43.523908161677205</v>
      </c>
      <c r="BD284" s="3">
        <v>20.576091838322789</v>
      </c>
      <c r="BE284" s="3">
        <v>15.176091838322797</v>
      </c>
      <c r="BF284" s="3">
        <v>14.136091838322798</v>
      </c>
      <c r="BG284" s="3">
        <v>10.562758504989461</v>
      </c>
      <c r="BH284" s="3">
        <v>15.602758504989467</v>
      </c>
      <c r="BI284" s="3">
        <v>6.2160918383227965</v>
      </c>
      <c r="BJ284" s="3">
        <v>8.1094251716561274</v>
      </c>
      <c r="BK284" s="3">
        <v>14.682758504989458</v>
      </c>
      <c r="BL284" s="3">
        <v>11.956091838322799</v>
      </c>
      <c r="BM284" s="3">
        <v>11.589425171656131</v>
      </c>
      <c r="BN284" s="3">
        <v>12.872758504989463</v>
      </c>
      <c r="BO284" s="3">
        <v>11.939425171656133</v>
      </c>
      <c r="BP284" s="3">
        <v>12.156091838322794</v>
      </c>
      <c r="BQ284" s="3">
        <v>10.172758504989453</v>
      </c>
      <c r="BR284" s="3">
        <v>7.999425171656128</v>
      </c>
      <c r="BS284" s="3">
        <v>7.6027585049894597</v>
      </c>
      <c r="BT284" s="3">
        <v>8.3994251716561266</v>
      </c>
      <c r="BU284" s="3">
        <v>8.2660918383228008</v>
      </c>
      <c r="BV284" s="3">
        <v>8.6827585049894651</v>
      </c>
      <c r="BW284" s="3">
        <v>13.516091838322801</v>
      </c>
      <c r="BX284" s="3">
        <v>9.7360918383227997</v>
      </c>
      <c r="BY284" s="3">
        <v>33.85609183832279</v>
      </c>
      <c r="BZ284" s="3">
        <v>41.886091838322791</v>
      </c>
      <c r="CA284" s="3">
        <v>22.786091838322783</v>
      </c>
      <c r="CB284" s="3">
        <v>10.022758504989461</v>
      </c>
      <c r="CC284" s="3">
        <v>10.136091838322791</v>
      </c>
      <c r="CD284" s="3">
        <v>9.142758504989466</v>
      </c>
      <c r="CE284" s="3">
        <v>9.4360918383227954</v>
      </c>
      <c r="CF284" s="3">
        <v>-0.85057482834387343</v>
      </c>
      <c r="CG284" s="3">
        <v>-1.3839081616772049</v>
      </c>
      <c r="CH284" s="3">
        <v>-2.4605748283438729</v>
      </c>
      <c r="CI284" s="13">
        <f>[1]!dbasum(RecData[[#This Row],[20]:[2000]],RecData[[#Headers],[20]:[2000]])</f>
        <v>19.053668386243309</v>
      </c>
      <c r="CJ284" s="14">
        <v>4291</v>
      </c>
      <c r="CK284" s="15" t="s">
        <v>249</v>
      </c>
      <c r="CL284" s="15">
        <f>RecData[[#This Row],[Start Time]]</f>
        <v>43260.951400462967</v>
      </c>
      <c r="CM284" s="16">
        <f>RecData[[#This Row],[Wind Speed avg]]</f>
        <v>0.33</v>
      </c>
      <c r="CN284" s="16">
        <f>RecData[[#This Row],[Wind Dir. avg]]</f>
        <v>136.6</v>
      </c>
      <c r="CO284" s="16">
        <f>RecData[[#This Row],[Amb. Humidity]]</f>
        <v>83.3</v>
      </c>
      <c r="CP284" s="16">
        <f>RecData[[#This Row],[Amb. Temperature]]</f>
        <v>13.1</v>
      </c>
      <c r="CQ284" s="17">
        <f>RecData[[#This Row],[Amb. Rain Gauge]]</f>
        <v>0</v>
      </c>
      <c r="CR284" s="4" t="s">
        <v>50</v>
      </c>
      <c r="CS284" s="4" t="s">
        <v>49</v>
      </c>
      <c r="CT284" s="70">
        <v>-9.407865524</v>
      </c>
      <c r="CU284" s="70">
        <v>279.00234990000001</v>
      </c>
      <c r="CV284" s="70">
        <v>1.307219744</v>
      </c>
      <c r="CW284" s="70">
        <v>0</v>
      </c>
      <c r="CX284" s="4"/>
      <c r="CY284" s="69"/>
      <c r="CZ284" s="2" t="b">
        <f>IF($DP$1="YES",IF(RecData[[#This Row],[Power (kW)]]&gt;=$CR$3, TRUE,FALSE),TRUE)</f>
        <v>0</v>
      </c>
      <c r="DA284" s="16">
        <f>MIN(MOD(180-ABS(ABS($DA$1-RecData[Yaw Angle (°)])-180),360),MOD(180-ABS(ABS($DB$1-RecData[Yaw Angle (°)])-180),360))</f>
        <v>88.527576877687522</v>
      </c>
      <c r="DB284" s="2" t="str">
        <f>IF($DP$2="None","None",IF(RecData[[#This Row],[Relative Wind Direction]]&lt;=45,"DW",IF(RecData[[#This Row],[Relative Wind Direction]]&lt;=135,"CW","UW")))</f>
        <v>CW</v>
      </c>
      <c r="DC284" s="61">
        <f>IF($CL284-$CL280&gt;1/24,#REF!,IF(SUM($CQ280:$CQ284)&gt;$DS$1,$DS$5,DC285-1))</f>
        <v>-4</v>
      </c>
      <c r="DD284" s="61">
        <f>IF($CL285-$CL284&gt;1/24,#REF!,IF(SUM($CQ280:$CQ284)&gt;$DS$1,$DS$6,DD283-1))</f>
        <v>-7</v>
      </c>
      <c r="DE284" s="18" t="b">
        <v>0</v>
      </c>
      <c r="DF284" s="2" t="b">
        <f>IF(OR(RecData[[#This Row],[WSpd_Avg '[m/s']]]-RecData[[#This Row],[Wind Speed min]]&gt;=$DF$3,RecData[[#This Row],[Wind Speed max]]-RecData[[#This Row],[WSpd_Avg '[m/s']]]&gt;=$DF$2),TRUE,FALSE)</f>
        <v>0</v>
      </c>
      <c r="DG284" s="2" t="b">
        <f>RecData[[#This Row],[Temperature '[°C']]]&lt;=-20</f>
        <v>0</v>
      </c>
      <c r="DH284" s="18" t="b">
        <f>NOT(OR(MOD(RecData[[#This Row],[TIMESTAMP]],1)&gt;0.91632,MOD(RecData[[#This Row],[TIMESTAMP]],1)&lt;0.208681))</f>
        <v>0</v>
      </c>
      <c r="DI284" s="18" t="b">
        <f>RecData[[#This Row],[Overall (dBA)]]-RecData[[#This Row],[L90]]&gt;=$DS$4</f>
        <v>0</v>
      </c>
      <c r="DJ284" s="18" t="b">
        <f>RecData[[#This Row],[Overall (dBA)]]&gt;$DS$2</f>
        <v>0</v>
      </c>
      <c r="DK284" s="18" t="b">
        <f>RecData[[#This Row],[Overall (dBA)]]&lt;$DS$3</f>
        <v>0</v>
      </c>
      <c r="DL2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4" s="2">
        <f>IF(AND(RecData[[#This Row],[Turbines ON/OFF]] = "OFF", NOT(OR(RecData[[#This Row],[Junk?]]="YES",RecData[[#This Row],[Gust?]],RecData[[#This Row],[Rain?]:[Min SPL Threshold?]]))),1,0)</f>
        <v>1</v>
      </c>
      <c r="DN284" s="16">
        <f>RecData[[#This Row],[dBA Sum]]</f>
        <v>19.053668386243309</v>
      </c>
      <c r="DO284" s="16">
        <f>RecData[[#This Row],[LAF90.0]]</f>
        <v>41.3</v>
      </c>
      <c r="DP284" s="55" t="str">
        <f>IF(AND(RecData[[#This Row],[Useable TON Data?]],RecData[[#This Row],[Turbines ON/OFF]]="ON"),RecData[[#This Row],[dBA Sum]],"")</f>
        <v/>
      </c>
      <c r="DQ284" s="55">
        <f>IF(AND(RecData[[#This Row],[Useable Background Data?]],RecData[[#This Row],[Turbines ON/OFF]]="OFF"),RecData[[#This Row],[dBA Sum]],"")</f>
        <v>19.053668386243309</v>
      </c>
      <c r="DR284" s="3">
        <f>IF(OR(RecData[[#This Row],[Useable TON Data?]],RecData[[#This Row],[Useable Background Data?]]),ROUND(RecData[[#This Row],[WSpd_Avg '[m/s']]],0),"")</f>
        <v>0</v>
      </c>
      <c r="DS284" s="85">
        <f>(0.00002)^2*(10^(RecData[[#This Row],[Overall (dBA)]]/10))</f>
        <v>3.2168205162768455E-8</v>
      </c>
    </row>
    <row r="285" spans="1:123" ht="15" x14ac:dyDescent="0.25">
      <c r="A285" s="3" t="s">
        <v>249</v>
      </c>
      <c r="B285" s="12">
        <v>43260.952094907414</v>
      </c>
      <c r="C285" s="3"/>
      <c r="D285" s="3">
        <v>43.6</v>
      </c>
      <c r="E285" s="3"/>
      <c r="F285" s="3"/>
      <c r="G285" s="3"/>
      <c r="H285" s="3"/>
      <c r="I285" s="3"/>
      <c r="J285" s="3"/>
      <c r="K285" s="3">
        <v>41.5</v>
      </c>
      <c r="L285" s="3"/>
      <c r="M285" s="3"/>
      <c r="N285" s="3">
        <v>133.5</v>
      </c>
      <c r="O285" s="3"/>
      <c r="P285" s="3"/>
      <c r="Q285" s="3">
        <v>0.37</v>
      </c>
      <c r="R285" s="3">
        <v>0.2</v>
      </c>
      <c r="S285" s="3">
        <v>0.5</v>
      </c>
      <c r="T285" s="3">
        <v>13.1</v>
      </c>
      <c r="U285" s="3">
        <v>83.5</v>
      </c>
      <c r="V285" s="3">
        <v>975.6</v>
      </c>
      <c r="W285" s="3">
        <v>0</v>
      </c>
      <c r="X285" s="3">
        <v>22.1</v>
      </c>
      <c r="Y285" s="3">
        <v>20.8</v>
      </c>
      <c r="Z285" s="3">
        <v>20.399999999999999</v>
      </c>
      <c r="AA285" s="3">
        <v>15.3</v>
      </c>
      <c r="AB285" s="3">
        <v>15.4</v>
      </c>
      <c r="AC285" s="3">
        <v>9.4</v>
      </c>
      <c r="AD285" s="3">
        <v>11.7</v>
      </c>
      <c r="AE285" s="3">
        <v>15.2</v>
      </c>
      <c r="AF285" s="3">
        <v>14.5</v>
      </c>
      <c r="AG285" s="3">
        <v>12.1</v>
      </c>
      <c r="AH285" s="3">
        <v>12.3</v>
      </c>
      <c r="AI285" s="3">
        <v>10.5</v>
      </c>
      <c r="AJ285" s="3">
        <v>11.7</v>
      </c>
      <c r="AK285" s="3">
        <v>9.5</v>
      </c>
      <c r="AL285" s="3">
        <v>7.6</v>
      </c>
      <c r="AM285" s="3">
        <v>7.5</v>
      </c>
      <c r="AN285" s="3">
        <v>8.3000000000000007</v>
      </c>
      <c r="AO285" s="3">
        <v>7.9</v>
      </c>
      <c r="AP285" s="3">
        <v>8.8000000000000007</v>
      </c>
      <c r="AQ285" s="3">
        <v>13.4</v>
      </c>
      <c r="AR285" s="3">
        <v>9.1999999999999993</v>
      </c>
      <c r="AS285" s="3">
        <v>33.799999999999997</v>
      </c>
      <c r="AT285" s="3">
        <v>41.7</v>
      </c>
      <c r="AU285" s="3">
        <v>18.399999999999999</v>
      </c>
      <c r="AV285" s="3">
        <v>10.199999999999999</v>
      </c>
      <c r="AW285" s="3">
        <v>10</v>
      </c>
      <c r="AX285" s="3">
        <v>9.8000000000000007</v>
      </c>
      <c r="AY285" s="3">
        <v>9.9</v>
      </c>
      <c r="AZ285" s="3">
        <v>0</v>
      </c>
      <c r="BA285" s="3">
        <v>0</v>
      </c>
      <c r="BB285" s="3">
        <v>0</v>
      </c>
      <c r="BC285" s="3">
        <v>43.597605536959122</v>
      </c>
      <c r="BD285" s="3">
        <v>22.102394463040881</v>
      </c>
      <c r="BE285" s="3">
        <v>20.802394463040883</v>
      </c>
      <c r="BF285" s="3">
        <v>19.162394463040883</v>
      </c>
      <c r="BG285" s="3">
        <v>14.389061129707542</v>
      </c>
      <c r="BH285" s="3">
        <v>14.629061129707551</v>
      </c>
      <c r="BI285" s="3">
        <v>9.0423944630408783</v>
      </c>
      <c r="BJ285" s="3">
        <v>12.135727796374212</v>
      </c>
      <c r="BK285" s="3">
        <v>15.50906112970754</v>
      </c>
      <c r="BL285" s="3">
        <v>14.382394463040882</v>
      </c>
      <c r="BM285" s="3">
        <v>12.115727796374216</v>
      </c>
      <c r="BN285" s="3">
        <v>12.59906112970755</v>
      </c>
      <c r="BO285" s="3">
        <v>10.165727796374213</v>
      </c>
      <c r="BP285" s="3">
        <v>11.082394463040877</v>
      </c>
      <c r="BQ285" s="3">
        <v>9.299061129707539</v>
      </c>
      <c r="BR285" s="3">
        <v>7.7257277963742155</v>
      </c>
      <c r="BS285" s="3">
        <v>7.4290611297075486</v>
      </c>
      <c r="BT285" s="3">
        <v>8.4257277963742183</v>
      </c>
      <c r="BU285" s="3">
        <v>7.9923944630408812</v>
      </c>
      <c r="BV285" s="3">
        <v>8.6090611297075483</v>
      </c>
      <c r="BW285" s="3">
        <v>13.742394463040881</v>
      </c>
      <c r="BX285" s="3">
        <v>9.4623944630408801</v>
      </c>
      <c r="BY285" s="3">
        <v>33.882394463040868</v>
      </c>
      <c r="BZ285" s="3">
        <v>41.912394463040883</v>
      </c>
      <c r="CA285" s="3">
        <v>18.712394463040866</v>
      </c>
      <c r="CB285" s="3">
        <v>9.9490611297075446</v>
      </c>
      <c r="CC285" s="3">
        <v>9.9623944630408801</v>
      </c>
      <c r="CD285" s="3">
        <v>9.0690611297075492</v>
      </c>
      <c r="CE285" s="3">
        <v>9.3623944630408786</v>
      </c>
      <c r="CF285" s="3">
        <v>-0.92427220362579021</v>
      </c>
      <c r="CG285" s="3">
        <v>-1.4576055369591217</v>
      </c>
      <c r="CH285" s="3">
        <v>-2.5342722036257896</v>
      </c>
      <c r="CI285" s="13">
        <f>[1]!dbasum(RecData[[#This Row],[20]:[2000]],RecData[[#Headers],[20]:[2000]])</f>
        <v>18.9559364272714</v>
      </c>
      <c r="CJ285" s="14">
        <v>4292</v>
      </c>
      <c r="CK285" s="15" t="s">
        <v>249</v>
      </c>
      <c r="CL285" s="15">
        <f>RecData[[#This Row],[Start Time]]</f>
        <v>43260.952094907414</v>
      </c>
      <c r="CM285" s="16">
        <f>RecData[[#This Row],[Wind Speed avg]]</f>
        <v>0.37</v>
      </c>
      <c r="CN285" s="16">
        <f>RecData[[#This Row],[Wind Dir. avg]]</f>
        <v>133.5</v>
      </c>
      <c r="CO285" s="16">
        <f>RecData[[#This Row],[Amb. Humidity]]</f>
        <v>83.5</v>
      </c>
      <c r="CP285" s="16">
        <f>RecData[[#This Row],[Amb. Temperature]]</f>
        <v>13.1</v>
      </c>
      <c r="CQ285" s="17">
        <f>RecData[[#This Row],[Amb. Rain Gauge]]</f>
        <v>0</v>
      </c>
      <c r="CR285" s="4" t="s">
        <v>50</v>
      </c>
      <c r="CS285" s="4" t="s">
        <v>49</v>
      </c>
      <c r="CT285" s="70">
        <v>-9.407865524</v>
      </c>
      <c r="CU285" s="70">
        <v>279.00234990000001</v>
      </c>
      <c r="CV285" s="70">
        <v>1.307219744</v>
      </c>
      <c r="CW285" s="70">
        <v>0</v>
      </c>
      <c r="CX285" s="4"/>
      <c r="CY285" s="69"/>
      <c r="CZ285" s="2" t="b">
        <f>IF($DP$1="YES",IF(RecData[[#This Row],[Power (kW)]]&gt;=$CR$3, TRUE,FALSE),TRUE)</f>
        <v>0</v>
      </c>
      <c r="DA285" s="16">
        <f>MIN(MOD(180-ABS(ABS($DA$1-RecData[Yaw Angle (°)])-180),360),MOD(180-ABS(ABS($DB$1-RecData[Yaw Angle (°)])-180),360))</f>
        <v>88.527576877687522</v>
      </c>
      <c r="DB285" s="2" t="str">
        <f>IF($DP$2="None","None",IF(RecData[[#This Row],[Relative Wind Direction]]&lt;=45,"DW",IF(RecData[[#This Row],[Relative Wind Direction]]&lt;=135,"CW","UW")))</f>
        <v>CW</v>
      </c>
      <c r="DC285" s="61">
        <f>IF($CL285-$CL281&gt;1/24,#REF!,IF(SUM($CQ281:$CQ285)&gt;$DS$1,$DS$5,DC286-1))</f>
        <v>-3</v>
      </c>
      <c r="DD285" s="61">
        <f>IF($CL286-$CL285&gt;1/24,#REF!,IF(SUM($CQ281:$CQ285)&gt;$DS$1,$DS$6,DD284-1))</f>
        <v>-8</v>
      </c>
      <c r="DE285" s="18" t="b">
        <v>0</v>
      </c>
      <c r="DF285" s="2" t="b">
        <f>IF(OR(RecData[[#This Row],[WSpd_Avg '[m/s']]]-RecData[[#This Row],[Wind Speed min]]&gt;=$DF$3,RecData[[#This Row],[Wind Speed max]]-RecData[[#This Row],[WSpd_Avg '[m/s']]]&gt;=$DF$2),TRUE,FALSE)</f>
        <v>0</v>
      </c>
      <c r="DG285" s="2" t="b">
        <f>RecData[[#This Row],[Temperature '[°C']]]&lt;=-20</f>
        <v>0</v>
      </c>
      <c r="DH285" s="18" t="b">
        <f>NOT(OR(MOD(RecData[[#This Row],[TIMESTAMP]],1)&gt;0.91632,MOD(RecData[[#This Row],[TIMESTAMP]],1)&lt;0.208681))</f>
        <v>0</v>
      </c>
      <c r="DI285" s="18" t="b">
        <f>RecData[[#This Row],[Overall (dBA)]]-RecData[[#This Row],[L90]]&gt;=$DS$4</f>
        <v>0</v>
      </c>
      <c r="DJ285" s="18" t="b">
        <f>RecData[[#This Row],[Overall (dBA)]]&gt;$DS$2</f>
        <v>0</v>
      </c>
      <c r="DK285" s="18" t="b">
        <f>RecData[[#This Row],[Overall (dBA)]]&lt;$DS$3</f>
        <v>0</v>
      </c>
      <c r="DL2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5" s="2">
        <f>IF(AND(RecData[[#This Row],[Turbines ON/OFF]] = "OFF", NOT(OR(RecData[[#This Row],[Junk?]]="YES",RecData[[#This Row],[Gust?]],RecData[[#This Row],[Rain?]:[Min SPL Threshold?]]))),1,0)</f>
        <v>1</v>
      </c>
      <c r="DN285" s="16">
        <f>RecData[[#This Row],[dBA Sum]]</f>
        <v>18.9559364272714</v>
      </c>
      <c r="DO285" s="16">
        <f>RecData[[#This Row],[LAF90.0]]</f>
        <v>41.5</v>
      </c>
      <c r="DP285" s="55" t="str">
        <f>IF(AND(RecData[[#This Row],[Useable TON Data?]],RecData[[#This Row],[Turbines ON/OFF]]="ON"),RecData[[#This Row],[dBA Sum]],"")</f>
        <v/>
      </c>
      <c r="DQ285" s="55">
        <f>IF(AND(RecData[[#This Row],[Useable Background Data?]],RecData[[#This Row],[Turbines ON/OFF]]="OFF"),RecData[[#This Row],[dBA Sum]],"")</f>
        <v>18.9559364272714</v>
      </c>
      <c r="DR285" s="3">
        <f>IF(OR(RecData[[#This Row],[Useable TON Data?]],RecData[[#This Row],[Useable Background Data?]]),ROUND(RecData[[#This Row],[WSpd_Avg '[m/s']]],0),"")</f>
        <v>0</v>
      </c>
      <c r="DS285" s="85">
        <f>(0.00002)^2*(10^(RecData[[#This Row],[Overall (dBA)]]/10))</f>
        <v>3.1452388689814878E-8</v>
      </c>
    </row>
    <row r="286" spans="1:123" ht="15" x14ac:dyDescent="0.25">
      <c r="A286" s="3" t="s">
        <v>249</v>
      </c>
      <c r="B286" s="12">
        <v>43260.952789351861</v>
      </c>
      <c r="C286" s="3"/>
      <c r="D286" s="3">
        <v>43.3</v>
      </c>
      <c r="E286" s="3"/>
      <c r="F286" s="3"/>
      <c r="G286" s="3"/>
      <c r="H286" s="3"/>
      <c r="I286" s="3"/>
      <c r="J286" s="3"/>
      <c r="K286" s="3">
        <v>41.6</v>
      </c>
      <c r="L286" s="3"/>
      <c r="M286" s="3"/>
      <c r="N286" s="3">
        <v>124.5</v>
      </c>
      <c r="O286" s="3"/>
      <c r="P286" s="3"/>
      <c r="Q286" s="3">
        <v>0.17</v>
      </c>
      <c r="R286" s="3">
        <v>0.1</v>
      </c>
      <c r="S286" s="3">
        <v>0.3</v>
      </c>
      <c r="T286" s="3">
        <v>13.1</v>
      </c>
      <c r="U286" s="3">
        <v>83.5</v>
      </c>
      <c r="V286" s="3">
        <v>975.6</v>
      </c>
      <c r="W286" s="3">
        <v>0</v>
      </c>
      <c r="X286" s="3">
        <v>23.9</v>
      </c>
      <c r="Y286" s="3">
        <v>22.3</v>
      </c>
      <c r="Z286" s="3">
        <v>20.399999999999999</v>
      </c>
      <c r="AA286" s="3">
        <v>15.4</v>
      </c>
      <c r="AB286" s="3">
        <v>16.5</v>
      </c>
      <c r="AC286" s="3">
        <v>13.6</v>
      </c>
      <c r="AD286" s="3">
        <v>15.6</v>
      </c>
      <c r="AE286" s="3">
        <v>16.600000000000001</v>
      </c>
      <c r="AF286" s="3">
        <v>15.3</v>
      </c>
      <c r="AG286" s="3">
        <v>13.7</v>
      </c>
      <c r="AH286" s="3">
        <v>13.4</v>
      </c>
      <c r="AI286" s="3">
        <v>10.5</v>
      </c>
      <c r="AJ286" s="3">
        <v>11.8</v>
      </c>
      <c r="AK286" s="3">
        <v>9.4</v>
      </c>
      <c r="AL286" s="3">
        <v>7.5</v>
      </c>
      <c r="AM286" s="3">
        <v>7.6</v>
      </c>
      <c r="AN286" s="3">
        <v>8.3000000000000007</v>
      </c>
      <c r="AO286" s="3">
        <v>7.9</v>
      </c>
      <c r="AP286" s="3">
        <v>8.6999999999999993</v>
      </c>
      <c r="AQ286" s="3">
        <v>13.4</v>
      </c>
      <c r="AR286" s="3">
        <v>9.1999999999999993</v>
      </c>
      <c r="AS286" s="3">
        <v>33.6</v>
      </c>
      <c r="AT286" s="3">
        <v>41.4</v>
      </c>
      <c r="AU286" s="3">
        <v>17.2</v>
      </c>
      <c r="AV286" s="3">
        <v>10</v>
      </c>
      <c r="AW286" s="3">
        <v>9.9</v>
      </c>
      <c r="AX286" s="3">
        <v>9.6999999999999993</v>
      </c>
      <c r="AY286" s="3">
        <v>9.9</v>
      </c>
      <c r="AZ286" s="3">
        <v>0</v>
      </c>
      <c r="BA286" s="3">
        <v>0</v>
      </c>
      <c r="BB286" s="3">
        <v>0</v>
      </c>
      <c r="BC286" s="3">
        <v>43.310237533172895</v>
      </c>
      <c r="BD286" s="3">
        <v>23.889762466827094</v>
      </c>
      <c r="BE286" s="3">
        <v>22.289762466827099</v>
      </c>
      <c r="BF286" s="3">
        <v>19.149762466827099</v>
      </c>
      <c r="BG286" s="3">
        <v>14.476429133493767</v>
      </c>
      <c r="BH286" s="3">
        <v>15.716429133493769</v>
      </c>
      <c r="BI286" s="3">
        <v>13.229762466827104</v>
      </c>
      <c r="BJ286" s="3">
        <v>16.023095800160434</v>
      </c>
      <c r="BK286" s="3">
        <v>16.896429133493768</v>
      </c>
      <c r="BL286" s="3">
        <v>15.169762466827102</v>
      </c>
      <c r="BM286" s="3">
        <v>13.70309580016044</v>
      </c>
      <c r="BN286" s="3">
        <v>13.686429133493768</v>
      </c>
      <c r="BO286" s="3">
        <v>10.153095800160436</v>
      </c>
      <c r="BP286" s="3">
        <v>11.169762466827102</v>
      </c>
      <c r="BQ286" s="3">
        <v>9.1864291334937604</v>
      </c>
      <c r="BR286" s="3">
        <v>7.613095800160437</v>
      </c>
      <c r="BS286" s="3">
        <v>7.5164291334937658</v>
      </c>
      <c r="BT286" s="3">
        <v>8.4130958001604341</v>
      </c>
      <c r="BU286" s="3">
        <v>7.9797624668271041</v>
      </c>
      <c r="BV286" s="3">
        <v>8.4964291334937698</v>
      </c>
      <c r="BW286" s="3">
        <v>13.729762466827104</v>
      </c>
      <c r="BX286" s="3">
        <v>9.4497624668271101</v>
      </c>
      <c r="BY286" s="3">
        <v>33.669762466827095</v>
      </c>
      <c r="BZ286" s="3">
        <v>41.599762466827102</v>
      </c>
      <c r="CA286" s="3">
        <v>17.499762466827093</v>
      </c>
      <c r="CB286" s="3">
        <v>9.7364291334937647</v>
      </c>
      <c r="CC286" s="3">
        <v>9.8497624668271015</v>
      </c>
      <c r="CD286" s="3">
        <v>8.9564291334937707</v>
      </c>
      <c r="CE286" s="3">
        <v>9.3497624668271015</v>
      </c>
      <c r="CF286" s="3">
        <v>-0.9369041998395673</v>
      </c>
      <c r="CG286" s="3">
        <v>-1.4702375331728987</v>
      </c>
      <c r="CH286" s="3">
        <v>-2.5469041998395667</v>
      </c>
      <c r="CI286" s="13">
        <f>[1]!dbasum(RecData[[#This Row],[20]:[2000]],RecData[[#Headers],[20]:[2000]])</f>
        <v>19.00262179665571</v>
      </c>
      <c r="CJ286" s="14">
        <v>4293</v>
      </c>
      <c r="CK286" s="15" t="s">
        <v>249</v>
      </c>
      <c r="CL286" s="15">
        <f>RecData[[#This Row],[Start Time]]</f>
        <v>43260.952789351861</v>
      </c>
      <c r="CM286" s="16">
        <f>RecData[[#This Row],[Wind Speed avg]]</f>
        <v>0.17</v>
      </c>
      <c r="CN286" s="16">
        <f>RecData[[#This Row],[Wind Dir. avg]]</f>
        <v>124.5</v>
      </c>
      <c r="CO286" s="16">
        <f>RecData[[#This Row],[Amb. Humidity]]</f>
        <v>83.5</v>
      </c>
      <c r="CP286" s="16">
        <f>RecData[[#This Row],[Amb. Temperature]]</f>
        <v>13.1</v>
      </c>
      <c r="CQ286" s="17">
        <f>RecData[[#This Row],[Amb. Rain Gauge]]</f>
        <v>0</v>
      </c>
      <c r="CR286" s="4" t="s">
        <v>50</v>
      </c>
      <c r="CS286" s="4" t="s">
        <v>49</v>
      </c>
      <c r="CT286" s="70">
        <v>-9.407865524</v>
      </c>
      <c r="CU286" s="70">
        <v>279.00234990000001</v>
      </c>
      <c r="CV286" s="70">
        <v>1.307219744</v>
      </c>
      <c r="CW286" s="70">
        <v>0</v>
      </c>
      <c r="CX286" s="4"/>
      <c r="CY286" s="69"/>
      <c r="CZ286" s="2" t="b">
        <f>IF($DP$1="YES",IF(RecData[[#This Row],[Power (kW)]]&gt;=$CR$3, TRUE,FALSE),TRUE)</f>
        <v>0</v>
      </c>
      <c r="DA286" s="16">
        <f>MIN(MOD(180-ABS(ABS($DA$1-RecData[Yaw Angle (°)])-180),360),MOD(180-ABS(ABS($DB$1-RecData[Yaw Angle (°)])-180),360))</f>
        <v>88.527576877687522</v>
      </c>
      <c r="DB286" s="2" t="str">
        <f>IF($DP$2="None","None",IF(RecData[[#This Row],[Relative Wind Direction]]&lt;=45,"DW",IF(RecData[[#This Row],[Relative Wind Direction]]&lt;=135,"CW","UW")))</f>
        <v>CW</v>
      </c>
      <c r="DC286" s="61">
        <f>IF($CL286-$CL282&gt;1/24,#REF!,IF(SUM($CQ282:$CQ286)&gt;$DS$1,$DS$5,DC287-1))</f>
        <v>-2</v>
      </c>
      <c r="DD286" s="61">
        <f>IF($CL287-$CL286&gt;1/24,#REF!,IF(SUM($CQ282:$CQ286)&gt;$DS$1,$DS$6,DD285-1))</f>
        <v>-9</v>
      </c>
      <c r="DE286" s="18" t="b">
        <v>0</v>
      </c>
      <c r="DF286" s="2" t="b">
        <f>IF(OR(RecData[[#This Row],[WSpd_Avg '[m/s']]]-RecData[[#This Row],[Wind Speed min]]&gt;=$DF$3,RecData[[#This Row],[Wind Speed max]]-RecData[[#This Row],[WSpd_Avg '[m/s']]]&gt;=$DF$2),TRUE,FALSE)</f>
        <v>0</v>
      </c>
      <c r="DG286" s="2" t="b">
        <f>RecData[[#This Row],[Temperature '[°C']]]&lt;=-20</f>
        <v>0</v>
      </c>
      <c r="DH286" s="18" t="b">
        <f>NOT(OR(MOD(RecData[[#This Row],[TIMESTAMP]],1)&gt;0.91632,MOD(RecData[[#This Row],[TIMESTAMP]],1)&lt;0.208681))</f>
        <v>0</v>
      </c>
      <c r="DI286" s="18" t="b">
        <f>RecData[[#This Row],[Overall (dBA)]]-RecData[[#This Row],[L90]]&gt;=$DS$4</f>
        <v>0</v>
      </c>
      <c r="DJ286" s="18" t="b">
        <f>RecData[[#This Row],[Overall (dBA)]]&gt;$DS$2</f>
        <v>0</v>
      </c>
      <c r="DK286" s="18" t="b">
        <f>RecData[[#This Row],[Overall (dBA)]]&lt;$DS$3</f>
        <v>0</v>
      </c>
      <c r="DL2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6" s="2">
        <f>IF(AND(RecData[[#This Row],[Turbines ON/OFF]] = "OFF", NOT(OR(RecData[[#This Row],[Junk?]]="YES",RecData[[#This Row],[Gust?]],RecData[[#This Row],[Rain?]:[Min SPL Threshold?]]))),1,0)</f>
        <v>1</v>
      </c>
      <c r="DN286" s="16">
        <f>RecData[[#This Row],[dBA Sum]]</f>
        <v>19.00262179665571</v>
      </c>
      <c r="DO286" s="16">
        <f>RecData[[#This Row],[LAF90.0]]</f>
        <v>41.6</v>
      </c>
      <c r="DP286" s="55" t="str">
        <f>IF(AND(RecData[[#This Row],[Useable TON Data?]],RecData[[#This Row],[Turbines ON/OFF]]="ON"),RecData[[#This Row],[dBA Sum]],"")</f>
        <v/>
      </c>
      <c r="DQ286" s="55">
        <f>IF(AND(RecData[[#This Row],[Useable Background Data?]],RecData[[#This Row],[Turbines ON/OFF]]="OFF"),RecData[[#This Row],[dBA Sum]],"")</f>
        <v>19.00262179665571</v>
      </c>
      <c r="DR286" s="3">
        <f>IF(OR(RecData[[#This Row],[Useable TON Data?]],RecData[[#This Row],[Useable Background Data?]]),ROUND(RecData[[#This Row],[WSpd_Avg '[m/s']]],0),"")</f>
        <v>0</v>
      </c>
      <c r="DS286" s="85">
        <f>(0.00002)^2*(10^(RecData[[#This Row],[Overall (dBA)]]/10))</f>
        <v>3.1792316331805291E-8</v>
      </c>
    </row>
    <row r="287" spans="1:123" ht="15" x14ac:dyDescent="0.25">
      <c r="A287" s="3" t="s">
        <v>249</v>
      </c>
      <c r="B287" s="12">
        <v>43260.953483796307</v>
      </c>
      <c r="C287" s="3"/>
      <c r="D287" s="3">
        <v>43.3</v>
      </c>
      <c r="E287" s="3"/>
      <c r="F287" s="3"/>
      <c r="G287" s="3"/>
      <c r="H287" s="3"/>
      <c r="I287" s="3"/>
      <c r="J287" s="3"/>
      <c r="K287" s="3">
        <v>41.7</v>
      </c>
      <c r="L287" s="3"/>
      <c r="M287" s="3"/>
      <c r="N287" s="3">
        <v>160.6</v>
      </c>
      <c r="O287" s="3"/>
      <c r="P287" s="3"/>
      <c r="Q287" s="3">
        <v>0.2</v>
      </c>
      <c r="R287" s="3">
        <v>0.2</v>
      </c>
      <c r="S287" s="3">
        <v>0.2</v>
      </c>
      <c r="T287" s="3">
        <v>13.1</v>
      </c>
      <c r="U287" s="3">
        <v>83.7</v>
      </c>
      <c r="V287" s="3">
        <v>975.6</v>
      </c>
      <c r="W287" s="3">
        <v>0</v>
      </c>
      <c r="X287" s="3">
        <v>21.5</v>
      </c>
      <c r="Y287" s="3">
        <v>18.2</v>
      </c>
      <c r="Z287" s="3">
        <v>17.899999999999999</v>
      </c>
      <c r="AA287" s="3">
        <v>14.2</v>
      </c>
      <c r="AB287" s="3">
        <v>16.600000000000001</v>
      </c>
      <c r="AC287" s="3">
        <v>11.8</v>
      </c>
      <c r="AD287" s="3">
        <v>12.6</v>
      </c>
      <c r="AE287" s="3">
        <v>15.5</v>
      </c>
      <c r="AF287" s="3">
        <v>13.8</v>
      </c>
      <c r="AG287" s="3">
        <v>11.4</v>
      </c>
      <c r="AH287" s="3">
        <v>12.4</v>
      </c>
      <c r="AI287" s="3">
        <v>10.9</v>
      </c>
      <c r="AJ287" s="3">
        <v>11.9</v>
      </c>
      <c r="AK287" s="3">
        <v>9.4</v>
      </c>
      <c r="AL287" s="3">
        <v>7.5</v>
      </c>
      <c r="AM287" s="3">
        <v>7.6</v>
      </c>
      <c r="AN287" s="3">
        <v>8.3000000000000007</v>
      </c>
      <c r="AO287" s="3">
        <v>8</v>
      </c>
      <c r="AP287" s="3">
        <v>8.8000000000000007</v>
      </c>
      <c r="AQ287" s="3">
        <v>13.1</v>
      </c>
      <c r="AR287" s="3">
        <v>9.4</v>
      </c>
      <c r="AS287" s="3">
        <v>34.1</v>
      </c>
      <c r="AT287" s="3">
        <v>41.3</v>
      </c>
      <c r="AU287" s="3">
        <v>17</v>
      </c>
      <c r="AV287" s="3">
        <v>10.3</v>
      </c>
      <c r="AW287" s="3">
        <v>10.199999999999999</v>
      </c>
      <c r="AX287" s="3">
        <v>9.8000000000000007</v>
      </c>
      <c r="AY287" s="3">
        <v>10</v>
      </c>
      <c r="AZ287" s="3">
        <v>0</v>
      </c>
      <c r="BA287" s="3">
        <v>0</v>
      </c>
      <c r="BB287" s="3">
        <v>0</v>
      </c>
      <c r="BC287" s="3">
        <v>43.301512759743332</v>
      </c>
      <c r="BD287" s="3">
        <v>21.498487240256665</v>
      </c>
      <c r="BE287" s="3">
        <v>18.198487240256668</v>
      </c>
      <c r="BF287" s="3">
        <v>16.658487240256662</v>
      </c>
      <c r="BG287" s="3">
        <v>13.285153906923327</v>
      </c>
      <c r="BH287" s="3">
        <v>15.825153906923333</v>
      </c>
      <c r="BI287" s="3">
        <v>11.438487240256663</v>
      </c>
      <c r="BJ287" s="3">
        <v>13.031820573589997</v>
      </c>
      <c r="BK287" s="3">
        <v>15.80515390692333</v>
      </c>
      <c r="BL287" s="3">
        <v>13.678487240256665</v>
      </c>
      <c r="BM287" s="3">
        <v>11.411820573589999</v>
      </c>
      <c r="BN287" s="3">
        <v>12.695153906923331</v>
      </c>
      <c r="BO287" s="3">
        <v>10.561820573589998</v>
      </c>
      <c r="BP287" s="3">
        <v>11.278487240256666</v>
      </c>
      <c r="BQ287" s="3">
        <v>9.1951539069233235</v>
      </c>
      <c r="BR287" s="3">
        <v>7.62182057359</v>
      </c>
      <c r="BS287" s="3">
        <v>7.5251539069233289</v>
      </c>
      <c r="BT287" s="3">
        <v>8.4218205735899971</v>
      </c>
      <c r="BU287" s="3">
        <v>8.0884872402566685</v>
      </c>
      <c r="BV287" s="3">
        <v>8.6051539069233343</v>
      </c>
      <c r="BW287" s="3">
        <v>13.43848724025667</v>
      </c>
      <c r="BX287" s="3">
        <v>9.6584872402566688</v>
      </c>
      <c r="BY287" s="3">
        <v>34.178487240256658</v>
      </c>
      <c r="BZ287" s="3">
        <v>41.50848724025667</v>
      </c>
      <c r="CA287" s="3">
        <v>17.308487240256653</v>
      </c>
      <c r="CB287" s="3">
        <v>10.045153906923332</v>
      </c>
      <c r="CC287" s="3">
        <v>10.158487240256662</v>
      </c>
      <c r="CD287" s="3">
        <v>9.0651539069233351</v>
      </c>
      <c r="CE287" s="3">
        <v>9.458487240256666</v>
      </c>
      <c r="CF287" s="3">
        <v>-0.92817942641000428</v>
      </c>
      <c r="CG287" s="3">
        <v>-1.4615127597433357</v>
      </c>
      <c r="CH287" s="3">
        <v>-2.5381794264100037</v>
      </c>
      <c r="CI287" s="13">
        <f>[1]!dbasum(RecData[[#This Row],[20]:[2000]],RecData[[#Headers],[20]:[2000]])</f>
        <v>18.886464241938661</v>
      </c>
      <c r="CJ287" s="14">
        <v>4294</v>
      </c>
      <c r="CK287" s="15" t="s">
        <v>249</v>
      </c>
      <c r="CL287" s="15">
        <f>RecData[[#This Row],[Start Time]]</f>
        <v>43260.953483796307</v>
      </c>
      <c r="CM287" s="16">
        <f>RecData[[#This Row],[Wind Speed avg]]</f>
        <v>0.2</v>
      </c>
      <c r="CN287" s="16">
        <f>RecData[[#This Row],[Wind Dir. avg]]</f>
        <v>160.6</v>
      </c>
      <c r="CO287" s="16">
        <f>RecData[[#This Row],[Amb. Humidity]]</f>
        <v>83.7</v>
      </c>
      <c r="CP287" s="16">
        <f>RecData[[#This Row],[Amb. Temperature]]</f>
        <v>13.1</v>
      </c>
      <c r="CQ287" s="17">
        <f>RecData[[#This Row],[Amb. Rain Gauge]]</f>
        <v>0</v>
      </c>
      <c r="CR287" s="4" t="s">
        <v>50</v>
      </c>
      <c r="CS287" s="4" t="s">
        <v>49</v>
      </c>
      <c r="CT287" s="70">
        <v>-9.407865524</v>
      </c>
      <c r="CU287" s="70">
        <v>279.00234990000001</v>
      </c>
      <c r="CV287" s="70">
        <v>1.307219744</v>
      </c>
      <c r="CW287" s="70">
        <v>0</v>
      </c>
      <c r="CX287" s="4"/>
      <c r="CY287" s="69"/>
      <c r="CZ287" s="2" t="b">
        <f>IF($DP$1="YES",IF(RecData[[#This Row],[Power (kW)]]&gt;=$CR$3, TRUE,FALSE),TRUE)</f>
        <v>0</v>
      </c>
      <c r="DA287" s="16">
        <f>MIN(MOD(180-ABS(ABS($DA$1-RecData[Yaw Angle (°)])-180),360),MOD(180-ABS(ABS($DB$1-RecData[Yaw Angle (°)])-180),360))</f>
        <v>88.527576877687522</v>
      </c>
      <c r="DB287" s="2" t="str">
        <f>IF($DP$2="None","None",IF(RecData[[#This Row],[Relative Wind Direction]]&lt;=45,"DW",IF(RecData[[#This Row],[Relative Wind Direction]]&lt;=135,"CW","UW")))</f>
        <v>CW</v>
      </c>
      <c r="DC287" s="61">
        <v>-1</v>
      </c>
      <c r="DD287" s="61">
        <v>-1</v>
      </c>
      <c r="DE287" s="18" t="b">
        <v>0</v>
      </c>
      <c r="DF287" s="2" t="b">
        <f>IF(OR(RecData[[#This Row],[WSpd_Avg '[m/s']]]-RecData[[#This Row],[Wind Speed min]]&gt;=$DF$3,RecData[[#This Row],[Wind Speed max]]-RecData[[#This Row],[WSpd_Avg '[m/s']]]&gt;=$DF$2),TRUE,FALSE)</f>
        <v>0</v>
      </c>
      <c r="DG287" s="2" t="b">
        <f>RecData[[#This Row],[Temperature '[°C']]]&lt;=-20</f>
        <v>0</v>
      </c>
      <c r="DH287" s="18" t="b">
        <f>NOT(OR(MOD(RecData[[#This Row],[TIMESTAMP]],1)&gt;0.91632,MOD(RecData[[#This Row],[TIMESTAMP]],1)&lt;0.208681))</f>
        <v>0</v>
      </c>
      <c r="DI287" s="18" t="b">
        <f>RecData[[#This Row],[Overall (dBA)]]-RecData[[#This Row],[L90]]&gt;=$DS$4</f>
        <v>0</v>
      </c>
      <c r="DJ287" s="18" t="b">
        <f>RecData[[#This Row],[Overall (dBA)]]&gt;$DS$2</f>
        <v>0</v>
      </c>
      <c r="DK287" s="18" t="b">
        <f>RecData[[#This Row],[Overall (dBA)]]&lt;$DS$3</f>
        <v>0</v>
      </c>
      <c r="DL2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7" s="2">
        <f>IF(AND(RecData[[#This Row],[Turbines ON/OFF]] = "OFF", NOT(OR(RecData[[#This Row],[Junk?]]="YES",RecData[[#This Row],[Gust?]],RecData[[#This Row],[Rain?]:[Min SPL Threshold?]]))),1,0)</f>
        <v>1</v>
      </c>
      <c r="DN287" s="16">
        <f>RecData[[#This Row],[dBA Sum]]</f>
        <v>18.886464241938661</v>
      </c>
      <c r="DO287" s="16">
        <f>RecData[[#This Row],[LAF90.0]]</f>
        <v>41.7</v>
      </c>
      <c r="DP287" s="55" t="str">
        <f>IF(AND(RecData[[#This Row],[Useable TON Data?]],RecData[[#This Row],[Turbines ON/OFF]]="ON"),RecData[[#This Row],[dBA Sum]],"")</f>
        <v/>
      </c>
      <c r="DQ287" s="55">
        <f>IF(AND(RecData[[#This Row],[Useable Background Data?]],RecData[[#This Row],[Turbines ON/OFF]]="OFF"),RecData[[#This Row],[dBA Sum]],"")</f>
        <v>18.886464241938661</v>
      </c>
      <c r="DR287" s="3">
        <f>IF(OR(RecData[[#This Row],[Useable TON Data?]],RecData[[#This Row],[Useable Background Data?]]),ROUND(RecData[[#This Row],[WSpd_Avg '[m/s']]],0),"")</f>
        <v>0</v>
      </c>
      <c r="DS287" s="85">
        <f>(0.00002)^2*(10^(RecData[[#This Row],[Overall (dBA)]]/10))</f>
        <v>3.0953261412959492E-8</v>
      </c>
    </row>
    <row r="288" spans="1:123" ht="15" x14ac:dyDescent="0.25">
      <c r="A288" s="3" t="s">
        <v>249</v>
      </c>
      <c r="B288" s="12">
        <v>43260.954178240747</v>
      </c>
      <c r="C288" s="3"/>
      <c r="D288" s="3">
        <v>42.8</v>
      </c>
      <c r="E288" s="3"/>
      <c r="F288" s="3"/>
      <c r="G288" s="3"/>
      <c r="H288" s="3"/>
      <c r="I288" s="3"/>
      <c r="J288" s="3"/>
      <c r="K288" s="3">
        <v>41.1</v>
      </c>
      <c r="L288" s="3"/>
      <c r="M288" s="3"/>
      <c r="N288" s="3">
        <v>174.4</v>
      </c>
      <c r="O288" s="3"/>
      <c r="P288" s="3"/>
      <c r="Q288" s="3">
        <v>0.11</v>
      </c>
      <c r="R288" s="3">
        <v>0</v>
      </c>
      <c r="S288" s="3">
        <v>0.2</v>
      </c>
      <c r="T288" s="3">
        <v>13.1</v>
      </c>
      <c r="U288" s="3">
        <v>83.8</v>
      </c>
      <c r="V288" s="3">
        <v>975.6</v>
      </c>
      <c r="W288" s="3">
        <v>0</v>
      </c>
      <c r="X288" s="3">
        <v>17.3</v>
      </c>
      <c r="Y288" s="3">
        <v>14.9</v>
      </c>
      <c r="Z288" s="3">
        <v>17.3</v>
      </c>
      <c r="AA288" s="3">
        <v>12.4</v>
      </c>
      <c r="AB288" s="3">
        <v>15.1</v>
      </c>
      <c r="AC288" s="3">
        <v>7.5</v>
      </c>
      <c r="AD288" s="3">
        <v>10.3</v>
      </c>
      <c r="AE288" s="3">
        <v>13.9</v>
      </c>
      <c r="AF288" s="3">
        <v>12.2</v>
      </c>
      <c r="AG288" s="3">
        <v>10.5</v>
      </c>
      <c r="AH288" s="3">
        <v>12.7</v>
      </c>
      <c r="AI288" s="3">
        <v>10.9</v>
      </c>
      <c r="AJ288" s="3">
        <v>12.7</v>
      </c>
      <c r="AK288" s="3">
        <v>11.4</v>
      </c>
      <c r="AL288" s="3">
        <v>7.8</v>
      </c>
      <c r="AM288" s="3">
        <v>8.1</v>
      </c>
      <c r="AN288" s="3">
        <v>8.9</v>
      </c>
      <c r="AO288" s="3">
        <v>8.5</v>
      </c>
      <c r="AP288" s="3">
        <v>8.9</v>
      </c>
      <c r="AQ288" s="3">
        <v>13</v>
      </c>
      <c r="AR288" s="3">
        <v>9.1</v>
      </c>
      <c r="AS288" s="3">
        <v>33.299999999999997</v>
      </c>
      <c r="AT288" s="3">
        <v>40.799999999999997</v>
      </c>
      <c r="AU288" s="3">
        <v>16.600000000000001</v>
      </c>
      <c r="AV288" s="3">
        <v>9.9</v>
      </c>
      <c r="AW288" s="3">
        <v>9.9</v>
      </c>
      <c r="AX288" s="3">
        <v>9.6999999999999993</v>
      </c>
      <c r="AY288" s="3">
        <v>9.9</v>
      </c>
      <c r="AZ288" s="3">
        <v>0</v>
      </c>
      <c r="BA288" s="3">
        <v>0</v>
      </c>
      <c r="BB288" s="3">
        <v>0</v>
      </c>
      <c r="BC288" s="3">
        <v>42.757921700216443</v>
      </c>
      <c r="BD288" s="3">
        <v>17.342078299783552</v>
      </c>
      <c r="BE288" s="3">
        <v>14.942078299783553</v>
      </c>
      <c r="BF288" s="3">
        <v>16.102078299783557</v>
      </c>
      <c r="BG288" s="3">
        <v>11.528744966450219</v>
      </c>
      <c r="BH288" s="3">
        <v>14.368744966450222</v>
      </c>
      <c r="BI288" s="3">
        <v>7.1820782997835551</v>
      </c>
      <c r="BJ288" s="3">
        <v>10.775411633116889</v>
      </c>
      <c r="BK288" s="3">
        <v>14.248744966450218</v>
      </c>
      <c r="BL288" s="3">
        <v>12.122078299783553</v>
      </c>
      <c r="BM288" s="3">
        <v>10.55541163311689</v>
      </c>
      <c r="BN288" s="3">
        <v>13.038744966450224</v>
      </c>
      <c r="BO288" s="3">
        <v>10.605411633116887</v>
      </c>
      <c r="BP288" s="3">
        <v>12.122078299783553</v>
      </c>
      <c r="BQ288" s="3">
        <v>11.238744966450213</v>
      </c>
      <c r="BR288" s="3">
        <v>7.9654116331168865</v>
      </c>
      <c r="BS288" s="3">
        <v>8.0687449664502253</v>
      </c>
      <c r="BT288" s="3">
        <v>9.0654116331168879</v>
      </c>
      <c r="BU288" s="3">
        <v>8.6320782997835579</v>
      </c>
      <c r="BV288" s="3">
        <v>8.7487449664502179</v>
      </c>
      <c r="BW288" s="3">
        <v>13.382078299783558</v>
      </c>
      <c r="BX288" s="3">
        <v>9.402078299783561</v>
      </c>
      <c r="BY288" s="3">
        <v>33.42207829978355</v>
      </c>
      <c r="BZ288" s="3">
        <v>41.05207829978356</v>
      </c>
      <c r="CA288" s="3">
        <v>16.952078299783551</v>
      </c>
      <c r="CB288" s="3">
        <v>9.6887449664502157</v>
      </c>
      <c r="CC288" s="3">
        <v>9.9020782997835539</v>
      </c>
      <c r="CD288" s="3">
        <v>9.008744966450223</v>
      </c>
      <c r="CE288" s="3">
        <v>9.4020782997835539</v>
      </c>
      <c r="CF288" s="3">
        <v>-0.88458836688311493</v>
      </c>
      <c r="CG288" s="3">
        <v>-1.4179217002164464</v>
      </c>
      <c r="CH288" s="3">
        <v>-2.4945883668831144</v>
      </c>
      <c r="CI288" s="13">
        <f>[1]!dbasum(RecData[[#This Row],[20]:[2000]],RecData[[#Headers],[20]:[2000]])</f>
        <v>19.085657840285279</v>
      </c>
      <c r="CJ288" s="14">
        <v>4295</v>
      </c>
      <c r="CK288" s="15" t="s">
        <v>249</v>
      </c>
      <c r="CL288" s="15">
        <f>RecData[[#This Row],[Start Time]]</f>
        <v>43260.954178240747</v>
      </c>
      <c r="CM288" s="16">
        <f>RecData[[#This Row],[Wind Speed avg]]</f>
        <v>0.11</v>
      </c>
      <c r="CN288" s="16">
        <f>RecData[[#This Row],[Wind Dir. avg]]</f>
        <v>174.4</v>
      </c>
      <c r="CO288" s="16">
        <f>RecData[[#This Row],[Amb. Humidity]]</f>
        <v>83.8</v>
      </c>
      <c r="CP288" s="16">
        <f>RecData[[#This Row],[Amb. Temperature]]</f>
        <v>13.1</v>
      </c>
      <c r="CQ288" s="17">
        <f>RecData[[#This Row],[Amb. Rain Gauge]]</f>
        <v>0</v>
      </c>
      <c r="CR288" s="4" t="s">
        <v>50</v>
      </c>
      <c r="CS288" s="4" t="s">
        <v>49</v>
      </c>
      <c r="CT288" s="70">
        <v>-9.407865524</v>
      </c>
      <c r="CU288" s="70">
        <v>279.00234990000001</v>
      </c>
      <c r="CV288" s="70">
        <v>1.307219744</v>
      </c>
      <c r="CW288" s="70">
        <v>0</v>
      </c>
      <c r="CX288" s="4"/>
      <c r="CY288" s="69"/>
      <c r="CZ288" s="2" t="b">
        <f>IF($DP$1="YES",IF(RecData[[#This Row],[Power (kW)]]&gt;=$CR$3, TRUE,FALSE),TRUE)</f>
        <v>0</v>
      </c>
      <c r="DA288" s="16">
        <f>MIN(MOD(180-ABS(ABS($DA$1-RecData[Yaw Angle (°)])-180),360),MOD(180-ABS(ABS($DB$1-RecData[Yaw Angle (°)])-180),360))</f>
        <v>88.527576877687522</v>
      </c>
      <c r="DB288" s="2" t="str">
        <f>IF($DP$2="None","None",IF(RecData[[#This Row],[Relative Wind Direction]]&lt;=45,"DW",IF(RecData[[#This Row],[Relative Wind Direction]]&lt;=135,"CW","UW")))</f>
        <v>CW</v>
      </c>
      <c r="DC288" s="61">
        <f>IF($CL288-$CL287&gt;1/24,#REF!,IF(SUM($CQ287:$CQ288)&gt;$DS$1,$DS$5,DC289-1))</f>
        <v>-9</v>
      </c>
      <c r="DD288" s="61">
        <f>IF($CL289-$CL288&gt;1/24,#REF!,IF(SUM($CQ287:$CQ288)&gt;$DS$1,$DS$6,DD287-1))</f>
        <v>-2</v>
      </c>
      <c r="DE288" s="18" t="b">
        <v>0</v>
      </c>
      <c r="DF288" s="2" t="b">
        <f>IF(OR(RecData[[#This Row],[WSpd_Avg '[m/s']]]-RecData[[#This Row],[Wind Speed min]]&gt;=$DF$3,RecData[[#This Row],[Wind Speed max]]-RecData[[#This Row],[WSpd_Avg '[m/s']]]&gt;=$DF$2),TRUE,FALSE)</f>
        <v>0</v>
      </c>
      <c r="DG288" s="2" t="b">
        <f>RecData[[#This Row],[Temperature '[°C']]]&lt;=-20</f>
        <v>0</v>
      </c>
      <c r="DH288" s="18" t="b">
        <f>NOT(OR(MOD(RecData[[#This Row],[TIMESTAMP]],1)&gt;0.91632,MOD(RecData[[#This Row],[TIMESTAMP]],1)&lt;0.208681))</f>
        <v>0</v>
      </c>
      <c r="DI288" s="18" t="b">
        <f>RecData[[#This Row],[Overall (dBA)]]-RecData[[#This Row],[L90]]&gt;=$DS$4</f>
        <v>0</v>
      </c>
      <c r="DJ288" s="18" t="b">
        <f>RecData[[#This Row],[Overall (dBA)]]&gt;$DS$2</f>
        <v>0</v>
      </c>
      <c r="DK288" s="18" t="b">
        <f>RecData[[#This Row],[Overall (dBA)]]&lt;$DS$3</f>
        <v>0</v>
      </c>
      <c r="DL2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8" s="2">
        <f>IF(AND(RecData[[#This Row],[Turbines ON/OFF]] = "OFF", NOT(OR(RecData[[#This Row],[Junk?]]="YES",RecData[[#This Row],[Gust?]],RecData[[#This Row],[Rain?]:[Min SPL Threshold?]]))),1,0)</f>
        <v>1</v>
      </c>
      <c r="DN288" s="16">
        <f>RecData[[#This Row],[dBA Sum]]</f>
        <v>19.085657840285279</v>
      </c>
      <c r="DO288" s="16">
        <f>RecData[[#This Row],[LAF90.0]]</f>
        <v>41.1</v>
      </c>
      <c r="DP288" s="55" t="str">
        <f>IF(AND(RecData[[#This Row],[Useable TON Data?]],RecData[[#This Row],[Turbines ON/OFF]]="ON"),RecData[[#This Row],[dBA Sum]],"")</f>
        <v/>
      </c>
      <c r="DQ288" s="55">
        <f>IF(AND(RecData[[#This Row],[Useable Background Data?]],RecData[[#This Row],[Turbines ON/OFF]]="OFF"),RecData[[#This Row],[dBA Sum]],"")</f>
        <v>19.085657840285279</v>
      </c>
      <c r="DR288" s="3">
        <f>IF(OR(RecData[[#This Row],[Useable TON Data?]],RecData[[#This Row],[Useable Background Data?]]),ROUND(RecData[[#This Row],[WSpd_Avg '[m/s']]],0),"")</f>
        <v>0</v>
      </c>
      <c r="DS288" s="85">
        <f>(0.00002)^2*(10^(RecData[[#This Row],[Overall (dBA)]]/10))</f>
        <v>3.2406025943917566E-8</v>
      </c>
    </row>
    <row r="289" spans="1:123" ht="15" x14ac:dyDescent="0.25">
      <c r="A289" s="3" t="s">
        <v>249</v>
      </c>
      <c r="B289" s="12">
        <v>43260.954872685194</v>
      </c>
      <c r="C289" s="3"/>
      <c r="D289" s="3">
        <v>42.7</v>
      </c>
      <c r="E289" s="3"/>
      <c r="F289" s="3"/>
      <c r="G289" s="3"/>
      <c r="H289" s="3"/>
      <c r="I289" s="3"/>
      <c r="J289" s="3"/>
      <c r="K289" s="3">
        <v>41.1</v>
      </c>
      <c r="L289" s="3"/>
      <c r="M289" s="3"/>
      <c r="N289" s="3">
        <v>256.5</v>
      </c>
      <c r="O289" s="3"/>
      <c r="P289" s="3"/>
      <c r="Q289" s="3">
        <v>0.17</v>
      </c>
      <c r="R289" s="3">
        <v>0.1</v>
      </c>
      <c r="S289" s="3">
        <v>0.3</v>
      </c>
      <c r="T289" s="3">
        <v>13</v>
      </c>
      <c r="U289" s="3">
        <v>83.7</v>
      </c>
      <c r="V289" s="3">
        <v>975.6</v>
      </c>
      <c r="W289" s="3">
        <v>0</v>
      </c>
      <c r="X289" s="3">
        <v>19.5</v>
      </c>
      <c r="Y289" s="3">
        <v>15.5</v>
      </c>
      <c r="Z289" s="3">
        <v>18.899999999999999</v>
      </c>
      <c r="AA289" s="3">
        <v>12.8</v>
      </c>
      <c r="AB289" s="3">
        <v>15.4</v>
      </c>
      <c r="AC289" s="3">
        <v>6.9</v>
      </c>
      <c r="AD289" s="3">
        <v>8.9</v>
      </c>
      <c r="AE289" s="3">
        <v>13.7</v>
      </c>
      <c r="AF289" s="3">
        <v>11.1</v>
      </c>
      <c r="AG289" s="3">
        <v>9.9</v>
      </c>
      <c r="AH289" s="3">
        <v>12</v>
      </c>
      <c r="AI289" s="3">
        <v>10.7</v>
      </c>
      <c r="AJ289" s="3">
        <v>11.8</v>
      </c>
      <c r="AK289" s="3">
        <v>9.1</v>
      </c>
      <c r="AL289" s="3">
        <v>7.3</v>
      </c>
      <c r="AM289" s="3">
        <v>7.5</v>
      </c>
      <c r="AN289" s="3">
        <v>8.5</v>
      </c>
      <c r="AO289" s="3">
        <v>8.1</v>
      </c>
      <c r="AP289" s="3">
        <v>8.5</v>
      </c>
      <c r="AQ289" s="3">
        <v>12.7</v>
      </c>
      <c r="AR289" s="3">
        <v>9.3000000000000007</v>
      </c>
      <c r="AS289" s="3">
        <v>33.1</v>
      </c>
      <c r="AT289" s="3">
        <v>40.799999999999997</v>
      </c>
      <c r="AU289" s="3">
        <v>17.399999999999999</v>
      </c>
      <c r="AV289" s="3">
        <v>9.9</v>
      </c>
      <c r="AW289" s="3">
        <v>10</v>
      </c>
      <c r="AX289" s="3">
        <v>9.6999999999999993</v>
      </c>
      <c r="AY289" s="3">
        <v>9.9</v>
      </c>
      <c r="AZ289" s="3">
        <v>0</v>
      </c>
      <c r="BA289" s="3">
        <v>0</v>
      </c>
      <c r="BB289" s="3">
        <v>0</v>
      </c>
      <c r="BC289" s="3">
        <v>42.729249211103379</v>
      </c>
      <c r="BD289" s="3">
        <v>19.470750788896623</v>
      </c>
      <c r="BE289" s="3">
        <v>15.470750788896623</v>
      </c>
      <c r="BF289" s="3">
        <v>17.63075078889662</v>
      </c>
      <c r="BG289" s="3">
        <v>11.857417455563287</v>
      </c>
      <c r="BH289" s="3">
        <v>14.597417455563289</v>
      </c>
      <c r="BI289" s="3">
        <v>6.5107507888966225</v>
      </c>
      <c r="BJ289" s="3">
        <v>9.304084122229952</v>
      </c>
      <c r="BK289" s="3">
        <v>13.977417455563284</v>
      </c>
      <c r="BL289" s="3">
        <v>10.950750788896627</v>
      </c>
      <c r="BM289" s="3">
        <v>9.8840841222299574</v>
      </c>
      <c r="BN289" s="3">
        <v>12.26741745556329</v>
      </c>
      <c r="BO289" s="3">
        <v>10.33408412222996</v>
      </c>
      <c r="BP289" s="3">
        <v>11.150750788896623</v>
      </c>
      <c r="BQ289" s="3">
        <v>8.8674174555632845</v>
      </c>
      <c r="BR289" s="3">
        <v>7.3940841222299554</v>
      </c>
      <c r="BS289" s="3">
        <v>7.3974174555632928</v>
      </c>
      <c r="BT289" s="3">
        <v>8.5940841222299582</v>
      </c>
      <c r="BU289" s="3">
        <v>8.1607507888966282</v>
      </c>
      <c r="BV289" s="3">
        <v>8.2774174555632882</v>
      </c>
      <c r="BW289" s="3">
        <v>13.01075078889663</v>
      </c>
      <c r="BX289" s="3">
        <v>9.5307507888966256</v>
      </c>
      <c r="BY289" s="3">
        <v>33.150750788896616</v>
      </c>
      <c r="BZ289" s="3">
        <v>40.980750788896628</v>
      </c>
      <c r="CA289" s="3">
        <v>17.680750788896617</v>
      </c>
      <c r="CB289" s="3">
        <v>9.6174174555632845</v>
      </c>
      <c r="CC289" s="3">
        <v>9.9307507888966242</v>
      </c>
      <c r="CD289" s="3">
        <v>8.9374174555632919</v>
      </c>
      <c r="CE289" s="3">
        <v>9.3307507888966228</v>
      </c>
      <c r="CF289" s="3">
        <v>-0.95591587777004605</v>
      </c>
      <c r="CG289" s="3">
        <v>-1.4892492111033775</v>
      </c>
      <c r="CH289" s="3">
        <v>-2.5659158777700455</v>
      </c>
      <c r="CI289" s="13">
        <f>[1]!dbasum(RecData[[#This Row],[20]:[2000]],RecData[[#Headers],[20]:[2000]])</f>
        <v>18.61555644095171</v>
      </c>
      <c r="CJ289" s="14">
        <v>4296</v>
      </c>
      <c r="CK289" s="15" t="s">
        <v>249</v>
      </c>
      <c r="CL289" s="15">
        <f>RecData[[#This Row],[Start Time]]</f>
        <v>43260.954872685194</v>
      </c>
      <c r="CM289" s="16">
        <f>RecData[[#This Row],[Wind Speed avg]]</f>
        <v>0.17</v>
      </c>
      <c r="CN289" s="16">
        <f>RecData[[#This Row],[Wind Dir. avg]]</f>
        <v>256.5</v>
      </c>
      <c r="CO289" s="16">
        <f>RecData[[#This Row],[Amb. Humidity]]</f>
        <v>83.7</v>
      </c>
      <c r="CP289" s="16">
        <f>RecData[[#This Row],[Amb. Temperature]]</f>
        <v>13</v>
      </c>
      <c r="CQ289" s="17">
        <f>RecData[[#This Row],[Amb. Rain Gauge]]</f>
        <v>0</v>
      </c>
      <c r="CR289" s="4" t="s">
        <v>50</v>
      </c>
      <c r="CS289" s="4" t="s">
        <v>49</v>
      </c>
      <c r="CT289" s="70">
        <v>-9.407865524</v>
      </c>
      <c r="CU289" s="70">
        <v>279.00234990000001</v>
      </c>
      <c r="CV289" s="70">
        <v>1.307219744</v>
      </c>
      <c r="CW289" s="70">
        <v>0</v>
      </c>
      <c r="CX289" s="4"/>
      <c r="CY289" s="69"/>
      <c r="CZ289" s="2" t="b">
        <f>IF($DP$1="YES",IF(RecData[[#This Row],[Power (kW)]]&gt;=$CR$3, TRUE,FALSE),TRUE)</f>
        <v>0</v>
      </c>
      <c r="DA289" s="16">
        <f>MIN(MOD(180-ABS(ABS($DA$1-RecData[Yaw Angle (°)])-180),360),MOD(180-ABS(ABS($DB$1-RecData[Yaw Angle (°)])-180),360))</f>
        <v>88.527576877687522</v>
      </c>
      <c r="DB289" s="2" t="str">
        <f>IF($DP$2="None","None",IF(RecData[[#This Row],[Relative Wind Direction]]&lt;=45,"DW",IF(RecData[[#This Row],[Relative Wind Direction]]&lt;=135,"CW","UW")))</f>
        <v>CW</v>
      </c>
      <c r="DC289" s="61">
        <f>IF($CL289-$CL287&gt;1/24,#REF!,IF(SUM($CQ287:$CQ289)&gt;$DS$1,$DS$5,DC290-1))</f>
        <v>-8</v>
      </c>
      <c r="DD289" s="61">
        <f>IF($CL290-$CL289&gt;1/24,#REF!,IF(SUM($CQ287:$CQ289)&gt;$DS$1,$DS$6,DD288-1))</f>
        <v>-3</v>
      </c>
      <c r="DE289" s="18" t="b">
        <v>0</v>
      </c>
      <c r="DF289" s="2" t="b">
        <f>IF(OR(RecData[[#This Row],[WSpd_Avg '[m/s']]]-RecData[[#This Row],[Wind Speed min]]&gt;=$DF$3,RecData[[#This Row],[Wind Speed max]]-RecData[[#This Row],[WSpd_Avg '[m/s']]]&gt;=$DF$2),TRUE,FALSE)</f>
        <v>0</v>
      </c>
      <c r="DG289" s="2" t="b">
        <f>RecData[[#This Row],[Temperature '[°C']]]&lt;=-20</f>
        <v>0</v>
      </c>
      <c r="DH289" s="18" t="b">
        <f>NOT(OR(MOD(RecData[[#This Row],[TIMESTAMP]],1)&gt;0.91632,MOD(RecData[[#This Row],[TIMESTAMP]],1)&lt;0.208681))</f>
        <v>0</v>
      </c>
      <c r="DI289" s="18" t="b">
        <f>RecData[[#This Row],[Overall (dBA)]]-RecData[[#This Row],[L90]]&gt;=$DS$4</f>
        <v>0</v>
      </c>
      <c r="DJ289" s="18" t="b">
        <f>RecData[[#This Row],[Overall (dBA)]]&gt;$DS$2</f>
        <v>0</v>
      </c>
      <c r="DK289" s="18" t="b">
        <f>RecData[[#This Row],[Overall (dBA)]]&lt;$DS$3</f>
        <v>0</v>
      </c>
      <c r="DL2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89" s="2">
        <f>IF(AND(RecData[[#This Row],[Turbines ON/OFF]] = "OFF", NOT(OR(RecData[[#This Row],[Junk?]]="YES",RecData[[#This Row],[Gust?]],RecData[[#This Row],[Rain?]:[Min SPL Threshold?]]))),1,0)</f>
        <v>1</v>
      </c>
      <c r="DN289" s="16">
        <f>RecData[[#This Row],[dBA Sum]]</f>
        <v>18.61555644095171</v>
      </c>
      <c r="DO289" s="16">
        <f>RecData[[#This Row],[LAF90.0]]</f>
        <v>41.1</v>
      </c>
      <c r="DP289" s="55" t="str">
        <f>IF(AND(RecData[[#This Row],[Useable TON Data?]],RecData[[#This Row],[Turbines ON/OFF]]="ON"),RecData[[#This Row],[dBA Sum]],"")</f>
        <v/>
      </c>
      <c r="DQ289" s="55">
        <f>IF(AND(RecData[[#This Row],[Useable Background Data?]],RecData[[#This Row],[Turbines ON/OFF]]="OFF"),RecData[[#This Row],[dBA Sum]],"")</f>
        <v>18.61555644095171</v>
      </c>
      <c r="DR289" s="3">
        <f>IF(OR(RecData[[#This Row],[Useable TON Data?]],RecData[[#This Row],[Useable Background Data?]]),ROUND(RecData[[#This Row],[WSpd_Avg '[m/s']]],0),"")</f>
        <v>0</v>
      </c>
      <c r="DS289" s="85">
        <f>(0.00002)^2*(10^(RecData[[#This Row],[Overall (dBA)]]/10))</f>
        <v>2.908142179471999E-8</v>
      </c>
    </row>
    <row r="290" spans="1:123" ht="15" x14ac:dyDescent="0.25">
      <c r="A290" s="3" t="s">
        <v>249</v>
      </c>
      <c r="B290" s="12">
        <v>43260.95556712964</v>
      </c>
      <c r="C290" s="3"/>
      <c r="D290" s="3">
        <v>42.1</v>
      </c>
      <c r="E290" s="3"/>
      <c r="F290" s="3"/>
      <c r="G290" s="3"/>
      <c r="H290" s="3"/>
      <c r="I290" s="3"/>
      <c r="J290" s="3"/>
      <c r="K290" s="3">
        <v>40.299999999999997</v>
      </c>
      <c r="L290" s="3"/>
      <c r="M290" s="3"/>
      <c r="N290" s="3">
        <v>292</v>
      </c>
      <c r="O290" s="3"/>
      <c r="P290" s="3"/>
      <c r="Q290" s="3">
        <v>0.18</v>
      </c>
      <c r="R290" s="3">
        <v>0.1</v>
      </c>
      <c r="S290" s="3">
        <v>0.3</v>
      </c>
      <c r="T290" s="3">
        <v>13</v>
      </c>
      <c r="U290" s="3">
        <v>83.5</v>
      </c>
      <c r="V290" s="3">
        <v>975.6</v>
      </c>
      <c r="W290" s="3">
        <v>0</v>
      </c>
      <c r="X290" s="3">
        <v>19.2</v>
      </c>
      <c r="Y290" s="3">
        <v>16.899999999999999</v>
      </c>
      <c r="Z290" s="3">
        <v>19.399999999999999</v>
      </c>
      <c r="AA290" s="3">
        <v>13.7</v>
      </c>
      <c r="AB290" s="3">
        <v>14.5</v>
      </c>
      <c r="AC290" s="3">
        <v>7.9</v>
      </c>
      <c r="AD290" s="3">
        <v>8.5</v>
      </c>
      <c r="AE290" s="3">
        <v>13.7</v>
      </c>
      <c r="AF290" s="3">
        <v>12.5</v>
      </c>
      <c r="AG290" s="3">
        <v>11.7</v>
      </c>
      <c r="AH290" s="3">
        <v>12.4</v>
      </c>
      <c r="AI290" s="3">
        <v>10.8</v>
      </c>
      <c r="AJ290" s="3">
        <v>12.1</v>
      </c>
      <c r="AK290" s="3">
        <v>9.1999999999999993</v>
      </c>
      <c r="AL290" s="3">
        <v>7.4</v>
      </c>
      <c r="AM290" s="3">
        <v>8.1999999999999993</v>
      </c>
      <c r="AN290" s="3">
        <v>9.1999999999999993</v>
      </c>
      <c r="AO290" s="3">
        <v>8.1</v>
      </c>
      <c r="AP290" s="3">
        <v>8.4</v>
      </c>
      <c r="AQ290" s="3">
        <v>12.2</v>
      </c>
      <c r="AR290" s="3">
        <v>9.1</v>
      </c>
      <c r="AS290" s="3">
        <v>32.5</v>
      </c>
      <c r="AT290" s="3">
        <v>40.200000000000003</v>
      </c>
      <c r="AU290" s="3">
        <v>16.2</v>
      </c>
      <c r="AV290" s="3">
        <v>10</v>
      </c>
      <c r="AW290" s="3">
        <v>10.1</v>
      </c>
      <c r="AX290" s="3">
        <v>9.9</v>
      </c>
      <c r="AY290" s="3">
        <v>10</v>
      </c>
      <c r="AZ290" s="3">
        <v>0</v>
      </c>
      <c r="BA290" s="3">
        <v>0</v>
      </c>
      <c r="BB290" s="3">
        <v>0</v>
      </c>
      <c r="BC290" s="3">
        <v>42.130860812161458</v>
      </c>
      <c r="BD290" s="3">
        <v>19.169139187838539</v>
      </c>
      <c r="BE290" s="3">
        <v>16.869139187838542</v>
      </c>
      <c r="BF290" s="3">
        <v>18.129139187838547</v>
      </c>
      <c r="BG290" s="3">
        <v>12.755805854505205</v>
      </c>
      <c r="BH290" s="3">
        <v>13.69580585450521</v>
      </c>
      <c r="BI290" s="3">
        <v>7.5091391878385423</v>
      </c>
      <c r="BJ290" s="3">
        <v>8.9024725211718732</v>
      </c>
      <c r="BK290" s="3">
        <v>13.975805854505204</v>
      </c>
      <c r="BL290" s="3">
        <v>12.349139187838546</v>
      </c>
      <c r="BM290" s="3">
        <v>11.682472521171874</v>
      </c>
      <c r="BN290" s="3">
        <v>12.665805854505209</v>
      </c>
      <c r="BO290" s="3">
        <v>10.432472521171881</v>
      </c>
      <c r="BP290" s="3">
        <v>11.44913918783854</v>
      </c>
      <c r="BQ290" s="3">
        <v>8.9658058545051986</v>
      </c>
      <c r="BR290" s="3">
        <v>7.4924725211718766</v>
      </c>
      <c r="BS290" s="3">
        <v>8.0958058545052083</v>
      </c>
      <c r="BT290" s="3">
        <v>9.2924725211718737</v>
      </c>
      <c r="BU290" s="3">
        <v>8.159139187838548</v>
      </c>
      <c r="BV290" s="3">
        <v>8.1758058545052137</v>
      </c>
      <c r="BW290" s="3">
        <v>12.509139187838542</v>
      </c>
      <c r="BX290" s="3">
        <v>9.3291391878385497</v>
      </c>
      <c r="BY290" s="3">
        <v>32.549139187838549</v>
      </c>
      <c r="BZ290" s="3">
        <v>40.379139187838547</v>
      </c>
      <c r="CA290" s="3">
        <v>16.479139187838534</v>
      </c>
      <c r="CB290" s="3">
        <v>9.7158058545052057</v>
      </c>
      <c r="CC290" s="3">
        <v>10.029139187838538</v>
      </c>
      <c r="CD290" s="3">
        <v>9.1358058545052145</v>
      </c>
      <c r="CE290" s="3">
        <v>9.429139187838544</v>
      </c>
      <c r="CF290" s="3">
        <v>-0.95752747882812628</v>
      </c>
      <c r="CG290" s="3">
        <v>-1.4908608121614577</v>
      </c>
      <c r="CH290" s="3">
        <v>-2.5675274788281257</v>
      </c>
      <c r="CI290" s="13">
        <f>[1]!dbasum(RecData[[#This Row],[20]:[2000]],RecData[[#Headers],[20]:[2000]])</f>
        <v>18.557945395168737</v>
      </c>
      <c r="CJ290" s="14">
        <v>4297</v>
      </c>
      <c r="CK290" s="15" t="s">
        <v>249</v>
      </c>
      <c r="CL290" s="15">
        <f>RecData[[#This Row],[Start Time]]</f>
        <v>43260.95556712964</v>
      </c>
      <c r="CM290" s="16">
        <f>RecData[[#This Row],[Wind Speed avg]]</f>
        <v>0.18</v>
      </c>
      <c r="CN290" s="16">
        <f>RecData[[#This Row],[Wind Dir. avg]]</f>
        <v>292</v>
      </c>
      <c r="CO290" s="16">
        <f>RecData[[#This Row],[Amb. Humidity]]</f>
        <v>83.5</v>
      </c>
      <c r="CP290" s="16">
        <f>RecData[[#This Row],[Amb. Temperature]]</f>
        <v>13</v>
      </c>
      <c r="CQ290" s="17">
        <f>RecData[[#This Row],[Amb. Rain Gauge]]</f>
        <v>0</v>
      </c>
      <c r="CR290" s="4" t="s">
        <v>50</v>
      </c>
      <c r="CS290" s="4" t="s">
        <v>49</v>
      </c>
      <c r="CT290" s="70">
        <v>-9.407865524</v>
      </c>
      <c r="CU290" s="70">
        <v>279.00234990000001</v>
      </c>
      <c r="CV290" s="70">
        <v>1.307219744</v>
      </c>
      <c r="CW290" s="70">
        <v>0</v>
      </c>
      <c r="CX290" s="4"/>
      <c r="CY290" s="69"/>
      <c r="CZ290" s="2" t="b">
        <f>IF($DP$1="YES",IF(RecData[[#This Row],[Power (kW)]]&gt;=$CR$3, TRUE,FALSE),TRUE)</f>
        <v>0</v>
      </c>
      <c r="DA290" s="16">
        <f>MIN(MOD(180-ABS(ABS($DA$1-RecData[Yaw Angle (°)])-180),360),MOD(180-ABS(ABS($DB$1-RecData[Yaw Angle (°)])-180),360))</f>
        <v>88.527576877687522</v>
      </c>
      <c r="DB290" s="2" t="str">
        <f>IF($DP$2="None","None",IF(RecData[[#This Row],[Relative Wind Direction]]&lt;=45,"DW",IF(RecData[[#This Row],[Relative Wind Direction]]&lt;=135,"CW","UW")))</f>
        <v>CW</v>
      </c>
      <c r="DC290" s="61">
        <f>IF($CL290-$CL287&gt;1/24,#REF!,IF(SUM($CQ287:$CQ290)&gt;$DS$1,$DS$5,DC291-1))</f>
        <v>-7</v>
      </c>
      <c r="DD290" s="61">
        <f>IF($CL291-$CL290&gt;1/24,#REF!,IF(SUM($CQ287:$CQ290)&gt;$DS$1,$DS$6,DD289-1))</f>
        <v>-4</v>
      </c>
      <c r="DE290" s="18" t="b">
        <v>0</v>
      </c>
      <c r="DF290" s="2" t="b">
        <f>IF(OR(RecData[[#This Row],[WSpd_Avg '[m/s']]]-RecData[[#This Row],[Wind Speed min]]&gt;=$DF$3,RecData[[#This Row],[Wind Speed max]]-RecData[[#This Row],[WSpd_Avg '[m/s']]]&gt;=$DF$2),TRUE,FALSE)</f>
        <v>0</v>
      </c>
      <c r="DG290" s="2" t="b">
        <f>RecData[[#This Row],[Temperature '[°C']]]&lt;=-20</f>
        <v>0</v>
      </c>
      <c r="DH290" s="18" t="b">
        <f>NOT(OR(MOD(RecData[[#This Row],[TIMESTAMP]],1)&gt;0.91632,MOD(RecData[[#This Row],[TIMESTAMP]],1)&lt;0.208681))</f>
        <v>0</v>
      </c>
      <c r="DI290" s="18" t="b">
        <f>RecData[[#This Row],[Overall (dBA)]]-RecData[[#This Row],[L90]]&gt;=$DS$4</f>
        <v>0</v>
      </c>
      <c r="DJ290" s="18" t="b">
        <f>RecData[[#This Row],[Overall (dBA)]]&gt;$DS$2</f>
        <v>0</v>
      </c>
      <c r="DK290" s="18" t="b">
        <f>RecData[[#This Row],[Overall (dBA)]]&lt;$DS$3</f>
        <v>0</v>
      </c>
      <c r="DL2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0" s="2">
        <f>IF(AND(RecData[[#This Row],[Turbines ON/OFF]] = "OFF", NOT(OR(RecData[[#This Row],[Junk?]]="YES",RecData[[#This Row],[Gust?]],RecData[[#This Row],[Rain?]:[Min SPL Threshold?]]))),1,0)</f>
        <v>1</v>
      </c>
      <c r="DN290" s="16">
        <f>RecData[[#This Row],[dBA Sum]]</f>
        <v>18.557945395168737</v>
      </c>
      <c r="DO290" s="16">
        <f>RecData[[#This Row],[LAF90.0]]</f>
        <v>40.299999999999997</v>
      </c>
      <c r="DP290" s="55" t="str">
        <f>IF(AND(RecData[[#This Row],[Useable TON Data?]],RecData[[#This Row],[Turbines ON/OFF]]="ON"),RecData[[#This Row],[dBA Sum]],"")</f>
        <v/>
      </c>
      <c r="DQ290" s="55">
        <f>IF(AND(RecData[[#This Row],[Useable Background Data?]],RecData[[#This Row],[Turbines ON/OFF]]="OFF"),RecData[[#This Row],[dBA Sum]],"")</f>
        <v>18.557945395168737</v>
      </c>
      <c r="DR290" s="3">
        <f>IF(OR(RecData[[#This Row],[Useable TON Data?]],RecData[[#This Row],[Useable Background Data?]]),ROUND(RecData[[#This Row],[WSpd_Avg '[m/s']]],0),"")</f>
        <v>0</v>
      </c>
      <c r="DS290" s="85">
        <f>(0.00002)^2*(10^(RecData[[#This Row],[Overall (dBA)]]/10))</f>
        <v>2.8698191604298323E-8</v>
      </c>
    </row>
    <row r="291" spans="1:123" ht="15" x14ac:dyDescent="0.25">
      <c r="A291" s="3" t="s">
        <v>249</v>
      </c>
      <c r="B291" s="12">
        <v>43260.95626157408</v>
      </c>
      <c r="C291" s="3"/>
      <c r="D291" s="3">
        <v>41</v>
      </c>
      <c r="E291" s="3"/>
      <c r="F291" s="3"/>
      <c r="G291" s="3"/>
      <c r="H291" s="3"/>
      <c r="I291" s="3"/>
      <c r="J291" s="3"/>
      <c r="K291" s="3">
        <v>39.200000000000003</v>
      </c>
      <c r="L291" s="3"/>
      <c r="M291" s="3"/>
      <c r="N291" s="3">
        <v>290</v>
      </c>
      <c r="O291" s="3"/>
      <c r="P291" s="3"/>
      <c r="Q291" s="3">
        <v>0.11</v>
      </c>
      <c r="R291" s="3">
        <v>0.1</v>
      </c>
      <c r="S291" s="3">
        <v>0.2</v>
      </c>
      <c r="T291" s="3">
        <v>13</v>
      </c>
      <c r="U291" s="3">
        <v>83.4</v>
      </c>
      <c r="V291" s="3">
        <v>975.6</v>
      </c>
      <c r="W291" s="3">
        <v>0</v>
      </c>
      <c r="X291" s="3">
        <v>24.2</v>
      </c>
      <c r="Y291" s="3">
        <v>26.3</v>
      </c>
      <c r="Z291" s="3">
        <v>28.3</v>
      </c>
      <c r="AA291" s="3">
        <v>22.9</v>
      </c>
      <c r="AB291" s="3">
        <v>15.8</v>
      </c>
      <c r="AC291" s="3">
        <v>8.1</v>
      </c>
      <c r="AD291" s="3">
        <v>10.4</v>
      </c>
      <c r="AE291" s="3">
        <v>14.7</v>
      </c>
      <c r="AF291" s="3">
        <v>15.3</v>
      </c>
      <c r="AG291" s="3">
        <v>11.8</v>
      </c>
      <c r="AH291" s="3">
        <v>13.1</v>
      </c>
      <c r="AI291" s="3">
        <v>12.1</v>
      </c>
      <c r="AJ291" s="3">
        <v>12.2</v>
      </c>
      <c r="AK291" s="3">
        <v>8.8000000000000007</v>
      </c>
      <c r="AL291" s="3">
        <v>7.7</v>
      </c>
      <c r="AM291" s="3">
        <v>9.6</v>
      </c>
      <c r="AN291" s="3">
        <v>8.5</v>
      </c>
      <c r="AO291" s="3">
        <v>8</v>
      </c>
      <c r="AP291" s="3">
        <v>8.3000000000000007</v>
      </c>
      <c r="AQ291" s="3">
        <v>11.6</v>
      </c>
      <c r="AR291" s="3">
        <v>8.6999999999999993</v>
      </c>
      <c r="AS291" s="3">
        <v>32</v>
      </c>
      <c r="AT291" s="3">
        <v>38.9</v>
      </c>
      <c r="AU291" s="3">
        <v>15.1</v>
      </c>
      <c r="AV291" s="3">
        <v>9.8000000000000007</v>
      </c>
      <c r="AW291" s="3">
        <v>10.1</v>
      </c>
      <c r="AX291" s="3">
        <v>9.6999999999999993</v>
      </c>
      <c r="AY291" s="3">
        <v>9.9</v>
      </c>
      <c r="AZ291" s="3">
        <v>0</v>
      </c>
      <c r="BA291" s="3">
        <v>0</v>
      </c>
      <c r="BB291" s="3">
        <v>0</v>
      </c>
      <c r="BC291" s="3">
        <v>40.966127430309754</v>
      </c>
      <c r="BD291" s="3">
        <v>24.233872569690249</v>
      </c>
      <c r="BE291" s="3">
        <v>26.333872569690243</v>
      </c>
      <c r="BF291" s="3">
        <v>27.093872569690248</v>
      </c>
      <c r="BG291" s="3">
        <v>22.02053923635691</v>
      </c>
      <c r="BH291" s="3">
        <v>15.060539236356917</v>
      </c>
      <c r="BI291" s="3">
        <v>7.7738725696902478</v>
      </c>
      <c r="BJ291" s="3">
        <v>10.867205903023574</v>
      </c>
      <c r="BK291" s="3">
        <v>15.040539236356906</v>
      </c>
      <c r="BL291" s="3">
        <v>15.213872569690245</v>
      </c>
      <c r="BM291" s="3">
        <v>11.847205903023578</v>
      </c>
      <c r="BN291" s="3">
        <v>13.430539236356914</v>
      </c>
      <c r="BO291" s="3">
        <v>11.797205903023581</v>
      </c>
      <c r="BP291" s="3">
        <v>11.613872569690244</v>
      </c>
      <c r="BQ291" s="3">
        <v>8.6305392363569027</v>
      </c>
      <c r="BR291" s="3">
        <v>7.8572059030235835</v>
      </c>
      <c r="BS291" s="3">
        <v>9.5605392363569166</v>
      </c>
      <c r="BT291" s="3">
        <v>8.6572059030235806</v>
      </c>
      <c r="BU291" s="3">
        <v>8.1238725696902492</v>
      </c>
      <c r="BV291" s="3">
        <v>8.1405392363569149</v>
      </c>
      <c r="BW291" s="3">
        <v>11.973872569690251</v>
      </c>
      <c r="BX291" s="3">
        <v>8.9938725696902537</v>
      </c>
      <c r="BY291" s="3">
        <v>32.113872569690244</v>
      </c>
      <c r="BZ291" s="3">
        <v>39.143872569690245</v>
      </c>
      <c r="CA291" s="3">
        <v>15.443872569690242</v>
      </c>
      <c r="CB291" s="3">
        <v>9.5805392363569126</v>
      </c>
      <c r="CC291" s="3">
        <v>10.093872569690248</v>
      </c>
      <c r="CD291" s="3">
        <v>9.0005392363569143</v>
      </c>
      <c r="CE291" s="3">
        <v>9.3938725696902452</v>
      </c>
      <c r="CF291" s="3">
        <v>-0.89279409697642365</v>
      </c>
      <c r="CG291" s="3">
        <v>-1.4261274303097551</v>
      </c>
      <c r="CH291" s="3">
        <v>-2.5027940969764231</v>
      </c>
      <c r="CI291" s="13">
        <f>[1]!dbasum(RecData[[#This Row],[20]:[2000]],RecData[[#Headers],[20]:[2000]])</f>
        <v>18.484752039735248</v>
      </c>
      <c r="CJ291" s="14">
        <v>4298</v>
      </c>
      <c r="CK291" s="15" t="s">
        <v>249</v>
      </c>
      <c r="CL291" s="15">
        <f>RecData[[#This Row],[Start Time]]</f>
        <v>43260.95626157408</v>
      </c>
      <c r="CM291" s="16">
        <f>RecData[[#This Row],[Wind Speed avg]]</f>
        <v>0.11</v>
      </c>
      <c r="CN291" s="16">
        <f>RecData[[#This Row],[Wind Dir. avg]]</f>
        <v>290</v>
      </c>
      <c r="CO291" s="16">
        <f>RecData[[#This Row],[Amb. Humidity]]</f>
        <v>83.4</v>
      </c>
      <c r="CP291" s="16">
        <f>RecData[[#This Row],[Amb. Temperature]]</f>
        <v>13</v>
      </c>
      <c r="CQ291" s="17">
        <f>RecData[[#This Row],[Amb. Rain Gauge]]</f>
        <v>0</v>
      </c>
      <c r="CR291" s="4" t="s">
        <v>50</v>
      </c>
      <c r="CS291" s="4" t="s">
        <v>49</v>
      </c>
      <c r="CT291" s="70">
        <v>-9.407865524</v>
      </c>
      <c r="CU291" s="70">
        <v>279.00234990000001</v>
      </c>
      <c r="CV291" s="70">
        <v>1.307219744</v>
      </c>
      <c r="CW291" s="70">
        <v>0</v>
      </c>
      <c r="CX291" s="4"/>
      <c r="CY291" s="69"/>
      <c r="CZ291" s="2" t="b">
        <f>IF($DP$1="YES",IF(RecData[[#This Row],[Power (kW)]]&gt;=$CR$3, TRUE,FALSE),TRUE)</f>
        <v>0</v>
      </c>
      <c r="DA291" s="16">
        <f>MIN(MOD(180-ABS(ABS($DA$1-RecData[Yaw Angle (°)])-180),360),MOD(180-ABS(ABS($DB$1-RecData[Yaw Angle (°)])-180),360))</f>
        <v>88.527576877687522</v>
      </c>
      <c r="DB291" s="2" t="str">
        <f>IF($DP$2="None","None",IF(RecData[[#This Row],[Relative Wind Direction]]&lt;=45,"DW",IF(RecData[[#This Row],[Relative Wind Direction]]&lt;=135,"CW","UW")))</f>
        <v>CW</v>
      </c>
      <c r="DC291" s="61">
        <f>IF($CL291-$CL287&gt;1/24,#REF!,IF(SUM($CQ287:$CQ291)&gt;$DS$1,$DS$5,DC292-1))</f>
        <v>-6</v>
      </c>
      <c r="DD291" s="61">
        <f>IF($CL292-$CL291&gt;1/24,#REF!,IF(SUM($CQ287:$CQ291)&gt;$DS$1,$DS$6,DD290-1))</f>
        <v>-5</v>
      </c>
      <c r="DE291" s="18" t="b">
        <v>0</v>
      </c>
      <c r="DF291" s="2" t="b">
        <f>IF(OR(RecData[[#This Row],[WSpd_Avg '[m/s']]]-RecData[[#This Row],[Wind Speed min]]&gt;=$DF$3,RecData[[#This Row],[Wind Speed max]]-RecData[[#This Row],[WSpd_Avg '[m/s']]]&gt;=$DF$2),TRUE,FALSE)</f>
        <v>0</v>
      </c>
      <c r="DG291" s="2" t="b">
        <f>RecData[[#This Row],[Temperature '[°C']]]&lt;=-20</f>
        <v>0</v>
      </c>
      <c r="DH291" s="18" t="b">
        <f>NOT(OR(MOD(RecData[[#This Row],[TIMESTAMP]],1)&gt;0.91632,MOD(RecData[[#This Row],[TIMESTAMP]],1)&lt;0.208681))</f>
        <v>0</v>
      </c>
      <c r="DI291" s="18" t="b">
        <f>RecData[[#This Row],[Overall (dBA)]]-RecData[[#This Row],[L90]]&gt;=$DS$4</f>
        <v>0</v>
      </c>
      <c r="DJ291" s="18" t="b">
        <f>RecData[[#This Row],[Overall (dBA)]]&gt;$DS$2</f>
        <v>0</v>
      </c>
      <c r="DK291" s="18" t="b">
        <f>RecData[[#This Row],[Overall (dBA)]]&lt;$DS$3</f>
        <v>0</v>
      </c>
      <c r="DL2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1" s="2">
        <f>IF(AND(RecData[[#This Row],[Turbines ON/OFF]] = "OFF", NOT(OR(RecData[[#This Row],[Junk?]]="YES",RecData[[#This Row],[Gust?]],RecData[[#This Row],[Rain?]:[Min SPL Threshold?]]))),1,0)</f>
        <v>1</v>
      </c>
      <c r="DN291" s="16">
        <f>RecData[[#This Row],[dBA Sum]]</f>
        <v>18.484752039735248</v>
      </c>
      <c r="DO291" s="16">
        <f>RecData[[#This Row],[LAF90.0]]</f>
        <v>39.200000000000003</v>
      </c>
      <c r="DP291" s="55" t="str">
        <f>IF(AND(RecData[[#This Row],[Useable TON Data?]],RecData[[#This Row],[Turbines ON/OFF]]="ON"),RecData[[#This Row],[dBA Sum]],"")</f>
        <v/>
      </c>
      <c r="DQ291" s="55">
        <f>IF(AND(RecData[[#This Row],[Useable Background Data?]],RecData[[#This Row],[Turbines ON/OFF]]="OFF"),RecData[[#This Row],[dBA Sum]],"")</f>
        <v>18.484752039735248</v>
      </c>
      <c r="DR291" s="3">
        <f>IF(OR(RecData[[#This Row],[Useable TON Data?]],RecData[[#This Row],[Useable Background Data?]]),ROUND(RecData[[#This Row],[WSpd_Avg '[m/s']]],0),"")</f>
        <v>0</v>
      </c>
      <c r="DS291" s="85">
        <f>(0.00002)^2*(10^(RecData[[#This Row],[Overall (dBA)]]/10))</f>
        <v>2.8218582577161621E-8</v>
      </c>
    </row>
    <row r="292" spans="1:123" ht="15" x14ac:dyDescent="0.25">
      <c r="A292" s="3" t="s">
        <v>249</v>
      </c>
      <c r="B292" s="12">
        <v>43260.956956018526</v>
      </c>
      <c r="C292" s="3"/>
      <c r="D292" s="3">
        <v>41.5</v>
      </c>
      <c r="E292" s="3"/>
      <c r="F292" s="3"/>
      <c r="G292" s="3"/>
      <c r="H292" s="3"/>
      <c r="I292" s="3"/>
      <c r="J292" s="3"/>
      <c r="K292" s="3">
        <v>40.200000000000003</v>
      </c>
      <c r="L292" s="3"/>
      <c r="M292" s="3"/>
      <c r="N292" s="3">
        <v>190</v>
      </c>
      <c r="O292" s="3"/>
      <c r="P292" s="3"/>
      <c r="Q292" s="3">
        <v>0.1</v>
      </c>
      <c r="R292" s="3">
        <v>0</v>
      </c>
      <c r="S292" s="3">
        <v>0.2</v>
      </c>
      <c r="T292" s="3">
        <v>13</v>
      </c>
      <c r="U292" s="3">
        <v>83.4</v>
      </c>
      <c r="V292" s="3">
        <v>975.6</v>
      </c>
      <c r="W292" s="3">
        <v>0</v>
      </c>
      <c r="X292" s="3">
        <v>17.600000000000001</v>
      </c>
      <c r="Y292" s="3">
        <v>19</v>
      </c>
      <c r="Z292" s="3">
        <v>17</v>
      </c>
      <c r="AA292" s="3">
        <v>12.9</v>
      </c>
      <c r="AB292" s="3">
        <v>14.6</v>
      </c>
      <c r="AC292" s="3">
        <v>5.2</v>
      </c>
      <c r="AD292" s="3">
        <v>9.4</v>
      </c>
      <c r="AE292" s="3">
        <v>13.4</v>
      </c>
      <c r="AF292" s="3">
        <v>12.8</v>
      </c>
      <c r="AG292" s="3">
        <v>11.3</v>
      </c>
      <c r="AH292" s="3">
        <v>12</v>
      </c>
      <c r="AI292" s="3">
        <v>10.3</v>
      </c>
      <c r="AJ292" s="3">
        <v>11.5</v>
      </c>
      <c r="AK292" s="3">
        <v>8.8000000000000007</v>
      </c>
      <c r="AL292" s="3">
        <v>7.5</v>
      </c>
      <c r="AM292" s="3">
        <v>7.4</v>
      </c>
      <c r="AN292" s="3">
        <v>8.3000000000000007</v>
      </c>
      <c r="AO292" s="3">
        <v>7.8</v>
      </c>
      <c r="AP292" s="3">
        <v>8.4</v>
      </c>
      <c r="AQ292" s="3">
        <v>11.4</v>
      </c>
      <c r="AR292" s="3">
        <v>8.8000000000000007</v>
      </c>
      <c r="AS292" s="3">
        <v>32.200000000000003</v>
      </c>
      <c r="AT292" s="3">
        <v>39.5</v>
      </c>
      <c r="AU292" s="3">
        <v>15.2</v>
      </c>
      <c r="AV292" s="3">
        <v>9.9</v>
      </c>
      <c r="AW292" s="3">
        <v>10.1</v>
      </c>
      <c r="AX292" s="3">
        <v>9.8000000000000007</v>
      </c>
      <c r="AY292" s="3">
        <v>10</v>
      </c>
      <c r="AZ292" s="3">
        <v>0</v>
      </c>
      <c r="BA292" s="3">
        <v>0</v>
      </c>
      <c r="BB292" s="3">
        <v>0</v>
      </c>
      <c r="BC292" s="3">
        <v>41.492917444167134</v>
      </c>
      <c r="BD292" s="3">
        <v>17.607082555832868</v>
      </c>
      <c r="BE292" s="3">
        <v>19.007082555832866</v>
      </c>
      <c r="BF292" s="3">
        <v>15.767082555832864</v>
      </c>
      <c r="BG292" s="3">
        <v>11.993749222499531</v>
      </c>
      <c r="BH292" s="3">
        <v>13.833749222499534</v>
      </c>
      <c r="BI292" s="3">
        <v>4.8470825558328698</v>
      </c>
      <c r="BJ292" s="3">
        <v>9.840415889166195</v>
      </c>
      <c r="BK292" s="3">
        <v>13.71374922249953</v>
      </c>
      <c r="BL292" s="3">
        <v>12.687082555832866</v>
      </c>
      <c r="BM292" s="3">
        <v>11.320415889166199</v>
      </c>
      <c r="BN292" s="3">
        <v>12.303749222499533</v>
      </c>
      <c r="BO292" s="3">
        <v>9.9704158891662047</v>
      </c>
      <c r="BP292" s="3">
        <v>10.887082555832869</v>
      </c>
      <c r="BQ292" s="3">
        <v>8.6037492224995233</v>
      </c>
      <c r="BR292" s="3">
        <v>7.6304158891662013</v>
      </c>
      <c r="BS292" s="3">
        <v>7.3337492224995344</v>
      </c>
      <c r="BT292" s="3">
        <v>8.4304158891661984</v>
      </c>
      <c r="BU292" s="3">
        <v>7.897082555832867</v>
      </c>
      <c r="BV292" s="3">
        <v>8.2137492224995299</v>
      </c>
      <c r="BW292" s="3">
        <v>11.747082555832868</v>
      </c>
      <c r="BX292" s="3">
        <v>9.0670825558328687</v>
      </c>
      <c r="BY292" s="3">
        <v>32.287082555832868</v>
      </c>
      <c r="BZ292" s="3">
        <v>39.717082555832874</v>
      </c>
      <c r="CA292" s="3">
        <v>15.517082555832857</v>
      </c>
      <c r="CB292" s="3">
        <v>9.6537492224995276</v>
      </c>
      <c r="CC292" s="3">
        <v>10.067082555832869</v>
      </c>
      <c r="CD292" s="3">
        <v>9.0737492224995364</v>
      </c>
      <c r="CE292" s="3">
        <v>9.4670825558328673</v>
      </c>
      <c r="CF292" s="3">
        <v>-0.91958411083380298</v>
      </c>
      <c r="CG292" s="3">
        <v>-1.4529174441671344</v>
      </c>
      <c r="CH292" s="3">
        <v>-2.5295841108338024</v>
      </c>
      <c r="CI292" s="13">
        <f>[1]!dbasum(RecData[[#This Row],[20]:[2000]],RecData[[#Headers],[20]:[2000]])</f>
        <v>18.090444142179972</v>
      </c>
      <c r="CJ292" s="14">
        <v>4299</v>
      </c>
      <c r="CK292" s="15" t="s">
        <v>249</v>
      </c>
      <c r="CL292" s="15">
        <f>RecData[[#This Row],[Start Time]]</f>
        <v>43260.956956018526</v>
      </c>
      <c r="CM292" s="16">
        <f>RecData[[#This Row],[Wind Speed avg]]</f>
        <v>0.1</v>
      </c>
      <c r="CN292" s="16">
        <f>RecData[[#This Row],[Wind Dir. avg]]</f>
        <v>190</v>
      </c>
      <c r="CO292" s="16">
        <f>RecData[[#This Row],[Amb. Humidity]]</f>
        <v>83.4</v>
      </c>
      <c r="CP292" s="16">
        <f>RecData[[#This Row],[Amb. Temperature]]</f>
        <v>13</v>
      </c>
      <c r="CQ292" s="17">
        <f>RecData[[#This Row],[Amb. Rain Gauge]]</f>
        <v>0</v>
      </c>
      <c r="CR292" s="4" t="s">
        <v>50</v>
      </c>
      <c r="CS292" s="4" t="s">
        <v>49</v>
      </c>
      <c r="CT292" s="70">
        <v>-9.407865524</v>
      </c>
      <c r="CU292" s="70">
        <v>279.00234990000001</v>
      </c>
      <c r="CV292" s="70">
        <v>1.307219744</v>
      </c>
      <c r="CW292" s="70">
        <v>0</v>
      </c>
      <c r="CX292" s="4"/>
      <c r="CY292" s="69"/>
      <c r="CZ292" s="2" t="b">
        <f>IF($DP$1="YES",IF(RecData[[#This Row],[Power (kW)]]&gt;=$CR$3, TRUE,FALSE),TRUE)</f>
        <v>0</v>
      </c>
      <c r="DA292" s="16">
        <f>MIN(MOD(180-ABS(ABS($DA$1-RecData[Yaw Angle (°)])-180),360),MOD(180-ABS(ABS($DB$1-RecData[Yaw Angle (°)])-180),360))</f>
        <v>88.527576877687522</v>
      </c>
      <c r="DB292" s="2" t="str">
        <f>IF($DP$2="None","None",IF(RecData[[#This Row],[Relative Wind Direction]]&lt;=45,"DW",IF(RecData[[#This Row],[Relative Wind Direction]]&lt;=135,"CW","UW")))</f>
        <v>CW</v>
      </c>
      <c r="DC292" s="61">
        <f>IF($CL292-$CL288&gt;1/24,#REF!,IF(SUM($CQ288:$CQ292)&gt;$DS$1,$DS$5,DC293-1))</f>
        <v>-5</v>
      </c>
      <c r="DD292" s="61">
        <f>IF($CL293-$CL292&gt;1/24,#REF!,IF(SUM($CQ288:$CQ292)&gt;$DS$1,$DS$6,DD291-1))</f>
        <v>-6</v>
      </c>
      <c r="DE292" s="18" t="b">
        <v>0</v>
      </c>
      <c r="DF292" s="2" t="b">
        <f>IF(OR(RecData[[#This Row],[WSpd_Avg '[m/s']]]-RecData[[#This Row],[Wind Speed min]]&gt;=$DF$3,RecData[[#This Row],[Wind Speed max]]-RecData[[#This Row],[WSpd_Avg '[m/s']]]&gt;=$DF$2),TRUE,FALSE)</f>
        <v>0</v>
      </c>
      <c r="DG292" s="2" t="b">
        <f>RecData[[#This Row],[Temperature '[°C']]]&lt;=-20</f>
        <v>0</v>
      </c>
      <c r="DH292" s="18" t="b">
        <f>NOT(OR(MOD(RecData[[#This Row],[TIMESTAMP]],1)&gt;0.91632,MOD(RecData[[#This Row],[TIMESTAMP]],1)&lt;0.208681))</f>
        <v>0</v>
      </c>
      <c r="DI292" s="18" t="b">
        <f>RecData[[#This Row],[Overall (dBA)]]-RecData[[#This Row],[L90]]&gt;=$DS$4</f>
        <v>0</v>
      </c>
      <c r="DJ292" s="18" t="b">
        <f>RecData[[#This Row],[Overall (dBA)]]&gt;$DS$2</f>
        <v>0</v>
      </c>
      <c r="DK292" s="18" t="b">
        <f>RecData[[#This Row],[Overall (dBA)]]&lt;$DS$3</f>
        <v>0</v>
      </c>
      <c r="DL2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2" s="2">
        <f>IF(AND(RecData[[#This Row],[Turbines ON/OFF]] = "OFF", NOT(OR(RecData[[#This Row],[Junk?]]="YES",RecData[[#This Row],[Gust?]],RecData[[#This Row],[Rain?]:[Min SPL Threshold?]]))),1,0)</f>
        <v>1</v>
      </c>
      <c r="DN292" s="16">
        <f>RecData[[#This Row],[dBA Sum]]</f>
        <v>18.090444142179972</v>
      </c>
      <c r="DO292" s="16">
        <f>RecData[[#This Row],[LAF90.0]]</f>
        <v>40.200000000000003</v>
      </c>
      <c r="DP292" s="55" t="str">
        <f>IF(AND(RecData[[#This Row],[Useable TON Data?]],RecData[[#This Row],[Turbines ON/OFF]]="ON"),RecData[[#This Row],[dBA Sum]],"")</f>
        <v/>
      </c>
      <c r="DQ292" s="55">
        <f>IF(AND(RecData[[#This Row],[Useable Background Data?]],RecData[[#This Row],[Turbines ON/OFF]]="OFF"),RecData[[#This Row],[dBA Sum]],"")</f>
        <v>18.090444142179972</v>
      </c>
      <c r="DR292" s="3">
        <f>IF(OR(RecData[[#This Row],[Useable TON Data?]],RecData[[#This Row],[Useable Background Data?]]),ROUND(RecData[[#This Row],[WSpd_Avg '[m/s']]],0),"")</f>
        <v>0</v>
      </c>
      <c r="DS292" s="85">
        <f>(0.00002)^2*(10^(RecData[[#This Row],[Overall (dBA)]]/10))</f>
        <v>2.5769405858988322E-8</v>
      </c>
    </row>
    <row r="293" spans="1:123" ht="15" x14ac:dyDescent="0.25">
      <c r="A293" s="3" t="s">
        <v>249</v>
      </c>
      <c r="B293" s="12">
        <v>43260.957650462973</v>
      </c>
      <c r="C293" s="3"/>
      <c r="D293" s="3">
        <v>41.7</v>
      </c>
      <c r="E293" s="3"/>
      <c r="F293" s="3"/>
      <c r="G293" s="3"/>
      <c r="H293" s="3"/>
      <c r="I293" s="3"/>
      <c r="J293" s="3"/>
      <c r="K293" s="3">
        <v>40.1</v>
      </c>
      <c r="L293" s="3"/>
      <c r="M293" s="3"/>
      <c r="N293" s="3">
        <v>133.80000000000001</v>
      </c>
      <c r="O293" s="3"/>
      <c r="P293" s="3"/>
      <c r="Q293" s="3">
        <v>0.36</v>
      </c>
      <c r="R293" s="3">
        <v>0.1</v>
      </c>
      <c r="S293" s="3">
        <v>0.5</v>
      </c>
      <c r="T293" s="3">
        <v>13</v>
      </c>
      <c r="U293" s="3">
        <v>83.6</v>
      </c>
      <c r="V293" s="3">
        <v>975.6</v>
      </c>
      <c r="W293" s="3">
        <v>0</v>
      </c>
      <c r="X293" s="3">
        <v>17.600000000000001</v>
      </c>
      <c r="Y293" s="3">
        <v>22.3</v>
      </c>
      <c r="Z293" s="3">
        <v>21.1</v>
      </c>
      <c r="AA293" s="3">
        <v>13.7</v>
      </c>
      <c r="AB293" s="3">
        <v>15.6</v>
      </c>
      <c r="AC293" s="3">
        <v>5.6</v>
      </c>
      <c r="AD293" s="3">
        <v>8.8000000000000007</v>
      </c>
      <c r="AE293" s="3">
        <v>13.4</v>
      </c>
      <c r="AF293" s="3">
        <v>12.9</v>
      </c>
      <c r="AG293" s="3">
        <v>11.4</v>
      </c>
      <c r="AH293" s="3">
        <v>11.9</v>
      </c>
      <c r="AI293" s="3">
        <v>10.7</v>
      </c>
      <c r="AJ293" s="3">
        <v>11.4</v>
      </c>
      <c r="AK293" s="3">
        <v>8.6999999999999993</v>
      </c>
      <c r="AL293" s="3">
        <v>7.2</v>
      </c>
      <c r="AM293" s="3">
        <v>7.2</v>
      </c>
      <c r="AN293" s="3">
        <v>8.4</v>
      </c>
      <c r="AO293" s="3">
        <v>7.8</v>
      </c>
      <c r="AP293" s="3">
        <v>8.3000000000000007</v>
      </c>
      <c r="AQ293" s="3">
        <v>11.5</v>
      </c>
      <c r="AR293" s="3">
        <v>8.8000000000000007</v>
      </c>
      <c r="AS293" s="3">
        <v>32.9</v>
      </c>
      <c r="AT293" s="3">
        <v>39.6</v>
      </c>
      <c r="AU293" s="3">
        <v>15.6</v>
      </c>
      <c r="AV293" s="3">
        <v>9.9</v>
      </c>
      <c r="AW293" s="3">
        <v>10.199999999999999</v>
      </c>
      <c r="AX293" s="3">
        <v>9.9</v>
      </c>
      <c r="AY293" s="3">
        <v>10</v>
      </c>
      <c r="AZ293" s="3">
        <v>0</v>
      </c>
      <c r="BA293" s="3">
        <v>0</v>
      </c>
      <c r="BB293" s="3">
        <v>0</v>
      </c>
      <c r="BC293" s="3">
        <v>41.693475442395979</v>
      </c>
      <c r="BD293" s="3">
        <v>17.606524557604025</v>
      </c>
      <c r="BE293" s="3">
        <v>22.306524557604021</v>
      </c>
      <c r="BF293" s="3">
        <v>19.866524557604023</v>
      </c>
      <c r="BG293" s="3">
        <v>12.793191224270686</v>
      </c>
      <c r="BH293" s="3">
        <v>14.833191224270692</v>
      </c>
      <c r="BI293" s="3">
        <v>5.246524557604026</v>
      </c>
      <c r="BJ293" s="3">
        <v>9.2398578909373583</v>
      </c>
      <c r="BK293" s="3">
        <v>13.713191224270687</v>
      </c>
      <c r="BL293" s="3">
        <v>12.786524557604025</v>
      </c>
      <c r="BM293" s="3">
        <v>11.419857890937358</v>
      </c>
      <c r="BN293" s="3">
        <v>12.203191224270689</v>
      </c>
      <c r="BO293" s="3">
        <v>10.369857890937361</v>
      </c>
      <c r="BP293" s="3">
        <v>10.786524557604025</v>
      </c>
      <c r="BQ293" s="3">
        <v>8.5031912242706795</v>
      </c>
      <c r="BR293" s="3">
        <v>7.3298578909373617</v>
      </c>
      <c r="BS293" s="3">
        <v>7.1331912242706892</v>
      </c>
      <c r="BT293" s="3">
        <v>8.5298578909373575</v>
      </c>
      <c r="BU293" s="3">
        <v>7.8965245576040246</v>
      </c>
      <c r="BV293" s="3">
        <v>8.1131912242706932</v>
      </c>
      <c r="BW293" s="3">
        <v>11.846524557604027</v>
      </c>
      <c r="BX293" s="3">
        <v>9.0665245576040263</v>
      </c>
      <c r="BY293" s="3">
        <v>32.986524557604028</v>
      </c>
      <c r="BZ293" s="3">
        <v>39.816524557604026</v>
      </c>
      <c r="CA293" s="3">
        <v>15.916524557604021</v>
      </c>
      <c r="CB293" s="3">
        <v>9.6531912242706852</v>
      </c>
      <c r="CC293" s="3">
        <v>10.166524557604021</v>
      </c>
      <c r="CD293" s="3">
        <v>9.1731912242706954</v>
      </c>
      <c r="CE293" s="3">
        <v>9.4665245576040249</v>
      </c>
      <c r="CF293" s="3">
        <v>-0.92014210906264537</v>
      </c>
      <c r="CG293" s="3">
        <v>-1.4534754423959768</v>
      </c>
      <c r="CH293" s="3">
        <v>-2.5301421090626448</v>
      </c>
      <c r="CI293" s="13">
        <f>[1]!dbasum(RecData[[#This Row],[20]:[2000]],RecData[[#Headers],[20]:[2000]])</f>
        <v>18.095189439679046</v>
      </c>
      <c r="CJ293" s="14">
        <v>4300</v>
      </c>
      <c r="CK293" s="15" t="s">
        <v>249</v>
      </c>
      <c r="CL293" s="15">
        <f>RecData[[#This Row],[Start Time]]</f>
        <v>43260.957650462973</v>
      </c>
      <c r="CM293" s="16">
        <f>RecData[[#This Row],[Wind Speed avg]]</f>
        <v>0.36</v>
      </c>
      <c r="CN293" s="16">
        <f>RecData[[#This Row],[Wind Dir. avg]]</f>
        <v>133.80000000000001</v>
      </c>
      <c r="CO293" s="16">
        <f>RecData[[#This Row],[Amb. Humidity]]</f>
        <v>83.6</v>
      </c>
      <c r="CP293" s="16">
        <f>RecData[[#This Row],[Amb. Temperature]]</f>
        <v>13</v>
      </c>
      <c r="CQ293" s="17">
        <f>RecData[[#This Row],[Amb. Rain Gauge]]</f>
        <v>0</v>
      </c>
      <c r="CR293" s="4" t="s">
        <v>50</v>
      </c>
      <c r="CS293" s="4" t="s">
        <v>49</v>
      </c>
      <c r="CT293" s="70">
        <v>-9.407865524</v>
      </c>
      <c r="CU293" s="70">
        <v>279.00234990000001</v>
      </c>
      <c r="CV293" s="70">
        <v>1.307219744</v>
      </c>
      <c r="CW293" s="70">
        <v>0</v>
      </c>
      <c r="CX293" s="4"/>
      <c r="CY293" s="69"/>
      <c r="CZ293" s="2" t="b">
        <f>IF($DP$1="YES",IF(RecData[[#This Row],[Power (kW)]]&gt;=$CR$3, TRUE,FALSE),TRUE)</f>
        <v>0</v>
      </c>
      <c r="DA293" s="16">
        <f>MIN(MOD(180-ABS(ABS($DA$1-RecData[Yaw Angle (°)])-180),360),MOD(180-ABS(ABS($DB$1-RecData[Yaw Angle (°)])-180),360))</f>
        <v>88.527576877687522</v>
      </c>
      <c r="DB293" s="2" t="str">
        <f>IF($DP$2="None","None",IF(RecData[[#This Row],[Relative Wind Direction]]&lt;=45,"DW",IF(RecData[[#This Row],[Relative Wind Direction]]&lt;=135,"CW","UW")))</f>
        <v>CW</v>
      </c>
      <c r="DC293" s="61">
        <f>IF($CL293-$CL289&gt;1/24,#REF!,IF(SUM($CQ289:$CQ293)&gt;$DS$1,$DS$5,DC294-1))</f>
        <v>-4</v>
      </c>
      <c r="DD293" s="61">
        <f>IF($CL294-$CL293&gt;1/24,#REF!,IF(SUM($CQ289:$CQ293)&gt;$DS$1,$DS$6,DD292-1))</f>
        <v>-7</v>
      </c>
      <c r="DE293" s="18" t="b">
        <v>0</v>
      </c>
      <c r="DF293" s="2" t="b">
        <f>IF(OR(RecData[[#This Row],[WSpd_Avg '[m/s']]]-RecData[[#This Row],[Wind Speed min]]&gt;=$DF$3,RecData[[#This Row],[Wind Speed max]]-RecData[[#This Row],[WSpd_Avg '[m/s']]]&gt;=$DF$2),TRUE,FALSE)</f>
        <v>0</v>
      </c>
      <c r="DG293" s="2" t="b">
        <f>RecData[[#This Row],[Temperature '[°C']]]&lt;=-20</f>
        <v>0</v>
      </c>
      <c r="DH293" s="18" t="b">
        <f>NOT(OR(MOD(RecData[[#This Row],[TIMESTAMP]],1)&gt;0.91632,MOD(RecData[[#This Row],[TIMESTAMP]],1)&lt;0.208681))</f>
        <v>0</v>
      </c>
      <c r="DI293" s="18" t="b">
        <f>RecData[[#This Row],[Overall (dBA)]]-RecData[[#This Row],[L90]]&gt;=$DS$4</f>
        <v>0</v>
      </c>
      <c r="DJ293" s="18" t="b">
        <f>RecData[[#This Row],[Overall (dBA)]]&gt;$DS$2</f>
        <v>0</v>
      </c>
      <c r="DK293" s="18" t="b">
        <f>RecData[[#This Row],[Overall (dBA)]]&lt;$DS$3</f>
        <v>0</v>
      </c>
      <c r="DL2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3" s="2">
        <f>IF(AND(RecData[[#This Row],[Turbines ON/OFF]] = "OFF", NOT(OR(RecData[[#This Row],[Junk?]]="YES",RecData[[#This Row],[Gust?]],RecData[[#This Row],[Rain?]:[Min SPL Threshold?]]))),1,0)</f>
        <v>1</v>
      </c>
      <c r="DN293" s="16">
        <f>RecData[[#This Row],[dBA Sum]]</f>
        <v>18.095189439679046</v>
      </c>
      <c r="DO293" s="16">
        <f>RecData[[#This Row],[LAF90.0]]</f>
        <v>40.1</v>
      </c>
      <c r="DP293" s="55" t="str">
        <f>IF(AND(RecData[[#This Row],[Useable TON Data?]],RecData[[#This Row],[Turbines ON/OFF]]="ON"),RecData[[#This Row],[dBA Sum]],"")</f>
        <v/>
      </c>
      <c r="DQ293" s="55">
        <f>IF(AND(RecData[[#This Row],[Useable Background Data?]],RecData[[#This Row],[Turbines ON/OFF]]="OFF"),RecData[[#This Row],[dBA Sum]],"")</f>
        <v>18.095189439679046</v>
      </c>
      <c r="DR293" s="3">
        <f>IF(OR(RecData[[#This Row],[Useable TON Data?]],RecData[[#This Row],[Useable Background Data?]]),ROUND(RecData[[#This Row],[WSpd_Avg '[m/s']]],0),"")</f>
        <v>0</v>
      </c>
      <c r="DS293" s="85">
        <f>(0.00002)^2*(10^(RecData[[#This Row],[Overall (dBA)]]/10))</f>
        <v>2.5797578063067749E-8</v>
      </c>
    </row>
    <row r="294" spans="1:123" ht="15" x14ac:dyDescent="0.25">
      <c r="A294" s="3" t="s">
        <v>249</v>
      </c>
      <c r="B294" s="12">
        <v>43260.958344907413</v>
      </c>
      <c r="C294" s="3"/>
      <c r="D294" s="3">
        <v>42.2</v>
      </c>
      <c r="E294" s="3"/>
      <c r="F294" s="3"/>
      <c r="G294" s="3"/>
      <c r="H294" s="3"/>
      <c r="I294" s="3"/>
      <c r="J294" s="3"/>
      <c r="K294" s="3">
        <v>40.6</v>
      </c>
      <c r="L294" s="3"/>
      <c r="M294" s="3"/>
      <c r="N294" s="3">
        <v>125.1</v>
      </c>
      <c r="O294" s="3"/>
      <c r="P294" s="3"/>
      <c r="Q294" s="3">
        <v>0.49</v>
      </c>
      <c r="R294" s="3">
        <v>0.3</v>
      </c>
      <c r="S294" s="3">
        <v>0.7</v>
      </c>
      <c r="T294" s="3">
        <v>13.1</v>
      </c>
      <c r="U294" s="3">
        <v>83.4</v>
      </c>
      <c r="V294" s="3">
        <v>975.7</v>
      </c>
      <c r="W294" s="3">
        <v>0</v>
      </c>
      <c r="X294" s="3">
        <v>19.2</v>
      </c>
      <c r="Y294" s="3">
        <v>23.1</v>
      </c>
      <c r="Z294" s="3">
        <v>23.6</v>
      </c>
      <c r="AA294" s="3">
        <v>14.9</v>
      </c>
      <c r="AB294" s="3">
        <v>15</v>
      </c>
      <c r="AC294" s="3">
        <v>8</v>
      </c>
      <c r="AD294" s="3">
        <v>9.4</v>
      </c>
      <c r="AE294" s="3">
        <v>13.7</v>
      </c>
      <c r="AF294" s="3">
        <v>13.6</v>
      </c>
      <c r="AG294" s="3">
        <v>13.4</v>
      </c>
      <c r="AH294" s="3">
        <v>12.3</v>
      </c>
      <c r="AI294" s="3">
        <v>11.3</v>
      </c>
      <c r="AJ294" s="3">
        <v>11.7</v>
      </c>
      <c r="AK294" s="3">
        <v>9</v>
      </c>
      <c r="AL294" s="3">
        <v>7.4</v>
      </c>
      <c r="AM294" s="3">
        <v>10.4</v>
      </c>
      <c r="AN294" s="3">
        <v>9.3000000000000007</v>
      </c>
      <c r="AO294" s="3">
        <v>8.6</v>
      </c>
      <c r="AP294" s="3">
        <v>8.6</v>
      </c>
      <c r="AQ294" s="3">
        <v>11.9</v>
      </c>
      <c r="AR294" s="3">
        <v>8.9</v>
      </c>
      <c r="AS294" s="3">
        <v>33.299999999999997</v>
      </c>
      <c r="AT294" s="3">
        <v>40.1</v>
      </c>
      <c r="AU294" s="3">
        <v>15.5</v>
      </c>
      <c r="AV294" s="3">
        <v>9.9</v>
      </c>
      <c r="AW294" s="3">
        <v>10.1</v>
      </c>
      <c r="AX294" s="3">
        <v>9.6999999999999993</v>
      </c>
      <c r="AY294" s="3">
        <v>9.9</v>
      </c>
      <c r="AZ294" s="3">
        <v>0</v>
      </c>
      <c r="BA294" s="3">
        <v>0</v>
      </c>
      <c r="BB294" s="3">
        <v>0</v>
      </c>
      <c r="BC294" s="3">
        <v>42.173588662583782</v>
      </c>
      <c r="BD294" s="3">
        <v>19.226411337416224</v>
      </c>
      <c r="BE294" s="3">
        <v>23.126411337416229</v>
      </c>
      <c r="BF294" s="3">
        <v>22.38641133741622</v>
      </c>
      <c r="BG294" s="3">
        <v>14.013078004082885</v>
      </c>
      <c r="BH294" s="3">
        <v>14.253078004082887</v>
      </c>
      <c r="BI294" s="3">
        <v>7.6664113374162213</v>
      </c>
      <c r="BJ294" s="3">
        <v>9.8597446707495493</v>
      </c>
      <c r="BK294" s="3">
        <v>14.033078004082881</v>
      </c>
      <c r="BL294" s="3">
        <v>13.506411337416225</v>
      </c>
      <c r="BM294" s="3">
        <v>13.439744670749555</v>
      </c>
      <c r="BN294" s="3">
        <v>12.623078004082885</v>
      </c>
      <c r="BO294" s="3">
        <v>10.989744670749559</v>
      </c>
      <c r="BP294" s="3">
        <v>11.106411337416219</v>
      </c>
      <c r="BQ294" s="3">
        <v>8.8230780040828805</v>
      </c>
      <c r="BR294" s="3">
        <v>7.5497446707495541</v>
      </c>
      <c r="BS294" s="3">
        <v>10.353078004082889</v>
      </c>
      <c r="BT294" s="3">
        <v>9.4497446707495527</v>
      </c>
      <c r="BU294" s="3">
        <v>8.7164113374162255</v>
      </c>
      <c r="BV294" s="3">
        <v>8.433078004082887</v>
      </c>
      <c r="BW294" s="3">
        <v>12.266411337416223</v>
      </c>
      <c r="BX294" s="3">
        <v>9.1864113374162244</v>
      </c>
      <c r="BY294" s="3">
        <v>33.406411337416216</v>
      </c>
      <c r="BZ294" s="3">
        <v>40.336411337416223</v>
      </c>
      <c r="CA294" s="3">
        <v>15.836411337416216</v>
      </c>
      <c r="CB294" s="3">
        <v>9.6730780040828819</v>
      </c>
      <c r="CC294" s="3">
        <v>10.086411337416223</v>
      </c>
      <c r="CD294" s="3">
        <v>8.9930780040828893</v>
      </c>
      <c r="CE294" s="3">
        <v>9.3864113374162201</v>
      </c>
      <c r="CF294" s="3">
        <v>-0.90025532925044871</v>
      </c>
      <c r="CG294" s="3">
        <v>-1.4335886625837801</v>
      </c>
      <c r="CH294" s="3">
        <v>-2.5102553292504481</v>
      </c>
      <c r="CI294" s="13">
        <f>[1]!dbasum(RecData[[#This Row],[20]:[2000]],RecData[[#Headers],[20]:[2000]])</f>
        <v>18.752402757702793</v>
      </c>
      <c r="CJ294" s="14">
        <v>4301</v>
      </c>
      <c r="CK294" s="15" t="s">
        <v>249</v>
      </c>
      <c r="CL294" s="15">
        <f>RecData[[#This Row],[Start Time]]</f>
        <v>43260.958344907413</v>
      </c>
      <c r="CM294" s="16">
        <f>RecData[[#This Row],[Wind Speed avg]]</f>
        <v>0.49</v>
      </c>
      <c r="CN294" s="16">
        <f>RecData[[#This Row],[Wind Dir. avg]]</f>
        <v>125.1</v>
      </c>
      <c r="CO294" s="16">
        <f>RecData[[#This Row],[Amb. Humidity]]</f>
        <v>83.4</v>
      </c>
      <c r="CP294" s="16">
        <f>RecData[[#This Row],[Amb. Temperature]]</f>
        <v>13.1</v>
      </c>
      <c r="CQ294" s="17">
        <f>RecData[[#This Row],[Amb. Rain Gauge]]</f>
        <v>0</v>
      </c>
      <c r="CR294" s="4" t="s">
        <v>50</v>
      </c>
      <c r="CS294" s="4" t="s">
        <v>49</v>
      </c>
      <c r="CT294" s="70">
        <v>-9.5890131000000007</v>
      </c>
      <c r="CU294" s="70">
        <v>277.68191530000001</v>
      </c>
      <c r="CV294" s="70">
        <v>1.3114669320000001</v>
      </c>
      <c r="CW294" s="70">
        <v>0</v>
      </c>
      <c r="CX294" s="4"/>
      <c r="CY294" s="69"/>
      <c r="CZ294" s="2" t="b">
        <f>IF($DP$1="YES",IF(RecData[[#This Row],[Power (kW)]]&gt;=$CR$3, TRUE,FALSE),TRUE)</f>
        <v>0</v>
      </c>
      <c r="DA294" s="16">
        <f>MIN(MOD(180-ABS(ABS($DA$1-RecData[Yaw Angle (°)])-180),360),MOD(180-ABS(ABS($DB$1-RecData[Yaw Angle (°)])-180),360))</f>
        <v>89.848011477687521</v>
      </c>
      <c r="DB294" s="2" t="str">
        <f>IF($DP$2="None","None",IF(RecData[[#This Row],[Relative Wind Direction]]&lt;=45,"DW",IF(RecData[[#This Row],[Relative Wind Direction]]&lt;=135,"CW","UW")))</f>
        <v>CW</v>
      </c>
      <c r="DC294" s="61">
        <f>IF($CL294-$CL290&gt;1/24,#REF!,IF(SUM($CQ290:$CQ294)&gt;$DS$1,$DS$5,DC295-1))</f>
        <v>-3</v>
      </c>
      <c r="DD294" s="61">
        <f>IF($CL295-$CL294&gt;1/24,#REF!,IF(SUM($CQ290:$CQ294)&gt;$DS$1,$DS$6,DD293-1))</f>
        <v>-8</v>
      </c>
      <c r="DE294" s="18" t="b">
        <v>0</v>
      </c>
      <c r="DF294" s="2" t="b">
        <f>IF(OR(RecData[[#This Row],[WSpd_Avg '[m/s']]]-RecData[[#This Row],[Wind Speed min]]&gt;=$DF$3,RecData[[#This Row],[Wind Speed max]]-RecData[[#This Row],[WSpd_Avg '[m/s']]]&gt;=$DF$2),TRUE,FALSE)</f>
        <v>0</v>
      </c>
      <c r="DG294" s="2" t="b">
        <f>RecData[[#This Row],[Temperature '[°C']]]&lt;=-20</f>
        <v>0</v>
      </c>
      <c r="DH294" s="18" t="b">
        <f>NOT(OR(MOD(RecData[[#This Row],[TIMESTAMP]],1)&gt;0.91632,MOD(RecData[[#This Row],[TIMESTAMP]],1)&lt;0.208681))</f>
        <v>0</v>
      </c>
      <c r="DI294" s="18" t="b">
        <f>RecData[[#This Row],[Overall (dBA)]]-RecData[[#This Row],[L90]]&gt;=$DS$4</f>
        <v>0</v>
      </c>
      <c r="DJ294" s="18" t="b">
        <f>RecData[[#This Row],[Overall (dBA)]]&gt;$DS$2</f>
        <v>0</v>
      </c>
      <c r="DK294" s="18" t="b">
        <f>RecData[[#This Row],[Overall (dBA)]]&lt;$DS$3</f>
        <v>0</v>
      </c>
      <c r="DL2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4" s="2">
        <f>IF(AND(RecData[[#This Row],[Turbines ON/OFF]] = "OFF", NOT(OR(RecData[[#This Row],[Junk?]]="YES",RecData[[#This Row],[Gust?]],RecData[[#This Row],[Rain?]:[Min SPL Threshold?]]))),1,0)</f>
        <v>1</v>
      </c>
      <c r="DN294" s="16">
        <f>RecData[[#This Row],[dBA Sum]]</f>
        <v>18.752402757702793</v>
      </c>
      <c r="DO294" s="16">
        <f>RecData[[#This Row],[LAF90.0]]</f>
        <v>40.6</v>
      </c>
      <c r="DP294" s="55" t="str">
        <f>IF(AND(RecData[[#This Row],[Useable TON Data?]],RecData[[#This Row],[Turbines ON/OFF]]="ON"),RecData[[#This Row],[dBA Sum]],"")</f>
        <v/>
      </c>
      <c r="DQ294" s="55">
        <f>IF(AND(RecData[[#This Row],[Useable Background Data?]],RecData[[#This Row],[Turbines ON/OFF]]="OFF"),RecData[[#This Row],[dBA Sum]],"")</f>
        <v>18.752402757702793</v>
      </c>
      <c r="DR294" s="3">
        <f>IF(OR(RecData[[#This Row],[Useable TON Data?]],RecData[[#This Row],[Useable Background Data?]]),ROUND(RecData[[#This Row],[WSpd_Avg '[m/s']]],0),"")</f>
        <v>0</v>
      </c>
      <c r="DS294" s="85">
        <f>(0.00002)^2*(10^(RecData[[#This Row],[Overall (dBA)]]/10))</f>
        <v>3.001236828590575E-8</v>
      </c>
    </row>
    <row r="295" spans="1:123" ht="15" x14ac:dyDescent="0.25">
      <c r="A295" s="3" t="s">
        <v>249</v>
      </c>
      <c r="B295" s="12">
        <v>43260.959039351859</v>
      </c>
      <c r="C295" s="3"/>
      <c r="D295" s="3">
        <v>43.4</v>
      </c>
      <c r="E295" s="3"/>
      <c r="F295" s="3"/>
      <c r="G295" s="3"/>
      <c r="H295" s="3"/>
      <c r="I295" s="3"/>
      <c r="J295" s="3"/>
      <c r="K295" s="3">
        <v>41.3</v>
      </c>
      <c r="L295" s="3"/>
      <c r="M295" s="3"/>
      <c r="N295" s="3">
        <v>120.9</v>
      </c>
      <c r="O295" s="3"/>
      <c r="P295" s="3"/>
      <c r="Q295" s="3">
        <v>0.68</v>
      </c>
      <c r="R295" s="3">
        <v>0.5</v>
      </c>
      <c r="S295" s="3">
        <v>0.9</v>
      </c>
      <c r="T295" s="3">
        <v>13.1</v>
      </c>
      <c r="U295" s="3">
        <v>83.4</v>
      </c>
      <c r="V295" s="3">
        <v>975.7</v>
      </c>
      <c r="W295" s="3">
        <v>0</v>
      </c>
      <c r="X295" s="3">
        <v>21.5</v>
      </c>
      <c r="Y295" s="3">
        <v>21.9</v>
      </c>
      <c r="Z295" s="3">
        <v>21</v>
      </c>
      <c r="AA295" s="3">
        <v>16.3</v>
      </c>
      <c r="AB295" s="3">
        <v>15</v>
      </c>
      <c r="AC295" s="3">
        <v>6.2</v>
      </c>
      <c r="AD295" s="3">
        <v>9.4</v>
      </c>
      <c r="AE295" s="3">
        <v>13.1</v>
      </c>
      <c r="AF295" s="3">
        <v>11.3</v>
      </c>
      <c r="AG295" s="3">
        <v>13.9</v>
      </c>
      <c r="AH295" s="3">
        <v>13.4</v>
      </c>
      <c r="AI295" s="3">
        <v>11.5</v>
      </c>
      <c r="AJ295" s="3">
        <v>11.6</v>
      </c>
      <c r="AK295" s="3">
        <v>12.9</v>
      </c>
      <c r="AL295" s="3">
        <v>8.1</v>
      </c>
      <c r="AM295" s="3">
        <v>11.2</v>
      </c>
      <c r="AN295" s="3">
        <v>9.3000000000000007</v>
      </c>
      <c r="AO295" s="3">
        <v>9.1999999999999993</v>
      </c>
      <c r="AP295" s="3">
        <v>9</v>
      </c>
      <c r="AQ295" s="3">
        <v>12.5</v>
      </c>
      <c r="AR295" s="3">
        <v>9.6</v>
      </c>
      <c r="AS295" s="3">
        <v>34.200000000000003</v>
      </c>
      <c r="AT295" s="3">
        <v>41.3</v>
      </c>
      <c r="AU295" s="3">
        <v>16</v>
      </c>
      <c r="AV295" s="3">
        <v>10.6</v>
      </c>
      <c r="AW295" s="3">
        <v>10.8</v>
      </c>
      <c r="AX295" s="3">
        <v>10.1</v>
      </c>
      <c r="AY295" s="3">
        <v>10.3</v>
      </c>
      <c r="AZ295" s="3">
        <v>0</v>
      </c>
      <c r="BA295" s="3">
        <v>0</v>
      </c>
      <c r="BB295" s="3">
        <v>0</v>
      </c>
      <c r="BC295" s="3">
        <v>43.317901252058249</v>
      </c>
      <c r="BD295" s="3">
        <v>21.582098747941757</v>
      </c>
      <c r="BE295" s="3">
        <v>21.982098747941748</v>
      </c>
      <c r="BF295" s="3">
        <v>19.842098747941748</v>
      </c>
      <c r="BG295" s="3">
        <v>15.468765414608413</v>
      </c>
      <c r="BH295" s="3">
        <v>14.308765414608416</v>
      </c>
      <c r="BI295" s="3">
        <v>5.9220987479417531</v>
      </c>
      <c r="BJ295" s="3">
        <v>9.9154320812750854</v>
      </c>
      <c r="BK295" s="3">
        <v>13.488765414608409</v>
      </c>
      <c r="BL295" s="3">
        <v>11.262098747941749</v>
      </c>
      <c r="BM295" s="3">
        <v>13.995432081275084</v>
      </c>
      <c r="BN295" s="3">
        <v>13.778765414608415</v>
      </c>
      <c r="BO295" s="3">
        <v>11.245432081275084</v>
      </c>
      <c r="BP295" s="3">
        <v>11.062098747941747</v>
      </c>
      <c r="BQ295" s="3">
        <v>12.778765414608408</v>
      </c>
      <c r="BR295" s="3">
        <v>8.3054320812750859</v>
      </c>
      <c r="BS295" s="3">
        <v>11.208765414608415</v>
      </c>
      <c r="BT295" s="3">
        <v>9.5054320812750888</v>
      </c>
      <c r="BU295" s="3">
        <v>9.3720987479417488</v>
      </c>
      <c r="BV295" s="3">
        <v>8.8887654146084145</v>
      </c>
      <c r="BW295" s="3">
        <v>12.922098747941753</v>
      </c>
      <c r="BX295" s="3">
        <v>9.9420987479417562</v>
      </c>
      <c r="BY295" s="3">
        <v>34.362098747941758</v>
      </c>
      <c r="BZ295" s="3">
        <v>41.592098747941748</v>
      </c>
      <c r="CA295" s="3">
        <v>16.392098747941745</v>
      </c>
      <c r="CB295" s="3">
        <v>10.428765414608414</v>
      </c>
      <c r="CC295" s="3">
        <v>10.842098747941748</v>
      </c>
      <c r="CD295" s="3">
        <v>9.4487654146084168</v>
      </c>
      <c r="CE295" s="3">
        <v>9.8420987479417477</v>
      </c>
      <c r="CF295" s="3">
        <v>-0.84456791872491976</v>
      </c>
      <c r="CG295" s="3">
        <v>-1.3779012520582512</v>
      </c>
      <c r="CH295" s="3">
        <v>-2.4545679187249192</v>
      </c>
      <c r="CI295" s="13">
        <f>[1]!dbasum(RecData[[#This Row],[20]:[2000]],RecData[[#Headers],[20]:[2000]])</f>
        <v>19.491885057852357</v>
      </c>
      <c r="CJ295" s="14">
        <v>4302</v>
      </c>
      <c r="CK295" s="15" t="s">
        <v>249</v>
      </c>
      <c r="CL295" s="15">
        <f>RecData[[#This Row],[Start Time]]</f>
        <v>43260.959039351859</v>
      </c>
      <c r="CM295" s="16">
        <f>RecData[[#This Row],[Wind Speed avg]]</f>
        <v>0.68</v>
      </c>
      <c r="CN295" s="16">
        <f>RecData[[#This Row],[Wind Dir. avg]]</f>
        <v>120.9</v>
      </c>
      <c r="CO295" s="16">
        <f>RecData[[#This Row],[Amb. Humidity]]</f>
        <v>83.4</v>
      </c>
      <c r="CP295" s="16">
        <f>RecData[[#This Row],[Amb. Temperature]]</f>
        <v>13.1</v>
      </c>
      <c r="CQ295" s="17">
        <f>RecData[[#This Row],[Amb. Rain Gauge]]</f>
        <v>0</v>
      </c>
      <c r="CR295" s="4" t="s">
        <v>50</v>
      </c>
      <c r="CS295" s="4" t="s">
        <v>49</v>
      </c>
      <c r="CT295" s="70">
        <v>-9.5890131000000007</v>
      </c>
      <c r="CU295" s="70">
        <v>277.68191530000001</v>
      </c>
      <c r="CV295" s="70">
        <v>1.3114669320000001</v>
      </c>
      <c r="CW295" s="70">
        <v>0</v>
      </c>
      <c r="CX295" s="4"/>
      <c r="CY295" s="69"/>
      <c r="CZ295" s="2" t="b">
        <f>IF($DP$1="YES",IF(RecData[[#This Row],[Power (kW)]]&gt;=$CR$3, TRUE,FALSE),TRUE)</f>
        <v>0</v>
      </c>
      <c r="DA295" s="16">
        <f>MIN(MOD(180-ABS(ABS($DA$1-RecData[Yaw Angle (°)])-180),360),MOD(180-ABS(ABS($DB$1-RecData[Yaw Angle (°)])-180),360))</f>
        <v>89.848011477687521</v>
      </c>
      <c r="DB295" s="2" t="str">
        <f>IF($DP$2="None","None",IF(RecData[[#This Row],[Relative Wind Direction]]&lt;=45,"DW",IF(RecData[[#This Row],[Relative Wind Direction]]&lt;=135,"CW","UW")))</f>
        <v>CW</v>
      </c>
      <c r="DC295" s="61">
        <f>IF($CL295-$CL291&gt;1/24,#REF!,IF(SUM($CQ291:$CQ295)&gt;$DS$1,$DS$5,DC296-1))</f>
        <v>-2</v>
      </c>
      <c r="DD295" s="61">
        <f>IF($CL296-$CL295&gt;1/24,#REF!,IF(SUM($CQ291:$CQ295)&gt;$DS$1,$DS$6,DD294-1))</f>
        <v>-9</v>
      </c>
      <c r="DE295" s="18" t="b">
        <v>0</v>
      </c>
      <c r="DF295" s="2" t="b">
        <f>IF(OR(RecData[[#This Row],[WSpd_Avg '[m/s']]]-RecData[[#This Row],[Wind Speed min]]&gt;=$DF$3,RecData[[#This Row],[Wind Speed max]]-RecData[[#This Row],[WSpd_Avg '[m/s']]]&gt;=$DF$2),TRUE,FALSE)</f>
        <v>0</v>
      </c>
      <c r="DG295" s="2" t="b">
        <f>RecData[[#This Row],[Temperature '[°C']]]&lt;=-20</f>
        <v>0</v>
      </c>
      <c r="DH295" s="18" t="b">
        <f>NOT(OR(MOD(RecData[[#This Row],[TIMESTAMP]],1)&gt;0.91632,MOD(RecData[[#This Row],[TIMESTAMP]],1)&lt;0.208681))</f>
        <v>0</v>
      </c>
      <c r="DI295" s="18" t="b">
        <f>RecData[[#This Row],[Overall (dBA)]]-RecData[[#This Row],[L90]]&gt;=$DS$4</f>
        <v>0</v>
      </c>
      <c r="DJ295" s="18" t="b">
        <f>RecData[[#This Row],[Overall (dBA)]]&gt;$DS$2</f>
        <v>0</v>
      </c>
      <c r="DK295" s="18" t="b">
        <f>RecData[[#This Row],[Overall (dBA)]]&lt;$DS$3</f>
        <v>0</v>
      </c>
      <c r="DL2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5" s="2">
        <f>IF(AND(RecData[[#This Row],[Turbines ON/OFF]] = "OFF", NOT(OR(RecData[[#This Row],[Junk?]]="YES",RecData[[#This Row],[Gust?]],RecData[[#This Row],[Rain?]:[Min SPL Threshold?]]))),1,0)</f>
        <v>1</v>
      </c>
      <c r="DN295" s="16">
        <f>RecData[[#This Row],[dBA Sum]]</f>
        <v>19.491885057852357</v>
      </c>
      <c r="DO295" s="16">
        <f>RecData[[#This Row],[LAF90.0]]</f>
        <v>41.3</v>
      </c>
      <c r="DP295" s="55" t="str">
        <f>IF(AND(RecData[[#This Row],[Useable TON Data?]],RecData[[#This Row],[Turbines ON/OFF]]="ON"),RecData[[#This Row],[dBA Sum]],"")</f>
        <v/>
      </c>
      <c r="DQ295" s="55">
        <f>IF(AND(RecData[[#This Row],[Useable Background Data?]],RecData[[#This Row],[Turbines ON/OFF]]="OFF"),RecData[[#This Row],[dBA Sum]],"")</f>
        <v>19.491885057852357</v>
      </c>
      <c r="DR295" s="3">
        <f>IF(OR(RecData[[#This Row],[Useable TON Data?]],RecData[[#This Row],[Useable Background Data?]]),ROUND(RecData[[#This Row],[WSpd_Avg '[m/s']]],0),"")</f>
        <v>1</v>
      </c>
      <c r="DS295" s="85">
        <f>(0.00002)^2*(10^(RecData[[#This Row],[Overall (dBA)]]/10))</f>
        <v>3.5583486396852695E-8</v>
      </c>
    </row>
    <row r="296" spans="1:123" ht="15" x14ac:dyDescent="0.25">
      <c r="A296" s="3" t="s">
        <v>249</v>
      </c>
      <c r="B296" s="12">
        <v>43260.959733796299</v>
      </c>
      <c r="C296" s="3"/>
      <c r="D296" s="3">
        <v>42.9</v>
      </c>
      <c r="E296" s="3"/>
      <c r="F296" s="3"/>
      <c r="G296" s="3"/>
      <c r="H296" s="3"/>
      <c r="I296" s="3"/>
      <c r="J296" s="3"/>
      <c r="K296" s="3">
        <v>40.6</v>
      </c>
      <c r="L296" s="3"/>
      <c r="M296" s="3"/>
      <c r="N296" s="3">
        <v>123.5</v>
      </c>
      <c r="O296" s="3"/>
      <c r="P296" s="3"/>
      <c r="Q296" s="3">
        <v>0.71</v>
      </c>
      <c r="R296" s="3">
        <v>0.6</v>
      </c>
      <c r="S296" s="3">
        <v>0.8</v>
      </c>
      <c r="T296" s="3">
        <v>13.1</v>
      </c>
      <c r="U296" s="3">
        <v>83.4</v>
      </c>
      <c r="V296" s="3">
        <v>975.7</v>
      </c>
      <c r="W296" s="3">
        <v>0</v>
      </c>
      <c r="X296" s="3">
        <v>22.4</v>
      </c>
      <c r="Y296" s="3">
        <v>20.100000000000001</v>
      </c>
      <c r="Z296" s="3">
        <v>20.8</v>
      </c>
      <c r="AA296" s="3">
        <v>13.2</v>
      </c>
      <c r="AB296" s="3">
        <v>14.5</v>
      </c>
      <c r="AC296" s="3">
        <v>5.8</v>
      </c>
      <c r="AD296" s="3">
        <v>9.1</v>
      </c>
      <c r="AE296" s="3">
        <v>13.7</v>
      </c>
      <c r="AF296" s="3">
        <v>10.5</v>
      </c>
      <c r="AG296" s="3">
        <v>11.2</v>
      </c>
      <c r="AH296" s="3">
        <v>11.6</v>
      </c>
      <c r="AI296" s="3">
        <v>10.3</v>
      </c>
      <c r="AJ296" s="3">
        <v>11</v>
      </c>
      <c r="AK296" s="3">
        <v>8.4</v>
      </c>
      <c r="AL296" s="3">
        <v>7</v>
      </c>
      <c r="AM296" s="3">
        <v>7.1</v>
      </c>
      <c r="AN296" s="3">
        <v>8.1</v>
      </c>
      <c r="AO296" s="3">
        <v>7.9</v>
      </c>
      <c r="AP296" s="3">
        <v>8.3000000000000007</v>
      </c>
      <c r="AQ296" s="3">
        <v>11.9</v>
      </c>
      <c r="AR296" s="3">
        <v>9.1</v>
      </c>
      <c r="AS296" s="3">
        <v>33.9</v>
      </c>
      <c r="AT296" s="3">
        <v>40.799999999999997</v>
      </c>
      <c r="AU296" s="3">
        <v>14.9</v>
      </c>
      <c r="AV296" s="3">
        <v>9.9</v>
      </c>
      <c r="AW296" s="3">
        <v>10.1</v>
      </c>
      <c r="AX296" s="3">
        <v>9.6999999999999993</v>
      </c>
      <c r="AY296" s="3">
        <v>9.9</v>
      </c>
      <c r="AZ296" s="3">
        <v>0</v>
      </c>
      <c r="BA296" s="3">
        <v>0</v>
      </c>
      <c r="BB296" s="3">
        <v>0</v>
      </c>
      <c r="BC296" s="3">
        <v>42.847149000802872</v>
      </c>
      <c r="BD296" s="3">
        <v>22.452850999197125</v>
      </c>
      <c r="BE296" s="3">
        <v>20.152850999197128</v>
      </c>
      <c r="BF296" s="3">
        <v>19.612850999197128</v>
      </c>
      <c r="BG296" s="3">
        <v>12.339517665863788</v>
      </c>
      <c r="BH296" s="3">
        <v>13.779517665863793</v>
      </c>
      <c r="BI296" s="3">
        <v>5.4928509991971239</v>
      </c>
      <c r="BJ296" s="3">
        <v>9.5861843325304577</v>
      </c>
      <c r="BK296" s="3">
        <v>14.059517665863787</v>
      </c>
      <c r="BL296" s="3">
        <v>10.432850999197129</v>
      </c>
      <c r="BM296" s="3">
        <v>11.266184332530457</v>
      </c>
      <c r="BN296" s="3">
        <v>11.949517665863794</v>
      </c>
      <c r="BO296" s="3">
        <v>10.016184332530464</v>
      </c>
      <c r="BP296" s="3">
        <v>10.432850999197129</v>
      </c>
      <c r="BQ296" s="3">
        <v>8.2495176658637845</v>
      </c>
      <c r="BR296" s="3">
        <v>7.1761843325304611</v>
      </c>
      <c r="BS296" s="3">
        <v>7.0795176658637899</v>
      </c>
      <c r="BT296" s="3">
        <v>8.2761843325304625</v>
      </c>
      <c r="BU296" s="3">
        <v>8.0428509991971282</v>
      </c>
      <c r="BV296" s="3">
        <v>8.1595176658637953</v>
      </c>
      <c r="BW296" s="3">
        <v>12.292850999197128</v>
      </c>
      <c r="BX296" s="3">
        <v>9.4128509991971328</v>
      </c>
      <c r="BY296" s="3">
        <v>34.032850999197123</v>
      </c>
      <c r="BZ296" s="3">
        <v>41.062850999197124</v>
      </c>
      <c r="CA296" s="3">
        <v>15.26285099919712</v>
      </c>
      <c r="CB296" s="3">
        <v>9.6995176658637945</v>
      </c>
      <c r="CC296" s="3">
        <v>10.112850999197121</v>
      </c>
      <c r="CD296" s="3">
        <v>9.0195176658637948</v>
      </c>
      <c r="CE296" s="3">
        <v>9.4128509991971256</v>
      </c>
      <c r="CF296" s="3">
        <v>-0.8738156674695432</v>
      </c>
      <c r="CG296" s="3">
        <v>-1.4071490008028746</v>
      </c>
      <c r="CH296" s="3">
        <v>-2.4838156674695426</v>
      </c>
      <c r="CI296" s="13">
        <f>[1]!dbasum(RecData[[#This Row],[20]:[2000]],RecData[[#Headers],[20]:[2000]])</f>
        <v>18.231857253909379</v>
      </c>
      <c r="CJ296" s="14">
        <v>4303</v>
      </c>
      <c r="CK296" s="15" t="s">
        <v>249</v>
      </c>
      <c r="CL296" s="15">
        <f>RecData[[#This Row],[Start Time]]</f>
        <v>43260.959733796299</v>
      </c>
      <c r="CM296" s="16">
        <f>RecData[[#This Row],[Wind Speed avg]]</f>
        <v>0.71</v>
      </c>
      <c r="CN296" s="16">
        <f>RecData[[#This Row],[Wind Dir. avg]]</f>
        <v>123.5</v>
      </c>
      <c r="CO296" s="16">
        <f>RecData[[#This Row],[Amb. Humidity]]</f>
        <v>83.4</v>
      </c>
      <c r="CP296" s="16">
        <f>RecData[[#This Row],[Amb. Temperature]]</f>
        <v>13.1</v>
      </c>
      <c r="CQ296" s="17">
        <f>RecData[[#This Row],[Amb. Rain Gauge]]</f>
        <v>0</v>
      </c>
      <c r="CR296" s="4" t="s">
        <v>50</v>
      </c>
      <c r="CS296" s="4" t="s">
        <v>49</v>
      </c>
      <c r="CT296" s="70">
        <v>-9.5890131000000007</v>
      </c>
      <c r="CU296" s="70">
        <v>277.68191530000001</v>
      </c>
      <c r="CV296" s="70">
        <v>1.3114669320000001</v>
      </c>
      <c r="CW296" s="70">
        <v>0</v>
      </c>
      <c r="CX296" s="4"/>
      <c r="CY296" s="69"/>
      <c r="CZ296" s="2" t="b">
        <f>IF($DP$1="YES",IF(RecData[[#This Row],[Power (kW)]]&gt;=$CR$3, TRUE,FALSE),TRUE)</f>
        <v>0</v>
      </c>
      <c r="DA296" s="16">
        <f>MIN(MOD(180-ABS(ABS($DA$1-RecData[Yaw Angle (°)])-180),360),MOD(180-ABS(ABS($DB$1-RecData[Yaw Angle (°)])-180),360))</f>
        <v>89.848011477687521</v>
      </c>
      <c r="DB296" s="2" t="str">
        <f>IF($DP$2="None","None",IF(RecData[[#This Row],[Relative Wind Direction]]&lt;=45,"DW",IF(RecData[[#This Row],[Relative Wind Direction]]&lt;=135,"CW","UW")))</f>
        <v>CW</v>
      </c>
      <c r="DC296" s="61">
        <v>-1</v>
      </c>
      <c r="DD296" s="61">
        <v>-1</v>
      </c>
      <c r="DE296" s="18" t="b">
        <v>0</v>
      </c>
      <c r="DF296" s="2" t="b">
        <f>IF(OR(RecData[[#This Row],[WSpd_Avg '[m/s']]]-RecData[[#This Row],[Wind Speed min]]&gt;=$DF$3,RecData[[#This Row],[Wind Speed max]]-RecData[[#This Row],[WSpd_Avg '[m/s']]]&gt;=$DF$2),TRUE,FALSE)</f>
        <v>0</v>
      </c>
      <c r="DG296" s="2" t="b">
        <f>RecData[[#This Row],[Temperature '[°C']]]&lt;=-20</f>
        <v>0</v>
      </c>
      <c r="DH296" s="18" t="b">
        <f>NOT(OR(MOD(RecData[[#This Row],[TIMESTAMP]],1)&gt;0.91632,MOD(RecData[[#This Row],[TIMESTAMP]],1)&lt;0.208681))</f>
        <v>0</v>
      </c>
      <c r="DI296" s="18" t="b">
        <f>RecData[[#This Row],[Overall (dBA)]]-RecData[[#This Row],[L90]]&gt;=$DS$4</f>
        <v>0</v>
      </c>
      <c r="DJ296" s="18" t="b">
        <f>RecData[[#This Row],[Overall (dBA)]]&gt;$DS$2</f>
        <v>0</v>
      </c>
      <c r="DK296" s="18" t="b">
        <f>RecData[[#This Row],[Overall (dBA)]]&lt;$DS$3</f>
        <v>0</v>
      </c>
      <c r="DL2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6" s="2">
        <f>IF(AND(RecData[[#This Row],[Turbines ON/OFF]] = "OFF", NOT(OR(RecData[[#This Row],[Junk?]]="YES",RecData[[#This Row],[Gust?]],RecData[[#This Row],[Rain?]:[Min SPL Threshold?]]))),1,0)</f>
        <v>1</v>
      </c>
      <c r="DN296" s="16">
        <f>RecData[[#This Row],[dBA Sum]]</f>
        <v>18.231857253909379</v>
      </c>
      <c r="DO296" s="16">
        <f>RecData[[#This Row],[LAF90.0]]</f>
        <v>40.6</v>
      </c>
      <c r="DP296" s="55" t="str">
        <f>IF(AND(RecData[[#This Row],[Useable TON Data?]],RecData[[#This Row],[Turbines ON/OFF]]="ON"),RecData[[#This Row],[dBA Sum]],"")</f>
        <v/>
      </c>
      <c r="DQ296" s="55">
        <f>IF(AND(RecData[[#This Row],[Useable Background Data?]],RecData[[#This Row],[Turbines ON/OFF]]="OFF"),RecData[[#This Row],[dBA Sum]],"")</f>
        <v>18.231857253909379</v>
      </c>
      <c r="DR296" s="3">
        <f>IF(OR(RecData[[#This Row],[Useable TON Data?]],RecData[[#This Row],[Useable Background Data?]]),ROUND(RecData[[#This Row],[WSpd_Avg '[m/s']]],0),"")</f>
        <v>1</v>
      </c>
      <c r="DS296" s="85">
        <f>(0.00002)^2*(10^(RecData[[#This Row],[Overall (dBA)]]/10))</f>
        <v>2.662230880489734E-8</v>
      </c>
    </row>
    <row r="297" spans="1:123" ht="15" x14ac:dyDescent="0.25">
      <c r="A297" s="3" t="s">
        <v>249</v>
      </c>
      <c r="B297" s="12">
        <v>43260.960428240745</v>
      </c>
      <c r="C297" s="3"/>
      <c r="D297" s="3">
        <v>41.9</v>
      </c>
      <c r="E297" s="3"/>
      <c r="F297" s="3"/>
      <c r="G297" s="3"/>
      <c r="H297" s="3"/>
      <c r="I297" s="3"/>
      <c r="J297" s="3"/>
      <c r="K297" s="3">
        <v>39.799999999999997</v>
      </c>
      <c r="L297" s="3"/>
      <c r="M297" s="3"/>
      <c r="N297" s="3">
        <v>143.5</v>
      </c>
      <c r="O297" s="3"/>
      <c r="P297" s="3"/>
      <c r="Q297" s="3">
        <v>0.56999999999999995</v>
      </c>
      <c r="R297" s="3">
        <v>0.4</v>
      </c>
      <c r="S297" s="3">
        <v>0.7</v>
      </c>
      <c r="T297" s="3">
        <v>13.1</v>
      </c>
      <c r="U297" s="3">
        <v>83.2</v>
      </c>
      <c r="V297" s="3">
        <v>975.7</v>
      </c>
      <c r="W297" s="3">
        <v>0</v>
      </c>
      <c r="X297" s="3">
        <v>21.4</v>
      </c>
      <c r="Y297" s="3">
        <v>18.100000000000001</v>
      </c>
      <c r="Z297" s="3">
        <v>20.6</v>
      </c>
      <c r="AA297" s="3">
        <v>12.8</v>
      </c>
      <c r="AB297" s="3">
        <v>15.5</v>
      </c>
      <c r="AC297" s="3">
        <v>5.4</v>
      </c>
      <c r="AD297" s="3">
        <v>8.6999999999999993</v>
      </c>
      <c r="AE297" s="3">
        <v>13.5</v>
      </c>
      <c r="AF297" s="3">
        <v>12.8</v>
      </c>
      <c r="AG297" s="3">
        <v>12.4</v>
      </c>
      <c r="AH297" s="3">
        <v>12.2</v>
      </c>
      <c r="AI297" s="3">
        <v>11.6</v>
      </c>
      <c r="AJ297" s="3">
        <v>11.9</v>
      </c>
      <c r="AK297" s="3">
        <v>9.1</v>
      </c>
      <c r="AL297" s="3">
        <v>7.4</v>
      </c>
      <c r="AM297" s="3">
        <v>7.4</v>
      </c>
      <c r="AN297" s="3">
        <v>8.1999999999999993</v>
      </c>
      <c r="AO297" s="3">
        <v>8.1</v>
      </c>
      <c r="AP297" s="3">
        <v>8.5</v>
      </c>
      <c r="AQ297" s="3">
        <v>12.4</v>
      </c>
      <c r="AR297" s="3">
        <v>9.4</v>
      </c>
      <c r="AS297" s="3">
        <v>32.200000000000003</v>
      </c>
      <c r="AT297" s="3">
        <v>40</v>
      </c>
      <c r="AU297" s="3">
        <v>15.8</v>
      </c>
      <c r="AV297" s="3">
        <v>10</v>
      </c>
      <c r="AW297" s="3">
        <v>10.199999999999999</v>
      </c>
      <c r="AX297" s="3">
        <v>9.8000000000000007</v>
      </c>
      <c r="AY297" s="3">
        <v>10</v>
      </c>
      <c r="AZ297" s="3">
        <v>0</v>
      </c>
      <c r="BA297" s="3">
        <v>0</v>
      </c>
      <c r="BB297" s="3">
        <v>0</v>
      </c>
      <c r="BC297" s="3">
        <v>41.917135912678624</v>
      </c>
      <c r="BD297" s="3">
        <v>21.382864087321373</v>
      </c>
      <c r="BE297" s="3">
        <v>18.082864087321376</v>
      </c>
      <c r="BF297" s="3">
        <v>19.342864087321381</v>
      </c>
      <c r="BG297" s="3">
        <v>11.869530753988037</v>
      </c>
      <c r="BH297" s="3">
        <v>14.709530753988041</v>
      </c>
      <c r="BI297" s="3">
        <v>5.0228640873213735</v>
      </c>
      <c r="BJ297" s="3">
        <v>9.1161974206547072</v>
      </c>
      <c r="BK297" s="3">
        <v>13.789530753988039</v>
      </c>
      <c r="BL297" s="3">
        <v>12.662864087321374</v>
      </c>
      <c r="BM297" s="3">
        <v>12.396197420654708</v>
      </c>
      <c r="BN297" s="3">
        <v>12.479530753988037</v>
      </c>
      <c r="BO297" s="3">
        <v>11.24619742065471</v>
      </c>
      <c r="BP297" s="3">
        <v>11.262864087321375</v>
      </c>
      <c r="BQ297" s="3">
        <v>8.8795307539880284</v>
      </c>
      <c r="BR297" s="3">
        <v>7.5061974206547077</v>
      </c>
      <c r="BS297" s="3">
        <v>7.3095307539880423</v>
      </c>
      <c r="BT297" s="3">
        <v>8.3061974206547049</v>
      </c>
      <c r="BU297" s="3">
        <v>8.1728640873213791</v>
      </c>
      <c r="BV297" s="3">
        <v>8.2895307539880392</v>
      </c>
      <c r="BW297" s="3">
        <v>12.722864087321376</v>
      </c>
      <c r="BX297" s="3">
        <v>9.642864087321378</v>
      </c>
      <c r="BY297" s="3">
        <v>32.262864087321383</v>
      </c>
      <c r="BZ297" s="3">
        <v>40.192864087321375</v>
      </c>
      <c r="CA297" s="3">
        <v>16.092864087321367</v>
      </c>
      <c r="CB297" s="3">
        <v>9.7295307539880369</v>
      </c>
      <c r="CC297" s="3">
        <v>10.142864087321371</v>
      </c>
      <c r="CD297" s="3">
        <v>9.0495307539880443</v>
      </c>
      <c r="CE297" s="3">
        <v>9.4428640873213752</v>
      </c>
      <c r="CF297" s="3">
        <v>-0.9438025793452951</v>
      </c>
      <c r="CG297" s="3">
        <v>-1.4771359126786265</v>
      </c>
      <c r="CH297" s="3">
        <v>-2.5538025793452945</v>
      </c>
      <c r="CI297" s="13">
        <f>[1]!dbasum(RecData[[#This Row],[20]:[2000]],RecData[[#Headers],[20]:[2000]])</f>
        <v>18.575588048871992</v>
      </c>
      <c r="CJ297" s="14">
        <v>4304</v>
      </c>
      <c r="CK297" s="15" t="s">
        <v>249</v>
      </c>
      <c r="CL297" s="15">
        <f>RecData[[#This Row],[Start Time]]</f>
        <v>43260.960428240745</v>
      </c>
      <c r="CM297" s="16">
        <f>RecData[[#This Row],[Wind Speed avg]]</f>
        <v>0.56999999999999995</v>
      </c>
      <c r="CN297" s="16">
        <f>RecData[[#This Row],[Wind Dir. avg]]</f>
        <v>143.5</v>
      </c>
      <c r="CO297" s="16">
        <f>RecData[[#This Row],[Amb. Humidity]]</f>
        <v>83.2</v>
      </c>
      <c r="CP297" s="16">
        <f>RecData[[#This Row],[Amb. Temperature]]</f>
        <v>13.1</v>
      </c>
      <c r="CQ297" s="17">
        <f>RecData[[#This Row],[Amb. Rain Gauge]]</f>
        <v>0</v>
      </c>
      <c r="CR297" s="4" t="s">
        <v>50</v>
      </c>
      <c r="CS297" s="4" t="s">
        <v>49</v>
      </c>
      <c r="CT297" s="70">
        <v>-9.5890131000000007</v>
      </c>
      <c r="CU297" s="70">
        <v>277.68191530000001</v>
      </c>
      <c r="CV297" s="70">
        <v>1.3114669320000001</v>
      </c>
      <c r="CW297" s="70">
        <v>0</v>
      </c>
      <c r="CX297" s="4"/>
      <c r="CY297" s="69"/>
      <c r="CZ297" s="2" t="b">
        <f>IF($DP$1="YES",IF(RecData[[#This Row],[Power (kW)]]&gt;=$CR$3, TRUE,FALSE),TRUE)</f>
        <v>0</v>
      </c>
      <c r="DA297" s="16">
        <f>MIN(MOD(180-ABS(ABS($DA$1-RecData[Yaw Angle (°)])-180),360),MOD(180-ABS(ABS($DB$1-RecData[Yaw Angle (°)])-180),360))</f>
        <v>89.848011477687521</v>
      </c>
      <c r="DB297" s="2" t="str">
        <f>IF($DP$2="None","None",IF(RecData[[#This Row],[Relative Wind Direction]]&lt;=45,"DW",IF(RecData[[#This Row],[Relative Wind Direction]]&lt;=135,"CW","UW")))</f>
        <v>CW</v>
      </c>
      <c r="DC297" s="61">
        <f>IF($CL297-$CL296&gt;1/24,#REF!,IF(SUM($CQ296:$CQ297)&gt;$DS$1,$DS$5,DC298-1))</f>
        <v>-9</v>
      </c>
      <c r="DD297" s="61">
        <f>IF($CL298-$CL297&gt;1/24,#REF!,IF(SUM($CQ296:$CQ297)&gt;$DS$1,$DS$6,DD296-1))</f>
        <v>-2</v>
      </c>
      <c r="DE297" s="18" t="b">
        <v>0</v>
      </c>
      <c r="DF297" s="2" t="b">
        <f>IF(OR(RecData[[#This Row],[WSpd_Avg '[m/s']]]-RecData[[#This Row],[Wind Speed min]]&gt;=$DF$3,RecData[[#This Row],[Wind Speed max]]-RecData[[#This Row],[WSpd_Avg '[m/s']]]&gt;=$DF$2),TRUE,FALSE)</f>
        <v>0</v>
      </c>
      <c r="DG297" s="2" t="b">
        <f>RecData[[#This Row],[Temperature '[°C']]]&lt;=-20</f>
        <v>0</v>
      </c>
      <c r="DH297" s="18" t="b">
        <f>NOT(OR(MOD(RecData[[#This Row],[TIMESTAMP]],1)&gt;0.91632,MOD(RecData[[#This Row],[TIMESTAMP]],1)&lt;0.208681))</f>
        <v>0</v>
      </c>
      <c r="DI297" s="18" t="b">
        <f>RecData[[#This Row],[Overall (dBA)]]-RecData[[#This Row],[L90]]&gt;=$DS$4</f>
        <v>0</v>
      </c>
      <c r="DJ297" s="18" t="b">
        <f>RecData[[#This Row],[Overall (dBA)]]&gt;$DS$2</f>
        <v>0</v>
      </c>
      <c r="DK297" s="18" t="b">
        <f>RecData[[#This Row],[Overall (dBA)]]&lt;$DS$3</f>
        <v>0</v>
      </c>
      <c r="DL2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7" s="2">
        <f>IF(AND(RecData[[#This Row],[Turbines ON/OFF]] = "OFF", NOT(OR(RecData[[#This Row],[Junk?]]="YES",RecData[[#This Row],[Gust?]],RecData[[#This Row],[Rain?]:[Min SPL Threshold?]]))),1,0)</f>
        <v>1</v>
      </c>
      <c r="DN297" s="16">
        <f>RecData[[#This Row],[dBA Sum]]</f>
        <v>18.575588048871992</v>
      </c>
      <c r="DO297" s="16">
        <f>RecData[[#This Row],[LAF90.0]]</f>
        <v>39.799999999999997</v>
      </c>
      <c r="DP297" s="55" t="str">
        <f>IF(AND(RecData[[#This Row],[Useable TON Data?]],RecData[[#This Row],[Turbines ON/OFF]]="ON"),RecData[[#This Row],[dBA Sum]],"")</f>
        <v/>
      </c>
      <c r="DQ297" s="55">
        <f>IF(AND(RecData[[#This Row],[Useable Background Data?]],RecData[[#This Row],[Turbines ON/OFF]]="OFF"),RecData[[#This Row],[dBA Sum]],"")</f>
        <v>18.575588048871992</v>
      </c>
      <c r="DR297" s="3">
        <f>IF(OR(RecData[[#This Row],[Useable TON Data?]],RecData[[#This Row],[Useable Background Data?]]),ROUND(RecData[[#This Row],[WSpd_Avg '[m/s']]],0),"")</f>
        <v>1</v>
      </c>
      <c r="DS297" s="85">
        <f>(0.00002)^2*(10^(RecData[[#This Row],[Overall (dBA)]]/10))</f>
        <v>2.8815011431786315E-8</v>
      </c>
    </row>
    <row r="298" spans="1:123" ht="15" x14ac:dyDescent="0.25">
      <c r="A298" s="3" t="s">
        <v>249</v>
      </c>
      <c r="B298" s="12">
        <v>43260.961122685192</v>
      </c>
      <c r="C298" s="3"/>
      <c r="D298" s="3">
        <v>39.5</v>
      </c>
      <c r="E298" s="3"/>
      <c r="F298" s="3"/>
      <c r="G298" s="3"/>
      <c r="H298" s="3"/>
      <c r="I298" s="3"/>
      <c r="J298" s="3"/>
      <c r="K298" s="3">
        <v>37.5</v>
      </c>
      <c r="L298" s="3"/>
      <c r="M298" s="3"/>
      <c r="N298" s="3">
        <v>166.8</v>
      </c>
      <c r="O298" s="3"/>
      <c r="P298" s="3"/>
      <c r="Q298" s="3">
        <v>0.53</v>
      </c>
      <c r="R298" s="3">
        <v>0.4</v>
      </c>
      <c r="S298" s="3">
        <v>0.7</v>
      </c>
      <c r="T298" s="3">
        <v>13</v>
      </c>
      <c r="U298" s="3">
        <v>82.8</v>
      </c>
      <c r="V298" s="3">
        <v>975.7</v>
      </c>
      <c r="W298" s="3">
        <v>0</v>
      </c>
      <c r="X298" s="3">
        <v>21.2</v>
      </c>
      <c r="Y298" s="3">
        <v>20.6</v>
      </c>
      <c r="Z298" s="3">
        <v>23.1</v>
      </c>
      <c r="AA298" s="3">
        <v>15.1</v>
      </c>
      <c r="AB298" s="3">
        <v>14.6</v>
      </c>
      <c r="AC298" s="3">
        <v>6</v>
      </c>
      <c r="AD298" s="3">
        <v>9.3000000000000007</v>
      </c>
      <c r="AE298" s="3">
        <v>13</v>
      </c>
      <c r="AF298" s="3">
        <v>12.9</v>
      </c>
      <c r="AG298" s="3">
        <v>11.7</v>
      </c>
      <c r="AH298" s="3">
        <v>11.5</v>
      </c>
      <c r="AI298" s="3">
        <v>10.5</v>
      </c>
      <c r="AJ298" s="3">
        <v>11</v>
      </c>
      <c r="AK298" s="3">
        <v>8.5</v>
      </c>
      <c r="AL298" s="3">
        <v>7.2</v>
      </c>
      <c r="AM298" s="3">
        <v>7.6</v>
      </c>
      <c r="AN298" s="3">
        <v>8.1999999999999993</v>
      </c>
      <c r="AO298" s="3">
        <v>8</v>
      </c>
      <c r="AP298" s="3">
        <v>8</v>
      </c>
      <c r="AQ298" s="3">
        <v>11.8</v>
      </c>
      <c r="AR298" s="3">
        <v>9</v>
      </c>
      <c r="AS298" s="3">
        <v>28.7</v>
      </c>
      <c r="AT298" s="3">
        <v>37.700000000000003</v>
      </c>
      <c r="AU298" s="3">
        <v>17.3</v>
      </c>
      <c r="AV298" s="3">
        <v>9.8000000000000007</v>
      </c>
      <c r="AW298" s="3">
        <v>10.1</v>
      </c>
      <c r="AX298" s="3">
        <v>9.8000000000000007</v>
      </c>
      <c r="AY298" s="3">
        <v>10</v>
      </c>
      <c r="AZ298" s="3">
        <v>0</v>
      </c>
      <c r="BA298" s="3">
        <v>0</v>
      </c>
      <c r="BB298" s="3">
        <v>0</v>
      </c>
      <c r="BC298" s="3">
        <v>39.501346972612396</v>
      </c>
      <c r="BD298" s="3">
        <v>21.198653027387607</v>
      </c>
      <c r="BE298" s="3">
        <v>20.598653027387606</v>
      </c>
      <c r="BF298" s="3">
        <v>21.858653027387604</v>
      </c>
      <c r="BG298" s="3">
        <v>14.185319694054272</v>
      </c>
      <c r="BH298" s="3">
        <v>13.825319694054272</v>
      </c>
      <c r="BI298" s="3">
        <v>5.6386530273876048</v>
      </c>
      <c r="BJ298" s="3">
        <v>9.7319863607209385</v>
      </c>
      <c r="BK298" s="3">
        <v>13.305319694054269</v>
      </c>
      <c r="BL298" s="3">
        <v>12.778653027387605</v>
      </c>
      <c r="BM298" s="3">
        <v>11.711986360720942</v>
      </c>
      <c r="BN298" s="3">
        <v>11.795319694054271</v>
      </c>
      <c r="BO298" s="3">
        <v>10.161986360720938</v>
      </c>
      <c r="BP298" s="3">
        <v>10.378653027387607</v>
      </c>
      <c r="BQ298" s="3">
        <v>8.2953196940542639</v>
      </c>
      <c r="BR298" s="3">
        <v>7.3219863607209419</v>
      </c>
      <c r="BS298" s="3">
        <v>7.5253196940542679</v>
      </c>
      <c r="BT298" s="3">
        <v>8.3219863607209419</v>
      </c>
      <c r="BU298" s="3">
        <v>8.0886530273876076</v>
      </c>
      <c r="BV298" s="3">
        <v>7.8053196940542691</v>
      </c>
      <c r="BW298" s="3">
        <v>12.138653027387605</v>
      </c>
      <c r="BX298" s="3">
        <v>9.2586530273876093</v>
      </c>
      <c r="BY298" s="3">
        <v>28.778653027387605</v>
      </c>
      <c r="BZ298" s="3">
        <v>37.908653027387601</v>
      </c>
      <c r="CA298" s="3">
        <v>17.608653027387597</v>
      </c>
      <c r="CB298" s="3">
        <v>9.5453196940542711</v>
      </c>
      <c r="CC298" s="3">
        <v>10.058653027387606</v>
      </c>
      <c r="CD298" s="3">
        <v>9.0653196940542742</v>
      </c>
      <c r="CE298" s="3">
        <v>9.4586530273876051</v>
      </c>
      <c r="CF298" s="3">
        <v>-0.92801363927906522</v>
      </c>
      <c r="CG298" s="3">
        <v>-1.4613469726123967</v>
      </c>
      <c r="CH298" s="3">
        <v>-2.5380136392790646</v>
      </c>
      <c r="CI298" s="13">
        <f>[1]!dbasum(RecData[[#This Row],[20]:[2000]],RecData[[#Headers],[20]:[2000]])</f>
        <v>18.169711136065754</v>
      </c>
      <c r="CJ298" s="14">
        <v>4305</v>
      </c>
      <c r="CK298" s="15" t="s">
        <v>249</v>
      </c>
      <c r="CL298" s="15">
        <f>RecData[[#This Row],[Start Time]]</f>
        <v>43260.961122685192</v>
      </c>
      <c r="CM298" s="16">
        <f>RecData[[#This Row],[Wind Speed avg]]</f>
        <v>0.53</v>
      </c>
      <c r="CN298" s="16">
        <f>RecData[[#This Row],[Wind Dir. avg]]</f>
        <v>166.8</v>
      </c>
      <c r="CO298" s="16">
        <f>RecData[[#This Row],[Amb. Humidity]]</f>
        <v>82.8</v>
      </c>
      <c r="CP298" s="16">
        <f>RecData[[#This Row],[Amb. Temperature]]</f>
        <v>13</v>
      </c>
      <c r="CQ298" s="17">
        <f>RecData[[#This Row],[Amb. Rain Gauge]]</f>
        <v>0</v>
      </c>
      <c r="CR298" s="4" t="s">
        <v>50</v>
      </c>
      <c r="CS298" s="4" t="s">
        <v>49</v>
      </c>
      <c r="CT298" s="70">
        <v>-9.5890131000000007</v>
      </c>
      <c r="CU298" s="70">
        <v>277.68191530000001</v>
      </c>
      <c r="CV298" s="70">
        <v>1.3114669320000001</v>
      </c>
      <c r="CW298" s="70">
        <v>0</v>
      </c>
      <c r="CX298" s="4"/>
      <c r="CY298" s="69"/>
      <c r="CZ298" s="2" t="b">
        <f>IF($DP$1="YES",IF(RecData[[#This Row],[Power (kW)]]&gt;=$CR$3, TRUE,FALSE),TRUE)</f>
        <v>0</v>
      </c>
      <c r="DA298" s="16">
        <f>MIN(MOD(180-ABS(ABS($DA$1-RecData[Yaw Angle (°)])-180),360),MOD(180-ABS(ABS($DB$1-RecData[Yaw Angle (°)])-180),360))</f>
        <v>89.848011477687521</v>
      </c>
      <c r="DB298" s="2" t="str">
        <f>IF($DP$2="None","None",IF(RecData[[#This Row],[Relative Wind Direction]]&lt;=45,"DW",IF(RecData[[#This Row],[Relative Wind Direction]]&lt;=135,"CW","UW")))</f>
        <v>CW</v>
      </c>
      <c r="DC298" s="61">
        <f>IF($CL298-$CL296&gt;1/24,#REF!,IF(SUM($CQ296:$CQ298)&gt;$DS$1,$DS$5,DC299-1))</f>
        <v>-8</v>
      </c>
      <c r="DD298" s="61">
        <f>IF($CL299-$CL298&gt;1/24,#REF!,IF(SUM($CQ296:$CQ298)&gt;$DS$1,$DS$6,DD297-1))</f>
        <v>-3</v>
      </c>
      <c r="DE298" s="18" t="b">
        <v>0</v>
      </c>
      <c r="DF298" s="2" t="b">
        <f>IF(OR(RecData[[#This Row],[WSpd_Avg '[m/s']]]-RecData[[#This Row],[Wind Speed min]]&gt;=$DF$3,RecData[[#This Row],[Wind Speed max]]-RecData[[#This Row],[WSpd_Avg '[m/s']]]&gt;=$DF$2),TRUE,FALSE)</f>
        <v>0</v>
      </c>
      <c r="DG298" s="2" t="b">
        <f>RecData[[#This Row],[Temperature '[°C']]]&lt;=-20</f>
        <v>0</v>
      </c>
      <c r="DH298" s="18" t="b">
        <f>NOT(OR(MOD(RecData[[#This Row],[TIMESTAMP]],1)&gt;0.91632,MOD(RecData[[#This Row],[TIMESTAMP]],1)&lt;0.208681))</f>
        <v>0</v>
      </c>
      <c r="DI298" s="18" t="b">
        <f>RecData[[#This Row],[Overall (dBA)]]-RecData[[#This Row],[L90]]&gt;=$DS$4</f>
        <v>0</v>
      </c>
      <c r="DJ298" s="18" t="b">
        <f>RecData[[#This Row],[Overall (dBA)]]&gt;$DS$2</f>
        <v>0</v>
      </c>
      <c r="DK298" s="18" t="b">
        <f>RecData[[#This Row],[Overall (dBA)]]&lt;$DS$3</f>
        <v>0</v>
      </c>
      <c r="DL2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8" s="2">
        <f>IF(AND(RecData[[#This Row],[Turbines ON/OFF]] = "OFF", NOT(OR(RecData[[#This Row],[Junk?]]="YES",RecData[[#This Row],[Gust?]],RecData[[#This Row],[Rain?]:[Min SPL Threshold?]]))),1,0)</f>
        <v>1</v>
      </c>
      <c r="DN298" s="16">
        <f>RecData[[#This Row],[dBA Sum]]</f>
        <v>18.169711136065754</v>
      </c>
      <c r="DO298" s="16">
        <f>RecData[[#This Row],[LAF90.0]]</f>
        <v>37.5</v>
      </c>
      <c r="DP298" s="55" t="str">
        <f>IF(AND(RecData[[#This Row],[Useable TON Data?]],RecData[[#This Row],[Turbines ON/OFF]]="ON"),RecData[[#This Row],[dBA Sum]],"")</f>
        <v/>
      </c>
      <c r="DQ298" s="55">
        <f>IF(AND(RecData[[#This Row],[Useable Background Data?]],RecData[[#This Row],[Turbines ON/OFF]]="OFF"),RecData[[#This Row],[dBA Sum]],"")</f>
        <v>18.169711136065754</v>
      </c>
      <c r="DR298" s="3">
        <f>IF(OR(RecData[[#This Row],[Useable TON Data?]],RecData[[#This Row],[Useable Background Data?]]),ROUND(RecData[[#This Row],[WSpd_Avg '[m/s']]],0),"")</f>
        <v>1</v>
      </c>
      <c r="DS298" s="85">
        <f>(0.00002)^2*(10^(RecData[[#This Row],[Overall (dBA)]]/10))</f>
        <v>2.6244065012622876E-8</v>
      </c>
    </row>
    <row r="299" spans="1:123" ht="15" x14ac:dyDescent="0.25">
      <c r="A299" s="3" t="s">
        <v>249</v>
      </c>
      <c r="B299" s="12">
        <v>43260.961817129632</v>
      </c>
      <c r="C299" s="3"/>
      <c r="D299" s="3">
        <v>39.5</v>
      </c>
      <c r="E299" s="3"/>
      <c r="F299" s="3"/>
      <c r="G299" s="3"/>
      <c r="H299" s="3"/>
      <c r="I299" s="3"/>
      <c r="J299" s="3"/>
      <c r="K299" s="3">
        <v>37.6</v>
      </c>
      <c r="L299" s="3"/>
      <c r="M299" s="3"/>
      <c r="N299" s="3">
        <v>179.9</v>
      </c>
      <c r="O299" s="3"/>
      <c r="P299" s="3"/>
      <c r="Q299" s="3">
        <v>0.46</v>
      </c>
      <c r="R299" s="3">
        <v>0.3</v>
      </c>
      <c r="S299" s="3">
        <v>0.6</v>
      </c>
      <c r="T299" s="3">
        <v>13</v>
      </c>
      <c r="U299" s="3">
        <v>82.8</v>
      </c>
      <c r="V299" s="3">
        <v>975.6</v>
      </c>
      <c r="W299" s="3">
        <v>0</v>
      </c>
      <c r="X299" s="3">
        <v>17.7</v>
      </c>
      <c r="Y299" s="3">
        <v>18.7</v>
      </c>
      <c r="Z299" s="3">
        <v>21.5</v>
      </c>
      <c r="AA299" s="3">
        <v>13.1</v>
      </c>
      <c r="AB299" s="3">
        <v>13.7</v>
      </c>
      <c r="AC299" s="3">
        <v>5.7</v>
      </c>
      <c r="AD299" s="3">
        <v>9.5</v>
      </c>
      <c r="AE299" s="3">
        <v>13</v>
      </c>
      <c r="AF299" s="3">
        <v>14</v>
      </c>
      <c r="AG299" s="3">
        <v>12.6</v>
      </c>
      <c r="AH299" s="3">
        <v>12.3</v>
      </c>
      <c r="AI299" s="3">
        <v>10.7</v>
      </c>
      <c r="AJ299" s="3">
        <v>11.3</v>
      </c>
      <c r="AK299" s="3">
        <v>8.6</v>
      </c>
      <c r="AL299" s="3">
        <v>7.6</v>
      </c>
      <c r="AM299" s="3">
        <v>7.7</v>
      </c>
      <c r="AN299" s="3">
        <v>8.6</v>
      </c>
      <c r="AO299" s="3">
        <v>8</v>
      </c>
      <c r="AP299" s="3">
        <v>8</v>
      </c>
      <c r="AQ299" s="3">
        <v>10.7</v>
      </c>
      <c r="AR299" s="3">
        <v>8.8000000000000007</v>
      </c>
      <c r="AS299" s="3">
        <v>30.3</v>
      </c>
      <c r="AT299" s="3">
        <v>37.4</v>
      </c>
      <c r="AU299" s="3">
        <v>16.2</v>
      </c>
      <c r="AV299" s="3">
        <v>9.6999999999999993</v>
      </c>
      <c r="AW299" s="3">
        <v>10</v>
      </c>
      <c r="AX299" s="3">
        <v>9.6999999999999993</v>
      </c>
      <c r="AY299" s="3">
        <v>9.9</v>
      </c>
      <c r="AZ299" s="3">
        <v>0</v>
      </c>
      <c r="BA299" s="3">
        <v>0</v>
      </c>
      <c r="BB299" s="3">
        <v>0</v>
      </c>
      <c r="BC299" s="3">
        <v>39.45504020255774</v>
      </c>
      <c r="BD299" s="3">
        <v>17.744959797442263</v>
      </c>
      <c r="BE299" s="3">
        <v>18.744959797442263</v>
      </c>
      <c r="BF299" s="3">
        <v>20.304959797442265</v>
      </c>
      <c r="BG299" s="3">
        <v>12.231626464108928</v>
      </c>
      <c r="BH299" s="3">
        <v>12.97162646410893</v>
      </c>
      <c r="BI299" s="3">
        <v>5.3849597974422636</v>
      </c>
      <c r="BJ299" s="3">
        <v>9.9782931307755902</v>
      </c>
      <c r="BK299" s="3">
        <v>13.351626464108925</v>
      </c>
      <c r="BL299" s="3">
        <v>13.924959797442263</v>
      </c>
      <c r="BM299" s="3">
        <v>12.658293130775597</v>
      </c>
      <c r="BN299" s="3">
        <v>12.641626464108924</v>
      </c>
      <c r="BO299" s="3">
        <v>10.408293130775597</v>
      </c>
      <c r="BP299" s="3">
        <v>10.72495979744226</v>
      </c>
      <c r="BQ299" s="3">
        <v>8.4416264641089214</v>
      </c>
      <c r="BR299" s="3">
        <v>7.7682931307755965</v>
      </c>
      <c r="BS299" s="3">
        <v>7.6716264641089253</v>
      </c>
      <c r="BT299" s="3">
        <v>8.7682931307755965</v>
      </c>
      <c r="BU299" s="3">
        <v>8.1349597974422636</v>
      </c>
      <c r="BV299" s="3">
        <v>7.8516264641089251</v>
      </c>
      <c r="BW299" s="3">
        <v>11.084959797442266</v>
      </c>
      <c r="BX299" s="3">
        <v>9.1049597974422625</v>
      </c>
      <c r="BY299" s="3">
        <v>30.424959797442256</v>
      </c>
      <c r="BZ299" s="3">
        <v>37.65495979744226</v>
      </c>
      <c r="CA299" s="3">
        <v>16.554959797442251</v>
      </c>
      <c r="CB299" s="3">
        <v>9.4916264641089256</v>
      </c>
      <c r="CC299" s="3">
        <v>10.004959797442261</v>
      </c>
      <c r="CD299" s="3">
        <v>9.0116264641089288</v>
      </c>
      <c r="CE299" s="3">
        <v>9.4049597974422596</v>
      </c>
      <c r="CF299" s="3">
        <v>-0.88170686922440922</v>
      </c>
      <c r="CG299" s="3">
        <v>-1.4150402025577407</v>
      </c>
      <c r="CH299" s="3">
        <v>-2.4917068692244086</v>
      </c>
      <c r="CI299" s="13">
        <f>[1]!dbasum(RecData[[#This Row],[20]:[2000]],RecData[[#Headers],[20]:[2000]])</f>
        <v>17.98477542246788</v>
      </c>
      <c r="CJ299" s="14">
        <v>4306</v>
      </c>
      <c r="CK299" s="15" t="s">
        <v>249</v>
      </c>
      <c r="CL299" s="15">
        <f>RecData[[#This Row],[Start Time]]</f>
        <v>43260.961817129632</v>
      </c>
      <c r="CM299" s="16">
        <f>RecData[[#This Row],[Wind Speed avg]]</f>
        <v>0.46</v>
      </c>
      <c r="CN299" s="16">
        <f>RecData[[#This Row],[Wind Dir. avg]]</f>
        <v>179.9</v>
      </c>
      <c r="CO299" s="16">
        <f>RecData[[#This Row],[Amb. Humidity]]</f>
        <v>82.8</v>
      </c>
      <c r="CP299" s="16">
        <f>RecData[[#This Row],[Amb. Temperature]]</f>
        <v>13</v>
      </c>
      <c r="CQ299" s="17">
        <f>RecData[[#This Row],[Amb. Rain Gauge]]</f>
        <v>0</v>
      </c>
      <c r="CR299" s="4" t="s">
        <v>50</v>
      </c>
      <c r="CS299" s="4" t="s">
        <v>49</v>
      </c>
      <c r="CT299" s="70">
        <v>-9.5890131000000007</v>
      </c>
      <c r="CU299" s="70">
        <v>277.68191530000001</v>
      </c>
      <c r="CV299" s="70">
        <v>1.3114669320000001</v>
      </c>
      <c r="CW299" s="70">
        <v>0</v>
      </c>
      <c r="CX299" s="4"/>
      <c r="CY299" s="69"/>
      <c r="CZ299" s="2" t="b">
        <f>IF($DP$1="YES",IF(RecData[[#This Row],[Power (kW)]]&gt;=$CR$3, TRUE,FALSE),TRUE)</f>
        <v>0</v>
      </c>
      <c r="DA299" s="16">
        <f>MIN(MOD(180-ABS(ABS($DA$1-RecData[Yaw Angle (°)])-180),360),MOD(180-ABS(ABS($DB$1-RecData[Yaw Angle (°)])-180),360))</f>
        <v>89.848011477687521</v>
      </c>
      <c r="DB299" s="2" t="str">
        <f>IF($DP$2="None","None",IF(RecData[[#This Row],[Relative Wind Direction]]&lt;=45,"DW",IF(RecData[[#This Row],[Relative Wind Direction]]&lt;=135,"CW","UW")))</f>
        <v>CW</v>
      </c>
      <c r="DC299" s="61">
        <f>IF($CL299-$CL296&gt;1/24,#REF!,IF(SUM($CQ296:$CQ299)&gt;$DS$1,$DS$5,DC300-1))</f>
        <v>-7</v>
      </c>
      <c r="DD299" s="61">
        <f>IF($CL300-$CL299&gt;1/24,#REF!,IF(SUM($CQ296:$CQ299)&gt;$DS$1,$DS$6,DD298-1))</f>
        <v>-4</v>
      </c>
      <c r="DE299" s="18" t="b">
        <v>0</v>
      </c>
      <c r="DF299" s="2" t="b">
        <f>IF(OR(RecData[[#This Row],[WSpd_Avg '[m/s']]]-RecData[[#This Row],[Wind Speed min]]&gt;=$DF$3,RecData[[#This Row],[Wind Speed max]]-RecData[[#This Row],[WSpd_Avg '[m/s']]]&gt;=$DF$2),TRUE,FALSE)</f>
        <v>0</v>
      </c>
      <c r="DG299" s="2" t="b">
        <f>RecData[[#This Row],[Temperature '[°C']]]&lt;=-20</f>
        <v>0</v>
      </c>
      <c r="DH299" s="18" t="b">
        <f>NOT(OR(MOD(RecData[[#This Row],[TIMESTAMP]],1)&gt;0.91632,MOD(RecData[[#This Row],[TIMESTAMP]],1)&lt;0.208681))</f>
        <v>0</v>
      </c>
      <c r="DI299" s="18" t="b">
        <f>RecData[[#This Row],[Overall (dBA)]]-RecData[[#This Row],[L90]]&gt;=$DS$4</f>
        <v>0</v>
      </c>
      <c r="DJ299" s="18" t="b">
        <f>RecData[[#This Row],[Overall (dBA)]]&gt;$DS$2</f>
        <v>0</v>
      </c>
      <c r="DK299" s="18" t="b">
        <f>RecData[[#This Row],[Overall (dBA)]]&lt;$DS$3</f>
        <v>0</v>
      </c>
      <c r="DL2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299" s="2">
        <f>IF(AND(RecData[[#This Row],[Turbines ON/OFF]] = "OFF", NOT(OR(RecData[[#This Row],[Junk?]]="YES",RecData[[#This Row],[Gust?]],RecData[[#This Row],[Rain?]:[Min SPL Threshold?]]))),1,0)</f>
        <v>1</v>
      </c>
      <c r="DN299" s="16">
        <f>RecData[[#This Row],[dBA Sum]]</f>
        <v>17.98477542246788</v>
      </c>
      <c r="DO299" s="16">
        <f>RecData[[#This Row],[LAF90.0]]</f>
        <v>37.6</v>
      </c>
      <c r="DP299" s="55" t="str">
        <f>IF(AND(RecData[[#This Row],[Useable TON Data?]],RecData[[#This Row],[Turbines ON/OFF]]="ON"),RecData[[#This Row],[dBA Sum]],"")</f>
        <v/>
      </c>
      <c r="DQ299" s="55">
        <f>IF(AND(RecData[[#This Row],[Useable Background Data?]],RecData[[#This Row],[Turbines ON/OFF]]="OFF"),RecData[[#This Row],[dBA Sum]],"")</f>
        <v>17.98477542246788</v>
      </c>
      <c r="DR299" s="3">
        <f>IF(OR(RecData[[#This Row],[Useable TON Data?]],RecData[[#This Row],[Useable Background Data?]]),ROUND(RecData[[#This Row],[WSpd_Avg '[m/s']]],0),"")</f>
        <v>0</v>
      </c>
      <c r="DS299" s="85">
        <f>(0.00002)^2*(10^(RecData[[#This Row],[Overall (dBA)]]/10))</f>
        <v>2.5149973603633174E-8</v>
      </c>
    </row>
    <row r="300" spans="1:123" ht="15" x14ac:dyDescent="0.25">
      <c r="A300" s="3" t="s">
        <v>249</v>
      </c>
      <c r="B300" s="12">
        <v>43260.962511574078</v>
      </c>
      <c r="C300" s="3"/>
      <c r="D300" s="3">
        <v>39.4</v>
      </c>
      <c r="E300" s="3"/>
      <c r="F300" s="3"/>
      <c r="G300" s="3"/>
      <c r="H300" s="3"/>
      <c r="I300" s="3"/>
      <c r="J300" s="3"/>
      <c r="K300" s="3">
        <v>37.1</v>
      </c>
      <c r="L300" s="3"/>
      <c r="M300" s="3"/>
      <c r="N300" s="3">
        <v>161.9</v>
      </c>
      <c r="O300" s="3"/>
      <c r="P300" s="3"/>
      <c r="Q300" s="3">
        <v>0.54</v>
      </c>
      <c r="R300" s="3">
        <v>0.4</v>
      </c>
      <c r="S300" s="3">
        <v>0.6</v>
      </c>
      <c r="T300" s="3">
        <v>13</v>
      </c>
      <c r="U300" s="3">
        <v>82.6</v>
      </c>
      <c r="V300" s="3">
        <v>975.6</v>
      </c>
      <c r="W300" s="3">
        <v>0</v>
      </c>
      <c r="X300" s="3">
        <v>20.8</v>
      </c>
      <c r="Y300" s="3">
        <v>16.2</v>
      </c>
      <c r="Z300" s="3">
        <v>19</v>
      </c>
      <c r="AA300" s="3">
        <v>12.6</v>
      </c>
      <c r="AB300" s="3">
        <v>14.9</v>
      </c>
      <c r="AC300" s="3">
        <v>5.5</v>
      </c>
      <c r="AD300" s="3">
        <v>8.8000000000000007</v>
      </c>
      <c r="AE300" s="3">
        <v>13.4</v>
      </c>
      <c r="AF300" s="3">
        <v>12.7</v>
      </c>
      <c r="AG300" s="3">
        <v>11.8</v>
      </c>
      <c r="AH300" s="3">
        <v>12.3</v>
      </c>
      <c r="AI300" s="3">
        <v>11.1</v>
      </c>
      <c r="AJ300" s="3">
        <v>11.9</v>
      </c>
      <c r="AK300" s="3">
        <v>9.4</v>
      </c>
      <c r="AL300" s="3">
        <v>7.9</v>
      </c>
      <c r="AM300" s="3">
        <v>8.1</v>
      </c>
      <c r="AN300" s="3">
        <v>9.5</v>
      </c>
      <c r="AO300" s="3">
        <v>8.6999999999999993</v>
      </c>
      <c r="AP300" s="3">
        <v>8.6</v>
      </c>
      <c r="AQ300" s="3">
        <v>11.7</v>
      </c>
      <c r="AR300" s="3">
        <v>9.3000000000000007</v>
      </c>
      <c r="AS300" s="3">
        <v>29.8</v>
      </c>
      <c r="AT300" s="3">
        <v>37.4</v>
      </c>
      <c r="AU300" s="3">
        <v>15.7</v>
      </c>
      <c r="AV300" s="3">
        <v>9.8000000000000007</v>
      </c>
      <c r="AW300" s="3">
        <v>10.1</v>
      </c>
      <c r="AX300" s="3">
        <v>9.8000000000000007</v>
      </c>
      <c r="AY300" s="3">
        <v>10</v>
      </c>
      <c r="AZ300" s="3">
        <v>0</v>
      </c>
      <c r="BA300" s="3">
        <v>0</v>
      </c>
      <c r="BB300" s="3">
        <v>0</v>
      </c>
      <c r="BC300" s="3">
        <v>39.380080594676059</v>
      </c>
      <c r="BD300" s="3">
        <v>20.819919405323944</v>
      </c>
      <c r="BE300" s="3">
        <v>16.219919405323935</v>
      </c>
      <c r="BF300" s="3">
        <v>17.779919405323938</v>
      </c>
      <c r="BG300" s="3">
        <v>11.7065860719906</v>
      </c>
      <c r="BH300" s="3">
        <v>14.146586071990612</v>
      </c>
      <c r="BI300" s="3">
        <v>5.1599194053239401</v>
      </c>
      <c r="BJ300" s="3">
        <v>9.2532527386572738</v>
      </c>
      <c r="BK300" s="3">
        <v>13.726586071990603</v>
      </c>
      <c r="BL300" s="3">
        <v>12.599919405323938</v>
      </c>
      <c r="BM300" s="3">
        <v>11.833252738657279</v>
      </c>
      <c r="BN300" s="3">
        <v>12.616586071990611</v>
      </c>
      <c r="BO300" s="3">
        <v>10.783252738657275</v>
      </c>
      <c r="BP300" s="3">
        <v>11.299919405323941</v>
      </c>
      <c r="BQ300" s="3">
        <v>9.2165860719905979</v>
      </c>
      <c r="BR300" s="3">
        <v>8.043252738657273</v>
      </c>
      <c r="BS300" s="3">
        <v>8.0465860719906033</v>
      </c>
      <c r="BT300" s="3">
        <v>9.6432527386572744</v>
      </c>
      <c r="BU300" s="3">
        <v>8.8099194053239387</v>
      </c>
      <c r="BV300" s="3">
        <v>8.4265860719906058</v>
      </c>
      <c r="BW300" s="3">
        <v>12.059919405323939</v>
      </c>
      <c r="BX300" s="3">
        <v>9.5799194053239489</v>
      </c>
      <c r="BY300" s="3">
        <v>29.899919405323942</v>
      </c>
      <c r="BZ300" s="3">
        <v>37.629919405323932</v>
      </c>
      <c r="CA300" s="3">
        <v>16.02991940532393</v>
      </c>
      <c r="CB300" s="3">
        <v>9.5665860719906064</v>
      </c>
      <c r="CC300" s="3">
        <v>10.079919405323935</v>
      </c>
      <c r="CD300" s="3">
        <v>9.0865860719906095</v>
      </c>
      <c r="CE300" s="3">
        <v>9.4799194053239404</v>
      </c>
      <c r="CF300" s="3">
        <v>-0.90674726134272987</v>
      </c>
      <c r="CG300" s="3">
        <v>-1.4400805946760613</v>
      </c>
      <c r="CH300" s="3">
        <v>-2.5167472613427293</v>
      </c>
      <c r="CI300" s="13">
        <f>[1]!dbasum(RecData[[#This Row],[20]:[2000]],RecData[[#Headers],[20]:[2000]])</f>
        <v>18.622545892865165</v>
      </c>
      <c r="CJ300" s="14">
        <v>4307</v>
      </c>
      <c r="CK300" s="15" t="s">
        <v>249</v>
      </c>
      <c r="CL300" s="15">
        <f>RecData[[#This Row],[Start Time]]</f>
        <v>43260.962511574078</v>
      </c>
      <c r="CM300" s="16">
        <f>RecData[[#This Row],[Wind Speed avg]]</f>
        <v>0.54</v>
      </c>
      <c r="CN300" s="16">
        <f>RecData[[#This Row],[Wind Dir. avg]]</f>
        <v>161.9</v>
      </c>
      <c r="CO300" s="16">
        <f>RecData[[#This Row],[Amb. Humidity]]</f>
        <v>82.6</v>
      </c>
      <c r="CP300" s="16">
        <f>RecData[[#This Row],[Amb. Temperature]]</f>
        <v>13</v>
      </c>
      <c r="CQ300" s="17">
        <f>RecData[[#This Row],[Amb. Rain Gauge]]</f>
        <v>0</v>
      </c>
      <c r="CR300" s="4" t="s">
        <v>50</v>
      </c>
      <c r="CS300" s="4" t="s">
        <v>49</v>
      </c>
      <c r="CT300" s="70">
        <v>-9.5890131000000007</v>
      </c>
      <c r="CU300" s="70">
        <v>277.68191530000001</v>
      </c>
      <c r="CV300" s="70">
        <v>1.3114669320000001</v>
      </c>
      <c r="CW300" s="70">
        <v>0</v>
      </c>
      <c r="CX300" s="4"/>
      <c r="CY300" s="69"/>
      <c r="CZ300" s="2" t="b">
        <f>IF($DP$1="YES",IF(RecData[[#This Row],[Power (kW)]]&gt;=$CR$3, TRUE,FALSE),TRUE)</f>
        <v>0</v>
      </c>
      <c r="DA300" s="16">
        <f>MIN(MOD(180-ABS(ABS($DA$1-RecData[Yaw Angle (°)])-180),360),MOD(180-ABS(ABS($DB$1-RecData[Yaw Angle (°)])-180),360))</f>
        <v>89.848011477687521</v>
      </c>
      <c r="DB300" s="2" t="str">
        <f>IF($DP$2="None","None",IF(RecData[[#This Row],[Relative Wind Direction]]&lt;=45,"DW",IF(RecData[[#This Row],[Relative Wind Direction]]&lt;=135,"CW","UW")))</f>
        <v>CW</v>
      </c>
      <c r="DC300" s="61">
        <f>IF($CL300-$CL296&gt;1/24,#REF!,IF(SUM($CQ296:$CQ300)&gt;$DS$1,$DS$5,DC301-1))</f>
        <v>-6</v>
      </c>
      <c r="DD300" s="61">
        <f>IF($CL301-$CL300&gt;1/24,#REF!,IF(SUM($CQ296:$CQ300)&gt;$DS$1,$DS$6,DD299-1))</f>
        <v>-5</v>
      </c>
      <c r="DE300" s="18" t="b">
        <v>0</v>
      </c>
      <c r="DF300" s="2" t="b">
        <f>IF(OR(RecData[[#This Row],[WSpd_Avg '[m/s']]]-RecData[[#This Row],[Wind Speed min]]&gt;=$DF$3,RecData[[#This Row],[Wind Speed max]]-RecData[[#This Row],[WSpd_Avg '[m/s']]]&gt;=$DF$2),TRUE,FALSE)</f>
        <v>0</v>
      </c>
      <c r="DG300" s="2" t="b">
        <f>RecData[[#This Row],[Temperature '[°C']]]&lt;=-20</f>
        <v>0</v>
      </c>
      <c r="DH300" s="18" t="b">
        <f>NOT(OR(MOD(RecData[[#This Row],[TIMESTAMP]],1)&gt;0.91632,MOD(RecData[[#This Row],[TIMESTAMP]],1)&lt;0.208681))</f>
        <v>0</v>
      </c>
      <c r="DI300" s="18" t="b">
        <f>RecData[[#This Row],[Overall (dBA)]]-RecData[[#This Row],[L90]]&gt;=$DS$4</f>
        <v>0</v>
      </c>
      <c r="DJ300" s="18" t="b">
        <f>RecData[[#This Row],[Overall (dBA)]]&gt;$DS$2</f>
        <v>0</v>
      </c>
      <c r="DK300" s="18" t="b">
        <f>RecData[[#This Row],[Overall (dBA)]]&lt;$DS$3</f>
        <v>0</v>
      </c>
      <c r="DL3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0" s="2">
        <f>IF(AND(RecData[[#This Row],[Turbines ON/OFF]] = "OFF", NOT(OR(RecData[[#This Row],[Junk?]]="YES",RecData[[#This Row],[Gust?]],RecData[[#This Row],[Rain?]:[Min SPL Threshold?]]))),1,0)</f>
        <v>1</v>
      </c>
      <c r="DN300" s="16">
        <f>RecData[[#This Row],[dBA Sum]]</f>
        <v>18.622545892865165</v>
      </c>
      <c r="DO300" s="16">
        <f>RecData[[#This Row],[LAF90.0]]</f>
        <v>37.1</v>
      </c>
      <c r="DP300" s="55" t="str">
        <f>IF(AND(RecData[[#This Row],[Useable TON Data?]],RecData[[#This Row],[Turbines ON/OFF]]="ON"),RecData[[#This Row],[dBA Sum]],"")</f>
        <v/>
      </c>
      <c r="DQ300" s="55">
        <f>IF(AND(RecData[[#This Row],[Useable Background Data?]],RecData[[#This Row],[Turbines ON/OFF]]="OFF"),RecData[[#This Row],[dBA Sum]],"")</f>
        <v>18.622545892865165</v>
      </c>
      <c r="DR300" s="3">
        <f>IF(OR(RecData[[#This Row],[Useable TON Data?]],RecData[[#This Row],[Useable Background Data?]]),ROUND(RecData[[#This Row],[WSpd_Avg '[m/s']]],0),"")</f>
        <v>1</v>
      </c>
      <c r="DS300" s="85">
        <f>(0.00002)^2*(10^(RecData[[#This Row],[Overall (dBA)]]/10))</f>
        <v>2.9128262558167248E-8</v>
      </c>
    </row>
    <row r="301" spans="1:123" ht="15" x14ac:dyDescent="0.25">
      <c r="A301" s="3" t="s">
        <v>249</v>
      </c>
      <c r="B301" s="12">
        <v>43260.963206018525</v>
      </c>
      <c r="C301" s="3"/>
      <c r="D301" s="3">
        <v>40</v>
      </c>
      <c r="E301" s="3"/>
      <c r="F301" s="3"/>
      <c r="G301" s="3"/>
      <c r="H301" s="3"/>
      <c r="I301" s="3"/>
      <c r="J301" s="3"/>
      <c r="K301" s="3">
        <v>37.4</v>
      </c>
      <c r="L301" s="3"/>
      <c r="M301" s="3"/>
      <c r="N301" s="3">
        <v>173.3</v>
      </c>
      <c r="O301" s="3"/>
      <c r="P301" s="3"/>
      <c r="Q301" s="3">
        <v>0.39</v>
      </c>
      <c r="R301" s="3">
        <v>0.1</v>
      </c>
      <c r="S301" s="3">
        <v>0.6</v>
      </c>
      <c r="T301" s="3">
        <v>13</v>
      </c>
      <c r="U301" s="3">
        <v>82.2</v>
      </c>
      <c r="V301" s="3">
        <v>975.6</v>
      </c>
      <c r="W301" s="3">
        <v>0</v>
      </c>
      <c r="X301" s="3">
        <v>18.8</v>
      </c>
      <c r="Y301" s="3">
        <v>14.8</v>
      </c>
      <c r="Z301" s="3">
        <v>17.7</v>
      </c>
      <c r="AA301" s="3">
        <v>11</v>
      </c>
      <c r="AB301" s="3">
        <v>13.8</v>
      </c>
      <c r="AC301" s="3">
        <v>5.4</v>
      </c>
      <c r="AD301" s="3">
        <v>9.6999999999999993</v>
      </c>
      <c r="AE301" s="3">
        <v>12.9</v>
      </c>
      <c r="AF301" s="3">
        <v>12.1</v>
      </c>
      <c r="AG301" s="3">
        <v>12.1</v>
      </c>
      <c r="AH301" s="3">
        <v>11.6</v>
      </c>
      <c r="AI301" s="3">
        <v>10.6</v>
      </c>
      <c r="AJ301" s="3">
        <v>11.3</v>
      </c>
      <c r="AK301" s="3">
        <v>8.9</v>
      </c>
      <c r="AL301" s="3">
        <v>7.5</v>
      </c>
      <c r="AM301" s="3">
        <v>7.6</v>
      </c>
      <c r="AN301" s="3">
        <v>8.1</v>
      </c>
      <c r="AO301" s="3">
        <v>7.9</v>
      </c>
      <c r="AP301" s="3">
        <v>8</v>
      </c>
      <c r="AQ301" s="3">
        <v>11.8</v>
      </c>
      <c r="AR301" s="3">
        <v>9.1</v>
      </c>
      <c r="AS301" s="3">
        <v>30.5</v>
      </c>
      <c r="AT301" s="3">
        <v>38</v>
      </c>
      <c r="AU301" s="3">
        <v>16.2</v>
      </c>
      <c r="AV301" s="3">
        <v>9.6</v>
      </c>
      <c r="AW301" s="3">
        <v>9.9</v>
      </c>
      <c r="AX301" s="3">
        <v>9.6999999999999993</v>
      </c>
      <c r="AY301" s="3">
        <v>9.9</v>
      </c>
      <c r="AZ301" s="3">
        <v>0</v>
      </c>
      <c r="BA301" s="3">
        <v>0</v>
      </c>
      <c r="BB301" s="3">
        <v>0</v>
      </c>
      <c r="BC301" s="3">
        <v>39.984410390386309</v>
      </c>
      <c r="BD301" s="3">
        <v>18.815589609613689</v>
      </c>
      <c r="BE301" s="3">
        <v>14.815589609613689</v>
      </c>
      <c r="BF301" s="3">
        <v>16.475589609613692</v>
      </c>
      <c r="BG301" s="3">
        <v>10.102256276280357</v>
      </c>
      <c r="BH301" s="3">
        <v>13.042256276280362</v>
      </c>
      <c r="BI301" s="3">
        <v>5.0555896096136905</v>
      </c>
      <c r="BJ301" s="3">
        <v>10.148922942947024</v>
      </c>
      <c r="BK301" s="3">
        <v>13.222256276280355</v>
      </c>
      <c r="BL301" s="3">
        <v>11.995589609613695</v>
      </c>
      <c r="BM301" s="3">
        <v>12.128922942947028</v>
      </c>
      <c r="BN301" s="3">
        <v>11.91225627628036</v>
      </c>
      <c r="BO301" s="3">
        <v>10.278922942947027</v>
      </c>
      <c r="BP301" s="3">
        <v>10.695589609613691</v>
      </c>
      <c r="BQ301" s="3">
        <v>8.7122562762803497</v>
      </c>
      <c r="BR301" s="3">
        <v>7.6389229429470262</v>
      </c>
      <c r="BS301" s="3">
        <v>7.5422562762803551</v>
      </c>
      <c r="BT301" s="3">
        <v>8.2389229429470277</v>
      </c>
      <c r="BU301" s="3">
        <v>8.0055896096136934</v>
      </c>
      <c r="BV301" s="3">
        <v>7.8222562762803562</v>
      </c>
      <c r="BW301" s="3">
        <v>12.155589609613692</v>
      </c>
      <c r="BX301" s="3">
        <v>9.3755896096136979</v>
      </c>
      <c r="BY301" s="3">
        <v>30.59558960961369</v>
      </c>
      <c r="BZ301" s="3">
        <v>38.225589609613699</v>
      </c>
      <c r="CA301" s="3">
        <v>16.525589609613682</v>
      </c>
      <c r="CB301" s="3">
        <v>9.3622562762803554</v>
      </c>
      <c r="CC301" s="3">
        <v>9.8755896096136908</v>
      </c>
      <c r="CD301" s="3">
        <v>8.9822562762803599</v>
      </c>
      <c r="CE301" s="3">
        <v>9.3755896096136908</v>
      </c>
      <c r="CF301" s="3">
        <v>-0.91107705705297803</v>
      </c>
      <c r="CG301" s="3">
        <v>-1.4444103903863095</v>
      </c>
      <c r="CH301" s="3">
        <v>-2.5210770570529775</v>
      </c>
      <c r="CI301" s="13">
        <f>[1]!dbasum(RecData[[#This Row],[20]:[2000]],RecData[[#Headers],[20]:[2000]])</f>
        <v>18.22473538396871</v>
      </c>
      <c r="CJ301" s="14">
        <v>4308</v>
      </c>
      <c r="CK301" s="15" t="s">
        <v>249</v>
      </c>
      <c r="CL301" s="15">
        <f>RecData[[#This Row],[Start Time]]</f>
        <v>43260.963206018525</v>
      </c>
      <c r="CM301" s="16">
        <f>RecData[[#This Row],[Wind Speed avg]]</f>
        <v>0.39</v>
      </c>
      <c r="CN301" s="16">
        <f>RecData[[#This Row],[Wind Dir. avg]]</f>
        <v>173.3</v>
      </c>
      <c r="CO301" s="16">
        <f>RecData[[#This Row],[Amb. Humidity]]</f>
        <v>82.2</v>
      </c>
      <c r="CP301" s="16">
        <f>RecData[[#This Row],[Amb. Temperature]]</f>
        <v>13</v>
      </c>
      <c r="CQ301" s="17">
        <f>RecData[[#This Row],[Amb. Rain Gauge]]</f>
        <v>0</v>
      </c>
      <c r="CR301" s="4" t="s">
        <v>50</v>
      </c>
      <c r="CS301" s="4" t="s">
        <v>49</v>
      </c>
      <c r="CT301" s="70">
        <v>-9.5890131000000007</v>
      </c>
      <c r="CU301" s="70">
        <v>277.68191530000001</v>
      </c>
      <c r="CV301" s="70">
        <v>1.3114669320000001</v>
      </c>
      <c r="CW301" s="70">
        <v>0</v>
      </c>
      <c r="CX301" s="4"/>
      <c r="CY301" s="69"/>
      <c r="CZ301" s="2" t="b">
        <f>IF($DP$1="YES",IF(RecData[[#This Row],[Power (kW)]]&gt;=$CR$3, TRUE,FALSE),TRUE)</f>
        <v>0</v>
      </c>
      <c r="DA301" s="16">
        <f>MIN(MOD(180-ABS(ABS($DA$1-RecData[Yaw Angle (°)])-180),360),MOD(180-ABS(ABS($DB$1-RecData[Yaw Angle (°)])-180),360))</f>
        <v>89.848011477687521</v>
      </c>
      <c r="DB301" s="2" t="str">
        <f>IF($DP$2="None","None",IF(RecData[[#This Row],[Relative Wind Direction]]&lt;=45,"DW",IF(RecData[[#This Row],[Relative Wind Direction]]&lt;=135,"CW","UW")))</f>
        <v>CW</v>
      </c>
      <c r="DC301" s="61">
        <f>IF($CL301-$CL297&gt;1/24,#REF!,IF(SUM($CQ297:$CQ301)&gt;$DS$1,$DS$5,DC302-1))</f>
        <v>-5</v>
      </c>
      <c r="DD301" s="61">
        <f>IF($CL302-$CL301&gt;1/24,#REF!,IF(SUM($CQ297:$CQ301)&gt;$DS$1,$DS$6,DD300-1))</f>
        <v>-6</v>
      </c>
      <c r="DE301" s="18" t="b">
        <v>0</v>
      </c>
      <c r="DF301" s="2" t="b">
        <f>IF(OR(RecData[[#This Row],[WSpd_Avg '[m/s']]]-RecData[[#This Row],[Wind Speed min]]&gt;=$DF$3,RecData[[#This Row],[Wind Speed max]]-RecData[[#This Row],[WSpd_Avg '[m/s']]]&gt;=$DF$2),TRUE,FALSE)</f>
        <v>0</v>
      </c>
      <c r="DG301" s="2" t="b">
        <f>RecData[[#This Row],[Temperature '[°C']]]&lt;=-20</f>
        <v>0</v>
      </c>
      <c r="DH301" s="18" t="b">
        <f>NOT(OR(MOD(RecData[[#This Row],[TIMESTAMP]],1)&gt;0.91632,MOD(RecData[[#This Row],[TIMESTAMP]],1)&lt;0.208681))</f>
        <v>0</v>
      </c>
      <c r="DI301" s="18" t="b">
        <f>RecData[[#This Row],[Overall (dBA)]]-RecData[[#This Row],[L90]]&gt;=$DS$4</f>
        <v>0</v>
      </c>
      <c r="DJ301" s="18" t="b">
        <f>RecData[[#This Row],[Overall (dBA)]]&gt;$DS$2</f>
        <v>0</v>
      </c>
      <c r="DK301" s="18" t="b">
        <f>RecData[[#This Row],[Overall (dBA)]]&lt;$DS$3</f>
        <v>0</v>
      </c>
      <c r="DL3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1" s="2">
        <f>IF(AND(RecData[[#This Row],[Turbines ON/OFF]] = "OFF", NOT(OR(RecData[[#This Row],[Junk?]]="YES",RecData[[#This Row],[Gust?]],RecData[[#This Row],[Rain?]:[Min SPL Threshold?]]))),1,0)</f>
        <v>1</v>
      </c>
      <c r="DN301" s="16">
        <f>RecData[[#This Row],[dBA Sum]]</f>
        <v>18.22473538396871</v>
      </c>
      <c r="DO301" s="16">
        <f>RecData[[#This Row],[LAF90.0]]</f>
        <v>37.4</v>
      </c>
      <c r="DP301" s="55" t="str">
        <f>IF(AND(RecData[[#This Row],[Useable TON Data?]],RecData[[#This Row],[Turbines ON/OFF]]="ON"),RecData[[#This Row],[dBA Sum]],"")</f>
        <v/>
      </c>
      <c r="DQ301" s="55">
        <f>IF(AND(RecData[[#This Row],[Useable Background Data?]],RecData[[#This Row],[Turbines ON/OFF]]="OFF"),RecData[[#This Row],[dBA Sum]],"")</f>
        <v>18.22473538396871</v>
      </c>
      <c r="DR301" s="3">
        <f>IF(OR(RecData[[#This Row],[Useable TON Data?]],RecData[[#This Row],[Useable Background Data?]]),ROUND(RecData[[#This Row],[WSpd_Avg '[m/s']]],0),"")</f>
        <v>0</v>
      </c>
      <c r="DS301" s="85">
        <f>(0.00002)^2*(10^(RecData[[#This Row],[Overall (dBA)]]/10))</f>
        <v>2.6578687425079827E-8</v>
      </c>
    </row>
    <row r="302" spans="1:123" ht="15" x14ac:dyDescent="0.25">
      <c r="A302" s="3" t="s">
        <v>249</v>
      </c>
      <c r="B302" s="12">
        <v>43260.963900462972</v>
      </c>
      <c r="C302" s="3"/>
      <c r="D302" s="3">
        <v>40.299999999999997</v>
      </c>
      <c r="E302" s="3"/>
      <c r="F302" s="3"/>
      <c r="G302" s="3"/>
      <c r="H302" s="3"/>
      <c r="I302" s="3"/>
      <c r="J302" s="3"/>
      <c r="K302" s="3">
        <v>38.4</v>
      </c>
      <c r="L302" s="3"/>
      <c r="M302" s="3"/>
      <c r="N302" s="3">
        <v>167.9</v>
      </c>
      <c r="O302" s="3"/>
      <c r="P302" s="3"/>
      <c r="Q302" s="3">
        <v>0.28000000000000003</v>
      </c>
      <c r="R302" s="3">
        <v>0.1</v>
      </c>
      <c r="S302" s="3">
        <v>0.5</v>
      </c>
      <c r="T302" s="3">
        <v>13</v>
      </c>
      <c r="U302" s="3">
        <v>82.1</v>
      </c>
      <c r="V302" s="3">
        <v>975.6</v>
      </c>
      <c r="W302" s="3">
        <v>0</v>
      </c>
      <c r="X302" s="3">
        <v>17.100000000000001</v>
      </c>
      <c r="Y302" s="3">
        <v>14.6</v>
      </c>
      <c r="Z302" s="3">
        <v>17.100000000000001</v>
      </c>
      <c r="AA302" s="3">
        <v>11.4</v>
      </c>
      <c r="AB302" s="3">
        <v>13.7</v>
      </c>
      <c r="AC302" s="3">
        <v>5.5</v>
      </c>
      <c r="AD302" s="3">
        <v>9.6</v>
      </c>
      <c r="AE302" s="3">
        <v>13.1</v>
      </c>
      <c r="AF302" s="3">
        <v>14.5</v>
      </c>
      <c r="AG302" s="3">
        <v>13.3</v>
      </c>
      <c r="AH302" s="3">
        <v>11.6</v>
      </c>
      <c r="AI302" s="3">
        <v>10.8</v>
      </c>
      <c r="AJ302" s="3">
        <v>11.4</v>
      </c>
      <c r="AK302" s="3">
        <v>8.8000000000000007</v>
      </c>
      <c r="AL302" s="3">
        <v>7.7</v>
      </c>
      <c r="AM302" s="3">
        <v>7.6</v>
      </c>
      <c r="AN302" s="3">
        <v>8.1999999999999993</v>
      </c>
      <c r="AO302" s="3">
        <v>7.9</v>
      </c>
      <c r="AP302" s="3">
        <v>8.1</v>
      </c>
      <c r="AQ302" s="3">
        <v>12.3</v>
      </c>
      <c r="AR302" s="3">
        <v>9.3000000000000007</v>
      </c>
      <c r="AS302" s="3">
        <v>29.8</v>
      </c>
      <c r="AT302" s="3">
        <v>38.4</v>
      </c>
      <c r="AU302" s="3">
        <v>16.7</v>
      </c>
      <c r="AV302" s="3">
        <v>9.6</v>
      </c>
      <c r="AW302" s="3">
        <v>9.9</v>
      </c>
      <c r="AX302" s="3">
        <v>9.6999999999999993</v>
      </c>
      <c r="AY302" s="3">
        <v>9.9</v>
      </c>
      <c r="AZ302" s="3">
        <v>0</v>
      </c>
      <c r="BA302" s="3">
        <v>0</v>
      </c>
      <c r="BB302" s="3">
        <v>0</v>
      </c>
      <c r="BC302" s="3">
        <v>40.233677628838919</v>
      </c>
      <c r="BD302" s="3">
        <v>17.16632237116108</v>
      </c>
      <c r="BE302" s="3">
        <v>14.66632237116108</v>
      </c>
      <c r="BF302" s="3">
        <v>15.926322371161078</v>
      </c>
      <c r="BG302" s="3">
        <v>10.552989037827743</v>
      </c>
      <c r="BH302" s="3">
        <v>12.992989037827748</v>
      </c>
      <c r="BI302" s="3">
        <v>5.2063223711610789</v>
      </c>
      <c r="BJ302" s="3">
        <v>10.09965570449441</v>
      </c>
      <c r="BK302" s="3">
        <v>13.472989037827745</v>
      </c>
      <c r="BL302" s="3">
        <v>14.446322371161081</v>
      </c>
      <c r="BM302" s="3">
        <v>13.379655704494411</v>
      </c>
      <c r="BN302" s="3">
        <v>11.962989037827747</v>
      </c>
      <c r="BO302" s="3">
        <v>10.529655704494417</v>
      </c>
      <c r="BP302" s="3">
        <v>10.846322371161079</v>
      </c>
      <c r="BQ302" s="3">
        <v>8.6629890378277352</v>
      </c>
      <c r="BR302" s="3">
        <v>7.889655704494416</v>
      </c>
      <c r="BS302" s="3">
        <v>7.592989037827742</v>
      </c>
      <c r="BT302" s="3">
        <v>8.389655704494416</v>
      </c>
      <c r="BU302" s="3">
        <v>8.0563223711610803</v>
      </c>
      <c r="BV302" s="3">
        <v>7.9729890378277446</v>
      </c>
      <c r="BW302" s="3">
        <v>12.706322371161079</v>
      </c>
      <c r="BX302" s="3">
        <v>9.6263223711610806</v>
      </c>
      <c r="BY302" s="3">
        <v>29.946322371161074</v>
      </c>
      <c r="BZ302" s="3">
        <v>38.676322371161078</v>
      </c>
      <c r="CA302" s="3">
        <v>17.076322371161069</v>
      </c>
      <c r="CB302" s="3">
        <v>9.4129890378277423</v>
      </c>
      <c r="CC302" s="3">
        <v>9.9263223711610777</v>
      </c>
      <c r="CD302" s="3">
        <v>9.0329890378277469</v>
      </c>
      <c r="CE302" s="3">
        <v>9.4263223711610777</v>
      </c>
      <c r="CF302" s="3">
        <v>-0.86034429550559111</v>
      </c>
      <c r="CG302" s="3">
        <v>-1.3936776288389225</v>
      </c>
      <c r="CH302" s="3">
        <v>-2.4703442955055905</v>
      </c>
      <c r="CI302" s="13">
        <f>[1]!dbasum(RecData[[#This Row],[20]:[2000]],RecData[[#Headers],[20]:[2000]])</f>
        <v>18.534367671878606</v>
      </c>
      <c r="CJ302" s="14">
        <v>4309</v>
      </c>
      <c r="CK302" s="15" t="s">
        <v>249</v>
      </c>
      <c r="CL302" s="15">
        <f>RecData[[#This Row],[Start Time]]</f>
        <v>43260.963900462972</v>
      </c>
      <c r="CM302" s="16">
        <f>RecData[[#This Row],[Wind Speed avg]]</f>
        <v>0.28000000000000003</v>
      </c>
      <c r="CN302" s="16">
        <f>RecData[[#This Row],[Wind Dir. avg]]</f>
        <v>167.9</v>
      </c>
      <c r="CO302" s="16">
        <f>RecData[[#This Row],[Amb. Humidity]]</f>
        <v>82.1</v>
      </c>
      <c r="CP302" s="16">
        <f>RecData[[#This Row],[Amb. Temperature]]</f>
        <v>13</v>
      </c>
      <c r="CQ302" s="17">
        <f>RecData[[#This Row],[Amb. Rain Gauge]]</f>
        <v>0</v>
      </c>
      <c r="CR302" s="4" t="s">
        <v>50</v>
      </c>
      <c r="CS302" s="4" t="s">
        <v>49</v>
      </c>
      <c r="CT302" s="70">
        <v>-9.5890131000000007</v>
      </c>
      <c r="CU302" s="70">
        <v>277.68191530000001</v>
      </c>
      <c r="CV302" s="70">
        <v>1.3114669320000001</v>
      </c>
      <c r="CW302" s="70">
        <v>0</v>
      </c>
      <c r="CX302" s="4"/>
      <c r="CY302" s="69"/>
      <c r="CZ302" s="2" t="b">
        <f>IF($DP$1="YES",IF(RecData[[#This Row],[Power (kW)]]&gt;=$CR$3, TRUE,FALSE),TRUE)</f>
        <v>0</v>
      </c>
      <c r="DA302" s="16">
        <f>MIN(MOD(180-ABS(ABS($DA$1-RecData[Yaw Angle (°)])-180),360),MOD(180-ABS(ABS($DB$1-RecData[Yaw Angle (°)])-180),360))</f>
        <v>89.848011477687521</v>
      </c>
      <c r="DB302" s="2" t="str">
        <f>IF($DP$2="None","None",IF(RecData[[#This Row],[Relative Wind Direction]]&lt;=45,"DW",IF(RecData[[#This Row],[Relative Wind Direction]]&lt;=135,"CW","UW")))</f>
        <v>CW</v>
      </c>
      <c r="DC302" s="61">
        <f>IF($CL302-$CL298&gt;1/24,#REF!,IF(SUM($CQ298:$CQ302)&gt;$DS$1,$DS$5,DC303-1))</f>
        <v>-4</v>
      </c>
      <c r="DD302" s="61">
        <f>IF($CL303-$CL302&gt;1/24,#REF!,IF(SUM($CQ298:$CQ302)&gt;$DS$1,$DS$6,DD301-1))</f>
        <v>-7</v>
      </c>
      <c r="DE302" s="18" t="b">
        <v>0</v>
      </c>
      <c r="DF302" s="2" t="b">
        <f>IF(OR(RecData[[#This Row],[WSpd_Avg '[m/s']]]-RecData[[#This Row],[Wind Speed min]]&gt;=$DF$3,RecData[[#This Row],[Wind Speed max]]-RecData[[#This Row],[WSpd_Avg '[m/s']]]&gt;=$DF$2),TRUE,FALSE)</f>
        <v>0</v>
      </c>
      <c r="DG302" s="2" t="b">
        <f>RecData[[#This Row],[Temperature '[°C']]]&lt;=-20</f>
        <v>0</v>
      </c>
      <c r="DH302" s="18" t="b">
        <f>NOT(OR(MOD(RecData[[#This Row],[TIMESTAMP]],1)&gt;0.91632,MOD(RecData[[#This Row],[TIMESTAMP]],1)&lt;0.208681))</f>
        <v>0</v>
      </c>
      <c r="DI302" s="18" t="b">
        <f>RecData[[#This Row],[Overall (dBA)]]-RecData[[#This Row],[L90]]&gt;=$DS$4</f>
        <v>0</v>
      </c>
      <c r="DJ302" s="18" t="b">
        <f>RecData[[#This Row],[Overall (dBA)]]&gt;$DS$2</f>
        <v>0</v>
      </c>
      <c r="DK302" s="18" t="b">
        <f>RecData[[#This Row],[Overall (dBA)]]&lt;$DS$3</f>
        <v>0</v>
      </c>
      <c r="DL3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2" s="2">
        <f>IF(AND(RecData[[#This Row],[Turbines ON/OFF]] = "OFF", NOT(OR(RecData[[#This Row],[Junk?]]="YES",RecData[[#This Row],[Gust?]],RecData[[#This Row],[Rain?]:[Min SPL Threshold?]]))),1,0)</f>
        <v>1</v>
      </c>
      <c r="DN302" s="16">
        <f>RecData[[#This Row],[dBA Sum]]</f>
        <v>18.534367671878606</v>
      </c>
      <c r="DO302" s="16">
        <f>RecData[[#This Row],[LAF90.0]]</f>
        <v>38.4</v>
      </c>
      <c r="DP302" s="55" t="str">
        <f>IF(AND(RecData[[#This Row],[Useable TON Data?]],RecData[[#This Row],[Turbines ON/OFF]]="ON"),RecData[[#This Row],[dBA Sum]],"")</f>
        <v/>
      </c>
      <c r="DQ302" s="55">
        <f>IF(AND(RecData[[#This Row],[Useable Background Data?]],RecData[[#This Row],[Turbines ON/OFF]]="OFF"),RecData[[#This Row],[dBA Sum]],"")</f>
        <v>18.534367671878606</v>
      </c>
      <c r="DR302" s="3">
        <f>IF(OR(RecData[[#This Row],[Useable TON Data?]],RecData[[#This Row],[Useable Background Data?]]),ROUND(RecData[[#This Row],[WSpd_Avg '[m/s']]],0),"")</f>
        <v>0</v>
      </c>
      <c r="DS302" s="85">
        <f>(0.00002)^2*(10^(RecData[[#This Row],[Overall (dBA)]]/10))</f>
        <v>2.8542812099425504E-8</v>
      </c>
    </row>
    <row r="303" spans="1:123" ht="15" x14ac:dyDescent="0.25">
      <c r="A303" s="3" t="s">
        <v>249</v>
      </c>
      <c r="B303" s="12">
        <v>43260.964594907411</v>
      </c>
      <c r="C303" s="3"/>
      <c r="D303" s="3">
        <v>40.9</v>
      </c>
      <c r="E303" s="3"/>
      <c r="F303" s="3"/>
      <c r="G303" s="3"/>
      <c r="H303" s="3"/>
      <c r="I303" s="3"/>
      <c r="J303" s="3"/>
      <c r="K303" s="3">
        <v>38.700000000000003</v>
      </c>
      <c r="L303" s="3"/>
      <c r="M303" s="3"/>
      <c r="N303" s="3">
        <v>136</v>
      </c>
      <c r="O303" s="3"/>
      <c r="P303" s="3"/>
      <c r="Q303" s="3">
        <v>0.47</v>
      </c>
      <c r="R303" s="3">
        <v>0.4</v>
      </c>
      <c r="S303" s="3">
        <v>0.6</v>
      </c>
      <c r="T303" s="3">
        <v>13</v>
      </c>
      <c r="U303" s="3">
        <v>82.1</v>
      </c>
      <c r="V303" s="3">
        <v>975.6</v>
      </c>
      <c r="W303" s="3">
        <v>0</v>
      </c>
      <c r="X303" s="3">
        <v>25.4</v>
      </c>
      <c r="Y303" s="3">
        <v>26.5</v>
      </c>
      <c r="Z303" s="3">
        <v>27.1</v>
      </c>
      <c r="AA303" s="3">
        <v>23.8</v>
      </c>
      <c r="AB303" s="3">
        <v>15.1</v>
      </c>
      <c r="AC303" s="3">
        <v>8.9</v>
      </c>
      <c r="AD303" s="3">
        <v>10.3</v>
      </c>
      <c r="AE303" s="3">
        <v>13</v>
      </c>
      <c r="AF303" s="3">
        <v>15</v>
      </c>
      <c r="AG303" s="3">
        <v>14.3</v>
      </c>
      <c r="AH303" s="3">
        <v>14.2</v>
      </c>
      <c r="AI303" s="3">
        <v>13.1</v>
      </c>
      <c r="AJ303" s="3">
        <v>12.5</v>
      </c>
      <c r="AK303" s="3">
        <v>9.5</v>
      </c>
      <c r="AL303" s="3">
        <v>9</v>
      </c>
      <c r="AM303" s="3">
        <v>9.1</v>
      </c>
      <c r="AN303" s="3">
        <v>9</v>
      </c>
      <c r="AO303" s="3">
        <v>8.5</v>
      </c>
      <c r="AP303" s="3">
        <v>8.4</v>
      </c>
      <c r="AQ303" s="3">
        <v>12.4</v>
      </c>
      <c r="AR303" s="3">
        <v>9.4</v>
      </c>
      <c r="AS303" s="3">
        <v>31.2</v>
      </c>
      <c r="AT303" s="3">
        <v>38.9</v>
      </c>
      <c r="AU303" s="3">
        <v>17.5</v>
      </c>
      <c r="AV303" s="3">
        <v>9.8000000000000007</v>
      </c>
      <c r="AW303" s="3">
        <v>9.9</v>
      </c>
      <c r="AX303" s="3">
        <v>9.6999999999999993</v>
      </c>
      <c r="AY303" s="3">
        <v>9.9</v>
      </c>
      <c r="AZ303" s="3">
        <v>0</v>
      </c>
      <c r="BA303" s="3">
        <v>0</v>
      </c>
      <c r="BB303" s="3">
        <v>0</v>
      </c>
      <c r="BC303" s="3">
        <v>40.854097893044148</v>
      </c>
      <c r="BD303" s="3">
        <v>25.445902106955849</v>
      </c>
      <c r="BE303" s="3">
        <v>26.545902106955857</v>
      </c>
      <c r="BF303" s="3">
        <v>25.905902106955857</v>
      </c>
      <c r="BG303" s="3">
        <v>22.932568773622513</v>
      </c>
      <c r="BH303" s="3">
        <v>14.372568773622518</v>
      </c>
      <c r="BI303" s="3">
        <v>8.5859021069558494</v>
      </c>
      <c r="BJ303" s="3">
        <v>10.779235440289185</v>
      </c>
      <c r="BK303" s="3">
        <v>13.352568773622515</v>
      </c>
      <c r="BL303" s="3">
        <v>14.925902106955853</v>
      </c>
      <c r="BM303" s="3">
        <v>14.35923544028919</v>
      </c>
      <c r="BN303" s="3">
        <v>14.542568773622513</v>
      </c>
      <c r="BO303" s="3">
        <v>12.809235440289186</v>
      </c>
      <c r="BP303" s="3">
        <v>11.925902106955853</v>
      </c>
      <c r="BQ303" s="3">
        <v>9.34256877362251</v>
      </c>
      <c r="BR303" s="3">
        <v>9.1692354402891851</v>
      </c>
      <c r="BS303" s="3">
        <v>9.072568773622514</v>
      </c>
      <c r="BT303" s="3">
        <v>9.1692354402891851</v>
      </c>
      <c r="BU303" s="3">
        <v>8.6359021069558537</v>
      </c>
      <c r="BV303" s="3">
        <v>8.2525687736225208</v>
      </c>
      <c r="BW303" s="3">
        <v>12.785902106955852</v>
      </c>
      <c r="BX303" s="3">
        <v>9.705902106955854</v>
      </c>
      <c r="BY303" s="3">
        <v>31.325902106955844</v>
      </c>
      <c r="BZ303" s="3">
        <v>39.155902106955843</v>
      </c>
      <c r="CA303" s="3">
        <v>17.855902106955845</v>
      </c>
      <c r="CB303" s="3">
        <v>9.5925687736225171</v>
      </c>
      <c r="CC303" s="3">
        <v>9.9059021069558497</v>
      </c>
      <c r="CD303" s="3">
        <v>9.0125687736225188</v>
      </c>
      <c r="CE303" s="3">
        <v>9.4059021069558497</v>
      </c>
      <c r="CF303" s="3">
        <v>-0.88076455971081913</v>
      </c>
      <c r="CG303" s="3">
        <v>-1.4140978930441506</v>
      </c>
      <c r="CH303" s="3">
        <v>-2.4907645597108186</v>
      </c>
      <c r="CI303" s="13">
        <f>[1]!dbasum(RecData[[#This Row],[20]:[2000]],RecData[[#Headers],[20]:[2000]])</f>
        <v>19.072357638350226</v>
      </c>
      <c r="CJ303" s="14">
        <v>4310</v>
      </c>
      <c r="CK303" s="15" t="s">
        <v>249</v>
      </c>
      <c r="CL303" s="15">
        <f>RecData[[#This Row],[Start Time]]</f>
        <v>43260.964594907411</v>
      </c>
      <c r="CM303" s="16">
        <f>RecData[[#This Row],[Wind Speed avg]]</f>
        <v>0.47</v>
      </c>
      <c r="CN303" s="16">
        <f>RecData[[#This Row],[Wind Dir. avg]]</f>
        <v>136</v>
      </c>
      <c r="CO303" s="16">
        <f>RecData[[#This Row],[Amb. Humidity]]</f>
        <v>82.1</v>
      </c>
      <c r="CP303" s="16">
        <f>RecData[[#This Row],[Amb. Temperature]]</f>
        <v>13</v>
      </c>
      <c r="CQ303" s="17">
        <f>RecData[[#This Row],[Amb. Rain Gauge]]</f>
        <v>0</v>
      </c>
      <c r="CR303" s="4" t="s">
        <v>50</v>
      </c>
      <c r="CS303" s="4" t="s">
        <v>49</v>
      </c>
      <c r="CT303" s="70">
        <v>-9.5890131000000007</v>
      </c>
      <c r="CU303" s="70">
        <v>277.68191530000001</v>
      </c>
      <c r="CV303" s="70">
        <v>1.3114669320000001</v>
      </c>
      <c r="CW303" s="70">
        <v>0</v>
      </c>
      <c r="CX303" s="4"/>
      <c r="CY303" s="69"/>
      <c r="CZ303" s="2" t="b">
        <f>IF($DP$1="YES",IF(RecData[[#This Row],[Power (kW)]]&gt;=$CR$3, TRUE,FALSE),TRUE)</f>
        <v>0</v>
      </c>
      <c r="DA303" s="16">
        <f>MIN(MOD(180-ABS(ABS($DA$1-RecData[Yaw Angle (°)])-180),360),MOD(180-ABS(ABS($DB$1-RecData[Yaw Angle (°)])-180),360))</f>
        <v>89.848011477687521</v>
      </c>
      <c r="DB303" s="2" t="str">
        <f>IF($DP$2="None","None",IF(RecData[[#This Row],[Relative Wind Direction]]&lt;=45,"DW",IF(RecData[[#This Row],[Relative Wind Direction]]&lt;=135,"CW","UW")))</f>
        <v>CW</v>
      </c>
      <c r="DC303" s="61">
        <f>IF($CL303-$CL299&gt;1/24,#REF!,IF(SUM($CQ299:$CQ303)&gt;$DS$1,$DS$5,DC304-1))</f>
        <v>-3</v>
      </c>
      <c r="DD303" s="61">
        <f>IF($CL304-$CL303&gt;1/24,#REF!,IF(SUM($CQ299:$CQ303)&gt;$DS$1,$DS$6,DD302-1))</f>
        <v>-8</v>
      </c>
      <c r="DE303" s="18" t="b">
        <v>0</v>
      </c>
      <c r="DF303" s="2" t="b">
        <f>IF(OR(RecData[[#This Row],[WSpd_Avg '[m/s']]]-RecData[[#This Row],[Wind Speed min]]&gt;=$DF$3,RecData[[#This Row],[Wind Speed max]]-RecData[[#This Row],[WSpd_Avg '[m/s']]]&gt;=$DF$2),TRUE,FALSE)</f>
        <v>0</v>
      </c>
      <c r="DG303" s="2" t="b">
        <f>RecData[[#This Row],[Temperature '[°C']]]&lt;=-20</f>
        <v>0</v>
      </c>
      <c r="DH303" s="18" t="b">
        <f>NOT(OR(MOD(RecData[[#This Row],[TIMESTAMP]],1)&gt;0.91632,MOD(RecData[[#This Row],[TIMESTAMP]],1)&lt;0.208681))</f>
        <v>0</v>
      </c>
      <c r="DI303" s="18" t="b">
        <f>RecData[[#This Row],[Overall (dBA)]]-RecData[[#This Row],[L90]]&gt;=$DS$4</f>
        <v>0</v>
      </c>
      <c r="DJ303" s="18" t="b">
        <f>RecData[[#This Row],[Overall (dBA)]]&gt;$DS$2</f>
        <v>0</v>
      </c>
      <c r="DK303" s="18" t="b">
        <f>RecData[[#This Row],[Overall (dBA)]]&lt;$DS$3</f>
        <v>0</v>
      </c>
      <c r="DL3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3" s="2">
        <f>IF(AND(RecData[[#This Row],[Turbines ON/OFF]] = "OFF", NOT(OR(RecData[[#This Row],[Junk?]]="YES",RecData[[#This Row],[Gust?]],RecData[[#This Row],[Rain?]:[Min SPL Threshold?]]))),1,0)</f>
        <v>1</v>
      </c>
      <c r="DN303" s="16">
        <f>RecData[[#This Row],[dBA Sum]]</f>
        <v>19.072357638350226</v>
      </c>
      <c r="DO303" s="16">
        <f>RecData[[#This Row],[LAF90.0]]</f>
        <v>38.700000000000003</v>
      </c>
      <c r="DP303" s="55" t="str">
        <f>IF(AND(RecData[[#This Row],[Useable TON Data?]],RecData[[#This Row],[Turbines ON/OFF]]="ON"),RecData[[#This Row],[dBA Sum]],"")</f>
        <v/>
      </c>
      <c r="DQ303" s="55">
        <f>IF(AND(RecData[[#This Row],[Useable Background Data?]],RecData[[#This Row],[Turbines ON/OFF]]="OFF"),RecData[[#This Row],[dBA Sum]],"")</f>
        <v>19.072357638350226</v>
      </c>
      <c r="DR303" s="3">
        <f>IF(OR(RecData[[#This Row],[Useable TON Data?]],RecData[[#This Row],[Useable Background Data?]]),ROUND(RecData[[#This Row],[WSpd_Avg '[m/s']]],0),"")</f>
        <v>0</v>
      </c>
      <c r="DS303" s="85">
        <f>(0.00002)^2*(10^(RecData[[#This Row],[Overall (dBA)]]/10))</f>
        <v>3.2306934796224859E-8</v>
      </c>
    </row>
    <row r="304" spans="1:123" ht="15" x14ac:dyDescent="0.25">
      <c r="A304" s="3" t="s">
        <v>249</v>
      </c>
      <c r="B304" s="12">
        <v>43260.965289351858</v>
      </c>
      <c r="C304" s="3"/>
      <c r="D304" s="3">
        <v>41.2</v>
      </c>
      <c r="E304" s="3"/>
      <c r="F304" s="3"/>
      <c r="G304" s="3"/>
      <c r="H304" s="3"/>
      <c r="I304" s="3"/>
      <c r="J304" s="3"/>
      <c r="K304" s="3">
        <v>39.1</v>
      </c>
      <c r="L304" s="3"/>
      <c r="M304" s="3"/>
      <c r="N304" s="3">
        <v>129.19999999999999</v>
      </c>
      <c r="O304" s="3"/>
      <c r="P304" s="3"/>
      <c r="Q304" s="3">
        <v>0.39</v>
      </c>
      <c r="R304" s="3">
        <v>0.3</v>
      </c>
      <c r="S304" s="3">
        <v>0.4</v>
      </c>
      <c r="T304" s="3">
        <v>12.9</v>
      </c>
      <c r="U304" s="3">
        <v>82.3</v>
      </c>
      <c r="V304" s="3">
        <v>975.6</v>
      </c>
      <c r="W304" s="3">
        <v>0</v>
      </c>
      <c r="X304" s="3">
        <v>18.899999999999999</v>
      </c>
      <c r="Y304" s="3">
        <v>17</v>
      </c>
      <c r="Z304" s="3">
        <v>15.5</v>
      </c>
      <c r="AA304" s="3">
        <v>12.4</v>
      </c>
      <c r="AB304" s="3">
        <v>13.8</v>
      </c>
      <c r="AC304" s="3">
        <v>7.4</v>
      </c>
      <c r="AD304" s="3">
        <v>12.3</v>
      </c>
      <c r="AE304" s="3">
        <v>13.6</v>
      </c>
      <c r="AF304" s="3">
        <v>14.3</v>
      </c>
      <c r="AG304" s="3">
        <v>16.3</v>
      </c>
      <c r="AH304" s="3">
        <v>18.8</v>
      </c>
      <c r="AI304" s="3">
        <v>15.9</v>
      </c>
      <c r="AJ304" s="3">
        <v>14.6</v>
      </c>
      <c r="AK304" s="3">
        <v>16.899999999999999</v>
      </c>
      <c r="AL304" s="3">
        <v>11.3</v>
      </c>
      <c r="AM304" s="3">
        <v>21.7</v>
      </c>
      <c r="AN304" s="3">
        <v>17.899999999999999</v>
      </c>
      <c r="AO304" s="3">
        <v>18.2</v>
      </c>
      <c r="AP304" s="3">
        <v>11.1</v>
      </c>
      <c r="AQ304" s="3">
        <v>12.5</v>
      </c>
      <c r="AR304" s="3">
        <v>8.9</v>
      </c>
      <c r="AS304" s="3">
        <v>31.8</v>
      </c>
      <c r="AT304" s="3">
        <v>39.200000000000003</v>
      </c>
      <c r="AU304" s="3">
        <v>15.1</v>
      </c>
      <c r="AV304" s="3">
        <v>9.6</v>
      </c>
      <c r="AW304" s="3">
        <v>9.8000000000000007</v>
      </c>
      <c r="AX304" s="3">
        <v>9.6999999999999993</v>
      </c>
      <c r="AY304" s="3">
        <v>9.9</v>
      </c>
      <c r="AZ304" s="3">
        <v>0</v>
      </c>
      <c r="BA304" s="3">
        <v>0</v>
      </c>
      <c r="BB304" s="3">
        <v>0</v>
      </c>
      <c r="BC304" s="3">
        <v>41.258358254211942</v>
      </c>
      <c r="BD304" s="3">
        <v>18.84164174578806</v>
      </c>
      <c r="BE304" s="3">
        <v>16.941641745788061</v>
      </c>
      <c r="BF304" s="3">
        <v>14.201641745788059</v>
      </c>
      <c r="BG304" s="3">
        <v>11.428308412454726</v>
      </c>
      <c r="BH304" s="3">
        <v>12.968308412454732</v>
      </c>
      <c r="BI304" s="3">
        <v>6.9816417457880604</v>
      </c>
      <c r="BJ304" s="3">
        <v>12.674975079121396</v>
      </c>
      <c r="BK304" s="3">
        <v>13.848308412454728</v>
      </c>
      <c r="BL304" s="3">
        <v>14.121641745788061</v>
      </c>
      <c r="BM304" s="3">
        <v>16.254975079121394</v>
      </c>
      <c r="BN304" s="3">
        <v>19.038308412454725</v>
      </c>
      <c r="BO304" s="3">
        <v>15.504975079121394</v>
      </c>
      <c r="BP304" s="3">
        <v>13.921641745788065</v>
      </c>
      <c r="BQ304" s="3">
        <v>16.63830841245472</v>
      </c>
      <c r="BR304" s="3">
        <v>11.364975079121393</v>
      </c>
      <c r="BS304" s="3">
        <v>21.568308412454726</v>
      </c>
      <c r="BT304" s="3">
        <v>17.964975079121395</v>
      </c>
      <c r="BU304" s="3">
        <v>18.231641745788068</v>
      </c>
      <c r="BV304" s="3">
        <v>10.848308412454728</v>
      </c>
      <c r="BW304" s="3">
        <v>12.781641745788065</v>
      </c>
      <c r="BX304" s="3">
        <v>9.101641745788065</v>
      </c>
      <c r="BY304" s="3">
        <v>31.821641745788057</v>
      </c>
      <c r="BZ304" s="3">
        <v>39.351641745788072</v>
      </c>
      <c r="CA304" s="3">
        <v>15.351641745788058</v>
      </c>
      <c r="CB304" s="3">
        <v>9.2883084124547253</v>
      </c>
      <c r="CC304" s="3">
        <v>9.7016417457880593</v>
      </c>
      <c r="CD304" s="3">
        <v>8.9083084124547298</v>
      </c>
      <c r="CE304" s="3">
        <v>9.3016417457880607</v>
      </c>
      <c r="CF304" s="3">
        <v>-0.98502492087860816</v>
      </c>
      <c r="CG304" s="3">
        <v>-1.5183582542119396</v>
      </c>
      <c r="CH304" s="3">
        <v>-2.5950249208786076</v>
      </c>
      <c r="CI304" s="13">
        <f>[1]!dbasum(RecData[[#This Row],[20]:[2000]],RecData[[#Headers],[20]:[2000]])</f>
        <v>24.785136634672519</v>
      </c>
      <c r="CJ304" s="14">
        <v>4311</v>
      </c>
      <c r="CK304" s="15" t="s">
        <v>249</v>
      </c>
      <c r="CL304" s="15">
        <f>RecData[[#This Row],[Start Time]]</f>
        <v>43260.965289351858</v>
      </c>
      <c r="CM304" s="16">
        <f>RecData[[#This Row],[Wind Speed avg]]</f>
        <v>0.39</v>
      </c>
      <c r="CN304" s="16">
        <f>RecData[[#This Row],[Wind Dir. avg]]</f>
        <v>129.19999999999999</v>
      </c>
      <c r="CO304" s="16">
        <f>RecData[[#This Row],[Amb. Humidity]]</f>
        <v>82.3</v>
      </c>
      <c r="CP304" s="16">
        <f>RecData[[#This Row],[Amb. Temperature]]</f>
        <v>12.9</v>
      </c>
      <c r="CQ304" s="17">
        <f>RecData[[#This Row],[Amb. Rain Gauge]]</f>
        <v>0</v>
      </c>
      <c r="CR304" s="4" t="s">
        <v>50</v>
      </c>
      <c r="CS304" s="4" t="s">
        <v>49</v>
      </c>
      <c r="CT304" s="70">
        <v>-9.8977270130000008</v>
      </c>
      <c r="CU304" s="70">
        <v>310.82803339999998</v>
      </c>
      <c r="CV304" s="70">
        <v>1.1140742299999999</v>
      </c>
      <c r="CW304" s="70">
        <v>0</v>
      </c>
      <c r="CX304" s="4"/>
      <c r="CY304" s="69"/>
      <c r="CZ304" s="2" t="b">
        <f>IF($DP$1="YES",IF(RecData[[#This Row],[Power (kW)]]&gt;=$CR$3, TRUE,FALSE),TRUE)</f>
        <v>0</v>
      </c>
      <c r="DA304" s="16">
        <f>MIN(MOD(180-ABS(ABS($DA$1-RecData[Yaw Angle (°)])-180),360),MOD(180-ABS(ABS($DB$1-RecData[Yaw Angle (°)])-180),360))</f>
        <v>56.701893377687554</v>
      </c>
      <c r="DB304" s="2" t="str">
        <f>IF($DP$2="None","None",IF(RecData[[#This Row],[Relative Wind Direction]]&lt;=45,"DW",IF(RecData[[#This Row],[Relative Wind Direction]]&lt;=135,"CW","UW")))</f>
        <v>CW</v>
      </c>
      <c r="DC304" s="61">
        <f>IF($CL304-$CL300&gt;1/24,#REF!,IF(SUM($CQ300:$CQ304)&gt;$DS$1,$DS$5,DC305-1))</f>
        <v>-2</v>
      </c>
      <c r="DD304" s="61">
        <f>IF($CL305-$CL304&gt;1/24,#REF!,IF(SUM($CQ300:$CQ304)&gt;$DS$1,$DS$6,DD303-1))</f>
        <v>-9</v>
      </c>
      <c r="DE304" s="18" t="b">
        <v>0</v>
      </c>
      <c r="DF304" s="2" t="b">
        <f>IF(OR(RecData[[#This Row],[WSpd_Avg '[m/s']]]-RecData[[#This Row],[Wind Speed min]]&gt;=$DF$3,RecData[[#This Row],[Wind Speed max]]-RecData[[#This Row],[WSpd_Avg '[m/s']]]&gt;=$DF$2),TRUE,FALSE)</f>
        <v>0</v>
      </c>
      <c r="DG304" s="2" t="b">
        <f>RecData[[#This Row],[Temperature '[°C']]]&lt;=-20</f>
        <v>0</v>
      </c>
      <c r="DH304" s="18" t="b">
        <f>NOT(OR(MOD(RecData[[#This Row],[TIMESTAMP]],1)&gt;0.91632,MOD(RecData[[#This Row],[TIMESTAMP]],1)&lt;0.208681))</f>
        <v>0</v>
      </c>
      <c r="DI304" s="18" t="b">
        <f>RecData[[#This Row],[Overall (dBA)]]-RecData[[#This Row],[L90]]&gt;=$DS$4</f>
        <v>0</v>
      </c>
      <c r="DJ304" s="18" t="b">
        <f>RecData[[#This Row],[Overall (dBA)]]&gt;$DS$2</f>
        <v>0</v>
      </c>
      <c r="DK304" s="18" t="b">
        <f>RecData[[#This Row],[Overall (dBA)]]&lt;$DS$3</f>
        <v>0</v>
      </c>
      <c r="DL3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4" s="2">
        <f>IF(AND(RecData[[#This Row],[Turbines ON/OFF]] = "OFF", NOT(OR(RecData[[#This Row],[Junk?]]="YES",RecData[[#This Row],[Gust?]],RecData[[#This Row],[Rain?]:[Min SPL Threshold?]]))),1,0)</f>
        <v>1</v>
      </c>
      <c r="DN304" s="16">
        <f>RecData[[#This Row],[dBA Sum]]</f>
        <v>24.785136634672519</v>
      </c>
      <c r="DO304" s="16">
        <f>RecData[[#This Row],[LAF90.0]]</f>
        <v>39.1</v>
      </c>
      <c r="DP304" s="55" t="str">
        <f>IF(AND(RecData[[#This Row],[Useable TON Data?]],RecData[[#This Row],[Turbines ON/OFF]]="ON"),RecData[[#This Row],[dBA Sum]],"")</f>
        <v/>
      </c>
      <c r="DQ304" s="55">
        <f>IF(AND(RecData[[#This Row],[Useable Background Data?]],RecData[[#This Row],[Turbines ON/OFF]]="OFF"),RecData[[#This Row],[dBA Sum]],"")</f>
        <v>24.785136634672519</v>
      </c>
      <c r="DR304" s="3">
        <f>IF(OR(RecData[[#This Row],[Useable TON Data?]],RecData[[#This Row],[Useable Background Data?]]),ROUND(RecData[[#This Row],[WSpd_Avg '[m/s']]],0),"")</f>
        <v>0</v>
      </c>
      <c r="DS304" s="85">
        <f>(0.00002)^2*(10^(RecData[[#This Row],[Overall (dBA)]]/10))</f>
        <v>1.2038535417461252E-7</v>
      </c>
    </row>
    <row r="305" spans="1:123" ht="15" x14ac:dyDescent="0.25">
      <c r="A305" s="3" t="s">
        <v>249</v>
      </c>
      <c r="B305" s="12">
        <v>43260.965983796304</v>
      </c>
      <c r="C305" s="3"/>
      <c r="D305" s="3">
        <v>41</v>
      </c>
      <c r="E305" s="3"/>
      <c r="F305" s="3"/>
      <c r="G305" s="3"/>
      <c r="H305" s="3"/>
      <c r="I305" s="3"/>
      <c r="J305" s="3"/>
      <c r="K305" s="3">
        <v>38.6</v>
      </c>
      <c r="L305" s="3"/>
      <c r="M305" s="3"/>
      <c r="N305" s="3">
        <v>106.2</v>
      </c>
      <c r="O305" s="3"/>
      <c r="P305" s="3"/>
      <c r="Q305" s="3">
        <v>0.37</v>
      </c>
      <c r="R305" s="3">
        <v>0.1</v>
      </c>
      <c r="S305" s="3">
        <v>0.5</v>
      </c>
      <c r="T305" s="3">
        <v>12.9</v>
      </c>
      <c r="U305" s="3">
        <v>82.9</v>
      </c>
      <c r="V305" s="3">
        <v>975.6</v>
      </c>
      <c r="W305" s="3">
        <v>0</v>
      </c>
      <c r="X305" s="3">
        <v>22.3</v>
      </c>
      <c r="Y305" s="3">
        <v>17.8</v>
      </c>
      <c r="Z305" s="3">
        <v>16.600000000000001</v>
      </c>
      <c r="AA305" s="3">
        <v>11.6</v>
      </c>
      <c r="AB305" s="3">
        <v>13.7</v>
      </c>
      <c r="AC305" s="3">
        <v>5.7</v>
      </c>
      <c r="AD305" s="3">
        <v>9.1999999999999993</v>
      </c>
      <c r="AE305" s="3">
        <v>12.8</v>
      </c>
      <c r="AF305" s="3">
        <v>12.2</v>
      </c>
      <c r="AG305" s="3">
        <v>11.4</v>
      </c>
      <c r="AH305" s="3">
        <v>12</v>
      </c>
      <c r="AI305" s="3">
        <v>11.3</v>
      </c>
      <c r="AJ305" s="3">
        <v>11.7</v>
      </c>
      <c r="AK305" s="3">
        <v>8.9</v>
      </c>
      <c r="AL305" s="3">
        <v>7.7</v>
      </c>
      <c r="AM305" s="3">
        <v>7.8</v>
      </c>
      <c r="AN305" s="3">
        <v>8.5</v>
      </c>
      <c r="AO305" s="3">
        <v>8.3000000000000007</v>
      </c>
      <c r="AP305" s="3">
        <v>8.3000000000000007</v>
      </c>
      <c r="AQ305" s="3">
        <v>12</v>
      </c>
      <c r="AR305" s="3">
        <v>10.4</v>
      </c>
      <c r="AS305" s="3">
        <v>30.9</v>
      </c>
      <c r="AT305" s="3">
        <v>39.1</v>
      </c>
      <c r="AU305" s="3">
        <v>15.5</v>
      </c>
      <c r="AV305" s="3">
        <v>9.6999999999999993</v>
      </c>
      <c r="AW305" s="3">
        <v>9.9</v>
      </c>
      <c r="AX305" s="3">
        <v>9.6999999999999993</v>
      </c>
      <c r="AY305" s="3">
        <v>9.9</v>
      </c>
      <c r="AZ305" s="3">
        <v>0</v>
      </c>
      <c r="BA305" s="3">
        <v>0</v>
      </c>
      <c r="BB305" s="3">
        <v>0</v>
      </c>
      <c r="BC305" s="3">
        <v>40.970809848376561</v>
      </c>
      <c r="BD305" s="3">
        <v>22.329190151623436</v>
      </c>
      <c r="BE305" s="3">
        <v>17.829190151623436</v>
      </c>
      <c r="BF305" s="3">
        <v>15.389190151623438</v>
      </c>
      <c r="BG305" s="3">
        <v>10.715856818290106</v>
      </c>
      <c r="BH305" s="3">
        <v>12.955856818290108</v>
      </c>
      <c r="BI305" s="3">
        <v>5.3691901516234424</v>
      </c>
      <c r="BJ305" s="3">
        <v>9.6625234849567718</v>
      </c>
      <c r="BK305" s="3">
        <v>13.135856818290101</v>
      </c>
      <c r="BL305" s="3">
        <v>12.109190151623437</v>
      </c>
      <c r="BM305" s="3">
        <v>11.442523484956773</v>
      </c>
      <c r="BN305" s="3">
        <v>12.325856818290106</v>
      </c>
      <c r="BO305" s="3">
        <v>10.992523484956777</v>
      </c>
      <c r="BP305" s="3">
        <v>11.109190151623437</v>
      </c>
      <c r="BQ305" s="3">
        <v>8.7258568182900973</v>
      </c>
      <c r="BR305" s="3">
        <v>7.8525234849567767</v>
      </c>
      <c r="BS305" s="3">
        <v>7.7558568182901055</v>
      </c>
      <c r="BT305" s="3">
        <v>8.6525234849567738</v>
      </c>
      <c r="BU305" s="3">
        <v>8.4191901516234395</v>
      </c>
      <c r="BV305" s="3">
        <v>8.1358568182901081</v>
      </c>
      <c r="BW305" s="3">
        <v>12.369190151623442</v>
      </c>
      <c r="BX305" s="3">
        <v>10.689190151623443</v>
      </c>
      <c r="BY305" s="3">
        <v>31.009190151623429</v>
      </c>
      <c r="BZ305" s="3">
        <v>39.339190151623441</v>
      </c>
      <c r="CA305" s="3">
        <v>15.839190151623434</v>
      </c>
      <c r="CB305" s="3">
        <v>9.4758568182901044</v>
      </c>
      <c r="CC305" s="3">
        <v>9.8891901516234384</v>
      </c>
      <c r="CD305" s="3">
        <v>8.9958568182901075</v>
      </c>
      <c r="CE305" s="3">
        <v>9.3891901516234384</v>
      </c>
      <c r="CF305" s="3">
        <v>-0.89747651504323045</v>
      </c>
      <c r="CG305" s="3">
        <v>-1.4308098483765619</v>
      </c>
      <c r="CH305" s="3">
        <v>-2.5074765150432299</v>
      </c>
      <c r="CI305" s="13">
        <f>[1]!dbasum(RecData[[#This Row],[20]:[2000]],RecData[[#Headers],[20]:[2000]])</f>
        <v>18.696781672439016</v>
      </c>
      <c r="CJ305" s="14">
        <v>4312</v>
      </c>
      <c r="CK305" s="15" t="s">
        <v>249</v>
      </c>
      <c r="CL305" s="15">
        <f>RecData[[#This Row],[Start Time]]</f>
        <v>43260.965983796304</v>
      </c>
      <c r="CM305" s="16">
        <f>RecData[[#This Row],[Wind Speed avg]]</f>
        <v>0.37</v>
      </c>
      <c r="CN305" s="16">
        <f>RecData[[#This Row],[Wind Dir. avg]]</f>
        <v>106.2</v>
      </c>
      <c r="CO305" s="16">
        <f>RecData[[#This Row],[Amb. Humidity]]</f>
        <v>82.9</v>
      </c>
      <c r="CP305" s="16">
        <f>RecData[[#This Row],[Amb. Temperature]]</f>
        <v>12.9</v>
      </c>
      <c r="CQ305" s="17">
        <f>RecData[[#This Row],[Amb. Rain Gauge]]</f>
        <v>0</v>
      </c>
      <c r="CR305" s="4" t="s">
        <v>50</v>
      </c>
      <c r="CS305" s="4" t="s">
        <v>49</v>
      </c>
      <c r="CT305" s="70">
        <v>-9.8977270130000008</v>
      </c>
      <c r="CU305" s="70">
        <v>310.82803339999998</v>
      </c>
      <c r="CV305" s="70">
        <v>1.1140742299999999</v>
      </c>
      <c r="CW305" s="70">
        <v>0</v>
      </c>
      <c r="CX305" s="4"/>
      <c r="CY305" s="69"/>
      <c r="CZ305" s="2" t="b">
        <f>IF($DP$1="YES",IF(RecData[[#This Row],[Power (kW)]]&gt;=$CR$3, TRUE,FALSE),TRUE)</f>
        <v>0</v>
      </c>
      <c r="DA305" s="16">
        <f>MIN(MOD(180-ABS(ABS($DA$1-RecData[Yaw Angle (°)])-180),360),MOD(180-ABS(ABS($DB$1-RecData[Yaw Angle (°)])-180),360))</f>
        <v>56.701893377687554</v>
      </c>
      <c r="DB305" s="2" t="str">
        <f>IF($DP$2="None","None",IF(RecData[[#This Row],[Relative Wind Direction]]&lt;=45,"DW",IF(RecData[[#This Row],[Relative Wind Direction]]&lt;=135,"CW","UW")))</f>
        <v>CW</v>
      </c>
      <c r="DC305" s="61">
        <v>-1</v>
      </c>
      <c r="DD305" s="61">
        <v>-1</v>
      </c>
      <c r="DE305" s="18" t="b">
        <v>0</v>
      </c>
      <c r="DF305" s="2" t="b">
        <f>IF(OR(RecData[[#This Row],[WSpd_Avg '[m/s']]]-RecData[[#This Row],[Wind Speed min]]&gt;=$DF$3,RecData[[#This Row],[Wind Speed max]]-RecData[[#This Row],[WSpd_Avg '[m/s']]]&gt;=$DF$2),TRUE,FALSE)</f>
        <v>0</v>
      </c>
      <c r="DG305" s="2" t="b">
        <f>RecData[[#This Row],[Temperature '[°C']]]&lt;=-20</f>
        <v>0</v>
      </c>
      <c r="DH305" s="18" t="b">
        <f>NOT(OR(MOD(RecData[[#This Row],[TIMESTAMP]],1)&gt;0.91632,MOD(RecData[[#This Row],[TIMESTAMP]],1)&lt;0.208681))</f>
        <v>0</v>
      </c>
      <c r="DI305" s="18" t="b">
        <f>RecData[[#This Row],[Overall (dBA)]]-RecData[[#This Row],[L90]]&gt;=$DS$4</f>
        <v>0</v>
      </c>
      <c r="DJ305" s="18" t="b">
        <f>RecData[[#This Row],[Overall (dBA)]]&gt;$DS$2</f>
        <v>0</v>
      </c>
      <c r="DK305" s="18" t="b">
        <f>RecData[[#This Row],[Overall (dBA)]]&lt;$DS$3</f>
        <v>0</v>
      </c>
      <c r="DL3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5" s="2">
        <f>IF(AND(RecData[[#This Row],[Turbines ON/OFF]] = "OFF", NOT(OR(RecData[[#This Row],[Junk?]]="YES",RecData[[#This Row],[Gust?]],RecData[[#This Row],[Rain?]:[Min SPL Threshold?]]))),1,0)</f>
        <v>1</v>
      </c>
      <c r="DN305" s="16">
        <f>RecData[[#This Row],[dBA Sum]]</f>
        <v>18.696781672439016</v>
      </c>
      <c r="DO305" s="16">
        <f>RecData[[#This Row],[LAF90.0]]</f>
        <v>38.6</v>
      </c>
      <c r="DP305" s="55" t="str">
        <f>IF(AND(RecData[[#This Row],[Useable TON Data?]],RecData[[#This Row],[Turbines ON/OFF]]="ON"),RecData[[#This Row],[dBA Sum]],"")</f>
        <v/>
      </c>
      <c r="DQ305" s="55">
        <f>IF(AND(RecData[[#This Row],[Useable Background Data?]],RecData[[#This Row],[Turbines ON/OFF]]="OFF"),RecData[[#This Row],[dBA Sum]],"")</f>
        <v>18.696781672439016</v>
      </c>
      <c r="DR305" s="3">
        <f>IF(OR(RecData[[#This Row],[Useable TON Data?]],RecData[[#This Row],[Useable Background Data?]]),ROUND(RecData[[#This Row],[WSpd_Avg '[m/s']]],0),"")</f>
        <v>0</v>
      </c>
      <c r="DS305" s="85">
        <f>(0.00002)^2*(10^(RecData[[#This Row],[Overall (dBA)]]/10))</f>
        <v>2.9630443953545074E-8</v>
      </c>
    </row>
    <row r="306" spans="1:123" ht="15" x14ac:dyDescent="0.25">
      <c r="A306" s="3" t="s">
        <v>249</v>
      </c>
      <c r="B306" s="12">
        <v>43260.966678240744</v>
      </c>
      <c r="C306" s="3"/>
      <c r="D306" s="3">
        <v>41.5</v>
      </c>
      <c r="E306" s="3"/>
      <c r="F306" s="3"/>
      <c r="G306" s="3"/>
      <c r="H306" s="3"/>
      <c r="I306" s="3"/>
      <c r="J306" s="3"/>
      <c r="K306" s="3">
        <v>39.5</v>
      </c>
      <c r="L306" s="3"/>
      <c r="M306" s="3"/>
      <c r="N306" s="3">
        <v>96.8</v>
      </c>
      <c r="O306" s="3"/>
      <c r="P306" s="3"/>
      <c r="Q306" s="3">
        <v>0.19</v>
      </c>
      <c r="R306" s="3">
        <v>0.1</v>
      </c>
      <c r="S306" s="3">
        <v>0.3</v>
      </c>
      <c r="T306" s="3">
        <v>12.9</v>
      </c>
      <c r="U306" s="3">
        <v>83.4</v>
      </c>
      <c r="V306" s="3">
        <v>975.6</v>
      </c>
      <c r="W306" s="3">
        <v>0</v>
      </c>
      <c r="X306" s="3">
        <v>23.1</v>
      </c>
      <c r="Y306" s="3">
        <v>19.8</v>
      </c>
      <c r="Z306" s="3">
        <v>20.6</v>
      </c>
      <c r="AA306" s="3">
        <v>17.399999999999999</v>
      </c>
      <c r="AB306" s="3">
        <v>14.3</v>
      </c>
      <c r="AC306" s="3">
        <v>6.7</v>
      </c>
      <c r="AD306" s="3">
        <v>10.6</v>
      </c>
      <c r="AE306" s="3">
        <v>13.5</v>
      </c>
      <c r="AF306" s="3">
        <v>12.7</v>
      </c>
      <c r="AG306" s="3">
        <v>13.6</v>
      </c>
      <c r="AH306" s="3">
        <v>15.8</v>
      </c>
      <c r="AI306" s="3">
        <v>13</v>
      </c>
      <c r="AJ306" s="3">
        <v>14.1</v>
      </c>
      <c r="AK306" s="3">
        <v>12.8</v>
      </c>
      <c r="AL306" s="3">
        <v>9.1999999999999993</v>
      </c>
      <c r="AM306" s="3">
        <v>14.8</v>
      </c>
      <c r="AN306" s="3">
        <v>11.8</v>
      </c>
      <c r="AO306" s="3">
        <v>13.7</v>
      </c>
      <c r="AP306" s="3">
        <v>9.6999999999999993</v>
      </c>
      <c r="AQ306" s="3">
        <v>12</v>
      </c>
      <c r="AR306" s="3">
        <v>10.199999999999999</v>
      </c>
      <c r="AS306" s="3">
        <v>32.200000000000003</v>
      </c>
      <c r="AT306" s="3">
        <v>39.5</v>
      </c>
      <c r="AU306" s="3">
        <v>15.9</v>
      </c>
      <c r="AV306" s="3">
        <v>10.1</v>
      </c>
      <c r="AW306" s="3">
        <v>10.4</v>
      </c>
      <c r="AX306" s="3">
        <v>9.9</v>
      </c>
      <c r="AY306" s="3">
        <v>10.1</v>
      </c>
      <c r="AZ306" s="3">
        <v>0</v>
      </c>
      <c r="BA306" s="3">
        <v>0</v>
      </c>
      <c r="BB306" s="3">
        <v>0</v>
      </c>
      <c r="BC306" s="3">
        <v>41.514208741870817</v>
      </c>
      <c r="BD306" s="3">
        <v>23.085791258129177</v>
      </c>
      <c r="BE306" s="3">
        <v>19.78579125812918</v>
      </c>
      <c r="BF306" s="3">
        <v>19.345791258129182</v>
      </c>
      <c r="BG306" s="3">
        <v>16.472457924795847</v>
      </c>
      <c r="BH306" s="3">
        <v>13.512457924795854</v>
      </c>
      <c r="BI306" s="3">
        <v>6.3257912581291862</v>
      </c>
      <c r="BJ306" s="3">
        <v>11.019124591462514</v>
      </c>
      <c r="BK306" s="3">
        <v>13.792457924795848</v>
      </c>
      <c r="BL306" s="3">
        <v>12.565791258129181</v>
      </c>
      <c r="BM306" s="3">
        <v>13.59912459146252</v>
      </c>
      <c r="BN306" s="3">
        <v>16.082457924795847</v>
      </c>
      <c r="BO306" s="3">
        <v>12.649124591462517</v>
      </c>
      <c r="BP306" s="3">
        <v>13.465791258129187</v>
      </c>
      <c r="BQ306" s="3">
        <v>12.58245792479584</v>
      </c>
      <c r="BR306" s="3">
        <v>9.3091245914625205</v>
      </c>
      <c r="BS306" s="3">
        <v>14.712457924795849</v>
      </c>
      <c r="BT306" s="3">
        <v>11.909124591462515</v>
      </c>
      <c r="BU306" s="3">
        <v>13.775791258129189</v>
      </c>
      <c r="BV306" s="3">
        <v>9.4924579247958505</v>
      </c>
      <c r="BW306" s="3">
        <v>12.325791258129186</v>
      </c>
      <c r="BX306" s="3">
        <v>10.445791258129191</v>
      </c>
      <c r="BY306" s="3">
        <v>32.265791258129184</v>
      </c>
      <c r="BZ306" s="3">
        <v>39.695791258129191</v>
      </c>
      <c r="CA306" s="3">
        <v>16.195791258129177</v>
      </c>
      <c r="CB306" s="3">
        <v>9.8324579247958468</v>
      </c>
      <c r="CC306" s="3">
        <v>10.345791258129182</v>
      </c>
      <c r="CD306" s="3">
        <v>9.1524579247958542</v>
      </c>
      <c r="CE306" s="3">
        <v>9.5457912581291851</v>
      </c>
      <c r="CF306" s="3">
        <v>-0.94087540853748663</v>
      </c>
      <c r="CG306" s="3">
        <v>-1.4742087418708181</v>
      </c>
      <c r="CH306" s="3">
        <v>-2.5508754085374861</v>
      </c>
      <c r="CI306" s="13">
        <f>[1]!dbasum(RecData[[#This Row],[20]:[2000]],RecData[[#Headers],[20]:[2000]])</f>
        <v>20.956641375346045</v>
      </c>
      <c r="CJ306" s="14">
        <v>4313</v>
      </c>
      <c r="CK306" s="15" t="s">
        <v>249</v>
      </c>
      <c r="CL306" s="15">
        <f>RecData[[#This Row],[Start Time]]</f>
        <v>43260.966678240744</v>
      </c>
      <c r="CM306" s="16">
        <f>RecData[[#This Row],[Wind Speed avg]]</f>
        <v>0.19</v>
      </c>
      <c r="CN306" s="16">
        <f>RecData[[#This Row],[Wind Dir. avg]]</f>
        <v>96.8</v>
      </c>
      <c r="CO306" s="16">
        <f>RecData[[#This Row],[Amb. Humidity]]</f>
        <v>83.4</v>
      </c>
      <c r="CP306" s="16">
        <f>RecData[[#This Row],[Amb. Temperature]]</f>
        <v>12.9</v>
      </c>
      <c r="CQ306" s="17">
        <f>RecData[[#This Row],[Amb. Rain Gauge]]</f>
        <v>0</v>
      </c>
      <c r="CR306" s="4" t="s">
        <v>50</v>
      </c>
      <c r="CS306" s="4" t="s">
        <v>49</v>
      </c>
      <c r="CT306" s="70">
        <v>-9.8977270130000008</v>
      </c>
      <c r="CU306" s="70">
        <v>310.82803339999998</v>
      </c>
      <c r="CV306" s="70">
        <v>1.1140742299999999</v>
      </c>
      <c r="CW306" s="70">
        <v>0</v>
      </c>
      <c r="CX306" s="4"/>
      <c r="CY306" s="69"/>
      <c r="CZ306" s="2" t="b">
        <f>IF($DP$1="YES",IF(RecData[[#This Row],[Power (kW)]]&gt;=$CR$3, TRUE,FALSE),TRUE)</f>
        <v>0</v>
      </c>
      <c r="DA306" s="16">
        <f>MIN(MOD(180-ABS(ABS($DA$1-RecData[Yaw Angle (°)])-180),360),MOD(180-ABS(ABS($DB$1-RecData[Yaw Angle (°)])-180),360))</f>
        <v>56.701893377687554</v>
      </c>
      <c r="DB306" s="2" t="str">
        <f>IF($DP$2="None","None",IF(RecData[[#This Row],[Relative Wind Direction]]&lt;=45,"DW",IF(RecData[[#This Row],[Relative Wind Direction]]&lt;=135,"CW","UW")))</f>
        <v>CW</v>
      </c>
      <c r="DC306" s="61">
        <f>IF($CL306-$CL305&gt;1/24,#REF!,IF(SUM($CQ305:$CQ306)&gt;$DS$1,$DS$5,DC307-1))</f>
        <v>-9</v>
      </c>
      <c r="DD306" s="61">
        <f>IF($CL307-$CL306&gt;1/24,#REF!,IF(SUM($CQ305:$CQ306)&gt;$DS$1,$DS$6,DD305-1))</f>
        <v>-2</v>
      </c>
      <c r="DE306" s="18" t="b">
        <v>0</v>
      </c>
      <c r="DF306" s="2" t="b">
        <f>IF(OR(RecData[[#This Row],[WSpd_Avg '[m/s']]]-RecData[[#This Row],[Wind Speed min]]&gt;=$DF$3,RecData[[#This Row],[Wind Speed max]]-RecData[[#This Row],[WSpd_Avg '[m/s']]]&gt;=$DF$2),TRUE,FALSE)</f>
        <v>0</v>
      </c>
      <c r="DG306" s="2" t="b">
        <f>RecData[[#This Row],[Temperature '[°C']]]&lt;=-20</f>
        <v>0</v>
      </c>
      <c r="DH306" s="18" t="b">
        <f>NOT(OR(MOD(RecData[[#This Row],[TIMESTAMP]],1)&gt;0.91632,MOD(RecData[[#This Row],[TIMESTAMP]],1)&lt;0.208681))</f>
        <v>0</v>
      </c>
      <c r="DI306" s="18" t="b">
        <f>RecData[[#This Row],[Overall (dBA)]]-RecData[[#This Row],[L90]]&gt;=$DS$4</f>
        <v>0</v>
      </c>
      <c r="DJ306" s="18" t="b">
        <f>RecData[[#This Row],[Overall (dBA)]]&gt;$DS$2</f>
        <v>0</v>
      </c>
      <c r="DK306" s="18" t="b">
        <f>RecData[[#This Row],[Overall (dBA)]]&lt;$DS$3</f>
        <v>0</v>
      </c>
      <c r="DL3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6" s="2">
        <f>IF(AND(RecData[[#This Row],[Turbines ON/OFF]] = "OFF", NOT(OR(RecData[[#This Row],[Junk?]]="YES",RecData[[#This Row],[Gust?]],RecData[[#This Row],[Rain?]:[Min SPL Threshold?]]))),1,0)</f>
        <v>1</v>
      </c>
      <c r="DN306" s="16">
        <f>RecData[[#This Row],[dBA Sum]]</f>
        <v>20.956641375346045</v>
      </c>
      <c r="DO306" s="16">
        <f>RecData[[#This Row],[LAF90.0]]</f>
        <v>39.5</v>
      </c>
      <c r="DP306" s="55" t="str">
        <f>IF(AND(RecData[[#This Row],[Useable TON Data?]],RecData[[#This Row],[Turbines ON/OFF]]="ON"),RecData[[#This Row],[dBA Sum]],"")</f>
        <v/>
      </c>
      <c r="DQ306" s="55">
        <f>IF(AND(RecData[[#This Row],[Useable Background Data?]],RecData[[#This Row],[Turbines ON/OFF]]="OFF"),RecData[[#This Row],[dBA Sum]],"")</f>
        <v>20.956641375346045</v>
      </c>
      <c r="DR306" s="3">
        <f>IF(OR(RecData[[#This Row],[Useable TON Data?]],RecData[[#This Row],[Useable Background Data?]]),ROUND(RecData[[#This Row],[WSpd_Avg '[m/s']]],0),"")</f>
        <v>0</v>
      </c>
      <c r="DS306" s="85">
        <f>(0.00002)^2*(10^(RecData[[#This Row],[Overall (dBA)]]/10))</f>
        <v>4.985676882966856E-8</v>
      </c>
    </row>
    <row r="307" spans="1:123" ht="15" x14ac:dyDescent="0.25">
      <c r="A307" s="3" t="s">
        <v>249</v>
      </c>
      <c r="B307" s="12">
        <v>43260.967372685191</v>
      </c>
      <c r="C307" s="3"/>
      <c r="D307" s="3">
        <v>41</v>
      </c>
      <c r="E307" s="3"/>
      <c r="F307" s="3"/>
      <c r="G307" s="3"/>
      <c r="H307" s="3"/>
      <c r="I307" s="3"/>
      <c r="J307" s="3"/>
      <c r="K307" s="3">
        <v>38.9</v>
      </c>
      <c r="L307" s="3"/>
      <c r="M307" s="3"/>
      <c r="N307" s="3">
        <v>79.599999999999994</v>
      </c>
      <c r="O307" s="3"/>
      <c r="P307" s="3"/>
      <c r="Q307" s="3">
        <v>0.2</v>
      </c>
      <c r="R307" s="3">
        <v>0.1</v>
      </c>
      <c r="S307" s="3">
        <v>0.4</v>
      </c>
      <c r="T307" s="3">
        <v>12.9</v>
      </c>
      <c r="U307" s="3">
        <v>83.4</v>
      </c>
      <c r="V307" s="3">
        <v>975.7</v>
      </c>
      <c r="W307" s="3">
        <v>0</v>
      </c>
      <c r="X307" s="3">
        <v>23.7</v>
      </c>
      <c r="Y307" s="3">
        <v>21.5</v>
      </c>
      <c r="Z307" s="3">
        <v>19.8</v>
      </c>
      <c r="AA307" s="3">
        <v>13.6</v>
      </c>
      <c r="AB307" s="3">
        <v>18.3</v>
      </c>
      <c r="AC307" s="3">
        <v>14.4</v>
      </c>
      <c r="AD307" s="3">
        <v>11.1</v>
      </c>
      <c r="AE307" s="3">
        <v>16.5</v>
      </c>
      <c r="AF307" s="3">
        <v>13.1</v>
      </c>
      <c r="AG307" s="3">
        <v>15.5</v>
      </c>
      <c r="AH307" s="3">
        <v>14.5</v>
      </c>
      <c r="AI307" s="3">
        <v>12.5</v>
      </c>
      <c r="AJ307" s="3">
        <v>13.6</v>
      </c>
      <c r="AK307" s="3">
        <v>10.7</v>
      </c>
      <c r="AL307" s="3">
        <v>8.3000000000000007</v>
      </c>
      <c r="AM307" s="3">
        <v>10.4</v>
      </c>
      <c r="AN307" s="3">
        <v>10.8</v>
      </c>
      <c r="AO307" s="3">
        <v>11.2</v>
      </c>
      <c r="AP307" s="3">
        <v>10.6</v>
      </c>
      <c r="AQ307" s="3">
        <v>12.7</v>
      </c>
      <c r="AR307" s="3">
        <v>13.8</v>
      </c>
      <c r="AS307" s="3">
        <v>31.6</v>
      </c>
      <c r="AT307" s="3">
        <v>38.9</v>
      </c>
      <c r="AU307" s="3">
        <v>16.5</v>
      </c>
      <c r="AV307" s="3">
        <v>13.7</v>
      </c>
      <c r="AW307" s="3">
        <v>13.1</v>
      </c>
      <c r="AX307" s="3">
        <v>11.4</v>
      </c>
      <c r="AY307" s="3">
        <v>11.3</v>
      </c>
      <c r="AZ307" s="3">
        <v>0</v>
      </c>
      <c r="BA307" s="3">
        <v>0</v>
      </c>
      <c r="BB307" s="3">
        <v>0</v>
      </c>
      <c r="BC307" s="3">
        <v>40.934474289685987</v>
      </c>
      <c r="BD307" s="3">
        <v>23.765525710314016</v>
      </c>
      <c r="BE307" s="3">
        <v>21.565525710314013</v>
      </c>
      <c r="BF307" s="3">
        <v>18.625525710314015</v>
      </c>
      <c r="BG307" s="3">
        <v>12.75219237698068</v>
      </c>
      <c r="BH307" s="3">
        <v>17.592192376980684</v>
      </c>
      <c r="BI307" s="3">
        <v>14.105525710314012</v>
      </c>
      <c r="BJ307" s="3">
        <v>11.598859043647344</v>
      </c>
      <c r="BK307" s="3">
        <v>16.872192376980671</v>
      </c>
      <c r="BL307" s="3">
        <v>13.045525710314017</v>
      </c>
      <c r="BM307" s="3">
        <v>15.578859043647348</v>
      </c>
      <c r="BN307" s="3">
        <v>14.86219237698068</v>
      </c>
      <c r="BO307" s="3">
        <v>12.228859043647347</v>
      </c>
      <c r="BP307" s="3">
        <v>13.045525710314017</v>
      </c>
      <c r="BQ307" s="3">
        <v>10.562192376980668</v>
      </c>
      <c r="BR307" s="3">
        <v>8.488859043647345</v>
      </c>
      <c r="BS307" s="3">
        <v>10.392192376980681</v>
      </c>
      <c r="BT307" s="3">
        <v>10.988859043647345</v>
      </c>
      <c r="BU307" s="3">
        <v>11.355525710314019</v>
      </c>
      <c r="BV307" s="3">
        <v>10.472192376980679</v>
      </c>
      <c r="BW307" s="3">
        <v>13.105525710314019</v>
      </c>
      <c r="BX307" s="3">
        <v>14.125525710314015</v>
      </c>
      <c r="BY307" s="3">
        <v>31.74552571031402</v>
      </c>
      <c r="BZ307" s="3">
        <v>39.175525710314012</v>
      </c>
      <c r="CA307" s="3">
        <v>16.875525710314001</v>
      </c>
      <c r="CB307" s="3">
        <v>13.512192376980678</v>
      </c>
      <c r="CC307" s="3">
        <v>13.125525710314015</v>
      </c>
      <c r="CD307" s="3">
        <v>10.732192376980684</v>
      </c>
      <c r="CE307" s="3">
        <v>10.825525710314011</v>
      </c>
      <c r="CF307" s="3">
        <v>-0.86114095635265642</v>
      </c>
      <c r="CG307" s="3">
        <v>-1.3944742896859879</v>
      </c>
      <c r="CH307" s="3">
        <v>-2.4711409563526558</v>
      </c>
      <c r="CI307" s="13">
        <f>[1]!dbasum(RecData[[#This Row],[20]:[2000]],RecData[[#Headers],[20]:[2000]])</f>
        <v>20.894635692548821</v>
      </c>
      <c r="CJ307" s="14">
        <v>4314</v>
      </c>
      <c r="CK307" s="15" t="s">
        <v>249</v>
      </c>
      <c r="CL307" s="15">
        <f>RecData[[#This Row],[Start Time]]</f>
        <v>43260.967372685191</v>
      </c>
      <c r="CM307" s="16">
        <f>RecData[[#This Row],[Wind Speed avg]]</f>
        <v>0.2</v>
      </c>
      <c r="CN307" s="16">
        <f>RecData[[#This Row],[Wind Dir. avg]]</f>
        <v>79.599999999999994</v>
      </c>
      <c r="CO307" s="16">
        <f>RecData[[#This Row],[Amb. Humidity]]</f>
        <v>83.4</v>
      </c>
      <c r="CP307" s="16">
        <f>RecData[[#This Row],[Amb. Temperature]]</f>
        <v>12.9</v>
      </c>
      <c r="CQ307" s="17">
        <f>RecData[[#This Row],[Amb. Rain Gauge]]</f>
        <v>0</v>
      </c>
      <c r="CR307" s="4" t="s">
        <v>50</v>
      </c>
      <c r="CS307" s="4" t="s">
        <v>49</v>
      </c>
      <c r="CT307" s="70">
        <v>-9.8977270130000008</v>
      </c>
      <c r="CU307" s="70">
        <v>310.82803339999998</v>
      </c>
      <c r="CV307" s="70">
        <v>1.1140742299999999</v>
      </c>
      <c r="CW307" s="70">
        <v>0</v>
      </c>
      <c r="CX307" s="4"/>
      <c r="CY307" s="69"/>
      <c r="CZ307" s="2" t="b">
        <f>IF($DP$1="YES",IF(RecData[[#This Row],[Power (kW)]]&gt;=$CR$3, TRUE,FALSE),TRUE)</f>
        <v>0</v>
      </c>
      <c r="DA307" s="16">
        <f>MIN(MOD(180-ABS(ABS($DA$1-RecData[Yaw Angle (°)])-180),360),MOD(180-ABS(ABS($DB$1-RecData[Yaw Angle (°)])-180),360))</f>
        <v>56.701893377687554</v>
      </c>
      <c r="DB307" s="2" t="str">
        <f>IF($DP$2="None","None",IF(RecData[[#This Row],[Relative Wind Direction]]&lt;=45,"DW",IF(RecData[[#This Row],[Relative Wind Direction]]&lt;=135,"CW","UW")))</f>
        <v>CW</v>
      </c>
      <c r="DC307" s="61">
        <f>IF($CL307-$CL305&gt;1/24,#REF!,IF(SUM($CQ305:$CQ307)&gt;$DS$1,$DS$5,DC308-1))</f>
        <v>-8</v>
      </c>
      <c r="DD307" s="61">
        <f>IF($CL308-$CL307&gt;1/24,#REF!,IF(SUM($CQ305:$CQ307)&gt;$DS$1,$DS$6,DD306-1))</f>
        <v>-3</v>
      </c>
      <c r="DE307" s="18" t="b">
        <v>0</v>
      </c>
      <c r="DF307" s="2" t="b">
        <f>IF(OR(RecData[[#This Row],[WSpd_Avg '[m/s']]]-RecData[[#This Row],[Wind Speed min]]&gt;=$DF$3,RecData[[#This Row],[Wind Speed max]]-RecData[[#This Row],[WSpd_Avg '[m/s']]]&gt;=$DF$2),TRUE,FALSE)</f>
        <v>0</v>
      </c>
      <c r="DG307" s="2" t="b">
        <f>RecData[[#This Row],[Temperature '[°C']]]&lt;=-20</f>
        <v>0</v>
      </c>
      <c r="DH307" s="18" t="b">
        <f>NOT(OR(MOD(RecData[[#This Row],[TIMESTAMP]],1)&gt;0.91632,MOD(RecData[[#This Row],[TIMESTAMP]],1)&lt;0.208681))</f>
        <v>0</v>
      </c>
      <c r="DI307" s="18" t="b">
        <f>RecData[[#This Row],[Overall (dBA)]]-RecData[[#This Row],[L90]]&gt;=$DS$4</f>
        <v>0</v>
      </c>
      <c r="DJ307" s="18" t="b">
        <f>RecData[[#This Row],[Overall (dBA)]]&gt;$DS$2</f>
        <v>0</v>
      </c>
      <c r="DK307" s="18" t="b">
        <f>RecData[[#This Row],[Overall (dBA)]]&lt;$DS$3</f>
        <v>0</v>
      </c>
      <c r="DL3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7" s="2">
        <f>IF(AND(RecData[[#This Row],[Turbines ON/OFF]] = "OFF", NOT(OR(RecData[[#This Row],[Junk?]]="YES",RecData[[#This Row],[Gust?]],RecData[[#This Row],[Rain?]:[Min SPL Threshold?]]))),1,0)</f>
        <v>1</v>
      </c>
      <c r="DN307" s="16">
        <f>RecData[[#This Row],[dBA Sum]]</f>
        <v>20.894635692548821</v>
      </c>
      <c r="DO307" s="16">
        <f>RecData[[#This Row],[LAF90.0]]</f>
        <v>38.9</v>
      </c>
      <c r="DP307" s="55" t="str">
        <f>IF(AND(RecData[[#This Row],[Useable TON Data?]],RecData[[#This Row],[Turbines ON/OFF]]="ON"),RecData[[#This Row],[dBA Sum]],"")</f>
        <v/>
      </c>
      <c r="DQ307" s="55">
        <f>IF(AND(RecData[[#This Row],[Useable Background Data?]],RecData[[#This Row],[Turbines ON/OFF]]="OFF"),RecData[[#This Row],[dBA Sum]],"")</f>
        <v>20.894635692548821</v>
      </c>
      <c r="DR307" s="3">
        <f>IF(OR(RecData[[#This Row],[Useable TON Data?]],RecData[[#This Row],[Useable Background Data?]]),ROUND(RecData[[#This Row],[WSpd_Avg '[m/s']]],0),"")</f>
        <v>0</v>
      </c>
      <c r="DS307" s="85">
        <f>(0.00002)^2*(10^(RecData[[#This Row],[Overall (dBA)]]/10))</f>
        <v>4.9150004347469738E-8</v>
      </c>
    </row>
    <row r="308" spans="1:123" ht="15" x14ac:dyDescent="0.25">
      <c r="A308" s="3" t="s">
        <v>249</v>
      </c>
      <c r="B308" s="12">
        <v>43260.968067129637</v>
      </c>
      <c r="C308" s="3"/>
      <c r="D308" s="3">
        <v>41.8</v>
      </c>
      <c r="E308" s="3"/>
      <c r="F308" s="3"/>
      <c r="G308" s="3"/>
      <c r="H308" s="3"/>
      <c r="I308" s="3"/>
      <c r="J308" s="3"/>
      <c r="K308" s="3">
        <v>39.799999999999997</v>
      </c>
      <c r="L308" s="3"/>
      <c r="M308" s="3"/>
      <c r="N308" s="3">
        <v>71.3</v>
      </c>
      <c r="O308" s="3"/>
      <c r="P308" s="3"/>
      <c r="Q308" s="3">
        <v>0.22</v>
      </c>
      <c r="R308" s="3">
        <v>0.1</v>
      </c>
      <c r="S308" s="3">
        <v>0.4</v>
      </c>
      <c r="T308" s="3">
        <v>12.9</v>
      </c>
      <c r="U308" s="3">
        <v>83.4</v>
      </c>
      <c r="V308" s="3">
        <v>975.7</v>
      </c>
      <c r="W308" s="3">
        <v>0</v>
      </c>
      <c r="X308" s="3">
        <v>26.5</v>
      </c>
      <c r="Y308" s="3">
        <v>25.4</v>
      </c>
      <c r="Z308" s="3">
        <v>24.9</v>
      </c>
      <c r="AA308" s="3">
        <v>20.9</v>
      </c>
      <c r="AB308" s="3">
        <v>14.9</v>
      </c>
      <c r="AC308" s="3">
        <v>11.7</v>
      </c>
      <c r="AD308" s="3">
        <v>10.199999999999999</v>
      </c>
      <c r="AE308" s="3">
        <v>13.3</v>
      </c>
      <c r="AF308" s="3">
        <v>13.9</v>
      </c>
      <c r="AG308" s="3">
        <v>15.4</v>
      </c>
      <c r="AH308" s="3">
        <v>12.8</v>
      </c>
      <c r="AI308" s="3">
        <v>12.3</v>
      </c>
      <c r="AJ308" s="3">
        <v>11.9</v>
      </c>
      <c r="AK308" s="3">
        <v>9.1</v>
      </c>
      <c r="AL308" s="3">
        <v>7.4</v>
      </c>
      <c r="AM308" s="3">
        <v>8.5</v>
      </c>
      <c r="AN308" s="3">
        <v>8.4</v>
      </c>
      <c r="AO308" s="3">
        <v>8.1999999999999993</v>
      </c>
      <c r="AP308" s="3">
        <v>8.1999999999999993</v>
      </c>
      <c r="AQ308" s="3">
        <v>11.7</v>
      </c>
      <c r="AR308" s="3">
        <v>10.7</v>
      </c>
      <c r="AS308" s="3">
        <v>32.1</v>
      </c>
      <c r="AT308" s="3">
        <v>39.799999999999997</v>
      </c>
      <c r="AU308" s="3">
        <v>15.8</v>
      </c>
      <c r="AV308" s="3">
        <v>9.6</v>
      </c>
      <c r="AW308" s="3">
        <v>9.9</v>
      </c>
      <c r="AX308" s="3">
        <v>9.6999999999999993</v>
      </c>
      <c r="AY308" s="3">
        <v>9.9</v>
      </c>
      <c r="AZ308" s="3">
        <v>0</v>
      </c>
      <c r="BA308" s="3">
        <v>0</v>
      </c>
      <c r="BB308" s="3">
        <v>0</v>
      </c>
      <c r="BC308" s="3">
        <v>41.733933780568968</v>
      </c>
      <c r="BD308" s="3">
        <v>26.566066219431029</v>
      </c>
      <c r="BE308" s="3">
        <v>25.466066219431021</v>
      </c>
      <c r="BF308" s="3">
        <v>23.726066219431026</v>
      </c>
      <c r="BG308" s="3">
        <v>20.052732886097694</v>
      </c>
      <c r="BH308" s="3">
        <v>14.192732886097694</v>
      </c>
      <c r="BI308" s="3">
        <v>11.406066219431032</v>
      </c>
      <c r="BJ308" s="3">
        <v>10.699399552764362</v>
      </c>
      <c r="BK308" s="3">
        <v>13.672732886097691</v>
      </c>
      <c r="BL308" s="3">
        <v>13.84606621943103</v>
      </c>
      <c r="BM308" s="3">
        <v>15.479399552764363</v>
      </c>
      <c r="BN308" s="3">
        <v>13.162732886097693</v>
      </c>
      <c r="BO308" s="3">
        <v>12.029399552764367</v>
      </c>
      <c r="BP308" s="3">
        <v>11.34606621943103</v>
      </c>
      <c r="BQ308" s="3">
        <v>8.9627328860976903</v>
      </c>
      <c r="BR308" s="3">
        <v>7.5893995527643625</v>
      </c>
      <c r="BS308" s="3">
        <v>8.4927328860976985</v>
      </c>
      <c r="BT308" s="3">
        <v>8.5893995527643625</v>
      </c>
      <c r="BU308" s="3">
        <v>8.3560662194310353</v>
      </c>
      <c r="BV308" s="3">
        <v>8.0727328860976968</v>
      </c>
      <c r="BW308" s="3">
        <v>12.106066219431035</v>
      </c>
      <c r="BX308" s="3">
        <v>11.026066219431037</v>
      </c>
      <c r="BY308" s="3">
        <v>32.246066219431022</v>
      </c>
      <c r="BZ308" s="3">
        <v>40.076066219431034</v>
      </c>
      <c r="CA308" s="3">
        <v>16.176066219431021</v>
      </c>
      <c r="CB308" s="3">
        <v>9.4127328860976931</v>
      </c>
      <c r="CC308" s="3">
        <v>9.9260662194310285</v>
      </c>
      <c r="CD308" s="3">
        <v>9.0327328860976976</v>
      </c>
      <c r="CE308" s="3">
        <v>9.4260662194310285</v>
      </c>
      <c r="CF308" s="3">
        <v>-0.86060044723564033</v>
      </c>
      <c r="CG308" s="3">
        <v>-1.3939337805689718</v>
      </c>
      <c r="CH308" s="3">
        <v>-2.4706004472356398</v>
      </c>
      <c r="CI308" s="13">
        <f>[1]!dbasum(RecData[[#This Row],[20]:[2000]],RecData[[#Headers],[20]:[2000]])</f>
        <v>18.847615478966983</v>
      </c>
      <c r="CJ308" s="14">
        <v>4315</v>
      </c>
      <c r="CK308" s="15" t="s">
        <v>249</v>
      </c>
      <c r="CL308" s="15">
        <f>RecData[[#This Row],[Start Time]]</f>
        <v>43260.968067129637</v>
      </c>
      <c r="CM308" s="16">
        <f>RecData[[#This Row],[Wind Speed avg]]</f>
        <v>0.22</v>
      </c>
      <c r="CN308" s="16">
        <f>RecData[[#This Row],[Wind Dir. avg]]</f>
        <v>71.3</v>
      </c>
      <c r="CO308" s="16">
        <f>RecData[[#This Row],[Amb. Humidity]]</f>
        <v>83.4</v>
      </c>
      <c r="CP308" s="16">
        <f>RecData[[#This Row],[Amb. Temperature]]</f>
        <v>12.9</v>
      </c>
      <c r="CQ308" s="17">
        <f>RecData[[#This Row],[Amb. Rain Gauge]]</f>
        <v>0</v>
      </c>
      <c r="CR308" s="4" t="s">
        <v>50</v>
      </c>
      <c r="CS308" s="4" t="s">
        <v>49</v>
      </c>
      <c r="CT308" s="70">
        <v>-9.8977270130000008</v>
      </c>
      <c r="CU308" s="70">
        <v>310.82803339999998</v>
      </c>
      <c r="CV308" s="70">
        <v>1.1140742299999999</v>
      </c>
      <c r="CW308" s="70">
        <v>0</v>
      </c>
      <c r="CX308" s="4"/>
      <c r="CY308" s="69"/>
      <c r="CZ308" s="2" t="b">
        <f>IF($DP$1="YES",IF(RecData[[#This Row],[Power (kW)]]&gt;=$CR$3, TRUE,FALSE),TRUE)</f>
        <v>0</v>
      </c>
      <c r="DA308" s="16">
        <f>MIN(MOD(180-ABS(ABS($DA$1-RecData[Yaw Angle (°)])-180),360),MOD(180-ABS(ABS($DB$1-RecData[Yaw Angle (°)])-180),360))</f>
        <v>56.701893377687554</v>
      </c>
      <c r="DB308" s="2" t="str">
        <f>IF($DP$2="None","None",IF(RecData[[#This Row],[Relative Wind Direction]]&lt;=45,"DW",IF(RecData[[#This Row],[Relative Wind Direction]]&lt;=135,"CW","UW")))</f>
        <v>CW</v>
      </c>
      <c r="DC308" s="61">
        <f>IF($CL308-$CL305&gt;1/24,#REF!,IF(SUM($CQ305:$CQ308)&gt;$DS$1,$DS$5,DC309-1))</f>
        <v>-7</v>
      </c>
      <c r="DD308" s="61">
        <f>IF($CL309-$CL308&gt;1/24,#REF!,IF(SUM($CQ305:$CQ308)&gt;$DS$1,$DS$6,DD307-1))</f>
        <v>-4</v>
      </c>
      <c r="DE308" s="18" t="b">
        <v>0</v>
      </c>
      <c r="DF308" s="2" t="b">
        <f>IF(OR(RecData[[#This Row],[WSpd_Avg '[m/s']]]-RecData[[#This Row],[Wind Speed min]]&gt;=$DF$3,RecData[[#This Row],[Wind Speed max]]-RecData[[#This Row],[WSpd_Avg '[m/s']]]&gt;=$DF$2),TRUE,FALSE)</f>
        <v>0</v>
      </c>
      <c r="DG308" s="2" t="b">
        <f>RecData[[#This Row],[Temperature '[°C']]]&lt;=-20</f>
        <v>0</v>
      </c>
      <c r="DH308" s="18" t="b">
        <f>NOT(OR(MOD(RecData[[#This Row],[TIMESTAMP]],1)&gt;0.91632,MOD(RecData[[#This Row],[TIMESTAMP]],1)&lt;0.208681))</f>
        <v>0</v>
      </c>
      <c r="DI308" s="18" t="b">
        <f>RecData[[#This Row],[Overall (dBA)]]-RecData[[#This Row],[L90]]&gt;=$DS$4</f>
        <v>0</v>
      </c>
      <c r="DJ308" s="18" t="b">
        <f>RecData[[#This Row],[Overall (dBA)]]&gt;$DS$2</f>
        <v>0</v>
      </c>
      <c r="DK308" s="18" t="b">
        <f>RecData[[#This Row],[Overall (dBA)]]&lt;$DS$3</f>
        <v>0</v>
      </c>
      <c r="DL3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8" s="2">
        <f>IF(AND(RecData[[#This Row],[Turbines ON/OFF]] = "OFF", NOT(OR(RecData[[#This Row],[Junk?]]="YES",RecData[[#This Row],[Gust?]],RecData[[#This Row],[Rain?]:[Min SPL Threshold?]]))),1,0)</f>
        <v>1</v>
      </c>
      <c r="DN308" s="16">
        <f>RecData[[#This Row],[dBA Sum]]</f>
        <v>18.847615478966983</v>
      </c>
      <c r="DO308" s="16">
        <f>RecData[[#This Row],[LAF90.0]]</f>
        <v>39.799999999999997</v>
      </c>
      <c r="DP308" s="55" t="str">
        <f>IF(AND(RecData[[#This Row],[Useable TON Data?]],RecData[[#This Row],[Turbines ON/OFF]]="ON"),RecData[[#This Row],[dBA Sum]],"")</f>
        <v/>
      </c>
      <c r="DQ308" s="55">
        <f>IF(AND(RecData[[#This Row],[Useable Background Data?]],RecData[[#This Row],[Turbines ON/OFF]]="OFF"),RecData[[#This Row],[dBA Sum]],"")</f>
        <v>18.847615478966983</v>
      </c>
      <c r="DR308" s="3">
        <f>IF(OR(RecData[[#This Row],[Useable TON Data?]],RecData[[#This Row],[Useable Background Data?]]),ROUND(RecData[[#This Row],[WSpd_Avg '[m/s']]],0),"")</f>
        <v>0</v>
      </c>
      <c r="DS308" s="85">
        <f>(0.00002)^2*(10^(RecData[[#This Row],[Overall (dBA)]]/10))</f>
        <v>3.067761121511533E-8</v>
      </c>
    </row>
    <row r="309" spans="1:123" ht="15" x14ac:dyDescent="0.25">
      <c r="A309" s="3" t="s">
        <v>249</v>
      </c>
      <c r="B309" s="12">
        <v>43260.968761574077</v>
      </c>
      <c r="C309" s="3"/>
      <c r="D309" s="3">
        <v>42.2</v>
      </c>
      <c r="E309" s="3"/>
      <c r="F309" s="3"/>
      <c r="G309" s="3"/>
      <c r="H309" s="3"/>
      <c r="I309" s="3"/>
      <c r="J309" s="3"/>
      <c r="K309" s="3">
        <v>40.5</v>
      </c>
      <c r="L309" s="3"/>
      <c r="M309" s="3"/>
      <c r="N309" s="3">
        <v>64.599999999999994</v>
      </c>
      <c r="O309" s="3"/>
      <c r="P309" s="3"/>
      <c r="Q309" s="3">
        <v>0.2</v>
      </c>
      <c r="R309" s="3">
        <v>0.1</v>
      </c>
      <c r="S309" s="3">
        <v>0.3</v>
      </c>
      <c r="T309" s="3">
        <v>12.9</v>
      </c>
      <c r="U309" s="3">
        <v>83.2</v>
      </c>
      <c r="V309" s="3">
        <v>975.7</v>
      </c>
      <c r="W309" s="3">
        <v>0</v>
      </c>
      <c r="X309" s="3">
        <v>19.899999999999999</v>
      </c>
      <c r="Y309" s="3">
        <v>17.100000000000001</v>
      </c>
      <c r="Z309" s="3">
        <v>14.5</v>
      </c>
      <c r="AA309" s="3">
        <v>10.8</v>
      </c>
      <c r="AB309" s="3">
        <v>13.4</v>
      </c>
      <c r="AC309" s="3">
        <v>5.6</v>
      </c>
      <c r="AD309" s="3">
        <v>8.9</v>
      </c>
      <c r="AE309" s="3">
        <v>12.2</v>
      </c>
      <c r="AF309" s="3">
        <v>10.9</v>
      </c>
      <c r="AG309" s="3">
        <v>11.5</v>
      </c>
      <c r="AH309" s="3">
        <v>12.1</v>
      </c>
      <c r="AI309" s="3">
        <v>11</v>
      </c>
      <c r="AJ309" s="3">
        <v>12.2</v>
      </c>
      <c r="AK309" s="3">
        <v>10.8</v>
      </c>
      <c r="AL309" s="3">
        <v>7.5</v>
      </c>
      <c r="AM309" s="3">
        <v>8</v>
      </c>
      <c r="AN309" s="3">
        <v>8.8000000000000007</v>
      </c>
      <c r="AO309" s="3">
        <v>8.8000000000000007</v>
      </c>
      <c r="AP309" s="3">
        <v>8.4</v>
      </c>
      <c r="AQ309" s="3">
        <v>11.9</v>
      </c>
      <c r="AR309" s="3">
        <v>10.7</v>
      </c>
      <c r="AS309" s="3">
        <v>32.9</v>
      </c>
      <c r="AT309" s="3">
        <v>40.200000000000003</v>
      </c>
      <c r="AU309" s="3">
        <v>16</v>
      </c>
      <c r="AV309" s="3">
        <v>9.6999999999999993</v>
      </c>
      <c r="AW309" s="3">
        <v>9.9</v>
      </c>
      <c r="AX309" s="3">
        <v>9.6999999999999993</v>
      </c>
      <c r="AY309" s="3">
        <v>9.9</v>
      </c>
      <c r="AZ309" s="3">
        <v>0</v>
      </c>
      <c r="BA309" s="3">
        <v>0</v>
      </c>
      <c r="BB309" s="3">
        <v>0</v>
      </c>
      <c r="BC309" s="3">
        <v>42.191710383759393</v>
      </c>
      <c r="BD309" s="3">
        <v>19.908289616240609</v>
      </c>
      <c r="BE309" s="3">
        <v>17.108289616240612</v>
      </c>
      <c r="BF309" s="3">
        <v>13.268289616240608</v>
      </c>
      <c r="BG309" s="3">
        <v>9.8949562829072732</v>
      </c>
      <c r="BH309" s="3">
        <v>12.634956282907275</v>
      </c>
      <c r="BI309" s="3">
        <v>5.2482896162406121</v>
      </c>
      <c r="BJ309" s="3">
        <v>9.3416229495739387</v>
      </c>
      <c r="BK309" s="3">
        <v>12.514956282907271</v>
      </c>
      <c r="BL309" s="3">
        <v>10.788289616240611</v>
      </c>
      <c r="BM309" s="3">
        <v>11.521622949573946</v>
      </c>
      <c r="BN309" s="3">
        <v>12.404956282907278</v>
      </c>
      <c r="BO309" s="3">
        <v>10.671622949573944</v>
      </c>
      <c r="BP309" s="3">
        <v>11.588289616240608</v>
      </c>
      <c r="BQ309" s="3">
        <v>10.604956282907267</v>
      </c>
      <c r="BR309" s="3">
        <v>7.6316229495739449</v>
      </c>
      <c r="BS309" s="3">
        <v>7.9349562829072795</v>
      </c>
      <c r="BT309" s="3">
        <v>8.9316229495739421</v>
      </c>
      <c r="BU309" s="3">
        <v>8.8982896162406107</v>
      </c>
      <c r="BV309" s="3">
        <v>8.2149562829072735</v>
      </c>
      <c r="BW309" s="3">
        <v>12.248289616240612</v>
      </c>
      <c r="BX309" s="3">
        <v>10.968289616240618</v>
      </c>
      <c r="BY309" s="3">
        <v>32.988289616240614</v>
      </c>
      <c r="BZ309" s="3">
        <v>40.418289616240621</v>
      </c>
      <c r="CA309" s="3">
        <v>16.318289616240598</v>
      </c>
      <c r="CB309" s="3">
        <v>9.4549562829072755</v>
      </c>
      <c r="CC309" s="3">
        <v>9.8682896162406095</v>
      </c>
      <c r="CD309" s="3">
        <v>8.9749562829072786</v>
      </c>
      <c r="CE309" s="3">
        <v>9.3682896162406095</v>
      </c>
      <c r="CF309" s="3">
        <v>-0.91837705042605933</v>
      </c>
      <c r="CG309" s="3">
        <v>-1.4517103837593908</v>
      </c>
      <c r="CH309" s="3">
        <v>-2.5283770504260588</v>
      </c>
      <c r="CI309" s="13">
        <f>[1]!dbasum(RecData[[#This Row],[20]:[2000]],RecData[[#Headers],[20]:[2000]])</f>
        <v>18.882780620304956</v>
      </c>
      <c r="CJ309" s="14">
        <v>4316</v>
      </c>
      <c r="CK309" s="15" t="s">
        <v>249</v>
      </c>
      <c r="CL309" s="15">
        <f>RecData[[#This Row],[Start Time]]</f>
        <v>43260.968761574077</v>
      </c>
      <c r="CM309" s="16">
        <f>RecData[[#This Row],[Wind Speed avg]]</f>
        <v>0.2</v>
      </c>
      <c r="CN309" s="16">
        <f>RecData[[#This Row],[Wind Dir. avg]]</f>
        <v>64.599999999999994</v>
      </c>
      <c r="CO309" s="16">
        <f>RecData[[#This Row],[Amb. Humidity]]</f>
        <v>83.2</v>
      </c>
      <c r="CP309" s="16">
        <f>RecData[[#This Row],[Amb. Temperature]]</f>
        <v>12.9</v>
      </c>
      <c r="CQ309" s="17">
        <f>RecData[[#This Row],[Amb. Rain Gauge]]</f>
        <v>0</v>
      </c>
      <c r="CR309" s="4" t="s">
        <v>50</v>
      </c>
      <c r="CS309" s="4" t="s">
        <v>49</v>
      </c>
      <c r="CT309" s="70">
        <v>-9.8977270130000008</v>
      </c>
      <c r="CU309" s="70">
        <v>310.82803339999998</v>
      </c>
      <c r="CV309" s="70">
        <v>1.1140742299999999</v>
      </c>
      <c r="CW309" s="70">
        <v>0</v>
      </c>
      <c r="CX309" s="4"/>
      <c r="CY309" s="69"/>
      <c r="CZ309" s="2" t="b">
        <f>IF($DP$1="YES",IF(RecData[[#This Row],[Power (kW)]]&gt;=$CR$3, TRUE,FALSE),TRUE)</f>
        <v>0</v>
      </c>
      <c r="DA309" s="16">
        <f>MIN(MOD(180-ABS(ABS($DA$1-RecData[Yaw Angle (°)])-180),360),MOD(180-ABS(ABS($DB$1-RecData[Yaw Angle (°)])-180),360))</f>
        <v>56.701893377687554</v>
      </c>
      <c r="DB309" s="2" t="str">
        <f>IF($DP$2="None","None",IF(RecData[[#This Row],[Relative Wind Direction]]&lt;=45,"DW",IF(RecData[[#This Row],[Relative Wind Direction]]&lt;=135,"CW","UW")))</f>
        <v>CW</v>
      </c>
      <c r="DC309" s="61">
        <f>IF($CL309-$CL305&gt;1/24,#REF!,IF(SUM($CQ305:$CQ309)&gt;$DS$1,$DS$5,DC310-1))</f>
        <v>-6</v>
      </c>
      <c r="DD309" s="61">
        <f>IF($CL310-$CL309&gt;1/24,#REF!,IF(SUM($CQ305:$CQ309)&gt;$DS$1,$DS$6,DD308-1))</f>
        <v>-5</v>
      </c>
      <c r="DE309" s="18" t="b">
        <v>0</v>
      </c>
      <c r="DF309" s="2" t="b">
        <f>IF(OR(RecData[[#This Row],[WSpd_Avg '[m/s']]]-RecData[[#This Row],[Wind Speed min]]&gt;=$DF$3,RecData[[#This Row],[Wind Speed max]]-RecData[[#This Row],[WSpd_Avg '[m/s']]]&gt;=$DF$2),TRUE,FALSE)</f>
        <v>0</v>
      </c>
      <c r="DG309" s="2" t="b">
        <f>RecData[[#This Row],[Temperature '[°C']]]&lt;=-20</f>
        <v>0</v>
      </c>
      <c r="DH309" s="18" t="b">
        <f>NOT(OR(MOD(RecData[[#This Row],[TIMESTAMP]],1)&gt;0.91632,MOD(RecData[[#This Row],[TIMESTAMP]],1)&lt;0.208681))</f>
        <v>0</v>
      </c>
      <c r="DI309" s="18" t="b">
        <f>RecData[[#This Row],[Overall (dBA)]]-RecData[[#This Row],[L90]]&gt;=$DS$4</f>
        <v>0</v>
      </c>
      <c r="DJ309" s="18" t="b">
        <f>RecData[[#This Row],[Overall (dBA)]]&gt;$DS$2</f>
        <v>0</v>
      </c>
      <c r="DK309" s="18" t="b">
        <f>RecData[[#This Row],[Overall (dBA)]]&lt;$DS$3</f>
        <v>0</v>
      </c>
      <c r="DL3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09" s="2">
        <f>IF(AND(RecData[[#This Row],[Turbines ON/OFF]] = "OFF", NOT(OR(RecData[[#This Row],[Junk?]]="YES",RecData[[#This Row],[Gust?]],RecData[[#This Row],[Rain?]:[Min SPL Threshold?]]))),1,0)</f>
        <v>1</v>
      </c>
      <c r="DN309" s="16">
        <f>RecData[[#This Row],[dBA Sum]]</f>
        <v>18.882780620304956</v>
      </c>
      <c r="DO309" s="16">
        <f>RecData[[#This Row],[LAF90.0]]</f>
        <v>40.5</v>
      </c>
      <c r="DP309" s="55" t="str">
        <f>IF(AND(RecData[[#This Row],[Useable TON Data?]],RecData[[#This Row],[Turbines ON/OFF]]="ON"),RecData[[#This Row],[dBA Sum]],"")</f>
        <v/>
      </c>
      <c r="DQ309" s="55">
        <f>IF(AND(RecData[[#This Row],[Useable Background Data?]],RecData[[#This Row],[Turbines ON/OFF]]="OFF"),RecData[[#This Row],[dBA Sum]],"")</f>
        <v>18.882780620304956</v>
      </c>
      <c r="DR309" s="3">
        <f>IF(OR(RecData[[#This Row],[Useable TON Data?]],RecData[[#This Row],[Useable Background Data?]]),ROUND(RecData[[#This Row],[WSpd_Avg '[m/s']]],0),"")</f>
        <v>0</v>
      </c>
      <c r="DS309" s="85">
        <f>(0.00002)^2*(10^(RecData[[#This Row],[Overall (dBA)]]/10))</f>
        <v>3.09270184449485E-8</v>
      </c>
    </row>
    <row r="310" spans="1:123" ht="15" x14ac:dyDescent="0.25">
      <c r="A310" s="3" t="s">
        <v>249</v>
      </c>
      <c r="B310" s="12">
        <v>43260.969456018523</v>
      </c>
      <c r="C310" s="3"/>
      <c r="D310" s="3">
        <v>40.799999999999997</v>
      </c>
      <c r="E310" s="3"/>
      <c r="F310" s="3"/>
      <c r="G310" s="3"/>
      <c r="H310" s="3"/>
      <c r="I310" s="3"/>
      <c r="J310" s="3"/>
      <c r="K310" s="3">
        <v>38.6</v>
      </c>
      <c r="L310" s="3"/>
      <c r="M310" s="3"/>
      <c r="N310" s="3">
        <v>109.2</v>
      </c>
      <c r="O310" s="3"/>
      <c r="P310" s="3"/>
      <c r="Q310" s="3">
        <v>0.12</v>
      </c>
      <c r="R310" s="3">
        <v>0</v>
      </c>
      <c r="S310" s="3">
        <v>0.2</v>
      </c>
      <c r="T310" s="3">
        <v>12.9</v>
      </c>
      <c r="U310" s="3">
        <v>82.8</v>
      </c>
      <c r="V310" s="3">
        <v>975.7</v>
      </c>
      <c r="W310" s="3">
        <v>0</v>
      </c>
      <c r="X310" s="3">
        <v>21.3</v>
      </c>
      <c r="Y310" s="3">
        <v>15.8</v>
      </c>
      <c r="Z310" s="3">
        <v>16</v>
      </c>
      <c r="AA310" s="3">
        <v>11.4</v>
      </c>
      <c r="AB310" s="3">
        <v>13.2</v>
      </c>
      <c r="AC310" s="3">
        <v>5.8</v>
      </c>
      <c r="AD310" s="3">
        <v>9.4</v>
      </c>
      <c r="AE310" s="3">
        <v>12.5</v>
      </c>
      <c r="AF310" s="3">
        <v>13.8</v>
      </c>
      <c r="AG310" s="3">
        <v>12.8</v>
      </c>
      <c r="AH310" s="3">
        <v>11.4</v>
      </c>
      <c r="AI310" s="3">
        <v>10.5</v>
      </c>
      <c r="AJ310" s="3">
        <v>11.3</v>
      </c>
      <c r="AK310" s="3">
        <v>8.5</v>
      </c>
      <c r="AL310" s="3">
        <v>7.1</v>
      </c>
      <c r="AM310" s="3">
        <v>7.1</v>
      </c>
      <c r="AN310" s="3">
        <v>8</v>
      </c>
      <c r="AO310" s="3">
        <v>7.8</v>
      </c>
      <c r="AP310" s="3">
        <v>8.1</v>
      </c>
      <c r="AQ310" s="3">
        <v>11.5</v>
      </c>
      <c r="AR310" s="3">
        <v>10.3</v>
      </c>
      <c r="AS310" s="3">
        <v>31.1</v>
      </c>
      <c r="AT310" s="3">
        <v>38.799999999999997</v>
      </c>
      <c r="AU310" s="3">
        <v>15.5</v>
      </c>
      <c r="AV310" s="3">
        <v>9.6</v>
      </c>
      <c r="AW310" s="3">
        <v>9.8000000000000007</v>
      </c>
      <c r="AX310" s="3">
        <v>9.6999999999999993</v>
      </c>
      <c r="AY310" s="3">
        <v>9.8000000000000007</v>
      </c>
      <c r="AZ310" s="3">
        <v>0</v>
      </c>
      <c r="BA310" s="3">
        <v>0</v>
      </c>
      <c r="BB310" s="3">
        <v>0</v>
      </c>
      <c r="BC310" s="3">
        <v>40.741372561882002</v>
      </c>
      <c r="BD310" s="3">
        <v>21.358627438117992</v>
      </c>
      <c r="BE310" s="3">
        <v>15.858627438117992</v>
      </c>
      <c r="BF310" s="3">
        <v>14.818627438117993</v>
      </c>
      <c r="BG310" s="3">
        <v>10.545294104784659</v>
      </c>
      <c r="BH310" s="3">
        <v>12.485294104784664</v>
      </c>
      <c r="BI310" s="3">
        <v>5.4986274381179925</v>
      </c>
      <c r="BJ310" s="3">
        <v>9.8919607714513234</v>
      </c>
      <c r="BK310" s="3">
        <v>12.86529410478466</v>
      </c>
      <c r="BL310" s="3">
        <v>13.738627438117994</v>
      </c>
      <c r="BM310" s="3">
        <v>12.871960771451327</v>
      </c>
      <c r="BN310" s="3">
        <v>11.75529410478466</v>
      </c>
      <c r="BO310" s="3">
        <v>10.221960771451329</v>
      </c>
      <c r="BP310" s="3">
        <v>10.738627438117994</v>
      </c>
      <c r="BQ310" s="3">
        <v>8.3552941047846545</v>
      </c>
      <c r="BR310" s="3">
        <v>7.281960771451331</v>
      </c>
      <c r="BS310" s="3">
        <v>7.0852941047846585</v>
      </c>
      <c r="BT310" s="3">
        <v>8.1819607714513296</v>
      </c>
      <c r="BU310" s="3">
        <v>7.9486274381179953</v>
      </c>
      <c r="BV310" s="3">
        <v>7.965294104784661</v>
      </c>
      <c r="BW310" s="3">
        <v>11.898627438117998</v>
      </c>
      <c r="BX310" s="3">
        <v>10.618627438117997</v>
      </c>
      <c r="BY310" s="3">
        <v>31.238627438117987</v>
      </c>
      <c r="BZ310" s="3">
        <v>39.068627438118</v>
      </c>
      <c r="CA310" s="3">
        <v>15.86862743811799</v>
      </c>
      <c r="CB310" s="3">
        <v>9.4052941047846588</v>
      </c>
      <c r="CC310" s="3">
        <v>9.8186274381179928</v>
      </c>
      <c r="CD310" s="3">
        <v>9.0252941047846633</v>
      </c>
      <c r="CE310" s="3">
        <v>9.3186274381179928</v>
      </c>
      <c r="CF310" s="3">
        <v>-0.86803922854867466</v>
      </c>
      <c r="CG310" s="3">
        <v>-1.4013725618820061</v>
      </c>
      <c r="CH310" s="3">
        <v>-2.4780392285486741</v>
      </c>
      <c r="CI310" s="13">
        <f>[1]!dbasum(RecData[[#This Row],[20]:[2000]],RecData[[#Headers],[20]:[2000]])</f>
        <v>18.363911045672282</v>
      </c>
      <c r="CJ310" s="14">
        <v>4317</v>
      </c>
      <c r="CK310" s="15" t="s">
        <v>249</v>
      </c>
      <c r="CL310" s="15">
        <f>RecData[[#This Row],[Start Time]]</f>
        <v>43260.969456018523</v>
      </c>
      <c r="CM310" s="16">
        <f>RecData[[#This Row],[Wind Speed avg]]</f>
        <v>0.12</v>
      </c>
      <c r="CN310" s="16">
        <f>RecData[[#This Row],[Wind Dir. avg]]</f>
        <v>109.2</v>
      </c>
      <c r="CO310" s="16">
        <f>RecData[[#This Row],[Amb. Humidity]]</f>
        <v>82.8</v>
      </c>
      <c r="CP310" s="16">
        <f>RecData[[#This Row],[Amb. Temperature]]</f>
        <v>12.9</v>
      </c>
      <c r="CQ310" s="17">
        <f>RecData[[#This Row],[Amb. Rain Gauge]]</f>
        <v>0</v>
      </c>
      <c r="CR310" s="4" t="s">
        <v>50</v>
      </c>
      <c r="CS310" s="4" t="s">
        <v>49</v>
      </c>
      <c r="CT310" s="70">
        <v>-9.8977270130000008</v>
      </c>
      <c r="CU310" s="70">
        <v>310.82803339999998</v>
      </c>
      <c r="CV310" s="70">
        <v>1.1140742299999999</v>
      </c>
      <c r="CW310" s="70">
        <v>0</v>
      </c>
      <c r="CX310" s="4"/>
      <c r="CY310" s="69"/>
      <c r="CZ310" s="2" t="b">
        <f>IF($DP$1="YES",IF(RecData[[#This Row],[Power (kW)]]&gt;=$CR$3, TRUE,FALSE),TRUE)</f>
        <v>0</v>
      </c>
      <c r="DA310" s="16">
        <f>MIN(MOD(180-ABS(ABS($DA$1-RecData[Yaw Angle (°)])-180),360),MOD(180-ABS(ABS($DB$1-RecData[Yaw Angle (°)])-180),360))</f>
        <v>56.701893377687554</v>
      </c>
      <c r="DB310" s="2" t="str">
        <f>IF($DP$2="None","None",IF(RecData[[#This Row],[Relative Wind Direction]]&lt;=45,"DW",IF(RecData[[#This Row],[Relative Wind Direction]]&lt;=135,"CW","UW")))</f>
        <v>CW</v>
      </c>
      <c r="DC310" s="61">
        <f>IF($CL310-$CL306&gt;1/24,#REF!,IF(SUM($CQ306:$CQ310)&gt;$DS$1,$DS$5,DC311-1))</f>
        <v>-5</v>
      </c>
      <c r="DD310" s="61">
        <f>IF($CL311-$CL310&gt;1/24,#REF!,IF(SUM($CQ306:$CQ310)&gt;$DS$1,$DS$6,DD309-1))</f>
        <v>-6</v>
      </c>
      <c r="DE310" s="18" t="b">
        <v>0</v>
      </c>
      <c r="DF310" s="2" t="b">
        <f>IF(OR(RecData[[#This Row],[WSpd_Avg '[m/s']]]-RecData[[#This Row],[Wind Speed min]]&gt;=$DF$3,RecData[[#This Row],[Wind Speed max]]-RecData[[#This Row],[WSpd_Avg '[m/s']]]&gt;=$DF$2),TRUE,FALSE)</f>
        <v>0</v>
      </c>
      <c r="DG310" s="2" t="b">
        <f>RecData[[#This Row],[Temperature '[°C']]]&lt;=-20</f>
        <v>0</v>
      </c>
      <c r="DH310" s="18" t="b">
        <f>NOT(OR(MOD(RecData[[#This Row],[TIMESTAMP]],1)&gt;0.91632,MOD(RecData[[#This Row],[TIMESTAMP]],1)&lt;0.208681))</f>
        <v>0</v>
      </c>
      <c r="DI310" s="18" t="b">
        <f>RecData[[#This Row],[Overall (dBA)]]-RecData[[#This Row],[L90]]&gt;=$DS$4</f>
        <v>0</v>
      </c>
      <c r="DJ310" s="18" t="b">
        <f>RecData[[#This Row],[Overall (dBA)]]&gt;$DS$2</f>
        <v>0</v>
      </c>
      <c r="DK310" s="18" t="b">
        <f>RecData[[#This Row],[Overall (dBA)]]&lt;$DS$3</f>
        <v>0</v>
      </c>
      <c r="DL3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0" s="2">
        <f>IF(AND(RecData[[#This Row],[Turbines ON/OFF]] = "OFF", NOT(OR(RecData[[#This Row],[Junk?]]="YES",RecData[[#This Row],[Gust?]],RecData[[#This Row],[Rain?]:[Min SPL Threshold?]]))),1,0)</f>
        <v>1</v>
      </c>
      <c r="DN310" s="16">
        <f>RecData[[#This Row],[dBA Sum]]</f>
        <v>18.363911045672282</v>
      </c>
      <c r="DO310" s="16">
        <f>RecData[[#This Row],[LAF90.0]]</f>
        <v>38.6</v>
      </c>
      <c r="DP310" s="55" t="str">
        <f>IF(AND(RecData[[#This Row],[Useable TON Data?]],RecData[[#This Row],[Turbines ON/OFF]]="ON"),RecData[[#This Row],[dBA Sum]],"")</f>
        <v/>
      </c>
      <c r="DQ310" s="55">
        <f>IF(AND(RecData[[#This Row],[Useable Background Data?]],RecData[[#This Row],[Turbines ON/OFF]]="OFF"),RecData[[#This Row],[dBA Sum]],"")</f>
        <v>18.363911045672282</v>
      </c>
      <c r="DR310" s="3">
        <f>IF(OR(RecData[[#This Row],[Useable TON Data?]],RecData[[#This Row],[Useable Background Data?]]),ROUND(RecData[[#This Row],[WSpd_Avg '[m/s']]],0),"")</f>
        <v>0</v>
      </c>
      <c r="DS310" s="85">
        <f>(0.00002)^2*(10^(RecData[[#This Row],[Overall (dBA)]]/10))</f>
        <v>2.7444232879261226E-8</v>
      </c>
    </row>
    <row r="311" spans="1:123" ht="15" x14ac:dyDescent="0.25">
      <c r="A311" s="3" t="s">
        <v>249</v>
      </c>
      <c r="B311" s="12">
        <v>43260.97015046297</v>
      </c>
      <c r="C311" s="3"/>
      <c r="D311" s="3">
        <v>40.9</v>
      </c>
      <c r="E311" s="3"/>
      <c r="F311" s="3"/>
      <c r="G311" s="3"/>
      <c r="H311" s="3"/>
      <c r="I311" s="3"/>
      <c r="J311" s="3"/>
      <c r="K311" s="3">
        <v>38.700000000000003</v>
      </c>
      <c r="L311" s="3"/>
      <c r="M311" s="3"/>
      <c r="N311" s="3">
        <v>147.6</v>
      </c>
      <c r="O311" s="3"/>
      <c r="P311" s="3"/>
      <c r="Q311" s="3">
        <v>0.33</v>
      </c>
      <c r="R311" s="3">
        <v>0.2</v>
      </c>
      <c r="S311" s="3">
        <v>0.5</v>
      </c>
      <c r="T311" s="3">
        <v>12.9</v>
      </c>
      <c r="U311" s="3">
        <v>83.1</v>
      </c>
      <c r="V311" s="3">
        <v>975.7</v>
      </c>
      <c r="W311" s="3">
        <v>0</v>
      </c>
      <c r="X311" s="3">
        <v>18.100000000000001</v>
      </c>
      <c r="Y311" s="3">
        <v>15</v>
      </c>
      <c r="Z311" s="3">
        <v>17.899999999999999</v>
      </c>
      <c r="AA311" s="3">
        <v>11.4</v>
      </c>
      <c r="AB311" s="3">
        <v>13.8</v>
      </c>
      <c r="AC311" s="3">
        <v>6.1</v>
      </c>
      <c r="AD311" s="3">
        <v>10.3</v>
      </c>
      <c r="AE311" s="3">
        <v>12.8</v>
      </c>
      <c r="AF311" s="3">
        <v>16.100000000000001</v>
      </c>
      <c r="AG311" s="3">
        <v>12.2</v>
      </c>
      <c r="AH311" s="3">
        <v>11.4</v>
      </c>
      <c r="AI311" s="3">
        <v>10.5</v>
      </c>
      <c r="AJ311" s="3">
        <v>11.2</v>
      </c>
      <c r="AK311" s="3">
        <v>8.6</v>
      </c>
      <c r="AL311" s="3">
        <v>7.6</v>
      </c>
      <c r="AM311" s="3">
        <v>8.9</v>
      </c>
      <c r="AN311" s="3">
        <v>8.6999999999999993</v>
      </c>
      <c r="AO311" s="3">
        <v>8.6999999999999993</v>
      </c>
      <c r="AP311" s="3">
        <v>8.1999999999999993</v>
      </c>
      <c r="AQ311" s="3">
        <v>11.1</v>
      </c>
      <c r="AR311" s="3">
        <v>9.6</v>
      </c>
      <c r="AS311" s="3">
        <v>31.2</v>
      </c>
      <c r="AT311" s="3">
        <v>38.9</v>
      </c>
      <c r="AU311" s="3">
        <v>15.1</v>
      </c>
      <c r="AV311" s="3">
        <v>9.5</v>
      </c>
      <c r="AW311" s="3">
        <v>9.8000000000000007</v>
      </c>
      <c r="AX311" s="3">
        <v>9.6999999999999993</v>
      </c>
      <c r="AY311" s="3">
        <v>9.9</v>
      </c>
      <c r="AZ311" s="3">
        <v>0</v>
      </c>
      <c r="BA311" s="3">
        <v>0</v>
      </c>
      <c r="BB311" s="3">
        <v>0</v>
      </c>
      <c r="BC311" s="3">
        <v>40.839150177891185</v>
      </c>
      <c r="BD311" s="3">
        <v>18.160849822108815</v>
      </c>
      <c r="BE311" s="3">
        <v>15.060849822108814</v>
      </c>
      <c r="BF311" s="3">
        <v>16.720849822108818</v>
      </c>
      <c r="BG311" s="3">
        <v>10.547516488775479</v>
      </c>
      <c r="BH311" s="3">
        <v>13.087516488775485</v>
      </c>
      <c r="BI311" s="3">
        <v>5.8008498221088161</v>
      </c>
      <c r="BJ311" s="3">
        <v>10.794183155442148</v>
      </c>
      <c r="BK311" s="3">
        <v>13.167516488775476</v>
      </c>
      <c r="BL311" s="3">
        <v>16.040849822108818</v>
      </c>
      <c r="BM311" s="3">
        <v>12.274183155442145</v>
      </c>
      <c r="BN311" s="3">
        <v>11.75751648877548</v>
      </c>
      <c r="BO311" s="3">
        <v>10.224183155442148</v>
      </c>
      <c r="BP311" s="3">
        <v>10.640849822108812</v>
      </c>
      <c r="BQ311" s="3">
        <v>8.4575164887754681</v>
      </c>
      <c r="BR311" s="3">
        <v>7.7841831554421503</v>
      </c>
      <c r="BS311" s="3">
        <v>8.8875164887754821</v>
      </c>
      <c r="BT311" s="3">
        <v>8.8841831554421447</v>
      </c>
      <c r="BU311" s="3">
        <v>8.8508498221088132</v>
      </c>
      <c r="BV311" s="3">
        <v>8.0675164887754818</v>
      </c>
      <c r="BW311" s="3">
        <v>11.500849822108819</v>
      </c>
      <c r="BX311" s="3">
        <v>9.9208498221088206</v>
      </c>
      <c r="BY311" s="3">
        <v>31.340849822108808</v>
      </c>
      <c r="BZ311" s="3">
        <v>39.170849822108806</v>
      </c>
      <c r="CA311" s="3">
        <v>15.470849822108804</v>
      </c>
      <c r="CB311" s="3">
        <v>9.3075164887754767</v>
      </c>
      <c r="CC311" s="3">
        <v>9.8208498221088121</v>
      </c>
      <c r="CD311" s="3">
        <v>9.0275164887754826</v>
      </c>
      <c r="CE311" s="3">
        <v>9.4208498221088135</v>
      </c>
      <c r="CF311" s="3">
        <v>-0.86581684455785535</v>
      </c>
      <c r="CG311" s="3">
        <v>-1.3991501778911868</v>
      </c>
      <c r="CH311" s="3">
        <v>-2.4758168445578548</v>
      </c>
      <c r="CI311" s="13">
        <f>[1]!dbasum(RecData[[#This Row],[20]:[2000]],RecData[[#Headers],[20]:[2000]])</f>
        <v>18.422182168605577</v>
      </c>
      <c r="CJ311" s="14">
        <v>4318</v>
      </c>
      <c r="CK311" s="15" t="s">
        <v>249</v>
      </c>
      <c r="CL311" s="15">
        <f>RecData[[#This Row],[Start Time]]</f>
        <v>43260.97015046297</v>
      </c>
      <c r="CM311" s="16">
        <f>RecData[[#This Row],[Wind Speed avg]]</f>
        <v>0.33</v>
      </c>
      <c r="CN311" s="16">
        <f>RecData[[#This Row],[Wind Dir. avg]]</f>
        <v>147.6</v>
      </c>
      <c r="CO311" s="16">
        <f>RecData[[#This Row],[Amb. Humidity]]</f>
        <v>83.1</v>
      </c>
      <c r="CP311" s="16">
        <f>RecData[[#This Row],[Amb. Temperature]]</f>
        <v>12.9</v>
      </c>
      <c r="CQ311" s="17">
        <f>RecData[[#This Row],[Amb. Rain Gauge]]</f>
        <v>0</v>
      </c>
      <c r="CR311" s="4" t="s">
        <v>50</v>
      </c>
      <c r="CS311" s="4" t="s">
        <v>49</v>
      </c>
      <c r="CT311" s="70">
        <v>-9.8977270130000008</v>
      </c>
      <c r="CU311" s="70">
        <v>310.82803339999998</v>
      </c>
      <c r="CV311" s="70">
        <v>1.1140742299999999</v>
      </c>
      <c r="CW311" s="70">
        <v>0</v>
      </c>
      <c r="CX311" s="4"/>
      <c r="CY311" s="69"/>
      <c r="CZ311" s="2" t="b">
        <f>IF($DP$1="YES",IF(RecData[[#This Row],[Power (kW)]]&gt;=$CR$3, TRUE,FALSE),TRUE)</f>
        <v>0</v>
      </c>
      <c r="DA311" s="16">
        <f>MIN(MOD(180-ABS(ABS($DA$1-RecData[Yaw Angle (°)])-180),360),MOD(180-ABS(ABS($DB$1-RecData[Yaw Angle (°)])-180),360))</f>
        <v>56.701893377687554</v>
      </c>
      <c r="DB311" s="2" t="str">
        <f>IF($DP$2="None","None",IF(RecData[[#This Row],[Relative Wind Direction]]&lt;=45,"DW",IF(RecData[[#This Row],[Relative Wind Direction]]&lt;=135,"CW","UW")))</f>
        <v>CW</v>
      </c>
      <c r="DC311" s="61">
        <f>IF($CL311-$CL307&gt;1/24,#REF!,IF(SUM($CQ307:$CQ311)&gt;$DS$1,$DS$5,DC312-1))</f>
        <v>-4</v>
      </c>
      <c r="DD311" s="61">
        <f>IF($CL312-$CL311&gt;1/24,#REF!,IF(SUM($CQ307:$CQ311)&gt;$DS$1,$DS$6,DD310-1))</f>
        <v>-7</v>
      </c>
      <c r="DE311" s="18" t="b">
        <v>0</v>
      </c>
      <c r="DF311" s="2" t="b">
        <f>IF(OR(RecData[[#This Row],[WSpd_Avg '[m/s']]]-RecData[[#This Row],[Wind Speed min]]&gt;=$DF$3,RecData[[#This Row],[Wind Speed max]]-RecData[[#This Row],[WSpd_Avg '[m/s']]]&gt;=$DF$2),TRUE,FALSE)</f>
        <v>0</v>
      </c>
      <c r="DG311" s="2" t="b">
        <f>RecData[[#This Row],[Temperature '[°C']]]&lt;=-20</f>
        <v>0</v>
      </c>
      <c r="DH311" s="18" t="b">
        <f>NOT(OR(MOD(RecData[[#This Row],[TIMESTAMP]],1)&gt;0.91632,MOD(RecData[[#This Row],[TIMESTAMP]],1)&lt;0.208681))</f>
        <v>0</v>
      </c>
      <c r="DI311" s="18" t="b">
        <f>RecData[[#This Row],[Overall (dBA)]]-RecData[[#This Row],[L90]]&gt;=$DS$4</f>
        <v>0</v>
      </c>
      <c r="DJ311" s="18" t="b">
        <f>RecData[[#This Row],[Overall (dBA)]]&gt;$DS$2</f>
        <v>0</v>
      </c>
      <c r="DK311" s="18" t="b">
        <f>RecData[[#This Row],[Overall (dBA)]]&lt;$DS$3</f>
        <v>0</v>
      </c>
      <c r="DL3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1" s="2">
        <f>IF(AND(RecData[[#This Row],[Turbines ON/OFF]] = "OFF", NOT(OR(RecData[[#This Row],[Junk?]]="YES",RecData[[#This Row],[Gust?]],RecData[[#This Row],[Rain?]:[Min SPL Threshold?]]))),1,0)</f>
        <v>1</v>
      </c>
      <c r="DN311" s="16">
        <f>RecData[[#This Row],[dBA Sum]]</f>
        <v>18.422182168605577</v>
      </c>
      <c r="DO311" s="16">
        <f>RecData[[#This Row],[LAF90.0]]</f>
        <v>38.700000000000003</v>
      </c>
      <c r="DP311" s="55" t="str">
        <f>IF(AND(RecData[[#This Row],[Useable TON Data?]],RecData[[#This Row],[Turbines ON/OFF]]="ON"),RecData[[#This Row],[dBA Sum]],"")</f>
        <v/>
      </c>
      <c r="DQ311" s="55">
        <f>IF(AND(RecData[[#This Row],[Useable Background Data?]],RecData[[#This Row],[Turbines ON/OFF]]="OFF"),RecData[[#This Row],[dBA Sum]],"")</f>
        <v>18.422182168605577</v>
      </c>
      <c r="DR311" s="3">
        <f>IF(OR(RecData[[#This Row],[Useable TON Data?]],RecData[[#This Row],[Useable Background Data?]]),ROUND(RecData[[#This Row],[WSpd_Avg '[m/s']]],0),"")</f>
        <v>0</v>
      </c>
      <c r="DS311" s="85">
        <f>(0.00002)^2*(10^(RecData[[#This Row],[Overall (dBA)]]/10))</f>
        <v>2.7814945170674922E-8</v>
      </c>
    </row>
    <row r="312" spans="1:123" ht="15" x14ac:dyDescent="0.25">
      <c r="A312" s="3" t="s">
        <v>249</v>
      </c>
      <c r="B312" s="12">
        <v>43260.97084490741</v>
      </c>
      <c r="C312" s="3"/>
      <c r="D312" s="3">
        <v>39.4</v>
      </c>
      <c r="E312" s="3"/>
      <c r="F312" s="3"/>
      <c r="G312" s="3"/>
      <c r="H312" s="3"/>
      <c r="I312" s="3"/>
      <c r="J312" s="3"/>
      <c r="K312" s="3">
        <v>37.6</v>
      </c>
      <c r="L312" s="3"/>
      <c r="M312" s="3"/>
      <c r="N312" s="3">
        <v>131.9</v>
      </c>
      <c r="O312" s="3"/>
      <c r="P312" s="3"/>
      <c r="Q312" s="3">
        <v>0.44</v>
      </c>
      <c r="R312" s="3">
        <v>0.3</v>
      </c>
      <c r="S312" s="3">
        <v>0.6</v>
      </c>
      <c r="T312" s="3">
        <v>13</v>
      </c>
      <c r="U312" s="3">
        <v>83.7</v>
      </c>
      <c r="V312" s="3">
        <v>975.7</v>
      </c>
      <c r="W312" s="3">
        <v>0</v>
      </c>
      <c r="X312" s="3">
        <v>27.7</v>
      </c>
      <c r="Y312" s="3">
        <v>27.8</v>
      </c>
      <c r="Z312" s="3">
        <v>24.8</v>
      </c>
      <c r="AA312" s="3">
        <v>22.2</v>
      </c>
      <c r="AB312" s="3">
        <v>19.399999999999999</v>
      </c>
      <c r="AC312" s="3">
        <v>16.8</v>
      </c>
      <c r="AD312" s="3">
        <v>20.2</v>
      </c>
      <c r="AE312" s="3">
        <v>21.1</v>
      </c>
      <c r="AF312" s="3">
        <v>19.8</v>
      </c>
      <c r="AG312" s="3">
        <v>18.2</v>
      </c>
      <c r="AH312" s="3">
        <v>19.100000000000001</v>
      </c>
      <c r="AI312" s="3">
        <v>15.6</v>
      </c>
      <c r="AJ312" s="3">
        <v>14.1</v>
      </c>
      <c r="AK312" s="3">
        <v>13</v>
      </c>
      <c r="AL312" s="3">
        <v>10.4</v>
      </c>
      <c r="AM312" s="3">
        <v>17.3</v>
      </c>
      <c r="AN312" s="3">
        <v>16.3</v>
      </c>
      <c r="AO312" s="3">
        <v>16.2</v>
      </c>
      <c r="AP312" s="3">
        <v>11.4</v>
      </c>
      <c r="AQ312" s="3">
        <v>10.8</v>
      </c>
      <c r="AR312" s="3">
        <v>8.6</v>
      </c>
      <c r="AS312" s="3">
        <v>29.6</v>
      </c>
      <c r="AT312" s="3">
        <v>37.4</v>
      </c>
      <c r="AU312" s="3">
        <v>13.8</v>
      </c>
      <c r="AV312" s="3">
        <v>9.5</v>
      </c>
      <c r="AW312" s="3">
        <v>9.9</v>
      </c>
      <c r="AX312" s="3">
        <v>9.6999999999999993</v>
      </c>
      <c r="AY312" s="3">
        <v>9.9</v>
      </c>
      <c r="AZ312" s="3">
        <v>0</v>
      </c>
      <c r="BA312" s="3">
        <v>0</v>
      </c>
      <c r="BB312" s="3">
        <v>0</v>
      </c>
      <c r="BC312" s="3">
        <v>39.401415045174019</v>
      </c>
      <c r="BD312" s="3">
        <v>27.698584954825975</v>
      </c>
      <c r="BE312" s="3">
        <v>27.798584954825984</v>
      </c>
      <c r="BF312" s="3">
        <v>23.558584954825982</v>
      </c>
      <c r="BG312" s="3">
        <v>21.285251621492641</v>
      </c>
      <c r="BH312" s="3">
        <v>18.625251621492652</v>
      </c>
      <c r="BI312" s="3">
        <v>16.438584954825984</v>
      </c>
      <c r="BJ312" s="3">
        <v>20.631918288159312</v>
      </c>
      <c r="BK312" s="3">
        <v>21.405251621492638</v>
      </c>
      <c r="BL312" s="3">
        <v>19.678584954825979</v>
      </c>
      <c r="BM312" s="3">
        <v>18.21191828815931</v>
      </c>
      <c r="BN312" s="3">
        <v>19.395251621492648</v>
      </c>
      <c r="BO312" s="3">
        <v>15.261918288159315</v>
      </c>
      <c r="BP312" s="3">
        <v>13.478584954825976</v>
      </c>
      <c r="BQ312" s="3">
        <v>12.795251621492639</v>
      </c>
      <c r="BR312" s="3">
        <v>10.521918288159313</v>
      </c>
      <c r="BS312" s="3">
        <v>17.225251621492646</v>
      </c>
      <c r="BT312" s="3">
        <v>16.421918288159318</v>
      </c>
      <c r="BU312" s="3">
        <v>16.288584954825978</v>
      </c>
      <c r="BV312" s="3">
        <v>11.20525162149265</v>
      </c>
      <c r="BW312" s="3">
        <v>11.138584954825987</v>
      </c>
      <c r="BX312" s="3">
        <v>8.8585849548259858</v>
      </c>
      <c r="BY312" s="3">
        <v>29.678584954825979</v>
      </c>
      <c r="BZ312" s="3">
        <v>37.608584954825972</v>
      </c>
      <c r="CA312" s="3">
        <v>14.108584954825972</v>
      </c>
      <c r="CB312" s="3">
        <v>9.2452516214926419</v>
      </c>
      <c r="CC312" s="3">
        <v>9.8585849548259787</v>
      </c>
      <c r="CD312" s="3">
        <v>8.9652516214926479</v>
      </c>
      <c r="CE312" s="3">
        <v>9.3585849548259787</v>
      </c>
      <c r="CF312" s="3">
        <v>-0.9280817118406901</v>
      </c>
      <c r="CG312" s="3">
        <v>-1.4614150451740215</v>
      </c>
      <c r="CH312" s="3">
        <v>-2.5380817118406895</v>
      </c>
      <c r="CI312" s="13">
        <f>[1]!dbasum(RecData[[#This Row],[20]:[2000]],RecData[[#Headers],[20]:[2000]])</f>
        <v>22.802802565805766</v>
      </c>
      <c r="CJ312" s="14">
        <v>4319</v>
      </c>
      <c r="CK312" s="15" t="s">
        <v>249</v>
      </c>
      <c r="CL312" s="15">
        <f>RecData[[#This Row],[Start Time]]</f>
        <v>43260.97084490741</v>
      </c>
      <c r="CM312" s="16">
        <f>RecData[[#This Row],[Wind Speed avg]]</f>
        <v>0.44</v>
      </c>
      <c r="CN312" s="16">
        <f>RecData[[#This Row],[Wind Dir. avg]]</f>
        <v>131.9</v>
      </c>
      <c r="CO312" s="16">
        <f>RecData[[#This Row],[Amb. Humidity]]</f>
        <v>83.7</v>
      </c>
      <c r="CP312" s="16">
        <f>RecData[[#This Row],[Amb. Temperature]]</f>
        <v>13</v>
      </c>
      <c r="CQ312" s="17">
        <f>RecData[[#This Row],[Amb. Rain Gauge]]</f>
        <v>0</v>
      </c>
      <c r="CR312" s="4" t="s">
        <v>50</v>
      </c>
      <c r="CS312" s="4" t="s">
        <v>49</v>
      </c>
      <c r="CT312" s="70">
        <v>-9.8977270130000008</v>
      </c>
      <c r="CU312" s="70">
        <v>310.82803339999998</v>
      </c>
      <c r="CV312" s="70">
        <v>1.1140742299999999</v>
      </c>
      <c r="CW312" s="70">
        <v>0</v>
      </c>
      <c r="CX312" s="4"/>
      <c r="CY312" s="69"/>
      <c r="CZ312" s="2" t="b">
        <f>IF($DP$1="YES",IF(RecData[[#This Row],[Power (kW)]]&gt;=$CR$3, TRUE,FALSE),TRUE)</f>
        <v>0</v>
      </c>
      <c r="DA312" s="16">
        <f>MIN(MOD(180-ABS(ABS($DA$1-RecData[Yaw Angle (°)])-180),360),MOD(180-ABS(ABS($DB$1-RecData[Yaw Angle (°)])-180),360))</f>
        <v>56.701893377687554</v>
      </c>
      <c r="DB312" s="2" t="str">
        <f>IF($DP$2="None","None",IF(RecData[[#This Row],[Relative Wind Direction]]&lt;=45,"DW",IF(RecData[[#This Row],[Relative Wind Direction]]&lt;=135,"CW","UW")))</f>
        <v>CW</v>
      </c>
      <c r="DC312" s="61">
        <f>IF($CL312-$CL308&gt;1/24,#REF!,IF(SUM($CQ308:$CQ312)&gt;$DS$1,$DS$5,DC313-1))</f>
        <v>-3</v>
      </c>
      <c r="DD312" s="61">
        <f>IF($CL313-$CL312&gt;1/24,#REF!,IF(SUM($CQ308:$CQ312)&gt;$DS$1,$DS$6,DD311-1))</f>
        <v>-8</v>
      </c>
      <c r="DE312" s="18" t="b">
        <v>0</v>
      </c>
      <c r="DF312" s="2" t="b">
        <f>IF(OR(RecData[[#This Row],[WSpd_Avg '[m/s']]]-RecData[[#This Row],[Wind Speed min]]&gt;=$DF$3,RecData[[#This Row],[Wind Speed max]]-RecData[[#This Row],[WSpd_Avg '[m/s']]]&gt;=$DF$2),TRUE,FALSE)</f>
        <v>0</v>
      </c>
      <c r="DG312" s="2" t="b">
        <f>RecData[[#This Row],[Temperature '[°C']]]&lt;=-20</f>
        <v>0</v>
      </c>
      <c r="DH312" s="18" t="b">
        <f>NOT(OR(MOD(RecData[[#This Row],[TIMESTAMP]],1)&gt;0.91632,MOD(RecData[[#This Row],[TIMESTAMP]],1)&lt;0.208681))</f>
        <v>0</v>
      </c>
      <c r="DI312" s="18" t="b">
        <f>RecData[[#This Row],[Overall (dBA)]]-RecData[[#This Row],[L90]]&gt;=$DS$4</f>
        <v>0</v>
      </c>
      <c r="DJ312" s="18" t="b">
        <f>RecData[[#This Row],[Overall (dBA)]]&gt;$DS$2</f>
        <v>0</v>
      </c>
      <c r="DK312" s="18" t="b">
        <f>RecData[[#This Row],[Overall (dBA)]]&lt;$DS$3</f>
        <v>0</v>
      </c>
      <c r="DL3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2" s="2">
        <f>IF(AND(RecData[[#This Row],[Turbines ON/OFF]] = "OFF", NOT(OR(RecData[[#This Row],[Junk?]]="YES",RecData[[#This Row],[Gust?]],RecData[[#This Row],[Rain?]:[Min SPL Threshold?]]))),1,0)</f>
        <v>1</v>
      </c>
      <c r="DN312" s="16">
        <f>RecData[[#This Row],[dBA Sum]]</f>
        <v>22.802802565805766</v>
      </c>
      <c r="DO312" s="16">
        <f>RecData[[#This Row],[LAF90.0]]</f>
        <v>37.6</v>
      </c>
      <c r="DP312" s="55" t="str">
        <f>IF(AND(RecData[[#This Row],[Useable TON Data?]],RecData[[#This Row],[Turbines ON/OFF]]="ON"),RecData[[#This Row],[dBA Sum]],"")</f>
        <v/>
      </c>
      <c r="DQ312" s="55">
        <f>IF(AND(RecData[[#This Row],[Useable Background Data?]],RecData[[#This Row],[Turbines ON/OFF]]="OFF"),RecData[[#This Row],[dBA Sum]],"")</f>
        <v>22.802802565805766</v>
      </c>
      <c r="DR312" s="3">
        <f>IF(OR(RecData[[#This Row],[Useable TON Data?]],RecData[[#This Row],[Useable Background Data?]]),ROUND(RecData[[#This Row],[WSpd_Avg '[m/s']]],0),"")</f>
        <v>0</v>
      </c>
      <c r="DS312" s="85">
        <f>(0.00002)^2*(10^(RecData[[#This Row],[Overall (dBA)]]/10))</f>
        <v>7.626762945852094E-8</v>
      </c>
    </row>
    <row r="313" spans="1:123" ht="15" x14ac:dyDescent="0.25">
      <c r="A313" s="3" t="s">
        <v>249</v>
      </c>
      <c r="B313" s="12">
        <v>43260.971539351856</v>
      </c>
      <c r="C313" s="3"/>
      <c r="D313" s="3">
        <v>39.5</v>
      </c>
      <c r="E313" s="3"/>
      <c r="F313" s="3"/>
      <c r="G313" s="3"/>
      <c r="H313" s="3"/>
      <c r="I313" s="3"/>
      <c r="J313" s="3"/>
      <c r="K313" s="3">
        <v>37.6</v>
      </c>
      <c r="L313" s="3"/>
      <c r="M313" s="3"/>
      <c r="N313" s="3">
        <v>159.30000000000001</v>
      </c>
      <c r="O313" s="3"/>
      <c r="P313" s="3"/>
      <c r="Q313" s="3">
        <v>0.38</v>
      </c>
      <c r="R313" s="3">
        <v>0.3</v>
      </c>
      <c r="S313" s="3">
        <v>0.4</v>
      </c>
      <c r="T313" s="3">
        <v>13</v>
      </c>
      <c r="U313" s="3">
        <v>83.2</v>
      </c>
      <c r="V313" s="3">
        <v>975.7</v>
      </c>
      <c r="W313" s="3">
        <v>0</v>
      </c>
      <c r="X313" s="3">
        <v>27.2</v>
      </c>
      <c r="Y313" s="3">
        <v>27.4</v>
      </c>
      <c r="Z313" s="3">
        <v>30.8</v>
      </c>
      <c r="AA313" s="3">
        <v>32.299999999999997</v>
      </c>
      <c r="AB313" s="3">
        <v>35.299999999999997</v>
      </c>
      <c r="AC313" s="3">
        <v>32.5</v>
      </c>
      <c r="AD313" s="3">
        <v>34.1</v>
      </c>
      <c r="AE313" s="3">
        <v>35.200000000000003</v>
      </c>
      <c r="AF313" s="3">
        <v>35.299999999999997</v>
      </c>
      <c r="AG313" s="3">
        <v>33.200000000000003</v>
      </c>
      <c r="AH313" s="3">
        <v>31.8</v>
      </c>
      <c r="AI313" s="3">
        <v>29.7</v>
      </c>
      <c r="AJ313" s="3">
        <v>26</v>
      </c>
      <c r="AK313" s="3">
        <v>19.7</v>
      </c>
      <c r="AL313" s="3">
        <v>11.6</v>
      </c>
      <c r="AM313" s="3">
        <v>11.2</v>
      </c>
      <c r="AN313" s="3">
        <v>11</v>
      </c>
      <c r="AO313" s="3">
        <v>8.3000000000000007</v>
      </c>
      <c r="AP313" s="3">
        <v>8.3000000000000007</v>
      </c>
      <c r="AQ313" s="3">
        <v>11</v>
      </c>
      <c r="AR313" s="3">
        <v>8.9</v>
      </c>
      <c r="AS313" s="3">
        <v>29.3</v>
      </c>
      <c r="AT313" s="3">
        <v>37.200000000000003</v>
      </c>
      <c r="AU313" s="3">
        <v>13.4</v>
      </c>
      <c r="AV313" s="3">
        <v>9.6</v>
      </c>
      <c r="AW313" s="3">
        <v>10</v>
      </c>
      <c r="AX313" s="3">
        <v>9.6999999999999993</v>
      </c>
      <c r="AY313" s="3">
        <v>9.9</v>
      </c>
      <c r="AZ313" s="3">
        <v>0</v>
      </c>
      <c r="BA313" s="3">
        <v>0</v>
      </c>
      <c r="BB313" s="3">
        <v>0</v>
      </c>
      <c r="BC313" s="3">
        <v>39.440806685639814</v>
      </c>
      <c r="BD313" s="3">
        <v>27.259193314360189</v>
      </c>
      <c r="BE313" s="3">
        <v>27.459193314360192</v>
      </c>
      <c r="BF313" s="3">
        <v>29.619193314360189</v>
      </c>
      <c r="BG313" s="3">
        <v>31.445859981026842</v>
      </c>
      <c r="BH313" s="3">
        <v>34.585859981026857</v>
      </c>
      <c r="BI313" s="3">
        <v>32.199193314360187</v>
      </c>
      <c r="BJ313" s="3">
        <v>34.592526647693518</v>
      </c>
      <c r="BK313" s="3">
        <v>35.565859981026847</v>
      </c>
      <c r="BL313" s="3">
        <v>35.239193314360193</v>
      </c>
      <c r="BM313" s="3">
        <v>33.272526647693525</v>
      </c>
      <c r="BN313" s="3">
        <v>32.15585998102685</v>
      </c>
      <c r="BO313" s="3">
        <v>29.42252664769353</v>
      </c>
      <c r="BP313" s="3">
        <v>25.439193314360182</v>
      </c>
      <c r="BQ313" s="3">
        <v>19.555859981026842</v>
      </c>
      <c r="BR313" s="3">
        <v>11.782526647693523</v>
      </c>
      <c r="BS313" s="3">
        <v>11.185859981026852</v>
      </c>
      <c r="BT313" s="3">
        <v>11.182526647693521</v>
      </c>
      <c r="BU313" s="3">
        <v>8.4491933143601869</v>
      </c>
      <c r="BV313" s="3">
        <v>8.1658599810268555</v>
      </c>
      <c r="BW313" s="3">
        <v>11.39919331436019</v>
      </c>
      <c r="BX313" s="3">
        <v>9.2191933143601901</v>
      </c>
      <c r="BY313" s="3">
        <v>29.439193314360182</v>
      </c>
      <c r="BZ313" s="3">
        <v>37.469193314360183</v>
      </c>
      <c r="CA313" s="3">
        <v>13.76919331436018</v>
      </c>
      <c r="CB313" s="3">
        <v>9.4058599810268504</v>
      </c>
      <c r="CC313" s="3">
        <v>10.019193314360187</v>
      </c>
      <c r="CD313" s="3">
        <v>9.0258599810268549</v>
      </c>
      <c r="CE313" s="3">
        <v>9.4191933143601858</v>
      </c>
      <c r="CF313" s="3">
        <v>-0.86747335230648304</v>
      </c>
      <c r="CG313" s="3">
        <v>-1.4008066856398145</v>
      </c>
      <c r="CH313" s="3">
        <v>-2.4774733523064825</v>
      </c>
      <c r="CI313" s="13">
        <f>[1]!dbasum(RecData[[#This Row],[20]:[2000]],RecData[[#Headers],[20]:[2000]])</f>
        <v>28.307292903959027</v>
      </c>
      <c r="CJ313" s="14">
        <v>4320</v>
      </c>
      <c r="CK313" s="15" t="s">
        <v>249</v>
      </c>
      <c r="CL313" s="15">
        <f>RecData[[#This Row],[Start Time]]</f>
        <v>43260.971539351856</v>
      </c>
      <c r="CM313" s="16">
        <f>RecData[[#This Row],[Wind Speed avg]]</f>
        <v>0.38</v>
      </c>
      <c r="CN313" s="16">
        <f>RecData[[#This Row],[Wind Dir. avg]]</f>
        <v>159.30000000000001</v>
      </c>
      <c r="CO313" s="16">
        <f>RecData[[#This Row],[Amb. Humidity]]</f>
        <v>83.2</v>
      </c>
      <c r="CP313" s="16">
        <f>RecData[[#This Row],[Amb. Temperature]]</f>
        <v>13</v>
      </c>
      <c r="CQ313" s="17">
        <f>RecData[[#This Row],[Amb. Rain Gauge]]</f>
        <v>0</v>
      </c>
      <c r="CR313" s="4" t="s">
        <v>50</v>
      </c>
      <c r="CS313" s="4" t="s">
        <v>49</v>
      </c>
      <c r="CT313" s="70">
        <v>-9.8977270130000008</v>
      </c>
      <c r="CU313" s="70">
        <v>310.82803339999998</v>
      </c>
      <c r="CV313" s="70">
        <v>1.1140742299999999</v>
      </c>
      <c r="CW313" s="70">
        <v>0</v>
      </c>
      <c r="CX313" s="4"/>
      <c r="CY313" s="69"/>
      <c r="CZ313" s="2" t="b">
        <f>IF($DP$1="YES",IF(RecData[[#This Row],[Power (kW)]]&gt;=$CR$3, TRUE,FALSE),TRUE)</f>
        <v>0</v>
      </c>
      <c r="DA313" s="16">
        <f>MIN(MOD(180-ABS(ABS($DA$1-RecData[Yaw Angle (°)])-180),360),MOD(180-ABS(ABS($DB$1-RecData[Yaw Angle (°)])-180),360))</f>
        <v>56.701893377687554</v>
      </c>
      <c r="DB313" s="2" t="str">
        <f>IF($DP$2="None","None",IF(RecData[[#This Row],[Relative Wind Direction]]&lt;=45,"DW",IF(RecData[[#This Row],[Relative Wind Direction]]&lt;=135,"CW","UW")))</f>
        <v>CW</v>
      </c>
      <c r="DC313" s="61">
        <f>IF($CL313-$CL309&gt;1/24,#REF!,IF(SUM($CQ309:$CQ313)&gt;$DS$1,$DS$5,DC314-1))</f>
        <v>-2</v>
      </c>
      <c r="DD313" s="61">
        <f>IF($CL314-$CL313&gt;1/24,#REF!,IF(SUM($CQ309:$CQ313)&gt;$DS$1,$DS$6,DD312-1))</f>
        <v>-9</v>
      </c>
      <c r="DE313" s="18" t="b">
        <v>0</v>
      </c>
      <c r="DF313" s="2" t="b">
        <f>IF(OR(RecData[[#This Row],[WSpd_Avg '[m/s']]]-RecData[[#This Row],[Wind Speed min]]&gt;=$DF$3,RecData[[#This Row],[Wind Speed max]]-RecData[[#This Row],[WSpd_Avg '[m/s']]]&gt;=$DF$2),TRUE,FALSE)</f>
        <v>0</v>
      </c>
      <c r="DG313" s="2" t="b">
        <f>RecData[[#This Row],[Temperature '[°C']]]&lt;=-20</f>
        <v>0</v>
      </c>
      <c r="DH313" s="18" t="b">
        <f>NOT(OR(MOD(RecData[[#This Row],[TIMESTAMP]],1)&gt;0.91632,MOD(RecData[[#This Row],[TIMESTAMP]],1)&lt;0.208681))</f>
        <v>0</v>
      </c>
      <c r="DI313" s="18" t="b">
        <f>RecData[[#This Row],[Overall (dBA)]]-RecData[[#This Row],[L90]]&gt;=$DS$4</f>
        <v>0</v>
      </c>
      <c r="DJ313" s="18" t="b">
        <f>RecData[[#This Row],[Overall (dBA)]]&gt;$DS$2</f>
        <v>0</v>
      </c>
      <c r="DK313" s="18" t="b">
        <f>RecData[[#This Row],[Overall (dBA)]]&lt;$DS$3</f>
        <v>0</v>
      </c>
      <c r="DL3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3" s="2">
        <f>IF(AND(RecData[[#This Row],[Turbines ON/OFF]] = "OFF", NOT(OR(RecData[[#This Row],[Junk?]]="YES",RecData[[#This Row],[Gust?]],RecData[[#This Row],[Rain?]:[Min SPL Threshold?]]))),1,0)</f>
        <v>1</v>
      </c>
      <c r="DN313" s="16">
        <f>RecData[[#This Row],[dBA Sum]]</f>
        <v>28.307292903959027</v>
      </c>
      <c r="DO313" s="16">
        <f>RecData[[#This Row],[LAF90.0]]</f>
        <v>37.6</v>
      </c>
      <c r="DP313" s="55" t="str">
        <f>IF(AND(RecData[[#This Row],[Useable TON Data?]],RecData[[#This Row],[Turbines ON/OFF]]="ON"),RecData[[#This Row],[dBA Sum]],"")</f>
        <v/>
      </c>
      <c r="DQ313" s="55">
        <f>IF(AND(RecData[[#This Row],[Useable Background Data?]],RecData[[#This Row],[Turbines ON/OFF]]="OFF"),RecData[[#This Row],[dBA Sum]],"")</f>
        <v>28.307292903959027</v>
      </c>
      <c r="DR313" s="3">
        <f>IF(OR(RecData[[#This Row],[Useable TON Data?]],RecData[[#This Row],[Useable Background Data?]]),ROUND(RecData[[#This Row],[WSpd_Avg '[m/s']]],0),"")</f>
        <v>0</v>
      </c>
      <c r="DS313" s="85">
        <f>(0.00002)^2*(10^(RecData[[#This Row],[Overall (dBA)]]/10))</f>
        <v>2.7088769746476531E-7</v>
      </c>
    </row>
    <row r="314" spans="1:123" ht="15" x14ac:dyDescent="0.25">
      <c r="A314" s="3" t="s">
        <v>249</v>
      </c>
      <c r="B314" s="12">
        <v>43260.972233796303</v>
      </c>
      <c r="C314" s="3"/>
      <c r="D314" s="3">
        <v>40.4</v>
      </c>
      <c r="E314" s="3"/>
      <c r="F314" s="3"/>
      <c r="G314" s="3"/>
      <c r="H314" s="3"/>
      <c r="I314" s="3"/>
      <c r="J314" s="3"/>
      <c r="K314" s="3">
        <v>38.6</v>
      </c>
      <c r="L314" s="3"/>
      <c r="M314" s="3"/>
      <c r="N314" s="3">
        <v>155.80000000000001</v>
      </c>
      <c r="O314" s="3"/>
      <c r="P314" s="3"/>
      <c r="Q314" s="3">
        <v>0.47</v>
      </c>
      <c r="R314" s="3">
        <v>0.4</v>
      </c>
      <c r="S314" s="3">
        <v>0.6</v>
      </c>
      <c r="T314" s="3">
        <v>13</v>
      </c>
      <c r="U314" s="3">
        <v>82.8</v>
      </c>
      <c r="V314" s="3">
        <v>975.7</v>
      </c>
      <c r="W314" s="3">
        <v>0</v>
      </c>
      <c r="X314" s="3">
        <v>27.1</v>
      </c>
      <c r="Y314" s="3">
        <v>28.4</v>
      </c>
      <c r="Z314" s="3">
        <v>30.2</v>
      </c>
      <c r="AA314" s="3">
        <v>35.4</v>
      </c>
      <c r="AB314" s="3">
        <v>38.299999999999997</v>
      </c>
      <c r="AC314" s="3">
        <v>36.4</v>
      </c>
      <c r="AD314" s="3">
        <v>34.200000000000003</v>
      </c>
      <c r="AE314" s="3">
        <v>35.799999999999997</v>
      </c>
      <c r="AF314" s="3">
        <v>33.700000000000003</v>
      </c>
      <c r="AG314" s="3">
        <v>34.5</v>
      </c>
      <c r="AH314" s="3">
        <v>34.299999999999997</v>
      </c>
      <c r="AI314" s="3">
        <v>29.9</v>
      </c>
      <c r="AJ314" s="3">
        <v>23.6</v>
      </c>
      <c r="AK314" s="3">
        <v>16.600000000000001</v>
      </c>
      <c r="AL314" s="3">
        <v>9.3000000000000007</v>
      </c>
      <c r="AM314" s="3">
        <v>7.8</v>
      </c>
      <c r="AN314" s="3">
        <v>8.1999999999999993</v>
      </c>
      <c r="AO314" s="3">
        <v>8.1999999999999993</v>
      </c>
      <c r="AP314" s="3">
        <v>8.6</v>
      </c>
      <c r="AQ314" s="3">
        <v>11.7</v>
      </c>
      <c r="AR314" s="3">
        <v>9.1999999999999993</v>
      </c>
      <c r="AS314" s="3">
        <v>29.6</v>
      </c>
      <c r="AT314" s="3">
        <v>38.299999999999997</v>
      </c>
      <c r="AU314" s="3">
        <v>14.1</v>
      </c>
      <c r="AV314" s="3">
        <v>9.5</v>
      </c>
      <c r="AW314" s="3">
        <v>9.8000000000000007</v>
      </c>
      <c r="AX314" s="3">
        <v>9.6999999999999993</v>
      </c>
      <c r="AY314" s="3">
        <v>10</v>
      </c>
      <c r="AZ314" s="3">
        <v>0</v>
      </c>
      <c r="BA314" s="3">
        <v>0</v>
      </c>
      <c r="BB314" s="3">
        <v>0</v>
      </c>
      <c r="BC314" s="3">
        <v>40.389463578027751</v>
      </c>
      <c r="BD314" s="3">
        <v>27.110536421972249</v>
      </c>
      <c r="BE314" s="3">
        <v>28.410536421972246</v>
      </c>
      <c r="BF314" s="3">
        <v>28.970536421972248</v>
      </c>
      <c r="BG314" s="3">
        <v>34.497203088638905</v>
      </c>
      <c r="BH314" s="3">
        <v>37.537203088638911</v>
      </c>
      <c r="BI314" s="3">
        <v>36.050536421972247</v>
      </c>
      <c r="BJ314" s="3">
        <v>34.64386975530558</v>
      </c>
      <c r="BK314" s="3">
        <v>36.117203088638909</v>
      </c>
      <c r="BL314" s="3">
        <v>33.590536421972253</v>
      </c>
      <c r="BM314" s="3">
        <v>34.523869755305576</v>
      </c>
      <c r="BN314" s="3">
        <v>34.607203088638919</v>
      </c>
      <c r="BO314" s="3">
        <v>29.573869755305587</v>
      </c>
      <c r="BP314" s="3">
        <v>22.990536421972244</v>
      </c>
      <c r="BQ314" s="3">
        <v>16.407203088638902</v>
      </c>
      <c r="BR314" s="3">
        <v>9.4338697553055866</v>
      </c>
      <c r="BS314" s="3">
        <v>7.737203088638914</v>
      </c>
      <c r="BT314" s="3">
        <v>8.3338697553055781</v>
      </c>
      <c r="BU314" s="3">
        <v>8.3005364219722466</v>
      </c>
      <c r="BV314" s="3">
        <v>8.4172030886389138</v>
      </c>
      <c r="BW314" s="3">
        <v>12.050536421972247</v>
      </c>
      <c r="BX314" s="3">
        <v>9.4705364219722483</v>
      </c>
      <c r="BY314" s="3">
        <v>29.690536421972247</v>
      </c>
      <c r="BZ314" s="3">
        <v>38.520536421972245</v>
      </c>
      <c r="CA314" s="3">
        <v>14.420536421972237</v>
      </c>
      <c r="CB314" s="3">
        <v>9.2572030886389101</v>
      </c>
      <c r="CC314" s="3">
        <v>9.7705364219722455</v>
      </c>
      <c r="CD314" s="3">
        <v>8.977203088638916</v>
      </c>
      <c r="CE314" s="3">
        <v>9.4705364219722483</v>
      </c>
      <c r="CF314" s="3">
        <v>-0.91613024469442195</v>
      </c>
      <c r="CG314" s="3">
        <v>-1.4494635780277534</v>
      </c>
      <c r="CH314" s="3">
        <v>-2.5261302446944214</v>
      </c>
      <c r="CI314" s="13">
        <f>[1]!dbasum(RecData[[#This Row],[20]:[2000]],RecData[[#Headers],[20]:[2000]])</f>
        <v>28.748529946753717</v>
      </c>
      <c r="CJ314" s="14">
        <v>4321</v>
      </c>
      <c r="CK314" s="15" t="s">
        <v>249</v>
      </c>
      <c r="CL314" s="15">
        <f>RecData[[#This Row],[Start Time]]</f>
        <v>43260.972233796303</v>
      </c>
      <c r="CM314" s="16">
        <f>RecData[[#This Row],[Wind Speed avg]]</f>
        <v>0.47</v>
      </c>
      <c r="CN314" s="16">
        <f>RecData[[#This Row],[Wind Dir. avg]]</f>
        <v>155.80000000000001</v>
      </c>
      <c r="CO314" s="16">
        <f>RecData[[#This Row],[Amb. Humidity]]</f>
        <v>82.8</v>
      </c>
      <c r="CP314" s="16">
        <f>RecData[[#This Row],[Amb. Temperature]]</f>
        <v>13</v>
      </c>
      <c r="CQ314" s="17">
        <f>RecData[[#This Row],[Amb. Rain Gauge]]</f>
        <v>0</v>
      </c>
      <c r="CR314" s="4" t="s">
        <v>50</v>
      </c>
      <c r="CS314" s="4" t="s">
        <v>49</v>
      </c>
      <c r="CT314" s="70">
        <v>-10.06001663</v>
      </c>
      <c r="CU314" s="70">
        <v>307.75286870000002</v>
      </c>
      <c r="CV314" s="70">
        <v>0.78582346400000003</v>
      </c>
      <c r="CW314" s="70">
        <v>0</v>
      </c>
      <c r="CX314" s="4"/>
      <c r="CY314" s="69"/>
      <c r="CZ314" s="2" t="b">
        <f>IF($DP$1="YES",IF(RecData[[#This Row],[Power (kW)]]&gt;=$CR$3, TRUE,FALSE),TRUE)</f>
        <v>0</v>
      </c>
      <c r="DA314" s="16">
        <f>MIN(MOD(180-ABS(ABS($DA$1-RecData[Yaw Angle (°)])-180),360),MOD(180-ABS(ABS($DB$1-RecData[Yaw Angle (°)])-180),360))</f>
        <v>59.777058077687514</v>
      </c>
      <c r="DB314" s="2" t="str">
        <f>IF($DP$2="None","None",IF(RecData[[#This Row],[Relative Wind Direction]]&lt;=45,"DW",IF(RecData[[#This Row],[Relative Wind Direction]]&lt;=135,"CW","UW")))</f>
        <v>CW</v>
      </c>
      <c r="DC314" s="61">
        <v>-1</v>
      </c>
      <c r="DD314" s="61">
        <v>-1</v>
      </c>
      <c r="DE314" s="18" t="b">
        <v>0</v>
      </c>
      <c r="DF314" s="2" t="b">
        <f>IF(OR(RecData[[#This Row],[WSpd_Avg '[m/s']]]-RecData[[#This Row],[Wind Speed min]]&gt;=$DF$3,RecData[[#This Row],[Wind Speed max]]-RecData[[#This Row],[WSpd_Avg '[m/s']]]&gt;=$DF$2),TRUE,FALSE)</f>
        <v>0</v>
      </c>
      <c r="DG314" s="2" t="b">
        <f>RecData[[#This Row],[Temperature '[°C']]]&lt;=-20</f>
        <v>0</v>
      </c>
      <c r="DH314" s="18" t="b">
        <f>NOT(OR(MOD(RecData[[#This Row],[TIMESTAMP]],1)&gt;0.91632,MOD(RecData[[#This Row],[TIMESTAMP]],1)&lt;0.208681))</f>
        <v>0</v>
      </c>
      <c r="DI314" s="18" t="b">
        <f>RecData[[#This Row],[Overall (dBA)]]-RecData[[#This Row],[L90]]&gt;=$DS$4</f>
        <v>0</v>
      </c>
      <c r="DJ314" s="18" t="b">
        <f>RecData[[#This Row],[Overall (dBA)]]&gt;$DS$2</f>
        <v>0</v>
      </c>
      <c r="DK314" s="18" t="b">
        <f>RecData[[#This Row],[Overall (dBA)]]&lt;$DS$3</f>
        <v>0</v>
      </c>
      <c r="DL3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4" s="2">
        <f>IF(AND(RecData[[#This Row],[Turbines ON/OFF]] = "OFF", NOT(OR(RecData[[#This Row],[Junk?]]="YES",RecData[[#This Row],[Gust?]],RecData[[#This Row],[Rain?]:[Min SPL Threshold?]]))),1,0)</f>
        <v>1</v>
      </c>
      <c r="DN314" s="16">
        <f>RecData[[#This Row],[dBA Sum]]</f>
        <v>28.748529946753717</v>
      </c>
      <c r="DO314" s="16">
        <f>RecData[[#This Row],[LAF90.0]]</f>
        <v>38.6</v>
      </c>
      <c r="DP314" s="55" t="str">
        <f>IF(AND(RecData[[#This Row],[Useable TON Data?]],RecData[[#This Row],[Turbines ON/OFF]]="ON"),RecData[[#This Row],[dBA Sum]],"")</f>
        <v/>
      </c>
      <c r="DQ314" s="55">
        <f>IF(AND(RecData[[#This Row],[Useable Background Data?]],RecData[[#This Row],[Turbines ON/OFF]]="OFF"),RecData[[#This Row],[dBA Sum]],"")</f>
        <v>28.748529946753717</v>
      </c>
      <c r="DR314" s="3">
        <f>IF(OR(RecData[[#This Row],[Useable TON Data?]],RecData[[#This Row],[Useable Background Data?]]),ROUND(RecData[[#This Row],[WSpd_Avg '[m/s']]],0),"")</f>
        <v>0</v>
      </c>
      <c r="DS314" s="85">
        <f>(0.00002)^2*(10^(RecData[[#This Row],[Overall (dBA)]]/10))</f>
        <v>2.9985616755817714E-7</v>
      </c>
    </row>
    <row r="315" spans="1:123" ht="15" x14ac:dyDescent="0.25">
      <c r="A315" s="3" t="s">
        <v>249</v>
      </c>
      <c r="B315" s="12">
        <v>43260.972928240742</v>
      </c>
      <c r="C315" s="3"/>
      <c r="D315" s="3">
        <v>40.1</v>
      </c>
      <c r="E315" s="3"/>
      <c r="F315" s="3"/>
      <c r="G315" s="3"/>
      <c r="H315" s="3"/>
      <c r="I315" s="3"/>
      <c r="J315" s="3"/>
      <c r="K315" s="3">
        <v>37.9</v>
      </c>
      <c r="L315" s="3"/>
      <c r="M315" s="3"/>
      <c r="N315" s="3">
        <v>160.1</v>
      </c>
      <c r="O315" s="3"/>
      <c r="P315" s="3"/>
      <c r="Q315" s="3">
        <v>0.37</v>
      </c>
      <c r="R315" s="3">
        <v>0.2</v>
      </c>
      <c r="S315" s="3">
        <v>0.4</v>
      </c>
      <c r="T315" s="3">
        <v>13</v>
      </c>
      <c r="U315" s="3">
        <v>82.7</v>
      </c>
      <c r="V315" s="3">
        <v>975.6</v>
      </c>
      <c r="W315" s="3">
        <v>0</v>
      </c>
      <c r="X315" s="3">
        <v>24.7</v>
      </c>
      <c r="Y315" s="3">
        <v>28.5</v>
      </c>
      <c r="Z315" s="3">
        <v>26.8</v>
      </c>
      <c r="AA315" s="3">
        <v>27.4</v>
      </c>
      <c r="AB315" s="3">
        <v>33</v>
      </c>
      <c r="AC315" s="3">
        <v>36.5</v>
      </c>
      <c r="AD315" s="3">
        <v>35.6</v>
      </c>
      <c r="AE315" s="3">
        <v>31.3</v>
      </c>
      <c r="AF315" s="3">
        <v>30.8</v>
      </c>
      <c r="AG315" s="3">
        <v>29.6</v>
      </c>
      <c r="AH315" s="3">
        <v>26.9</v>
      </c>
      <c r="AI315" s="3">
        <v>20.7</v>
      </c>
      <c r="AJ315" s="3">
        <v>14</v>
      </c>
      <c r="AK315" s="3">
        <v>10.6</v>
      </c>
      <c r="AL315" s="3">
        <v>7.1</v>
      </c>
      <c r="AM315" s="3">
        <v>9.1</v>
      </c>
      <c r="AN315" s="3">
        <v>8.8000000000000007</v>
      </c>
      <c r="AO315" s="3">
        <v>8.6999999999999993</v>
      </c>
      <c r="AP315" s="3">
        <v>8.6999999999999993</v>
      </c>
      <c r="AQ315" s="3">
        <v>11.3</v>
      </c>
      <c r="AR315" s="3">
        <v>9.1</v>
      </c>
      <c r="AS315" s="3">
        <v>29.6</v>
      </c>
      <c r="AT315" s="3">
        <v>38.200000000000003</v>
      </c>
      <c r="AU315" s="3">
        <v>13.2</v>
      </c>
      <c r="AV315" s="3">
        <v>9.6</v>
      </c>
      <c r="AW315" s="3">
        <v>9.8000000000000007</v>
      </c>
      <c r="AX315" s="3">
        <v>9.6999999999999993</v>
      </c>
      <c r="AY315" s="3">
        <v>9.9</v>
      </c>
      <c r="AZ315" s="3">
        <v>0</v>
      </c>
      <c r="BA315" s="3">
        <v>0</v>
      </c>
      <c r="BB315" s="3">
        <v>0</v>
      </c>
      <c r="BC315" s="3">
        <v>40.098396241739636</v>
      </c>
      <c r="BD315" s="3">
        <v>24.701603758260362</v>
      </c>
      <c r="BE315" s="3">
        <v>28.501603758260359</v>
      </c>
      <c r="BF315" s="3">
        <v>25.561603758260361</v>
      </c>
      <c r="BG315" s="3">
        <v>26.488270424927023</v>
      </c>
      <c r="BH315" s="3">
        <v>32.228270424927032</v>
      </c>
      <c r="BI315" s="3">
        <v>36.141603758260374</v>
      </c>
      <c r="BJ315" s="3">
        <v>36.03493709159369</v>
      </c>
      <c r="BK315" s="3">
        <v>31.608270424927028</v>
      </c>
      <c r="BL315" s="3">
        <v>30.681603758260366</v>
      </c>
      <c r="BM315" s="3">
        <v>29.614937091593703</v>
      </c>
      <c r="BN315" s="3">
        <v>27.198270424927031</v>
      </c>
      <c r="BO315" s="3">
        <v>20.364937091593703</v>
      </c>
      <c r="BP315" s="3">
        <v>13.381603758260368</v>
      </c>
      <c r="BQ315" s="3">
        <v>10.39827042492702</v>
      </c>
      <c r="BR315" s="3">
        <v>7.2249370915937021</v>
      </c>
      <c r="BS315" s="3">
        <v>9.0282704249270296</v>
      </c>
      <c r="BT315" s="3">
        <v>8.924937091593705</v>
      </c>
      <c r="BU315" s="3">
        <v>8.791603758260365</v>
      </c>
      <c r="BV315" s="3">
        <v>8.5082704249270336</v>
      </c>
      <c r="BW315" s="3">
        <v>11.641603758260374</v>
      </c>
      <c r="BX315" s="3">
        <v>9.3616037582603724</v>
      </c>
      <c r="BY315" s="3">
        <v>29.681603758260366</v>
      </c>
      <c r="BZ315" s="3">
        <v>38.41160375826037</v>
      </c>
      <c r="CA315" s="3">
        <v>13.511603758260357</v>
      </c>
      <c r="CB315" s="3">
        <v>9.3482704249270299</v>
      </c>
      <c r="CC315" s="3">
        <v>9.7616037582603639</v>
      </c>
      <c r="CD315" s="3">
        <v>8.9682704249270344</v>
      </c>
      <c r="CE315" s="3">
        <v>9.3616037582603653</v>
      </c>
      <c r="CF315" s="3">
        <v>-0.92506290840630356</v>
      </c>
      <c r="CG315" s="3">
        <v>-1.458396241739635</v>
      </c>
      <c r="CH315" s="3">
        <v>-2.535062908406303</v>
      </c>
      <c r="CI315" s="13">
        <f>[1]!dbasum(RecData[[#This Row],[20]:[2000]],RecData[[#Headers],[20]:[2000]])</f>
        <v>23.969402230228777</v>
      </c>
      <c r="CJ315" s="14">
        <v>4322</v>
      </c>
      <c r="CK315" s="15" t="s">
        <v>249</v>
      </c>
      <c r="CL315" s="15">
        <f>RecData[[#This Row],[Start Time]]</f>
        <v>43260.972928240742</v>
      </c>
      <c r="CM315" s="16">
        <f>RecData[[#This Row],[Wind Speed avg]]</f>
        <v>0.37</v>
      </c>
      <c r="CN315" s="16">
        <f>RecData[[#This Row],[Wind Dir. avg]]</f>
        <v>160.1</v>
      </c>
      <c r="CO315" s="16">
        <f>RecData[[#This Row],[Amb. Humidity]]</f>
        <v>82.7</v>
      </c>
      <c r="CP315" s="16">
        <f>RecData[[#This Row],[Amb. Temperature]]</f>
        <v>13</v>
      </c>
      <c r="CQ315" s="17">
        <f>RecData[[#This Row],[Amb. Rain Gauge]]</f>
        <v>0</v>
      </c>
      <c r="CR315" s="4" t="s">
        <v>50</v>
      </c>
      <c r="CS315" s="4" t="s">
        <v>49</v>
      </c>
      <c r="CT315" s="70">
        <v>-10.06001663</v>
      </c>
      <c r="CU315" s="70">
        <v>307.75286870000002</v>
      </c>
      <c r="CV315" s="70">
        <v>0.78582346400000003</v>
      </c>
      <c r="CW315" s="70">
        <v>0</v>
      </c>
      <c r="CX315" s="4"/>
      <c r="CY315" s="69"/>
      <c r="CZ315" s="2" t="b">
        <f>IF($DP$1="YES",IF(RecData[[#This Row],[Power (kW)]]&gt;=$CR$3, TRUE,FALSE),TRUE)</f>
        <v>0</v>
      </c>
      <c r="DA315" s="16">
        <f>MIN(MOD(180-ABS(ABS($DA$1-RecData[Yaw Angle (°)])-180),360),MOD(180-ABS(ABS($DB$1-RecData[Yaw Angle (°)])-180),360))</f>
        <v>59.777058077687514</v>
      </c>
      <c r="DB315" s="2" t="str">
        <f>IF($DP$2="None","None",IF(RecData[[#This Row],[Relative Wind Direction]]&lt;=45,"DW",IF(RecData[[#This Row],[Relative Wind Direction]]&lt;=135,"CW","UW")))</f>
        <v>CW</v>
      </c>
      <c r="DC315" s="61">
        <f>IF($CL315-$CL314&gt;1/24,#REF!,IF(SUM($CQ314:$CQ315)&gt;$DS$1,$DS$5,DC316-1))</f>
        <v>-9</v>
      </c>
      <c r="DD315" s="61">
        <f>IF($CL316-$CL315&gt;1/24,#REF!,IF(SUM($CQ314:$CQ315)&gt;$DS$1,$DS$6,DD314-1))</f>
        <v>-2</v>
      </c>
      <c r="DE315" s="18" t="b">
        <v>0</v>
      </c>
      <c r="DF315" s="2" t="b">
        <f>IF(OR(RecData[[#This Row],[WSpd_Avg '[m/s']]]-RecData[[#This Row],[Wind Speed min]]&gt;=$DF$3,RecData[[#This Row],[Wind Speed max]]-RecData[[#This Row],[WSpd_Avg '[m/s']]]&gt;=$DF$2),TRUE,FALSE)</f>
        <v>0</v>
      </c>
      <c r="DG315" s="2" t="b">
        <f>RecData[[#This Row],[Temperature '[°C']]]&lt;=-20</f>
        <v>0</v>
      </c>
      <c r="DH315" s="18" t="b">
        <f>NOT(OR(MOD(RecData[[#This Row],[TIMESTAMP]],1)&gt;0.91632,MOD(RecData[[#This Row],[TIMESTAMP]],1)&lt;0.208681))</f>
        <v>0</v>
      </c>
      <c r="DI315" s="18" t="b">
        <f>RecData[[#This Row],[Overall (dBA)]]-RecData[[#This Row],[L90]]&gt;=$DS$4</f>
        <v>0</v>
      </c>
      <c r="DJ315" s="18" t="b">
        <f>RecData[[#This Row],[Overall (dBA)]]&gt;$DS$2</f>
        <v>0</v>
      </c>
      <c r="DK315" s="18" t="b">
        <f>RecData[[#This Row],[Overall (dBA)]]&lt;$DS$3</f>
        <v>0</v>
      </c>
      <c r="DL3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5" s="2">
        <f>IF(AND(RecData[[#This Row],[Turbines ON/OFF]] = "OFF", NOT(OR(RecData[[#This Row],[Junk?]]="YES",RecData[[#This Row],[Gust?]],RecData[[#This Row],[Rain?]:[Min SPL Threshold?]]))),1,0)</f>
        <v>1</v>
      </c>
      <c r="DN315" s="16">
        <f>RecData[[#This Row],[dBA Sum]]</f>
        <v>23.969402230228777</v>
      </c>
      <c r="DO315" s="16">
        <f>RecData[[#This Row],[LAF90.0]]</f>
        <v>37.9</v>
      </c>
      <c r="DP315" s="55" t="str">
        <f>IF(AND(RecData[[#This Row],[Useable TON Data?]],RecData[[#This Row],[Turbines ON/OFF]]="ON"),RecData[[#This Row],[dBA Sum]],"")</f>
        <v/>
      </c>
      <c r="DQ315" s="55">
        <f>IF(AND(RecData[[#This Row],[Useable Background Data?]],RecData[[#This Row],[Turbines ON/OFF]]="OFF"),RecData[[#This Row],[dBA Sum]],"")</f>
        <v>23.969402230228777</v>
      </c>
      <c r="DR315" s="3">
        <f>IF(OR(RecData[[#This Row],[Useable TON Data?]],RecData[[#This Row],[Useable Background Data?]]),ROUND(RecData[[#This Row],[WSpd_Avg '[m/s']]],0),"")</f>
        <v>0</v>
      </c>
      <c r="DS315" s="85">
        <f>(0.00002)^2*(10^(RecData[[#This Row],[Overall (dBA)]]/10))</f>
        <v>9.9770055624856563E-8</v>
      </c>
    </row>
    <row r="316" spans="1:123" ht="15" x14ac:dyDescent="0.25">
      <c r="A316" s="3" t="s">
        <v>249</v>
      </c>
      <c r="B316" s="12">
        <v>43260.973622685189</v>
      </c>
      <c r="C316" s="3"/>
      <c r="D316" s="3">
        <v>41.4</v>
      </c>
      <c r="E316" s="3"/>
      <c r="F316" s="3"/>
      <c r="G316" s="3"/>
      <c r="H316" s="3"/>
      <c r="I316" s="3"/>
      <c r="J316" s="3"/>
      <c r="K316" s="3">
        <v>39.6</v>
      </c>
      <c r="L316" s="3"/>
      <c r="M316" s="3"/>
      <c r="N316" s="3">
        <v>150.1</v>
      </c>
      <c r="O316" s="3"/>
      <c r="P316" s="3"/>
      <c r="Q316" s="3">
        <v>0.25</v>
      </c>
      <c r="R316" s="3">
        <v>0.1</v>
      </c>
      <c r="S316" s="3">
        <v>0.3</v>
      </c>
      <c r="T316" s="3">
        <v>12.9</v>
      </c>
      <c r="U316" s="3">
        <v>82.8</v>
      </c>
      <c r="V316" s="3">
        <v>975.6</v>
      </c>
      <c r="W316" s="3">
        <v>0</v>
      </c>
      <c r="X316" s="3">
        <v>28.7</v>
      </c>
      <c r="Y316" s="3">
        <v>27</v>
      </c>
      <c r="Z316" s="3">
        <v>26.7</v>
      </c>
      <c r="AA316" s="3">
        <v>27.4</v>
      </c>
      <c r="AB316" s="3">
        <v>28.2</v>
      </c>
      <c r="AC316" s="3">
        <v>28.2</v>
      </c>
      <c r="AD316" s="3">
        <v>31.4</v>
      </c>
      <c r="AE316" s="3">
        <v>31.9</v>
      </c>
      <c r="AF316" s="3">
        <v>26.5</v>
      </c>
      <c r="AG316" s="3">
        <v>19.600000000000001</v>
      </c>
      <c r="AH316" s="3">
        <v>19.3</v>
      </c>
      <c r="AI316" s="3">
        <v>13.1</v>
      </c>
      <c r="AJ316" s="3">
        <v>12.4</v>
      </c>
      <c r="AK316" s="3">
        <v>17.3</v>
      </c>
      <c r="AL316" s="3">
        <v>8.6999999999999993</v>
      </c>
      <c r="AM316" s="3">
        <v>15.5</v>
      </c>
      <c r="AN316" s="3">
        <v>12.1</v>
      </c>
      <c r="AO316" s="3">
        <v>11.4</v>
      </c>
      <c r="AP316" s="3">
        <v>10.1</v>
      </c>
      <c r="AQ316" s="3">
        <v>11.5</v>
      </c>
      <c r="AR316" s="3">
        <v>9.3000000000000007</v>
      </c>
      <c r="AS316" s="3">
        <v>31.4</v>
      </c>
      <c r="AT316" s="3">
        <v>39.4</v>
      </c>
      <c r="AU316" s="3">
        <v>15</v>
      </c>
      <c r="AV316" s="3">
        <v>9.5</v>
      </c>
      <c r="AW316" s="3">
        <v>9.8000000000000007</v>
      </c>
      <c r="AX316" s="3">
        <v>9.6999999999999993</v>
      </c>
      <c r="AY316" s="3">
        <v>9.8000000000000007</v>
      </c>
      <c r="AZ316" s="3">
        <v>0</v>
      </c>
      <c r="BA316" s="3">
        <v>0</v>
      </c>
      <c r="BB316" s="3">
        <v>0</v>
      </c>
      <c r="BC316" s="3">
        <v>41.324021902098941</v>
      </c>
      <c r="BD316" s="3">
        <v>28.775978097901053</v>
      </c>
      <c r="BE316" s="3">
        <v>27.075978097901064</v>
      </c>
      <c r="BF316" s="3">
        <v>25.535978097901058</v>
      </c>
      <c r="BG316" s="3">
        <v>26.562644764567715</v>
      </c>
      <c r="BH316" s="3">
        <v>27.502644764567727</v>
      </c>
      <c r="BI316" s="3">
        <v>27.915978097901053</v>
      </c>
      <c r="BJ316" s="3">
        <v>31.909311431234393</v>
      </c>
      <c r="BK316" s="3">
        <v>32.282644764567713</v>
      </c>
      <c r="BL316" s="3">
        <v>26.45597809790106</v>
      </c>
      <c r="BM316" s="3">
        <v>19.689311431234394</v>
      </c>
      <c r="BN316" s="3">
        <v>19.672644764567728</v>
      </c>
      <c r="BO316" s="3">
        <v>12.839311431234393</v>
      </c>
      <c r="BP316" s="3">
        <v>11.855978097901058</v>
      </c>
      <c r="BQ316" s="3">
        <v>17.172644764567714</v>
      </c>
      <c r="BR316" s="3">
        <v>8.8993114312343877</v>
      </c>
      <c r="BS316" s="3">
        <v>15.502644764567727</v>
      </c>
      <c r="BT316" s="3">
        <v>12.299311431234393</v>
      </c>
      <c r="BU316" s="3">
        <v>11.565978097901059</v>
      </c>
      <c r="BV316" s="3">
        <v>9.9826447645677234</v>
      </c>
      <c r="BW316" s="3">
        <v>11.915978097901061</v>
      </c>
      <c r="BX316" s="3">
        <v>9.6359780979010665</v>
      </c>
      <c r="BY316" s="3">
        <v>31.555978097901054</v>
      </c>
      <c r="BZ316" s="3">
        <v>39.685978097901049</v>
      </c>
      <c r="CA316" s="3">
        <v>15.385978097901052</v>
      </c>
      <c r="CB316" s="3">
        <v>9.3226447645677197</v>
      </c>
      <c r="CC316" s="3">
        <v>9.8359780979010552</v>
      </c>
      <c r="CD316" s="3">
        <v>9.0426447645677257</v>
      </c>
      <c r="CE316" s="3">
        <v>9.3359780979010552</v>
      </c>
      <c r="CF316" s="3">
        <v>-0.85068856876561227</v>
      </c>
      <c r="CG316" s="3">
        <v>-1.3840219020989437</v>
      </c>
      <c r="CH316" s="3">
        <v>-2.4606885687656117</v>
      </c>
      <c r="CI316" s="13">
        <f>[1]!dbasum(RecData[[#This Row],[20]:[2000]],RecData[[#Headers],[20]:[2000]])</f>
        <v>22.446115638072506</v>
      </c>
      <c r="CJ316" s="14">
        <v>4323</v>
      </c>
      <c r="CK316" s="15" t="s">
        <v>249</v>
      </c>
      <c r="CL316" s="15">
        <f>RecData[[#This Row],[Start Time]]</f>
        <v>43260.973622685189</v>
      </c>
      <c r="CM316" s="16">
        <f>RecData[[#This Row],[Wind Speed avg]]</f>
        <v>0.25</v>
      </c>
      <c r="CN316" s="16">
        <f>RecData[[#This Row],[Wind Dir. avg]]</f>
        <v>150.1</v>
      </c>
      <c r="CO316" s="16">
        <f>RecData[[#This Row],[Amb. Humidity]]</f>
        <v>82.8</v>
      </c>
      <c r="CP316" s="16">
        <f>RecData[[#This Row],[Amb. Temperature]]</f>
        <v>12.9</v>
      </c>
      <c r="CQ316" s="17">
        <f>RecData[[#This Row],[Amb. Rain Gauge]]</f>
        <v>0</v>
      </c>
      <c r="CR316" s="4" t="s">
        <v>50</v>
      </c>
      <c r="CS316" s="4" t="s">
        <v>49</v>
      </c>
      <c r="CT316" s="70">
        <v>-10.06001663</v>
      </c>
      <c r="CU316" s="70">
        <v>307.75286870000002</v>
      </c>
      <c r="CV316" s="70">
        <v>0.78582346400000003</v>
      </c>
      <c r="CW316" s="70">
        <v>0</v>
      </c>
      <c r="CX316" s="4"/>
      <c r="CY316" s="69"/>
      <c r="CZ316" s="2" t="b">
        <f>IF($DP$1="YES",IF(RecData[[#This Row],[Power (kW)]]&gt;=$CR$3, TRUE,FALSE),TRUE)</f>
        <v>0</v>
      </c>
      <c r="DA316" s="16">
        <f>MIN(MOD(180-ABS(ABS($DA$1-RecData[Yaw Angle (°)])-180),360),MOD(180-ABS(ABS($DB$1-RecData[Yaw Angle (°)])-180),360))</f>
        <v>59.777058077687514</v>
      </c>
      <c r="DB316" s="2" t="str">
        <f>IF($DP$2="None","None",IF(RecData[[#This Row],[Relative Wind Direction]]&lt;=45,"DW",IF(RecData[[#This Row],[Relative Wind Direction]]&lt;=135,"CW","UW")))</f>
        <v>CW</v>
      </c>
      <c r="DC316" s="61">
        <f>IF($CL316-$CL314&gt;1/24,#REF!,IF(SUM($CQ314:$CQ316)&gt;$DS$1,$DS$5,DC317-1))</f>
        <v>-8</v>
      </c>
      <c r="DD316" s="61">
        <f>IF($CL317-$CL316&gt;1/24,#REF!,IF(SUM($CQ314:$CQ316)&gt;$DS$1,$DS$6,DD315-1))</f>
        <v>-3</v>
      </c>
      <c r="DE316" s="18" t="b">
        <v>0</v>
      </c>
      <c r="DF316" s="2" t="b">
        <f>IF(OR(RecData[[#This Row],[WSpd_Avg '[m/s']]]-RecData[[#This Row],[Wind Speed min]]&gt;=$DF$3,RecData[[#This Row],[Wind Speed max]]-RecData[[#This Row],[WSpd_Avg '[m/s']]]&gt;=$DF$2),TRUE,FALSE)</f>
        <v>0</v>
      </c>
      <c r="DG316" s="2" t="b">
        <f>RecData[[#This Row],[Temperature '[°C']]]&lt;=-20</f>
        <v>0</v>
      </c>
      <c r="DH316" s="18" t="b">
        <f>NOT(OR(MOD(RecData[[#This Row],[TIMESTAMP]],1)&gt;0.91632,MOD(RecData[[#This Row],[TIMESTAMP]],1)&lt;0.208681))</f>
        <v>0</v>
      </c>
      <c r="DI316" s="18" t="b">
        <f>RecData[[#This Row],[Overall (dBA)]]-RecData[[#This Row],[L90]]&gt;=$DS$4</f>
        <v>0</v>
      </c>
      <c r="DJ316" s="18" t="b">
        <f>RecData[[#This Row],[Overall (dBA)]]&gt;$DS$2</f>
        <v>0</v>
      </c>
      <c r="DK316" s="18" t="b">
        <f>RecData[[#This Row],[Overall (dBA)]]&lt;$DS$3</f>
        <v>0</v>
      </c>
      <c r="DL3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6" s="2">
        <f>IF(AND(RecData[[#This Row],[Turbines ON/OFF]] = "OFF", NOT(OR(RecData[[#This Row],[Junk?]]="YES",RecData[[#This Row],[Gust?]],RecData[[#This Row],[Rain?]:[Min SPL Threshold?]]))),1,0)</f>
        <v>1</v>
      </c>
      <c r="DN316" s="16">
        <f>RecData[[#This Row],[dBA Sum]]</f>
        <v>22.446115638072506</v>
      </c>
      <c r="DO316" s="16">
        <f>RecData[[#This Row],[LAF90.0]]</f>
        <v>39.6</v>
      </c>
      <c r="DP316" s="55" t="str">
        <f>IF(AND(RecData[[#This Row],[Useable TON Data?]],RecData[[#This Row],[Turbines ON/OFF]]="ON"),RecData[[#This Row],[dBA Sum]],"")</f>
        <v/>
      </c>
      <c r="DQ316" s="55">
        <f>IF(AND(RecData[[#This Row],[Useable Background Data?]],RecData[[#This Row],[Turbines ON/OFF]]="OFF"),RecData[[#This Row],[dBA Sum]],"")</f>
        <v>22.446115638072506</v>
      </c>
      <c r="DR316" s="3">
        <f>IF(OR(RecData[[#This Row],[Useable TON Data?]],RecData[[#This Row],[Useable Background Data?]]),ROUND(RecData[[#This Row],[WSpd_Avg '[m/s']]],0),"")</f>
        <v>0</v>
      </c>
      <c r="DS316" s="85">
        <f>(0.00002)^2*(10^(RecData[[#This Row],[Overall (dBA)]]/10))</f>
        <v>7.0254080680852125E-8</v>
      </c>
    </row>
    <row r="317" spans="1:123" ht="15" x14ac:dyDescent="0.25">
      <c r="A317" s="3" t="s">
        <v>249</v>
      </c>
      <c r="B317" s="12">
        <v>43260.974317129636</v>
      </c>
      <c r="C317" s="3"/>
      <c r="D317" s="3">
        <v>39.700000000000003</v>
      </c>
      <c r="E317" s="3"/>
      <c r="F317" s="3"/>
      <c r="G317" s="3"/>
      <c r="H317" s="3"/>
      <c r="I317" s="3"/>
      <c r="J317" s="3"/>
      <c r="K317" s="3">
        <v>37.299999999999997</v>
      </c>
      <c r="L317" s="3"/>
      <c r="M317" s="3"/>
      <c r="N317" s="3">
        <v>156.1</v>
      </c>
      <c r="O317" s="3"/>
      <c r="P317" s="3"/>
      <c r="Q317" s="3">
        <v>0.23</v>
      </c>
      <c r="R317" s="3">
        <v>0.2</v>
      </c>
      <c r="S317" s="3">
        <v>0.3</v>
      </c>
      <c r="T317" s="3">
        <v>12.9</v>
      </c>
      <c r="U317" s="3">
        <v>83.2</v>
      </c>
      <c r="V317" s="3">
        <v>975.6</v>
      </c>
      <c r="W317" s="3">
        <v>0</v>
      </c>
      <c r="X317" s="3">
        <v>29.7</v>
      </c>
      <c r="Y317" s="3">
        <v>29.7</v>
      </c>
      <c r="Z317" s="3">
        <v>28.8</v>
      </c>
      <c r="AA317" s="3">
        <v>23.6</v>
      </c>
      <c r="AB317" s="3">
        <v>22.9</v>
      </c>
      <c r="AC317" s="3">
        <v>23.6</v>
      </c>
      <c r="AD317" s="3">
        <v>23.6</v>
      </c>
      <c r="AE317" s="3">
        <v>21.5</v>
      </c>
      <c r="AF317" s="3">
        <v>20</v>
      </c>
      <c r="AG317" s="3">
        <v>16.2</v>
      </c>
      <c r="AH317" s="3">
        <v>13.4</v>
      </c>
      <c r="AI317" s="3">
        <v>10.6</v>
      </c>
      <c r="AJ317" s="3">
        <v>11</v>
      </c>
      <c r="AK317" s="3">
        <v>12.3</v>
      </c>
      <c r="AL317" s="3">
        <v>7.1</v>
      </c>
      <c r="AM317" s="3">
        <v>9</v>
      </c>
      <c r="AN317" s="3">
        <v>8.5</v>
      </c>
      <c r="AO317" s="3">
        <v>8.6</v>
      </c>
      <c r="AP317" s="3">
        <v>8.4</v>
      </c>
      <c r="AQ317" s="3">
        <v>10.5</v>
      </c>
      <c r="AR317" s="3">
        <v>8.8000000000000007</v>
      </c>
      <c r="AS317" s="3">
        <v>28.8</v>
      </c>
      <c r="AT317" s="3">
        <v>37.9</v>
      </c>
      <c r="AU317" s="3">
        <v>14.2</v>
      </c>
      <c r="AV317" s="3">
        <v>9.6</v>
      </c>
      <c r="AW317" s="3">
        <v>9.8000000000000007</v>
      </c>
      <c r="AX317" s="3">
        <v>9.6</v>
      </c>
      <c r="AY317" s="3">
        <v>9.8000000000000007</v>
      </c>
      <c r="AZ317" s="3">
        <v>0</v>
      </c>
      <c r="BA317" s="3">
        <v>0</v>
      </c>
      <c r="BB317" s="3">
        <v>0</v>
      </c>
      <c r="BC317" s="3">
        <v>39.674014066777843</v>
      </c>
      <c r="BD317" s="3">
        <v>29.725985933222162</v>
      </c>
      <c r="BE317" s="3">
        <v>29.725985933222162</v>
      </c>
      <c r="BF317" s="3">
        <v>27.585985933222162</v>
      </c>
      <c r="BG317" s="3">
        <v>22.712652599888827</v>
      </c>
      <c r="BH317" s="3">
        <v>22.152652599888825</v>
      </c>
      <c r="BI317" s="3">
        <v>23.265985933222161</v>
      </c>
      <c r="BJ317" s="3">
        <v>24.059319266555491</v>
      </c>
      <c r="BK317" s="3">
        <v>21.832652599888817</v>
      </c>
      <c r="BL317" s="3">
        <v>19.905985933222155</v>
      </c>
      <c r="BM317" s="3">
        <v>16.239319266555498</v>
      </c>
      <c r="BN317" s="3">
        <v>13.722652599888825</v>
      </c>
      <c r="BO317" s="3">
        <v>10.289319266555495</v>
      </c>
      <c r="BP317" s="3">
        <v>10.405985933222162</v>
      </c>
      <c r="BQ317" s="3">
        <v>12.122652599888816</v>
      </c>
      <c r="BR317" s="3">
        <v>7.2493192665554957</v>
      </c>
      <c r="BS317" s="3">
        <v>8.9526525998888289</v>
      </c>
      <c r="BT317" s="3">
        <v>8.6493192665554943</v>
      </c>
      <c r="BU317" s="3">
        <v>8.7159859332221643</v>
      </c>
      <c r="BV317" s="3">
        <v>8.2326525998888229</v>
      </c>
      <c r="BW317" s="3">
        <v>10.865985933222163</v>
      </c>
      <c r="BX317" s="3">
        <v>9.0859859332221617</v>
      </c>
      <c r="BY317" s="3">
        <v>28.905985933222155</v>
      </c>
      <c r="BZ317" s="3">
        <v>38.135985933222159</v>
      </c>
      <c r="CA317" s="3">
        <v>14.53598593322215</v>
      </c>
      <c r="CB317" s="3">
        <v>9.3726525998888235</v>
      </c>
      <c r="CC317" s="3">
        <v>9.7859859332221575</v>
      </c>
      <c r="CD317" s="3">
        <v>8.8926525998888337</v>
      </c>
      <c r="CE317" s="3">
        <v>9.2859859332221575</v>
      </c>
      <c r="CF317" s="3">
        <v>-0.90068073344450994</v>
      </c>
      <c r="CG317" s="3">
        <v>-1.4340140667778414</v>
      </c>
      <c r="CH317" s="3">
        <v>-2.5106807334445094</v>
      </c>
      <c r="CI317" s="13">
        <f>[1]!dbasum(RecData[[#This Row],[20]:[2000]],RecData[[#Headers],[20]:[2000]])</f>
        <v>18.714010509244527</v>
      </c>
      <c r="CJ317" s="14">
        <v>4324</v>
      </c>
      <c r="CK317" s="15" t="s">
        <v>249</v>
      </c>
      <c r="CL317" s="15">
        <f>RecData[[#This Row],[Start Time]]</f>
        <v>43260.974317129636</v>
      </c>
      <c r="CM317" s="16">
        <f>RecData[[#This Row],[Wind Speed avg]]</f>
        <v>0.23</v>
      </c>
      <c r="CN317" s="16">
        <f>RecData[[#This Row],[Wind Dir. avg]]</f>
        <v>156.1</v>
      </c>
      <c r="CO317" s="16">
        <f>RecData[[#This Row],[Amb. Humidity]]</f>
        <v>83.2</v>
      </c>
      <c r="CP317" s="16">
        <f>RecData[[#This Row],[Amb. Temperature]]</f>
        <v>12.9</v>
      </c>
      <c r="CQ317" s="17">
        <f>RecData[[#This Row],[Amb. Rain Gauge]]</f>
        <v>0</v>
      </c>
      <c r="CR317" s="4" t="s">
        <v>50</v>
      </c>
      <c r="CS317" s="4" t="s">
        <v>49</v>
      </c>
      <c r="CT317" s="70">
        <v>-10.06001663</v>
      </c>
      <c r="CU317" s="70">
        <v>307.75286870000002</v>
      </c>
      <c r="CV317" s="70">
        <v>0.78582346400000003</v>
      </c>
      <c r="CW317" s="70">
        <v>0</v>
      </c>
      <c r="CX317" s="4"/>
      <c r="CY317" s="69"/>
      <c r="CZ317" s="2" t="b">
        <f>IF($DP$1="YES",IF(RecData[[#This Row],[Power (kW)]]&gt;=$CR$3, TRUE,FALSE),TRUE)</f>
        <v>0</v>
      </c>
      <c r="DA317" s="16">
        <f>MIN(MOD(180-ABS(ABS($DA$1-RecData[Yaw Angle (°)])-180),360),MOD(180-ABS(ABS($DB$1-RecData[Yaw Angle (°)])-180),360))</f>
        <v>59.777058077687514</v>
      </c>
      <c r="DB317" s="2" t="str">
        <f>IF($DP$2="None","None",IF(RecData[[#This Row],[Relative Wind Direction]]&lt;=45,"DW",IF(RecData[[#This Row],[Relative Wind Direction]]&lt;=135,"CW","UW")))</f>
        <v>CW</v>
      </c>
      <c r="DC317" s="61">
        <f>IF($CL317-$CL314&gt;1/24,#REF!,IF(SUM($CQ314:$CQ317)&gt;$DS$1,$DS$5,DC318-1))</f>
        <v>-7</v>
      </c>
      <c r="DD317" s="61">
        <f>IF($CL318-$CL317&gt;1/24,#REF!,IF(SUM($CQ314:$CQ317)&gt;$DS$1,$DS$6,DD316-1))</f>
        <v>-4</v>
      </c>
      <c r="DE317" s="18" t="b">
        <v>0</v>
      </c>
      <c r="DF317" s="2" t="b">
        <f>IF(OR(RecData[[#This Row],[WSpd_Avg '[m/s']]]-RecData[[#This Row],[Wind Speed min]]&gt;=$DF$3,RecData[[#This Row],[Wind Speed max]]-RecData[[#This Row],[WSpd_Avg '[m/s']]]&gt;=$DF$2),TRUE,FALSE)</f>
        <v>0</v>
      </c>
      <c r="DG317" s="2" t="b">
        <f>RecData[[#This Row],[Temperature '[°C']]]&lt;=-20</f>
        <v>0</v>
      </c>
      <c r="DH317" s="18" t="b">
        <f>NOT(OR(MOD(RecData[[#This Row],[TIMESTAMP]],1)&gt;0.91632,MOD(RecData[[#This Row],[TIMESTAMP]],1)&lt;0.208681))</f>
        <v>0</v>
      </c>
      <c r="DI317" s="18" t="b">
        <f>RecData[[#This Row],[Overall (dBA)]]-RecData[[#This Row],[L90]]&gt;=$DS$4</f>
        <v>0</v>
      </c>
      <c r="DJ317" s="18" t="b">
        <f>RecData[[#This Row],[Overall (dBA)]]&gt;$DS$2</f>
        <v>0</v>
      </c>
      <c r="DK317" s="18" t="b">
        <f>RecData[[#This Row],[Overall (dBA)]]&lt;$DS$3</f>
        <v>0</v>
      </c>
      <c r="DL3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7" s="2">
        <f>IF(AND(RecData[[#This Row],[Turbines ON/OFF]] = "OFF", NOT(OR(RecData[[#This Row],[Junk?]]="YES",RecData[[#This Row],[Gust?]],RecData[[#This Row],[Rain?]:[Min SPL Threshold?]]))),1,0)</f>
        <v>1</v>
      </c>
      <c r="DN317" s="16">
        <f>RecData[[#This Row],[dBA Sum]]</f>
        <v>18.714010509244527</v>
      </c>
      <c r="DO317" s="16">
        <f>RecData[[#This Row],[LAF90.0]]</f>
        <v>37.299999999999997</v>
      </c>
      <c r="DP317" s="55" t="str">
        <f>IF(AND(RecData[[#This Row],[Useable TON Data?]],RecData[[#This Row],[Turbines ON/OFF]]="ON"),RecData[[#This Row],[dBA Sum]],"")</f>
        <v/>
      </c>
      <c r="DQ317" s="55">
        <f>IF(AND(RecData[[#This Row],[Useable Background Data?]],RecData[[#This Row],[Turbines ON/OFF]]="OFF"),RecData[[#This Row],[dBA Sum]],"")</f>
        <v>18.714010509244527</v>
      </c>
      <c r="DR317" s="3">
        <f>IF(OR(RecData[[#This Row],[Useable TON Data?]],RecData[[#This Row],[Useable Background Data?]]),ROUND(RecData[[#This Row],[WSpd_Avg '[m/s']]],0),"")</f>
        <v>0</v>
      </c>
      <c r="DS317" s="85">
        <f>(0.00002)^2*(10^(RecData[[#This Row],[Overall (dBA)]]/10))</f>
        <v>2.9748223948452273E-8</v>
      </c>
    </row>
    <row r="318" spans="1:123" ht="15" x14ac:dyDescent="0.25">
      <c r="A318" s="3" t="s">
        <v>249</v>
      </c>
      <c r="B318" s="12">
        <v>43260.975011574083</v>
      </c>
      <c r="C318" s="3"/>
      <c r="D318" s="3">
        <v>40.4</v>
      </c>
      <c r="E318" s="3"/>
      <c r="F318" s="3"/>
      <c r="G318" s="3"/>
      <c r="H318" s="3"/>
      <c r="I318" s="3"/>
      <c r="J318" s="3"/>
      <c r="K318" s="3">
        <v>38.4</v>
      </c>
      <c r="L318" s="3"/>
      <c r="M318" s="3"/>
      <c r="N318" s="3">
        <v>152.4</v>
      </c>
      <c r="O318" s="3"/>
      <c r="P318" s="3"/>
      <c r="Q318" s="3">
        <v>0.24</v>
      </c>
      <c r="R318" s="3">
        <v>0.2</v>
      </c>
      <c r="S318" s="3">
        <v>0.4</v>
      </c>
      <c r="T318" s="3">
        <v>12.9</v>
      </c>
      <c r="U318" s="3">
        <v>83.5</v>
      </c>
      <c r="V318" s="3">
        <v>975.6</v>
      </c>
      <c r="W318" s="3">
        <v>0</v>
      </c>
      <c r="X318" s="3">
        <v>25</v>
      </c>
      <c r="Y318" s="3">
        <v>25.4</v>
      </c>
      <c r="Z318" s="3">
        <v>25.3</v>
      </c>
      <c r="AA318" s="3">
        <v>22.2</v>
      </c>
      <c r="AB318" s="3">
        <v>20.100000000000001</v>
      </c>
      <c r="AC318" s="3">
        <v>19.100000000000001</v>
      </c>
      <c r="AD318" s="3">
        <v>21.3</v>
      </c>
      <c r="AE318" s="3">
        <v>19.600000000000001</v>
      </c>
      <c r="AF318" s="3">
        <v>18.2</v>
      </c>
      <c r="AG318" s="3">
        <v>16.3</v>
      </c>
      <c r="AH318" s="3">
        <v>13.4</v>
      </c>
      <c r="AI318" s="3">
        <v>10.3</v>
      </c>
      <c r="AJ318" s="3">
        <v>10.6</v>
      </c>
      <c r="AK318" s="3">
        <v>8.5</v>
      </c>
      <c r="AL318" s="3">
        <v>6.8</v>
      </c>
      <c r="AM318" s="3">
        <v>7.1</v>
      </c>
      <c r="AN318" s="3">
        <v>7.9</v>
      </c>
      <c r="AO318" s="3">
        <v>7.5</v>
      </c>
      <c r="AP318" s="3">
        <v>7.5</v>
      </c>
      <c r="AQ318" s="3">
        <v>10.7</v>
      </c>
      <c r="AR318" s="3">
        <v>9.1999999999999993</v>
      </c>
      <c r="AS318" s="3">
        <v>30</v>
      </c>
      <c r="AT318" s="3">
        <v>38.6</v>
      </c>
      <c r="AU318" s="3">
        <v>13.6</v>
      </c>
      <c r="AV318" s="3">
        <v>9.5</v>
      </c>
      <c r="AW318" s="3">
        <v>9.8000000000000007</v>
      </c>
      <c r="AX318" s="3">
        <v>9.6999999999999993</v>
      </c>
      <c r="AY318" s="3">
        <v>9.9</v>
      </c>
      <c r="AZ318" s="3">
        <v>0</v>
      </c>
      <c r="BA318" s="3">
        <v>0</v>
      </c>
      <c r="BB318" s="3">
        <v>0</v>
      </c>
      <c r="BC318" s="3">
        <v>40.416461726513482</v>
      </c>
      <c r="BD318" s="3">
        <v>24.983538273486523</v>
      </c>
      <c r="BE318" s="3">
        <v>25.383538273486515</v>
      </c>
      <c r="BF318" s="3">
        <v>24.043538273486526</v>
      </c>
      <c r="BG318" s="3">
        <v>21.270204940153178</v>
      </c>
      <c r="BH318" s="3">
        <v>19.310204940153191</v>
      </c>
      <c r="BI318" s="3">
        <v>18.723538273486518</v>
      </c>
      <c r="BJ318" s="3">
        <v>21.716871606819851</v>
      </c>
      <c r="BK318" s="3">
        <v>19.890204940153176</v>
      </c>
      <c r="BL318" s="3">
        <v>18.063538273486515</v>
      </c>
      <c r="BM318" s="3">
        <v>16.296871606819856</v>
      </c>
      <c r="BN318" s="3">
        <v>13.680204940153182</v>
      </c>
      <c r="BO318" s="3">
        <v>9.9468716068198546</v>
      </c>
      <c r="BP318" s="3">
        <v>9.9635382734865132</v>
      </c>
      <c r="BQ318" s="3">
        <v>8.2802049401531761</v>
      </c>
      <c r="BR318" s="3">
        <v>6.9068716068198484</v>
      </c>
      <c r="BS318" s="3">
        <v>7.0102049401531801</v>
      </c>
      <c r="BT318" s="3">
        <v>8.0068716068198498</v>
      </c>
      <c r="BU318" s="3">
        <v>7.5735382734865198</v>
      </c>
      <c r="BV318" s="3">
        <v>7.2902049401531812</v>
      </c>
      <c r="BW318" s="3">
        <v>11.023538273486515</v>
      </c>
      <c r="BX318" s="3">
        <v>9.4435382734865172</v>
      </c>
      <c r="BY318" s="3">
        <v>30.063538273486508</v>
      </c>
      <c r="BZ318" s="3">
        <v>38.793538273486526</v>
      </c>
      <c r="CA318" s="3">
        <v>13.893538273486506</v>
      </c>
      <c r="CB318" s="3">
        <v>9.2302049401531789</v>
      </c>
      <c r="CC318" s="3">
        <v>9.7435382734865144</v>
      </c>
      <c r="CD318" s="3">
        <v>8.9502049401531849</v>
      </c>
      <c r="CE318" s="3">
        <v>9.3435382734865158</v>
      </c>
      <c r="CF318" s="3">
        <v>-0.94312839318015307</v>
      </c>
      <c r="CG318" s="3">
        <v>-1.4764617265134845</v>
      </c>
      <c r="CH318" s="3">
        <v>-2.5531283931801525</v>
      </c>
      <c r="CI318" s="13">
        <f>[1]!dbasum(RecData[[#This Row],[20]:[2000]],RecData[[#Headers],[20]:[2000]])</f>
        <v>18.041938445061316</v>
      </c>
      <c r="CJ318" s="14">
        <v>4325</v>
      </c>
      <c r="CK318" s="15" t="s">
        <v>249</v>
      </c>
      <c r="CL318" s="15">
        <f>RecData[[#This Row],[Start Time]]</f>
        <v>43260.975011574083</v>
      </c>
      <c r="CM318" s="16">
        <f>RecData[[#This Row],[Wind Speed avg]]</f>
        <v>0.24</v>
      </c>
      <c r="CN318" s="16">
        <f>RecData[[#This Row],[Wind Dir. avg]]</f>
        <v>152.4</v>
      </c>
      <c r="CO318" s="16">
        <f>RecData[[#This Row],[Amb. Humidity]]</f>
        <v>83.5</v>
      </c>
      <c r="CP318" s="16">
        <f>RecData[[#This Row],[Amb. Temperature]]</f>
        <v>12.9</v>
      </c>
      <c r="CQ318" s="17">
        <f>RecData[[#This Row],[Amb. Rain Gauge]]</f>
        <v>0</v>
      </c>
      <c r="CR318" s="4" t="s">
        <v>50</v>
      </c>
      <c r="CS318" s="4" t="s">
        <v>49</v>
      </c>
      <c r="CT318" s="70">
        <v>-10.06001663</v>
      </c>
      <c r="CU318" s="70">
        <v>307.75286870000002</v>
      </c>
      <c r="CV318" s="70">
        <v>0.78582346400000003</v>
      </c>
      <c r="CW318" s="70">
        <v>0</v>
      </c>
      <c r="CX318" s="4"/>
      <c r="CY318" s="69"/>
      <c r="CZ318" s="2" t="b">
        <f>IF($DP$1="YES",IF(RecData[[#This Row],[Power (kW)]]&gt;=$CR$3, TRUE,FALSE),TRUE)</f>
        <v>0</v>
      </c>
      <c r="DA318" s="16">
        <f>MIN(MOD(180-ABS(ABS($DA$1-RecData[Yaw Angle (°)])-180),360),MOD(180-ABS(ABS($DB$1-RecData[Yaw Angle (°)])-180),360))</f>
        <v>59.777058077687514</v>
      </c>
      <c r="DB318" s="2" t="str">
        <f>IF($DP$2="None","None",IF(RecData[[#This Row],[Relative Wind Direction]]&lt;=45,"DW",IF(RecData[[#This Row],[Relative Wind Direction]]&lt;=135,"CW","UW")))</f>
        <v>CW</v>
      </c>
      <c r="DC318" s="61">
        <f>IF($CL318-$CL314&gt;1/24,#REF!,IF(SUM($CQ314:$CQ318)&gt;$DS$1,$DS$5,DC319-1))</f>
        <v>-6</v>
      </c>
      <c r="DD318" s="61">
        <f>IF($CL319-$CL318&gt;1/24,#REF!,IF(SUM($CQ314:$CQ318)&gt;$DS$1,$DS$6,DD317-1))</f>
        <v>-5</v>
      </c>
      <c r="DE318" s="18" t="b">
        <v>0</v>
      </c>
      <c r="DF318" s="2" t="b">
        <f>IF(OR(RecData[[#This Row],[WSpd_Avg '[m/s']]]-RecData[[#This Row],[Wind Speed min]]&gt;=$DF$3,RecData[[#This Row],[Wind Speed max]]-RecData[[#This Row],[WSpd_Avg '[m/s']]]&gt;=$DF$2),TRUE,FALSE)</f>
        <v>0</v>
      </c>
      <c r="DG318" s="2" t="b">
        <f>RecData[[#This Row],[Temperature '[°C']]]&lt;=-20</f>
        <v>0</v>
      </c>
      <c r="DH318" s="18" t="b">
        <f>NOT(OR(MOD(RecData[[#This Row],[TIMESTAMP]],1)&gt;0.91632,MOD(RecData[[#This Row],[TIMESTAMP]],1)&lt;0.208681))</f>
        <v>0</v>
      </c>
      <c r="DI318" s="18" t="b">
        <f>RecData[[#This Row],[Overall (dBA)]]-RecData[[#This Row],[L90]]&gt;=$DS$4</f>
        <v>0</v>
      </c>
      <c r="DJ318" s="18" t="b">
        <f>RecData[[#This Row],[Overall (dBA)]]&gt;$DS$2</f>
        <v>0</v>
      </c>
      <c r="DK318" s="18" t="b">
        <f>RecData[[#This Row],[Overall (dBA)]]&lt;$DS$3</f>
        <v>0</v>
      </c>
      <c r="DL3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8" s="2">
        <f>IF(AND(RecData[[#This Row],[Turbines ON/OFF]] = "OFF", NOT(OR(RecData[[#This Row],[Junk?]]="YES",RecData[[#This Row],[Gust?]],RecData[[#This Row],[Rain?]:[Min SPL Threshold?]]))),1,0)</f>
        <v>1</v>
      </c>
      <c r="DN318" s="16">
        <f>RecData[[#This Row],[dBA Sum]]</f>
        <v>18.041938445061316</v>
      </c>
      <c r="DO318" s="16">
        <f>RecData[[#This Row],[LAF90.0]]</f>
        <v>38.4</v>
      </c>
      <c r="DP318" s="55" t="str">
        <f>IF(AND(RecData[[#This Row],[Useable TON Data?]],RecData[[#This Row],[Turbines ON/OFF]]="ON"),RecData[[#This Row],[dBA Sum]],"")</f>
        <v/>
      </c>
      <c r="DQ318" s="55">
        <f>IF(AND(RecData[[#This Row],[Useable Background Data?]],RecData[[#This Row],[Turbines ON/OFF]]="OFF"),RecData[[#This Row],[dBA Sum]],"")</f>
        <v>18.041938445061316</v>
      </c>
      <c r="DR318" s="3">
        <f>IF(OR(RecData[[#This Row],[Useable TON Data?]],RecData[[#This Row],[Useable Background Data?]]),ROUND(RecData[[#This Row],[WSpd_Avg '[m/s']]],0),"")</f>
        <v>0</v>
      </c>
      <c r="DS318" s="85">
        <f>(0.00002)^2*(10^(RecData[[#This Row],[Overall (dBA)]]/10))</f>
        <v>2.5483192554877829E-8</v>
      </c>
    </row>
    <row r="319" spans="1:123" ht="15" x14ac:dyDescent="0.25">
      <c r="A319" s="3" t="s">
        <v>249</v>
      </c>
      <c r="B319" s="12">
        <v>43260.975706018522</v>
      </c>
      <c r="C319" s="3"/>
      <c r="D319" s="3">
        <v>39.700000000000003</v>
      </c>
      <c r="E319" s="3"/>
      <c r="F319" s="3"/>
      <c r="G319" s="3"/>
      <c r="H319" s="3"/>
      <c r="I319" s="3"/>
      <c r="J319" s="3"/>
      <c r="K319" s="3">
        <v>37.5</v>
      </c>
      <c r="L319" s="3"/>
      <c r="M319" s="3"/>
      <c r="N319" s="3">
        <v>148.69999999999999</v>
      </c>
      <c r="O319" s="3"/>
      <c r="P319" s="3"/>
      <c r="Q319" s="3">
        <v>0.33</v>
      </c>
      <c r="R319" s="3">
        <v>0.2</v>
      </c>
      <c r="S319" s="3">
        <v>0.4</v>
      </c>
      <c r="T319" s="3">
        <v>12.9</v>
      </c>
      <c r="U319" s="3">
        <v>84</v>
      </c>
      <c r="V319" s="3">
        <v>975.6</v>
      </c>
      <c r="W319" s="3">
        <v>0</v>
      </c>
      <c r="X319" s="3">
        <v>22.3</v>
      </c>
      <c r="Y319" s="3">
        <v>22.2</v>
      </c>
      <c r="Z319" s="3">
        <v>23</v>
      </c>
      <c r="AA319" s="3">
        <v>18.399999999999999</v>
      </c>
      <c r="AB319" s="3">
        <v>16.5</v>
      </c>
      <c r="AC319" s="3">
        <v>15.6</v>
      </c>
      <c r="AD319" s="3">
        <v>18</v>
      </c>
      <c r="AE319" s="3">
        <v>17.7</v>
      </c>
      <c r="AF319" s="3">
        <v>15.5</v>
      </c>
      <c r="AG319" s="3">
        <v>13.6</v>
      </c>
      <c r="AH319" s="3">
        <v>12.3</v>
      </c>
      <c r="AI319" s="3">
        <v>10.5</v>
      </c>
      <c r="AJ319" s="3">
        <v>10.8</v>
      </c>
      <c r="AK319" s="3">
        <v>10.4</v>
      </c>
      <c r="AL319" s="3">
        <v>7.1</v>
      </c>
      <c r="AM319" s="3">
        <v>7.8</v>
      </c>
      <c r="AN319" s="3">
        <v>8.5</v>
      </c>
      <c r="AO319" s="3">
        <v>8.1999999999999993</v>
      </c>
      <c r="AP319" s="3">
        <v>8.3000000000000007</v>
      </c>
      <c r="AQ319" s="3">
        <v>10.6</v>
      </c>
      <c r="AR319" s="3">
        <v>8.8000000000000007</v>
      </c>
      <c r="AS319" s="3">
        <v>30</v>
      </c>
      <c r="AT319" s="3">
        <v>37.700000000000003</v>
      </c>
      <c r="AU319" s="3">
        <v>13.8</v>
      </c>
      <c r="AV319" s="3">
        <v>9.6</v>
      </c>
      <c r="AW319" s="3">
        <v>10</v>
      </c>
      <c r="AX319" s="3">
        <v>9.8000000000000007</v>
      </c>
      <c r="AY319" s="3">
        <v>9.9</v>
      </c>
      <c r="AZ319" s="3">
        <v>0</v>
      </c>
      <c r="BA319" s="3">
        <v>0</v>
      </c>
      <c r="BB319" s="3">
        <v>0</v>
      </c>
      <c r="BC319" s="3">
        <v>39.648726770557047</v>
      </c>
      <c r="BD319" s="3">
        <v>22.351273229442953</v>
      </c>
      <c r="BE319" s="3">
        <v>22.251273229442958</v>
      </c>
      <c r="BF319" s="3">
        <v>21.811273229442961</v>
      </c>
      <c r="BG319" s="3">
        <v>17.53793989610962</v>
      </c>
      <c r="BH319" s="3">
        <v>15.777939896109622</v>
      </c>
      <c r="BI319" s="3">
        <v>15.291273229442957</v>
      </c>
      <c r="BJ319" s="3">
        <v>18.484606562776293</v>
      </c>
      <c r="BK319" s="3">
        <v>18.057939896109616</v>
      </c>
      <c r="BL319" s="3">
        <v>15.431273229442958</v>
      </c>
      <c r="BM319" s="3">
        <v>13.664606562776292</v>
      </c>
      <c r="BN319" s="3">
        <v>12.647939896109619</v>
      </c>
      <c r="BO319" s="3">
        <v>10.214606562776289</v>
      </c>
      <c r="BP319" s="3">
        <v>10.231273229442955</v>
      </c>
      <c r="BQ319" s="3">
        <v>10.247939896109614</v>
      </c>
      <c r="BR319" s="3">
        <v>7.2746065627762917</v>
      </c>
      <c r="BS319" s="3">
        <v>7.777939896109622</v>
      </c>
      <c r="BT319" s="3">
        <v>8.6746065627762903</v>
      </c>
      <c r="BU319" s="3">
        <v>8.3412732294429617</v>
      </c>
      <c r="BV319" s="3">
        <v>8.1579398961096246</v>
      </c>
      <c r="BW319" s="3">
        <v>10.99127322944296</v>
      </c>
      <c r="BX319" s="3">
        <v>9.1112732294429577</v>
      </c>
      <c r="BY319" s="3">
        <v>30.131273229442954</v>
      </c>
      <c r="BZ319" s="3">
        <v>37.961273229442966</v>
      </c>
      <c r="CA319" s="3">
        <v>14.161273229442948</v>
      </c>
      <c r="CB319" s="3">
        <v>9.3979398961096194</v>
      </c>
      <c r="CC319" s="3">
        <v>10.011273229442956</v>
      </c>
      <c r="CD319" s="3">
        <v>9.1179398961096254</v>
      </c>
      <c r="CE319" s="3">
        <v>9.4112732294429549</v>
      </c>
      <c r="CF319" s="3">
        <v>-0.87539343722371399</v>
      </c>
      <c r="CG319" s="3">
        <v>-1.4087267705570454</v>
      </c>
      <c r="CH319" s="3">
        <v>-2.4853934372237134</v>
      </c>
      <c r="CI319" s="13">
        <f>[1]!dbasum(RecData[[#This Row],[20]:[2000]],RecData[[#Headers],[20]:[2000]])</f>
        <v>18.151608042740285</v>
      </c>
      <c r="CJ319" s="14">
        <v>4326</v>
      </c>
      <c r="CK319" s="15" t="s">
        <v>249</v>
      </c>
      <c r="CL319" s="15">
        <f>RecData[[#This Row],[Start Time]]</f>
        <v>43260.975706018522</v>
      </c>
      <c r="CM319" s="16">
        <f>RecData[[#This Row],[Wind Speed avg]]</f>
        <v>0.33</v>
      </c>
      <c r="CN319" s="16">
        <f>RecData[[#This Row],[Wind Dir. avg]]</f>
        <v>148.69999999999999</v>
      </c>
      <c r="CO319" s="16">
        <f>RecData[[#This Row],[Amb. Humidity]]</f>
        <v>84</v>
      </c>
      <c r="CP319" s="16">
        <f>RecData[[#This Row],[Amb. Temperature]]</f>
        <v>12.9</v>
      </c>
      <c r="CQ319" s="17">
        <f>RecData[[#This Row],[Amb. Rain Gauge]]</f>
        <v>0</v>
      </c>
      <c r="CR319" s="4" t="s">
        <v>50</v>
      </c>
      <c r="CS319" s="4" t="s">
        <v>49</v>
      </c>
      <c r="CT319" s="70">
        <v>-10.06001663</v>
      </c>
      <c r="CU319" s="70">
        <v>307.75286870000002</v>
      </c>
      <c r="CV319" s="70">
        <v>0.78582346400000003</v>
      </c>
      <c r="CW319" s="70">
        <v>0</v>
      </c>
      <c r="CX319" s="4"/>
      <c r="CY319" s="69"/>
      <c r="CZ319" s="2" t="b">
        <f>IF($DP$1="YES",IF(RecData[[#This Row],[Power (kW)]]&gt;=$CR$3, TRUE,FALSE),TRUE)</f>
        <v>0</v>
      </c>
      <c r="DA319" s="16">
        <f>MIN(MOD(180-ABS(ABS($DA$1-RecData[Yaw Angle (°)])-180),360),MOD(180-ABS(ABS($DB$1-RecData[Yaw Angle (°)])-180),360))</f>
        <v>59.777058077687514</v>
      </c>
      <c r="DB319" s="2" t="str">
        <f>IF($DP$2="None","None",IF(RecData[[#This Row],[Relative Wind Direction]]&lt;=45,"DW",IF(RecData[[#This Row],[Relative Wind Direction]]&lt;=135,"CW","UW")))</f>
        <v>CW</v>
      </c>
      <c r="DC319" s="61">
        <f>IF($CL319-$CL315&gt;1/24,#REF!,IF(SUM($CQ315:$CQ319)&gt;$DS$1,$DS$5,DC320-1))</f>
        <v>-5</v>
      </c>
      <c r="DD319" s="61">
        <f>IF($CL320-$CL319&gt;1/24,#REF!,IF(SUM($CQ315:$CQ319)&gt;$DS$1,$DS$6,DD318-1))</f>
        <v>-6</v>
      </c>
      <c r="DE319" s="18" t="b">
        <v>0</v>
      </c>
      <c r="DF319" s="2" t="b">
        <f>IF(OR(RecData[[#This Row],[WSpd_Avg '[m/s']]]-RecData[[#This Row],[Wind Speed min]]&gt;=$DF$3,RecData[[#This Row],[Wind Speed max]]-RecData[[#This Row],[WSpd_Avg '[m/s']]]&gt;=$DF$2),TRUE,FALSE)</f>
        <v>0</v>
      </c>
      <c r="DG319" s="2" t="b">
        <f>RecData[[#This Row],[Temperature '[°C']]]&lt;=-20</f>
        <v>0</v>
      </c>
      <c r="DH319" s="18" t="b">
        <f>NOT(OR(MOD(RecData[[#This Row],[TIMESTAMP]],1)&gt;0.91632,MOD(RecData[[#This Row],[TIMESTAMP]],1)&lt;0.208681))</f>
        <v>0</v>
      </c>
      <c r="DI319" s="18" t="b">
        <f>RecData[[#This Row],[Overall (dBA)]]-RecData[[#This Row],[L90]]&gt;=$DS$4</f>
        <v>0</v>
      </c>
      <c r="DJ319" s="18" t="b">
        <f>RecData[[#This Row],[Overall (dBA)]]&gt;$DS$2</f>
        <v>0</v>
      </c>
      <c r="DK319" s="18" t="b">
        <f>RecData[[#This Row],[Overall (dBA)]]&lt;$DS$3</f>
        <v>0</v>
      </c>
      <c r="DL3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19" s="2">
        <f>IF(AND(RecData[[#This Row],[Turbines ON/OFF]] = "OFF", NOT(OR(RecData[[#This Row],[Junk?]]="YES",RecData[[#This Row],[Gust?]],RecData[[#This Row],[Rain?]:[Min SPL Threshold?]]))),1,0)</f>
        <v>1</v>
      </c>
      <c r="DN319" s="16">
        <f>RecData[[#This Row],[dBA Sum]]</f>
        <v>18.151608042740285</v>
      </c>
      <c r="DO319" s="16">
        <f>RecData[[#This Row],[LAF90.0]]</f>
        <v>37.5</v>
      </c>
      <c r="DP319" s="55" t="str">
        <f>IF(AND(RecData[[#This Row],[Useable TON Data?]],RecData[[#This Row],[Turbines ON/OFF]]="ON"),RecData[[#This Row],[dBA Sum]],"")</f>
        <v/>
      </c>
      <c r="DQ319" s="55">
        <f>IF(AND(RecData[[#This Row],[Useable Background Data?]],RecData[[#This Row],[Turbines ON/OFF]]="OFF"),RecData[[#This Row],[dBA Sum]],"")</f>
        <v>18.151608042740285</v>
      </c>
      <c r="DR319" s="3">
        <f>IF(OR(RecData[[#This Row],[Useable TON Data?]],RecData[[#This Row],[Useable Background Data?]]),ROUND(RecData[[#This Row],[WSpd_Avg '[m/s']]],0),"")</f>
        <v>0</v>
      </c>
      <c r="DS319" s="85">
        <f>(0.00002)^2*(10^(RecData[[#This Row],[Overall (dBA)]]/10))</f>
        <v>2.6134897166018629E-8</v>
      </c>
    </row>
    <row r="320" spans="1:123" ht="15" x14ac:dyDescent="0.25">
      <c r="A320" s="3" t="s">
        <v>249</v>
      </c>
      <c r="B320" s="12">
        <v>43260.976400462969</v>
      </c>
      <c r="C320" s="3"/>
      <c r="D320" s="3">
        <v>39.299999999999997</v>
      </c>
      <c r="E320" s="3"/>
      <c r="F320" s="3"/>
      <c r="G320" s="3"/>
      <c r="H320" s="3"/>
      <c r="I320" s="3"/>
      <c r="J320" s="3"/>
      <c r="K320" s="3">
        <v>36.9</v>
      </c>
      <c r="L320" s="3"/>
      <c r="M320" s="3"/>
      <c r="N320" s="3">
        <v>137.69999999999999</v>
      </c>
      <c r="O320" s="3"/>
      <c r="P320" s="3"/>
      <c r="Q320" s="3">
        <v>0.22</v>
      </c>
      <c r="R320" s="3">
        <v>0.1</v>
      </c>
      <c r="S320" s="3">
        <v>0.4</v>
      </c>
      <c r="T320" s="3">
        <v>12.9</v>
      </c>
      <c r="U320" s="3">
        <v>84</v>
      </c>
      <c r="V320" s="3">
        <v>975.6</v>
      </c>
      <c r="W320" s="3">
        <v>0</v>
      </c>
      <c r="X320" s="3">
        <v>20.399999999999999</v>
      </c>
      <c r="Y320" s="3">
        <v>20.100000000000001</v>
      </c>
      <c r="Z320" s="3">
        <v>20.7</v>
      </c>
      <c r="AA320" s="3">
        <v>18</v>
      </c>
      <c r="AB320" s="3">
        <v>16.5</v>
      </c>
      <c r="AC320" s="3">
        <v>11.4</v>
      </c>
      <c r="AD320" s="3">
        <v>12.9</v>
      </c>
      <c r="AE320" s="3">
        <v>13.8</v>
      </c>
      <c r="AF320" s="3">
        <v>13.1</v>
      </c>
      <c r="AG320" s="3">
        <v>13.4</v>
      </c>
      <c r="AH320" s="3">
        <v>14.4</v>
      </c>
      <c r="AI320" s="3">
        <v>11.9</v>
      </c>
      <c r="AJ320" s="3">
        <v>11.8</v>
      </c>
      <c r="AK320" s="3">
        <v>17.8</v>
      </c>
      <c r="AL320" s="3">
        <v>8.8000000000000007</v>
      </c>
      <c r="AM320" s="3">
        <v>13.5</v>
      </c>
      <c r="AN320" s="3">
        <v>11.7</v>
      </c>
      <c r="AO320" s="3">
        <v>11.4</v>
      </c>
      <c r="AP320" s="3">
        <v>9.6999999999999993</v>
      </c>
      <c r="AQ320" s="3">
        <v>10.3</v>
      </c>
      <c r="AR320" s="3">
        <v>8.6999999999999993</v>
      </c>
      <c r="AS320" s="3">
        <v>28.7</v>
      </c>
      <c r="AT320" s="3">
        <v>37.4</v>
      </c>
      <c r="AU320" s="3">
        <v>14.6</v>
      </c>
      <c r="AV320" s="3">
        <v>9.3000000000000007</v>
      </c>
      <c r="AW320" s="3">
        <v>9.6</v>
      </c>
      <c r="AX320" s="3">
        <v>9.5</v>
      </c>
      <c r="AY320" s="3">
        <v>9.8000000000000007</v>
      </c>
      <c r="AZ320" s="3">
        <v>0</v>
      </c>
      <c r="BA320" s="3">
        <v>0</v>
      </c>
      <c r="BB320" s="3">
        <v>0</v>
      </c>
      <c r="BC320" s="3">
        <v>39.246502058899878</v>
      </c>
      <c r="BD320" s="3">
        <v>20.453497941100117</v>
      </c>
      <c r="BE320" s="3">
        <v>20.15349794110012</v>
      </c>
      <c r="BF320" s="3">
        <v>19.51349794110012</v>
      </c>
      <c r="BG320" s="3">
        <v>17.140164607766778</v>
      </c>
      <c r="BH320" s="3">
        <v>15.780164607766785</v>
      </c>
      <c r="BI320" s="3">
        <v>11.093497941100118</v>
      </c>
      <c r="BJ320" s="3">
        <v>13.386831274433447</v>
      </c>
      <c r="BK320" s="3">
        <v>14.160164607766781</v>
      </c>
      <c r="BL320" s="3">
        <v>13.033497941100123</v>
      </c>
      <c r="BM320" s="3">
        <v>13.466831274433453</v>
      </c>
      <c r="BN320" s="3">
        <v>14.750164607766784</v>
      </c>
      <c r="BO320" s="3">
        <v>11.616831274433451</v>
      </c>
      <c r="BP320" s="3">
        <v>11.233497941100119</v>
      </c>
      <c r="BQ320" s="3">
        <v>17.650164607766776</v>
      </c>
      <c r="BR320" s="3">
        <v>8.9768312744334509</v>
      </c>
      <c r="BS320" s="3">
        <v>13.480164607766788</v>
      </c>
      <c r="BT320" s="3">
        <v>11.876831274433457</v>
      </c>
      <c r="BU320" s="3">
        <v>11.543497941100121</v>
      </c>
      <c r="BV320" s="3">
        <v>9.5601646077667866</v>
      </c>
      <c r="BW320" s="3">
        <v>10.693497941100119</v>
      </c>
      <c r="BX320" s="3">
        <v>9.0134979411001268</v>
      </c>
      <c r="BY320" s="3">
        <v>28.83349794110012</v>
      </c>
      <c r="BZ320" s="3">
        <v>37.663497941100118</v>
      </c>
      <c r="CA320" s="3">
        <v>14.963497941100115</v>
      </c>
      <c r="CB320" s="3">
        <v>9.1001646077667857</v>
      </c>
      <c r="CC320" s="3">
        <v>9.6134979411001211</v>
      </c>
      <c r="CD320" s="3">
        <v>8.8201646077667917</v>
      </c>
      <c r="CE320" s="3">
        <v>9.3134979411001169</v>
      </c>
      <c r="CF320" s="3">
        <v>-0.87316872556655056</v>
      </c>
      <c r="CG320" s="3">
        <v>-1.406502058899882</v>
      </c>
      <c r="CH320" s="3">
        <v>-2.48316872556655</v>
      </c>
      <c r="CI320" s="13">
        <f>[1]!dbasum(RecData[[#This Row],[20]:[2000]],RecData[[#Headers],[20]:[2000]])</f>
        <v>20.391558119331869</v>
      </c>
      <c r="CJ320" s="14">
        <v>4327</v>
      </c>
      <c r="CK320" s="15" t="s">
        <v>249</v>
      </c>
      <c r="CL320" s="15">
        <f>RecData[[#This Row],[Start Time]]</f>
        <v>43260.976400462969</v>
      </c>
      <c r="CM320" s="16">
        <f>RecData[[#This Row],[Wind Speed avg]]</f>
        <v>0.22</v>
      </c>
      <c r="CN320" s="16">
        <f>RecData[[#This Row],[Wind Dir. avg]]</f>
        <v>137.69999999999999</v>
      </c>
      <c r="CO320" s="16">
        <f>RecData[[#This Row],[Amb. Humidity]]</f>
        <v>84</v>
      </c>
      <c r="CP320" s="16">
        <f>RecData[[#This Row],[Amb. Temperature]]</f>
        <v>12.9</v>
      </c>
      <c r="CQ320" s="17">
        <f>RecData[[#This Row],[Amb. Rain Gauge]]</f>
        <v>0</v>
      </c>
      <c r="CR320" s="4" t="s">
        <v>50</v>
      </c>
      <c r="CS320" s="4" t="s">
        <v>49</v>
      </c>
      <c r="CT320" s="70">
        <v>-10.06001663</v>
      </c>
      <c r="CU320" s="70">
        <v>307.75286870000002</v>
      </c>
      <c r="CV320" s="70">
        <v>0.78582346400000003</v>
      </c>
      <c r="CW320" s="70">
        <v>0</v>
      </c>
      <c r="CX320" s="4"/>
      <c r="CY320" s="69"/>
      <c r="CZ320" s="2" t="b">
        <f>IF($DP$1="YES",IF(RecData[[#This Row],[Power (kW)]]&gt;=$CR$3, TRUE,FALSE),TRUE)</f>
        <v>0</v>
      </c>
      <c r="DA320" s="16">
        <f>MIN(MOD(180-ABS(ABS($DA$1-RecData[Yaw Angle (°)])-180),360),MOD(180-ABS(ABS($DB$1-RecData[Yaw Angle (°)])-180),360))</f>
        <v>59.777058077687514</v>
      </c>
      <c r="DB320" s="2" t="str">
        <f>IF($DP$2="None","None",IF(RecData[[#This Row],[Relative Wind Direction]]&lt;=45,"DW",IF(RecData[[#This Row],[Relative Wind Direction]]&lt;=135,"CW","UW")))</f>
        <v>CW</v>
      </c>
      <c r="DC320" s="61">
        <f>IF($CL320-$CL316&gt;1/24,#REF!,IF(SUM($CQ316:$CQ320)&gt;$DS$1,$DS$5,DC321-1))</f>
        <v>-4</v>
      </c>
      <c r="DD320" s="61">
        <f>IF($CL321-$CL320&gt;1/24,#REF!,IF(SUM($CQ316:$CQ320)&gt;$DS$1,$DS$6,DD319-1))</f>
        <v>-7</v>
      </c>
      <c r="DE320" s="18" t="b">
        <v>0</v>
      </c>
      <c r="DF320" s="2" t="b">
        <f>IF(OR(RecData[[#This Row],[WSpd_Avg '[m/s']]]-RecData[[#This Row],[Wind Speed min]]&gt;=$DF$3,RecData[[#This Row],[Wind Speed max]]-RecData[[#This Row],[WSpd_Avg '[m/s']]]&gt;=$DF$2),TRUE,FALSE)</f>
        <v>0</v>
      </c>
      <c r="DG320" s="2" t="b">
        <f>RecData[[#This Row],[Temperature '[°C']]]&lt;=-20</f>
        <v>0</v>
      </c>
      <c r="DH320" s="18" t="b">
        <f>NOT(OR(MOD(RecData[[#This Row],[TIMESTAMP]],1)&gt;0.91632,MOD(RecData[[#This Row],[TIMESTAMP]],1)&lt;0.208681))</f>
        <v>0</v>
      </c>
      <c r="DI320" s="18" t="b">
        <f>RecData[[#This Row],[Overall (dBA)]]-RecData[[#This Row],[L90]]&gt;=$DS$4</f>
        <v>0</v>
      </c>
      <c r="DJ320" s="18" t="b">
        <f>RecData[[#This Row],[Overall (dBA)]]&gt;$DS$2</f>
        <v>0</v>
      </c>
      <c r="DK320" s="18" t="b">
        <f>RecData[[#This Row],[Overall (dBA)]]&lt;$DS$3</f>
        <v>0</v>
      </c>
      <c r="DL3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0" s="2">
        <f>IF(AND(RecData[[#This Row],[Turbines ON/OFF]] = "OFF", NOT(OR(RecData[[#This Row],[Junk?]]="YES",RecData[[#This Row],[Gust?]],RecData[[#This Row],[Rain?]:[Min SPL Threshold?]]))),1,0)</f>
        <v>1</v>
      </c>
      <c r="DN320" s="16">
        <f>RecData[[#This Row],[dBA Sum]]</f>
        <v>20.391558119331869</v>
      </c>
      <c r="DO320" s="16">
        <f>RecData[[#This Row],[LAF90.0]]</f>
        <v>36.9</v>
      </c>
      <c r="DP320" s="55" t="str">
        <f>IF(AND(RecData[[#This Row],[Useable TON Data?]],RecData[[#This Row],[Turbines ON/OFF]]="ON"),RecData[[#This Row],[dBA Sum]],"")</f>
        <v/>
      </c>
      <c r="DQ320" s="55">
        <f>IF(AND(RecData[[#This Row],[Useable Background Data?]],RecData[[#This Row],[Turbines ON/OFF]]="OFF"),RecData[[#This Row],[dBA Sum]],"")</f>
        <v>20.391558119331869</v>
      </c>
      <c r="DR320" s="3">
        <f>IF(OR(RecData[[#This Row],[Useable TON Data?]],RecData[[#This Row],[Useable Background Data?]]),ROUND(RecData[[#This Row],[WSpd_Avg '[m/s']]],0),"")</f>
        <v>0</v>
      </c>
      <c r="DS320" s="85">
        <f>(0.00002)^2*(10^(RecData[[#This Row],[Overall (dBA)]]/10))</f>
        <v>4.3773956626705852E-8</v>
      </c>
    </row>
    <row r="321" spans="1:123" ht="15" x14ac:dyDescent="0.25">
      <c r="A321" s="3" t="s">
        <v>249</v>
      </c>
      <c r="B321" s="12">
        <v>43260.977094907415</v>
      </c>
      <c r="C321" s="3"/>
      <c r="D321" s="3">
        <v>39.5</v>
      </c>
      <c r="E321" s="3"/>
      <c r="F321" s="3"/>
      <c r="G321" s="3"/>
      <c r="H321" s="3"/>
      <c r="I321" s="3"/>
      <c r="J321" s="3"/>
      <c r="K321" s="3">
        <v>37.5</v>
      </c>
      <c r="L321" s="3"/>
      <c r="M321" s="3"/>
      <c r="N321" s="3">
        <v>137.30000000000001</v>
      </c>
      <c r="O321" s="3"/>
      <c r="P321" s="3"/>
      <c r="Q321" s="3">
        <v>0.26</v>
      </c>
      <c r="R321" s="3">
        <v>0.1</v>
      </c>
      <c r="S321" s="3">
        <v>0.4</v>
      </c>
      <c r="T321" s="3">
        <v>12.9</v>
      </c>
      <c r="U321" s="3">
        <v>83.6</v>
      </c>
      <c r="V321" s="3">
        <v>975.6</v>
      </c>
      <c r="W321" s="3">
        <v>0</v>
      </c>
      <c r="X321" s="3">
        <v>20</v>
      </c>
      <c r="Y321" s="3">
        <v>18.600000000000001</v>
      </c>
      <c r="Z321" s="3">
        <v>19.5</v>
      </c>
      <c r="AA321" s="3">
        <v>16</v>
      </c>
      <c r="AB321" s="3">
        <v>16</v>
      </c>
      <c r="AC321" s="3">
        <v>9.9</v>
      </c>
      <c r="AD321" s="3">
        <v>10.3</v>
      </c>
      <c r="AE321" s="3">
        <v>11.3</v>
      </c>
      <c r="AF321" s="3">
        <v>10.8</v>
      </c>
      <c r="AG321" s="3">
        <v>12.5</v>
      </c>
      <c r="AH321" s="3">
        <v>10.6</v>
      </c>
      <c r="AI321" s="3">
        <v>10</v>
      </c>
      <c r="AJ321" s="3">
        <v>10.1</v>
      </c>
      <c r="AK321" s="3">
        <v>10.8</v>
      </c>
      <c r="AL321" s="3">
        <v>7</v>
      </c>
      <c r="AM321" s="3">
        <v>8.5</v>
      </c>
      <c r="AN321" s="3">
        <v>8.1</v>
      </c>
      <c r="AO321" s="3">
        <v>7.9</v>
      </c>
      <c r="AP321" s="3">
        <v>7.7</v>
      </c>
      <c r="AQ321" s="3">
        <v>10.4</v>
      </c>
      <c r="AR321" s="3">
        <v>8.6999999999999993</v>
      </c>
      <c r="AS321" s="3">
        <v>29.2</v>
      </c>
      <c r="AT321" s="3">
        <v>37.700000000000003</v>
      </c>
      <c r="AU321" s="3">
        <v>12.2</v>
      </c>
      <c r="AV321" s="3">
        <v>9.1999999999999993</v>
      </c>
      <c r="AW321" s="3">
        <v>9.6</v>
      </c>
      <c r="AX321" s="3">
        <v>9.6</v>
      </c>
      <c r="AY321" s="3">
        <v>9.8000000000000007</v>
      </c>
      <c r="AZ321" s="3">
        <v>0</v>
      </c>
      <c r="BA321" s="3">
        <v>0</v>
      </c>
      <c r="BB321" s="3">
        <v>0</v>
      </c>
      <c r="BC321" s="3">
        <v>39.533600269371817</v>
      </c>
      <c r="BD321" s="3">
        <v>19.966399730628183</v>
      </c>
      <c r="BE321" s="3">
        <v>18.566399730628184</v>
      </c>
      <c r="BF321" s="3">
        <v>18.226399730628188</v>
      </c>
      <c r="BG321" s="3">
        <v>15.053066397294849</v>
      </c>
      <c r="BH321" s="3">
        <v>15.193066397294849</v>
      </c>
      <c r="BI321" s="3">
        <v>9.506399730628182</v>
      </c>
      <c r="BJ321" s="3">
        <v>10.699733063961517</v>
      </c>
      <c r="BK321" s="3">
        <v>11.573066397294845</v>
      </c>
      <c r="BL321" s="3">
        <v>10.646399730628183</v>
      </c>
      <c r="BM321" s="3">
        <v>12.479733063961518</v>
      </c>
      <c r="BN321" s="3">
        <v>10.863066397294851</v>
      </c>
      <c r="BO321" s="3">
        <v>9.6297330639615168</v>
      </c>
      <c r="BP321" s="3">
        <v>9.4463997306281868</v>
      </c>
      <c r="BQ321" s="3">
        <v>10.56306639729484</v>
      </c>
      <c r="BR321" s="3">
        <v>7.0897330639615177</v>
      </c>
      <c r="BS321" s="3">
        <v>8.3930663972948523</v>
      </c>
      <c r="BT321" s="3">
        <v>8.1897330639615191</v>
      </c>
      <c r="BU321" s="3">
        <v>7.9563997306281848</v>
      </c>
      <c r="BV321" s="3">
        <v>7.4730663972948506</v>
      </c>
      <c r="BW321" s="3">
        <v>10.706399730628185</v>
      </c>
      <c r="BX321" s="3">
        <v>8.9263997306281908</v>
      </c>
      <c r="BY321" s="3">
        <v>29.246399730628184</v>
      </c>
      <c r="BZ321" s="3">
        <v>37.876399730628179</v>
      </c>
      <c r="CA321" s="3">
        <v>12.476399730628174</v>
      </c>
      <c r="CB321" s="3">
        <v>8.9130663972948483</v>
      </c>
      <c r="CC321" s="3">
        <v>9.5263997306281851</v>
      </c>
      <c r="CD321" s="3">
        <v>8.8330663972948571</v>
      </c>
      <c r="CE321" s="3">
        <v>9.2263997306281809</v>
      </c>
      <c r="CF321" s="3">
        <v>-0.96026693603848656</v>
      </c>
      <c r="CG321" s="3">
        <v>-1.493600269371818</v>
      </c>
      <c r="CH321" s="3">
        <v>-2.570266936038486</v>
      </c>
      <c r="CI321" s="13">
        <f>[1]!dbasum(RecData[[#This Row],[20]:[2000]],RecData[[#Headers],[20]:[2000]])</f>
        <v>17.738153304031595</v>
      </c>
      <c r="CJ321" s="14">
        <v>4328</v>
      </c>
      <c r="CK321" s="15" t="s">
        <v>249</v>
      </c>
      <c r="CL321" s="15">
        <f>RecData[[#This Row],[Start Time]]</f>
        <v>43260.977094907415</v>
      </c>
      <c r="CM321" s="16">
        <f>RecData[[#This Row],[Wind Speed avg]]</f>
        <v>0.26</v>
      </c>
      <c r="CN321" s="16">
        <f>RecData[[#This Row],[Wind Dir. avg]]</f>
        <v>137.30000000000001</v>
      </c>
      <c r="CO321" s="16">
        <f>RecData[[#This Row],[Amb. Humidity]]</f>
        <v>83.6</v>
      </c>
      <c r="CP321" s="16">
        <f>RecData[[#This Row],[Amb. Temperature]]</f>
        <v>12.9</v>
      </c>
      <c r="CQ321" s="17">
        <f>RecData[[#This Row],[Amb. Rain Gauge]]</f>
        <v>0</v>
      </c>
      <c r="CR321" s="4" t="s">
        <v>50</v>
      </c>
      <c r="CS321" s="4" t="s">
        <v>49</v>
      </c>
      <c r="CT321" s="70">
        <v>-10.06001663</v>
      </c>
      <c r="CU321" s="70">
        <v>307.75286870000002</v>
      </c>
      <c r="CV321" s="70">
        <v>0.78582346400000003</v>
      </c>
      <c r="CW321" s="70">
        <v>0</v>
      </c>
      <c r="CX321" s="4"/>
      <c r="CY321" s="69"/>
      <c r="CZ321" s="2" t="b">
        <f>IF($DP$1="YES",IF(RecData[[#This Row],[Power (kW)]]&gt;=$CR$3, TRUE,FALSE),TRUE)</f>
        <v>0</v>
      </c>
      <c r="DA321" s="16">
        <f>MIN(MOD(180-ABS(ABS($DA$1-RecData[Yaw Angle (°)])-180),360),MOD(180-ABS(ABS($DB$1-RecData[Yaw Angle (°)])-180),360))</f>
        <v>59.777058077687514</v>
      </c>
      <c r="DB321" s="2" t="str">
        <f>IF($DP$2="None","None",IF(RecData[[#This Row],[Relative Wind Direction]]&lt;=45,"DW",IF(RecData[[#This Row],[Relative Wind Direction]]&lt;=135,"CW","UW")))</f>
        <v>CW</v>
      </c>
      <c r="DC321" s="61">
        <f>IF($CL321-$CL317&gt;1/24,#REF!,IF(SUM($CQ317:$CQ321)&gt;$DS$1,$DS$5,DC322-1))</f>
        <v>-3</v>
      </c>
      <c r="DD321" s="61">
        <f>IF($CL322-$CL321&gt;1/24,#REF!,IF(SUM($CQ317:$CQ321)&gt;$DS$1,$DS$6,DD320-1))</f>
        <v>-8</v>
      </c>
      <c r="DE321" s="18" t="b">
        <v>0</v>
      </c>
      <c r="DF321" s="2" t="b">
        <f>IF(OR(RecData[[#This Row],[WSpd_Avg '[m/s']]]-RecData[[#This Row],[Wind Speed min]]&gt;=$DF$3,RecData[[#This Row],[Wind Speed max]]-RecData[[#This Row],[WSpd_Avg '[m/s']]]&gt;=$DF$2),TRUE,FALSE)</f>
        <v>0</v>
      </c>
      <c r="DG321" s="2" t="b">
        <f>RecData[[#This Row],[Temperature '[°C']]]&lt;=-20</f>
        <v>0</v>
      </c>
      <c r="DH321" s="18" t="b">
        <f>NOT(OR(MOD(RecData[[#This Row],[TIMESTAMP]],1)&gt;0.91632,MOD(RecData[[#This Row],[TIMESTAMP]],1)&lt;0.208681))</f>
        <v>0</v>
      </c>
      <c r="DI321" s="18" t="b">
        <f>RecData[[#This Row],[Overall (dBA)]]-RecData[[#This Row],[L90]]&gt;=$DS$4</f>
        <v>0</v>
      </c>
      <c r="DJ321" s="18" t="b">
        <f>RecData[[#This Row],[Overall (dBA)]]&gt;$DS$2</f>
        <v>0</v>
      </c>
      <c r="DK321" s="18" t="b">
        <f>RecData[[#This Row],[Overall (dBA)]]&lt;$DS$3</f>
        <v>0</v>
      </c>
      <c r="DL3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1" s="2">
        <f>IF(AND(RecData[[#This Row],[Turbines ON/OFF]] = "OFF", NOT(OR(RecData[[#This Row],[Junk?]]="YES",RecData[[#This Row],[Gust?]],RecData[[#This Row],[Rain?]:[Min SPL Threshold?]]))),1,0)</f>
        <v>1</v>
      </c>
      <c r="DN321" s="16">
        <f>RecData[[#This Row],[dBA Sum]]</f>
        <v>17.738153304031595</v>
      </c>
      <c r="DO321" s="16">
        <f>RecData[[#This Row],[LAF90.0]]</f>
        <v>37.5</v>
      </c>
      <c r="DP321" s="55" t="str">
        <f>IF(AND(RecData[[#This Row],[Useable TON Data?]],RecData[[#This Row],[Turbines ON/OFF]]="ON"),RecData[[#This Row],[dBA Sum]],"")</f>
        <v/>
      </c>
      <c r="DQ321" s="55">
        <f>IF(AND(RecData[[#This Row],[Useable Background Data?]],RecData[[#This Row],[Turbines ON/OFF]]="OFF"),RecData[[#This Row],[dBA Sum]],"")</f>
        <v>17.738153304031595</v>
      </c>
      <c r="DR321" s="3">
        <f>IF(OR(RecData[[#This Row],[Useable TON Data?]],RecData[[#This Row],[Useable Background Data?]]),ROUND(RecData[[#This Row],[WSpd_Avg '[m/s']]],0),"")</f>
        <v>0</v>
      </c>
      <c r="DS321" s="85">
        <f>(0.00002)^2*(10^(RecData[[#This Row],[Overall (dBA)]]/10))</f>
        <v>2.3761580357289601E-8</v>
      </c>
    </row>
    <row r="322" spans="1:123" ht="15" x14ac:dyDescent="0.25">
      <c r="A322" s="3" t="s">
        <v>249</v>
      </c>
      <c r="B322" s="12">
        <v>43260.977789351855</v>
      </c>
      <c r="C322" s="3"/>
      <c r="D322" s="3">
        <v>38.5</v>
      </c>
      <c r="E322" s="3"/>
      <c r="F322" s="3"/>
      <c r="G322" s="3"/>
      <c r="H322" s="3"/>
      <c r="I322" s="3"/>
      <c r="J322" s="3"/>
      <c r="K322" s="3">
        <v>36.5</v>
      </c>
      <c r="L322" s="3"/>
      <c r="M322" s="3"/>
      <c r="N322" s="3">
        <v>168.6</v>
      </c>
      <c r="O322" s="3"/>
      <c r="P322" s="3"/>
      <c r="Q322" s="3">
        <v>0.15</v>
      </c>
      <c r="R322" s="3">
        <v>0</v>
      </c>
      <c r="S322" s="3">
        <v>0.4</v>
      </c>
      <c r="T322" s="3">
        <v>12.9</v>
      </c>
      <c r="U322" s="3">
        <v>83.6</v>
      </c>
      <c r="V322" s="3">
        <v>975.6</v>
      </c>
      <c r="W322" s="3">
        <v>0</v>
      </c>
      <c r="X322" s="3">
        <v>17.2</v>
      </c>
      <c r="Y322" s="3">
        <v>15.5</v>
      </c>
      <c r="Z322" s="3">
        <v>17.100000000000001</v>
      </c>
      <c r="AA322" s="3">
        <v>14.1</v>
      </c>
      <c r="AB322" s="3">
        <v>13</v>
      </c>
      <c r="AC322" s="3">
        <v>8.1</v>
      </c>
      <c r="AD322" s="3">
        <v>8.9</v>
      </c>
      <c r="AE322" s="3">
        <v>10.199999999999999</v>
      </c>
      <c r="AF322" s="3">
        <v>9.6999999999999993</v>
      </c>
      <c r="AG322" s="3">
        <v>11.8</v>
      </c>
      <c r="AH322" s="3">
        <v>10.1</v>
      </c>
      <c r="AI322" s="3">
        <v>9.6999999999999993</v>
      </c>
      <c r="AJ322" s="3">
        <v>9.6999999999999993</v>
      </c>
      <c r="AK322" s="3">
        <v>8.3000000000000007</v>
      </c>
      <c r="AL322" s="3">
        <v>6.7</v>
      </c>
      <c r="AM322" s="3">
        <v>7</v>
      </c>
      <c r="AN322" s="3">
        <v>7.7</v>
      </c>
      <c r="AO322" s="3">
        <v>7.8</v>
      </c>
      <c r="AP322" s="3">
        <v>7.7</v>
      </c>
      <c r="AQ322" s="3">
        <v>11.4</v>
      </c>
      <c r="AR322" s="3">
        <v>8.6999999999999993</v>
      </c>
      <c r="AS322" s="3">
        <v>28.7</v>
      </c>
      <c r="AT322" s="3">
        <v>36.6</v>
      </c>
      <c r="AU322" s="3">
        <v>12.2</v>
      </c>
      <c r="AV322" s="3">
        <v>9.1999999999999993</v>
      </c>
      <c r="AW322" s="3">
        <v>9.5</v>
      </c>
      <c r="AX322" s="3">
        <v>9.6</v>
      </c>
      <c r="AY322" s="3">
        <v>9.6999999999999993</v>
      </c>
      <c r="AZ322" s="3">
        <v>0</v>
      </c>
      <c r="BA322" s="3">
        <v>0</v>
      </c>
      <c r="BB322" s="3">
        <v>0</v>
      </c>
      <c r="BC322" s="3">
        <v>38.526901737992631</v>
      </c>
      <c r="BD322" s="3">
        <v>17.173098262007372</v>
      </c>
      <c r="BE322" s="3">
        <v>15.473098262007369</v>
      </c>
      <c r="BF322" s="3">
        <v>15.833098262007368</v>
      </c>
      <c r="BG322" s="3">
        <v>13.159764928674036</v>
      </c>
      <c r="BH322" s="3">
        <v>12.199764928674036</v>
      </c>
      <c r="BI322" s="3">
        <v>7.7130982620073709</v>
      </c>
      <c r="BJ322" s="3">
        <v>9.3064315953406975</v>
      </c>
      <c r="BK322" s="3">
        <v>10.47976492867403</v>
      </c>
      <c r="BL322" s="3">
        <v>9.5530982620073672</v>
      </c>
      <c r="BM322" s="3">
        <v>11.786431595340702</v>
      </c>
      <c r="BN322" s="3">
        <v>10.369764928674037</v>
      </c>
      <c r="BO322" s="3">
        <v>9.3364315953407058</v>
      </c>
      <c r="BP322" s="3">
        <v>9.0530982620073672</v>
      </c>
      <c r="BQ322" s="3">
        <v>8.0697649286740258</v>
      </c>
      <c r="BR322" s="3">
        <v>6.7964315953407066</v>
      </c>
      <c r="BS322" s="3">
        <v>6.8997649286740383</v>
      </c>
      <c r="BT322" s="3">
        <v>7.7964315953407066</v>
      </c>
      <c r="BU322" s="3">
        <v>7.8630982620073695</v>
      </c>
      <c r="BV322" s="3">
        <v>7.4797649286740366</v>
      </c>
      <c r="BW322" s="3">
        <v>11.713098262007371</v>
      </c>
      <c r="BX322" s="3">
        <v>8.9330982620073769</v>
      </c>
      <c r="BY322" s="3">
        <v>28.75309826200737</v>
      </c>
      <c r="BZ322" s="3">
        <v>36.783098262007371</v>
      </c>
      <c r="CA322" s="3">
        <v>12.48309826200736</v>
      </c>
      <c r="CB322" s="3">
        <v>8.9197649286740344</v>
      </c>
      <c r="CC322" s="3">
        <v>9.4330982620073698</v>
      </c>
      <c r="CD322" s="3">
        <v>8.8397649286740432</v>
      </c>
      <c r="CE322" s="3">
        <v>9.1330982620073655</v>
      </c>
      <c r="CF322" s="3">
        <v>-0.95356840465930048</v>
      </c>
      <c r="CG322" s="3">
        <v>-1.4869017379926319</v>
      </c>
      <c r="CH322" s="3">
        <v>-2.5635684046592999</v>
      </c>
      <c r="CI322" s="13">
        <f>[1]!dbasum(RecData[[#This Row],[20]:[2000]],RecData[[#Headers],[20]:[2000]])</f>
        <v>17.704224113861674</v>
      </c>
      <c r="CJ322" s="14">
        <v>4329</v>
      </c>
      <c r="CK322" s="15" t="s">
        <v>249</v>
      </c>
      <c r="CL322" s="15">
        <f>RecData[[#This Row],[Start Time]]</f>
        <v>43260.977789351855</v>
      </c>
      <c r="CM322" s="16">
        <f>RecData[[#This Row],[Wind Speed avg]]</f>
        <v>0.15</v>
      </c>
      <c r="CN322" s="16">
        <f>RecData[[#This Row],[Wind Dir. avg]]</f>
        <v>168.6</v>
      </c>
      <c r="CO322" s="16">
        <f>RecData[[#This Row],[Amb. Humidity]]</f>
        <v>83.6</v>
      </c>
      <c r="CP322" s="16">
        <f>RecData[[#This Row],[Amb. Temperature]]</f>
        <v>12.9</v>
      </c>
      <c r="CQ322" s="17">
        <f>RecData[[#This Row],[Amb. Rain Gauge]]</f>
        <v>0</v>
      </c>
      <c r="CR322" s="4" t="s">
        <v>50</v>
      </c>
      <c r="CS322" s="4" t="s">
        <v>49</v>
      </c>
      <c r="CT322" s="70">
        <v>-10.06001663</v>
      </c>
      <c r="CU322" s="70">
        <v>307.75286870000002</v>
      </c>
      <c r="CV322" s="70">
        <v>0.78582346400000003</v>
      </c>
      <c r="CW322" s="70">
        <v>0</v>
      </c>
      <c r="CX322" s="4"/>
      <c r="CY322" s="69"/>
      <c r="CZ322" s="2" t="b">
        <f>IF($DP$1="YES",IF(RecData[[#This Row],[Power (kW)]]&gt;=$CR$3, TRUE,FALSE),TRUE)</f>
        <v>0</v>
      </c>
      <c r="DA322" s="16">
        <f>MIN(MOD(180-ABS(ABS($DA$1-RecData[Yaw Angle (°)])-180),360),MOD(180-ABS(ABS($DB$1-RecData[Yaw Angle (°)])-180),360))</f>
        <v>59.777058077687514</v>
      </c>
      <c r="DB322" s="2" t="str">
        <f>IF($DP$2="None","None",IF(RecData[[#This Row],[Relative Wind Direction]]&lt;=45,"DW",IF(RecData[[#This Row],[Relative Wind Direction]]&lt;=135,"CW","UW")))</f>
        <v>CW</v>
      </c>
      <c r="DC322" s="61">
        <f>IF($CL322-$CL318&gt;1/24,#REF!,IF(SUM($CQ318:$CQ322)&gt;$DS$1,$DS$5,DC323-1))</f>
        <v>-2</v>
      </c>
      <c r="DD322" s="61">
        <f>IF($CL323-$CL322&gt;1/24,#REF!,IF(SUM($CQ318:$CQ322)&gt;$DS$1,$DS$6,DD321-1))</f>
        <v>-9</v>
      </c>
      <c r="DE322" s="18" t="b">
        <v>0</v>
      </c>
      <c r="DF322" s="2" t="b">
        <f>IF(OR(RecData[[#This Row],[WSpd_Avg '[m/s']]]-RecData[[#This Row],[Wind Speed min]]&gt;=$DF$3,RecData[[#This Row],[Wind Speed max]]-RecData[[#This Row],[WSpd_Avg '[m/s']]]&gt;=$DF$2),TRUE,FALSE)</f>
        <v>0</v>
      </c>
      <c r="DG322" s="2" t="b">
        <f>RecData[[#This Row],[Temperature '[°C']]]&lt;=-20</f>
        <v>0</v>
      </c>
      <c r="DH322" s="18" t="b">
        <f>NOT(OR(MOD(RecData[[#This Row],[TIMESTAMP]],1)&gt;0.91632,MOD(RecData[[#This Row],[TIMESTAMP]],1)&lt;0.208681))</f>
        <v>0</v>
      </c>
      <c r="DI322" s="18" t="b">
        <f>RecData[[#This Row],[Overall (dBA)]]-RecData[[#This Row],[L90]]&gt;=$DS$4</f>
        <v>0</v>
      </c>
      <c r="DJ322" s="18" t="b">
        <f>RecData[[#This Row],[Overall (dBA)]]&gt;$DS$2</f>
        <v>0</v>
      </c>
      <c r="DK322" s="18" t="b">
        <f>RecData[[#This Row],[Overall (dBA)]]&lt;$DS$3</f>
        <v>0</v>
      </c>
      <c r="DL3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2" s="2">
        <f>IF(AND(RecData[[#This Row],[Turbines ON/OFF]] = "OFF", NOT(OR(RecData[[#This Row],[Junk?]]="YES",RecData[[#This Row],[Gust?]],RecData[[#This Row],[Rain?]:[Min SPL Threshold?]]))),1,0)</f>
        <v>1</v>
      </c>
      <c r="DN322" s="16">
        <f>RecData[[#This Row],[dBA Sum]]</f>
        <v>17.704224113861674</v>
      </c>
      <c r="DO322" s="16">
        <f>RecData[[#This Row],[LAF90.0]]</f>
        <v>36.5</v>
      </c>
      <c r="DP322" s="55" t="str">
        <f>IF(AND(RecData[[#This Row],[Useable TON Data?]],RecData[[#This Row],[Turbines ON/OFF]]="ON"),RecData[[#This Row],[dBA Sum]],"")</f>
        <v/>
      </c>
      <c r="DQ322" s="55">
        <f>IF(AND(RecData[[#This Row],[Useable Background Data?]],RecData[[#This Row],[Turbines ON/OFF]]="OFF"),RecData[[#This Row],[dBA Sum]],"")</f>
        <v>17.704224113861674</v>
      </c>
      <c r="DR322" s="3">
        <f>IF(OR(RecData[[#This Row],[Useable TON Data?]],RecData[[#This Row],[Useable Background Data?]]),ROUND(RecData[[#This Row],[WSpd_Avg '[m/s']]],0),"")</f>
        <v>0</v>
      </c>
      <c r="DS322" s="85">
        <f>(0.00002)^2*(10^(RecData[[#This Row],[Overall (dBA)]]/10))</f>
        <v>2.357666663145296E-8</v>
      </c>
    </row>
    <row r="323" spans="1:123" ht="15" x14ac:dyDescent="0.25">
      <c r="A323" s="3" t="s">
        <v>249</v>
      </c>
      <c r="B323" s="12">
        <v>43260.978483796302</v>
      </c>
      <c r="C323" s="3"/>
      <c r="D323" s="3">
        <v>38.4</v>
      </c>
      <c r="E323" s="3"/>
      <c r="F323" s="3"/>
      <c r="G323" s="3"/>
      <c r="H323" s="3"/>
      <c r="I323" s="3"/>
      <c r="J323" s="3"/>
      <c r="K323" s="3">
        <v>36</v>
      </c>
      <c r="L323" s="3"/>
      <c r="M323" s="3"/>
      <c r="N323" s="3">
        <v>199</v>
      </c>
      <c r="O323" s="3"/>
      <c r="P323" s="3"/>
      <c r="Q323" s="3">
        <v>0.21</v>
      </c>
      <c r="R323" s="3">
        <v>0.1</v>
      </c>
      <c r="S323" s="3">
        <v>0.4</v>
      </c>
      <c r="T323" s="3">
        <v>12.9</v>
      </c>
      <c r="U323" s="3">
        <v>83.8</v>
      </c>
      <c r="V323" s="3">
        <v>975.6</v>
      </c>
      <c r="W323" s="3">
        <v>0</v>
      </c>
      <c r="X323" s="3">
        <v>20.2</v>
      </c>
      <c r="Y323" s="3">
        <v>19.899999999999999</v>
      </c>
      <c r="Z323" s="3">
        <v>21.5</v>
      </c>
      <c r="AA323" s="3">
        <v>14.7</v>
      </c>
      <c r="AB323" s="3">
        <v>12.2</v>
      </c>
      <c r="AC323" s="3">
        <v>8.1</v>
      </c>
      <c r="AD323" s="3">
        <v>11.7</v>
      </c>
      <c r="AE323" s="3">
        <v>11.6</v>
      </c>
      <c r="AF323" s="3">
        <v>12.7</v>
      </c>
      <c r="AG323" s="3">
        <v>14.4</v>
      </c>
      <c r="AH323" s="3">
        <v>14.5</v>
      </c>
      <c r="AI323" s="3">
        <v>12.4</v>
      </c>
      <c r="AJ323" s="3">
        <v>11.5</v>
      </c>
      <c r="AK323" s="3">
        <v>15.1</v>
      </c>
      <c r="AL323" s="3">
        <v>8.5</v>
      </c>
      <c r="AM323" s="3">
        <v>13.7</v>
      </c>
      <c r="AN323" s="3">
        <v>11.4</v>
      </c>
      <c r="AO323" s="3">
        <v>10.9</v>
      </c>
      <c r="AP323" s="3">
        <v>9.5</v>
      </c>
      <c r="AQ323" s="3">
        <v>10.7</v>
      </c>
      <c r="AR323" s="3">
        <v>8.1</v>
      </c>
      <c r="AS323" s="3">
        <v>28.4</v>
      </c>
      <c r="AT323" s="3">
        <v>36.5</v>
      </c>
      <c r="AU323" s="3">
        <v>12.6</v>
      </c>
      <c r="AV323" s="3">
        <v>9.1</v>
      </c>
      <c r="AW323" s="3">
        <v>9.5</v>
      </c>
      <c r="AX323" s="3">
        <v>9.5</v>
      </c>
      <c r="AY323" s="3">
        <v>9.6999999999999993</v>
      </c>
      <c r="AZ323" s="3">
        <v>0</v>
      </c>
      <c r="BA323" s="3">
        <v>0</v>
      </c>
      <c r="BB323" s="3">
        <v>0</v>
      </c>
      <c r="BC323" s="3">
        <v>38.426245531824051</v>
      </c>
      <c r="BD323" s="3">
        <v>20.173754468175943</v>
      </c>
      <c r="BE323" s="3">
        <v>19.873754468175946</v>
      </c>
      <c r="BF323" s="3">
        <v>20.233754468175945</v>
      </c>
      <c r="BG323" s="3">
        <v>13.760421134842609</v>
      </c>
      <c r="BH323" s="3">
        <v>11.400421134842617</v>
      </c>
      <c r="BI323" s="3">
        <v>7.7137544681759493</v>
      </c>
      <c r="BJ323" s="3">
        <v>12.10708780150928</v>
      </c>
      <c r="BK323" s="3">
        <v>11.880421134842607</v>
      </c>
      <c r="BL323" s="3">
        <v>12.553754468175946</v>
      </c>
      <c r="BM323" s="3">
        <v>14.387087801509281</v>
      </c>
      <c r="BN323" s="3">
        <v>14.770421134842614</v>
      </c>
      <c r="BO323" s="3">
        <v>12.037087801509287</v>
      </c>
      <c r="BP323" s="3">
        <v>10.85375446817595</v>
      </c>
      <c r="BQ323" s="3">
        <v>14.870421134842601</v>
      </c>
      <c r="BR323" s="3">
        <v>8.5970878015092822</v>
      </c>
      <c r="BS323" s="3">
        <v>13.600421134842613</v>
      </c>
      <c r="BT323" s="3">
        <v>11.497087801509281</v>
      </c>
      <c r="BU323" s="3">
        <v>10.963754468175949</v>
      </c>
      <c r="BV323" s="3">
        <v>9.2804211348426122</v>
      </c>
      <c r="BW323" s="3">
        <v>11.013754468175946</v>
      </c>
      <c r="BX323" s="3">
        <v>8.3337544681759539</v>
      </c>
      <c r="BY323" s="3">
        <v>28.453754468175944</v>
      </c>
      <c r="BZ323" s="3">
        <v>36.683754468175948</v>
      </c>
      <c r="CA323" s="3">
        <v>12.883754468175937</v>
      </c>
      <c r="CB323" s="3">
        <v>8.8204211348426114</v>
      </c>
      <c r="CC323" s="3">
        <v>9.4337544681759482</v>
      </c>
      <c r="CD323" s="3">
        <v>8.7404211348426202</v>
      </c>
      <c r="CE323" s="3">
        <v>9.1337544681759439</v>
      </c>
      <c r="CF323" s="3">
        <v>-0.95291219849072206</v>
      </c>
      <c r="CG323" s="3">
        <v>-1.4862455318240535</v>
      </c>
      <c r="CH323" s="3">
        <v>-2.5629121984907215</v>
      </c>
      <c r="CI323" s="13">
        <f>[1]!dbasum(RecData[[#This Row],[20]:[2000]],RecData[[#Headers],[20]:[2000]])</f>
        <v>19.842347546996745</v>
      </c>
      <c r="CJ323" s="14">
        <v>4330</v>
      </c>
      <c r="CK323" s="15" t="s">
        <v>249</v>
      </c>
      <c r="CL323" s="15">
        <f>RecData[[#This Row],[Start Time]]</f>
        <v>43260.978483796302</v>
      </c>
      <c r="CM323" s="16">
        <f>RecData[[#This Row],[Wind Speed avg]]</f>
        <v>0.21</v>
      </c>
      <c r="CN323" s="16">
        <f>RecData[[#This Row],[Wind Dir. avg]]</f>
        <v>199</v>
      </c>
      <c r="CO323" s="16">
        <f>RecData[[#This Row],[Amb. Humidity]]</f>
        <v>83.8</v>
      </c>
      <c r="CP323" s="16">
        <f>RecData[[#This Row],[Amb. Temperature]]</f>
        <v>12.9</v>
      </c>
      <c r="CQ323" s="17">
        <f>RecData[[#This Row],[Amb. Rain Gauge]]</f>
        <v>0</v>
      </c>
      <c r="CR323" s="4" t="s">
        <v>50</v>
      </c>
      <c r="CS323" s="4" t="s">
        <v>49</v>
      </c>
      <c r="CT323" s="70">
        <v>-10.06001663</v>
      </c>
      <c r="CU323" s="70">
        <v>307.75286870000002</v>
      </c>
      <c r="CV323" s="70">
        <v>0.78582346400000003</v>
      </c>
      <c r="CW323" s="70">
        <v>0</v>
      </c>
      <c r="CX323" s="4"/>
      <c r="CY323" s="69"/>
      <c r="CZ323" s="2" t="b">
        <f>IF($DP$1="YES",IF(RecData[[#This Row],[Power (kW)]]&gt;=$CR$3, TRUE,FALSE),TRUE)</f>
        <v>0</v>
      </c>
      <c r="DA323" s="16">
        <f>MIN(MOD(180-ABS(ABS($DA$1-RecData[Yaw Angle (°)])-180),360),MOD(180-ABS(ABS($DB$1-RecData[Yaw Angle (°)])-180),360))</f>
        <v>59.777058077687514</v>
      </c>
      <c r="DB323" s="2" t="str">
        <f>IF($DP$2="None","None",IF(RecData[[#This Row],[Relative Wind Direction]]&lt;=45,"DW",IF(RecData[[#This Row],[Relative Wind Direction]]&lt;=135,"CW","UW")))</f>
        <v>CW</v>
      </c>
      <c r="DC323" s="61">
        <v>-1</v>
      </c>
      <c r="DD323" s="61">
        <v>-1</v>
      </c>
      <c r="DE323" s="18" t="b">
        <v>0</v>
      </c>
      <c r="DF323" s="2" t="b">
        <f>IF(OR(RecData[[#This Row],[WSpd_Avg '[m/s']]]-RecData[[#This Row],[Wind Speed min]]&gt;=$DF$3,RecData[[#This Row],[Wind Speed max]]-RecData[[#This Row],[WSpd_Avg '[m/s']]]&gt;=$DF$2),TRUE,FALSE)</f>
        <v>0</v>
      </c>
      <c r="DG323" s="2" t="b">
        <f>RecData[[#This Row],[Temperature '[°C']]]&lt;=-20</f>
        <v>0</v>
      </c>
      <c r="DH323" s="18" t="b">
        <f>NOT(OR(MOD(RecData[[#This Row],[TIMESTAMP]],1)&gt;0.91632,MOD(RecData[[#This Row],[TIMESTAMP]],1)&lt;0.208681))</f>
        <v>0</v>
      </c>
      <c r="DI323" s="18" t="b">
        <f>RecData[[#This Row],[Overall (dBA)]]-RecData[[#This Row],[L90]]&gt;=$DS$4</f>
        <v>0</v>
      </c>
      <c r="DJ323" s="18" t="b">
        <f>RecData[[#This Row],[Overall (dBA)]]&gt;$DS$2</f>
        <v>0</v>
      </c>
      <c r="DK323" s="18" t="b">
        <f>RecData[[#This Row],[Overall (dBA)]]&lt;$DS$3</f>
        <v>0</v>
      </c>
      <c r="DL3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3" s="2">
        <f>IF(AND(RecData[[#This Row],[Turbines ON/OFF]] = "OFF", NOT(OR(RecData[[#This Row],[Junk?]]="YES",RecData[[#This Row],[Gust?]],RecData[[#This Row],[Rain?]:[Min SPL Threshold?]]))),1,0)</f>
        <v>1</v>
      </c>
      <c r="DN323" s="16">
        <f>RecData[[#This Row],[dBA Sum]]</f>
        <v>19.842347546996745</v>
      </c>
      <c r="DO323" s="16">
        <f>RecData[[#This Row],[LAF90.0]]</f>
        <v>36</v>
      </c>
      <c r="DP323" s="55" t="str">
        <f>IF(AND(RecData[[#This Row],[Useable TON Data?]],RecData[[#This Row],[Turbines ON/OFF]]="ON"),RecData[[#This Row],[dBA Sum]],"")</f>
        <v/>
      </c>
      <c r="DQ323" s="55">
        <f>IF(AND(RecData[[#This Row],[Useable Background Data?]],RecData[[#This Row],[Turbines ON/OFF]]="OFF"),RecData[[#This Row],[dBA Sum]],"")</f>
        <v>19.842347546996745</v>
      </c>
      <c r="DR323" s="3">
        <f>IF(OR(RecData[[#This Row],[Useable TON Data?]],RecData[[#This Row],[Useable Background Data?]]),ROUND(RecData[[#This Row],[WSpd_Avg '[m/s']]],0),"")</f>
        <v>0</v>
      </c>
      <c r="DS323" s="85">
        <f>(0.00002)^2*(10^(RecData[[#This Row],[Overall (dBA)]]/10))</f>
        <v>3.8574006206958578E-8</v>
      </c>
    </row>
    <row r="324" spans="1:123" ht="15" x14ac:dyDescent="0.25">
      <c r="A324" s="3" t="s">
        <v>249</v>
      </c>
      <c r="B324" s="12">
        <v>43260.979178240748</v>
      </c>
      <c r="C324" s="3"/>
      <c r="D324" s="3">
        <v>38.9</v>
      </c>
      <c r="E324" s="3"/>
      <c r="F324" s="3"/>
      <c r="G324" s="3"/>
      <c r="H324" s="3"/>
      <c r="I324" s="3"/>
      <c r="J324" s="3"/>
      <c r="K324" s="3">
        <v>36</v>
      </c>
      <c r="L324" s="3"/>
      <c r="M324" s="3"/>
      <c r="N324" s="3">
        <v>238.6</v>
      </c>
      <c r="O324" s="3"/>
      <c r="P324" s="3"/>
      <c r="Q324" s="3">
        <v>0.22</v>
      </c>
      <c r="R324" s="3">
        <v>0.1</v>
      </c>
      <c r="S324" s="3">
        <v>0.3</v>
      </c>
      <c r="T324" s="3">
        <v>12.9</v>
      </c>
      <c r="U324" s="3">
        <v>83.4</v>
      </c>
      <c r="V324" s="3">
        <v>975.6</v>
      </c>
      <c r="W324" s="3">
        <v>0</v>
      </c>
      <c r="X324" s="3">
        <v>19.100000000000001</v>
      </c>
      <c r="Y324" s="3">
        <v>22.4</v>
      </c>
      <c r="Z324" s="3">
        <v>20.9</v>
      </c>
      <c r="AA324" s="3">
        <v>13.1</v>
      </c>
      <c r="AB324" s="3">
        <v>11.8</v>
      </c>
      <c r="AC324" s="3">
        <v>7.3</v>
      </c>
      <c r="AD324" s="3">
        <v>10.5</v>
      </c>
      <c r="AE324" s="3">
        <v>11.9</v>
      </c>
      <c r="AF324" s="3">
        <v>12.5</v>
      </c>
      <c r="AG324" s="3">
        <v>14.2</v>
      </c>
      <c r="AH324" s="3">
        <v>11.4</v>
      </c>
      <c r="AI324" s="3">
        <v>9.5</v>
      </c>
      <c r="AJ324" s="3">
        <v>10.4</v>
      </c>
      <c r="AK324" s="3">
        <v>9.6</v>
      </c>
      <c r="AL324" s="3">
        <v>6.5</v>
      </c>
      <c r="AM324" s="3">
        <v>7.5</v>
      </c>
      <c r="AN324" s="3">
        <v>8.5</v>
      </c>
      <c r="AO324" s="3">
        <v>8</v>
      </c>
      <c r="AP324" s="3">
        <v>7.7</v>
      </c>
      <c r="AQ324" s="3">
        <v>10.8</v>
      </c>
      <c r="AR324" s="3">
        <v>8.3000000000000007</v>
      </c>
      <c r="AS324" s="3">
        <v>30.1</v>
      </c>
      <c r="AT324" s="3">
        <v>36.700000000000003</v>
      </c>
      <c r="AU324" s="3">
        <v>12.7</v>
      </c>
      <c r="AV324" s="3">
        <v>9.3000000000000007</v>
      </c>
      <c r="AW324" s="3">
        <v>9.6999999999999993</v>
      </c>
      <c r="AX324" s="3">
        <v>9.6</v>
      </c>
      <c r="AY324" s="3">
        <v>9.6999999999999993</v>
      </c>
      <c r="AZ324" s="3">
        <v>0</v>
      </c>
      <c r="BA324" s="3">
        <v>0</v>
      </c>
      <c r="BB324" s="3">
        <v>0</v>
      </c>
      <c r="BC324" s="3">
        <v>38.833796647053774</v>
      </c>
      <c r="BD324" s="3">
        <v>19.166203352946226</v>
      </c>
      <c r="BE324" s="3">
        <v>22.466203352946224</v>
      </c>
      <c r="BF324" s="3">
        <v>19.726203352946229</v>
      </c>
      <c r="BG324" s="3">
        <v>12.252870019612885</v>
      </c>
      <c r="BH324" s="3">
        <v>11.092870019612896</v>
      </c>
      <c r="BI324" s="3">
        <v>7.0062033529462227</v>
      </c>
      <c r="BJ324" s="3">
        <v>10.999536686279555</v>
      </c>
      <c r="BK324" s="3">
        <v>12.272870019612888</v>
      </c>
      <c r="BL324" s="3">
        <v>12.446203352946227</v>
      </c>
      <c r="BM324" s="3">
        <v>14.279536686279556</v>
      </c>
      <c r="BN324" s="3">
        <v>11.76287001961289</v>
      </c>
      <c r="BO324" s="3">
        <v>9.2295366862795589</v>
      </c>
      <c r="BP324" s="3">
        <v>9.8462033529462261</v>
      </c>
      <c r="BQ324" s="3">
        <v>9.462870019612879</v>
      </c>
      <c r="BR324" s="3">
        <v>6.6895366862795598</v>
      </c>
      <c r="BS324" s="3">
        <v>7.4928700196128943</v>
      </c>
      <c r="BT324" s="3">
        <v>8.6895366862795598</v>
      </c>
      <c r="BU324" s="3">
        <v>8.1562033529462283</v>
      </c>
      <c r="BV324" s="3">
        <v>7.5728700196128926</v>
      </c>
      <c r="BW324" s="3">
        <v>11.206203352946233</v>
      </c>
      <c r="BX324" s="3">
        <v>8.6262033529462343</v>
      </c>
      <c r="BY324" s="3">
        <v>30.246203352946225</v>
      </c>
      <c r="BZ324" s="3">
        <v>36.976203352946229</v>
      </c>
      <c r="CA324" s="3">
        <v>13.076203352946216</v>
      </c>
      <c r="CB324" s="3">
        <v>9.1128700196128918</v>
      </c>
      <c r="CC324" s="3">
        <v>9.7262033529462215</v>
      </c>
      <c r="CD324" s="3">
        <v>8.9328700196128921</v>
      </c>
      <c r="CE324" s="3">
        <v>9.2262033529462215</v>
      </c>
      <c r="CF324" s="3">
        <v>-0.86046331372044449</v>
      </c>
      <c r="CG324" s="3">
        <v>-1.3937966470537759</v>
      </c>
      <c r="CH324" s="3">
        <v>-2.4704633137204439</v>
      </c>
      <c r="CI324" s="13">
        <f>[1]!dbasum(RecData[[#This Row],[20]:[2000]],RecData[[#Headers],[20]:[2000]])</f>
        <v>17.826358032598701</v>
      </c>
      <c r="CJ324" s="14">
        <v>4331</v>
      </c>
      <c r="CK324" s="15" t="s">
        <v>249</v>
      </c>
      <c r="CL324" s="15">
        <f>RecData[[#This Row],[Start Time]]</f>
        <v>43260.979178240748</v>
      </c>
      <c r="CM324" s="16">
        <f>RecData[[#This Row],[Wind Speed avg]]</f>
        <v>0.22</v>
      </c>
      <c r="CN324" s="16">
        <f>RecData[[#This Row],[Wind Dir. avg]]</f>
        <v>238.6</v>
      </c>
      <c r="CO324" s="16">
        <f>RecData[[#This Row],[Amb. Humidity]]</f>
        <v>83.4</v>
      </c>
      <c r="CP324" s="16">
        <f>RecData[[#This Row],[Amb. Temperature]]</f>
        <v>12.9</v>
      </c>
      <c r="CQ324" s="17">
        <f>RecData[[#This Row],[Amb. Rain Gauge]]</f>
        <v>0</v>
      </c>
      <c r="CR324" s="4" t="s">
        <v>50</v>
      </c>
      <c r="CS324" s="4" t="s">
        <v>49</v>
      </c>
      <c r="CT324" s="70">
        <v>-10.54886913</v>
      </c>
      <c r="CU324" s="70">
        <v>294.43948360000002</v>
      </c>
      <c r="CV324" s="70">
        <v>1.052435875</v>
      </c>
      <c r="CW324" s="70">
        <v>0</v>
      </c>
      <c r="CX324" s="4"/>
      <c r="CY324" s="69"/>
      <c r="CZ324" s="2" t="b">
        <f>IF($DP$1="YES",IF(RecData[[#This Row],[Power (kW)]]&gt;=$CR$3, TRUE,FALSE),TRUE)</f>
        <v>0</v>
      </c>
      <c r="DA324" s="16">
        <f>MIN(MOD(180-ABS(ABS($DA$1-RecData[Yaw Angle (°)])-180),360),MOD(180-ABS(ABS($DB$1-RecData[Yaw Angle (°)])-180),360))</f>
        <v>73.090443177687519</v>
      </c>
      <c r="DB324" s="2" t="str">
        <f>IF($DP$2="None","None",IF(RecData[[#This Row],[Relative Wind Direction]]&lt;=45,"DW",IF(RecData[[#This Row],[Relative Wind Direction]]&lt;=135,"CW","UW")))</f>
        <v>CW</v>
      </c>
      <c r="DC324" s="61">
        <f>IF($CL324-$CL323&gt;1/24,#REF!,IF(SUM($CQ323:$CQ324)&gt;$DS$1,$DS$5,DC325-1))</f>
        <v>-9</v>
      </c>
      <c r="DD324" s="61">
        <f>IF($CL325-$CL324&gt;1/24,#REF!,IF(SUM($CQ323:$CQ324)&gt;$DS$1,$DS$6,DD323-1))</f>
        <v>-2</v>
      </c>
      <c r="DE324" s="18" t="b">
        <v>0</v>
      </c>
      <c r="DF324" s="2" t="b">
        <f>IF(OR(RecData[[#This Row],[WSpd_Avg '[m/s']]]-RecData[[#This Row],[Wind Speed min]]&gt;=$DF$3,RecData[[#This Row],[Wind Speed max]]-RecData[[#This Row],[WSpd_Avg '[m/s']]]&gt;=$DF$2),TRUE,FALSE)</f>
        <v>0</v>
      </c>
      <c r="DG324" s="2" t="b">
        <f>RecData[[#This Row],[Temperature '[°C']]]&lt;=-20</f>
        <v>0</v>
      </c>
      <c r="DH324" s="18" t="b">
        <f>NOT(OR(MOD(RecData[[#This Row],[TIMESTAMP]],1)&gt;0.91632,MOD(RecData[[#This Row],[TIMESTAMP]],1)&lt;0.208681))</f>
        <v>0</v>
      </c>
      <c r="DI324" s="18" t="b">
        <f>RecData[[#This Row],[Overall (dBA)]]-RecData[[#This Row],[L90]]&gt;=$DS$4</f>
        <v>0</v>
      </c>
      <c r="DJ324" s="18" t="b">
        <f>RecData[[#This Row],[Overall (dBA)]]&gt;$DS$2</f>
        <v>0</v>
      </c>
      <c r="DK324" s="18" t="b">
        <f>RecData[[#This Row],[Overall (dBA)]]&lt;$DS$3</f>
        <v>0</v>
      </c>
      <c r="DL3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4" s="2">
        <f>IF(AND(RecData[[#This Row],[Turbines ON/OFF]] = "OFF", NOT(OR(RecData[[#This Row],[Junk?]]="YES",RecData[[#This Row],[Gust?]],RecData[[#This Row],[Rain?]:[Min SPL Threshold?]]))),1,0)</f>
        <v>1</v>
      </c>
      <c r="DN324" s="16">
        <f>RecData[[#This Row],[dBA Sum]]</f>
        <v>17.826358032598701</v>
      </c>
      <c r="DO324" s="16">
        <f>RecData[[#This Row],[LAF90.0]]</f>
        <v>36</v>
      </c>
      <c r="DP324" s="55" t="str">
        <f>IF(AND(RecData[[#This Row],[Useable TON Data?]],RecData[[#This Row],[Turbines ON/OFF]]="ON"),RecData[[#This Row],[dBA Sum]],"")</f>
        <v/>
      </c>
      <c r="DQ324" s="55">
        <f>IF(AND(RecData[[#This Row],[Useable Background Data?]],RecData[[#This Row],[Turbines ON/OFF]]="OFF"),RecData[[#This Row],[dBA Sum]],"")</f>
        <v>17.826358032598701</v>
      </c>
      <c r="DR324" s="3">
        <f>IF(OR(RecData[[#This Row],[Useable TON Data?]],RecData[[#This Row],[Useable Background Data?]]),ROUND(RecData[[#This Row],[WSpd_Avg '[m/s']]],0),"")</f>
        <v>0</v>
      </c>
      <c r="DS324" s="85">
        <f>(0.00002)^2*(10^(RecData[[#This Row],[Overall (dBA)]]/10))</f>
        <v>2.4249109497326239E-8</v>
      </c>
    </row>
    <row r="325" spans="1:123" ht="15" x14ac:dyDescent="0.25">
      <c r="A325" s="3" t="s">
        <v>249</v>
      </c>
      <c r="B325" s="12">
        <v>43260.979872685188</v>
      </c>
      <c r="C325" s="3"/>
      <c r="D325" s="3">
        <v>37.200000000000003</v>
      </c>
      <c r="E325" s="3"/>
      <c r="F325" s="3"/>
      <c r="G325" s="3"/>
      <c r="H325" s="3"/>
      <c r="I325" s="3"/>
      <c r="J325" s="3"/>
      <c r="K325" s="3">
        <v>33.9</v>
      </c>
      <c r="L325" s="3"/>
      <c r="M325" s="3"/>
      <c r="N325" s="3">
        <v>204.9</v>
      </c>
      <c r="O325" s="3"/>
      <c r="P325" s="3"/>
      <c r="Q325" s="3">
        <v>0.28999999999999998</v>
      </c>
      <c r="R325" s="3">
        <v>0.2</v>
      </c>
      <c r="S325" s="3">
        <v>0.4</v>
      </c>
      <c r="T325" s="3">
        <v>12.9</v>
      </c>
      <c r="U325" s="3">
        <v>83</v>
      </c>
      <c r="V325" s="3">
        <v>975.7</v>
      </c>
      <c r="W325" s="3">
        <v>0</v>
      </c>
      <c r="X325" s="3">
        <v>16.8</v>
      </c>
      <c r="Y325" s="3">
        <v>19.100000000000001</v>
      </c>
      <c r="Z325" s="3">
        <v>18.8</v>
      </c>
      <c r="AA325" s="3">
        <v>10</v>
      </c>
      <c r="AB325" s="3">
        <v>9.9</v>
      </c>
      <c r="AC325" s="3">
        <v>6.6</v>
      </c>
      <c r="AD325" s="3">
        <v>8.6</v>
      </c>
      <c r="AE325" s="3">
        <v>9.9</v>
      </c>
      <c r="AF325" s="3">
        <v>12.7</v>
      </c>
      <c r="AG325" s="3">
        <v>13</v>
      </c>
      <c r="AH325" s="3">
        <v>10.7</v>
      </c>
      <c r="AI325" s="3">
        <v>9.6</v>
      </c>
      <c r="AJ325" s="3">
        <v>10.4</v>
      </c>
      <c r="AK325" s="3">
        <v>9.6</v>
      </c>
      <c r="AL325" s="3">
        <v>6.2</v>
      </c>
      <c r="AM325" s="3">
        <v>7.2</v>
      </c>
      <c r="AN325" s="3">
        <v>8.5</v>
      </c>
      <c r="AO325" s="3">
        <v>8</v>
      </c>
      <c r="AP325" s="3">
        <v>7.6</v>
      </c>
      <c r="AQ325" s="3">
        <v>9.6999999999999993</v>
      </c>
      <c r="AR325" s="3">
        <v>7.9</v>
      </c>
      <c r="AS325" s="3">
        <v>26.7</v>
      </c>
      <c r="AT325" s="3">
        <v>35.4</v>
      </c>
      <c r="AU325" s="3">
        <v>11.7</v>
      </c>
      <c r="AV325" s="3">
        <v>9.1999999999999993</v>
      </c>
      <c r="AW325" s="3">
        <v>9.6</v>
      </c>
      <c r="AX325" s="3">
        <v>9.6</v>
      </c>
      <c r="AY325" s="3">
        <v>9.6999999999999993</v>
      </c>
      <c r="AZ325" s="3">
        <v>0</v>
      </c>
      <c r="BA325" s="3">
        <v>0</v>
      </c>
      <c r="BB325" s="3">
        <v>0</v>
      </c>
      <c r="BC325" s="3">
        <v>37.24004062481071</v>
      </c>
      <c r="BD325" s="3">
        <v>16.75995937518929</v>
      </c>
      <c r="BE325" s="3">
        <v>19.059959375189294</v>
      </c>
      <c r="BF325" s="3">
        <v>17.519959375189295</v>
      </c>
      <c r="BG325" s="3">
        <v>9.0466260418559585</v>
      </c>
      <c r="BH325" s="3">
        <v>9.0866260418559577</v>
      </c>
      <c r="BI325" s="3">
        <v>6.1999593751892945</v>
      </c>
      <c r="BJ325" s="3">
        <v>8.993292708522624</v>
      </c>
      <c r="BK325" s="3">
        <v>10.166626041855956</v>
      </c>
      <c r="BL325" s="3">
        <v>12.539959375189291</v>
      </c>
      <c r="BM325" s="3">
        <v>12.973292708522628</v>
      </c>
      <c r="BN325" s="3">
        <v>10.956626041855962</v>
      </c>
      <c r="BO325" s="3">
        <v>9.2232927085226279</v>
      </c>
      <c r="BP325" s="3">
        <v>9.7399593751892937</v>
      </c>
      <c r="BQ325" s="3">
        <v>9.3566260418559537</v>
      </c>
      <c r="BR325" s="3">
        <v>6.2832927085226302</v>
      </c>
      <c r="BS325" s="3">
        <v>7.0866260418559577</v>
      </c>
      <c r="BT325" s="3">
        <v>8.5832927085226274</v>
      </c>
      <c r="BU325" s="3">
        <v>8.0499593751892959</v>
      </c>
      <c r="BV325" s="3">
        <v>7.3666260418559588</v>
      </c>
      <c r="BW325" s="3">
        <v>9.9999593751892988</v>
      </c>
      <c r="BX325" s="3">
        <v>8.1199593751892962</v>
      </c>
      <c r="BY325" s="3">
        <v>26.739959375189294</v>
      </c>
      <c r="BZ325" s="3">
        <v>35.569959375189292</v>
      </c>
      <c r="CA325" s="3">
        <v>11.969959375189283</v>
      </c>
      <c r="CB325" s="3">
        <v>8.906626041855958</v>
      </c>
      <c r="CC325" s="3">
        <v>9.5199593751892948</v>
      </c>
      <c r="CD325" s="3">
        <v>8.8266260418559668</v>
      </c>
      <c r="CE325" s="3">
        <v>9.1199593751892891</v>
      </c>
      <c r="CF325" s="3">
        <v>-0.96670729147737688</v>
      </c>
      <c r="CG325" s="3">
        <v>-1.5000406248107083</v>
      </c>
      <c r="CH325" s="3">
        <v>-2.5767072914773763</v>
      </c>
      <c r="CI325" s="13">
        <f>[1]!dbasum(RecData[[#This Row],[20]:[2000]],RecData[[#Headers],[20]:[2000]])</f>
        <v>17.29504537534438</v>
      </c>
      <c r="CJ325" s="14">
        <v>4332</v>
      </c>
      <c r="CK325" s="15" t="s">
        <v>249</v>
      </c>
      <c r="CL325" s="15">
        <f>RecData[[#This Row],[Start Time]]</f>
        <v>43260.979872685188</v>
      </c>
      <c r="CM325" s="16">
        <f>RecData[[#This Row],[Wind Speed avg]]</f>
        <v>0.28999999999999998</v>
      </c>
      <c r="CN325" s="16">
        <f>RecData[[#This Row],[Wind Dir. avg]]</f>
        <v>204.9</v>
      </c>
      <c r="CO325" s="16">
        <f>RecData[[#This Row],[Amb. Humidity]]</f>
        <v>83</v>
      </c>
      <c r="CP325" s="16">
        <f>RecData[[#This Row],[Amb. Temperature]]</f>
        <v>12.9</v>
      </c>
      <c r="CQ325" s="17">
        <f>RecData[[#This Row],[Amb. Rain Gauge]]</f>
        <v>0</v>
      </c>
      <c r="CR325" s="4" t="s">
        <v>50</v>
      </c>
      <c r="CS325" s="4" t="s">
        <v>49</v>
      </c>
      <c r="CT325" s="70">
        <v>-10.54886913</v>
      </c>
      <c r="CU325" s="70">
        <v>294.43948360000002</v>
      </c>
      <c r="CV325" s="70">
        <v>1.052435875</v>
      </c>
      <c r="CW325" s="70">
        <v>0</v>
      </c>
      <c r="CX325" s="4"/>
      <c r="CY325" s="69"/>
      <c r="CZ325" s="2" t="b">
        <f>IF($DP$1="YES",IF(RecData[[#This Row],[Power (kW)]]&gt;=$CR$3, TRUE,FALSE),TRUE)</f>
        <v>0</v>
      </c>
      <c r="DA325" s="16">
        <f>MIN(MOD(180-ABS(ABS($DA$1-RecData[Yaw Angle (°)])-180),360),MOD(180-ABS(ABS($DB$1-RecData[Yaw Angle (°)])-180),360))</f>
        <v>73.090443177687519</v>
      </c>
      <c r="DB325" s="2" t="str">
        <f>IF($DP$2="None","None",IF(RecData[[#This Row],[Relative Wind Direction]]&lt;=45,"DW",IF(RecData[[#This Row],[Relative Wind Direction]]&lt;=135,"CW","UW")))</f>
        <v>CW</v>
      </c>
      <c r="DC325" s="61">
        <f>IF($CL325-$CL323&gt;1/24,#REF!,IF(SUM($CQ323:$CQ325)&gt;$DS$1,$DS$5,DC326-1))</f>
        <v>-8</v>
      </c>
      <c r="DD325" s="61">
        <f>IF($CL326-$CL325&gt;1/24,#REF!,IF(SUM($CQ323:$CQ325)&gt;$DS$1,$DS$6,DD324-1))</f>
        <v>-3</v>
      </c>
      <c r="DE325" s="18" t="b">
        <v>0</v>
      </c>
      <c r="DF325" s="2" t="b">
        <f>IF(OR(RecData[[#This Row],[WSpd_Avg '[m/s']]]-RecData[[#This Row],[Wind Speed min]]&gt;=$DF$3,RecData[[#This Row],[Wind Speed max]]-RecData[[#This Row],[WSpd_Avg '[m/s']]]&gt;=$DF$2),TRUE,FALSE)</f>
        <v>0</v>
      </c>
      <c r="DG325" s="2" t="b">
        <f>RecData[[#This Row],[Temperature '[°C']]]&lt;=-20</f>
        <v>0</v>
      </c>
      <c r="DH325" s="18" t="b">
        <f>NOT(OR(MOD(RecData[[#This Row],[TIMESTAMP]],1)&gt;0.91632,MOD(RecData[[#This Row],[TIMESTAMP]],1)&lt;0.208681))</f>
        <v>0</v>
      </c>
      <c r="DI325" s="18" t="b">
        <f>RecData[[#This Row],[Overall (dBA)]]-RecData[[#This Row],[L90]]&gt;=$DS$4</f>
        <v>0</v>
      </c>
      <c r="DJ325" s="18" t="b">
        <f>RecData[[#This Row],[Overall (dBA)]]&gt;$DS$2</f>
        <v>0</v>
      </c>
      <c r="DK325" s="18" t="b">
        <f>RecData[[#This Row],[Overall (dBA)]]&lt;$DS$3</f>
        <v>0</v>
      </c>
      <c r="DL3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5" s="2">
        <f>IF(AND(RecData[[#This Row],[Turbines ON/OFF]] = "OFF", NOT(OR(RecData[[#This Row],[Junk?]]="YES",RecData[[#This Row],[Gust?]],RecData[[#This Row],[Rain?]:[Min SPL Threshold?]]))),1,0)</f>
        <v>1</v>
      </c>
      <c r="DN325" s="16">
        <f>RecData[[#This Row],[dBA Sum]]</f>
        <v>17.29504537534438</v>
      </c>
      <c r="DO325" s="16">
        <f>RecData[[#This Row],[LAF90.0]]</f>
        <v>33.9</v>
      </c>
      <c r="DP325" s="55" t="str">
        <f>IF(AND(RecData[[#This Row],[Useable TON Data?]],RecData[[#This Row],[Turbines ON/OFF]]="ON"),RecData[[#This Row],[dBA Sum]],"")</f>
        <v/>
      </c>
      <c r="DQ325" s="55">
        <f>IF(AND(RecData[[#This Row],[Useable Background Data?]],RecData[[#This Row],[Turbines ON/OFF]]="OFF"),RecData[[#This Row],[dBA Sum]],"")</f>
        <v>17.29504537534438</v>
      </c>
      <c r="DR325" s="3">
        <f>IF(OR(RecData[[#This Row],[Useable TON Data?]],RecData[[#This Row],[Useable Background Data?]]),ROUND(RecData[[#This Row],[WSpd_Avg '[m/s']]],0),"")</f>
        <v>0</v>
      </c>
      <c r="DS325" s="85">
        <f>(0.00002)^2*(10^(RecData[[#This Row],[Overall (dBA)]]/10))</f>
        <v>2.1456779038137424E-8</v>
      </c>
    </row>
    <row r="326" spans="1:123" ht="15" x14ac:dyDescent="0.25">
      <c r="A326" s="3" t="s">
        <v>249</v>
      </c>
      <c r="B326" s="12">
        <v>43260.980567129634</v>
      </c>
      <c r="C326" s="3"/>
      <c r="D326" s="3">
        <v>36.1</v>
      </c>
      <c r="E326" s="3"/>
      <c r="F326" s="3"/>
      <c r="G326" s="3"/>
      <c r="H326" s="3"/>
      <c r="I326" s="3"/>
      <c r="J326" s="3"/>
      <c r="K326" s="3">
        <v>32.799999999999997</v>
      </c>
      <c r="L326" s="3"/>
      <c r="M326" s="3"/>
      <c r="N326" s="3">
        <v>185.2</v>
      </c>
      <c r="O326" s="3"/>
      <c r="P326" s="3"/>
      <c r="Q326" s="3">
        <v>0.25</v>
      </c>
      <c r="R326" s="3">
        <v>0.2</v>
      </c>
      <c r="S326" s="3">
        <v>0.3</v>
      </c>
      <c r="T326" s="3">
        <v>12.9</v>
      </c>
      <c r="U326" s="3">
        <v>83</v>
      </c>
      <c r="V326" s="3">
        <v>975.7</v>
      </c>
      <c r="W326" s="3">
        <v>0</v>
      </c>
      <c r="X326" s="3">
        <v>19.2</v>
      </c>
      <c r="Y326" s="3">
        <v>21.6</v>
      </c>
      <c r="Z326" s="3">
        <v>19.100000000000001</v>
      </c>
      <c r="AA326" s="3">
        <v>14.4</v>
      </c>
      <c r="AB326" s="3">
        <v>11.9</v>
      </c>
      <c r="AC326" s="3">
        <v>6.5</v>
      </c>
      <c r="AD326" s="3">
        <v>6.8</v>
      </c>
      <c r="AE326" s="3">
        <v>9</v>
      </c>
      <c r="AF326" s="3">
        <v>11.9</v>
      </c>
      <c r="AG326" s="3">
        <v>11.9</v>
      </c>
      <c r="AH326" s="3">
        <v>10.5</v>
      </c>
      <c r="AI326" s="3">
        <v>10.3</v>
      </c>
      <c r="AJ326" s="3">
        <v>10.1</v>
      </c>
      <c r="AK326" s="3">
        <v>8.5</v>
      </c>
      <c r="AL326" s="3">
        <v>6.4</v>
      </c>
      <c r="AM326" s="3">
        <v>7.6</v>
      </c>
      <c r="AN326" s="3">
        <v>9.8000000000000007</v>
      </c>
      <c r="AO326" s="3">
        <v>8.4</v>
      </c>
      <c r="AP326" s="3">
        <v>7.8</v>
      </c>
      <c r="AQ326" s="3">
        <v>9.6999999999999993</v>
      </c>
      <c r="AR326" s="3">
        <v>7.8</v>
      </c>
      <c r="AS326" s="3">
        <v>26.8</v>
      </c>
      <c r="AT326" s="3">
        <v>33.9</v>
      </c>
      <c r="AU326" s="3">
        <v>10.9</v>
      </c>
      <c r="AV326" s="3">
        <v>9.6</v>
      </c>
      <c r="AW326" s="3">
        <v>10.1</v>
      </c>
      <c r="AX326" s="3">
        <v>9.8000000000000007</v>
      </c>
      <c r="AY326" s="3">
        <v>9.9</v>
      </c>
      <c r="AZ326" s="3">
        <v>0</v>
      </c>
      <c r="BA326" s="3">
        <v>0</v>
      </c>
      <c r="BB326" s="3">
        <v>0</v>
      </c>
      <c r="BC326" s="3">
        <v>35.997484873748682</v>
      </c>
      <c r="BD326" s="3">
        <v>19.302515126251315</v>
      </c>
      <c r="BE326" s="3">
        <v>21.702515126251321</v>
      </c>
      <c r="BF326" s="3">
        <v>17.962515126251326</v>
      </c>
      <c r="BG326" s="3">
        <v>13.589181792917984</v>
      </c>
      <c r="BH326" s="3">
        <v>11.229181792917991</v>
      </c>
      <c r="BI326" s="3">
        <v>6.2425151262513197</v>
      </c>
      <c r="BJ326" s="3">
        <v>7.3358484595846534</v>
      </c>
      <c r="BK326" s="3">
        <v>9.409181792917984</v>
      </c>
      <c r="BL326" s="3">
        <v>11.88251512625132</v>
      </c>
      <c r="BM326" s="3">
        <v>12.015848459584653</v>
      </c>
      <c r="BN326" s="3">
        <v>10.899181792917986</v>
      </c>
      <c r="BO326" s="3">
        <v>10.065848459584657</v>
      </c>
      <c r="BP326" s="3">
        <v>9.582515126251316</v>
      </c>
      <c r="BQ326" s="3">
        <v>8.3991817929179788</v>
      </c>
      <c r="BR326" s="3">
        <v>6.6258484595846525</v>
      </c>
      <c r="BS326" s="3">
        <v>7.6291817929179828</v>
      </c>
      <c r="BT326" s="3">
        <v>10.025848459584658</v>
      </c>
      <c r="BU326" s="3">
        <v>8.5925151262513211</v>
      </c>
      <c r="BV326" s="3">
        <v>7.7091817929179882</v>
      </c>
      <c r="BW326" s="3">
        <v>10.142515126251318</v>
      </c>
      <c r="BX326" s="3">
        <v>8.1625151262513285</v>
      </c>
      <c r="BY326" s="3">
        <v>26.982515126251322</v>
      </c>
      <c r="BZ326" s="3">
        <v>34.212515126251326</v>
      </c>
      <c r="CA326" s="3">
        <v>11.312515126251313</v>
      </c>
      <c r="CB326" s="3">
        <v>9.4491817929179831</v>
      </c>
      <c r="CC326" s="3">
        <v>10.162515126251314</v>
      </c>
      <c r="CD326" s="3">
        <v>9.1691817929179891</v>
      </c>
      <c r="CE326" s="3">
        <v>9.4625151262513185</v>
      </c>
      <c r="CF326" s="3">
        <v>-0.82415154041535033</v>
      </c>
      <c r="CG326" s="3">
        <v>-1.3574848737486818</v>
      </c>
      <c r="CH326" s="3">
        <v>-2.4341515404153498</v>
      </c>
      <c r="CI326" s="13">
        <f>[1]!dbasum(RecData[[#This Row],[20]:[2000]],RecData[[#Headers],[20]:[2000]])</f>
        <v>17.61881201773479</v>
      </c>
      <c r="CJ326" s="14">
        <v>4333</v>
      </c>
      <c r="CK326" s="15" t="s">
        <v>249</v>
      </c>
      <c r="CL326" s="15">
        <f>RecData[[#This Row],[Start Time]]</f>
        <v>43260.980567129634</v>
      </c>
      <c r="CM326" s="16">
        <f>RecData[[#This Row],[Wind Speed avg]]</f>
        <v>0.25</v>
      </c>
      <c r="CN326" s="16">
        <f>RecData[[#This Row],[Wind Dir. avg]]</f>
        <v>185.2</v>
      </c>
      <c r="CO326" s="16">
        <f>RecData[[#This Row],[Amb. Humidity]]</f>
        <v>83</v>
      </c>
      <c r="CP326" s="16">
        <f>RecData[[#This Row],[Amb. Temperature]]</f>
        <v>12.9</v>
      </c>
      <c r="CQ326" s="17">
        <f>RecData[[#This Row],[Amb. Rain Gauge]]</f>
        <v>0</v>
      </c>
      <c r="CR326" s="4" t="s">
        <v>50</v>
      </c>
      <c r="CS326" s="4" t="s">
        <v>49</v>
      </c>
      <c r="CT326" s="70">
        <v>-10.54886913</v>
      </c>
      <c r="CU326" s="70">
        <v>294.43948360000002</v>
      </c>
      <c r="CV326" s="70">
        <v>1.052435875</v>
      </c>
      <c r="CW326" s="70">
        <v>0</v>
      </c>
      <c r="CX326" s="4"/>
      <c r="CY326" s="69"/>
      <c r="CZ326" s="2" t="b">
        <f>IF($DP$1="YES",IF(RecData[[#This Row],[Power (kW)]]&gt;=$CR$3, TRUE,FALSE),TRUE)</f>
        <v>0</v>
      </c>
      <c r="DA326" s="16">
        <f>MIN(MOD(180-ABS(ABS($DA$1-RecData[Yaw Angle (°)])-180),360),MOD(180-ABS(ABS($DB$1-RecData[Yaw Angle (°)])-180),360))</f>
        <v>73.090443177687519</v>
      </c>
      <c r="DB326" s="2" t="str">
        <f>IF($DP$2="None","None",IF(RecData[[#This Row],[Relative Wind Direction]]&lt;=45,"DW",IF(RecData[[#This Row],[Relative Wind Direction]]&lt;=135,"CW","UW")))</f>
        <v>CW</v>
      </c>
      <c r="DC326" s="61">
        <f>IF($CL326-$CL323&gt;1/24,#REF!,IF(SUM($CQ323:$CQ326)&gt;$DS$1,$DS$5,DC327-1))</f>
        <v>-7</v>
      </c>
      <c r="DD326" s="61">
        <f>IF($CL327-$CL326&gt;1/24,#REF!,IF(SUM($CQ323:$CQ326)&gt;$DS$1,$DS$6,DD325-1))</f>
        <v>-4</v>
      </c>
      <c r="DE326" s="18" t="b">
        <v>0</v>
      </c>
      <c r="DF326" s="2" t="b">
        <f>IF(OR(RecData[[#This Row],[WSpd_Avg '[m/s']]]-RecData[[#This Row],[Wind Speed min]]&gt;=$DF$3,RecData[[#This Row],[Wind Speed max]]-RecData[[#This Row],[WSpd_Avg '[m/s']]]&gt;=$DF$2),TRUE,FALSE)</f>
        <v>0</v>
      </c>
      <c r="DG326" s="2" t="b">
        <f>RecData[[#This Row],[Temperature '[°C']]]&lt;=-20</f>
        <v>0</v>
      </c>
      <c r="DH326" s="18" t="b">
        <f>NOT(OR(MOD(RecData[[#This Row],[TIMESTAMP]],1)&gt;0.91632,MOD(RecData[[#This Row],[TIMESTAMP]],1)&lt;0.208681))</f>
        <v>0</v>
      </c>
      <c r="DI326" s="18" t="b">
        <f>RecData[[#This Row],[Overall (dBA)]]-RecData[[#This Row],[L90]]&gt;=$DS$4</f>
        <v>0</v>
      </c>
      <c r="DJ326" s="18" t="b">
        <f>RecData[[#This Row],[Overall (dBA)]]&gt;$DS$2</f>
        <v>0</v>
      </c>
      <c r="DK326" s="18" t="b">
        <f>RecData[[#This Row],[Overall (dBA)]]&lt;$DS$3</f>
        <v>0</v>
      </c>
      <c r="DL3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6" s="2">
        <f>IF(AND(RecData[[#This Row],[Turbines ON/OFF]] = "OFF", NOT(OR(RecData[[#This Row],[Junk?]]="YES",RecData[[#This Row],[Gust?]],RecData[[#This Row],[Rain?]:[Min SPL Threshold?]]))),1,0)</f>
        <v>1</v>
      </c>
      <c r="DN326" s="16">
        <f>RecData[[#This Row],[dBA Sum]]</f>
        <v>17.61881201773479</v>
      </c>
      <c r="DO326" s="16">
        <f>RecData[[#This Row],[LAF90.0]]</f>
        <v>32.799999999999997</v>
      </c>
      <c r="DP326" s="55" t="str">
        <f>IF(AND(RecData[[#This Row],[Useable TON Data?]],RecData[[#This Row],[Turbines ON/OFF]]="ON"),RecData[[#This Row],[dBA Sum]],"")</f>
        <v/>
      </c>
      <c r="DQ326" s="55">
        <f>IF(AND(RecData[[#This Row],[Useable Background Data?]],RecData[[#This Row],[Turbines ON/OFF]]="OFF"),RecData[[#This Row],[dBA Sum]],"")</f>
        <v>17.61881201773479</v>
      </c>
      <c r="DR326" s="3">
        <f>IF(OR(RecData[[#This Row],[Useable TON Data?]],RecData[[#This Row],[Useable Background Data?]]),ROUND(RecData[[#This Row],[WSpd_Avg '[m/s']]],0),"")</f>
        <v>0</v>
      </c>
      <c r="DS326" s="85">
        <f>(0.00002)^2*(10^(RecData[[#This Row],[Overall (dBA)]]/10))</f>
        <v>2.3117517395607119E-8</v>
      </c>
    </row>
    <row r="327" spans="1:123" ht="15" x14ac:dyDescent="0.25">
      <c r="A327" s="3" t="s">
        <v>249</v>
      </c>
      <c r="B327" s="12">
        <v>43260.981261574081</v>
      </c>
      <c r="C327" s="3"/>
      <c r="D327" s="3">
        <v>35.700000000000003</v>
      </c>
      <c r="E327" s="3"/>
      <c r="F327" s="3"/>
      <c r="G327" s="3"/>
      <c r="H327" s="3"/>
      <c r="I327" s="3"/>
      <c r="J327" s="3"/>
      <c r="K327" s="3">
        <v>32.4</v>
      </c>
      <c r="L327" s="3"/>
      <c r="M327" s="3"/>
      <c r="N327" s="3">
        <v>158.30000000000001</v>
      </c>
      <c r="O327" s="3"/>
      <c r="P327" s="3"/>
      <c r="Q327" s="3">
        <v>0.37</v>
      </c>
      <c r="R327" s="3">
        <v>0.3</v>
      </c>
      <c r="S327" s="3">
        <v>0.4</v>
      </c>
      <c r="T327" s="3">
        <v>12.9</v>
      </c>
      <c r="U327" s="3">
        <v>83.1</v>
      </c>
      <c r="V327" s="3">
        <v>975.7</v>
      </c>
      <c r="W327" s="3">
        <v>0</v>
      </c>
      <c r="X327" s="3">
        <v>26.2</v>
      </c>
      <c r="Y327" s="3">
        <v>23.3</v>
      </c>
      <c r="Z327" s="3">
        <v>30.1</v>
      </c>
      <c r="AA327" s="3">
        <v>23</v>
      </c>
      <c r="AB327" s="3">
        <v>13.1</v>
      </c>
      <c r="AC327" s="3">
        <v>9.9</v>
      </c>
      <c r="AD327" s="3">
        <v>9</v>
      </c>
      <c r="AE327" s="3">
        <v>10.9</v>
      </c>
      <c r="AF327" s="3">
        <v>12.9</v>
      </c>
      <c r="AG327" s="3">
        <v>13.9</v>
      </c>
      <c r="AH327" s="3">
        <v>11.6</v>
      </c>
      <c r="AI327" s="3">
        <v>10.199999999999999</v>
      </c>
      <c r="AJ327" s="3">
        <v>10.1</v>
      </c>
      <c r="AK327" s="3">
        <v>8.1</v>
      </c>
      <c r="AL327" s="3">
        <v>7.3</v>
      </c>
      <c r="AM327" s="3">
        <v>10.3</v>
      </c>
      <c r="AN327" s="3">
        <v>12.1</v>
      </c>
      <c r="AO327" s="3">
        <v>9.9</v>
      </c>
      <c r="AP327" s="3">
        <v>7.5</v>
      </c>
      <c r="AQ327" s="3">
        <v>10.199999999999999</v>
      </c>
      <c r="AR327" s="3">
        <v>8.1999999999999993</v>
      </c>
      <c r="AS327" s="3">
        <v>25.6</v>
      </c>
      <c r="AT327" s="3">
        <v>33.700000000000003</v>
      </c>
      <c r="AU327" s="3">
        <v>11</v>
      </c>
      <c r="AV327" s="3">
        <v>9</v>
      </c>
      <c r="AW327" s="3">
        <v>9.4</v>
      </c>
      <c r="AX327" s="3">
        <v>9.5</v>
      </c>
      <c r="AY327" s="3">
        <v>9.6999999999999993</v>
      </c>
      <c r="AZ327" s="3">
        <v>0</v>
      </c>
      <c r="BA327" s="3">
        <v>0</v>
      </c>
      <c r="BB327" s="3">
        <v>0</v>
      </c>
      <c r="BC327" s="3">
        <v>35.670182222227027</v>
      </c>
      <c r="BD327" s="3">
        <v>26.229817777772979</v>
      </c>
      <c r="BE327" s="3">
        <v>23.329817777772973</v>
      </c>
      <c r="BF327" s="3">
        <v>28.889817777772976</v>
      </c>
      <c r="BG327" s="3">
        <v>22.116484444439635</v>
      </c>
      <c r="BH327" s="3">
        <v>12.356484444439644</v>
      </c>
      <c r="BI327" s="3">
        <v>9.5698177777729754</v>
      </c>
      <c r="BJ327" s="3">
        <v>9.4631511111063062</v>
      </c>
      <c r="BK327" s="3">
        <v>11.23648444443964</v>
      </c>
      <c r="BL327" s="3">
        <v>12.809817777772977</v>
      </c>
      <c r="BM327" s="3">
        <v>13.94315111110631</v>
      </c>
      <c r="BN327" s="3">
        <v>11.926484444439645</v>
      </c>
      <c r="BO327" s="3">
        <v>9.8931511111063131</v>
      </c>
      <c r="BP327" s="3">
        <v>9.5098177777729802</v>
      </c>
      <c r="BQ327" s="3">
        <v>7.9264844444396303</v>
      </c>
      <c r="BR327" s="3">
        <v>7.4531511111063082</v>
      </c>
      <c r="BS327" s="3">
        <v>10.256484444439643</v>
      </c>
      <c r="BT327" s="3">
        <v>12.253151111106312</v>
      </c>
      <c r="BU327" s="3">
        <v>10.019817777772978</v>
      </c>
      <c r="BV327" s="3">
        <v>7.3364844444396411</v>
      </c>
      <c r="BW327" s="3">
        <v>10.569817777772982</v>
      </c>
      <c r="BX327" s="3">
        <v>8.4898177777729842</v>
      </c>
      <c r="BY327" s="3">
        <v>25.709817777772976</v>
      </c>
      <c r="BZ327" s="3">
        <v>33.939817777772987</v>
      </c>
      <c r="CA327" s="3">
        <v>11.339817777772971</v>
      </c>
      <c r="CB327" s="3">
        <v>8.7764844444396388</v>
      </c>
      <c r="CC327" s="3">
        <v>9.3898177777729757</v>
      </c>
      <c r="CD327" s="3">
        <v>8.7964844444396491</v>
      </c>
      <c r="CE327" s="3">
        <v>9.1898177777729728</v>
      </c>
      <c r="CF327" s="3">
        <v>-0.89684888889369319</v>
      </c>
      <c r="CG327" s="3">
        <v>-1.4301822222270246</v>
      </c>
      <c r="CH327" s="3">
        <v>-2.5068488888936926</v>
      </c>
      <c r="CI327" s="13">
        <f>[1]!dbasum(RecData[[#This Row],[20]:[2000]],RecData[[#Headers],[20]:[2000]])</f>
        <v>18.567982053432925</v>
      </c>
      <c r="CJ327" s="14">
        <v>4334</v>
      </c>
      <c r="CK327" s="15" t="s">
        <v>249</v>
      </c>
      <c r="CL327" s="15">
        <f>RecData[[#This Row],[Start Time]]</f>
        <v>43260.981261574081</v>
      </c>
      <c r="CM327" s="16">
        <f>RecData[[#This Row],[Wind Speed avg]]</f>
        <v>0.37</v>
      </c>
      <c r="CN327" s="16">
        <f>RecData[[#This Row],[Wind Dir. avg]]</f>
        <v>158.30000000000001</v>
      </c>
      <c r="CO327" s="16">
        <f>RecData[[#This Row],[Amb. Humidity]]</f>
        <v>83.1</v>
      </c>
      <c r="CP327" s="16">
        <f>RecData[[#This Row],[Amb. Temperature]]</f>
        <v>12.9</v>
      </c>
      <c r="CQ327" s="17">
        <f>RecData[[#This Row],[Amb. Rain Gauge]]</f>
        <v>0</v>
      </c>
      <c r="CR327" s="4" t="s">
        <v>50</v>
      </c>
      <c r="CS327" s="4" t="s">
        <v>49</v>
      </c>
      <c r="CT327" s="70">
        <v>-10.54886913</v>
      </c>
      <c r="CU327" s="70">
        <v>294.43948360000002</v>
      </c>
      <c r="CV327" s="70">
        <v>1.052435875</v>
      </c>
      <c r="CW327" s="70">
        <v>0</v>
      </c>
      <c r="CX327" s="4"/>
      <c r="CY327" s="69"/>
      <c r="CZ327" s="2" t="b">
        <f>IF($DP$1="YES",IF(RecData[[#This Row],[Power (kW)]]&gt;=$CR$3, TRUE,FALSE),TRUE)</f>
        <v>0</v>
      </c>
      <c r="DA327" s="16">
        <f>MIN(MOD(180-ABS(ABS($DA$1-RecData[Yaw Angle (°)])-180),360),MOD(180-ABS(ABS($DB$1-RecData[Yaw Angle (°)])-180),360))</f>
        <v>73.090443177687519</v>
      </c>
      <c r="DB327" s="2" t="str">
        <f>IF($DP$2="None","None",IF(RecData[[#This Row],[Relative Wind Direction]]&lt;=45,"DW",IF(RecData[[#This Row],[Relative Wind Direction]]&lt;=135,"CW","UW")))</f>
        <v>CW</v>
      </c>
      <c r="DC327" s="61">
        <f>IF($CL327-$CL323&gt;1/24,#REF!,IF(SUM($CQ323:$CQ327)&gt;$DS$1,$DS$5,DC328-1))</f>
        <v>-6</v>
      </c>
      <c r="DD327" s="61">
        <f>IF($CL328-$CL327&gt;1/24,#REF!,IF(SUM($CQ323:$CQ327)&gt;$DS$1,$DS$6,DD326-1))</f>
        <v>-5</v>
      </c>
      <c r="DE327" s="18" t="b">
        <v>0</v>
      </c>
      <c r="DF327" s="2" t="b">
        <f>IF(OR(RecData[[#This Row],[WSpd_Avg '[m/s']]]-RecData[[#This Row],[Wind Speed min]]&gt;=$DF$3,RecData[[#This Row],[Wind Speed max]]-RecData[[#This Row],[WSpd_Avg '[m/s']]]&gt;=$DF$2),TRUE,FALSE)</f>
        <v>0</v>
      </c>
      <c r="DG327" s="2" t="b">
        <f>RecData[[#This Row],[Temperature '[°C']]]&lt;=-20</f>
        <v>0</v>
      </c>
      <c r="DH327" s="18" t="b">
        <f>NOT(OR(MOD(RecData[[#This Row],[TIMESTAMP]],1)&gt;0.91632,MOD(RecData[[#This Row],[TIMESTAMP]],1)&lt;0.208681))</f>
        <v>0</v>
      </c>
      <c r="DI327" s="18" t="b">
        <f>RecData[[#This Row],[Overall (dBA)]]-RecData[[#This Row],[L90]]&gt;=$DS$4</f>
        <v>0</v>
      </c>
      <c r="DJ327" s="18" t="b">
        <f>RecData[[#This Row],[Overall (dBA)]]&gt;$DS$2</f>
        <v>0</v>
      </c>
      <c r="DK327" s="18" t="b">
        <f>RecData[[#This Row],[Overall (dBA)]]&lt;$DS$3</f>
        <v>0</v>
      </c>
      <c r="DL3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7" s="2">
        <f>IF(AND(RecData[[#This Row],[Turbines ON/OFF]] = "OFF", NOT(OR(RecData[[#This Row],[Junk?]]="YES",RecData[[#This Row],[Gust?]],RecData[[#This Row],[Rain?]:[Min SPL Threshold?]]))),1,0)</f>
        <v>1</v>
      </c>
      <c r="DN327" s="16">
        <f>RecData[[#This Row],[dBA Sum]]</f>
        <v>18.567982053432925</v>
      </c>
      <c r="DO327" s="16">
        <f>RecData[[#This Row],[LAF90.0]]</f>
        <v>32.4</v>
      </c>
      <c r="DP327" s="55" t="str">
        <f>IF(AND(RecData[[#This Row],[Useable TON Data?]],RecData[[#This Row],[Turbines ON/OFF]]="ON"),RecData[[#This Row],[dBA Sum]],"")</f>
        <v/>
      </c>
      <c r="DQ327" s="55">
        <f>IF(AND(RecData[[#This Row],[Useable Background Data?]],RecData[[#This Row],[Turbines ON/OFF]]="OFF"),RecData[[#This Row],[dBA Sum]],"")</f>
        <v>18.567982053432925</v>
      </c>
      <c r="DR327" s="3">
        <f>IF(OR(RecData[[#This Row],[Useable TON Data?]],RecData[[#This Row],[Useable Background Data?]]),ROUND(RecData[[#This Row],[WSpd_Avg '[m/s']]],0),"")</f>
        <v>0</v>
      </c>
      <c r="DS327" s="85">
        <f>(0.00002)^2*(10^(RecData[[#This Row],[Overall (dBA)]]/10))</f>
        <v>2.8764590565705259E-8</v>
      </c>
    </row>
    <row r="328" spans="1:123" ht="15" x14ac:dyDescent="0.25">
      <c r="A328" s="3" t="s">
        <v>249</v>
      </c>
      <c r="B328" s="12">
        <v>43260.981956018521</v>
      </c>
      <c r="C328" s="3"/>
      <c r="D328" s="3">
        <v>35.1</v>
      </c>
      <c r="E328" s="3"/>
      <c r="F328" s="3"/>
      <c r="G328" s="3"/>
      <c r="H328" s="3"/>
      <c r="I328" s="3"/>
      <c r="J328" s="3"/>
      <c r="K328" s="3">
        <v>32</v>
      </c>
      <c r="L328" s="3"/>
      <c r="M328" s="3"/>
      <c r="N328" s="3">
        <v>145.1</v>
      </c>
      <c r="O328" s="3"/>
      <c r="P328" s="3"/>
      <c r="Q328" s="3">
        <v>0.33</v>
      </c>
      <c r="R328" s="3">
        <v>0.1</v>
      </c>
      <c r="S328" s="3">
        <v>0.5</v>
      </c>
      <c r="T328" s="3">
        <v>12.9</v>
      </c>
      <c r="U328" s="3">
        <v>82.3</v>
      </c>
      <c r="V328" s="3">
        <v>975.7</v>
      </c>
      <c r="W328" s="3">
        <v>0</v>
      </c>
      <c r="X328" s="3">
        <v>21.1</v>
      </c>
      <c r="Y328" s="3">
        <v>17.7</v>
      </c>
      <c r="Z328" s="3">
        <v>21.2</v>
      </c>
      <c r="AA328" s="3">
        <v>14.1</v>
      </c>
      <c r="AB328" s="3">
        <v>9.4</v>
      </c>
      <c r="AC328" s="3">
        <v>5.5</v>
      </c>
      <c r="AD328" s="3">
        <v>8.4</v>
      </c>
      <c r="AE328" s="3">
        <v>9.6</v>
      </c>
      <c r="AF328" s="3">
        <v>12.7</v>
      </c>
      <c r="AG328" s="3">
        <v>10.9</v>
      </c>
      <c r="AH328" s="3">
        <v>10.199999999999999</v>
      </c>
      <c r="AI328" s="3">
        <v>10.7</v>
      </c>
      <c r="AJ328" s="3">
        <v>10.1</v>
      </c>
      <c r="AK328" s="3">
        <v>8.9</v>
      </c>
      <c r="AL328" s="3">
        <v>7.4</v>
      </c>
      <c r="AM328" s="3">
        <v>11.5</v>
      </c>
      <c r="AN328" s="3">
        <v>8.8000000000000007</v>
      </c>
      <c r="AO328" s="3">
        <v>8.1</v>
      </c>
      <c r="AP328" s="3">
        <v>7.5</v>
      </c>
      <c r="AQ328" s="3">
        <v>10.4</v>
      </c>
      <c r="AR328" s="3">
        <v>7.9</v>
      </c>
      <c r="AS328" s="3">
        <v>24.9</v>
      </c>
      <c r="AT328" s="3">
        <v>33.1</v>
      </c>
      <c r="AU328" s="3">
        <v>10.5</v>
      </c>
      <c r="AV328" s="3">
        <v>9</v>
      </c>
      <c r="AW328" s="3">
        <v>9.5</v>
      </c>
      <c r="AX328" s="3">
        <v>9.5</v>
      </c>
      <c r="AY328" s="3">
        <v>9.6999999999999993</v>
      </c>
      <c r="AZ328" s="3">
        <v>0</v>
      </c>
      <c r="BA328" s="3">
        <v>0</v>
      </c>
      <c r="BB328" s="3">
        <v>0</v>
      </c>
      <c r="BC328" s="3">
        <v>35.063379723154526</v>
      </c>
      <c r="BD328" s="3">
        <v>21.136620276845477</v>
      </c>
      <c r="BE328" s="3">
        <v>17.736620276845471</v>
      </c>
      <c r="BF328" s="3">
        <v>19.996620276845476</v>
      </c>
      <c r="BG328" s="3">
        <v>13.223286943512136</v>
      </c>
      <c r="BH328" s="3">
        <v>8.6632869435121478</v>
      </c>
      <c r="BI328" s="3">
        <v>5.1766202768454761</v>
      </c>
      <c r="BJ328" s="3">
        <v>8.8699536101788112</v>
      </c>
      <c r="BK328" s="3">
        <v>9.9432869435121347</v>
      </c>
      <c r="BL328" s="3">
        <v>12.616620276845474</v>
      </c>
      <c r="BM328" s="3">
        <v>10.94995361017881</v>
      </c>
      <c r="BN328" s="3">
        <v>10.533286943512138</v>
      </c>
      <c r="BO328" s="3">
        <v>10.399953610178812</v>
      </c>
      <c r="BP328" s="3">
        <v>9.5166202768454724</v>
      </c>
      <c r="BQ328" s="3">
        <v>8.7332869435121339</v>
      </c>
      <c r="BR328" s="3">
        <v>7.559953610178809</v>
      </c>
      <c r="BS328" s="3">
        <v>11.463286943512145</v>
      </c>
      <c r="BT328" s="3">
        <v>8.9599536101788146</v>
      </c>
      <c r="BU328" s="3">
        <v>8.2266202768454804</v>
      </c>
      <c r="BV328" s="3">
        <v>7.3432869435121404</v>
      </c>
      <c r="BW328" s="3">
        <v>10.776620276845478</v>
      </c>
      <c r="BX328" s="3">
        <v>8.1966202768454792</v>
      </c>
      <c r="BY328" s="3">
        <v>25.016620276845472</v>
      </c>
      <c r="BZ328" s="3">
        <v>33.346620276845471</v>
      </c>
      <c r="CA328" s="3">
        <v>10.846620276845471</v>
      </c>
      <c r="CB328" s="3">
        <v>8.7832869435121381</v>
      </c>
      <c r="CC328" s="3">
        <v>9.4966202768454764</v>
      </c>
      <c r="CD328" s="3">
        <v>8.8032869435121484</v>
      </c>
      <c r="CE328" s="3">
        <v>9.1966202768454721</v>
      </c>
      <c r="CF328" s="3">
        <v>-0.89004638982119388</v>
      </c>
      <c r="CG328" s="3">
        <v>-1.4233797231545253</v>
      </c>
      <c r="CH328" s="3">
        <v>-2.5000463898211933</v>
      </c>
      <c r="CI328" s="13">
        <f>[1]!dbasum(RecData[[#This Row],[20]:[2000]],RecData[[#Headers],[20]:[2000]])</f>
        <v>17.984388815771887</v>
      </c>
      <c r="CJ328" s="14">
        <v>4335</v>
      </c>
      <c r="CK328" s="15" t="s">
        <v>249</v>
      </c>
      <c r="CL328" s="15">
        <f>RecData[[#This Row],[Start Time]]</f>
        <v>43260.981956018521</v>
      </c>
      <c r="CM328" s="16">
        <f>RecData[[#This Row],[Wind Speed avg]]</f>
        <v>0.33</v>
      </c>
      <c r="CN328" s="16">
        <f>RecData[[#This Row],[Wind Dir. avg]]</f>
        <v>145.1</v>
      </c>
      <c r="CO328" s="16">
        <f>RecData[[#This Row],[Amb. Humidity]]</f>
        <v>82.3</v>
      </c>
      <c r="CP328" s="16">
        <f>RecData[[#This Row],[Amb. Temperature]]</f>
        <v>12.9</v>
      </c>
      <c r="CQ328" s="17">
        <f>RecData[[#This Row],[Amb. Rain Gauge]]</f>
        <v>0</v>
      </c>
      <c r="CR328" s="4" t="s">
        <v>50</v>
      </c>
      <c r="CS328" s="4" t="s">
        <v>49</v>
      </c>
      <c r="CT328" s="70">
        <v>-10.54886913</v>
      </c>
      <c r="CU328" s="70">
        <v>294.43948360000002</v>
      </c>
      <c r="CV328" s="70">
        <v>1.052435875</v>
      </c>
      <c r="CW328" s="70">
        <v>0</v>
      </c>
      <c r="CX328" s="4"/>
      <c r="CY328" s="69"/>
      <c r="CZ328" s="2" t="b">
        <f>IF($DP$1="YES",IF(RecData[[#This Row],[Power (kW)]]&gt;=$CR$3, TRUE,FALSE),TRUE)</f>
        <v>0</v>
      </c>
      <c r="DA328" s="16">
        <f>MIN(MOD(180-ABS(ABS($DA$1-RecData[Yaw Angle (°)])-180),360),MOD(180-ABS(ABS($DB$1-RecData[Yaw Angle (°)])-180),360))</f>
        <v>73.090443177687519</v>
      </c>
      <c r="DB328" s="2" t="str">
        <f>IF($DP$2="None","None",IF(RecData[[#This Row],[Relative Wind Direction]]&lt;=45,"DW",IF(RecData[[#This Row],[Relative Wind Direction]]&lt;=135,"CW","UW")))</f>
        <v>CW</v>
      </c>
      <c r="DC328" s="61">
        <f>IF($CL328-$CL324&gt;1/24,#REF!,IF(SUM($CQ324:$CQ328)&gt;$DS$1,$DS$5,DC329-1))</f>
        <v>-5</v>
      </c>
      <c r="DD328" s="61">
        <f>IF($CL329-$CL328&gt;1/24,#REF!,IF(SUM($CQ324:$CQ328)&gt;$DS$1,$DS$6,DD327-1))</f>
        <v>-6</v>
      </c>
      <c r="DE328" s="18" t="b">
        <v>0</v>
      </c>
      <c r="DF328" s="2" t="b">
        <f>IF(OR(RecData[[#This Row],[WSpd_Avg '[m/s']]]-RecData[[#This Row],[Wind Speed min]]&gt;=$DF$3,RecData[[#This Row],[Wind Speed max]]-RecData[[#This Row],[WSpd_Avg '[m/s']]]&gt;=$DF$2),TRUE,FALSE)</f>
        <v>0</v>
      </c>
      <c r="DG328" s="2" t="b">
        <f>RecData[[#This Row],[Temperature '[°C']]]&lt;=-20</f>
        <v>0</v>
      </c>
      <c r="DH328" s="18" t="b">
        <f>NOT(OR(MOD(RecData[[#This Row],[TIMESTAMP]],1)&gt;0.91632,MOD(RecData[[#This Row],[TIMESTAMP]],1)&lt;0.208681))</f>
        <v>0</v>
      </c>
      <c r="DI328" s="18" t="b">
        <f>RecData[[#This Row],[Overall (dBA)]]-RecData[[#This Row],[L90]]&gt;=$DS$4</f>
        <v>0</v>
      </c>
      <c r="DJ328" s="18" t="b">
        <f>RecData[[#This Row],[Overall (dBA)]]&gt;$DS$2</f>
        <v>0</v>
      </c>
      <c r="DK328" s="18" t="b">
        <f>RecData[[#This Row],[Overall (dBA)]]&lt;$DS$3</f>
        <v>0</v>
      </c>
      <c r="DL3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8" s="2">
        <f>IF(AND(RecData[[#This Row],[Turbines ON/OFF]] = "OFF", NOT(OR(RecData[[#This Row],[Junk?]]="YES",RecData[[#This Row],[Gust?]],RecData[[#This Row],[Rain?]:[Min SPL Threshold?]]))),1,0)</f>
        <v>1</v>
      </c>
      <c r="DN328" s="16">
        <f>RecData[[#This Row],[dBA Sum]]</f>
        <v>17.984388815771887</v>
      </c>
      <c r="DO328" s="16">
        <f>RecData[[#This Row],[LAF90.0]]</f>
        <v>32</v>
      </c>
      <c r="DP328" s="55" t="str">
        <f>IF(AND(RecData[[#This Row],[Useable TON Data?]],RecData[[#This Row],[Turbines ON/OFF]]="ON"),RecData[[#This Row],[dBA Sum]],"")</f>
        <v/>
      </c>
      <c r="DQ328" s="55">
        <f>IF(AND(RecData[[#This Row],[Useable Background Data?]],RecData[[#This Row],[Turbines ON/OFF]]="OFF"),RecData[[#This Row],[dBA Sum]],"")</f>
        <v>17.984388815771887</v>
      </c>
      <c r="DR328" s="3">
        <f>IF(OR(RecData[[#This Row],[Useable TON Data?]],RecData[[#This Row],[Useable Background Data?]]),ROUND(RecData[[#This Row],[WSpd_Avg '[m/s']]],0),"")</f>
        <v>0</v>
      </c>
      <c r="DS328" s="85">
        <f>(0.00002)^2*(10^(RecData[[#This Row],[Overall (dBA)]]/10))</f>
        <v>2.5147734865670255E-8</v>
      </c>
    </row>
    <row r="329" spans="1:123" ht="15" x14ac:dyDescent="0.25">
      <c r="A329" s="3" t="s">
        <v>249</v>
      </c>
      <c r="B329" s="12">
        <v>43260.982650462967</v>
      </c>
      <c r="C329" s="3"/>
      <c r="D329" s="3">
        <v>36.9</v>
      </c>
      <c r="E329" s="3"/>
      <c r="F329" s="3"/>
      <c r="G329" s="3"/>
      <c r="H329" s="3"/>
      <c r="I329" s="3"/>
      <c r="J329" s="3"/>
      <c r="K329" s="3">
        <v>33.799999999999997</v>
      </c>
      <c r="L329" s="3"/>
      <c r="M329" s="3"/>
      <c r="N329" s="3">
        <v>119.6</v>
      </c>
      <c r="O329" s="3"/>
      <c r="P329" s="3"/>
      <c r="Q329" s="3">
        <v>0.24</v>
      </c>
      <c r="R329" s="3">
        <v>0.2</v>
      </c>
      <c r="S329" s="3">
        <v>0.3</v>
      </c>
      <c r="T329" s="3">
        <v>12.9</v>
      </c>
      <c r="U329" s="3">
        <v>82.3</v>
      </c>
      <c r="V329" s="3">
        <v>975.7</v>
      </c>
      <c r="W329" s="3">
        <v>0</v>
      </c>
      <c r="X329" s="3">
        <v>18.3</v>
      </c>
      <c r="Y329" s="3">
        <v>16.600000000000001</v>
      </c>
      <c r="Z329" s="3">
        <v>19.7</v>
      </c>
      <c r="AA329" s="3">
        <v>11.9</v>
      </c>
      <c r="AB329" s="3">
        <v>9.9</v>
      </c>
      <c r="AC329" s="3">
        <v>6</v>
      </c>
      <c r="AD329" s="3">
        <v>8</v>
      </c>
      <c r="AE329" s="3">
        <v>8.6</v>
      </c>
      <c r="AF329" s="3">
        <v>12.8</v>
      </c>
      <c r="AG329" s="3">
        <v>8.8000000000000007</v>
      </c>
      <c r="AH329" s="3">
        <v>10.4</v>
      </c>
      <c r="AI329" s="3">
        <v>9.5</v>
      </c>
      <c r="AJ329" s="3">
        <v>9.4</v>
      </c>
      <c r="AK329" s="3">
        <v>9.6</v>
      </c>
      <c r="AL329" s="3">
        <v>6.8</v>
      </c>
      <c r="AM329" s="3">
        <v>8.6999999999999993</v>
      </c>
      <c r="AN329" s="3">
        <v>8.3000000000000007</v>
      </c>
      <c r="AO329" s="3">
        <v>8.1</v>
      </c>
      <c r="AP329" s="3">
        <v>7.3</v>
      </c>
      <c r="AQ329" s="3">
        <v>9.3000000000000007</v>
      </c>
      <c r="AR329" s="3">
        <v>7.5</v>
      </c>
      <c r="AS329" s="3">
        <v>27</v>
      </c>
      <c r="AT329" s="3">
        <v>34.9</v>
      </c>
      <c r="AU329" s="3">
        <v>11.4</v>
      </c>
      <c r="AV329" s="3">
        <v>8.9</v>
      </c>
      <c r="AW329" s="3">
        <v>9.3000000000000007</v>
      </c>
      <c r="AX329" s="3">
        <v>9.4</v>
      </c>
      <c r="AY329" s="3">
        <v>9.6999999999999993</v>
      </c>
      <c r="AZ329" s="3">
        <v>0</v>
      </c>
      <c r="BA329" s="3">
        <v>0</v>
      </c>
      <c r="BB329" s="3">
        <v>0</v>
      </c>
      <c r="BC329" s="3">
        <v>36.8485328461392</v>
      </c>
      <c r="BD329" s="3">
        <v>18.351467153860803</v>
      </c>
      <c r="BE329" s="3">
        <v>16.6514671538608</v>
      </c>
      <c r="BF329" s="3">
        <v>18.511467153860799</v>
      </c>
      <c r="BG329" s="3">
        <v>11.038133820527463</v>
      </c>
      <c r="BH329" s="3">
        <v>9.1781338205274707</v>
      </c>
      <c r="BI329" s="3">
        <v>5.691467153860799</v>
      </c>
      <c r="BJ329" s="3">
        <v>8.4848004871941285</v>
      </c>
      <c r="BK329" s="3">
        <v>8.9581338205274577</v>
      </c>
      <c r="BL329" s="3">
        <v>12.731467153860798</v>
      </c>
      <c r="BM329" s="3">
        <v>8.8648004871941382</v>
      </c>
      <c r="BN329" s="3">
        <v>10.748133820527464</v>
      </c>
      <c r="BO329" s="3">
        <v>9.2148004871941325</v>
      </c>
      <c r="BP329" s="3">
        <v>8.8314671538607996</v>
      </c>
      <c r="BQ329" s="3">
        <v>9.4481338205274525</v>
      </c>
      <c r="BR329" s="3">
        <v>6.9748004871941305</v>
      </c>
      <c r="BS329" s="3">
        <v>8.6781338205274636</v>
      </c>
      <c r="BT329" s="3">
        <v>8.4748004871941376</v>
      </c>
      <c r="BU329" s="3">
        <v>8.2414671538608033</v>
      </c>
      <c r="BV329" s="3">
        <v>7.1581338205274676</v>
      </c>
      <c r="BW329" s="3">
        <v>9.6914671538608061</v>
      </c>
      <c r="BX329" s="3">
        <v>7.8114671538608036</v>
      </c>
      <c r="BY329" s="3">
        <v>27.131467153860797</v>
      </c>
      <c r="BZ329" s="3">
        <v>35.161467153860791</v>
      </c>
      <c r="CA329" s="3">
        <v>11.761467153860792</v>
      </c>
      <c r="CB329" s="3">
        <v>8.6981338205274668</v>
      </c>
      <c r="CC329" s="3">
        <v>9.3114671538607965</v>
      </c>
      <c r="CD329" s="3">
        <v>8.7181338205274699</v>
      </c>
      <c r="CE329" s="3">
        <v>9.2114671538607951</v>
      </c>
      <c r="CF329" s="3">
        <v>-0.87519951280587094</v>
      </c>
      <c r="CG329" s="3">
        <v>-1.4085328461392024</v>
      </c>
      <c r="CH329" s="3">
        <v>-2.4851995128058704</v>
      </c>
      <c r="CI329" s="13">
        <f>[1]!dbasum(RecData[[#This Row],[20]:[2000]],RecData[[#Headers],[20]:[2000]])</f>
        <v>17.233205912471206</v>
      </c>
      <c r="CJ329" s="14">
        <v>4336</v>
      </c>
      <c r="CK329" s="15" t="s">
        <v>249</v>
      </c>
      <c r="CL329" s="15">
        <f>RecData[[#This Row],[Start Time]]</f>
        <v>43260.982650462967</v>
      </c>
      <c r="CM329" s="16">
        <f>RecData[[#This Row],[Wind Speed avg]]</f>
        <v>0.24</v>
      </c>
      <c r="CN329" s="16">
        <f>RecData[[#This Row],[Wind Dir. avg]]</f>
        <v>119.6</v>
      </c>
      <c r="CO329" s="16">
        <f>RecData[[#This Row],[Amb. Humidity]]</f>
        <v>82.3</v>
      </c>
      <c r="CP329" s="16">
        <f>RecData[[#This Row],[Amb. Temperature]]</f>
        <v>12.9</v>
      </c>
      <c r="CQ329" s="17">
        <f>RecData[[#This Row],[Amb. Rain Gauge]]</f>
        <v>0</v>
      </c>
      <c r="CR329" s="4" t="s">
        <v>50</v>
      </c>
      <c r="CS329" s="4" t="s">
        <v>49</v>
      </c>
      <c r="CT329" s="70">
        <v>-10.54886913</v>
      </c>
      <c r="CU329" s="70">
        <v>294.43948360000002</v>
      </c>
      <c r="CV329" s="70">
        <v>1.052435875</v>
      </c>
      <c r="CW329" s="70">
        <v>0</v>
      </c>
      <c r="CX329" s="4"/>
      <c r="CY329" s="69"/>
      <c r="CZ329" s="2" t="b">
        <f>IF($DP$1="YES",IF(RecData[[#This Row],[Power (kW)]]&gt;=$CR$3, TRUE,FALSE),TRUE)</f>
        <v>0</v>
      </c>
      <c r="DA329" s="16">
        <f>MIN(MOD(180-ABS(ABS($DA$1-RecData[Yaw Angle (°)])-180),360),MOD(180-ABS(ABS($DB$1-RecData[Yaw Angle (°)])-180),360))</f>
        <v>73.090443177687519</v>
      </c>
      <c r="DB329" s="2" t="str">
        <f>IF($DP$2="None","None",IF(RecData[[#This Row],[Relative Wind Direction]]&lt;=45,"DW",IF(RecData[[#This Row],[Relative Wind Direction]]&lt;=135,"CW","UW")))</f>
        <v>CW</v>
      </c>
      <c r="DC329" s="61">
        <f>IF($CL329-$CL325&gt;1/24,#REF!,IF(SUM($CQ325:$CQ329)&gt;$DS$1,$DS$5,DC330-1))</f>
        <v>-4</v>
      </c>
      <c r="DD329" s="61">
        <f>IF($CL330-$CL329&gt;1/24,#REF!,IF(SUM($CQ325:$CQ329)&gt;$DS$1,$DS$6,DD328-1))</f>
        <v>-7</v>
      </c>
      <c r="DE329" s="18" t="b">
        <v>0</v>
      </c>
      <c r="DF329" s="2" t="b">
        <f>IF(OR(RecData[[#This Row],[WSpd_Avg '[m/s']]]-RecData[[#This Row],[Wind Speed min]]&gt;=$DF$3,RecData[[#This Row],[Wind Speed max]]-RecData[[#This Row],[WSpd_Avg '[m/s']]]&gt;=$DF$2),TRUE,FALSE)</f>
        <v>0</v>
      </c>
      <c r="DG329" s="2" t="b">
        <f>RecData[[#This Row],[Temperature '[°C']]]&lt;=-20</f>
        <v>0</v>
      </c>
      <c r="DH329" s="18" t="b">
        <f>NOT(OR(MOD(RecData[[#This Row],[TIMESTAMP]],1)&gt;0.91632,MOD(RecData[[#This Row],[TIMESTAMP]],1)&lt;0.208681))</f>
        <v>0</v>
      </c>
      <c r="DI329" s="18" t="b">
        <f>RecData[[#This Row],[Overall (dBA)]]-RecData[[#This Row],[L90]]&gt;=$DS$4</f>
        <v>0</v>
      </c>
      <c r="DJ329" s="18" t="b">
        <f>RecData[[#This Row],[Overall (dBA)]]&gt;$DS$2</f>
        <v>0</v>
      </c>
      <c r="DK329" s="18" t="b">
        <f>RecData[[#This Row],[Overall (dBA)]]&lt;$DS$3</f>
        <v>0</v>
      </c>
      <c r="DL3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29" s="2">
        <f>IF(AND(RecData[[#This Row],[Turbines ON/OFF]] = "OFF", NOT(OR(RecData[[#This Row],[Junk?]]="YES",RecData[[#This Row],[Gust?]],RecData[[#This Row],[Rain?]:[Min SPL Threshold?]]))),1,0)</f>
        <v>1</v>
      </c>
      <c r="DN329" s="16">
        <f>RecData[[#This Row],[dBA Sum]]</f>
        <v>17.233205912471206</v>
      </c>
      <c r="DO329" s="16">
        <f>RecData[[#This Row],[LAF90.0]]</f>
        <v>33.799999999999997</v>
      </c>
      <c r="DP329" s="55" t="str">
        <f>IF(AND(RecData[[#This Row],[Useable TON Data?]],RecData[[#This Row],[Turbines ON/OFF]]="ON"),RecData[[#This Row],[dBA Sum]],"")</f>
        <v/>
      </c>
      <c r="DQ329" s="55">
        <f>IF(AND(RecData[[#This Row],[Useable Background Data?]],RecData[[#This Row],[Turbines ON/OFF]]="OFF"),RecData[[#This Row],[dBA Sum]],"")</f>
        <v>17.233205912471206</v>
      </c>
      <c r="DR329" s="3">
        <f>IF(OR(RecData[[#This Row],[Useable TON Data?]],RecData[[#This Row],[Useable Background Data?]]),ROUND(RecData[[#This Row],[WSpd_Avg '[m/s']]],0),"")</f>
        <v>0</v>
      </c>
      <c r="DS329" s="85">
        <f>(0.00002)^2*(10^(RecData[[#This Row],[Overall (dBA)]]/10))</f>
        <v>2.1153419522643124E-8</v>
      </c>
    </row>
    <row r="330" spans="1:123" ht="15" x14ac:dyDescent="0.25">
      <c r="A330" s="3" t="s">
        <v>249</v>
      </c>
      <c r="B330" s="12">
        <v>43260.983344907414</v>
      </c>
      <c r="C330" s="3"/>
      <c r="D330" s="3">
        <v>37.1</v>
      </c>
      <c r="E330" s="3"/>
      <c r="F330" s="3"/>
      <c r="G330" s="3"/>
      <c r="H330" s="3"/>
      <c r="I330" s="3"/>
      <c r="J330" s="3"/>
      <c r="K330" s="3">
        <v>34.299999999999997</v>
      </c>
      <c r="L330" s="3"/>
      <c r="M330" s="3"/>
      <c r="N330" s="3">
        <v>91.8</v>
      </c>
      <c r="O330" s="3"/>
      <c r="P330" s="3"/>
      <c r="Q330" s="3">
        <v>0.2</v>
      </c>
      <c r="R330" s="3">
        <v>0.1</v>
      </c>
      <c r="S330" s="3">
        <v>0.3</v>
      </c>
      <c r="T330" s="3">
        <v>12.9</v>
      </c>
      <c r="U330" s="3">
        <v>82.4</v>
      </c>
      <c r="V330" s="3">
        <v>975.7</v>
      </c>
      <c r="W330" s="3">
        <v>0</v>
      </c>
      <c r="X330" s="3">
        <v>19.5</v>
      </c>
      <c r="Y330" s="3">
        <v>19.5</v>
      </c>
      <c r="Z330" s="3">
        <v>19.600000000000001</v>
      </c>
      <c r="AA330" s="3">
        <v>10.5</v>
      </c>
      <c r="AB330" s="3">
        <v>9.3000000000000007</v>
      </c>
      <c r="AC330" s="3">
        <v>5.9</v>
      </c>
      <c r="AD330" s="3">
        <v>9.3000000000000007</v>
      </c>
      <c r="AE330" s="3">
        <v>9.4</v>
      </c>
      <c r="AF330" s="3">
        <v>11.9</v>
      </c>
      <c r="AG330" s="3">
        <v>8.5</v>
      </c>
      <c r="AH330" s="3">
        <v>10.4</v>
      </c>
      <c r="AI330" s="3">
        <v>10.1</v>
      </c>
      <c r="AJ330" s="3">
        <v>9.1999999999999993</v>
      </c>
      <c r="AK330" s="3">
        <v>8.8000000000000007</v>
      </c>
      <c r="AL330" s="3">
        <v>8</v>
      </c>
      <c r="AM330" s="3">
        <v>11.5</v>
      </c>
      <c r="AN330" s="3">
        <v>8.6999999999999993</v>
      </c>
      <c r="AO330" s="3">
        <v>8.4</v>
      </c>
      <c r="AP330" s="3">
        <v>7.6</v>
      </c>
      <c r="AQ330" s="3">
        <v>9.1</v>
      </c>
      <c r="AR330" s="3">
        <v>7.6</v>
      </c>
      <c r="AS330" s="3">
        <v>27.7</v>
      </c>
      <c r="AT330" s="3">
        <v>35</v>
      </c>
      <c r="AU330" s="3">
        <v>11</v>
      </c>
      <c r="AV330" s="3">
        <v>8.9</v>
      </c>
      <c r="AW330" s="3">
        <v>9.3000000000000007</v>
      </c>
      <c r="AX330" s="3">
        <v>9.5</v>
      </c>
      <c r="AY330" s="3">
        <v>9.6999999999999993</v>
      </c>
      <c r="AZ330" s="3">
        <v>0</v>
      </c>
      <c r="BA330" s="3">
        <v>0</v>
      </c>
      <c r="BB330" s="3">
        <v>0</v>
      </c>
      <c r="BC330" s="3">
        <v>37.038579979487118</v>
      </c>
      <c r="BD330" s="3">
        <v>19.561420020512884</v>
      </c>
      <c r="BE330" s="3">
        <v>19.561420020512884</v>
      </c>
      <c r="BF330" s="3">
        <v>18.42142002051289</v>
      </c>
      <c r="BG330" s="3">
        <v>9.6480866871795499</v>
      </c>
      <c r="BH330" s="3">
        <v>8.5880866871795547</v>
      </c>
      <c r="BI330" s="3">
        <v>5.601420020512883</v>
      </c>
      <c r="BJ330" s="3">
        <v>9.7947533538462181</v>
      </c>
      <c r="BK330" s="3">
        <v>9.7680866871795473</v>
      </c>
      <c r="BL330" s="3">
        <v>11.841420020512885</v>
      </c>
      <c r="BM330" s="3">
        <v>8.5747533538462193</v>
      </c>
      <c r="BN330" s="3">
        <v>10.758086687179549</v>
      </c>
      <c r="BO330" s="3">
        <v>9.8247533538462193</v>
      </c>
      <c r="BP330" s="3">
        <v>8.6414200205128822</v>
      </c>
      <c r="BQ330" s="3">
        <v>8.6580866871795408</v>
      </c>
      <c r="BR330" s="3">
        <v>8.1847533538462187</v>
      </c>
      <c r="BS330" s="3">
        <v>11.488086687179553</v>
      </c>
      <c r="BT330" s="3">
        <v>8.8847533538462145</v>
      </c>
      <c r="BU330" s="3">
        <v>8.5514200205128859</v>
      </c>
      <c r="BV330" s="3">
        <v>7.4680866871795502</v>
      </c>
      <c r="BW330" s="3">
        <v>9.5014200205128887</v>
      </c>
      <c r="BX330" s="3">
        <v>7.9214200205128904</v>
      </c>
      <c r="BY330" s="3">
        <v>27.841420020512878</v>
      </c>
      <c r="BZ330" s="3">
        <v>35.271420020512885</v>
      </c>
      <c r="CA330" s="3">
        <v>11.371420020512879</v>
      </c>
      <c r="CB330" s="3">
        <v>8.7080866871795521</v>
      </c>
      <c r="CC330" s="3">
        <v>9.3214200205128819</v>
      </c>
      <c r="CD330" s="3">
        <v>8.8280866871795567</v>
      </c>
      <c r="CE330" s="3">
        <v>9.2214200205128805</v>
      </c>
      <c r="CF330" s="3">
        <v>-0.86524664615378555</v>
      </c>
      <c r="CG330" s="3">
        <v>-1.398579979487117</v>
      </c>
      <c r="CH330" s="3">
        <v>-2.475246646153785</v>
      </c>
      <c r="CI330" s="13">
        <f>[1]!dbasum(RecData[[#This Row],[20]:[2000]],RecData[[#Headers],[20]:[2000]])</f>
        <v>17.687556062008927</v>
      </c>
      <c r="CJ330" s="14">
        <v>4337</v>
      </c>
      <c r="CK330" s="15" t="s">
        <v>249</v>
      </c>
      <c r="CL330" s="15">
        <f>RecData[[#This Row],[Start Time]]</f>
        <v>43260.983344907414</v>
      </c>
      <c r="CM330" s="16">
        <f>RecData[[#This Row],[Wind Speed avg]]</f>
        <v>0.2</v>
      </c>
      <c r="CN330" s="16">
        <f>RecData[[#This Row],[Wind Dir. avg]]</f>
        <v>91.8</v>
      </c>
      <c r="CO330" s="16">
        <f>RecData[[#This Row],[Amb. Humidity]]</f>
        <v>82.4</v>
      </c>
      <c r="CP330" s="16">
        <f>RecData[[#This Row],[Amb. Temperature]]</f>
        <v>12.9</v>
      </c>
      <c r="CQ330" s="17">
        <f>RecData[[#This Row],[Amb. Rain Gauge]]</f>
        <v>0</v>
      </c>
      <c r="CR330" s="4" t="s">
        <v>50</v>
      </c>
      <c r="CS330" s="4" t="s">
        <v>49</v>
      </c>
      <c r="CT330" s="70">
        <v>-10.54886913</v>
      </c>
      <c r="CU330" s="70">
        <v>294.43948360000002</v>
      </c>
      <c r="CV330" s="70">
        <v>1.052435875</v>
      </c>
      <c r="CW330" s="70">
        <v>0</v>
      </c>
      <c r="CX330" s="4"/>
      <c r="CY330" s="69"/>
      <c r="CZ330" s="2" t="b">
        <f>IF($DP$1="YES",IF(RecData[[#This Row],[Power (kW)]]&gt;=$CR$3, TRUE,FALSE),TRUE)</f>
        <v>0</v>
      </c>
      <c r="DA330" s="16">
        <f>MIN(MOD(180-ABS(ABS($DA$1-RecData[Yaw Angle (°)])-180),360),MOD(180-ABS(ABS($DB$1-RecData[Yaw Angle (°)])-180),360))</f>
        <v>73.090443177687519</v>
      </c>
      <c r="DB330" s="2" t="str">
        <f>IF($DP$2="None","None",IF(RecData[[#This Row],[Relative Wind Direction]]&lt;=45,"DW",IF(RecData[[#This Row],[Relative Wind Direction]]&lt;=135,"CW","UW")))</f>
        <v>CW</v>
      </c>
      <c r="DC330" s="61">
        <f>IF($CL330-$CL326&gt;1/24,#REF!,IF(SUM($CQ326:$CQ330)&gt;$DS$1,$DS$5,DC331-1))</f>
        <v>-3</v>
      </c>
      <c r="DD330" s="61">
        <f>IF($CL331-$CL330&gt;1/24,#REF!,IF(SUM($CQ326:$CQ330)&gt;$DS$1,$DS$6,DD329-1))</f>
        <v>-8</v>
      </c>
      <c r="DE330" s="18" t="b">
        <v>0</v>
      </c>
      <c r="DF330" s="2" t="b">
        <f>IF(OR(RecData[[#This Row],[WSpd_Avg '[m/s']]]-RecData[[#This Row],[Wind Speed min]]&gt;=$DF$3,RecData[[#This Row],[Wind Speed max]]-RecData[[#This Row],[WSpd_Avg '[m/s']]]&gt;=$DF$2),TRUE,FALSE)</f>
        <v>0</v>
      </c>
      <c r="DG330" s="2" t="b">
        <f>RecData[[#This Row],[Temperature '[°C']]]&lt;=-20</f>
        <v>0</v>
      </c>
      <c r="DH330" s="18" t="b">
        <f>NOT(OR(MOD(RecData[[#This Row],[TIMESTAMP]],1)&gt;0.91632,MOD(RecData[[#This Row],[TIMESTAMP]],1)&lt;0.208681))</f>
        <v>0</v>
      </c>
      <c r="DI330" s="18" t="b">
        <f>RecData[[#This Row],[Overall (dBA)]]-RecData[[#This Row],[L90]]&gt;=$DS$4</f>
        <v>0</v>
      </c>
      <c r="DJ330" s="18" t="b">
        <f>RecData[[#This Row],[Overall (dBA)]]&gt;$DS$2</f>
        <v>0</v>
      </c>
      <c r="DK330" s="18" t="b">
        <f>RecData[[#This Row],[Overall (dBA)]]&lt;$DS$3</f>
        <v>0</v>
      </c>
      <c r="DL3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0" s="2">
        <f>IF(AND(RecData[[#This Row],[Turbines ON/OFF]] = "OFF", NOT(OR(RecData[[#This Row],[Junk?]]="YES",RecData[[#This Row],[Gust?]],RecData[[#This Row],[Rain?]:[Min SPL Threshold?]]))),1,0)</f>
        <v>1</v>
      </c>
      <c r="DN330" s="16">
        <f>RecData[[#This Row],[dBA Sum]]</f>
        <v>17.687556062008927</v>
      </c>
      <c r="DO330" s="16">
        <f>RecData[[#This Row],[LAF90.0]]</f>
        <v>34.299999999999997</v>
      </c>
      <c r="DP330" s="55" t="str">
        <f>IF(AND(RecData[[#This Row],[Useable TON Data?]],RecData[[#This Row],[Turbines ON/OFF]]="ON"),RecData[[#This Row],[dBA Sum]],"")</f>
        <v/>
      </c>
      <c r="DQ330" s="55">
        <f>IF(AND(RecData[[#This Row],[Useable Background Data?]],RecData[[#This Row],[Turbines ON/OFF]]="OFF"),RecData[[#This Row],[dBA Sum]],"")</f>
        <v>17.687556062008927</v>
      </c>
      <c r="DR330" s="3">
        <f>IF(OR(RecData[[#This Row],[Useable TON Data?]],RecData[[#This Row],[Useable Background Data?]]),ROUND(RecData[[#This Row],[WSpd_Avg '[m/s']]],0),"")</f>
        <v>0</v>
      </c>
      <c r="DS330" s="85">
        <f>(0.00002)^2*(10^(RecData[[#This Row],[Overall (dBA)]]/10))</f>
        <v>2.3486353729320672E-8</v>
      </c>
    </row>
    <row r="331" spans="1:123" ht="15" x14ac:dyDescent="0.25">
      <c r="A331" s="3" t="s">
        <v>249</v>
      </c>
      <c r="B331" s="12">
        <v>43260.984039351853</v>
      </c>
      <c r="C331" s="3"/>
      <c r="D331" s="3">
        <v>37</v>
      </c>
      <c r="E331" s="3"/>
      <c r="F331" s="3"/>
      <c r="G331" s="3"/>
      <c r="H331" s="3"/>
      <c r="I331" s="3"/>
      <c r="J331" s="3"/>
      <c r="K331" s="3">
        <v>34</v>
      </c>
      <c r="L331" s="3"/>
      <c r="M331" s="3"/>
      <c r="N331" s="3">
        <v>194.7</v>
      </c>
      <c r="O331" s="3"/>
      <c r="P331" s="3"/>
      <c r="Q331" s="3">
        <v>0.1</v>
      </c>
      <c r="R331" s="3">
        <v>0</v>
      </c>
      <c r="S331" s="3">
        <v>0.2</v>
      </c>
      <c r="T331" s="3">
        <v>12.9</v>
      </c>
      <c r="U331" s="3">
        <v>82.2</v>
      </c>
      <c r="V331" s="3">
        <v>975.7</v>
      </c>
      <c r="W331" s="3">
        <v>0</v>
      </c>
      <c r="X331" s="3">
        <v>19.100000000000001</v>
      </c>
      <c r="Y331" s="3">
        <v>18</v>
      </c>
      <c r="Z331" s="3">
        <v>22.7</v>
      </c>
      <c r="AA331" s="3">
        <v>11.7</v>
      </c>
      <c r="AB331" s="3">
        <v>10.6</v>
      </c>
      <c r="AC331" s="3">
        <v>6.9</v>
      </c>
      <c r="AD331" s="3">
        <v>9.8000000000000007</v>
      </c>
      <c r="AE331" s="3">
        <v>9.6999999999999993</v>
      </c>
      <c r="AF331" s="3">
        <v>11.1</v>
      </c>
      <c r="AG331" s="3">
        <v>9.8000000000000007</v>
      </c>
      <c r="AH331" s="3">
        <v>13</v>
      </c>
      <c r="AI331" s="3">
        <v>10.199999999999999</v>
      </c>
      <c r="AJ331" s="3">
        <v>9.1999999999999993</v>
      </c>
      <c r="AK331" s="3">
        <v>9</v>
      </c>
      <c r="AL331" s="3">
        <v>7.1</v>
      </c>
      <c r="AM331" s="3">
        <v>11.1</v>
      </c>
      <c r="AN331" s="3">
        <v>10.199999999999999</v>
      </c>
      <c r="AO331" s="3">
        <v>12.4</v>
      </c>
      <c r="AP331" s="3">
        <v>8.1</v>
      </c>
      <c r="AQ331" s="3">
        <v>9.1999999999999993</v>
      </c>
      <c r="AR331" s="3">
        <v>7.3</v>
      </c>
      <c r="AS331" s="3">
        <v>26.8</v>
      </c>
      <c r="AT331" s="3">
        <v>35.1</v>
      </c>
      <c r="AU331" s="3">
        <v>10.7</v>
      </c>
      <c r="AV331" s="3">
        <v>8.9</v>
      </c>
      <c r="AW331" s="3">
        <v>9.3000000000000007</v>
      </c>
      <c r="AX331" s="3">
        <v>9.5</v>
      </c>
      <c r="AY331" s="3">
        <v>9.6</v>
      </c>
      <c r="AZ331" s="3">
        <v>0</v>
      </c>
      <c r="BA331" s="3">
        <v>0</v>
      </c>
      <c r="BB331" s="3">
        <v>0</v>
      </c>
      <c r="BC331" s="3">
        <v>37.005366371657097</v>
      </c>
      <c r="BD331" s="3">
        <v>19.094633628342905</v>
      </c>
      <c r="BE331" s="3">
        <v>17.994633628342903</v>
      </c>
      <c r="BF331" s="3">
        <v>21.454633628342904</v>
      </c>
      <c r="BG331" s="3">
        <v>10.781300295009565</v>
      </c>
      <c r="BH331" s="3">
        <v>9.8213002950095714</v>
      </c>
      <c r="BI331" s="3">
        <v>6.5346336283429025</v>
      </c>
      <c r="BJ331" s="3">
        <v>10.227966961676238</v>
      </c>
      <c r="BK331" s="3">
        <v>10.001300295009564</v>
      </c>
      <c r="BL331" s="3">
        <v>10.974633628342907</v>
      </c>
      <c r="BM331" s="3">
        <v>9.8079669616762359</v>
      </c>
      <c r="BN331" s="3">
        <v>13.29130029500957</v>
      </c>
      <c r="BO331" s="3">
        <v>9.8579669616762402</v>
      </c>
      <c r="BP331" s="3">
        <v>8.5746336283429017</v>
      </c>
      <c r="BQ331" s="3">
        <v>8.7913002950095631</v>
      </c>
      <c r="BR331" s="3">
        <v>7.2179669616762396</v>
      </c>
      <c r="BS331" s="3">
        <v>11.021300295009574</v>
      </c>
      <c r="BT331" s="3">
        <v>10.317966961676241</v>
      </c>
      <c r="BU331" s="3">
        <v>12.484633628342905</v>
      </c>
      <c r="BV331" s="3">
        <v>7.9013002950095697</v>
      </c>
      <c r="BW331" s="3">
        <v>9.5346336283429096</v>
      </c>
      <c r="BX331" s="3">
        <v>7.5546336283429056</v>
      </c>
      <c r="BY331" s="3">
        <v>26.874633628342899</v>
      </c>
      <c r="BZ331" s="3">
        <v>35.304633628342906</v>
      </c>
      <c r="CA331" s="3">
        <v>11.004633628342894</v>
      </c>
      <c r="CB331" s="3">
        <v>8.6413002950095645</v>
      </c>
      <c r="CC331" s="3">
        <v>9.2546336283429014</v>
      </c>
      <c r="CD331" s="3">
        <v>8.7613002950095762</v>
      </c>
      <c r="CE331" s="3">
        <v>9.0546336283429056</v>
      </c>
      <c r="CF331" s="3">
        <v>-0.93203303832376605</v>
      </c>
      <c r="CG331" s="3">
        <v>-1.4653663716570975</v>
      </c>
      <c r="CH331" s="3">
        <v>-2.5420330383237655</v>
      </c>
      <c r="CI331" s="13">
        <f>[1]!dbasum(RecData[[#This Row],[20]:[2000]],RecData[[#Headers],[20]:[2000]])</f>
        <v>18.52675667416646</v>
      </c>
      <c r="CJ331" s="14">
        <v>4338</v>
      </c>
      <c r="CK331" s="15" t="s">
        <v>249</v>
      </c>
      <c r="CL331" s="15">
        <f>RecData[[#This Row],[Start Time]]</f>
        <v>43260.984039351853</v>
      </c>
      <c r="CM331" s="16">
        <f>RecData[[#This Row],[Wind Speed avg]]</f>
        <v>0.1</v>
      </c>
      <c r="CN331" s="16">
        <f>RecData[[#This Row],[Wind Dir. avg]]</f>
        <v>194.7</v>
      </c>
      <c r="CO331" s="16">
        <f>RecData[[#This Row],[Amb. Humidity]]</f>
        <v>82.2</v>
      </c>
      <c r="CP331" s="16">
        <f>RecData[[#This Row],[Amb. Temperature]]</f>
        <v>12.9</v>
      </c>
      <c r="CQ331" s="17">
        <f>RecData[[#This Row],[Amb. Rain Gauge]]</f>
        <v>0</v>
      </c>
      <c r="CR331" s="4" t="s">
        <v>50</v>
      </c>
      <c r="CS331" s="4" t="s">
        <v>49</v>
      </c>
      <c r="CT331" s="70">
        <v>-10.54886913</v>
      </c>
      <c r="CU331" s="70">
        <v>294.43948360000002</v>
      </c>
      <c r="CV331" s="70">
        <v>1.052435875</v>
      </c>
      <c r="CW331" s="70">
        <v>0</v>
      </c>
      <c r="CX331" s="4"/>
      <c r="CY331" s="69"/>
      <c r="CZ331" s="2" t="b">
        <f>IF($DP$1="YES",IF(RecData[[#This Row],[Power (kW)]]&gt;=$CR$3, TRUE,FALSE),TRUE)</f>
        <v>0</v>
      </c>
      <c r="DA331" s="16">
        <f>MIN(MOD(180-ABS(ABS($DA$1-RecData[Yaw Angle (°)])-180),360),MOD(180-ABS(ABS($DB$1-RecData[Yaw Angle (°)])-180),360))</f>
        <v>73.090443177687519</v>
      </c>
      <c r="DB331" s="2" t="str">
        <f>IF($DP$2="None","None",IF(RecData[[#This Row],[Relative Wind Direction]]&lt;=45,"DW",IF(RecData[[#This Row],[Relative Wind Direction]]&lt;=135,"CW","UW")))</f>
        <v>CW</v>
      </c>
      <c r="DC331" s="61">
        <f>IF($CL331-$CL327&gt;1/24,#REF!,IF(SUM($CQ327:$CQ331)&gt;$DS$1,$DS$5,DC332-1))</f>
        <v>-2</v>
      </c>
      <c r="DD331" s="61">
        <f>IF($CL332-$CL331&gt;1/24,#REF!,IF(SUM($CQ327:$CQ331)&gt;$DS$1,$DS$6,DD330-1))</f>
        <v>-9</v>
      </c>
      <c r="DE331" s="18" t="b">
        <v>0</v>
      </c>
      <c r="DF331" s="2" t="b">
        <f>IF(OR(RecData[[#This Row],[WSpd_Avg '[m/s']]]-RecData[[#This Row],[Wind Speed min]]&gt;=$DF$3,RecData[[#This Row],[Wind Speed max]]-RecData[[#This Row],[WSpd_Avg '[m/s']]]&gt;=$DF$2),TRUE,FALSE)</f>
        <v>0</v>
      </c>
      <c r="DG331" s="2" t="b">
        <f>RecData[[#This Row],[Temperature '[°C']]]&lt;=-20</f>
        <v>0</v>
      </c>
      <c r="DH331" s="18" t="b">
        <f>NOT(OR(MOD(RecData[[#This Row],[TIMESTAMP]],1)&gt;0.91632,MOD(RecData[[#This Row],[TIMESTAMP]],1)&lt;0.208681))</f>
        <v>0</v>
      </c>
      <c r="DI331" s="18" t="b">
        <f>RecData[[#This Row],[Overall (dBA)]]-RecData[[#This Row],[L90]]&gt;=$DS$4</f>
        <v>0</v>
      </c>
      <c r="DJ331" s="18" t="b">
        <f>RecData[[#This Row],[Overall (dBA)]]&gt;$DS$2</f>
        <v>0</v>
      </c>
      <c r="DK331" s="18" t="b">
        <f>RecData[[#This Row],[Overall (dBA)]]&lt;$DS$3</f>
        <v>0</v>
      </c>
      <c r="DL3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1" s="2">
        <f>IF(AND(RecData[[#This Row],[Turbines ON/OFF]] = "OFF", NOT(OR(RecData[[#This Row],[Junk?]]="YES",RecData[[#This Row],[Gust?]],RecData[[#This Row],[Rain?]:[Min SPL Threshold?]]))),1,0)</f>
        <v>1</v>
      </c>
      <c r="DN331" s="16">
        <f>RecData[[#This Row],[dBA Sum]]</f>
        <v>18.52675667416646</v>
      </c>
      <c r="DO331" s="16">
        <f>RecData[[#This Row],[LAF90.0]]</f>
        <v>34</v>
      </c>
      <c r="DP331" s="55" t="str">
        <f>IF(AND(RecData[[#This Row],[Useable TON Data?]],RecData[[#This Row],[Turbines ON/OFF]]="ON"),RecData[[#This Row],[dBA Sum]],"")</f>
        <v/>
      </c>
      <c r="DQ331" s="55">
        <f>IF(AND(RecData[[#This Row],[Useable Background Data?]],RecData[[#This Row],[Turbines ON/OFF]]="OFF"),RecData[[#This Row],[dBA Sum]],"")</f>
        <v>18.52675667416646</v>
      </c>
      <c r="DR331" s="3">
        <f>IF(OR(RecData[[#This Row],[Useable TON Data?]],RecData[[#This Row],[Useable Background Data?]]),ROUND(RecData[[#This Row],[WSpd_Avg '[m/s']]],0),"")</f>
        <v>0</v>
      </c>
      <c r="DS331" s="85">
        <f>(0.00002)^2*(10^(RecData[[#This Row],[Overall (dBA)]]/10))</f>
        <v>2.849283471260803E-8</v>
      </c>
    </row>
    <row r="332" spans="1:123" ht="15" x14ac:dyDescent="0.25">
      <c r="A332" s="3" t="s">
        <v>249</v>
      </c>
      <c r="B332" s="12">
        <v>43260.9847337963</v>
      </c>
      <c r="C332" s="3"/>
      <c r="D332" s="3">
        <v>36.799999999999997</v>
      </c>
      <c r="E332" s="3"/>
      <c r="F332" s="3"/>
      <c r="G332" s="3"/>
      <c r="H332" s="3"/>
      <c r="I332" s="3"/>
      <c r="J332" s="3"/>
      <c r="K332" s="3">
        <v>34.200000000000003</v>
      </c>
      <c r="L332" s="3"/>
      <c r="M332" s="3"/>
      <c r="N332" s="3">
        <v>242.7</v>
      </c>
      <c r="O332" s="3"/>
      <c r="P332" s="3"/>
      <c r="Q332" s="3">
        <v>0.23</v>
      </c>
      <c r="R332" s="3">
        <v>0.1</v>
      </c>
      <c r="S332" s="3">
        <v>0.3</v>
      </c>
      <c r="T332" s="3">
        <v>12.9</v>
      </c>
      <c r="U332" s="3">
        <v>82.2</v>
      </c>
      <c r="V332" s="3">
        <v>975.7</v>
      </c>
      <c r="W332" s="3">
        <v>0</v>
      </c>
      <c r="X332" s="3">
        <v>15.8</v>
      </c>
      <c r="Y332" s="3">
        <v>15.1</v>
      </c>
      <c r="Z332" s="3">
        <v>18.399999999999999</v>
      </c>
      <c r="AA332" s="3">
        <v>9.9</v>
      </c>
      <c r="AB332" s="3">
        <v>8.1999999999999993</v>
      </c>
      <c r="AC332" s="3">
        <v>5.8</v>
      </c>
      <c r="AD332" s="3">
        <v>11.2</v>
      </c>
      <c r="AE332" s="3">
        <v>10.4</v>
      </c>
      <c r="AF332" s="3">
        <v>11.1</v>
      </c>
      <c r="AG332" s="3">
        <v>10.8</v>
      </c>
      <c r="AH332" s="3">
        <v>14.1</v>
      </c>
      <c r="AI332" s="3">
        <v>11.1</v>
      </c>
      <c r="AJ332" s="3">
        <v>9.4</v>
      </c>
      <c r="AK332" s="3">
        <v>8.9</v>
      </c>
      <c r="AL332" s="3">
        <v>6.8</v>
      </c>
      <c r="AM332" s="3">
        <v>10.4</v>
      </c>
      <c r="AN332" s="3">
        <v>10.199999999999999</v>
      </c>
      <c r="AO332" s="3">
        <v>10.3</v>
      </c>
      <c r="AP332" s="3">
        <v>7.7</v>
      </c>
      <c r="AQ332" s="3">
        <v>9.6</v>
      </c>
      <c r="AR332" s="3">
        <v>7.5</v>
      </c>
      <c r="AS332" s="3">
        <v>26.4</v>
      </c>
      <c r="AT332" s="3">
        <v>34.9</v>
      </c>
      <c r="AU332" s="3">
        <v>10.9</v>
      </c>
      <c r="AV332" s="3">
        <v>9</v>
      </c>
      <c r="AW332" s="3">
        <v>9.5</v>
      </c>
      <c r="AX332" s="3">
        <v>9.6</v>
      </c>
      <c r="AY332" s="3">
        <v>9.6999999999999993</v>
      </c>
      <c r="AZ332" s="3">
        <v>0</v>
      </c>
      <c r="BA332" s="3">
        <v>0</v>
      </c>
      <c r="BB332" s="3">
        <v>0</v>
      </c>
      <c r="BC332" s="3">
        <v>36.780600082508059</v>
      </c>
      <c r="BD332" s="3">
        <v>15.819399917491936</v>
      </c>
      <c r="BE332" s="3">
        <v>15.11939991749194</v>
      </c>
      <c r="BF332" s="3">
        <v>17.179399917491935</v>
      </c>
      <c r="BG332" s="3">
        <v>9.006066584158603</v>
      </c>
      <c r="BH332" s="3">
        <v>7.4460665841586078</v>
      </c>
      <c r="BI332" s="3">
        <v>5.4593999174919361</v>
      </c>
      <c r="BJ332" s="3">
        <v>11.652733250825271</v>
      </c>
      <c r="BK332" s="3">
        <v>10.726066584158602</v>
      </c>
      <c r="BL332" s="3">
        <v>10.999399917491942</v>
      </c>
      <c r="BM332" s="3">
        <v>10.832733250825271</v>
      </c>
      <c r="BN332" s="3">
        <v>14.416066584158607</v>
      </c>
      <c r="BO332" s="3">
        <v>10.782733250825274</v>
      </c>
      <c r="BP332" s="3">
        <v>8.7993999174919395</v>
      </c>
      <c r="BQ332" s="3">
        <v>8.7160665841585967</v>
      </c>
      <c r="BR332" s="3">
        <v>6.9427332508252704</v>
      </c>
      <c r="BS332" s="3">
        <v>10.346066584158606</v>
      </c>
      <c r="BT332" s="3">
        <v>10.342733250825276</v>
      </c>
      <c r="BU332" s="3">
        <v>10.409399917491939</v>
      </c>
      <c r="BV332" s="3">
        <v>7.5260665841586061</v>
      </c>
      <c r="BW332" s="3">
        <v>9.9593999174919432</v>
      </c>
      <c r="BX332" s="3">
        <v>7.7793999174919435</v>
      </c>
      <c r="BY332" s="3">
        <v>26.499399917491935</v>
      </c>
      <c r="BZ332" s="3">
        <v>35.129399917491938</v>
      </c>
      <c r="CA332" s="3">
        <v>11.229399917491932</v>
      </c>
      <c r="CB332" s="3">
        <v>8.766066584158601</v>
      </c>
      <c r="CC332" s="3">
        <v>9.4793999174919392</v>
      </c>
      <c r="CD332" s="3">
        <v>8.8860665841586126</v>
      </c>
      <c r="CE332" s="3">
        <v>9.179399917491935</v>
      </c>
      <c r="CF332" s="3">
        <v>-0.90726674917473105</v>
      </c>
      <c r="CG332" s="3">
        <v>-1.4406000825080625</v>
      </c>
      <c r="CH332" s="3">
        <v>-2.5172667491747305</v>
      </c>
      <c r="CI332" s="13">
        <f>[1]!dbasum(RecData[[#This Row],[20]:[2000]],RecData[[#Headers],[20]:[2000]])</f>
        <v>18.144223676488632</v>
      </c>
      <c r="CJ332" s="14">
        <v>4339</v>
      </c>
      <c r="CK332" s="15" t="s">
        <v>249</v>
      </c>
      <c r="CL332" s="15">
        <f>RecData[[#This Row],[Start Time]]</f>
        <v>43260.9847337963</v>
      </c>
      <c r="CM332" s="16">
        <f>RecData[[#This Row],[Wind Speed avg]]</f>
        <v>0.23</v>
      </c>
      <c r="CN332" s="16">
        <f>RecData[[#This Row],[Wind Dir. avg]]</f>
        <v>242.7</v>
      </c>
      <c r="CO332" s="16">
        <f>RecData[[#This Row],[Amb. Humidity]]</f>
        <v>82.2</v>
      </c>
      <c r="CP332" s="16">
        <f>RecData[[#This Row],[Amb. Temperature]]</f>
        <v>12.9</v>
      </c>
      <c r="CQ332" s="17">
        <f>RecData[[#This Row],[Amb. Rain Gauge]]</f>
        <v>0</v>
      </c>
      <c r="CR332" s="4" t="s">
        <v>50</v>
      </c>
      <c r="CS332" s="4" t="s">
        <v>49</v>
      </c>
      <c r="CT332" s="70">
        <v>-10.54886913</v>
      </c>
      <c r="CU332" s="70">
        <v>294.43948360000002</v>
      </c>
      <c r="CV332" s="70">
        <v>1.052435875</v>
      </c>
      <c r="CW332" s="70">
        <v>0</v>
      </c>
      <c r="CX332" s="4"/>
      <c r="CY332" s="69"/>
      <c r="CZ332" s="2" t="b">
        <f>IF($DP$1="YES",IF(RecData[[#This Row],[Power (kW)]]&gt;=$CR$3, TRUE,FALSE),TRUE)</f>
        <v>0</v>
      </c>
      <c r="DA332" s="16">
        <f>MIN(MOD(180-ABS(ABS($DA$1-RecData[Yaw Angle (°)])-180),360),MOD(180-ABS(ABS($DB$1-RecData[Yaw Angle (°)])-180),360))</f>
        <v>73.090443177687519</v>
      </c>
      <c r="DB332" s="2" t="str">
        <f>IF($DP$2="None","None",IF(RecData[[#This Row],[Relative Wind Direction]]&lt;=45,"DW",IF(RecData[[#This Row],[Relative Wind Direction]]&lt;=135,"CW","UW")))</f>
        <v>CW</v>
      </c>
      <c r="DC332" s="61">
        <v>-1</v>
      </c>
      <c r="DD332" s="61">
        <v>-1</v>
      </c>
      <c r="DE332" s="18" t="b">
        <v>0</v>
      </c>
      <c r="DF332" s="2" t="b">
        <f>IF(OR(RecData[[#This Row],[WSpd_Avg '[m/s']]]-RecData[[#This Row],[Wind Speed min]]&gt;=$DF$3,RecData[[#This Row],[Wind Speed max]]-RecData[[#This Row],[WSpd_Avg '[m/s']]]&gt;=$DF$2),TRUE,FALSE)</f>
        <v>0</v>
      </c>
      <c r="DG332" s="2" t="b">
        <f>RecData[[#This Row],[Temperature '[°C']]]&lt;=-20</f>
        <v>0</v>
      </c>
      <c r="DH332" s="18" t="b">
        <f>NOT(OR(MOD(RecData[[#This Row],[TIMESTAMP]],1)&gt;0.91632,MOD(RecData[[#This Row],[TIMESTAMP]],1)&lt;0.208681))</f>
        <v>0</v>
      </c>
      <c r="DI332" s="18" t="b">
        <f>RecData[[#This Row],[Overall (dBA)]]-RecData[[#This Row],[L90]]&gt;=$DS$4</f>
        <v>0</v>
      </c>
      <c r="DJ332" s="18" t="b">
        <f>RecData[[#This Row],[Overall (dBA)]]&gt;$DS$2</f>
        <v>0</v>
      </c>
      <c r="DK332" s="18" t="b">
        <f>RecData[[#This Row],[Overall (dBA)]]&lt;$DS$3</f>
        <v>0</v>
      </c>
      <c r="DL3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2" s="2">
        <f>IF(AND(RecData[[#This Row],[Turbines ON/OFF]] = "OFF", NOT(OR(RecData[[#This Row],[Junk?]]="YES",RecData[[#This Row],[Gust?]],RecData[[#This Row],[Rain?]:[Min SPL Threshold?]]))),1,0)</f>
        <v>1</v>
      </c>
      <c r="DN332" s="16">
        <f>RecData[[#This Row],[dBA Sum]]</f>
        <v>18.144223676488632</v>
      </c>
      <c r="DO332" s="16">
        <f>RecData[[#This Row],[LAF90.0]]</f>
        <v>34.200000000000003</v>
      </c>
      <c r="DP332" s="55" t="str">
        <f>IF(AND(RecData[[#This Row],[Useable TON Data?]],RecData[[#This Row],[Turbines ON/OFF]]="ON"),RecData[[#This Row],[dBA Sum]],"")</f>
        <v/>
      </c>
      <c r="DQ332" s="55">
        <f>IF(AND(RecData[[#This Row],[Useable Background Data?]],RecData[[#This Row],[Turbines ON/OFF]]="OFF"),RecData[[#This Row],[dBA Sum]],"")</f>
        <v>18.144223676488632</v>
      </c>
      <c r="DR332" s="3">
        <f>IF(OR(RecData[[#This Row],[Useable TON Data?]],RecData[[#This Row],[Useable Background Data?]]),ROUND(RecData[[#This Row],[WSpd_Avg '[m/s']]],0),"")</f>
        <v>0</v>
      </c>
      <c r="DS332" s="85">
        <f>(0.00002)^2*(10^(RecData[[#This Row],[Overall (dBA)]]/10))</f>
        <v>2.6090497413733975E-8</v>
      </c>
    </row>
    <row r="333" spans="1:123" ht="15" x14ac:dyDescent="0.25">
      <c r="A333" s="3" t="s">
        <v>249</v>
      </c>
      <c r="B333" s="12">
        <v>43260.985428240747</v>
      </c>
      <c r="C333" s="3"/>
      <c r="D333" s="3">
        <v>36.700000000000003</v>
      </c>
      <c r="E333" s="3"/>
      <c r="F333" s="3"/>
      <c r="G333" s="3"/>
      <c r="H333" s="3"/>
      <c r="I333" s="3"/>
      <c r="J333" s="3"/>
      <c r="K333" s="3">
        <v>34.6</v>
      </c>
      <c r="L333" s="3"/>
      <c r="M333" s="3"/>
      <c r="N333" s="3">
        <v>191</v>
      </c>
      <c r="O333" s="3"/>
      <c r="P333" s="3"/>
      <c r="Q333" s="3">
        <v>0.22</v>
      </c>
      <c r="R333" s="3">
        <v>0.1</v>
      </c>
      <c r="S333" s="3">
        <v>0.3</v>
      </c>
      <c r="T333" s="3">
        <v>12.9</v>
      </c>
      <c r="U333" s="3">
        <v>82.7</v>
      </c>
      <c r="V333" s="3">
        <v>975.7</v>
      </c>
      <c r="W333" s="3">
        <v>0</v>
      </c>
      <c r="X333" s="3">
        <v>14.9</v>
      </c>
      <c r="Y333" s="3">
        <v>17</v>
      </c>
      <c r="Z333" s="3">
        <v>18.3</v>
      </c>
      <c r="AA333" s="3">
        <v>10.1</v>
      </c>
      <c r="AB333" s="3">
        <v>8.6</v>
      </c>
      <c r="AC333" s="3">
        <v>6.4</v>
      </c>
      <c r="AD333" s="3">
        <v>11.3</v>
      </c>
      <c r="AE333" s="3">
        <v>12.7</v>
      </c>
      <c r="AF333" s="3">
        <v>13.3</v>
      </c>
      <c r="AG333" s="3">
        <v>13.2</v>
      </c>
      <c r="AH333" s="3">
        <v>17.100000000000001</v>
      </c>
      <c r="AI333" s="3">
        <v>14</v>
      </c>
      <c r="AJ333" s="3">
        <v>12.7</v>
      </c>
      <c r="AK333" s="3">
        <v>12.3</v>
      </c>
      <c r="AL333" s="3">
        <v>9.3000000000000007</v>
      </c>
      <c r="AM333" s="3">
        <v>11.9</v>
      </c>
      <c r="AN333" s="3">
        <v>12.8</v>
      </c>
      <c r="AO333" s="3">
        <v>16</v>
      </c>
      <c r="AP333" s="3">
        <v>10.3</v>
      </c>
      <c r="AQ333" s="3">
        <v>9.9</v>
      </c>
      <c r="AR333" s="3">
        <v>7.6</v>
      </c>
      <c r="AS333" s="3">
        <v>26.3</v>
      </c>
      <c r="AT333" s="3">
        <v>34.700000000000003</v>
      </c>
      <c r="AU333" s="3">
        <v>11.4</v>
      </c>
      <c r="AV333" s="3">
        <v>8.9</v>
      </c>
      <c r="AW333" s="3">
        <v>9.3000000000000007</v>
      </c>
      <c r="AX333" s="3">
        <v>9.4</v>
      </c>
      <c r="AY333" s="3">
        <v>9.6999999999999993</v>
      </c>
      <c r="AZ333" s="3">
        <v>0</v>
      </c>
      <c r="BA333" s="3">
        <v>0</v>
      </c>
      <c r="BB333" s="3">
        <v>0</v>
      </c>
      <c r="BC333" s="3">
        <v>36.652482311054641</v>
      </c>
      <c r="BD333" s="3">
        <v>14.947517688945361</v>
      </c>
      <c r="BE333" s="3">
        <v>17.047517688945362</v>
      </c>
      <c r="BF333" s="3">
        <v>17.107517688945364</v>
      </c>
      <c r="BG333" s="3">
        <v>9.2341843556120295</v>
      </c>
      <c r="BH333" s="3">
        <v>7.8741843556120301</v>
      </c>
      <c r="BI333" s="3">
        <v>6.0875176889453613</v>
      </c>
      <c r="BJ333" s="3">
        <v>11.780851022278696</v>
      </c>
      <c r="BK333" s="3">
        <v>13.054184355612023</v>
      </c>
      <c r="BL333" s="3">
        <v>13.227517688945362</v>
      </c>
      <c r="BM333" s="3">
        <v>13.2608510222787</v>
      </c>
      <c r="BN333" s="3">
        <v>17.44418435561203</v>
      </c>
      <c r="BO333" s="3">
        <v>13.710851022278696</v>
      </c>
      <c r="BP333" s="3">
        <v>12.12751768894536</v>
      </c>
      <c r="BQ333" s="3">
        <v>12.144184355612019</v>
      </c>
      <c r="BR333" s="3">
        <v>9.4708510222786941</v>
      </c>
      <c r="BS333" s="3">
        <v>11.87418435561203</v>
      </c>
      <c r="BT333" s="3">
        <v>12.970851022278694</v>
      </c>
      <c r="BU333" s="3">
        <v>16.137517688945366</v>
      </c>
      <c r="BV333" s="3">
        <v>10.154184355612031</v>
      </c>
      <c r="BW333" s="3">
        <v>10.287517688945364</v>
      </c>
      <c r="BX333" s="3">
        <v>7.9075176889453687</v>
      </c>
      <c r="BY333" s="3">
        <v>26.427517688945358</v>
      </c>
      <c r="BZ333" s="3">
        <v>34.957517688945373</v>
      </c>
      <c r="CA333" s="3">
        <v>11.757517688945356</v>
      </c>
      <c r="CB333" s="3">
        <v>8.6941843556120233</v>
      </c>
      <c r="CC333" s="3">
        <v>9.3075176889453601</v>
      </c>
      <c r="CD333" s="3">
        <v>8.7141843556120335</v>
      </c>
      <c r="CE333" s="3">
        <v>9.2075176889453587</v>
      </c>
      <c r="CF333" s="3">
        <v>-0.87914897772130729</v>
      </c>
      <c r="CG333" s="3">
        <v>-1.4124823110546387</v>
      </c>
      <c r="CH333" s="3">
        <v>-2.4891489777213067</v>
      </c>
      <c r="CI333" s="13">
        <f>[1]!dbasum(RecData[[#This Row],[20]:[2000]],RecData[[#Headers],[20]:[2000]])</f>
        <v>20.920594124746792</v>
      </c>
      <c r="CJ333" s="14">
        <v>4340</v>
      </c>
      <c r="CK333" s="15" t="s">
        <v>249</v>
      </c>
      <c r="CL333" s="15">
        <f>RecData[[#This Row],[Start Time]]</f>
        <v>43260.985428240747</v>
      </c>
      <c r="CM333" s="16">
        <f>RecData[[#This Row],[Wind Speed avg]]</f>
        <v>0.22</v>
      </c>
      <c r="CN333" s="16">
        <f>RecData[[#This Row],[Wind Dir. avg]]</f>
        <v>191</v>
      </c>
      <c r="CO333" s="16">
        <f>RecData[[#This Row],[Amb. Humidity]]</f>
        <v>82.7</v>
      </c>
      <c r="CP333" s="16">
        <f>RecData[[#This Row],[Amb. Temperature]]</f>
        <v>12.9</v>
      </c>
      <c r="CQ333" s="17">
        <f>RecData[[#This Row],[Amb. Rain Gauge]]</f>
        <v>0</v>
      </c>
      <c r="CR333" s="4" t="s">
        <v>50</v>
      </c>
      <c r="CS333" s="4" t="s">
        <v>49</v>
      </c>
      <c r="CT333" s="70">
        <v>-10.54886913</v>
      </c>
      <c r="CU333" s="70">
        <v>294.43948360000002</v>
      </c>
      <c r="CV333" s="70">
        <v>1.052435875</v>
      </c>
      <c r="CW333" s="70">
        <v>0</v>
      </c>
      <c r="CX333" s="4"/>
      <c r="CY333" s="69"/>
      <c r="CZ333" s="2" t="b">
        <f>IF($DP$1="YES",IF(RecData[[#This Row],[Power (kW)]]&gt;=$CR$3, TRUE,FALSE),TRUE)</f>
        <v>0</v>
      </c>
      <c r="DA333" s="16">
        <f>MIN(MOD(180-ABS(ABS($DA$1-RecData[Yaw Angle (°)])-180),360),MOD(180-ABS(ABS($DB$1-RecData[Yaw Angle (°)])-180),360))</f>
        <v>73.090443177687519</v>
      </c>
      <c r="DB333" s="2" t="str">
        <f>IF($DP$2="None","None",IF(RecData[[#This Row],[Relative Wind Direction]]&lt;=45,"DW",IF(RecData[[#This Row],[Relative Wind Direction]]&lt;=135,"CW","UW")))</f>
        <v>CW</v>
      </c>
      <c r="DC333" s="61">
        <f>IF($CL333-$CL332&gt;1/24,#REF!,IF(SUM($CQ332:$CQ333)&gt;$DS$1,$DS$5,DC334-1))</f>
        <v>-9</v>
      </c>
      <c r="DD333" s="61">
        <f>IF($CL334-$CL333&gt;1/24,#REF!,IF(SUM($CQ332:$CQ333)&gt;$DS$1,$DS$6,DD332-1))</f>
        <v>-2</v>
      </c>
      <c r="DE333" s="18" t="b">
        <v>0</v>
      </c>
      <c r="DF333" s="2" t="b">
        <f>IF(OR(RecData[[#This Row],[WSpd_Avg '[m/s']]]-RecData[[#This Row],[Wind Speed min]]&gt;=$DF$3,RecData[[#This Row],[Wind Speed max]]-RecData[[#This Row],[WSpd_Avg '[m/s']]]&gt;=$DF$2),TRUE,FALSE)</f>
        <v>0</v>
      </c>
      <c r="DG333" s="2" t="b">
        <f>RecData[[#This Row],[Temperature '[°C']]]&lt;=-20</f>
        <v>0</v>
      </c>
      <c r="DH333" s="18" t="b">
        <f>NOT(OR(MOD(RecData[[#This Row],[TIMESTAMP]],1)&gt;0.91632,MOD(RecData[[#This Row],[TIMESTAMP]],1)&lt;0.208681))</f>
        <v>0</v>
      </c>
      <c r="DI333" s="18" t="b">
        <f>RecData[[#This Row],[Overall (dBA)]]-RecData[[#This Row],[L90]]&gt;=$DS$4</f>
        <v>0</v>
      </c>
      <c r="DJ333" s="18" t="b">
        <f>RecData[[#This Row],[Overall (dBA)]]&gt;$DS$2</f>
        <v>0</v>
      </c>
      <c r="DK333" s="18" t="b">
        <f>RecData[[#This Row],[Overall (dBA)]]&lt;$DS$3</f>
        <v>0</v>
      </c>
      <c r="DL3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3" s="2">
        <f>IF(AND(RecData[[#This Row],[Turbines ON/OFF]] = "OFF", NOT(OR(RecData[[#This Row],[Junk?]]="YES",RecData[[#This Row],[Gust?]],RecData[[#This Row],[Rain?]:[Min SPL Threshold?]]))),1,0)</f>
        <v>1</v>
      </c>
      <c r="DN333" s="16">
        <f>RecData[[#This Row],[dBA Sum]]</f>
        <v>20.920594124746792</v>
      </c>
      <c r="DO333" s="16">
        <f>RecData[[#This Row],[LAF90.0]]</f>
        <v>34.6</v>
      </c>
      <c r="DP333" s="55" t="str">
        <f>IF(AND(RecData[[#This Row],[Useable TON Data?]],RecData[[#This Row],[Turbines ON/OFF]]="ON"),RecData[[#This Row],[dBA Sum]],"")</f>
        <v/>
      </c>
      <c r="DQ333" s="55">
        <f>IF(AND(RecData[[#This Row],[Useable Background Data?]],RecData[[#This Row],[Turbines ON/OFF]]="OFF"),RecData[[#This Row],[dBA Sum]],"")</f>
        <v>20.920594124746792</v>
      </c>
      <c r="DR333" s="3">
        <f>IF(OR(RecData[[#This Row],[Useable TON Data?]],RecData[[#This Row],[Useable Background Data?]]),ROUND(RecData[[#This Row],[WSpd_Avg '[m/s']]],0),"")</f>
        <v>0</v>
      </c>
      <c r="DS333" s="85">
        <f>(0.00002)^2*(10^(RecData[[#This Row],[Overall (dBA)]]/10))</f>
        <v>4.9444661017415042E-8</v>
      </c>
    </row>
    <row r="334" spans="1:123" ht="15" x14ac:dyDescent="0.25">
      <c r="A334" s="3" t="s">
        <v>249</v>
      </c>
      <c r="B334" s="12">
        <v>43260.986122685194</v>
      </c>
      <c r="C334" s="3"/>
      <c r="D334" s="3">
        <v>37.5</v>
      </c>
      <c r="E334" s="3"/>
      <c r="F334" s="3"/>
      <c r="G334" s="3"/>
      <c r="H334" s="3"/>
      <c r="I334" s="3"/>
      <c r="J334" s="3"/>
      <c r="K334" s="3">
        <v>35.4</v>
      </c>
      <c r="L334" s="3"/>
      <c r="M334" s="3"/>
      <c r="N334" s="3">
        <v>143.9</v>
      </c>
      <c r="O334" s="3"/>
      <c r="P334" s="3"/>
      <c r="Q334" s="3">
        <v>0.37</v>
      </c>
      <c r="R334" s="3">
        <v>0.2</v>
      </c>
      <c r="S334" s="3">
        <v>0.5</v>
      </c>
      <c r="T334" s="3">
        <v>12.9</v>
      </c>
      <c r="U334" s="3">
        <v>83.2</v>
      </c>
      <c r="V334" s="3">
        <v>975.7</v>
      </c>
      <c r="W334" s="3">
        <v>0</v>
      </c>
      <c r="X334" s="3">
        <v>13.5</v>
      </c>
      <c r="Y334" s="3">
        <v>13.1</v>
      </c>
      <c r="Z334" s="3">
        <v>13.6</v>
      </c>
      <c r="AA334" s="3">
        <v>8.4</v>
      </c>
      <c r="AB334" s="3">
        <v>7.6</v>
      </c>
      <c r="AC334" s="3">
        <v>5.5</v>
      </c>
      <c r="AD334" s="3">
        <v>9.8000000000000007</v>
      </c>
      <c r="AE334" s="3">
        <v>9.9</v>
      </c>
      <c r="AF334" s="3">
        <v>11.8</v>
      </c>
      <c r="AG334" s="3">
        <v>12.7</v>
      </c>
      <c r="AH334" s="3">
        <v>16</v>
      </c>
      <c r="AI334" s="3">
        <v>13.1</v>
      </c>
      <c r="AJ334" s="3">
        <v>11</v>
      </c>
      <c r="AK334" s="3">
        <v>12.2</v>
      </c>
      <c r="AL334" s="3">
        <v>8.6999999999999993</v>
      </c>
      <c r="AM334" s="3">
        <v>9.4</v>
      </c>
      <c r="AN334" s="3">
        <v>10.6</v>
      </c>
      <c r="AO334" s="3">
        <v>14.9</v>
      </c>
      <c r="AP334" s="3">
        <v>9.3000000000000007</v>
      </c>
      <c r="AQ334" s="3">
        <v>10</v>
      </c>
      <c r="AR334" s="3">
        <v>7.5</v>
      </c>
      <c r="AS334" s="3">
        <v>27.5</v>
      </c>
      <c r="AT334" s="3">
        <v>35.5</v>
      </c>
      <c r="AU334" s="3">
        <v>11.4</v>
      </c>
      <c r="AV334" s="3">
        <v>8.9</v>
      </c>
      <c r="AW334" s="3">
        <v>9.3000000000000007</v>
      </c>
      <c r="AX334" s="3">
        <v>9.4</v>
      </c>
      <c r="AY334" s="3">
        <v>9.6</v>
      </c>
      <c r="AZ334" s="3">
        <v>0</v>
      </c>
      <c r="BA334" s="3">
        <v>0</v>
      </c>
      <c r="BB334" s="3">
        <v>0</v>
      </c>
      <c r="BC334" s="3">
        <v>37.457497970801462</v>
      </c>
      <c r="BD334" s="3">
        <v>13.542502029198538</v>
      </c>
      <c r="BE334" s="3">
        <v>13.142502029198539</v>
      </c>
      <c r="BF334" s="3">
        <v>12.402502029198537</v>
      </c>
      <c r="BG334" s="3">
        <v>7.5291686958652022</v>
      </c>
      <c r="BH334" s="3">
        <v>6.8691686958652056</v>
      </c>
      <c r="BI334" s="3">
        <v>5.1825020291985382</v>
      </c>
      <c r="BJ334" s="3">
        <v>10.275835362531872</v>
      </c>
      <c r="BK334" s="3">
        <v>10.249168695865201</v>
      </c>
      <c r="BL334" s="3">
        <v>11.722502029198537</v>
      </c>
      <c r="BM334" s="3">
        <v>12.755835362531876</v>
      </c>
      <c r="BN334" s="3">
        <v>16.339168695865204</v>
      </c>
      <c r="BO334" s="3">
        <v>12.805835362531873</v>
      </c>
      <c r="BP334" s="3">
        <v>10.42250202919854</v>
      </c>
      <c r="BQ334" s="3">
        <v>12.039168695865193</v>
      </c>
      <c r="BR334" s="3">
        <v>8.8658353625318753</v>
      </c>
      <c r="BS334" s="3">
        <v>9.3691686958652056</v>
      </c>
      <c r="BT334" s="3">
        <v>10.765835362531874</v>
      </c>
      <c r="BU334" s="3">
        <v>15.03250202919854</v>
      </c>
      <c r="BV334" s="3">
        <v>9.1491686958652068</v>
      </c>
      <c r="BW334" s="3">
        <v>10.382502029198541</v>
      </c>
      <c r="BX334" s="3">
        <v>7.8025020291985427</v>
      </c>
      <c r="BY334" s="3">
        <v>27.622502029198536</v>
      </c>
      <c r="BZ334" s="3">
        <v>35.752502029198546</v>
      </c>
      <c r="CA334" s="3">
        <v>11.752502029198531</v>
      </c>
      <c r="CB334" s="3">
        <v>8.6891686958651988</v>
      </c>
      <c r="CC334" s="3">
        <v>9.3025020291985356</v>
      </c>
      <c r="CD334" s="3">
        <v>8.709168695865209</v>
      </c>
      <c r="CE334" s="3">
        <v>9.1025020291985399</v>
      </c>
      <c r="CF334" s="3">
        <v>-0.88416463746813179</v>
      </c>
      <c r="CG334" s="3">
        <v>-1.4174979708014632</v>
      </c>
      <c r="CH334" s="3">
        <v>-2.4941646374681312</v>
      </c>
      <c r="CI334" s="13">
        <f>[1]!dbasum(RecData[[#This Row],[20]:[2000]],RecData[[#Headers],[20]:[2000]])</f>
        <v>19.880502981980005</v>
      </c>
      <c r="CJ334" s="14">
        <v>4341</v>
      </c>
      <c r="CK334" s="15" t="s">
        <v>249</v>
      </c>
      <c r="CL334" s="15">
        <f>RecData[[#This Row],[Start Time]]</f>
        <v>43260.986122685194</v>
      </c>
      <c r="CM334" s="16">
        <f>RecData[[#This Row],[Wind Speed avg]]</f>
        <v>0.37</v>
      </c>
      <c r="CN334" s="16">
        <f>RecData[[#This Row],[Wind Dir. avg]]</f>
        <v>143.9</v>
      </c>
      <c r="CO334" s="16">
        <f>RecData[[#This Row],[Amb. Humidity]]</f>
        <v>83.2</v>
      </c>
      <c r="CP334" s="16">
        <f>RecData[[#This Row],[Amb. Temperature]]</f>
        <v>12.9</v>
      </c>
      <c r="CQ334" s="17">
        <f>RecData[[#This Row],[Amb. Rain Gauge]]</f>
        <v>0</v>
      </c>
      <c r="CR334" s="4" t="s">
        <v>50</v>
      </c>
      <c r="CS334" s="4" t="s">
        <v>49</v>
      </c>
      <c r="CT334" s="70">
        <v>-9.1107110979999995</v>
      </c>
      <c r="CU334" s="70">
        <v>344.0028992</v>
      </c>
      <c r="CV334" s="70">
        <v>1.6604667900000001</v>
      </c>
      <c r="CW334" s="70">
        <v>0</v>
      </c>
      <c r="CX334" s="4"/>
      <c r="CY334" s="69"/>
      <c r="CZ334" s="2" t="b">
        <f>IF($DP$1="YES",IF(RecData[[#This Row],[Power (kW)]]&gt;=$CR$3, TRUE,FALSE),TRUE)</f>
        <v>0</v>
      </c>
      <c r="DA334" s="16">
        <f>MIN(MOD(180-ABS(ABS($DA$1-RecData[Yaw Angle (°)])-180),360),MOD(180-ABS(ABS($DB$1-RecData[Yaw Angle (°)])-180),360))</f>
        <v>23.527027577687534</v>
      </c>
      <c r="DB334" s="2" t="str">
        <f>IF($DP$2="None","None",IF(RecData[[#This Row],[Relative Wind Direction]]&lt;=45,"DW",IF(RecData[[#This Row],[Relative Wind Direction]]&lt;=135,"CW","UW")))</f>
        <v>DW</v>
      </c>
      <c r="DC334" s="61">
        <f>IF($CL334-$CL332&gt;1/24,#REF!,IF(SUM($CQ332:$CQ334)&gt;$DS$1,$DS$5,DC335-1))</f>
        <v>-8</v>
      </c>
      <c r="DD334" s="61">
        <f>IF($CL335-$CL334&gt;1/24,#REF!,IF(SUM($CQ332:$CQ334)&gt;$DS$1,$DS$6,DD333-1))</f>
        <v>-3</v>
      </c>
      <c r="DE334" s="18" t="b">
        <v>0</v>
      </c>
      <c r="DF334" s="2" t="b">
        <f>IF(OR(RecData[[#This Row],[WSpd_Avg '[m/s']]]-RecData[[#This Row],[Wind Speed min]]&gt;=$DF$3,RecData[[#This Row],[Wind Speed max]]-RecData[[#This Row],[WSpd_Avg '[m/s']]]&gt;=$DF$2),TRUE,FALSE)</f>
        <v>0</v>
      </c>
      <c r="DG334" s="2" t="b">
        <f>RecData[[#This Row],[Temperature '[°C']]]&lt;=-20</f>
        <v>0</v>
      </c>
      <c r="DH334" s="18" t="b">
        <f>NOT(OR(MOD(RecData[[#This Row],[TIMESTAMP]],1)&gt;0.91632,MOD(RecData[[#This Row],[TIMESTAMP]],1)&lt;0.208681))</f>
        <v>0</v>
      </c>
      <c r="DI334" s="18" t="b">
        <f>RecData[[#This Row],[Overall (dBA)]]-RecData[[#This Row],[L90]]&gt;=$DS$4</f>
        <v>0</v>
      </c>
      <c r="DJ334" s="18" t="b">
        <f>RecData[[#This Row],[Overall (dBA)]]&gt;$DS$2</f>
        <v>0</v>
      </c>
      <c r="DK334" s="18" t="b">
        <f>RecData[[#This Row],[Overall (dBA)]]&lt;$DS$3</f>
        <v>0</v>
      </c>
      <c r="DL3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4" s="2">
        <f>IF(AND(RecData[[#This Row],[Turbines ON/OFF]] = "OFF", NOT(OR(RecData[[#This Row],[Junk?]]="YES",RecData[[#This Row],[Gust?]],RecData[[#This Row],[Rain?]:[Min SPL Threshold?]]))),1,0)</f>
        <v>1</v>
      </c>
      <c r="DN334" s="16">
        <f>RecData[[#This Row],[dBA Sum]]</f>
        <v>19.880502981980005</v>
      </c>
      <c r="DO334" s="16">
        <f>RecData[[#This Row],[LAF90.0]]</f>
        <v>35.4</v>
      </c>
      <c r="DP334" s="55" t="str">
        <f>IF(AND(RecData[[#This Row],[Useable TON Data?]],RecData[[#This Row],[Turbines ON/OFF]]="ON"),RecData[[#This Row],[dBA Sum]],"")</f>
        <v/>
      </c>
      <c r="DQ334" s="55">
        <f>IF(AND(RecData[[#This Row],[Useable Background Data?]],RecData[[#This Row],[Turbines ON/OFF]]="OFF"),RecData[[#This Row],[dBA Sum]],"")</f>
        <v>19.880502981980005</v>
      </c>
      <c r="DR334" s="3">
        <f>IF(OR(RecData[[#This Row],[Useable TON Data?]],RecData[[#This Row],[Useable Background Data?]]),ROUND(RecData[[#This Row],[WSpd_Avg '[m/s']]],0),"")</f>
        <v>0</v>
      </c>
      <c r="DS334" s="85">
        <f>(0.00002)^2*(10^(RecData[[#This Row],[Overall (dBA)]]/10))</f>
        <v>3.8914395595109424E-8</v>
      </c>
    </row>
    <row r="335" spans="1:123" ht="15" x14ac:dyDescent="0.25">
      <c r="A335" s="3" t="s">
        <v>249</v>
      </c>
      <c r="B335" s="12">
        <v>43260.986817129633</v>
      </c>
      <c r="C335" s="3"/>
      <c r="D335" s="3">
        <v>33.799999999999997</v>
      </c>
      <c r="E335" s="3"/>
      <c r="F335" s="3"/>
      <c r="G335" s="3"/>
      <c r="H335" s="3"/>
      <c r="I335" s="3"/>
      <c r="J335" s="3"/>
      <c r="K335" s="3">
        <v>24.1</v>
      </c>
      <c r="L335" s="3"/>
      <c r="M335" s="3"/>
      <c r="N335" s="3">
        <v>136.6</v>
      </c>
      <c r="O335" s="3"/>
      <c r="P335" s="3"/>
      <c r="Q335" s="3">
        <v>0.41</v>
      </c>
      <c r="R335" s="3">
        <v>0.2</v>
      </c>
      <c r="S335" s="3">
        <v>0.5</v>
      </c>
      <c r="T335" s="3">
        <v>12.9</v>
      </c>
      <c r="U335" s="3">
        <v>82.7</v>
      </c>
      <c r="V335" s="3">
        <v>975.7</v>
      </c>
      <c r="W335" s="3">
        <v>0</v>
      </c>
      <c r="X335" s="3">
        <v>24.9</v>
      </c>
      <c r="Y335" s="3">
        <v>23</v>
      </c>
      <c r="Z335" s="3">
        <v>22.4</v>
      </c>
      <c r="AA335" s="3">
        <v>19.7</v>
      </c>
      <c r="AB335" s="3">
        <v>9.8000000000000007</v>
      </c>
      <c r="AC335" s="3">
        <v>7.7</v>
      </c>
      <c r="AD335" s="3">
        <v>7.7</v>
      </c>
      <c r="AE335" s="3">
        <v>10.4</v>
      </c>
      <c r="AF335" s="3">
        <v>13.5</v>
      </c>
      <c r="AG335" s="3">
        <v>9</v>
      </c>
      <c r="AH335" s="3">
        <v>10.5</v>
      </c>
      <c r="AI335" s="3">
        <v>9.6999999999999993</v>
      </c>
      <c r="AJ335" s="3">
        <v>8.8000000000000007</v>
      </c>
      <c r="AK335" s="3">
        <v>7.3</v>
      </c>
      <c r="AL335" s="3">
        <v>6.5</v>
      </c>
      <c r="AM335" s="3">
        <v>8.6999999999999993</v>
      </c>
      <c r="AN335" s="3">
        <v>15.7</v>
      </c>
      <c r="AO335" s="3">
        <v>8.3000000000000007</v>
      </c>
      <c r="AP335" s="3">
        <v>7.2</v>
      </c>
      <c r="AQ335" s="3">
        <v>8.6999999999999993</v>
      </c>
      <c r="AR335" s="3">
        <v>7.1</v>
      </c>
      <c r="AS335" s="3">
        <v>21.7</v>
      </c>
      <c r="AT335" s="3">
        <v>32</v>
      </c>
      <c r="AU335" s="3">
        <v>10.4</v>
      </c>
      <c r="AV335" s="3">
        <v>8.8000000000000007</v>
      </c>
      <c r="AW335" s="3">
        <v>9.3000000000000007</v>
      </c>
      <c r="AX335" s="3">
        <v>9.5</v>
      </c>
      <c r="AY335" s="3">
        <v>9.6999999999999993</v>
      </c>
      <c r="AZ335" s="3">
        <v>0</v>
      </c>
      <c r="BA335" s="3">
        <v>0</v>
      </c>
      <c r="BB335" s="3">
        <v>0</v>
      </c>
      <c r="BC335" s="3">
        <v>33.806093570617257</v>
      </c>
      <c r="BD335" s="3">
        <v>24.893906429382739</v>
      </c>
      <c r="BE335" s="3">
        <v>22.99390642938274</v>
      </c>
      <c r="BF335" s="3">
        <v>21.153906429382737</v>
      </c>
      <c r="BG335" s="3">
        <v>18.780573096049402</v>
      </c>
      <c r="BH335" s="3">
        <v>9.0205730960494108</v>
      </c>
      <c r="BI335" s="3">
        <v>7.3339064293827434</v>
      </c>
      <c r="BJ335" s="3">
        <v>8.1272397627160728</v>
      </c>
      <c r="BK335" s="3">
        <v>10.700573096049403</v>
      </c>
      <c r="BL335" s="3">
        <v>13.373906429382743</v>
      </c>
      <c r="BM335" s="3">
        <v>9.0072397627160754</v>
      </c>
      <c r="BN335" s="3">
        <v>10.790573096049407</v>
      </c>
      <c r="BO335" s="3">
        <v>9.3572397627160768</v>
      </c>
      <c r="BP335" s="3">
        <v>8.1739064293827397</v>
      </c>
      <c r="BQ335" s="3">
        <v>7.0905730960493969</v>
      </c>
      <c r="BR335" s="3">
        <v>6.6172397627160748</v>
      </c>
      <c r="BS335" s="3">
        <v>8.6205730960494051</v>
      </c>
      <c r="BT335" s="3">
        <v>15.817239762716078</v>
      </c>
      <c r="BU335" s="3">
        <v>8.3839064293827406</v>
      </c>
      <c r="BV335" s="3">
        <v>7.0005730960494077</v>
      </c>
      <c r="BW335" s="3">
        <v>9.0339064293827462</v>
      </c>
      <c r="BX335" s="3">
        <v>7.3539064293827465</v>
      </c>
      <c r="BY335" s="3">
        <v>21.773906429382741</v>
      </c>
      <c r="BZ335" s="3">
        <v>32.203906429382734</v>
      </c>
      <c r="CA335" s="3">
        <v>10.703906429382734</v>
      </c>
      <c r="CB335" s="3">
        <v>8.5405730960494068</v>
      </c>
      <c r="CC335" s="3">
        <v>9.253906429382738</v>
      </c>
      <c r="CD335" s="3">
        <v>8.7605730960494128</v>
      </c>
      <c r="CE335" s="3">
        <v>9.1539064293827366</v>
      </c>
      <c r="CF335" s="3">
        <v>-0.93276023728392943</v>
      </c>
      <c r="CG335" s="3">
        <v>-1.4660935706172609</v>
      </c>
      <c r="CH335" s="3">
        <v>-2.5427602372839253</v>
      </c>
      <c r="CI335" s="13">
        <f>[1]!dbasum(RecData[[#This Row],[20]:[2000]],RecData[[#Headers],[20]:[2000]])</f>
        <v>18.742602866293197</v>
      </c>
      <c r="CJ335" s="14">
        <v>4342</v>
      </c>
      <c r="CK335" s="15" t="s">
        <v>249</v>
      </c>
      <c r="CL335" s="15">
        <f>RecData[[#This Row],[Start Time]]</f>
        <v>43260.986817129633</v>
      </c>
      <c r="CM335" s="16">
        <f>RecData[[#This Row],[Wind Speed avg]]</f>
        <v>0.41</v>
      </c>
      <c r="CN335" s="16">
        <f>RecData[[#This Row],[Wind Dir. avg]]</f>
        <v>136.6</v>
      </c>
      <c r="CO335" s="16">
        <f>RecData[[#This Row],[Amb. Humidity]]</f>
        <v>82.7</v>
      </c>
      <c r="CP335" s="16">
        <f>RecData[[#This Row],[Amb. Temperature]]</f>
        <v>12.9</v>
      </c>
      <c r="CQ335" s="17">
        <f>RecData[[#This Row],[Amb. Rain Gauge]]</f>
        <v>0</v>
      </c>
      <c r="CR335" s="4" t="s">
        <v>50</v>
      </c>
      <c r="CS335" s="4" t="s">
        <v>49</v>
      </c>
      <c r="CT335" s="70">
        <v>-9.1107110979999995</v>
      </c>
      <c r="CU335" s="70">
        <v>344.0028992</v>
      </c>
      <c r="CV335" s="70">
        <v>1.6604667900000001</v>
      </c>
      <c r="CW335" s="70">
        <v>0</v>
      </c>
      <c r="CX335" s="4"/>
      <c r="CY335" s="69"/>
      <c r="CZ335" s="2" t="b">
        <f>IF($DP$1="YES",IF(RecData[[#This Row],[Power (kW)]]&gt;=$CR$3, TRUE,FALSE),TRUE)</f>
        <v>0</v>
      </c>
      <c r="DA335" s="16">
        <f>MIN(MOD(180-ABS(ABS($DA$1-RecData[Yaw Angle (°)])-180),360),MOD(180-ABS(ABS($DB$1-RecData[Yaw Angle (°)])-180),360))</f>
        <v>23.527027577687534</v>
      </c>
      <c r="DB335" s="2" t="str">
        <f>IF($DP$2="None","None",IF(RecData[[#This Row],[Relative Wind Direction]]&lt;=45,"DW",IF(RecData[[#This Row],[Relative Wind Direction]]&lt;=135,"CW","UW")))</f>
        <v>DW</v>
      </c>
      <c r="DC335" s="61">
        <f>IF($CL335-$CL332&gt;1/24,#REF!,IF(SUM($CQ332:$CQ335)&gt;$DS$1,$DS$5,DC336-1))</f>
        <v>-7</v>
      </c>
      <c r="DD335" s="61">
        <f>IF($CL336-$CL335&gt;1/24,#REF!,IF(SUM($CQ332:$CQ335)&gt;$DS$1,$DS$6,DD334-1))</f>
        <v>-4</v>
      </c>
      <c r="DE335" s="18" t="b">
        <v>0</v>
      </c>
      <c r="DF335" s="2" t="b">
        <f>IF(OR(RecData[[#This Row],[WSpd_Avg '[m/s']]]-RecData[[#This Row],[Wind Speed min]]&gt;=$DF$3,RecData[[#This Row],[Wind Speed max]]-RecData[[#This Row],[WSpd_Avg '[m/s']]]&gt;=$DF$2),TRUE,FALSE)</f>
        <v>0</v>
      </c>
      <c r="DG335" s="2" t="b">
        <f>RecData[[#This Row],[Temperature '[°C']]]&lt;=-20</f>
        <v>0</v>
      </c>
      <c r="DH335" s="18" t="b">
        <f>NOT(OR(MOD(RecData[[#This Row],[TIMESTAMP]],1)&gt;0.91632,MOD(RecData[[#This Row],[TIMESTAMP]],1)&lt;0.208681))</f>
        <v>0</v>
      </c>
      <c r="DI335" s="18" t="b">
        <f>RecData[[#This Row],[Overall (dBA)]]-RecData[[#This Row],[L90]]&gt;=$DS$4</f>
        <v>0</v>
      </c>
      <c r="DJ335" s="18" t="b">
        <f>RecData[[#This Row],[Overall (dBA)]]&gt;$DS$2</f>
        <v>0</v>
      </c>
      <c r="DK335" s="18" t="b">
        <f>RecData[[#This Row],[Overall (dBA)]]&lt;$DS$3</f>
        <v>0</v>
      </c>
      <c r="DL3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5" s="2">
        <f>IF(AND(RecData[[#This Row],[Turbines ON/OFF]] = "OFF", NOT(OR(RecData[[#This Row],[Junk?]]="YES",RecData[[#This Row],[Gust?]],RecData[[#This Row],[Rain?]:[Min SPL Threshold?]]))),1,0)</f>
        <v>1</v>
      </c>
      <c r="DN335" s="16">
        <f>RecData[[#This Row],[dBA Sum]]</f>
        <v>18.742602866293197</v>
      </c>
      <c r="DO335" s="16">
        <f>RecData[[#This Row],[LAF90.0]]</f>
        <v>24.1</v>
      </c>
      <c r="DP335" s="55" t="str">
        <f>IF(AND(RecData[[#This Row],[Useable TON Data?]],RecData[[#This Row],[Turbines ON/OFF]]="ON"),RecData[[#This Row],[dBA Sum]],"")</f>
        <v/>
      </c>
      <c r="DQ335" s="55">
        <f>IF(AND(RecData[[#This Row],[Useable Background Data?]],RecData[[#This Row],[Turbines ON/OFF]]="OFF"),RecData[[#This Row],[dBA Sum]],"")</f>
        <v>18.742602866293197</v>
      </c>
      <c r="DR335" s="3">
        <f>IF(OR(RecData[[#This Row],[Useable TON Data?]],RecData[[#This Row],[Useable Background Data?]]),ROUND(RecData[[#This Row],[WSpd_Avg '[m/s']]],0),"")</f>
        <v>0</v>
      </c>
      <c r="DS335" s="85">
        <f>(0.00002)^2*(10^(RecData[[#This Row],[Overall (dBA)]]/10))</f>
        <v>2.9944721476646862E-8</v>
      </c>
    </row>
    <row r="336" spans="1:123" ht="15" x14ac:dyDescent="0.25">
      <c r="A336" s="3" t="s">
        <v>249</v>
      </c>
      <c r="B336" s="12">
        <v>43260.98751157408</v>
      </c>
      <c r="C336" s="3"/>
      <c r="D336" s="3">
        <v>36.6</v>
      </c>
      <c r="E336" s="3"/>
      <c r="F336" s="3"/>
      <c r="G336" s="3"/>
      <c r="H336" s="3"/>
      <c r="I336" s="3"/>
      <c r="J336" s="3"/>
      <c r="K336" s="3">
        <v>32.4</v>
      </c>
      <c r="L336" s="3"/>
      <c r="M336" s="3"/>
      <c r="N336" s="3">
        <v>126.1</v>
      </c>
      <c r="O336" s="3"/>
      <c r="P336" s="3"/>
      <c r="Q336" s="3">
        <v>0.5</v>
      </c>
      <c r="R336" s="3">
        <v>0.4</v>
      </c>
      <c r="S336" s="3">
        <v>0.6</v>
      </c>
      <c r="T336" s="3">
        <v>12.9</v>
      </c>
      <c r="U336" s="3">
        <v>82.9</v>
      </c>
      <c r="V336" s="3">
        <v>975.7</v>
      </c>
      <c r="W336" s="3">
        <v>0</v>
      </c>
      <c r="X336" s="3">
        <v>17.7</v>
      </c>
      <c r="Y336" s="3">
        <v>21.5</v>
      </c>
      <c r="Z336" s="3">
        <v>19</v>
      </c>
      <c r="AA336" s="3">
        <v>9.6</v>
      </c>
      <c r="AB336" s="3">
        <v>9.4</v>
      </c>
      <c r="AC336" s="3">
        <v>5.5</v>
      </c>
      <c r="AD336" s="3">
        <v>7.2</v>
      </c>
      <c r="AE336" s="3">
        <v>7.2</v>
      </c>
      <c r="AF336" s="3">
        <v>11.5</v>
      </c>
      <c r="AG336" s="3">
        <v>6.8</v>
      </c>
      <c r="AH336" s="3">
        <v>7.5</v>
      </c>
      <c r="AI336" s="3">
        <v>8.1999999999999993</v>
      </c>
      <c r="AJ336" s="3">
        <v>7.8</v>
      </c>
      <c r="AK336" s="3">
        <v>6.9</v>
      </c>
      <c r="AL336" s="3">
        <v>5.8</v>
      </c>
      <c r="AM336" s="3">
        <v>6.5</v>
      </c>
      <c r="AN336" s="3">
        <v>7.4</v>
      </c>
      <c r="AO336" s="3">
        <v>7.6</v>
      </c>
      <c r="AP336" s="3">
        <v>7.3</v>
      </c>
      <c r="AQ336" s="3">
        <v>9.1</v>
      </c>
      <c r="AR336" s="3">
        <v>7.7</v>
      </c>
      <c r="AS336" s="3">
        <v>26.6</v>
      </c>
      <c r="AT336" s="3">
        <v>34.6</v>
      </c>
      <c r="AU336" s="3">
        <v>11.9</v>
      </c>
      <c r="AV336" s="3">
        <v>8.9</v>
      </c>
      <c r="AW336" s="3">
        <v>9.1999999999999993</v>
      </c>
      <c r="AX336" s="3">
        <v>9.4</v>
      </c>
      <c r="AY336" s="3">
        <v>9.6</v>
      </c>
      <c r="AZ336" s="3">
        <v>0</v>
      </c>
      <c r="BA336" s="3">
        <v>0</v>
      </c>
      <c r="BB336" s="3">
        <v>0</v>
      </c>
      <c r="BC336" s="3">
        <v>36.535807502859711</v>
      </c>
      <c r="BD336" s="3">
        <v>17.764192497140286</v>
      </c>
      <c r="BE336" s="3">
        <v>21.56419249714029</v>
      </c>
      <c r="BF336" s="3">
        <v>17.824192497140288</v>
      </c>
      <c r="BG336" s="3">
        <v>8.7508591638069504</v>
      </c>
      <c r="BH336" s="3">
        <v>8.6908591638069623</v>
      </c>
      <c r="BI336" s="3">
        <v>5.2041924971402906</v>
      </c>
      <c r="BJ336" s="3">
        <v>7.6975258304736229</v>
      </c>
      <c r="BK336" s="3">
        <v>7.5708591638069507</v>
      </c>
      <c r="BL336" s="3">
        <v>11.444192497140293</v>
      </c>
      <c r="BM336" s="3">
        <v>6.8775258304736226</v>
      </c>
      <c r="BN336" s="3">
        <v>7.8608591638069569</v>
      </c>
      <c r="BO336" s="3">
        <v>7.9275258304736269</v>
      </c>
      <c r="BP336" s="3">
        <v>7.2441924971402898</v>
      </c>
      <c r="BQ336" s="3">
        <v>6.7608591638069484</v>
      </c>
      <c r="BR336" s="3">
        <v>5.9875258304736221</v>
      </c>
      <c r="BS336" s="3">
        <v>6.4908591638069595</v>
      </c>
      <c r="BT336" s="3">
        <v>7.5875258304736235</v>
      </c>
      <c r="BU336" s="3">
        <v>7.7541924971402949</v>
      </c>
      <c r="BV336" s="3">
        <v>7.1708591638069592</v>
      </c>
      <c r="BW336" s="3">
        <v>9.5041924971402949</v>
      </c>
      <c r="BX336" s="3">
        <v>8.024192497140298</v>
      </c>
      <c r="BY336" s="3">
        <v>26.74419249714029</v>
      </c>
      <c r="BZ336" s="3">
        <v>34.874192497140285</v>
      </c>
      <c r="CA336" s="3">
        <v>12.274192497140284</v>
      </c>
      <c r="CB336" s="3">
        <v>8.7108591638069583</v>
      </c>
      <c r="CC336" s="3">
        <v>9.2241924971402867</v>
      </c>
      <c r="CD336" s="3">
        <v>8.7308591638069615</v>
      </c>
      <c r="CE336" s="3">
        <v>9.1241924971402852</v>
      </c>
      <c r="CF336" s="3">
        <v>-0.86247416952637934</v>
      </c>
      <c r="CG336" s="3">
        <v>-1.3958075028597108</v>
      </c>
      <c r="CH336" s="3">
        <v>-2.4724741695263788</v>
      </c>
      <c r="CI336" s="13">
        <f>[1]!dbasum(RecData[[#This Row],[20]:[2000]],RecData[[#Headers],[20]:[2000]])</f>
        <v>16.604197146097349</v>
      </c>
      <c r="CJ336" s="14">
        <v>4343</v>
      </c>
      <c r="CK336" s="15" t="s">
        <v>249</v>
      </c>
      <c r="CL336" s="15">
        <f>RecData[[#This Row],[Start Time]]</f>
        <v>43260.98751157408</v>
      </c>
      <c r="CM336" s="16">
        <f>RecData[[#This Row],[Wind Speed avg]]</f>
        <v>0.5</v>
      </c>
      <c r="CN336" s="16">
        <f>RecData[[#This Row],[Wind Dir. avg]]</f>
        <v>126.1</v>
      </c>
      <c r="CO336" s="16">
        <f>RecData[[#This Row],[Amb. Humidity]]</f>
        <v>82.9</v>
      </c>
      <c r="CP336" s="16">
        <f>RecData[[#This Row],[Amb. Temperature]]</f>
        <v>12.9</v>
      </c>
      <c r="CQ336" s="17">
        <f>RecData[[#This Row],[Amb. Rain Gauge]]</f>
        <v>0</v>
      </c>
      <c r="CR336" s="4" t="s">
        <v>50</v>
      </c>
      <c r="CS336" s="4" t="s">
        <v>49</v>
      </c>
      <c r="CT336" s="70">
        <v>-9.1107110979999995</v>
      </c>
      <c r="CU336" s="70">
        <v>344.0028992</v>
      </c>
      <c r="CV336" s="70">
        <v>1.6604667900000001</v>
      </c>
      <c r="CW336" s="70">
        <v>0</v>
      </c>
      <c r="CX336" s="4"/>
      <c r="CY336" s="69"/>
      <c r="CZ336" s="2" t="b">
        <f>IF($DP$1="YES",IF(RecData[[#This Row],[Power (kW)]]&gt;=$CR$3, TRUE,FALSE),TRUE)</f>
        <v>0</v>
      </c>
      <c r="DA336" s="16">
        <f>MIN(MOD(180-ABS(ABS($DA$1-RecData[Yaw Angle (°)])-180),360),MOD(180-ABS(ABS($DB$1-RecData[Yaw Angle (°)])-180),360))</f>
        <v>23.527027577687534</v>
      </c>
      <c r="DB336" s="2" t="str">
        <f>IF($DP$2="None","None",IF(RecData[[#This Row],[Relative Wind Direction]]&lt;=45,"DW",IF(RecData[[#This Row],[Relative Wind Direction]]&lt;=135,"CW","UW")))</f>
        <v>DW</v>
      </c>
      <c r="DC336" s="61">
        <f>IF($CL336-$CL332&gt;1/24,#REF!,IF(SUM($CQ332:$CQ336)&gt;$DS$1,$DS$5,DC337-1))</f>
        <v>-6</v>
      </c>
      <c r="DD336" s="61">
        <f>IF($CL337-$CL336&gt;1/24,#REF!,IF(SUM($CQ332:$CQ336)&gt;$DS$1,$DS$6,DD335-1))</f>
        <v>-5</v>
      </c>
      <c r="DE336" s="18" t="b">
        <v>0</v>
      </c>
      <c r="DF336" s="2" t="b">
        <f>IF(OR(RecData[[#This Row],[WSpd_Avg '[m/s']]]-RecData[[#This Row],[Wind Speed min]]&gt;=$DF$3,RecData[[#This Row],[Wind Speed max]]-RecData[[#This Row],[WSpd_Avg '[m/s']]]&gt;=$DF$2),TRUE,FALSE)</f>
        <v>0</v>
      </c>
      <c r="DG336" s="2" t="b">
        <f>RecData[[#This Row],[Temperature '[°C']]]&lt;=-20</f>
        <v>0</v>
      </c>
      <c r="DH336" s="18" t="b">
        <f>NOT(OR(MOD(RecData[[#This Row],[TIMESTAMP]],1)&gt;0.91632,MOD(RecData[[#This Row],[TIMESTAMP]],1)&lt;0.208681))</f>
        <v>0</v>
      </c>
      <c r="DI336" s="18" t="b">
        <f>RecData[[#This Row],[Overall (dBA)]]-RecData[[#This Row],[L90]]&gt;=$DS$4</f>
        <v>0</v>
      </c>
      <c r="DJ336" s="18" t="b">
        <f>RecData[[#This Row],[Overall (dBA)]]&gt;$DS$2</f>
        <v>0</v>
      </c>
      <c r="DK336" s="18" t="b">
        <f>RecData[[#This Row],[Overall (dBA)]]&lt;$DS$3</f>
        <v>0</v>
      </c>
      <c r="DL3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6" s="2">
        <f>IF(AND(RecData[[#This Row],[Turbines ON/OFF]] = "OFF", NOT(OR(RecData[[#This Row],[Junk?]]="YES",RecData[[#This Row],[Gust?]],RecData[[#This Row],[Rain?]:[Min SPL Threshold?]]))),1,0)</f>
        <v>1</v>
      </c>
      <c r="DN336" s="16">
        <f>RecData[[#This Row],[dBA Sum]]</f>
        <v>16.604197146097349</v>
      </c>
      <c r="DO336" s="16">
        <f>RecData[[#This Row],[LAF90.0]]</f>
        <v>32.4</v>
      </c>
      <c r="DP336" s="55" t="str">
        <f>IF(AND(RecData[[#This Row],[Useable TON Data?]],RecData[[#This Row],[Turbines ON/OFF]]="ON"),RecData[[#This Row],[dBA Sum]],"")</f>
        <v/>
      </c>
      <c r="DQ336" s="55">
        <f>IF(AND(RecData[[#This Row],[Useable Background Data?]],RecData[[#This Row],[Turbines ON/OFF]]="OFF"),RecData[[#This Row],[dBA Sum]],"")</f>
        <v>16.604197146097349</v>
      </c>
      <c r="DR336" s="3">
        <f>IF(OR(RecData[[#This Row],[Useable TON Data?]],RecData[[#This Row],[Useable Background Data?]]),ROUND(RecData[[#This Row],[WSpd_Avg '[m/s']]],0),"")</f>
        <v>1</v>
      </c>
      <c r="DS336" s="85">
        <f>(0.00002)^2*(10^(RecData[[#This Row],[Overall (dBA)]]/10))</f>
        <v>1.8301205849643631E-8</v>
      </c>
    </row>
    <row r="337" spans="1:123" ht="15" x14ac:dyDescent="0.25">
      <c r="A337" s="3" t="s">
        <v>249</v>
      </c>
      <c r="B337" s="12">
        <v>43260.988206018526</v>
      </c>
      <c r="C337" s="3"/>
      <c r="D337" s="3">
        <v>35.4</v>
      </c>
      <c r="E337" s="3"/>
      <c r="F337" s="3"/>
      <c r="G337" s="3"/>
      <c r="H337" s="3"/>
      <c r="I337" s="3"/>
      <c r="J337" s="3"/>
      <c r="K337" s="3">
        <v>31.6</v>
      </c>
      <c r="L337" s="3"/>
      <c r="M337" s="3"/>
      <c r="N337" s="3">
        <v>130</v>
      </c>
      <c r="O337" s="3"/>
      <c r="P337" s="3"/>
      <c r="Q337" s="3">
        <v>0.59</v>
      </c>
      <c r="R337" s="3">
        <v>0.5</v>
      </c>
      <c r="S337" s="3">
        <v>0.6</v>
      </c>
      <c r="T337" s="3">
        <v>12.9</v>
      </c>
      <c r="U337" s="3">
        <v>82.3</v>
      </c>
      <c r="V337" s="3">
        <v>975.7</v>
      </c>
      <c r="W337" s="3">
        <v>0</v>
      </c>
      <c r="X337" s="3">
        <v>21</v>
      </c>
      <c r="Y337" s="3">
        <v>19.8</v>
      </c>
      <c r="Z337" s="3">
        <v>21.1</v>
      </c>
      <c r="AA337" s="3">
        <v>10.8</v>
      </c>
      <c r="AB337" s="3">
        <v>9.9</v>
      </c>
      <c r="AC337" s="3">
        <v>6.1</v>
      </c>
      <c r="AD337" s="3">
        <v>7.4</v>
      </c>
      <c r="AE337" s="3">
        <v>8.1</v>
      </c>
      <c r="AF337" s="3">
        <v>11.7</v>
      </c>
      <c r="AG337" s="3">
        <v>12.6</v>
      </c>
      <c r="AH337" s="3">
        <v>11.1</v>
      </c>
      <c r="AI337" s="3">
        <v>10.199999999999999</v>
      </c>
      <c r="AJ337" s="3">
        <v>10.199999999999999</v>
      </c>
      <c r="AK337" s="3">
        <v>9.8000000000000007</v>
      </c>
      <c r="AL337" s="3">
        <v>7.3</v>
      </c>
      <c r="AM337" s="3">
        <v>7.9</v>
      </c>
      <c r="AN337" s="3">
        <v>9.5</v>
      </c>
      <c r="AO337" s="3">
        <v>9.9</v>
      </c>
      <c r="AP337" s="3">
        <v>8.4</v>
      </c>
      <c r="AQ337" s="3">
        <v>9.1</v>
      </c>
      <c r="AR337" s="3">
        <v>7.9</v>
      </c>
      <c r="AS337" s="3">
        <v>24.4</v>
      </c>
      <c r="AT337" s="3">
        <v>33.6</v>
      </c>
      <c r="AU337" s="3">
        <v>10.7</v>
      </c>
      <c r="AV337" s="3">
        <v>8.9</v>
      </c>
      <c r="AW337" s="3">
        <v>9.3000000000000007</v>
      </c>
      <c r="AX337" s="3">
        <v>9.5</v>
      </c>
      <c r="AY337" s="3">
        <v>9.6999999999999993</v>
      </c>
      <c r="AZ337" s="3">
        <v>0</v>
      </c>
      <c r="BA337" s="3">
        <v>0</v>
      </c>
      <c r="BB337" s="3">
        <v>0</v>
      </c>
      <c r="BC337" s="3">
        <v>35.428302414170311</v>
      </c>
      <c r="BD337" s="3">
        <v>20.971697585829688</v>
      </c>
      <c r="BE337" s="3">
        <v>19.771697585829692</v>
      </c>
      <c r="BF337" s="3">
        <v>19.831697585829694</v>
      </c>
      <c r="BG337" s="3">
        <v>9.8583642524963508</v>
      </c>
      <c r="BH337" s="3">
        <v>9.0983642524963599</v>
      </c>
      <c r="BI337" s="3">
        <v>5.7116975858296897</v>
      </c>
      <c r="BJ337" s="3">
        <v>7.8050309191630234</v>
      </c>
      <c r="BK337" s="3">
        <v>8.3783642524963469</v>
      </c>
      <c r="BL337" s="3">
        <v>11.551697585829686</v>
      </c>
      <c r="BM337" s="3">
        <v>12.585030919163025</v>
      </c>
      <c r="BN337" s="3">
        <v>11.368364252496356</v>
      </c>
      <c r="BO337" s="3">
        <v>9.8350309191630245</v>
      </c>
      <c r="BP337" s="3">
        <v>9.551697585829686</v>
      </c>
      <c r="BQ337" s="3">
        <v>9.5683642524963446</v>
      </c>
      <c r="BR337" s="3">
        <v>7.3950309191630197</v>
      </c>
      <c r="BS337" s="3">
        <v>7.7983642524963557</v>
      </c>
      <c r="BT337" s="3">
        <v>9.5950309191630225</v>
      </c>
      <c r="BU337" s="3">
        <v>9.9616975858296897</v>
      </c>
      <c r="BV337" s="3">
        <v>8.1783642524963582</v>
      </c>
      <c r="BW337" s="3">
        <v>9.4116975858296925</v>
      </c>
      <c r="BX337" s="3">
        <v>8.1316975858296914</v>
      </c>
      <c r="BY337" s="3">
        <v>24.451697585829685</v>
      </c>
      <c r="BZ337" s="3">
        <v>33.781697585829697</v>
      </c>
      <c r="CA337" s="3">
        <v>10.981697585829679</v>
      </c>
      <c r="CB337" s="3">
        <v>8.618364252496356</v>
      </c>
      <c r="CC337" s="3">
        <v>9.2316975858296857</v>
      </c>
      <c r="CD337" s="3">
        <v>8.7383642524963605</v>
      </c>
      <c r="CE337" s="3">
        <v>9.1316975858296843</v>
      </c>
      <c r="CF337" s="3">
        <v>-0.95496908083698173</v>
      </c>
      <c r="CG337" s="3">
        <v>-1.4883024141703132</v>
      </c>
      <c r="CH337" s="3">
        <v>-2.5649690808369812</v>
      </c>
      <c r="CI337" s="13">
        <f>[1]!dbasum(RecData[[#This Row],[20]:[2000]],RecData[[#Headers],[20]:[2000]])</f>
        <v>17.762676860651304</v>
      </c>
      <c r="CJ337" s="14">
        <v>4344</v>
      </c>
      <c r="CK337" s="15" t="s">
        <v>249</v>
      </c>
      <c r="CL337" s="15">
        <f>RecData[[#This Row],[Start Time]]</f>
        <v>43260.988206018526</v>
      </c>
      <c r="CM337" s="16">
        <f>RecData[[#This Row],[Wind Speed avg]]</f>
        <v>0.59</v>
      </c>
      <c r="CN337" s="16">
        <f>RecData[[#This Row],[Wind Dir. avg]]</f>
        <v>130</v>
      </c>
      <c r="CO337" s="16">
        <f>RecData[[#This Row],[Amb. Humidity]]</f>
        <v>82.3</v>
      </c>
      <c r="CP337" s="16">
        <f>RecData[[#This Row],[Amb. Temperature]]</f>
        <v>12.9</v>
      </c>
      <c r="CQ337" s="17">
        <f>RecData[[#This Row],[Amb. Rain Gauge]]</f>
        <v>0</v>
      </c>
      <c r="CR337" s="4" t="s">
        <v>50</v>
      </c>
      <c r="CS337" s="4" t="s">
        <v>49</v>
      </c>
      <c r="CT337" s="70">
        <v>-9.1107110979999995</v>
      </c>
      <c r="CU337" s="70">
        <v>344.0028992</v>
      </c>
      <c r="CV337" s="70">
        <v>1.6604667900000001</v>
      </c>
      <c r="CW337" s="70">
        <v>0</v>
      </c>
      <c r="CX337" s="4"/>
      <c r="CY337" s="69"/>
      <c r="CZ337" s="2" t="b">
        <f>IF($DP$1="YES",IF(RecData[[#This Row],[Power (kW)]]&gt;=$CR$3, TRUE,FALSE),TRUE)</f>
        <v>0</v>
      </c>
      <c r="DA337" s="16">
        <f>MIN(MOD(180-ABS(ABS($DA$1-RecData[Yaw Angle (°)])-180),360),MOD(180-ABS(ABS($DB$1-RecData[Yaw Angle (°)])-180),360))</f>
        <v>23.527027577687534</v>
      </c>
      <c r="DB337" s="2" t="str">
        <f>IF($DP$2="None","None",IF(RecData[[#This Row],[Relative Wind Direction]]&lt;=45,"DW",IF(RecData[[#This Row],[Relative Wind Direction]]&lt;=135,"CW","UW")))</f>
        <v>DW</v>
      </c>
      <c r="DC337" s="61">
        <f>IF($CL337-$CL333&gt;1/24,#REF!,IF(SUM($CQ333:$CQ337)&gt;$DS$1,$DS$5,DC338-1))</f>
        <v>-5</v>
      </c>
      <c r="DD337" s="61">
        <f>IF($CL338-$CL337&gt;1/24,#REF!,IF(SUM($CQ333:$CQ337)&gt;$DS$1,$DS$6,DD336-1))</f>
        <v>-6</v>
      </c>
      <c r="DE337" s="18" t="b">
        <v>0</v>
      </c>
      <c r="DF337" s="2" t="b">
        <f>IF(OR(RecData[[#This Row],[WSpd_Avg '[m/s']]]-RecData[[#This Row],[Wind Speed min]]&gt;=$DF$3,RecData[[#This Row],[Wind Speed max]]-RecData[[#This Row],[WSpd_Avg '[m/s']]]&gt;=$DF$2),TRUE,FALSE)</f>
        <v>0</v>
      </c>
      <c r="DG337" s="2" t="b">
        <f>RecData[[#This Row],[Temperature '[°C']]]&lt;=-20</f>
        <v>0</v>
      </c>
      <c r="DH337" s="18" t="b">
        <f>NOT(OR(MOD(RecData[[#This Row],[TIMESTAMP]],1)&gt;0.91632,MOD(RecData[[#This Row],[TIMESTAMP]],1)&lt;0.208681))</f>
        <v>0</v>
      </c>
      <c r="DI337" s="18" t="b">
        <f>RecData[[#This Row],[Overall (dBA)]]-RecData[[#This Row],[L90]]&gt;=$DS$4</f>
        <v>0</v>
      </c>
      <c r="DJ337" s="18" t="b">
        <f>RecData[[#This Row],[Overall (dBA)]]&gt;$DS$2</f>
        <v>0</v>
      </c>
      <c r="DK337" s="18" t="b">
        <f>RecData[[#This Row],[Overall (dBA)]]&lt;$DS$3</f>
        <v>0</v>
      </c>
      <c r="DL3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7" s="2">
        <f>IF(AND(RecData[[#This Row],[Turbines ON/OFF]] = "OFF", NOT(OR(RecData[[#This Row],[Junk?]]="YES",RecData[[#This Row],[Gust?]],RecData[[#This Row],[Rain?]:[Min SPL Threshold?]]))),1,0)</f>
        <v>1</v>
      </c>
      <c r="DN337" s="16">
        <f>RecData[[#This Row],[dBA Sum]]</f>
        <v>17.762676860651304</v>
      </c>
      <c r="DO337" s="16">
        <f>RecData[[#This Row],[LAF90.0]]</f>
        <v>31.6</v>
      </c>
      <c r="DP337" s="55" t="str">
        <f>IF(AND(RecData[[#This Row],[Useable TON Data?]],RecData[[#This Row],[Turbines ON/OFF]]="ON"),RecData[[#This Row],[dBA Sum]],"")</f>
        <v/>
      </c>
      <c r="DQ337" s="55">
        <f>IF(AND(RecData[[#This Row],[Useable Background Data?]],RecData[[#This Row],[Turbines ON/OFF]]="OFF"),RecData[[#This Row],[dBA Sum]],"")</f>
        <v>17.762676860651304</v>
      </c>
      <c r="DR337" s="3">
        <f>IF(OR(RecData[[#This Row],[Useable TON Data?]],RecData[[#This Row],[Useable Background Data?]]),ROUND(RecData[[#This Row],[WSpd_Avg '[m/s']]],0),"")</f>
        <v>1</v>
      </c>
      <c r="DS337" s="85">
        <f>(0.00002)^2*(10^(RecData[[#This Row],[Overall (dBA)]]/10))</f>
        <v>2.3896135784928473E-8</v>
      </c>
    </row>
    <row r="338" spans="1:123" ht="15" x14ac:dyDescent="0.25">
      <c r="A338" s="3" t="s">
        <v>249</v>
      </c>
      <c r="B338" s="12">
        <v>43260.988900462966</v>
      </c>
      <c r="C338" s="3"/>
      <c r="D338" s="3">
        <v>36.700000000000003</v>
      </c>
      <c r="E338" s="3"/>
      <c r="F338" s="3"/>
      <c r="G338" s="3"/>
      <c r="H338" s="3"/>
      <c r="I338" s="3"/>
      <c r="J338" s="3"/>
      <c r="K338" s="3">
        <v>32.700000000000003</v>
      </c>
      <c r="L338" s="3"/>
      <c r="M338" s="3"/>
      <c r="N338" s="3">
        <v>136.6</v>
      </c>
      <c r="O338" s="3"/>
      <c r="P338" s="3"/>
      <c r="Q338" s="3">
        <v>0.41</v>
      </c>
      <c r="R338" s="3">
        <v>0.3</v>
      </c>
      <c r="S338" s="3">
        <v>0.6</v>
      </c>
      <c r="T338" s="3">
        <v>12.9</v>
      </c>
      <c r="U338" s="3">
        <v>82.3</v>
      </c>
      <c r="V338" s="3">
        <v>975.7</v>
      </c>
      <c r="W338" s="3">
        <v>0</v>
      </c>
      <c r="X338" s="3">
        <v>18</v>
      </c>
      <c r="Y338" s="3">
        <v>18.100000000000001</v>
      </c>
      <c r="Z338" s="3">
        <v>16.8</v>
      </c>
      <c r="AA338" s="3">
        <v>10.7</v>
      </c>
      <c r="AB338" s="3">
        <v>7.6</v>
      </c>
      <c r="AC338" s="3">
        <v>5.4</v>
      </c>
      <c r="AD338" s="3">
        <v>9.3000000000000007</v>
      </c>
      <c r="AE338" s="3">
        <v>9.5</v>
      </c>
      <c r="AF338" s="3">
        <v>12.5</v>
      </c>
      <c r="AG338" s="3">
        <v>10</v>
      </c>
      <c r="AH338" s="3">
        <v>8.8000000000000007</v>
      </c>
      <c r="AI338" s="3">
        <v>9.3000000000000007</v>
      </c>
      <c r="AJ338" s="3">
        <v>8.6999999999999993</v>
      </c>
      <c r="AK338" s="3">
        <v>8.3000000000000007</v>
      </c>
      <c r="AL338" s="3">
        <v>6.4</v>
      </c>
      <c r="AM338" s="3">
        <v>7.4</v>
      </c>
      <c r="AN338" s="3">
        <v>9.9</v>
      </c>
      <c r="AO338" s="3">
        <v>9.1</v>
      </c>
      <c r="AP338" s="3">
        <v>7.6</v>
      </c>
      <c r="AQ338" s="3">
        <v>9.5</v>
      </c>
      <c r="AR338" s="3">
        <v>7.4</v>
      </c>
      <c r="AS338" s="3">
        <v>26.8</v>
      </c>
      <c r="AT338" s="3">
        <v>34.700000000000003</v>
      </c>
      <c r="AU338" s="3">
        <v>10.9</v>
      </c>
      <c r="AV338" s="3">
        <v>8.8000000000000007</v>
      </c>
      <c r="AW338" s="3">
        <v>9.1999999999999993</v>
      </c>
      <c r="AX338" s="3">
        <v>9.4</v>
      </c>
      <c r="AY338" s="3">
        <v>9.6999999999999993</v>
      </c>
      <c r="AZ338" s="3">
        <v>0</v>
      </c>
      <c r="BA338" s="3">
        <v>0</v>
      </c>
      <c r="BB338" s="3">
        <v>0</v>
      </c>
      <c r="BC338" s="3">
        <v>36.652622009613054</v>
      </c>
      <c r="BD338" s="3">
        <v>18.047377990386948</v>
      </c>
      <c r="BE338" s="3">
        <v>18.14737799038695</v>
      </c>
      <c r="BF338" s="3">
        <v>15.607377990386951</v>
      </c>
      <c r="BG338" s="3">
        <v>9.8340446570536102</v>
      </c>
      <c r="BH338" s="3">
        <v>6.8740446570536164</v>
      </c>
      <c r="BI338" s="3">
        <v>5.0873779903869476</v>
      </c>
      <c r="BJ338" s="3">
        <v>9.7807113237202827</v>
      </c>
      <c r="BK338" s="3">
        <v>9.8540446570536133</v>
      </c>
      <c r="BL338" s="3">
        <v>12.427377990386951</v>
      </c>
      <c r="BM338" s="3">
        <v>10.060711323720284</v>
      </c>
      <c r="BN338" s="3">
        <v>9.1440446570536125</v>
      </c>
      <c r="BO338" s="3">
        <v>9.0107113237202867</v>
      </c>
      <c r="BP338" s="3">
        <v>8.1273779903869467</v>
      </c>
      <c r="BQ338" s="3">
        <v>8.1440446570536054</v>
      </c>
      <c r="BR338" s="3">
        <v>6.5707113237202819</v>
      </c>
      <c r="BS338" s="3">
        <v>7.3740446570536164</v>
      </c>
      <c r="BT338" s="3">
        <v>10.070711323720282</v>
      </c>
      <c r="BU338" s="3">
        <v>9.2373779903869533</v>
      </c>
      <c r="BV338" s="3">
        <v>7.4540446570536147</v>
      </c>
      <c r="BW338" s="3">
        <v>9.8873779903869519</v>
      </c>
      <c r="BX338" s="3">
        <v>7.7073779903869521</v>
      </c>
      <c r="BY338" s="3">
        <v>26.927377990386944</v>
      </c>
      <c r="BZ338" s="3">
        <v>34.957377990386959</v>
      </c>
      <c r="CA338" s="3">
        <v>11.257377990386942</v>
      </c>
      <c r="CB338" s="3">
        <v>8.5940446570536153</v>
      </c>
      <c r="CC338" s="3">
        <v>9.207377990386945</v>
      </c>
      <c r="CD338" s="3">
        <v>8.7140446570536199</v>
      </c>
      <c r="CE338" s="3">
        <v>9.207377990386945</v>
      </c>
      <c r="CF338" s="3">
        <v>-0.87928867627972096</v>
      </c>
      <c r="CG338" s="3">
        <v>-1.4126220096130524</v>
      </c>
      <c r="CH338" s="3">
        <v>-2.4892886762797204</v>
      </c>
      <c r="CI338" s="13">
        <f>[1]!dbasum(RecData[[#This Row],[20]:[2000]],RecData[[#Headers],[20]:[2000]])</f>
        <v>17.425764579907906</v>
      </c>
      <c r="CJ338" s="14">
        <v>4345</v>
      </c>
      <c r="CK338" s="15" t="s">
        <v>249</v>
      </c>
      <c r="CL338" s="15">
        <f>RecData[[#This Row],[Start Time]]</f>
        <v>43260.988900462966</v>
      </c>
      <c r="CM338" s="16">
        <f>RecData[[#This Row],[Wind Speed avg]]</f>
        <v>0.41</v>
      </c>
      <c r="CN338" s="16">
        <f>RecData[[#This Row],[Wind Dir. avg]]</f>
        <v>136.6</v>
      </c>
      <c r="CO338" s="16">
        <f>RecData[[#This Row],[Amb. Humidity]]</f>
        <v>82.3</v>
      </c>
      <c r="CP338" s="16">
        <f>RecData[[#This Row],[Amb. Temperature]]</f>
        <v>12.9</v>
      </c>
      <c r="CQ338" s="17">
        <f>RecData[[#This Row],[Amb. Rain Gauge]]</f>
        <v>0</v>
      </c>
      <c r="CR338" s="4" t="s">
        <v>50</v>
      </c>
      <c r="CS338" s="4" t="s">
        <v>49</v>
      </c>
      <c r="CT338" s="70">
        <v>-9.1107110979999995</v>
      </c>
      <c r="CU338" s="70">
        <v>344.0028992</v>
      </c>
      <c r="CV338" s="70">
        <v>1.6604667900000001</v>
      </c>
      <c r="CW338" s="70">
        <v>0</v>
      </c>
      <c r="CX338" s="4"/>
      <c r="CY338" s="69"/>
      <c r="CZ338" s="2" t="b">
        <f>IF($DP$1="YES",IF(RecData[[#This Row],[Power (kW)]]&gt;=$CR$3, TRUE,FALSE),TRUE)</f>
        <v>0</v>
      </c>
      <c r="DA338" s="16">
        <f>MIN(MOD(180-ABS(ABS($DA$1-RecData[Yaw Angle (°)])-180),360),MOD(180-ABS(ABS($DB$1-RecData[Yaw Angle (°)])-180),360))</f>
        <v>23.527027577687534</v>
      </c>
      <c r="DB338" s="2" t="str">
        <f>IF($DP$2="None","None",IF(RecData[[#This Row],[Relative Wind Direction]]&lt;=45,"DW",IF(RecData[[#This Row],[Relative Wind Direction]]&lt;=135,"CW","UW")))</f>
        <v>DW</v>
      </c>
      <c r="DC338" s="61">
        <f>IF($CL338-$CL334&gt;1/24,#REF!,IF(SUM($CQ334:$CQ338)&gt;$DS$1,$DS$5,DC339-1))</f>
        <v>-4</v>
      </c>
      <c r="DD338" s="61">
        <f>IF($CL339-$CL338&gt;1/24,#REF!,IF(SUM($CQ334:$CQ338)&gt;$DS$1,$DS$6,DD337-1))</f>
        <v>-7</v>
      </c>
      <c r="DE338" s="18" t="b">
        <v>0</v>
      </c>
      <c r="DF338" s="2" t="b">
        <f>IF(OR(RecData[[#This Row],[WSpd_Avg '[m/s']]]-RecData[[#This Row],[Wind Speed min]]&gt;=$DF$3,RecData[[#This Row],[Wind Speed max]]-RecData[[#This Row],[WSpd_Avg '[m/s']]]&gt;=$DF$2),TRUE,FALSE)</f>
        <v>0</v>
      </c>
      <c r="DG338" s="2" t="b">
        <f>RecData[[#This Row],[Temperature '[°C']]]&lt;=-20</f>
        <v>0</v>
      </c>
      <c r="DH338" s="18" t="b">
        <f>NOT(OR(MOD(RecData[[#This Row],[TIMESTAMP]],1)&gt;0.91632,MOD(RecData[[#This Row],[TIMESTAMP]],1)&lt;0.208681))</f>
        <v>0</v>
      </c>
      <c r="DI338" s="18" t="b">
        <f>RecData[[#This Row],[Overall (dBA)]]-RecData[[#This Row],[L90]]&gt;=$DS$4</f>
        <v>0</v>
      </c>
      <c r="DJ338" s="18" t="b">
        <f>RecData[[#This Row],[Overall (dBA)]]&gt;$DS$2</f>
        <v>0</v>
      </c>
      <c r="DK338" s="18" t="b">
        <f>RecData[[#This Row],[Overall (dBA)]]&lt;$DS$3</f>
        <v>0</v>
      </c>
      <c r="DL3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8" s="2">
        <f>IF(AND(RecData[[#This Row],[Turbines ON/OFF]] = "OFF", NOT(OR(RecData[[#This Row],[Junk?]]="YES",RecData[[#This Row],[Gust?]],RecData[[#This Row],[Rain?]:[Min SPL Threshold?]]))),1,0)</f>
        <v>1</v>
      </c>
      <c r="DN338" s="16">
        <f>RecData[[#This Row],[dBA Sum]]</f>
        <v>17.425764579907906</v>
      </c>
      <c r="DO338" s="16">
        <f>RecData[[#This Row],[LAF90.0]]</f>
        <v>32.700000000000003</v>
      </c>
      <c r="DP338" s="55" t="str">
        <f>IF(AND(RecData[[#This Row],[Useable TON Data?]],RecData[[#This Row],[Turbines ON/OFF]]="ON"),RecData[[#This Row],[dBA Sum]],"")</f>
        <v/>
      </c>
      <c r="DQ338" s="55">
        <f>IF(AND(RecData[[#This Row],[Useable Background Data?]],RecData[[#This Row],[Turbines ON/OFF]]="OFF"),RecData[[#This Row],[dBA Sum]],"")</f>
        <v>17.425764579907906</v>
      </c>
      <c r="DR338" s="3">
        <f>IF(OR(RecData[[#This Row],[Useable TON Data?]],RecData[[#This Row],[Useable Background Data?]]),ROUND(RecData[[#This Row],[WSpd_Avg '[m/s']]],0),"")</f>
        <v>0</v>
      </c>
      <c r="DS338" s="85">
        <f>(0.00002)^2*(10^(RecData[[#This Row],[Overall (dBA)]]/10))</f>
        <v>2.211242889099999E-8</v>
      </c>
    </row>
    <row r="339" spans="1:123" ht="15" x14ac:dyDescent="0.25">
      <c r="A339" s="3" t="s">
        <v>249</v>
      </c>
      <c r="B339" s="12">
        <v>43260.989594907413</v>
      </c>
      <c r="C339" s="3"/>
      <c r="D339" s="3">
        <v>31.6</v>
      </c>
      <c r="E339" s="3"/>
      <c r="F339" s="3"/>
      <c r="G339" s="3"/>
      <c r="H339" s="3"/>
      <c r="I339" s="3"/>
      <c r="J339" s="3"/>
      <c r="K339" s="3">
        <v>26.8</v>
      </c>
      <c r="L339" s="3"/>
      <c r="M339" s="3"/>
      <c r="N339" s="3">
        <v>169.9</v>
      </c>
      <c r="O339" s="3"/>
      <c r="P339" s="3"/>
      <c r="Q339" s="3">
        <v>0.28999999999999998</v>
      </c>
      <c r="R339" s="3">
        <v>0.1</v>
      </c>
      <c r="S339" s="3">
        <v>0.5</v>
      </c>
      <c r="T339" s="3">
        <v>12.9</v>
      </c>
      <c r="U339" s="3">
        <v>82.2</v>
      </c>
      <c r="V339" s="3">
        <v>975.7</v>
      </c>
      <c r="W339" s="3">
        <v>0</v>
      </c>
      <c r="X339" s="3">
        <v>17.899999999999999</v>
      </c>
      <c r="Y339" s="3">
        <v>17.5</v>
      </c>
      <c r="Z339" s="3">
        <v>17.100000000000001</v>
      </c>
      <c r="AA339" s="3">
        <v>7.6</v>
      </c>
      <c r="AB339" s="3">
        <v>7</v>
      </c>
      <c r="AC339" s="3">
        <v>5.0999999999999996</v>
      </c>
      <c r="AD339" s="3">
        <v>7.8</v>
      </c>
      <c r="AE339" s="3">
        <v>7.8</v>
      </c>
      <c r="AF339" s="3">
        <v>12.3</v>
      </c>
      <c r="AG339" s="3">
        <v>10.3</v>
      </c>
      <c r="AH339" s="3">
        <v>8.9</v>
      </c>
      <c r="AI339" s="3">
        <v>9.1</v>
      </c>
      <c r="AJ339" s="3">
        <v>8</v>
      </c>
      <c r="AK339" s="3">
        <v>6.9</v>
      </c>
      <c r="AL339" s="3">
        <v>5.8</v>
      </c>
      <c r="AM339" s="3">
        <v>6.5</v>
      </c>
      <c r="AN339" s="3">
        <v>7.5</v>
      </c>
      <c r="AO339" s="3">
        <v>7.7</v>
      </c>
      <c r="AP339" s="3">
        <v>7</v>
      </c>
      <c r="AQ339" s="3">
        <v>8.1999999999999993</v>
      </c>
      <c r="AR339" s="3">
        <v>7.2</v>
      </c>
      <c r="AS339" s="3">
        <v>20.100000000000001</v>
      </c>
      <c r="AT339" s="3">
        <v>29.7</v>
      </c>
      <c r="AU339" s="3">
        <v>10.4</v>
      </c>
      <c r="AV339" s="3">
        <v>8.8000000000000007</v>
      </c>
      <c r="AW339" s="3">
        <v>9.3000000000000007</v>
      </c>
      <c r="AX339" s="3">
        <v>9.4</v>
      </c>
      <c r="AY339" s="3">
        <v>9.6</v>
      </c>
      <c r="AZ339" s="3">
        <v>0</v>
      </c>
      <c r="BA339" s="3">
        <v>0</v>
      </c>
      <c r="BB339" s="3">
        <v>0</v>
      </c>
      <c r="BC339" s="3">
        <v>31.616419425088868</v>
      </c>
      <c r="BD339" s="3">
        <v>17.883580574911132</v>
      </c>
      <c r="BE339" s="3">
        <v>17.483580574911134</v>
      </c>
      <c r="BF339" s="3">
        <v>15.843580574911133</v>
      </c>
      <c r="BG339" s="3">
        <v>6.670247241577794</v>
      </c>
      <c r="BH339" s="3">
        <v>6.2102472415778003</v>
      </c>
      <c r="BI339" s="3">
        <v>4.7235805749111357</v>
      </c>
      <c r="BJ339" s="3">
        <v>8.216913908244468</v>
      </c>
      <c r="BK339" s="3">
        <v>8.0902472415777957</v>
      </c>
      <c r="BL339" s="3">
        <v>12.163580574911133</v>
      </c>
      <c r="BM339" s="3">
        <v>10.296913908244473</v>
      </c>
      <c r="BN339" s="3">
        <v>9.1802472415777991</v>
      </c>
      <c r="BO339" s="3">
        <v>8.7469139082444691</v>
      </c>
      <c r="BP339" s="3">
        <v>7.3635805749111363</v>
      </c>
      <c r="BQ339" s="3">
        <v>6.680247241577792</v>
      </c>
      <c r="BR339" s="3">
        <v>5.9069139082444657</v>
      </c>
      <c r="BS339" s="3">
        <v>6.4102472415778031</v>
      </c>
      <c r="BT339" s="3">
        <v>7.6069139082444686</v>
      </c>
      <c r="BU339" s="3">
        <v>7.77358057491114</v>
      </c>
      <c r="BV339" s="3">
        <v>6.7902472415777986</v>
      </c>
      <c r="BW339" s="3">
        <v>8.5235805749111329</v>
      </c>
      <c r="BX339" s="3">
        <v>7.4435805749111417</v>
      </c>
      <c r="BY339" s="3">
        <v>20.163580574911133</v>
      </c>
      <c r="BZ339" s="3">
        <v>29.893580574911137</v>
      </c>
      <c r="CA339" s="3">
        <v>10.693580574911127</v>
      </c>
      <c r="CB339" s="3">
        <v>8.5302472415778006</v>
      </c>
      <c r="CC339" s="3">
        <v>9.2435805749111317</v>
      </c>
      <c r="CD339" s="3">
        <v>8.6502472415778051</v>
      </c>
      <c r="CE339" s="3">
        <v>9.0435805749111289</v>
      </c>
      <c r="CF339" s="3">
        <v>-0.94308609175553215</v>
      </c>
      <c r="CG339" s="3">
        <v>-1.4764194250888636</v>
      </c>
      <c r="CH339" s="3">
        <v>-2.5530860917555316</v>
      </c>
      <c r="CI339" s="13">
        <f>[1]!dbasum(RecData[[#This Row],[20]:[2000]],RecData[[#Headers],[20]:[2000]])</f>
        <v>16.294078593766429</v>
      </c>
      <c r="CJ339" s="14">
        <v>4346</v>
      </c>
      <c r="CK339" s="15" t="s">
        <v>249</v>
      </c>
      <c r="CL339" s="15">
        <f>RecData[[#This Row],[Start Time]]</f>
        <v>43260.989594907413</v>
      </c>
      <c r="CM339" s="16">
        <f>RecData[[#This Row],[Wind Speed avg]]</f>
        <v>0.28999999999999998</v>
      </c>
      <c r="CN339" s="16">
        <f>RecData[[#This Row],[Wind Dir. avg]]</f>
        <v>169.9</v>
      </c>
      <c r="CO339" s="16">
        <f>RecData[[#This Row],[Amb. Humidity]]</f>
        <v>82.2</v>
      </c>
      <c r="CP339" s="16">
        <f>RecData[[#This Row],[Amb. Temperature]]</f>
        <v>12.9</v>
      </c>
      <c r="CQ339" s="17">
        <f>RecData[[#This Row],[Amb. Rain Gauge]]</f>
        <v>0</v>
      </c>
      <c r="CR339" s="4" t="s">
        <v>50</v>
      </c>
      <c r="CS339" s="4" t="s">
        <v>49</v>
      </c>
      <c r="CT339" s="70">
        <v>-9.1107110979999995</v>
      </c>
      <c r="CU339" s="70">
        <v>344.0028992</v>
      </c>
      <c r="CV339" s="70">
        <v>1.6604667900000001</v>
      </c>
      <c r="CW339" s="70">
        <v>0</v>
      </c>
      <c r="CX339" s="4"/>
      <c r="CY339" s="69"/>
      <c r="CZ339" s="2" t="b">
        <f>IF($DP$1="YES",IF(RecData[[#This Row],[Power (kW)]]&gt;=$CR$3, TRUE,FALSE),TRUE)</f>
        <v>0</v>
      </c>
      <c r="DA339" s="16">
        <f>MIN(MOD(180-ABS(ABS($DA$1-RecData[Yaw Angle (°)])-180),360),MOD(180-ABS(ABS($DB$1-RecData[Yaw Angle (°)])-180),360))</f>
        <v>23.527027577687534</v>
      </c>
      <c r="DB339" s="2" t="str">
        <f>IF($DP$2="None","None",IF(RecData[[#This Row],[Relative Wind Direction]]&lt;=45,"DW",IF(RecData[[#This Row],[Relative Wind Direction]]&lt;=135,"CW","UW")))</f>
        <v>DW</v>
      </c>
      <c r="DC339" s="61">
        <f>IF($CL339-$CL335&gt;1/24,#REF!,IF(SUM($CQ335:$CQ339)&gt;$DS$1,$DS$5,DC340-1))</f>
        <v>-3</v>
      </c>
      <c r="DD339" s="61">
        <f>IF($CL340-$CL339&gt;1/24,#REF!,IF(SUM($CQ335:$CQ339)&gt;$DS$1,$DS$6,DD338-1))</f>
        <v>-8</v>
      </c>
      <c r="DE339" s="18" t="b">
        <v>0</v>
      </c>
      <c r="DF339" s="2" t="b">
        <f>IF(OR(RecData[[#This Row],[WSpd_Avg '[m/s']]]-RecData[[#This Row],[Wind Speed min]]&gt;=$DF$3,RecData[[#This Row],[Wind Speed max]]-RecData[[#This Row],[WSpd_Avg '[m/s']]]&gt;=$DF$2),TRUE,FALSE)</f>
        <v>0</v>
      </c>
      <c r="DG339" s="2" t="b">
        <f>RecData[[#This Row],[Temperature '[°C']]]&lt;=-20</f>
        <v>0</v>
      </c>
      <c r="DH339" s="18" t="b">
        <f>NOT(OR(MOD(RecData[[#This Row],[TIMESTAMP]],1)&gt;0.91632,MOD(RecData[[#This Row],[TIMESTAMP]],1)&lt;0.208681))</f>
        <v>0</v>
      </c>
      <c r="DI339" s="18" t="b">
        <f>RecData[[#This Row],[Overall (dBA)]]-RecData[[#This Row],[L90]]&gt;=$DS$4</f>
        <v>0</v>
      </c>
      <c r="DJ339" s="18" t="b">
        <f>RecData[[#This Row],[Overall (dBA)]]&gt;$DS$2</f>
        <v>0</v>
      </c>
      <c r="DK339" s="18" t="b">
        <f>RecData[[#This Row],[Overall (dBA)]]&lt;$DS$3</f>
        <v>0</v>
      </c>
      <c r="DL3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39" s="2">
        <f>IF(AND(RecData[[#This Row],[Turbines ON/OFF]] = "OFF", NOT(OR(RecData[[#This Row],[Junk?]]="YES",RecData[[#This Row],[Gust?]],RecData[[#This Row],[Rain?]:[Min SPL Threshold?]]))),1,0)</f>
        <v>1</v>
      </c>
      <c r="DN339" s="16">
        <f>RecData[[#This Row],[dBA Sum]]</f>
        <v>16.294078593766429</v>
      </c>
      <c r="DO339" s="16">
        <f>RecData[[#This Row],[LAF90.0]]</f>
        <v>26.8</v>
      </c>
      <c r="DP339" s="55" t="str">
        <f>IF(AND(RecData[[#This Row],[Useable TON Data?]],RecData[[#This Row],[Turbines ON/OFF]]="ON"),RecData[[#This Row],[dBA Sum]],"")</f>
        <v/>
      </c>
      <c r="DQ339" s="55">
        <f>IF(AND(RecData[[#This Row],[Useable Background Data?]],RecData[[#This Row],[Turbines ON/OFF]]="OFF"),RecData[[#This Row],[dBA Sum]],"")</f>
        <v>16.294078593766429</v>
      </c>
      <c r="DR339" s="3">
        <f>IF(OR(RecData[[#This Row],[Useable TON Data?]],RecData[[#This Row],[Useable Background Data?]]),ROUND(RecData[[#This Row],[WSpd_Avg '[m/s']]],0),"")</f>
        <v>0</v>
      </c>
      <c r="DS339" s="85">
        <f>(0.00002)^2*(10^(RecData[[#This Row],[Overall (dBA)]]/10))</f>
        <v>1.7039931740157447E-8</v>
      </c>
    </row>
    <row r="340" spans="1:123" ht="15" x14ac:dyDescent="0.25">
      <c r="A340" s="3" t="s">
        <v>249</v>
      </c>
      <c r="B340" s="12">
        <v>43260.990289351859</v>
      </c>
      <c r="C340" s="3"/>
      <c r="D340" s="3">
        <v>33.9</v>
      </c>
      <c r="E340" s="3"/>
      <c r="F340" s="3"/>
      <c r="G340" s="3"/>
      <c r="H340" s="3"/>
      <c r="I340" s="3"/>
      <c r="J340" s="3"/>
      <c r="K340" s="3">
        <v>30.6</v>
      </c>
      <c r="L340" s="3"/>
      <c r="M340" s="3"/>
      <c r="N340" s="3">
        <v>154.9</v>
      </c>
      <c r="O340" s="3"/>
      <c r="P340" s="3"/>
      <c r="Q340" s="3">
        <v>0.25</v>
      </c>
      <c r="R340" s="3">
        <v>0.2</v>
      </c>
      <c r="S340" s="3">
        <v>0.4</v>
      </c>
      <c r="T340" s="3">
        <v>12.9</v>
      </c>
      <c r="U340" s="3">
        <v>82.5</v>
      </c>
      <c r="V340" s="3">
        <v>975.6</v>
      </c>
      <c r="W340" s="3">
        <v>0</v>
      </c>
      <c r="X340" s="3">
        <v>19.399999999999999</v>
      </c>
      <c r="Y340" s="3">
        <v>18</v>
      </c>
      <c r="Z340" s="3">
        <v>18.3</v>
      </c>
      <c r="AA340" s="3">
        <v>9.1999999999999993</v>
      </c>
      <c r="AB340" s="3">
        <v>7.5</v>
      </c>
      <c r="AC340" s="3">
        <v>5.2</v>
      </c>
      <c r="AD340" s="3">
        <v>6.8</v>
      </c>
      <c r="AE340" s="3">
        <v>6.9</v>
      </c>
      <c r="AF340" s="3">
        <v>11.6</v>
      </c>
      <c r="AG340" s="3">
        <v>6.8</v>
      </c>
      <c r="AH340" s="3">
        <v>8.5</v>
      </c>
      <c r="AI340" s="3">
        <v>9.1</v>
      </c>
      <c r="AJ340" s="3">
        <v>8.1999999999999993</v>
      </c>
      <c r="AK340" s="3">
        <v>7.3</v>
      </c>
      <c r="AL340" s="3">
        <v>5.9</v>
      </c>
      <c r="AM340" s="3">
        <v>6.5</v>
      </c>
      <c r="AN340" s="3">
        <v>7.6</v>
      </c>
      <c r="AO340" s="3">
        <v>7.5</v>
      </c>
      <c r="AP340" s="3">
        <v>7.2</v>
      </c>
      <c r="AQ340" s="3">
        <v>9</v>
      </c>
      <c r="AR340" s="3">
        <v>7.3</v>
      </c>
      <c r="AS340" s="3">
        <v>23.2</v>
      </c>
      <c r="AT340" s="3">
        <v>32</v>
      </c>
      <c r="AU340" s="3">
        <v>9.6999999999999993</v>
      </c>
      <c r="AV340" s="3">
        <v>9</v>
      </c>
      <c r="AW340" s="3">
        <v>9.5</v>
      </c>
      <c r="AX340" s="3">
        <v>9.6</v>
      </c>
      <c r="AY340" s="3">
        <v>9.6999999999999993</v>
      </c>
      <c r="AZ340" s="3">
        <v>0</v>
      </c>
      <c r="BA340" s="3">
        <v>0</v>
      </c>
      <c r="BB340" s="3">
        <v>0</v>
      </c>
      <c r="BC340" s="3">
        <v>33.897276737562443</v>
      </c>
      <c r="BD340" s="3">
        <v>19.402723262437554</v>
      </c>
      <c r="BE340" s="3">
        <v>18.002723262437556</v>
      </c>
      <c r="BF340" s="3">
        <v>17.062723262437558</v>
      </c>
      <c r="BG340" s="3">
        <v>8.2893899291042175</v>
      </c>
      <c r="BH340" s="3">
        <v>6.7293899291042223</v>
      </c>
      <c r="BI340" s="3">
        <v>4.8427232624375591</v>
      </c>
      <c r="BJ340" s="3">
        <v>7.23605659577089</v>
      </c>
      <c r="BK340" s="3">
        <v>7.2093899291042192</v>
      </c>
      <c r="BL340" s="3">
        <v>11.482723262437553</v>
      </c>
      <c r="BM340" s="3">
        <v>6.8160565957708883</v>
      </c>
      <c r="BN340" s="3">
        <v>8.7993899291042226</v>
      </c>
      <c r="BO340" s="3">
        <v>8.7660565957708911</v>
      </c>
      <c r="BP340" s="3">
        <v>7.582723262437554</v>
      </c>
      <c r="BQ340" s="3">
        <v>7.0993899291042126</v>
      </c>
      <c r="BR340" s="3">
        <v>6.0260565957708891</v>
      </c>
      <c r="BS340" s="3">
        <v>6.4293899291042251</v>
      </c>
      <c r="BT340" s="3">
        <v>7.726056595770892</v>
      </c>
      <c r="BU340" s="3">
        <v>7.5927232624375591</v>
      </c>
      <c r="BV340" s="3">
        <v>7.0093899291042234</v>
      </c>
      <c r="BW340" s="3">
        <v>9.3427232624375591</v>
      </c>
      <c r="BX340" s="3">
        <v>7.562723262437558</v>
      </c>
      <c r="BY340" s="3">
        <v>23.28272326243755</v>
      </c>
      <c r="BZ340" s="3">
        <v>32.212723262437557</v>
      </c>
      <c r="CA340" s="3">
        <v>10.012723262437547</v>
      </c>
      <c r="CB340" s="3">
        <v>8.7493899291042183</v>
      </c>
      <c r="CC340" s="3">
        <v>9.4627232624375566</v>
      </c>
      <c r="CD340" s="3">
        <v>8.8693899291042229</v>
      </c>
      <c r="CE340" s="3">
        <v>9.1627232624375523</v>
      </c>
      <c r="CF340" s="3">
        <v>-0.9239434042291137</v>
      </c>
      <c r="CG340" s="3">
        <v>-1.4572767375624451</v>
      </c>
      <c r="CH340" s="3">
        <v>-2.5339434042291096</v>
      </c>
      <c r="CI340" s="13">
        <f>[1]!dbasum(RecData[[#This Row],[20]:[2000]],RecData[[#Headers],[20]:[2000]])</f>
        <v>16.503397938966131</v>
      </c>
      <c r="CJ340" s="14">
        <v>4347</v>
      </c>
      <c r="CK340" s="15" t="s">
        <v>249</v>
      </c>
      <c r="CL340" s="15">
        <f>RecData[[#This Row],[Start Time]]</f>
        <v>43260.990289351859</v>
      </c>
      <c r="CM340" s="16">
        <f>RecData[[#This Row],[Wind Speed avg]]</f>
        <v>0.25</v>
      </c>
      <c r="CN340" s="16">
        <f>RecData[[#This Row],[Wind Dir. avg]]</f>
        <v>154.9</v>
      </c>
      <c r="CO340" s="16">
        <f>RecData[[#This Row],[Amb. Humidity]]</f>
        <v>82.5</v>
      </c>
      <c r="CP340" s="16">
        <f>RecData[[#This Row],[Amb. Temperature]]</f>
        <v>12.9</v>
      </c>
      <c r="CQ340" s="17">
        <f>RecData[[#This Row],[Amb. Rain Gauge]]</f>
        <v>0</v>
      </c>
      <c r="CR340" s="4" t="s">
        <v>50</v>
      </c>
      <c r="CS340" s="4" t="s">
        <v>49</v>
      </c>
      <c r="CT340" s="70">
        <v>-9.1107110979999995</v>
      </c>
      <c r="CU340" s="70">
        <v>344.0028992</v>
      </c>
      <c r="CV340" s="70">
        <v>1.6604667900000001</v>
      </c>
      <c r="CW340" s="70">
        <v>0</v>
      </c>
      <c r="CX340" s="4"/>
      <c r="CY340" s="69"/>
      <c r="CZ340" s="2" t="b">
        <f>IF($DP$1="YES",IF(RecData[[#This Row],[Power (kW)]]&gt;=$CR$3, TRUE,FALSE),TRUE)</f>
        <v>0</v>
      </c>
      <c r="DA340" s="16">
        <f>MIN(MOD(180-ABS(ABS($DA$1-RecData[Yaw Angle (°)])-180),360),MOD(180-ABS(ABS($DB$1-RecData[Yaw Angle (°)])-180),360))</f>
        <v>23.527027577687534</v>
      </c>
      <c r="DB340" s="2" t="str">
        <f>IF($DP$2="None","None",IF(RecData[[#This Row],[Relative Wind Direction]]&lt;=45,"DW",IF(RecData[[#This Row],[Relative Wind Direction]]&lt;=135,"CW","UW")))</f>
        <v>DW</v>
      </c>
      <c r="DC340" s="61">
        <f>IF($CL340-$CL336&gt;1/24,#REF!,IF(SUM($CQ336:$CQ340)&gt;$DS$1,$DS$5,DC341-1))</f>
        <v>-2</v>
      </c>
      <c r="DD340" s="61">
        <f>IF($CL341-$CL340&gt;1/24,#REF!,IF(SUM($CQ336:$CQ340)&gt;$DS$1,$DS$6,DD339-1))</f>
        <v>-9</v>
      </c>
      <c r="DE340" s="18" t="b">
        <v>0</v>
      </c>
      <c r="DF340" s="2" t="b">
        <f>IF(OR(RecData[[#This Row],[WSpd_Avg '[m/s']]]-RecData[[#This Row],[Wind Speed min]]&gt;=$DF$3,RecData[[#This Row],[Wind Speed max]]-RecData[[#This Row],[WSpd_Avg '[m/s']]]&gt;=$DF$2),TRUE,FALSE)</f>
        <v>0</v>
      </c>
      <c r="DG340" s="2" t="b">
        <f>RecData[[#This Row],[Temperature '[°C']]]&lt;=-20</f>
        <v>0</v>
      </c>
      <c r="DH340" s="18" t="b">
        <f>NOT(OR(MOD(RecData[[#This Row],[TIMESTAMP]],1)&gt;0.91632,MOD(RecData[[#This Row],[TIMESTAMP]],1)&lt;0.208681))</f>
        <v>0</v>
      </c>
      <c r="DI340" s="18" t="b">
        <f>RecData[[#This Row],[Overall (dBA)]]-RecData[[#This Row],[L90]]&gt;=$DS$4</f>
        <v>0</v>
      </c>
      <c r="DJ340" s="18" t="b">
        <f>RecData[[#This Row],[Overall (dBA)]]&gt;$DS$2</f>
        <v>0</v>
      </c>
      <c r="DK340" s="18" t="b">
        <f>RecData[[#This Row],[Overall (dBA)]]&lt;$DS$3</f>
        <v>0</v>
      </c>
      <c r="DL3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0" s="2">
        <f>IF(AND(RecData[[#This Row],[Turbines ON/OFF]] = "OFF", NOT(OR(RecData[[#This Row],[Junk?]]="YES",RecData[[#This Row],[Gust?]],RecData[[#This Row],[Rain?]:[Min SPL Threshold?]]))),1,0)</f>
        <v>1</v>
      </c>
      <c r="DN340" s="16">
        <f>RecData[[#This Row],[dBA Sum]]</f>
        <v>16.503397938966131</v>
      </c>
      <c r="DO340" s="16">
        <f>RecData[[#This Row],[LAF90.0]]</f>
        <v>30.6</v>
      </c>
      <c r="DP340" s="55" t="str">
        <f>IF(AND(RecData[[#This Row],[Useable TON Data?]],RecData[[#This Row],[Turbines ON/OFF]]="ON"),RecData[[#This Row],[dBA Sum]],"")</f>
        <v/>
      </c>
      <c r="DQ340" s="55">
        <f>IF(AND(RecData[[#This Row],[Useable Background Data?]],RecData[[#This Row],[Turbines ON/OFF]]="OFF"),RecData[[#This Row],[dBA Sum]],"")</f>
        <v>16.503397938966131</v>
      </c>
      <c r="DR340" s="3">
        <f>IF(OR(RecData[[#This Row],[Useable TON Data?]],RecData[[#This Row],[Useable Background Data?]]),ROUND(RecData[[#This Row],[WSpd_Avg '[m/s']]],0),"")</f>
        <v>0</v>
      </c>
      <c r="DS340" s="85">
        <f>(0.00002)^2*(10^(RecData[[#This Row],[Overall (dBA)]]/10))</f>
        <v>1.7881328643891135E-8</v>
      </c>
    </row>
    <row r="341" spans="1:123" ht="15" x14ac:dyDescent="0.25">
      <c r="A341" s="3" t="s">
        <v>249</v>
      </c>
      <c r="B341" s="12">
        <v>43260.990983796299</v>
      </c>
      <c r="C341" s="3"/>
      <c r="D341" s="3">
        <v>36.1</v>
      </c>
      <c r="E341" s="3"/>
      <c r="F341" s="3"/>
      <c r="G341" s="3"/>
      <c r="H341" s="3"/>
      <c r="I341" s="3"/>
      <c r="J341" s="3"/>
      <c r="K341" s="3">
        <v>31.5</v>
      </c>
      <c r="L341" s="3"/>
      <c r="M341" s="3"/>
      <c r="N341" s="3">
        <v>182.9</v>
      </c>
      <c r="O341" s="3"/>
      <c r="P341" s="3"/>
      <c r="Q341" s="3">
        <v>0.27</v>
      </c>
      <c r="R341" s="3">
        <v>0.1</v>
      </c>
      <c r="S341" s="3">
        <v>0.4</v>
      </c>
      <c r="T341" s="3">
        <v>12.9</v>
      </c>
      <c r="U341" s="3">
        <v>83.2</v>
      </c>
      <c r="V341" s="3">
        <v>975.6</v>
      </c>
      <c r="W341" s="3">
        <v>0</v>
      </c>
      <c r="X341" s="3">
        <v>17.7</v>
      </c>
      <c r="Y341" s="3">
        <v>18.399999999999999</v>
      </c>
      <c r="Z341" s="3">
        <v>18.3</v>
      </c>
      <c r="AA341" s="3">
        <v>9.5</v>
      </c>
      <c r="AB341" s="3">
        <v>8.1</v>
      </c>
      <c r="AC341" s="3">
        <v>5.5</v>
      </c>
      <c r="AD341" s="3">
        <v>7.1</v>
      </c>
      <c r="AE341" s="3">
        <v>7.4</v>
      </c>
      <c r="AF341" s="3">
        <v>10.1</v>
      </c>
      <c r="AG341" s="3">
        <v>9.6</v>
      </c>
      <c r="AH341" s="3">
        <v>8.6</v>
      </c>
      <c r="AI341" s="3">
        <v>9.1</v>
      </c>
      <c r="AJ341" s="3">
        <v>8.3000000000000007</v>
      </c>
      <c r="AK341" s="3">
        <v>7.3</v>
      </c>
      <c r="AL341" s="3">
        <v>6.8</v>
      </c>
      <c r="AM341" s="3">
        <v>7.9</v>
      </c>
      <c r="AN341" s="3">
        <v>7.5</v>
      </c>
      <c r="AO341" s="3">
        <v>7.6</v>
      </c>
      <c r="AP341" s="3">
        <v>7.3</v>
      </c>
      <c r="AQ341" s="3">
        <v>10.4</v>
      </c>
      <c r="AR341" s="3">
        <v>8</v>
      </c>
      <c r="AS341" s="3">
        <v>26.2</v>
      </c>
      <c r="AT341" s="3">
        <v>34.1</v>
      </c>
      <c r="AU341" s="3">
        <v>10.4</v>
      </c>
      <c r="AV341" s="3">
        <v>8.9</v>
      </c>
      <c r="AW341" s="3">
        <v>9.5</v>
      </c>
      <c r="AX341" s="3">
        <v>9.5</v>
      </c>
      <c r="AY341" s="3">
        <v>9.6999999999999993</v>
      </c>
      <c r="AZ341" s="3">
        <v>0</v>
      </c>
      <c r="BA341" s="3">
        <v>0</v>
      </c>
      <c r="BB341" s="3">
        <v>0</v>
      </c>
      <c r="BC341" s="3">
        <v>36.062212461796761</v>
      </c>
      <c r="BD341" s="3">
        <v>17.737787538203236</v>
      </c>
      <c r="BE341" s="3">
        <v>18.437787538203239</v>
      </c>
      <c r="BF341" s="3">
        <v>17.097787538203242</v>
      </c>
      <c r="BG341" s="3">
        <v>8.624454204869906</v>
      </c>
      <c r="BH341" s="3">
        <v>7.364454204869908</v>
      </c>
      <c r="BI341" s="3">
        <v>5.1777875382032406</v>
      </c>
      <c r="BJ341" s="3">
        <v>7.5711208715365714</v>
      </c>
      <c r="BK341" s="3">
        <v>7.7444542048699034</v>
      </c>
      <c r="BL341" s="3">
        <v>10.017787538203237</v>
      </c>
      <c r="BM341" s="3">
        <v>9.6511208715365768</v>
      </c>
      <c r="BN341" s="3">
        <v>8.9344542048699083</v>
      </c>
      <c r="BO341" s="3">
        <v>8.8011208715365754</v>
      </c>
      <c r="BP341" s="3">
        <v>7.7177875382032397</v>
      </c>
      <c r="BQ341" s="3">
        <v>7.1344542048698969</v>
      </c>
      <c r="BR341" s="3">
        <v>6.961120871536572</v>
      </c>
      <c r="BS341" s="3">
        <v>7.864454204869908</v>
      </c>
      <c r="BT341" s="3">
        <v>7.6611208715365748</v>
      </c>
      <c r="BU341" s="3">
        <v>7.7277875382032448</v>
      </c>
      <c r="BV341" s="3">
        <v>7.1444542048699091</v>
      </c>
      <c r="BW341" s="3">
        <v>10.777787538203242</v>
      </c>
      <c r="BX341" s="3">
        <v>8.2977875382032451</v>
      </c>
      <c r="BY341" s="3">
        <v>26.317787538203234</v>
      </c>
      <c r="BZ341" s="3">
        <v>34.347787538203235</v>
      </c>
      <c r="CA341" s="3">
        <v>10.747787538203234</v>
      </c>
      <c r="CB341" s="3">
        <v>8.6844542048699083</v>
      </c>
      <c r="CC341" s="3">
        <v>9.4977875382032408</v>
      </c>
      <c r="CD341" s="3">
        <v>8.8044542048699128</v>
      </c>
      <c r="CE341" s="3">
        <v>9.1977875382032366</v>
      </c>
      <c r="CF341" s="3">
        <v>-0.88887912846342942</v>
      </c>
      <c r="CG341" s="3">
        <v>-1.4222124617967609</v>
      </c>
      <c r="CH341" s="3">
        <v>-2.4988791284634289</v>
      </c>
      <c r="CI341" s="13">
        <f>[1]!dbasum(RecData[[#This Row],[20]:[2000]],RecData[[#Headers],[20]:[2000]])</f>
        <v>17.191149599453023</v>
      </c>
      <c r="CJ341" s="14">
        <v>4348</v>
      </c>
      <c r="CK341" s="15" t="s">
        <v>249</v>
      </c>
      <c r="CL341" s="15">
        <f>RecData[[#This Row],[Start Time]]</f>
        <v>43260.990983796299</v>
      </c>
      <c r="CM341" s="16">
        <f>RecData[[#This Row],[Wind Speed avg]]</f>
        <v>0.27</v>
      </c>
      <c r="CN341" s="16">
        <f>RecData[[#This Row],[Wind Dir. avg]]</f>
        <v>182.9</v>
      </c>
      <c r="CO341" s="16">
        <f>RecData[[#This Row],[Amb. Humidity]]</f>
        <v>83.2</v>
      </c>
      <c r="CP341" s="16">
        <f>RecData[[#This Row],[Amb. Temperature]]</f>
        <v>12.9</v>
      </c>
      <c r="CQ341" s="17">
        <f>RecData[[#This Row],[Amb. Rain Gauge]]</f>
        <v>0</v>
      </c>
      <c r="CR341" s="4" t="s">
        <v>50</v>
      </c>
      <c r="CS341" s="4" t="s">
        <v>49</v>
      </c>
      <c r="CT341" s="70">
        <v>-9.1107110979999995</v>
      </c>
      <c r="CU341" s="70">
        <v>344.0028992</v>
      </c>
      <c r="CV341" s="70">
        <v>1.6604667900000001</v>
      </c>
      <c r="CW341" s="70">
        <v>0</v>
      </c>
      <c r="CX341" s="4"/>
      <c r="CY341" s="69"/>
      <c r="CZ341" s="2" t="b">
        <f>IF($DP$1="YES",IF(RecData[[#This Row],[Power (kW)]]&gt;=$CR$3, TRUE,FALSE),TRUE)</f>
        <v>0</v>
      </c>
      <c r="DA341" s="16">
        <f>MIN(MOD(180-ABS(ABS($DA$1-RecData[Yaw Angle (°)])-180),360),MOD(180-ABS(ABS($DB$1-RecData[Yaw Angle (°)])-180),360))</f>
        <v>23.527027577687534</v>
      </c>
      <c r="DB341" s="2" t="str">
        <f>IF($DP$2="None","None",IF(RecData[[#This Row],[Relative Wind Direction]]&lt;=45,"DW",IF(RecData[[#This Row],[Relative Wind Direction]]&lt;=135,"CW","UW")))</f>
        <v>DW</v>
      </c>
      <c r="DC341" s="61">
        <v>-1</v>
      </c>
      <c r="DD341" s="61">
        <v>-1</v>
      </c>
      <c r="DE341" s="18" t="b">
        <v>0</v>
      </c>
      <c r="DF341" s="2" t="b">
        <f>IF(OR(RecData[[#This Row],[WSpd_Avg '[m/s']]]-RecData[[#This Row],[Wind Speed min]]&gt;=$DF$3,RecData[[#This Row],[Wind Speed max]]-RecData[[#This Row],[WSpd_Avg '[m/s']]]&gt;=$DF$2),TRUE,FALSE)</f>
        <v>0</v>
      </c>
      <c r="DG341" s="2" t="b">
        <f>RecData[[#This Row],[Temperature '[°C']]]&lt;=-20</f>
        <v>0</v>
      </c>
      <c r="DH341" s="18" t="b">
        <f>NOT(OR(MOD(RecData[[#This Row],[TIMESTAMP]],1)&gt;0.91632,MOD(RecData[[#This Row],[TIMESTAMP]],1)&lt;0.208681))</f>
        <v>0</v>
      </c>
      <c r="DI341" s="18" t="b">
        <f>RecData[[#This Row],[Overall (dBA)]]-RecData[[#This Row],[L90]]&gt;=$DS$4</f>
        <v>0</v>
      </c>
      <c r="DJ341" s="18" t="b">
        <f>RecData[[#This Row],[Overall (dBA)]]&gt;$DS$2</f>
        <v>0</v>
      </c>
      <c r="DK341" s="18" t="b">
        <f>RecData[[#This Row],[Overall (dBA)]]&lt;$DS$3</f>
        <v>0</v>
      </c>
      <c r="DL3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1" s="2">
        <f>IF(AND(RecData[[#This Row],[Turbines ON/OFF]] = "OFF", NOT(OR(RecData[[#This Row],[Junk?]]="YES",RecData[[#This Row],[Gust?]],RecData[[#This Row],[Rain?]:[Min SPL Threshold?]]))),1,0)</f>
        <v>1</v>
      </c>
      <c r="DN341" s="16">
        <f>RecData[[#This Row],[dBA Sum]]</f>
        <v>17.191149599453023</v>
      </c>
      <c r="DO341" s="16">
        <f>RecData[[#This Row],[LAF90.0]]</f>
        <v>31.5</v>
      </c>
      <c r="DP341" s="55" t="str">
        <f>IF(AND(RecData[[#This Row],[Useable TON Data?]],RecData[[#This Row],[Turbines ON/OFF]]="ON"),RecData[[#This Row],[dBA Sum]],"")</f>
        <v/>
      </c>
      <c r="DQ341" s="55">
        <f>IF(AND(RecData[[#This Row],[Useable Background Data?]],RecData[[#This Row],[Turbines ON/OFF]]="OFF"),RecData[[#This Row],[dBA Sum]],"")</f>
        <v>17.191149599453023</v>
      </c>
      <c r="DR341" s="3">
        <f>IF(OR(RecData[[#This Row],[Useable TON Data?]],RecData[[#This Row],[Useable Background Data?]]),ROUND(RecData[[#This Row],[WSpd_Avg '[m/s']]],0),"")</f>
        <v>0</v>
      </c>
      <c r="DS341" s="85">
        <f>(0.00002)^2*(10^(RecData[[#This Row],[Overall (dBA)]]/10))</f>
        <v>2.0949562184578248E-8</v>
      </c>
    </row>
    <row r="342" spans="1:123" ht="15" x14ac:dyDescent="0.25">
      <c r="A342" s="3" t="s">
        <v>249</v>
      </c>
      <c r="B342" s="12">
        <v>43260.991678240745</v>
      </c>
      <c r="C342" s="3"/>
      <c r="D342" s="3">
        <v>34.1</v>
      </c>
      <c r="E342" s="3"/>
      <c r="F342" s="3"/>
      <c r="G342" s="3"/>
      <c r="H342" s="3"/>
      <c r="I342" s="3"/>
      <c r="J342" s="3"/>
      <c r="K342" s="3">
        <v>29.9</v>
      </c>
      <c r="L342" s="3"/>
      <c r="M342" s="3"/>
      <c r="N342" s="3">
        <v>218.9</v>
      </c>
      <c r="O342" s="3"/>
      <c r="P342" s="3"/>
      <c r="Q342" s="3">
        <v>0.2</v>
      </c>
      <c r="R342" s="3">
        <v>0.1</v>
      </c>
      <c r="S342" s="3">
        <v>0.3</v>
      </c>
      <c r="T342" s="3">
        <v>12.9</v>
      </c>
      <c r="U342" s="3">
        <v>83.1</v>
      </c>
      <c r="V342" s="3">
        <v>975.6</v>
      </c>
      <c r="W342" s="3">
        <v>0</v>
      </c>
      <c r="X342" s="3">
        <v>21.5</v>
      </c>
      <c r="Y342" s="3">
        <v>19.899999999999999</v>
      </c>
      <c r="Z342" s="3">
        <v>20</v>
      </c>
      <c r="AA342" s="3">
        <v>12.9</v>
      </c>
      <c r="AB342" s="3">
        <v>8.5</v>
      </c>
      <c r="AC342" s="3">
        <v>6.1</v>
      </c>
      <c r="AD342" s="3">
        <v>8.3000000000000007</v>
      </c>
      <c r="AE342" s="3">
        <v>8.1999999999999993</v>
      </c>
      <c r="AF342" s="3">
        <v>12</v>
      </c>
      <c r="AG342" s="3">
        <v>8.9</v>
      </c>
      <c r="AH342" s="3">
        <v>8.1999999999999993</v>
      </c>
      <c r="AI342" s="3">
        <v>8.9</v>
      </c>
      <c r="AJ342" s="3">
        <v>8.5</v>
      </c>
      <c r="AK342" s="3">
        <v>7.7</v>
      </c>
      <c r="AL342" s="3">
        <v>6.3</v>
      </c>
      <c r="AM342" s="3">
        <v>7</v>
      </c>
      <c r="AN342" s="3">
        <v>8.1</v>
      </c>
      <c r="AO342" s="3">
        <v>8.1999999999999993</v>
      </c>
      <c r="AP342" s="3">
        <v>7.4</v>
      </c>
      <c r="AQ342" s="3">
        <v>10.1</v>
      </c>
      <c r="AR342" s="3">
        <v>7.5</v>
      </c>
      <c r="AS342" s="3">
        <v>23.5</v>
      </c>
      <c r="AT342" s="3">
        <v>32.200000000000003</v>
      </c>
      <c r="AU342" s="3">
        <v>10</v>
      </c>
      <c r="AV342" s="3">
        <v>8.8000000000000007</v>
      </c>
      <c r="AW342" s="3">
        <v>9.3000000000000007</v>
      </c>
      <c r="AX342" s="3">
        <v>9.5</v>
      </c>
      <c r="AY342" s="3">
        <v>9.6999999999999993</v>
      </c>
      <c r="AZ342" s="3">
        <v>0</v>
      </c>
      <c r="BA342" s="3">
        <v>0</v>
      </c>
      <c r="BB342" s="3">
        <v>0</v>
      </c>
      <c r="BC342" s="3">
        <v>34.111907097123854</v>
      </c>
      <c r="BD342" s="3">
        <v>21.488092902876147</v>
      </c>
      <c r="BE342" s="3">
        <v>19.888092902876146</v>
      </c>
      <c r="BF342" s="3">
        <v>18.748092902876145</v>
      </c>
      <c r="BG342" s="3">
        <v>11.974759569542812</v>
      </c>
      <c r="BH342" s="3">
        <v>7.7147595695428137</v>
      </c>
      <c r="BI342" s="3">
        <v>5.7280929028761491</v>
      </c>
      <c r="BJ342" s="3">
        <v>8.7214262362094814</v>
      </c>
      <c r="BK342" s="3">
        <v>8.4947595695428078</v>
      </c>
      <c r="BL342" s="3">
        <v>11.86809290287615</v>
      </c>
      <c r="BM342" s="3">
        <v>8.9014262362094811</v>
      </c>
      <c r="BN342" s="3">
        <v>8.4847595695428097</v>
      </c>
      <c r="BO342" s="3">
        <v>8.5514262362094868</v>
      </c>
      <c r="BP342" s="3">
        <v>7.8680929028761497</v>
      </c>
      <c r="BQ342" s="3">
        <v>7.4847595695428026</v>
      </c>
      <c r="BR342" s="3">
        <v>6.4114262362094792</v>
      </c>
      <c r="BS342" s="3">
        <v>6.9147595695428166</v>
      </c>
      <c r="BT342" s="3">
        <v>8.2114262362094834</v>
      </c>
      <c r="BU342" s="3">
        <v>8.2780929028761463</v>
      </c>
      <c r="BV342" s="3">
        <v>7.1947595695428177</v>
      </c>
      <c r="BW342" s="3">
        <v>10.428092902876152</v>
      </c>
      <c r="BX342" s="3">
        <v>7.7480929028761523</v>
      </c>
      <c r="BY342" s="3">
        <v>23.568092902876145</v>
      </c>
      <c r="BZ342" s="3">
        <v>32.398092902876151</v>
      </c>
      <c r="CA342" s="3">
        <v>10.298092902876142</v>
      </c>
      <c r="CB342" s="3">
        <v>8.534759569542814</v>
      </c>
      <c r="CC342" s="3">
        <v>9.2480929028761452</v>
      </c>
      <c r="CD342" s="3">
        <v>8.75475956954282</v>
      </c>
      <c r="CE342" s="3">
        <v>9.1480929028761437</v>
      </c>
      <c r="CF342" s="3">
        <v>-0.93857376379052226</v>
      </c>
      <c r="CG342" s="3">
        <v>-1.4719070971238537</v>
      </c>
      <c r="CH342" s="3">
        <v>-2.5485737637905181</v>
      </c>
      <c r="CI342" s="13">
        <f>[1]!dbasum(RecData[[#This Row],[20]:[2000]],RecData[[#Headers],[20]:[2000]])</f>
        <v>17.057401774657972</v>
      </c>
      <c r="CJ342" s="14">
        <v>4349</v>
      </c>
      <c r="CK342" s="15" t="s">
        <v>249</v>
      </c>
      <c r="CL342" s="15">
        <f>RecData[[#This Row],[Start Time]]</f>
        <v>43260.991678240745</v>
      </c>
      <c r="CM342" s="16">
        <f>RecData[[#This Row],[Wind Speed avg]]</f>
        <v>0.2</v>
      </c>
      <c r="CN342" s="16">
        <f>RecData[[#This Row],[Wind Dir. avg]]</f>
        <v>218.9</v>
      </c>
      <c r="CO342" s="16">
        <f>RecData[[#This Row],[Amb. Humidity]]</f>
        <v>83.1</v>
      </c>
      <c r="CP342" s="16">
        <f>RecData[[#This Row],[Amb. Temperature]]</f>
        <v>12.9</v>
      </c>
      <c r="CQ342" s="17">
        <f>RecData[[#This Row],[Amb. Rain Gauge]]</f>
        <v>0</v>
      </c>
      <c r="CR342" s="4" t="s">
        <v>50</v>
      </c>
      <c r="CS342" s="4" t="s">
        <v>49</v>
      </c>
      <c r="CT342" s="70">
        <v>-9.1107110979999995</v>
      </c>
      <c r="CU342" s="70">
        <v>344.0028992</v>
      </c>
      <c r="CV342" s="70">
        <v>1.6604667900000001</v>
      </c>
      <c r="CW342" s="70">
        <v>0</v>
      </c>
      <c r="CX342" s="4"/>
      <c r="CY342" s="69"/>
      <c r="CZ342" s="2" t="b">
        <f>IF($DP$1="YES",IF(RecData[[#This Row],[Power (kW)]]&gt;=$CR$3, TRUE,FALSE),TRUE)</f>
        <v>0</v>
      </c>
      <c r="DA342" s="16">
        <f>MIN(MOD(180-ABS(ABS($DA$1-RecData[Yaw Angle (°)])-180),360),MOD(180-ABS(ABS($DB$1-RecData[Yaw Angle (°)])-180),360))</f>
        <v>23.527027577687534</v>
      </c>
      <c r="DB342" s="2" t="str">
        <f>IF($DP$2="None","None",IF(RecData[[#This Row],[Relative Wind Direction]]&lt;=45,"DW",IF(RecData[[#This Row],[Relative Wind Direction]]&lt;=135,"CW","UW")))</f>
        <v>DW</v>
      </c>
      <c r="DC342" s="61" t="e">
        <f>IF($CL342-$CL341&gt;1/24,#REF!,IF(SUM($CQ341:$CQ342)&gt;$DS$1,$DS$5,DC343-1))</f>
        <v>#REF!</v>
      </c>
      <c r="DD342" s="61">
        <f>IF($CL343-$CL342&gt;1/24,#REF!,IF(SUM($CQ341:$CQ342)&gt;$DS$1,$DS$6,DD341-1))</f>
        <v>-2</v>
      </c>
      <c r="DE342" s="18" t="b">
        <v>0</v>
      </c>
      <c r="DF342" s="2" t="b">
        <f>IF(OR(RecData[[#This Row],[WSpd_Avg '[m/s']]]-RecData[[#This Row],[Wind Speed min]]&gt;=$DF$3,RecData[[#This Row],[Wind Speed max]]-RecData[[#This Row],[WSpd_Avg '[m/s']]]&gt;=$DF$2),TRUE,FALSE)</f>
        <v>0</v>
      </c>
      <c r="DG342" s="2" t="b">
        <f>RecData[[#This Row],[Temperature '[°C']]]&lt;=-20</f>
        <v>0</v>
      </c>
      <c r="DH342" s="18" t="b">
        <f>NOT(OR(MOD(RecData[[#This Row],[TIMESTAMP]],1)&gt;0.91632,MOD(RecData[[#This Row],[TIMESTAMP]],1)&lt;0.208681))</f>
        <v>0</v>
      </c>
      <c r="DI342" s="18" t="b">
        <f>RecData[[#This Row],[Overall (dBA)]]-RecData[[#This Row],[L90]]&gt;=$DS$4</f>
        <v>0</v>
      </c>
      <c r="DJ342" s="18" t="b">
        <f>RecData[[#This Row],[Overall (dBA)]]&gt;$DS$2</f>
        <v>0</v>
      </c>
      <c r="DK342" s="18" t="b">
        <f>RecData[[#This Row],[Overall (dBA)]]&lt;$DS$3</f>
        <v>0</v>
      </c>
      <c r="DL3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2" s="2">
        <f>IF(AND(RecData[[#This Row],[Turbines ON/OFF]] = "OFF", NOT(OR(RecData[[#This Row],[Junk?]]="YES",RecData[[#This Row],[Gust?]],RecData[[#This Row],[Rain?]:[Min SPL Threshold?]]))),1,0)</f>
        <v>1</v>
      </c>
      <c r="DN342" s="16">
        <f>RecData[[#This Row],[dBA Sum]]</f>
        <v>17.057401774657972</v>
      </c>
      <c r="DO342" s="16">
        <f>RecData[[#This Row],[LAF90.0]]</f>
        <v>29.9</v>
      </c>
      <c r="DP342" s="55" t="str">
        <f>IF(AND(RecData[[#This Row],[Useable TON Data?]],RecData[[#This Row],[Turbines ON/OFF]]="ON"),RecData[[#This Row],[dBA Sum]],"")</f>
        <v/>
      </c>
      <c r="DQ342" s="55">
        <f>IF(AND(RecData[[#This Row],[Useable Background Data?]],RecData[[#This Row],[Turbines ON/OFF]]="OFF"),RecData[[#This Row],[dBA Sum]],"")</f>
        <v>17.057401774657972</v>
      </c>
      <c r="DR342" s="3">
        <f>IF(OR(RecData[[#This Row],[Useable TON Data?]],RecData[[#This Row],[Useable Background Data?]]),ROUND(RecData[[#This Row],[WSpd_Avg '[m/s']]],0),"")</f>
        <v>0</v>
      </c>
      <c r="DS342" s="85">
        <f>(0.00002)^2*(10^(RecData[[#This Row],[Overall (dBA)]]/10))</f>
        <v>2.0314220809551405E-8</v>
      </c>
    </row>
    <row r="343" spans="1:123" ht="15" x14ac:dyDescent="0.25">
      <c r="A343" s="3" t="s">
        <v>249</v>
      </c>
      <c r="B343" s="12">
        <v>43260.992372685192</v>
      </c>
      <c r="C343" s="3"/>
      <c r="D343" s="3">
        <v>35.299999999999997</v>
      </c>
      <c r="E343" s="3"/>
      <c r="F343" s="3"/>
      <c r="G343" s="3"/>
      <c r="H343" s="3"/>
      <c r="I343" s="3"/>
      <c r="J343" s="3"/>
      <c r="K343" s="3">
        <v>29.1</v>
      </c>
      <c r="L343" s="3"/>
      <c r="M343" s="3"/>
      <c r="N343" s="3">
        <v>226.9</v>
      </c>
      <c r="O343" s="3"/>
      <c r="P343" s="3"/>
      <c r="Q343" s="3">
        <v>0.27</v>
      </c>
      <c r="R343" s="3">
        <v>0.2</v>
      </c>
      <c r="S343" s="3">
        <v>0.4</v>
      </c>
      <c r="T343" s="3">
        <v>12.9</v>
      </c>
      <c r="U343" s="3">
        <v>83.3</v>
      </c>
      <c r="V343" s="3">
        <v>975.6</v>
      </c>
      <c r="W343" s="3">
        <v>0</v>
      </c>
      <c r="X343" s="3">
        <v>16.7</v>
      </c>
      <c r="Y343" s="3">
        <v>16.2</v>
      </c>
      <c r="Z343" s="3">
        <v>17</v>
      </c>
      <c r="AA343" s="3">
        <v>8.4</v>
      </c>
      <c r="AB343" s="3">
        <v>6.8</v>
      </c>
      <c r="AC343" s="3">
        <v>5.0999999999999996</v>
      </c>
      <c r="AD343" s="3">
        <v>5.6</v>
      </c>
      <c r="AE343" s="3">
        <v>6.1</v>
      </c>
      <c r="AF343" s="3">
        <v>11.2</v>
      </c>
      <c r="AG343" s="3">
        <v>9</v>
      </c>
      <c r="AH343" s="3">
        <v>8.8000000000000007</v>
      </c>
      <c r="AI343" s="3">
        <v>8.6999999999999993</v>
      </c>
      <c r="AJ343" s="3">
        <v>7.9</v>
      </c>
      <c r="AK343" s="3">
        <v>7.3</v>
      </c>
      <c r="AL343" s="3">
        <v>6.1</v>
      </c>
      <c r="AM343" s="3">
        <v>6.6</v>
      </c>
      <c r="AN343" s="3">
        <v>7.4</v>
      </c>
      <c r="AO343" s="3">
        <v>7.5</v>
      </c>
      <c r="AP343" s="3">
        <v>7.1</v>
      </c>
      <c r="AQ343" s="3">
        <v>9.3000000000000007</v>
      </c>
      <c r="AR343" s="3">
        <v>7.5</v>
      </c>
      <c r="AS343" s="3">
        <v>25.8</v>
      </c>
      <c r="AT343" s="3">
        <v>33.299999999999997</v>
      </c>
      <c r="AU343" s="3">
        <v>10.199999999999999</v>
      </c>
      <c r="AV343" s="3">
        <v>8.6999999999999993</v>
      </c>
      <c r="AW343" s="3">
        <v>9.1999999999999993</v>
      </c>
      <c r="AX343" s="3">
        <v>9.4</v>
      </c>
      <c r="AY343" s="3">
        <v>9.6</v>
      </c>
      <c r="AZ343" s="3">
        <v>0</v>
      </c>
      <c r="BA343" s="3">
        <v>0</v>
      </c>
      <c r="BB343" s="3">
        <v>0</v>
      </c>
      <c r="BC343" s="3">
        <v>35.329736384936012</v>
      </c>
      <c r="BD343" s="3">
        <v>16.670263615063988</v>
      </c>
      <c r="BE343" s="3">
        <v>16.170263615063988</v>
      </c>
      <c r="BF343" s="3">
        <v>15.730263615063983</v>
      </c>
      <c r="BG343" s="3">
        <v>7.4569302817306493</v>
      </c>
      <c r="BH343" s="3">
        <v>5.9969302817306556</v>
      </c>
      <c r="BI343" s="3">
        <v>4.7102636150639867</v>
      </c>
      <c r="BJ343" s="3">
        <v>6.0035969483973162</v>
      </c>
      <c r="BK343" s="3">
        <v>6.3769302817306439</v>
      </c>
      <c r="BL343" s="3">
        <v>11.050263615063983</v>
      </c>
      <c r="BM343" s="3">
        <v>8.9835969483973201</v>
      </c>
      <c r="BN343" s="3">
        <v>9.0669302817306487</v>
      </c>
      <c r="BO343" s="3">
        <v>8.3335969483973216</v>
      </c>
      <c r="BP343" s="3">
        <v>7.2502636150639859</v>
      </c>
      <c r="BQ343" s="3">
        <v>7.0669302817306416</v>
      </c>
      <c r="BR343" s="3">
        <v>6.193596948397321</v>
      </c>
      <c r="BS343" s="3">
        <v>6.4969302817306485</v>
      </c>
      <c r="BT343" s="3">
        <v>7.4935969483973182</v>
      </c>
      <c r="BU343" s="3">
        <v>7.5602636150639881</v>
      </c>
      <c r="BV343" s="3">
        <v>6.876930281730651</v>
      </c>
      <c r="BW343" s="3">
        <v>9.6102636150639853</v>
      </c>
      <c r="BX343" s="3">
        <v>7.7302636150639898</v>
      </c>
      <c r="BY343" s="3">
        <v>25.85026361506398</v>
      </c>
      <c r="BZ343" s="3">
        <v>33.48026361506399</v>
      </c>
      <c r="CA343" s="3">
        <v>10.480263615063976</v>
      </c>
      <c r="CB343" s="3">
        <v>8.4169302817306502</v>
      </c>
      <c r="CC343" s="3">
        <v>9.1302636150639813</v>
      </c>
      <c r="CD343" s="3">
        <v>8.6369302817306561</v>
      </c>
      <c r="CE343" s="3">
        <v>9.030263615063987</v>
      </c>
      <c r="CF343" s="3">
        <v>-0.95640305160268468</v>
      </c>
      <c r="CG343" s="3">
        <v>-1.4897363849360161</v>
      </c>
      <c r="CH343" s="3">
        <v>-2.5664030516026841</v>
      </c>
      <c r="CI343" s="13">
        <f>[1]!dbasum(RecData[[#This Row],[20]:[2000]],RecData[[#Headers],[20]:[2000]])</f>
        <v>16.557459884724576</v>
      </c>
      <c r="CJ343" s="14">
        <v>4350</v>
      </c>
      <c r="CK343" s="15" t="s">
        <v>249</v>
      </c>
      <c r="CL343" s="15">
        <f>RecData[[#This Row],[Start Time]]</f>
        <v>43260.992372685192</v>
      </c>
      <c r="CM343" s="16">
        <f>RecData[[#This Row],[Wind Speed avg]]</f>
        <v>0.27</v>
      </c>
      <c r="CN343" s="16">
        <f>RecData[[#This Row],[Wind Dir. avg]]</f>
        <v>226.9</v>
      </c>
      <c r="CO343" s="16">
        <f>RecData[[#This Row],[Amb. Humidity]]</f>
        <v>83.3</v>
      </c>
      <c r="CP343" s="16">
        <f>RecData[[#This Row],[Amb. Temperature]]</f>
        <v>12.9</v>
      </c>
      <c r="CQ343" s="17">
        <f>RecData[[#This Row],[Amb. Rain Gauge]]</f>
        <v>0</v>
      </c>
      <c r="CR343" s="4" t="s">
        <v>50</v>
      </c>
      <c r="CS343" s="4" t="s">
        <v>49</v>
      </c>
      <c r="CT343" s="70">
        <v>-9.1107110979999995</v>
      </c>
      <c r="CU343" s="70">
        <v>344.0028992</v>
      </c>
      <c r="CV343" s="70">
        <v>1.6604667900000001</v>
      </c>
      <c r="CW343" s="70">
        <v>0</v>
      </c>
      <c r="CX343" s="4"/>
      <c r="CY343" s="69"/>
      <c r="CZ343" s="2" t="b">
        <f>IF($DP$1="YES",IF(RecData[[#This Row],[Power (kW)]]&gt;=$CR$3, TRUE,FALSE),TRUE)</f>
        <v>0</v>
      </c>
      <c r="DA343" s="16">
        <f>MIN(MOD(180-ABS(ABS($DA$1-RecData[Yaw Angle (°)])-180),360),MOD(180-ABS(ABS($DB$1-RecData[Yaw Angle (°)])-180),360))</f>
        <v>23.527027577687534</v>
      </c>
      <c r="DB343" s="2" t="str">
        <f>IF($DP$2="None","None",IF(RecData[[#This Row],[Relative Wind Direction]]&lt;=45,"DW",IF(RecData[[#This Row],[Relative Wind Direction]]&lt;=135,"CW","UW")))</f>
        <v>DW</v>
      </c>
      <c r="DC343" s="61" t="e">
        <f>IF($CL343-$CL341&gt;1/24,#REF!,IF(SUM($CQ341:$CQ343)&gt;$DS$1,$DS$5,#REF!-1))</f>
        <v>#REF!</v>
      </c>
      <c r="DD343" s="61" t="e">
        <f>IF(#REF!-$CL343&gt;1/24,#REF!,IF(SUM($CQ341:$CQ343)&gt;$DS$1,$DS$6,DD342-1))</f>
        <v>#REF!</v>
      </c>
      <c r="DE343" s="18" t="b">
        <v>0</v>
      </c>
      <c r="DF343" s="2" t="b">
        <f>IF(OR(RecData[[#This Row],[WSpd_Avg '[m/s']]]-RecData[[#This Row],[Wind Speed min]]&gt;=$DF$3,RecData[[#This Row],[Wind Speed max]]-RecData[[#This Row],[WSpd_Avg '[m/s']]]&gt;=$DF$2),TRUE,FALSE)</f>
        <v>0</v>
      </c>
      <c r="DG343" s="2" t="b">
        <f>RecData[[#This Row],[Temperature '[°C']]]&lt;=-20</f>
        <v>0</v>
      </c>
      <c r="DH343" s="18" t="b">
        <f>NOT(OR(MOD(RecData[[#This Row],[TIMESTAMP]],1)&gt;0.91632,MOD(RecData[[#This Row],[TIMESTAMP]],1)&lt;0.208681))</f>
        <v>0</v>
      </c>
      <c r="DI343" s="18" t="b">
        <f>RecData[[#This Row],[Overall (dBA)]]-RecData[[#This Row],[L90]]&gt;=$DS$4</f>
        <v>0</v>
      </c>
      <c r="DJ343" s="18" t="b">
        <f>RecData[[#This Row],[Overall (dBA)]]&gt;$DS$2</f>
        <v>0</v>
      </c>
      <c r="DK343" s="18" t="b">
        <f>RecData[[#This Row],[Overall (dBA)]]&lt;$DS$3</f>
        <v>0</v>
      </c>
      <c r="DL3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3" s="2">
        <f>IF(AND(RecData[[#This Row],[Turbines ON/OFF]] = "OFF", NOT(OR(RecData[[#This Row],[Junk?]]="YES",RecData[[#This Row],[Gust?]],RecData[[#This Row],[Rain?]:[Min SPL Threshold?]]))),1,0)</f>
        <v>1</v>
      </c>
      <c r="DN343" s="16">
        <f>RecData[[#This Row],[dBA Sum]]</f>
        <v>16.557459884724576</v>
      </c>
      <c r="DO343" s="16">
        <f>RecData[[#This Row],[LAF90.0]]</f>
        <v>29.1</v>
      </c>
      <c r="DP343" s="55" t="str">
        <f>IF(AND(RecData[[#This Row],[Useable TON Data?]],RecData[[#This Row],[Turbines ON/OFF]]="ON"),RecData[[#This Row],[dBA Sum]],"")</f>
        <v/>
      </c>
      <c r="DQ343" s="55">
        <f>IF(AND(RecData[[#This Row],[Useable Background Data?]],RecData[[#This Row],[Turbines ON/OFF]]="OFF"),RecData[[#This Row],[dBA Sum]],"")</f>
        <v>16.557459884724576</v>
      </c>
      <c r="DR343" s="3">
        <f>IF(OR(RecData[[#This Row],[Useable TON Data?]],RecData[[#This Row],[Useable Background Data?]]),ROUND(RecData[[#This Row],[WSpd_Avg '[m/s']]],0),"")</f>
        <v>0</v>
      </c>
      <c r="DS343" s="85">
        <f>(0.00002)^2*(10^(RecData[[#This Row],[Overall (dBA)]]/10))</f>
        <v>1.810531060751109E-8</v>
      </c>
    </row>
    <row r="344" spans="1:123" ht="15" x14ac:dyDescent="0.25">
      <c r="A344" s="3" t="s">
        <v>249</v>
      </c>
      <c r="B344" s="12">
        <v>43261.945138888892</v>
      </c>
      <c r="C344" s="3"/>
      <c r="D344" s="3">
        <v>42.6</v>
      </c>
      <c r="E344" s="3"/>
      <c r="F344" s="3"/>
      <c r="G344" s="3"/>
      <c r="H344" s="3"/>
      <c r="I344" s="3"/>
      <c r="J344" s="3"/>
      <c r="K344" s="3">
        <v>41.1</v>
      </c>
      <c r="L344" s="3"/>
      <c r="M344" s="3"/>
      <c r="N344" s="3">
        <v>127.1</v>
      </c>
      <c r="O344" s="3"/>
      <c r="P344" s="3"/>
      <c r="Q344" s="3">
        <v>0.74</v>
      </c>
      <c r="R344" s="3">
        <v>0.5</v>
      </c>
      <c r="S344" s="3">
        <v>0.9</v>
      </c>
      <c r="T344" s="3">
        <v>11.5</v>
      </c>
      <c r="U344" s="3">
        <v>81.400000000000006</v>
      </c>
      <c r="V344" s="3">
        <v>974.3</v>
      </c>
      <c r="W344" s="3">
        <v>0</v>
      </c>
      <c r="X344" s="3">
        <v>19.100000000000001</v>
      </c>
      <c r="Y344" s="3">
        <v>15.3</v>
      </c>
      <c r="Z344" s="3">
        <v>16</v>
      </c>
      <c r="AA344" s="3">
        <v>11.6</v>
      </c>
      <c r="AB344" s="3">
        <v>13.2</v>
      </c>
      <c r="AC344" s="3">
        <v>7.7</v>
      </c>
      <c r="AD344" s="3">
        <v>10.4</v>
      </c>
      <c r="AE344" s="3">
        <v>12.5</v>
      </c>
      <c r="AF344" s="3">
        <v>13</v>
      </c>
      <c r="AG344" s="3">
        <v>15.5</v>
      </c>
      <c r="AH344" s="3">
        <v>14.1</v>
      </c>
      <c r="AI344" s="3">
        <v>11.8</v>
      </c>
      <c r="AJ344" s="3">
        <v>11.2</v>
      </c>
      <c r="AK344" s="3">
        <v>11.6</v>
      </c>
      <c r="AL344" s="3">
        <v>8</v>
      </c>
      <c r="AM344" s="3">
        <v>13.2</v>
      </c>
      <c r="AN344" s="3">
        <v>11.2</v>
      </c>
      <c r="AO344" s="3">
        <v>12.3</v>
      </c>
      <c r="AP344" s="3">
        <v>9.5</v>
      </c>
      <c r="AQ344" s="3">
        <v>12.1</v>
      </c>
      <c r="AR344" s="3">
        <v>8.6999999999999993</v>
      </c>
      <c r="AS344" s="3">
        <v>33.9</v>
      </c>
      <c r="AT344" s="3">
        <v>40.5</v>
      </c>
      <c r="AU344" s="3">
        <v>14.9</v>
      </c>
      <c r="AV344" s="3">
        <v>9.6999999999999993</v>
      </c>
      <c r="AW344" s="3">
        <v>9.8000000000000007</v>
      </c>
      <c r="AX344" s="3">
        <v>9.6</v>
      </c>
      <c r="AY344" s="3">
        <v>9.6999999999999993</v>
      </c>
      <c r="AZ344" s="3">
        <v>0</v>
      </c>
      <c r="BA344" s="3">
        <v>0</v>
      </c>
      <c r="BB344" s="3">
        <v>0</v>
      </c>
      <c r="BC344" s="3">
        <v>42.609942108587674</v>
      </c>
      <c r="BD344" s="3">
        <v>19.090057891412329</v>
      </c>
      <c r="BE344" s="3">
        <v>15.290057891412332</v>
      </c>
      <c r="BF344" s="3">
        <v>14.750057891412325</v>
      </c>
      <c r="BG344" s="3">
        <v>10.676724558078988</v>
      </c>
      <c r="BH344" s="3">
        <v>12.416724558078997</v>
      </c>
      <c r="BI344" s="3">
        <v>7.3300578914123307</v>
      </c>
      <c r="BJ344" s="3">
        <v>10.823391224745663</v>
      </c>
      <c r="BK344" s="3">
        <v>12.796724558078992</v>
      </c>
      <c r="BL344" s="3">
        <v>12.87005789141233</v>
      </c>
      <c r="BM344" s="3">
        <v>15.503391224745663</v>
      </c>
      <c r="BN344" s="3">
        <v>14.386724558078996</v>
      </c>
      <c r="BO344" s="3">
        <v>11.453391224745666</v>
      </c>
      <c r="BP344" s="3">
        <v>10.570057891412326</v>
      </c>
      <c r="BQ344" s="3">
        <v>11.386724558078981</v>
      </c>
      <c r="BR344" s="3">
        <v>8.1133912247456621</v>
      </c>
      <c r="BS344" s="3">
        <v>13.116724558078992</v>
      </c>
      <c r="BT344" s="3">
        <v>11.313391224745658</v>
      </c>
      <c r="BU344" s="3">
        <v>12.380057891412335</v>
      </c>
      <c r="BV344" s="3">
        <v>9.2967245580789921</v>
      </c>
      <c r="BW344" s="3">
        <v>12.430057891412332</v>
      </c>
      <c r="BX344" s="3">
        <v>8.9500578914123281</v>
      </c>
      <c r="BY344" s="3">
        <v>33.970057891412324</v>
      </c>
      <c r="BZ344" s="3">
        <v>40.700057891412328</v>
      </c>
      <c r="CA344" s="3">
        <v>15.200057891412321</v>
      </c>
      <c r="CB344" s="3">
        <v>9.4367245580789927</v>
      </c>
      <c r="CC344" s="3">
        <v>9.7500578914123253</v>
      </c>
      <c r="CD344" s="3">
        <v>8.8567245580789944</v>
      </c>
      <c r="CE344" s="3">
        <v>9.1500578914123238</v>
      </c>
      <c r="CF344" s="3">
        <v>-0.93660877525434216</v>
      </c>
      <c r="CG344" s="3">
        <v>-1.4699421085876736</v>
      </c>
      <c r="CH344" s="3">
        <v>-2.5466087752543416</v>
      </c>
      <c r="CI344" s="13">
        <f>[1]!dbasum(RecData[[#This Row],[20]:[2000]],RecData[[#Headers],[20]:[2000]])</f>
        <v>20.021706068218244</v>
      </c>
      <c r="CJ344" s="14">
        <v>4706</v>
      </c>
      <c r="CK344" s="15" t="s">
        <v>249</v>
      </c>
      <c r="CL344" s="15">
        <f>RecData[[#This Row],[Start Time]]</f>
        <v>43261.945138888892</v>
      </c>
      <c r="CM344" s="16">
        <f>RecData[[#This Row],[Wind Speed avg]]</f>
        <v>0.74</v>
      </c>
      <c r="CN344" s="16">
        <f>RecData[[#This Row],[Wind Dir. avg]]</f>
        <v>127.1</v>
      </c>
      <c r="CO344" s="16">
        <f>RecData[[#This Row],[Amb. Humidity]]</f>
        <v>81.400000000000006</v>
      </c>
      <c r="CP344" s="16">
        <f>RecData[[#This Row],[Amb. Temperature]]</f>
        <v>11.5</v>
      </c>
      <c r="CQ344" s="17">
        <f>RecData[[#This Row],[Amb. Rain Gauge]]</f>
        <v>0</v>
      </c>
      <c r="CR344" s="4" t="s">
        <v>50</v>
      </c>
      <c r="CS344" s="4" t="s">
        <v>49</v>
      </c>
      <c r="CT344" s="70">
        <v>-10.12442875</v>
      </c>
      <c r="CU344" s="70">
        <v>217.61749270000001</v>
      </c>
      <c r="CV344" s="70">
        <v>1.4842168090000001</v>
      </c>
      <c r="CW344" s="70">
        <v>0</v>
      </c>
      <c r="CX344" s="4"/>
      <c r="CY344" s="69"/>
      <c r="CZ344" s="2" t="b">
        <f>IF($DP$1="YES",IF(RecData[[#This Row],[Power (kW)]]&gt;=$CR$3, TRUE,FALSE),TRUE)</f>
        <v>0</v>
      </c>
      <c r="DA344" s="16">
        <f>MIN(MOD(180-ABS(ABS($DA$1-RecData[Yaw Angle (°)])-180),360),MOD(180-ABS(ABS($DB$1-RecData[Yaw Angle (°)])-180),360))</f>
        <v>149.91243407768752</v>
      </c>
      <c r="DB344" s="2" t="str">
        <f>IF($DP$2="None","None",IF(RecData[[#This Row],[Relative Wind Direction]]&lt;=45,"DW",IF(RecData[[#This Row],[Relative Wind Direction]]&lt;=135,"CW","UW")))</f>
        <v>UW</v>
      </c>
      <c r="DC344" s="61" t="e">
        <f>IF($CL344-#REF!&gt;1/24,#REF!,IF(SUM($CQ344:$CQ344)&gt;$DS$1,$DS$5,DC345-1))</f>
        <v>#REF!</v>
      </c>
      <c r="DD344" s="61" t="e">
        <f>IF($CL345-$CL344&gt;1/24,#REF!,IF(SUM($CQ344:$CQ344)&gt;$DS$1,$DS$6,#REF!-1))</f>
        <v>#REF!</v>
      </c>
      <c r="DE344" s="18" t="b">
        <v>0</v>
      </c>
      <c r="DF344" s="2" t="b">
        <f>IF(OR(RecData[[#This Row],[WSpd_Avg '[m/s']]]-RecData[[#This Row],[Wind Speed min]]&gt;=$DF$3,RecData[[#This Row],[Wind Speed max]]-RecData[[#This Row],[WSpd_Avg '[m/s']]]&gt;=$DF$2),TRUE,FALSE)</f>
        <v>0</v>
      </c>
      <c r="DG344" s="2" t="b">
        <f>RecData[[#This Row],[Temperature '[°C']]]&lt;=-20</f>
        <v>0</v>
      </c>
      <c r="DH344" s="18" t="b">
        <f>NOT(OR(MOD(RecData[[#This Row],[TIMESTAMP]],1)&gt;0.91632,MOD(RecData[[#This Row],[TIMESTAMP]],1)&lt;0.208681))</f>
        <v>0</v>
      </c>
      <c r="DI344" s="18" t="b">
        <f>RecData[[#This Row],[Overall (dBA)]]-RecData[[#This Row],[L90]]&gt;=$DS$4</f>
        <v>0</v>
      </c>
      <c r="DJ344" s="18" t="b">
        <f>RecData[[#This Row],[Overall (dBA)]]&gt;$DS$2</f>
        <v>0</v>
      </c>
      <c r="DK344" s="18" t="b">
        <f>RecData[[#This Row],[Overall (dBA)]]&lt;$DS$3</f>
        <v>0</v>
      </c>
      <c r="DL3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4" s="2">
        <f>IF(AND(RecData[[#This Row],[Turbines ON/OFF]] = "OFF", NOT(OR(RecData[[#This Row],[Junk?]]="YES",RecData[[#This Row],[Gust?]],RecData[[#This Row],[Rain?]:[Min SPL Threshold?]]))),1,0)</f>
        <v>1</v>
      </c>
      <c r="DN344" s="16">
        <f>RecData[[#This Row],[dBA Sum]]</f>
        <v>20.021706068218244</v>
      </c>
      <c r="DO344" s="16">
        <f>RecData[[#This Row],[LAF90.0]]</f>
        <v>41.1</v>
      </c>
      <c r="DP344" s="55" t="str">
        <f>IF(AND(RecData[[#This Row],[Useable TON Data?]],RecData[[#This Row],[Turbines ON/OFF]]="ON"),RecData[[#This Row],[dBA Sum]],"")</f>
        <v/>
      </c>
      <c r="DQ344" s="55">
        <f>IF(AND(RecData[[#This Row],[Useable Background Data?]],RecData[[#This Row],[Turbines ON/OFF]]="OFF"),RecData[[#This Row],[dBA Sum]],"")</f>
        <v>20.021706068218244</v>
      </c>
      <c r="DR344" s="3">
        <f>IF(OR(RecData[[#This Row],[Useable TON Data?]],RecData[[#This Row],[Useable Background Data?]]),ROUND(RecData[[#This Row],[WSpd_Avg '[m/s']]],0),"")</f>
        <v>1</v>
      </c>
      <c r="DS344" s="85">
        <f>(0.00002)^2*(10^(RecData[[#This Row],[Overall (dBA)]]/10))</f>
        <v>4.0200420711267202E-8</v>
      </c>
    </row>
    <row r="345" spans="1:123" ht="15" x14ac:dyDescent="0.25">
      <c r="A345" s="3" t="s">
        <v>249</v>
      </c>
      <c r="B345" s="12">
        <v>43261.945833333339</v>
      </c>
      <c r="C345" s="3"/>
      <c r="D345" s="3">
        <v>41.5</v>
      </c>
      <c r="E345" s="3"/>
      <c r="F345" s="3"/>
      <c r="G345" s="3"/>
      <c r="H345" s="3"/>
      <c r="I345" s="3"/>
      <c r="J345" s="3"/>
      <c r="K345" s="3">
        <v>39.9</v>
      </c>
      <c r="L345" s="3"/>
      <c r="M345" s="3"/>
      <c r="N345" s="3">
        <v>151.19999999999999</v>
      </c>
      <c r="O345" s="3"/>
      <c r="P345" s="3"/>
      <c r="Q345" s="3">
        <v>0.71</v>
      </c>
      <c r="R345" s="3">
        <v>0.6</v>
      </c>
      <c r="S345" s="3">
        <v>0.8</v>
      </c>
      <c r="T345" s="3">
        <v>11.5</v>
      </c>
      <c r="U345" s="3">
        <v>80.2</v>
      </c>
      <c r="V345" s="3">
        <v>974.3</v>
      </c>
      <c r="W345" s="3">
        <v>0</v>
      </c>
      <c r="X345" s="3">
        <v>23.3</v>
      </c>
      <c r="Y345" s="3">
        <v>20.399999999999999</v>
      </c>
      <c r="Z345" s="3">
        <v>18</v>
      </c>
      <c r="AA345" s="3">
        <v>14.2</v>
      </c>
      <c r="AB345" s="3">
        <v>14</v>
      </c>
      <c r="AC345" s="3">
        <v>8.5</v>
      </c>
      <c r="AD345" s="3">
        <v>12</v>
      </c>
      <c r="AE345" s="3">
        <v>13.6</v>
      </c>
      <c r="AF345" s="3">
        <v>12.4</v>
      </c>
      <c r="AG345" s="3">
        <v>15.3</v>
      </c>
      <c r="AH345" s="3">
        <v>16.2</v>
      </c>
      <c r="AI345" s="3">
        <v>13.5</v>
      </c>
      <c r="AJ345" s="3">
        <v>12</v>
      </c>
      <c r="AK345" s="3">
        <v>13.7</v>
      </c>
      <c r="AL345" s="3">
        <v>9.8000000000000007</v>
      </c>
      <c r="AM345" s="3">
        <v>15.5</v>
      </c>
      <c r="AN345" s="3">
        <v>13.2</v>
      </c>
      <c r="AO345" s="3">
        <v>17</v>
      </c>
      <c r="AP345" s="3">
        <v>11</v>
      </c>
      <c r="AQ345" s="3">
        <v>11.9</v>
      </c>
      <c r="AR345" s="3">
        <v>8.5</v>
      </c>
      <c r="AS345" s="3">
        <v>32.1</v>
      </c>
      <c r="AT345" s="3">
        <v>39.5</v>
      </c>
      <c r="AU345" s="3">
        <v>14.6</v>
      </c>
      <c r="AV345" s="3">
        <v>9.6999999999999993</v>
      </c>
      <c r="AW345" s="3">
        <v>9.9</v>
      </c>
      <c r="AX345" s="3">
        <v>9.6999999999999993</v>
      </c>
      <c r="AY345" s="3">
        <v>9.9</v>
      </c>
      <c r="AZ345" s="3">
        <v>0</v>
      </c>
      <c r="BA345" s="3">
        <v>0</v>
      </c>
      <c r="BB345" s="3">
        <v>0</v>
      </c>
      <c r="BC345" s="3">
        <v>41.504630661766186</v>
      </c>
      <c r="BD345" s="3">
        <v>23.295369338233812</v>
      </c>
      <c r="BE345" s="3">
        <v>20.395369338233813</v>
      </c>
      <c r="BF345" s="3">
        <v>16.75536933823382</v>
      </c>
      <c r="BG345" s="3">
        <v>13.282036004900476</v>
      </c>
      <c r="BH345" s="3">
        <v>13.222036004900481</v>
      </c>
      <c r="BI345" s="3">
        <v>8.135369338233815</v>
      </c>
      <c r="BJ345" s="3">
        <v>12.428702671567144</v>
      </c>
      <c r="BK345" s="3">
        <v>13.902036004900481</v>
      </c>
      <c r="BL345" s="3">
        <v>12.275369338233816</v>
      </c>
      <c r="BM345" s="3">
        <v>15.308702671567147</v>
      </c>
      <c r="BN345" s="3">
        <v>16.492036004900484</v>
      </c>
      <c r="BO345" s="3">
        <v>13.158702671567148</v>
      </c>
      <c r="BP345" s="3">
        <v>11.375369338233817</v>
      </c>
      <c r="BQ345" s="3">
        <v>13.49203600490047</v>
      </c>
      <c r="BR345" s="3">
        <v>9.9187026715671465</v>
      </c>
      <c r="BS345" s="3">
        <v>15.422036004900484</v>
      </c>
      <c r="BT345" s="3">
        <v>13.318702671567152</v>
      </c>
      <c r="BU345" s="3">
        <v>17.085369338233818</v>
      </c>
      <c r="BV345" s="3">
        <v>10.802036004900479</v>
      </c>
      <c r="BW345" s="3">
        <v>12.235369338233816</v>
      </c>
      <c r="BX345" s="3">
        <v>8.7553693382338196</v>
      </c>
      <c r="BY345" s="3">
        <v>32.175369338233821</v>
      </c>
      <c r="BZ345" s="3">
        <v>39.705369338233822</v>
      </c>
      <c r="CA345" s="3">
        <v>14.905369338233811</v>
      </c>
      <c r="CB345" s="3">
        <v>9.4420360049004799</v>
      </c>
      <c r="CC345" s="3">
        <v>9.8553693382338139</v>
      </c>
      <c r="CD345" s="3">
        <v>8.962036004900483</v>
      </c>
      <c r="CE345" s="3">
        <v>9.3553693382338139</v>
      </c>
      <c r="CF345" s="3">
        <v>-0.93129732843285495</v>
      </c>
      <c r="CG345" s="3">
        <v>-1.4646306617661864</v>
      </c>
      <c r="CH345" s="3">
        <v>-2.5412973284328544</v>
      </c>
      <c r="CI345" s="13">
        <f>[1]!dbasum(RecData[[#This Row],[20]:[2000]],RecData[[#Headers],[20]:[2000]])</f>
        <v>22.040377114607423</v>
      </c>
      <c r="CJ345" s="14">
        <v>4707</v>
      </c>
      <c r="CK345" s="15" t="s">
        <v>249</v>
      </c>
      <c r="CL345" s="15">
        <f>RecData[[#This Row],[Start Time]]</f>
        <v>43261.945833333339</v>
      </c>
      <c r="CM345" s="16">
        <f>RecData[[#This Row],[Wind Speed avg]]</f>
        <v>0.71</v>
      </c>
      <c r="CN345" s="16">
        <f>RecData[[#This Row],[Wind Dir. avg]]</f>
        <v>151.19999999999999</v>
      </c>
      <c r="CO345" s="16">
        <f>RecData[[#This Row],[Amb. Humidity]]</f>
        <v>80.2</v>
      </c>
      <c r="CP345" s="16">
        <f>RecData[[#This Row],[Amb. Temperature]]</f>
        <v>11.5</v>
      </c>
      <c r="CQ345" s="17">
        <f>RecData[[#This Row],[Amb. Rain Gauge]]</f>
        <v>0</v>
      </c>
      <c r="CR345" s="4" t="s">
        <v>50</v>
      </c>
      <c r="CS345" s="4" t="s">
        <v>49</v>
      </c>
      <c r="CT345" s="70">
        <v>-10.12442875</v>
      </c>
      <c r="CU345" s="70">
        <v>217.61749270000001</v>
      </c>
      <c r="CV345" s="70">
        <v>1.4842168090000001</v>
      </c>
      <c r="CW345" s="70">
        <v>0</v>
      </c>
      <c r="CX345" s="4"/>
      <c r="CY345" s="69"/>
      <c r="CZ345" s="2" t="b">
        <f>IF($DP$1="YES",IF(RecData[[#This Row],[Power (kW)]]&gt;=$CR$3, TRUE,FALSE),TRUE)</f>
        <v>0</v>
      </c>
      <c r="DA345" s="16">
        <f>MIN(MOD(180-ABS(ABS($DA$1-RecData[Yaw Angle (°)])-180),360),MOD(180-ABS(ABS($DB$1-RecData[Yaw Angle (°)])-180),360))</f>
        <v>149.91243407768752</v>
      </c>
      <c r="DB345" s="2" t="str">
        <f>IF($DP$2="None","None",IF(RecData[[#This Row],[Relative Wind Direction]]&lt;=45,"DW",IF(RecData[[#This Row],[Relative Wind Direction]]&lt;=135,"CW","UW")))</f>
        <v>UW</v>
      </c>
      <c r="DC345" s="61" t="e">
        <f>IF($CL345-#REF!&gt;1/24,#REF!,IF(SUM($CQ344:$CQ345)&gt;$DS$1,$DS$5,DC346-1))</f>
        <v>#REF!</v>
      </c>
      <c r="DD345" s="61" t="e">
        <f>IF($CL346-$CL345&gt;1/24,#REF!,IF(SUM($CQ344:$CQ345)&gt;$DS$1,$DS$6,DD344-1))</f>
        <v>#REF!</v>
      </c>
      <c r="DE345" s="18" t="b">
        <v>0</v>
      </c>
      <c r="DF345" s="2" t="b">
        <f>IF(OR(RecData[[#This Row],[WSpd_Avg '[m/s']]]-RecData[[#This Row],[Wind Speed min]]&gt;=$DF$3,RecData[[#This Row],[Wind Speed max]]-RecData[[#This Row],[WSpd_Avg '[m/s']]]&gt;=$DF$2),TRUE,FALSE)</f>
        <v>0</v>
      </c>
      <c r="DG345" s="2" t="b">
        <f>RecData[[#This Row],[Temperature '[°C']]]&lt;=-20</f>
        <v>0</v>
      </c>
      <c r="DH345" s="18" t="b">
        <f>NOT(OR(MOD(RecData[[#This Row],[TIMESTAMP]],1)&gt;0.91632,MOD(RecData[[#This Row],[TIMESTAMP]],1)&lt;0.208681))</f>
        <v>0</v>
      </c>
      <c r="DI345" s="18" t="b">
        <f>RecData[[#This Row],[Overall (dBA)]]-RecData[[#This Row],[L90]]&gt;=$DS$4</f>
        <v>0</v>
      </c>
      <c r="DJ345" s="18" t="b">
        <f>RecData[[#This Row],[Overall (dBA)]]&gt;$DS$2</f>
        <v>0</v>
      </c>
      <c r="DK345" s="18" t="b">
        <f>RecData[[#This Row],[Overall (dBA)]]&lt;$DS$3</f>
        <v>0</v>
      </c>
      <c r="DL3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5" s="2">
        <f>IF(AND(RecData[[#This Row],[Turbines ON/OFF]] = "OFF", NOT(OR(RecData[[#This Row],[Junk?]]="YES",RecData[[#This Row],[Gust?]],RecData[[#This Row],[Rain?]:[Min SPL Threshold?]]))),1,0)</f>
        <v>1</v>
      </c>
      <c r="DN345" s="16">
        <f>RecData[[#This Row],[dBA Sum]]</f>
        <v>22.040377114607423</v>
      </c>
      <c r="DO345" s="16">
        <f>RecData[[#This Row],[LAF90.0]]</f>
        <v>39.9</v>
      </c>
      <c r="DP345" s="55" t="str">
        <f>IF(AND(RecData[[#This Row],[Useable TON Data?]],RecData[[#This Row],[Turbines ON/OFF]]="ON"),RecData[[#This Row],[dBA Sum]],"")</f>
        <v/>
      </c>
      <c r="DQ345" s="55">
        <f>IF(AND(RecData[[#This Row],[Useable Background Data?]],RecData[[#This Row],[Turbines ON/OFF]]="OFF"),RecData[[#This Row],[dBA Sum]],"")</f>
        <v>22.040377114607423</v>
      </c>
      <c r="DR345" s="3">
        <f>IF(OR(RecData[[#This Row],[Useable TON Data?]],RecData[[#This Row],[Useable Background Data?]]),ROUND(RecData[[#This Row],[WSpd_Avg '[m/s']]],0),"")</f>
        <v>1</v>
      </c>
      <c r="DS345" s="85">
        <f>(0.00002)^2*(10^(RecData[[#This Row],[Overall (dBA)]]/10))</f>
        <v>6.3987877216917601E-8</v>
      </c>
    </row>
    <row r="346" spans="1:123" ht="15" x14ac:dyDescent="0.25">
      <c r="A346" s="3" t="s">
        <v>249</v>
      </c>
      <c r="B346" s="12">
        <v>43261.946527777785</v>
      </c>
      <c r="C346" s="3"/>
      <c r="D346" s="3">
        <v>40.9</v>
      </c>
      <c r="E346" s="3"/>
      <c r="F346" s="3"/>
      <c r="G346" s="3"/>
      <c r="H346" s="3"/>
      <c r="I346" s="3"/>
      <c r="J346" s="3"/>
      <c r="K346" s="3">
        <v>39</v>
      </c>
      <c r="L346" s="3"/>
      <c r="M346" s="3"/>
      <c r="N346" s="3">
        <v>157.69999999999999</v>
      </c>
      <c r="O346" s="3"/>
      <c r="P346" s="3"/>
      <c r="Q346" s="3">
        <v>0.68</v>
      </c>
      <c r="R346" s="3">
        <v>0.6</v>
      </c>
      <c r="S346" s="3">
        <v>0.8</v>
      </c>
      <c r="T346" s="3">
        <v>11.4</v>
      </c>
      <c r="U346" s="3">
        <v>79.2</v>
      </c>
      <c r="V346" s="3">
        <v>974.3</v>
      </c>
      <c r="W346" s="3">
        <v>0</v>
      </c>
      <c r="X346" s="3">
        <v>21</v>
      </c>
      <c r="Y346" s="3">
        <v>17.399999999999999</v>
      </c>
      <c r="Z346" s="3">
        <v>15.8</v>
      </c>
      <c r="AA346" s="3">
        <v>10.8</v>
      </c>
      <c r="AB346" s="3">
        <v>13.6</v>
      </c>
      <c r="AC346" s="3">
        <v>6.2</v>
      </c>
      <c r="AD346" s="3">
        <v>9.1</v>
      </c>
      <c r="AE346" s="3">
        <v>12.9</v>
      </c>
      <c r="AF346" s="3">
        <v>11.2</v>
      </c>
      <c r="AG346" s="3">
        <v>16.2</v>
      </c>
      <c r="AH346" s="3">
        <v>14.2</v>
      </c>
      <c r="AI346" s="3">
        <v>11.7</v>
      </c>
      <c r="AJ346" s="3">
        <v>11.4</v>
      </c>
      <c r="AK346" s="3">
        <v>8.5</v>
      </c>
      <c r="AL346" s="3">
        <v>6.6</v>
      </c>
      <c r="AM346" s="3">
        <v>6.8</v>
      </c>
      <c r="AN346" s="3">
        <v>7.6</v>
      </c>
      <c r="AO346" s="3">
        <v>7.5</v>
      </c>
      <c r="AP346" s="3">
        <v>8.1999999999999993</v>
      </c>
      <c r="AQ346" s="3">
        <v>10.9</v>
      </c>
      <c r="AR346" s="3">
        <v>8.1999999999999993</v>
      </c>
      <c r="AS346" s="3">
        <v>31.8</v>
      </c>
      <c r="AT346" s="3">
        <v>38.799999999999997</v>
      </c>
      <c r="AU346" s="3">
        <v>13.9</v>
      </c>
      <c r="AV346" s="3">
        <v>9.6</v>
      </c>
      <c r="AW346" s="3">
        <v>9.8000000000000007</v>
      </c>
      <c r="AX346" s="3">
        <v>9.6</v>
      </c>
      <c r="AY346" s="3">
        <v>9.8000000000000007</v>
      </c>
      <c r="AZ346" s="3">
        <v>0</v>
      </c>
      <c r="BA346" s="3">
        <v>0</v>
      </c>
      <c r="BB346" s="3">
        <v>0</v>
      </c>
      <c r="BC346" s="3">
        <v>40.843187205495013</v>
      </c>
      <c r="BD346" s="3">
        <v>21.056812794504985</v>
      </c>
      <c r="BE346" s="3">
        <v>17.456812794504984</v>
      </c>
      <c r="BF346" s="3">
        <v>14.616812794504987</v>
      </c>
      <c r="BG346" s="3">
        <v>9.9434794611716484</v>
      </c>
      <c r="BH346" s="3">
        <v>12.883479461171653</v>
      </c>
      <c r="BI346" s="3">
        <v>5.8968127945049886</v>
      </c>
      <c r="BJ346" s="3">
        <v>9.5901461278383167</v>
      </c>
      <c r="BK346" s="3">
        <v>13.263479461171649</v>
      </c>
      <c r="BL346" s="3">
        <v>11.136812794504984</v>
      </c>
      <c r="BM346" s="3">
        <v>16.270146127838316</v>
      </c>
      <c r="BN346" s="3">
        <v>14.553479461171648</v>
      </c>
      <c r="BO346" s="3">
        <v>11.420146127838322</v>
      </c>
      <c r="BP346" s="3">
        <v>10.836812794504986</v>
      </c>
      <c r="BQ346" s="3">
        <v>8.353479461171645</v>
      </c>
      <c r="BR346" s="3">
        <v>6.7801461278383215</v>
      </c>
      <c r="BS346" s="3">
        <v>6.7834794611716518</v>
      </c>
      <c r="BT346" s="3">
        <v>7.7801461278383215</v>
      </c>
      <c r="BU346" s="3">
        <v>7.6468127945049886</v>
      </c>
      <c r="BV346" s="3">
        <v>8.0634794611716529</v>
      </c>
      <c r="BW346" s="3">
        <v>11.296812794504987</v>
      </c>
      <c r="BX346" s="3">
        <v>8.5168127945049861</v>
      </c>
      <c r="BY346" s="3">
        <v>31.936812794504988</v>
      </c>
      <c r="BZ346" s="3">
        <v>39.066812794504983</v>
      </c>
      <c r="CA346" s="3">
        <v>14.266812794504979</v>
      </c>
      <c r="CB346" s="3">
        <v>9.4034794611716492</v>
      </c>
      <c r="CC346" s="3">
        <v>9.8168127945049832</v>
      </c>
      <c r="CD346" s="3">
        <v>8.9234794611716524</v>
      </c>
      <c r="CE346" s="3">
        <v>9.3168127945049832</v>
      </c>
      <c r="CF346" s="3">
        <v>-0.86985387216168419</v>
      </c>
      <c r="CG346" s="3">
        <v>-1.4031872054950156</v>
      </c>
      <c r="CH346" s="3">
        <v>-2.4798538721616836</v>
      </c>
      <c r="CI346" s="13">
        <f>[1]!dbasum(RecData[[#This Row],[20]:[2000]],RecData[[#Headers],[20]:[2000]])</f>
        <v>17.889362728991788</v>
      </c>
      <c r="CJ346" s="14">
        <v>4708</v>
      </c>
      <c r="CK346" s="15" t="s">
        <v>249</v>
      </c>
      <c r="CL346" s="15">
        <f>RecData[[#This Row],[Start Time]]</f>
        <v>43261.946527777785</v>
      </c>
      <c r="CM346" s="16">
        <f>RecData[[#This Row],[Wind Speed avg]]</f>
        <v>0.68</v>
      </c>
      <c r="CN346" s="16">
        <f>RecData[[#This Row],[Wind Dir. avg]]</f>
        <v>157.69999999999999</v>
      </c>
      <c r="CO346" s="16">
        <f>RecData[[#This Row],[Amb. Humidity]]</f>
        <v>79.2</v>
      </c>
      <c r="CP346" s="16">
        <f>RecData[[#This Row],[Amb. Temperature]]</f>
        <v>11.4</v>
      </c>
      <c r="CQ346" s="17">
        <f>RecData[[#This Row],[Amb. Rain Gauge]]</f>
        <v>0</v>
      </c>
      <c r="CR346" s="4" t="s">
        <v>50</v>
      </c>
      <c r="CS346" s="4" t="s">
        <v>49</v>
      </c>
      <c r="CT346" s="70">
        <v>-10.12442875</v>
      </c>
      <c r="CU346" s="70">
        <v>217.61749270000001</v>
      </c>
      <c r="CV346" s="70">
        <v>1.4842168090000001</v>
      </c>
      <c r="CW346" s="70">
        <v>0</v>
      </c>
      <c r="CX346" s="4"/>
      <c r="CY346" s="69"/>
      <c r="CZ346" s="2" t="b">
        <f>IF($DP$1="YES",IF(RecData[[#This Row],[Power (kW)]]&gt;=$CR$3, TRUE,FALSE),TRUE)</f>
        <v>0</v>
      </c>
      <c r="DA346" s="16">
        <f>MIN(MOD(180-ABS(ABS($DA$1-RecData[Yaw Angle (°)])-180),360),MOD(180-ABS(ABS($DB$1-RecData[Yaw Angle (°)])-180),360))</f>
        <v>149.91243407768752</v>
      </c>
      <c r="DB346" s="2" t="str">
        <f>IF($DP$2="None","None",IF(RecData[[#This Row],[Relative Wind Direction]]&lt;=45,"DW",IF(RecData[[#This Row],[Relative Wind Direction]]&lt;=135,"CW","UW")))</f>
        <v>UW</v>
      </c>
      <c r="DC346" s="61">
        <v>-1</v>
      </c>
      <c r="DD346" s="61">
        <v>-1</v>
      </c>
      <c r="DE346" s="18" t="b">
        <v>0</v>
      </c>
      <c r="DF346" s="2" t="b">
        <f>IF(OR(RecData[[#This Row],[WSpd_Avg '[m/s']]]-RecData[[#This Row],[Wind Speed min]]&gt;=$DF$3,RecData[[#This Row],[Wind Speed max]]-RecData[[#This Row],[WSpd_Avg '[m/s']]]&gt;=$DF$2),TRUE,FALSE)</f>
        <v>0</v>
      </c>
      <c r="DG346" s="2" t="b">
        <f>RecData[[#This Row],[Temperature '[°C']]]&lt;=-20</f>
        <v>0</v>
      </c>
      <c r="DH346" s="18" t="b">
        <f>NOT(OR(MOD(RecData[[#This Row],[TIMESTAMP]],1)&gt;0.91632,MOD(RecData[[#This Row],[TIMESTAMP]],1)&lt;0.208681))</f>
        <v>0</v>
      </c>
      <c r="DI346" s="18" t="b">
        <f>RecData[[#This Row],[Overall (dBA)]]-RecData[[#This Row],[L90]]&gt;=$DS$4</f>
        <v>0</v>
      </c>
      <c r="DJ346" s="18" t="b">
        <f>RecData[[#This Row],[Overall (dBA)]]&gt;$DS$2</f>
        <v>0</v>
      </c>
      <c r="DK346" s="18" t="b">
        <f>RecData[[#This Row],[Overall (dBA)]]&lt;$DS$3</f>
        <v>0</v>
      </c>
      <c r="DL3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6" s="2">
        <f>IF(AND(RecData[[#This Row],[Turbines ON/OFF]] = "OFF", NOT(OR(RecData[[#This Row],[Junk?]]="YES",RecData[[#This Row],[Gust?]],RecData[[#This Row],[Rain?]:[Min SPL Threshold?]]))),1,0)</f>
        <v>1</v>
      </c>
      <c r="DN346" s="16">
        <f>RecData[[#This Row],[dBA Sum]]</f>
        <v>17.889362728991788</v>
      </c>
      <c r="DO346" s="16">
        <f>RecData[[#This Row],[LAF90.0]]</f>
        <v>39</v>
      </c>
      <c r="DP346" s="55" t="str">
        <f>IF(AND(RecData[[#This Row],[Useable TON Data?]],RecData[[#This Row],[Turbines ON/OFF]]="ON"),RecData[[#This Row],[dBA Sum]],"")</f>
        <v/>
      </c>
      <c r="DQ346" s="55">
        <f>IF(AND(RecData[[#This Row],[Useable Background Data?]],RecData[[#This Row],[Turbines ON/OFF]]="OFF"),RecData[[#This Row],[dBA Sum]],"")</f>
        <v>17.889362728991788</v>
      </c>
      <c r="DR346" s="3">
        <f>IF(OR(RecData[[#This Row],[Useable TON Data?]],RecData[[#This Row],[Useable Background Data?]]),ROUND(RecData[[#This Row],[WSpd_Avg '[m/s']]],0),"")</f>
        <v>1</v>
      </c>
      <c r="DS346" s="85">
        <f>(0.00002)^2*(10^(RecData[[#This Row],[Overall (dBA)]]/10))</f>
        <v>2.4603464403167037E-8</v>
      </c>
    </row>
    <row r="347" spans="1:123" ht="15" x14ac:dyDescent="0.25">
      <c r="A347" s="3" t="s">
        <v>249</v>
      </c>
      <c r="B347" s="12">
        <v>43261.947222222225</v>
      </c>
      <c r="C347" s="3"/>
      <c r="D347" s="3">
        <v>40.9</v>
      </c>
      <c r="E347" s="3"/>
      <c r="F347" s="3"/>
      <c r="G347" s="3"/>
      <c r="H347" s="3"/>
      <c r="I347" s="3"/>
      <c r="J347" s="3"/>
      <c r="K347" s="3">
        <v>38.700000000000003</v>
      </c>
      <c r="L347" s="3"/>
      <c r="M347" s="3"/>
      <c r="N347" s="3">
        <v>159.80000000000001</v>
      </c>
      <c r="O347" s="3"/>
      <c r="P347" s="3"/>
      <c r="Q347" s="3">
        <v>0.68</v>
      </c>
      <c r="R347" s="3">
        <v>0.5</v>
      </c>
      <c r="S347" s="3">
        <v>0.8</v>
      </c>
      <c r="T347" s="3">
        <v>11.4</v>
      </c>
      <c r="U347" s="3">
        <v>79.8</v>
      </c>
      <c r="V347" s="3">
        <v>974.3</v>
      </c>
      <c r="W347" s="3">
        <v>0</v>
      </c>
      <c r="X347" s="3">
        <v>21.7</v>
      </c>
      <c r="Y347" s="3">
        <v>19.2</v>
      </c>
      <c r="Z347" s="3">
        <v>19.2</v>
      </c>
      <c r="AA347" s="3">
        <v>11.8</v>
      </c>
      <c r="AB347" s="3">
        <v>13.4</v>
      </c>
      <c r="AC347" s="3">
        <v>6.6</v>
      </c>
      <c r="AD347" s="3">
        <v>10</v>
      </c>
      <c r="AE347" s="3">
        <v>13</v>
      </c>
      <c r="AF347" s="3">
        <v>11.2</v>
      </c>
      <c r="AG347" s="3">
        <v>16</v>
      </c>
      <c r="AH347" s="3">
        <v>14.3</v>
      </c>
      <c r="AI347" s="3">
        <v>10.7</v>
      </c>
      <c r="AJ347" s="3">
        <v>11</v>
      </c>
      <c r="AK347" s="3">
        <v>8.5</v>
      </c>
      <c r="AL347" s="3">
        <v>6.8</v>
      </c>
      <c r="AM347" s="3">
        <v>7.1</v>
      </c>
      <c r="AN347" s="3">
        <v>7.7</v>
      </c>
      <c r="AO347" s="3">
        <v>7.5</v>
      </c>
      <c r="AP347" s="3">
        <v>8.1</v>
      </c>
      <c r="AQ347" s="3">
        <v>10.8</v>
      </c>
      <c r="AR347" s="3">
        <v>8.1999999999999993</v>
      </c>
      <c r="AS347" s="3">
        <v>31.5</v>
      </c>
      <c r="AT347" s="3">
        <v>38.799999999999997</v>
      </c>
      <c r="AU347" s="3">
        <v>14</v>
      </c>
      <c r="AV347" s="3">
        <v>9.6</v>
      </c>
      <c r="AW347" s="3">
        <v>9.9</v>
      </c>
      <c r="AX347" s="3">
        <v>9.6</v>
      </c>
      <c r="AY347" s="3">
        <v>9.8000000000000007</v>
      </c>
      <c r="AZ347" s="3">
        <v>0</v>
      </c>
      <c r="BA347" s="3">
        <v>0</v>
      </c>
      <c r="BB347" s="3">
        <v>0</v>
      </c>
      <c r="BC347" s="3">
        <v>40.794599733202247</v>
      </c>
      <c r="BD347" s="3">
        <v>21.805400266797747</v>
      </c>
      <c r="BE347" s="3">
        <v>19.305400266797747</v>
      </c>
      <c r="BF347" s="3">
        <v>18.065400266797752</v>
      </c>
      <c r="BG347" s="3">
        <v>10.992066933464415</v>
      </c>
      <c r="BH347" s="3">
        <v>12.732066933464424</v>
      </c>
      <c r="BI347" s="3">
        <v>6.3454002667977534</v>
      </c>
      <c r="BJ347" s="3">
        <v>10.538733600131081</v>
      </c>
      <c r="BK347" s="3">
        <v>13.412066933464416</v>
      </c>
      <c r="BL347" s="3">
        <v>11.18540026679775</v>
      </c>
      <c r="BM347" s="3">
        <v>16.118733600131087</v>
      </c>
      <c r="BN347" s="3">
        <v>14.702066933464423</v>
      </c>
      <c r="BO347" s="3">
        <v>10.468733600131088</v>
      </c>
      <c r="BP347" s="3">
        <v>10.485400266797754</v>
      </c>
      <c r="BQ347" s="3">
        <v>8.4020669334644111</v>
      </c>
      <c r="BR347" s="3">
        <v>7.0287336001310834</v>
      </c>
      <c r="BS347" s="3">
        <v>7.1320669334644151</v>
      </c>
      <c r="BT347" s="3">
        <v>7.9287336001310891</v>
      </c>
      <c r="BU347" s="3">
        <v>7.6954002667977548</v>
      </c>
      <c r="BV347" s="3">
        <v>8.0120669334644177</v>
      </c>
      <c r="BW347" s="3">
        <v>11.245400266797759</v>
      </c>
      <c r="BX347" s="3">
        <v>8.5654002667977522</v>
      </c>
      <c r="BY347" s="3">
        <v>31.685400266797743</v>
      </c>
      <c r="BZ347" s="3">
        <v>39.115400266797749</v>
      </c>
      <c r="CA347" s="3">
        <v>14.415400266797747</v>
      </c>
      <c r="CB347" s="3">
        <v>9.4520669334644154</v>
      </c>
      <c r="CC347" s="3">
        <v>9.9654002667977508</v>
      </c>
      <c r="CD347" s="3">
        <v>8.9720669334644185</v>
      </c>
      <c r="CE347" s="3">
        <v>9.3654002667977494</v>
      </c>
      <c r="CF347" s="3">
        <v>-0.82126639986891803</v>
      </c>
      <c r="CG347" s="3">
        <v>-1.3545997332022495</v>
      </c>
      <c r="CH347" s="3">
        <v>-2.4312663998689175</v>
      </c>
      <c r="CI347" s="13">
        <f>[1]!dbasum(RecData[[#This Row],[20]:[2000]],RecData[[#Headers],[20]:[2000]])</f>
        <v>17.885480898807774</v>
      </c>
      <c r="CJ347" s="14">
        <v>4709</v>
      </c>
      <c r="CK347" s="15" t="s">
        <v>249</v>
      </c>
      <c r="CL347" s="15">
        <f>RecData[[#This Row],[Start Time]]</f>
        <v>43261.947222222225</v>
      </c>
      <c r="CM347" s="16">
        <f>RecData[[#This Row],[Wind Speed avg]]</f>
        <v>0.68</v>
      </c>
      <c r="CN347" s="16">
        <f>RecData[[#This Row],[Wind Dir. avg]]</f>
        <v>159.80000000000001</v>
      </c>
      <c r="CO347" s="16">
        <f>RecData[[#This Row],[Amb. Humidity]]</f>
        <v>79.8</v>
      </c>
      <c r="CP347" s="16">
        <f>RecData[[#This Row],[Amb. Temperature]]</f>
        <v>11.4</v>
      </c>
      <c r="CQ347" s="17">
        <f>RecData[[#This Row],[Amb. Rain Gauge]]</f>
        <v>0</v>
      </c>
      <c r="CR347" s="4" t="s">
        <v>50</v>
      </c>
      <c r="CS347" s="4" t="s">
        <v>49</v>
      </c>
      <c r="CT347" s="70">
        <v>-10.12442875</v>
      </c>
      <c r="CU347" s="70">
        <v>217.61749270000001</v>
      </c>
      <c r="CV347" s="70">
        <v>1.4842168090000001</v>
      </c>
      <c r="CW347" s="70">
        <v>0</v>
      </c>
      <c r="CX347" s="4"/>
      <c r="CY347" s="69"/>
      <c r="CZ347" s="2" t="b">
        <f>IF($DP$1="YES",IF(RecData[[#This Row],[Power (kW)]]&gt;=$CR$3, TRUE,FALSE),TRUE)</f>
        <v>0</v>
      </c>
      <c r="DA347" s="16">
        <f>MIN(MOD(180-ABS(ABS($DA$1-RecData[Yaw Angle (°)])-180),360),MOD(180-ABS(ABS($DB$1-RecData[Yaw Angle (°)])-180),360))</f>
        <v>149.91243407768752</v>
      </c>
      <c r="DB347" s="2" t="str">
        <f>IF($DP$2="None","None",IF(RecData[[#This Row],[Relative Wind Direction]]&lt;=45,"DW",IF(RecData[[#This Row],[Relative Wind Direction]]&lt;=135,"CW","UW")))</f>
        <v>UW</v>
      </c>
      <c r="DC347" s="61">
        <f>IF($CL347-$CL346&gt;1/24,#REF!,IF(SUM($CQ346:$CQ347)&gt;$DS$1,$DS$5,DC348-1))</f>
        <v>-9</v>
      </c>
      <c r="DD347" s="61">
        <f>IF($CL348-$CL347&gt;1/24,#REF!,IF(SUM($CQ346:$CQ347)&gt;$DS$1,$DS$6,DD346-1))</f>
        <v>-2</v>
      </c>
      <c r="DE347" s="18" t="b">
        <v>0</v>
      </c>
      <c r="DF347" s="2" t="b">
        <f>IF(OR(RecData[[#This Row],[WSpd_Avg '[m/s']]]-RecData[[#This Row],[Wind Speed min]]&gt;=$DF$3,RecData[[#This Row],[Wind Speed max]]-RecData[[#This Row],[WSpd_Avg '[m/s']]]&gt;=$DF$2),TRUE,FALSE)</f>
        <v>0</v>
      </c>
      <c r="DG347" s="2" t="b">
        <f>RecData[[#This Row],[Temperature '[°C']]]&lt;=-20</f>
        <v>0</v>
      </c>
      <c r="DH347" s="18" t="b">
        <f>NOT(OR(MOD(RecData[[#This Row],[TIMESTAMP]],1)&gt;0.91632,MOD(RecData[[#This Row],[TIMESTAMP]],1)&lt;0.208681))</f>
        <v>0</v>
      </c>
      <c r="DI347" s="18" t="b">
        <f>RecData[[#This Row],[Overall (dBA)]]-RecData[[#This Row],[L90]]&gt;=$DS$4</f>
        <v>0</v>
      </c>
      <c r="DJ347" s="18" t="b">
        <f>RecData[[#This Row],[Overall (dBA)]]&gt;$DS$2</f>
        <v>0</v>
      </c>
      <c r="DK347" s="18" t="b">
        <f>RecData[[#This Row],[Overall (dBA)]]&lt;$DS$3</f>
        <v>0</v>
      </c>
      <c r="DL3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7" s="2">
        <f>IF(AND(RecData[[#This Row],[Turbines ON/OFF]] = "OFF", NOT(OR(RecData[[#This Row],[Junk?]]="YES",RecData[[#This Row],[Gust?]],RecData[[#This Row],[Rain?]:[Min SPL Threshold?]]))),1,0)</f>
        <v>1</v>
      </c>
      <c r="DN347" s="16">
        <f>RecData[[#This Row],[dBA Sum]]</f>
        <v>17.885480898807774</v>
      </c>
      <c r="DO347" s="16">
        <f>RecData[[#This Row],[LAF90.0]]</f>
        <v>38.700000000000003</v>
      </c>
      <c r="DP347" s="55" t="str">
        <f>IF(AND(RecData[[#This Row],[Useable TON Data?]],RecData[[#This Row],[Turbines ON/OFF]]="ON"),RecData[[#This Row],[dBA Sum]],"")</f>
        <v/>
      </c>
      <c r="DQ347" s="55">
        <f>IF(AND(RecData[[#This Row],[Useable Background Data?]],RecData[[#This Row],[Turbines ON/OFF]]="OFF"),RecData[[#This Row],[dBA Sum]],"")</f>
        <v>17.885480898807774</v>
      </c>
      <c r="DR347" s="3">
        <f>IF(OR(RecData[[#This Row],[Useable TON Data?]],RecData[[#This Row],[Useable Background Data?]]),ROUND(RecData[[#This Row],[WSpd_Avg '[m/s']]],0),"")</f>
        <v>1</v>
      </c>
      <c r="DS347" s="85">
        <f>(0.00002)^2*(10^(RecData[[#This Row],[Overall (dBA)]]/10))</f>
        <v>2.4581483050781695E-8</v>
      </c>
    </row>
    <row r="348" spans="1:123" ht="15" x14ac:dyDescent="0.25">
      <c r="A348" s="3" t="s">
        <v>249</v>
      </c>
      <c r="B348" s="12">
        <v>43261.947916666672</v>
      </c>
      <c r="C348" s="3"/>
      <c r="D348" s="3">
        <v>41.5</v>
      </c>
      <c r="E348" s="3"/>
      <c r="F348" s="3"/>
      <c r="G348" s="3"/>
      <c r="H348" s="3"/>
      <c r="I348" s="3"/>
      <c r="J348" s="3"/>
      <c r="K348" s="3">
        <v>39.5</v>
      </c>
      <c r="L348" s="3"/>
      <c r="M348" s="3"/>
      <c r="N348" s="3">
        <v>159.5</v>
      </c>
      <c r="O348" s="3"/>
      <c r="P348" s="3"/>
      <c r="Q348" s="3">
        <v>0.34</v>
      </c>
      <c r="R348" s="3">
        <v>0.1</v>
      </c>
      <c r="S348" s="3">
        <v>0.5</v>
      </c>
      <c r="T348" s="3">
        <v>11.4</v>
      </c>
      <c r="U348" s="3">
        <v>81.3</v>
      </c>
      <c r="V348" s="3">
        <v>974.3</v>
      </c>
      <c r="W348" s="3">
        <v>0</v>
      </c>
      <c r="X348" s="3">
        <v>20.100000000000001</v>
      </c>
      <c r="Y348" s="3">
        <v>14.4</v>
      </c>
      <c r="Z348" s="3">
        <v>14.4</v>
      </c>
      <c r="AA348" s="3">
        <v>12.1</v>
      </c>
      <c r="AB348" s="3">
        <v>14.2</v>
      </c>
      <c r="AC348" s="3">
        <v>7.3</v>
      </c>
      <c r="AD348" s="3">
        <v>12.5</v>
      </c>
      <c r="AE348" s="3">
        <v>14.1</v>
      </c>
      <c r="AF348" s="3">
        <v>14.4</v>
      </c>
      <c r="AG348" s="3">
        <v>16.399999999999999</v>
      </c>
      <c r="AH348" s="3">
        <v>17.2</v>
      </c>
      <c r="AI348" s="3">
        <v>14</v>
      </c>
      <c r="AJ348" s="3">
        <v>13</v>
      </c>
      <c r="AK348" s="3">
        <v>13.3</v>
      </c>
      <c r="AL348" s="3">
        <v>9.3000000000000007</v>
      </c>
      <c r="AM348" s="3">
        <v>12.9</v>
      </c>
      <c r="AN348" s="3">
        <v>12.5</v>
      </c>
      <c r="AO348" s="3">
        <v>15.7</v>
      </c>
      <c r="AP348" s="3">
        <v>10.3</v>
      </c>
      <c r="AQ348" s="3">
        <v>11.4</v>
      </c>
      <c r="AR348" s="3">
        <v>8.6</v>
      </c>
      <c r="AS348" s="3">
        <v>32.4</v>
      </c>
      <c r="AT348" s="3">
        <v>39.4</v>
      </c>
      <c r="AU348" s="3">
        <v>14.1</v>
      </c>
      <c r="AV348" s="3">
        <v>9.6999999999999993</v>
      </c>
      <c r="AW348" s="3">
        <v>9.9</v>
      </c>
      <c r="AX348" s="3">
        <v>9.8000000000000007</v>
      </c>
      <c r="AY348" s="3">
        <v>9.8000000000000007</v>
      </c>
      <c r="AZ348" s="3">
        <v>0</v>
      </c>
      <c r="BA348" s="3">
        <v>0</v>
      </c>
      <c r="BB348" s="3">
        <v>0</v>
      </c>
      <c r="BC348" s="3">
        <v>41.460164389318031</v>
      </c>
      <c r="BD348" s="3">
        <v>20.13983561068197</v>
      </c>
      <c r="BE348" s="3">
        <v>14.439835610681968</v>
      </c>
      <c r="BF348" s="3">
        <v>13.199835610681966</v>
      </c>
      <c r="BG348" s="3">
        <v>11.226502277348636</v>
      </c>
      <c r="BH348" s="3">
        <v>13.466502277348638</v>
      </c>
      <c r="BI348" s="3">
        <v>6.9798356106819668</v>
      </c>
      <c r="BJ348" s="3">
        <v>12.973168944015299</v>
      </c>
      <c r="BK348" s="3">
        <v>14.446502277348635</v>
      </c>
      <c r="BL348" s="3">
        <v>14.31983561068197</v>
      </c>
      <c r="BM348" s="3">
        <v>16.453168944015303</v>
      </c>
      <c r="BN348" s="3">
        <v>17.536502277348639</v>
      </c>
      <c r="BO348" s="3">
        <v>13.703168944015303</v>
      </c>
      <c r="BP348" s="3">
        <v>12.419835610681972</v>
      </c>
      <c r="BQ348" s="3">
        <v>13.136502277348626</v>
      </c>
      <c r="BR348" s="3">
        <v>9.4631689440153011</v>
      </c>
      <c r="BS348" s="3">
        <v>12.866502277348637</v>
      </c>
      <c r="BT348" s="3">
        <v>12.663168944015304</v>
      </c>
      <c r="BU348" s="3">
        <v>15.829835610681975</v>
      </c>
      <c r="BV348" s="3">
        <v>10.146502277348638</v>
      </c>
      <c r="BW348" s="3">
        <v>11.779835610681971</v>
      </c>
      <c r="BX348" s="3">
        <v>8.8998356106819756</v>
      </c>
      <c r="BY348" s="3">
        <v>32.519835610681959</v>
      </c>
      <c r="BZ348" s="3">
        <v>39.649835610681968</v>
      </c>
      <c r="CA348" s="3">
        <v>14.449835610681966</v>
      </c>
      <c r="CB348" s="3">
        <v>9.4865022773486345</v>
      </c>
      <c r="CC348" s="3">
        <v>9.8998356106819685</v>
      </c>
      <c r="CD348" s="3">
        <v>9.106502277348639</v>
      </c>
      <c r="CE348" s="3">
        <v>9.2998356106819671</v>
      </c>
      <c r="CF348" s="3">
        <v>-0.88683105598470036</v>
      </c>
      <c r="CG348" s="3">
        <v>-1.4201643893180318</v>
      </c>
      <c r="CH348" s="3">
        <v>-2.4968310559846998</v>
      </c>
      <c r="CI348" s="13">
        <f>[1]!dbasum(RecData[[#This Row],[20]:[2000]],RecData[[#Headers],[20]:[2000]])</f>
        <v>21.234897411756112</v>
      </c>
      <c r="CJ348" s="14">
        <v>4710</v>
      </c>
      <c r="CK348" s="15" t="s">
        <v>249</v>
      </c>
      <c r="CL348" s="15">
        <f>RecData[[#This Row],[Start Time]]</f>
        <v>43261.947916666672</v>
      </c>
      <c r="CM348" s="16">
        <f>RecData[[#This Row],[Wind Speed avg]]</f>
        <v>0.34</v>
      </c>
      <c r="CN348" s="16">
        <f>RecData[[#This Row],[Wind Dir. avg]]</f>
        <v>159.5</v>
      </c>
      <c r="CO348" s="16">
        <f>RecData[[#This Row],[Amb. Humidity]]</f>
        <v>81.3</v>
      </c>
      <c r="CP348" s="16">
        <f>RecData[[#This Row],[Amb. Temperature]]</f>
        <v>11.4</v>
      </c>
      <c r="CQ348" s="17">
        <f>RecData[[#This Row],[Amb. Rain Gauge]]</f>
        <v>0</v>
      </c>
      <c r="CR348" s="4" t="s">
        <v>50</v>
      </c>
      <c r="CS348" s="4" t="s">
        <v>49</v>
      </c>
      <c r="CT348" s="70">
        <v>-10.12442875</v>
      </c>
      <c r="CU348" s="70">
        <v>217.61749270000001</v>
      </c>
      <c r="CV348" s="70">
        <v>1.4842168090000001</v>
      </c>
      <c r="CW348" s="70">
        <v>0</v>
      </c>
      <c r="CX348" s="4"/>
      <c r="CY348" s="69"/>
      <c r="CZ348" s="2" t="b">
        <f>IF($DP$1="YES",IF(RecData[[#This Row],[Power (kW)]]&gt;=$CR$3, TRUE,FALSE),TRUE)</f>
        <v>0</v>
      </c>
      <c r="DA348" s="16">
        <f>MIN(MOD(180-ABS(ABS($DA$1-RecData[Yaw Angle (°)])-180),360),MOD(180-ABS(ABS($DB$1-RecData[Yaw Angle (°)])-180),360))</f>
        <v>149.91243407768752</v>
      </c>
      <c r="DB348" s="2" t="str">
        <f>IF($DP$2="None","None",IF(RecData[[#This Row],[Relative Wind Direction]]&lt;=45,"DW",IF(RecData[[#This Row],[Relative Wind Direction]]&lt;=135,"CW","UW")))</f>
        <v>UW</v>
      </c>
      <c r="DC348" s="61">
        <f>IF($CL348-$CL346&gt;1/24,#REF!,IF(SUM($CQ346:$CQ348)&gt;$DS$1,$DS$5,DC349-1))</f>
        <v>-8</v>
      </c>
      <c r="DD348" s="61">
        <f>IF($CL349-$CL348&gt;1/24,#REF!,IF(SUM($CQ346:$CQ348)&gt;$DS$1,$DS$6,DD347-1))</f>
        <v>-3</v>
      </c>
      <c r="DE348" s="18" t="b">
        <v>0</v>
      </c>
      <c r="DF348" s="2" t="b">
        <f>IF(OR(RecData[[#This Row],[WSpd_Avg '[m/s']]]-RecData[[#This Row],[Wind Speed min]]&gt;=$DF$3,RecData[[#This Row],[Wind Speed max]]-RecData[[#This Row],[WSpd_Avg '[m/s']]]&gt;=$DF$2),TRUE,FALSE)</f>
        <v>0</v>
      </c>
      <c r="DG348" s="2" t="b">
        <f>RecData[[#This Row],[Temperature '[°C']]]&lt;=-20</f>
        <v>0</v>
      </c>
      <c r="DH348" s="18" t="b">
        <f>NOT(OR(MOD(RecData[[#This Row],[TIMESTAMP]],1)&gt;0.91632,MOD(RecData[[#This Row],[TIMESTAMP]],1)&lt;0.208681))</f>
        <v>0</v>
      </c>
      <c r="DI348" s="18" t="b">
        <f>RecData[[#This Row],[Overall (dBA)]]-RecData[[#This Row],[L90]]&gt;=$DS$4</f>
        <v>0</v>
      </c>
      <c r="DJ348" s="18" t="b">
        <f>RecData[[#This Row],[Overall (dBA)]]&gt;$DS$2</f>
        <v>0</v>
      </c>
      <c r="DK348" s="18" t="b">
        <f>RecData[[#This Row],[Overall (dBA)]]&lt;$DS$3</f>
        <v>0</v>
      </c>
      <c r="DL3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8" s="2">
        <f>IF(AND(RecData[[#This Row],[Turbines ON/OFF]] = "OFF", NOT(OR(RecData[[#This Row],[Junk?]]="YES",RecData[[#This Row],[Gust?]],RecData[[#This Row],[Rain?]:[Min SPL Threshold?]]))),1,0)</f>
        <v>1</v>
      </c>
      <c r="DN348" s="16">
        <f>RecData[[#This Row],[dBA Sum]]</f>
        <v>21.234897411756112</v>
      </c>
      <c r="DO348" s="16">
        <f>RecData[[#This Row],[LAF90.0]]</f>
        <v>39.5</v>
      </c>
      <c r="DP348" s="55" t="str">
        <f>IF(AND(RecData[[#This Row],[Useable TON Data?]],RecData[[#This Row],[Turbines ON/OFF]]="ON"),RecData[[#This Row],[dBA Sum]],"")</f>
        <v/>
      </c>
      <c r="DQ348" s="55">
        <f>IF(AND(RecData[[#This Row],[Useable Background Data?]],RecData[[#This Row],[Turbines ON/OFF]]="OFF"),RecData[[#This Row],[dBA Sum]],"")</f>
        <v>21.234897411756112</v>
      </c>
      <c r="DR348" s="3">
        <f>IF(OR(RecData[[#This Row],[Useable TON Data?]],RecData[[#This Row],[Useable Background Data?]]),ROUND(RecData[[#This Row],[WSpd_Avg '[m/s']]],0),"")</f>
        <v>0</v>
      </c>
      <c r="DS348" s="85">
        <f>(0.00002)^2*(10^(RecData[[#This Row],[Overall (dBA)]]/10))</f>
        <v>5.3155686636381103E-8</v>
      </c>
    </row>
    <row r="349" spans="1:123" ht="15" x14ac:dyDescent="0.25">
      <c r="A349" s="3" t="s">
        <v>249</v>
      </c>
      <c r="B349" s="12">
        <v>43261.948611111118</v>
      </c>
      <c r="C349" s="3"/>
      <c r="D349" s="3">
        <v>41</v>
      </c>
      <c r="E349" s="3"/>
      <c r="F349" s="3"/>
      <c r="G349" s="3"/>
      <c r="H349" s="3"/>
      <c r="I349" s="3"/>
      <c r="J349" s="3"/>
      <c r="K349" s="3">
        <v>39.299999999999997</v>
      </c>
      <c r="L349" s="3"/>
      <c r="M349" s="3"/>
      <c r="N349" s="3">
        <v>160.1</v>
      </c>
      <c r="O349" s="3"/>
      <c r="P349" s="3"/>
      <c r="Q349" s="3">
        <v>0.4</v>
      </c>
      <c r="R349" s="3">
        <v>0.2</v>
      </c>
      <c r="S349" s="3">
        <v>0.5</v>
      </c>
      <c r="T349" s="3">
        <v>11.4</v>
      </c>
      <c r="U349" s="3">
        <v>81</v>
      </c>
      <c r="V349" s="3">
        <v>974.3</v>
      </c>
      <c r="W349" s="3">
        <v>0</v>
      </c>
      <c r="X349" s="3">
        <v>20</v>
      </c>
      <c r="Y349" s="3">
        <v>14.5</v>
      </c>
      <c r="Z349" s="3">
        <v>16.7</v>
      </c>
      <c r="AA349" s="3">
        <v>11.9</v>
      </c>
      <c r="AB349" s="3">
        <v>12.7</v>
      </c>
      <c r="AC349" s="3">
        <v>6.5</v>
      </c>
      <c r="AD349" s="3">
        <v>10.9</v>
      </c>
      <c r="AE349" s="3">
        <v>12.6</v>
      </c>
      <c r="AF349" s="3">
        <v>12.6</v>
      </c>
      <c r="AG349" s="3">
        <v>14.5</v>
      </c>
      <c r="AH349" s="3">
        <v>14</v>
      </c>
      <c r="AI349" s="3">
        <v>11.5</v>
      </c>
      <c r="AJ349" s="3">
        <v>11.2</v>
      </c>
      <c r="AK349" s="3">
        <v>8.5</v>
      </c>
      <c r="AL349" s="3">
        <v>7.2</v>
      </c>
      <c r="AM349" s="3">
        <v>6.9</v>
      </c>
      <c r="AN349" s="3">
        <v>7.6</v>
      </c>
      <c r="AO349" s="3">
        <v>7.5</v>
      </c>
      <c r="AP349" s="3">
        <v>8</v>
      </c>
      <c r="AQ349" s="3">
        <v>11</v>
      </c>
      <c r="AR349" s="3">
        <v>8.3000000000000007</v>
      </c>
      <c r="AS349" s="3">
        <v>32.200000000000003</v>
      </c>
      <c r="AT349" s="3">
        <v>38.9</v>
      </c>
      <c r="AU349" s="3">
        <v>13.7</v>
      </c>
      <c r="AV349" s="3">
        <v>9.5</v>
      </c>
      <c r="AW349" s="3">
        <v>9.8000000000000007</v>
      </c>
      <c r="AX349" s="3">
        <v>9.6</v>
      </c>
      <c r="AY349" s="3">
        <v>9.8000000000000007</v>
      </c>
      <c r="AZ349" s="3">
        <v>0</v>
      </c>
      <c r="BA349" s="3">
        <v>0</v>
      </c>
      <c r="BB349" s="3">
        <v>0</v>
      </c>
      <c r="BC349" s="3">
        <v>40.993094350121794</v>
      </c>
      <c r="BD349" s="3">
        <v>20.006905649878206</v>
      </c>
      <c r="BE349" s="3">
        <v>14.506905649878206</v>
      </c>
      <c r="BF349" s="3">
        <v>15.466905649878207</v>
      </c>
      <c r="BG349" s="3">
        <v>10.993572316544871</v>
      </c>
      <c r="BH349" s="3">
        <v>11.933572316544875</v>
      </c>
      <c r="BI349" s="3">
        <v>6.1469056498782066</v>
      </c>
      <c r="BJ349" s="3">
        <v>11.340238983211535</v>
      </c>
      <c r="BK349" s="3">
        <v>12.913572316544872</v>
      </c>
      <c r="BL349" s="3">
        <v>12.48690564987821</v>
      </c>
      <c r="BM349" s="3">
        <v>14.520238983211541</v>
      </c>
      <c r="BN349" s="3">
        <v>14.303572316544873</v>
      </c>
      <c r="BO349" s="3">
        <v>11.17023898321154</v>
      </c>
      <c r="BP349" s="3">
        <v>10.586905649878204</v>
      </c>
      <c r="BQ349" s="3">
        <v>8.3035723165448658</v>
      </c>
      <c r="BR349" s="3">
        <v>7.3302389832115438</v>
      </c>
      <c r="BS349" s="3">
        <v>6.8335723165448741</v>
      </c>
      <c r="BT349" s="3">
        <v>7.7302389832115423</v>
      </c>
      <c r="BU349" s="3">
        <v>7.5969056498782095</v>
      </c>
      <c r="BV349" s="3">
        <v>7.8135723165448709</v>
      </c>
      <c r="BW349" s="3">
        <v>11.346905649878209</v>
      </c>
      <c r="BX349" s="3">
        <v>8.5669056498782084</v>
      </c>
      <c r="BY349" s="3">
        <v>32.286905649878207</v>
      </c>
      <c r="BZ349" s="3">
        <v>39.116905649878206</v>
      </c>
      <c r="CA349" s="3">
        <v>14.016905649878197</v>
      </c>
      <c r="CB349" s="3">
        <v>9.2535723165448687</v>
      </c>
      <c r="CC349" s="3">
        <v>9.7669056498782041</v>
      </c>
      <c r="CD349" s="3">
        <v>8.8735723165448803</v>
      </c>
      <c r="CE349" s="3">
        <v>9.2669056498782041</v>
      </c>
      <c r="CF349" s="3">
        <v>-0.91976101678846334</v>
      </c>
      <c r="CG349" s="3">
        <v>-1.4530943501217948</v>
      </c>
      <c r="CH349" s="3">
        <v>-2.5297610167884628</v>
      </c>
      <c r="CI349" s="13">
        <f>[1]!dbasum(RecData[[#This Row],[20]:[2000]],RecData[[#Headers],[20]:[2000]])</f>
        <v>17.829380967425323</v>
      </c>
      <c r="CJ349" s="14">
        <v>4711</v>
      </c>
      <c r="CK349" s="15" t="s">
        <v>249</v>
      </c>
      <c r="CL349" s="15">
        <f>RecData[[#This Row],[Start Time]]</f>
        <v>43261.948611111118</v>
      </c>
      <c r="CM349" s="16">
        <f>RecData[[#This Row],[Wind Speed avg]]</f>
        <v>0.4</v>
      </c>
      <c r="CN349" s="16">
        <f>RecData[[#This Row],[Wind Dir. avg]]</f>
        <v>160.1</v>
      </c>
      <c r="CO349" s="16">
        <f>RecData[[#This Row],[Amb. Humidity]]</f>
        <v>81</v>
      </c>
      <c r="CP349" s="16">
        <f>RecData[[#This Row],[Amb. Temperature]]</f>
        <v>11.4</v>
      </c>
      <c r="CQ349" s="17">
        <f>RecData[[#This Row],[Amb. Rain Gauge]]</f>
        <v>0</v>
      </c>
      <c r="CR349" s="4" t="s">
        <v>50</v>
      </c>
      <c r="CS349" s="4" t="s">
        <v>49</v>
      </c>
      <c r="CT349" s="70">
        <v>-10.12442875</v>
      </c>
      <c r="CU349" s="70">
        <v>217.61749270000001</v>
      </c>
      <c r="CV349" s="70">
        <v>1.4842168090000001</v>
      </c>
      <c r="CW349" s="70">
        <v>0</v>
      </c>
      <c r="CX349" s="4"/>
      <c r="CY349" s="69"/>
      <c r="CZ349" s="2" t="b">
        <f>IF($DP$1="YES",IF(RecData[[#This Row],[Power (kW)]]&gt;=$CR$3, TRUE,FALSE),TRUE)</f>
        <v>0</v>
      </c>
      <c r="DA349" s="16">
        <f>MIN(MOD(180-ABS(ABS($DA$1-RecData[Yaw Angle (°)])-180),360),MOD(180-ABS(ABS($DB$1-RecData[Yaw Angle (°)])-180),360))</f>
        <v>149.91243407768752</v>
      </c>
      <c r="DB349" s="2" t="str">
        <f>IF($DP$2="None","None",IF(RecData[[#This Row],[Relative Wind Direction]]&lt;=45,"DW",IF(RecData[[#This Row],[Relative Wind Direction]]&lt;=135,"CW","UW")))</f>
        <v>UW</v>
      </c>
      <c r="DC349" s="61">
        <f>IF($CL349-$CL346&gt;1/24,#REF!,IF(SUM($CQ346:$CQ349)&gt;$DS$1,$DS$5,DC350-1))</f>
        <v>-7</v>
      </c>
      <c r="DD349" s="61">
        <f>IF($CL350-$CL349&gt;1/24,#REF!,IF(SUM($CQ346:$CQ349)&gt;$DS$1,$DS$6,DD348-1))</f>
        <v>-4</v>
      </c>
      <c r="DE349" s="18" t="b">
        <v>0</v>
      </c>
      <c r="DF349" s="2" t="b">
        <f>IF(OR(RecData[[#This Row],[WSpd_Avg '[m/s']]]-RecData[[#This Row],[Wind Speed min]]&gt;=$DF$3,RecData[[#This Row],[Wind Speed max]]-RecData[[#This Row],[WSpd_Avg '[m/s']]]&gt;=$DF$2),TRUE,FALSE)</f>
        <v>0</v>
      </c>
      <c r="DG349" s="2" t="b">
        <f>RecData[[#This Row],[Temperature '[°C']]]&lt;=-20</f>
        <v>0</v>
      </c>
      <c r="DH349" s="18" t="b">
        <f>NOT(OR(MOD(RecData[[#This Row],[TIMESTAMP]],1)&gt;0.91632,MOD(RecData[[#This Row],[TIMESTAMP]],1)&lt;0.208681))</f>
        <v>0</v>
      </c>
      <c r="DI349" s="18" t="b">
        <f>RecData[[#This Row],[Overall (dBA)]]-RecData[[#This Row],[L90]]&gt;=$DS$4</f>
        <v>0</v>
      </c>
      <c r="DJ349" s="18" t="b">
        <f>RecData[[#This Row],[Overall (dBA)]]&gt;$DS$2</f>
        <v>0</v>
      </c>
      <c r="DK349" s="18" t="b">
        <f>RecData[[#This Row],[Overall (dBA)]]&lt;$DS$3</f>
        <v>0</v>
      </c>
      <c r="DL3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49" s="2">
        <f>IF(AND(RecData[[#This Row],[Turbines ON/OFF]] = "OFF", NOT(OR(RecData[[#This Row],[Junk?]]="YES",RecData[[#This Row],[Gust?]],RecData[[#This Row],[Rain?]:[Min SPL Threshold?]]))),1,0)</f>
        <v>1</v>
      </c>
      <c r="DN349" s="16">
        <f>RecData[[#This Row],[dBA Sum]]</f>
        <v>17.829380967425323</v>
      </c>
      <c r="DO349" s="16">
        <f>RecData[[#This Row],[LAF90.0]]</f>
        <v>39.299999999999997</v>
      </c>
      <c r="DP349" s="55" t="str">
        <f>IF(AND(RecData[[#This Row],[Useable TON Data?]],RecData[[#This Row],[Turbines ON/OFF]]="ON"),RecData[[#This Row],[dBA Sum]],"")</f>
        <v/>
      </c>
      <c r="DQ349" s="55">
        <f>IF(AND(RecData[[#This Row],[Useable Background Data?]],RecData[[#This Row],[Turbines ON/OFF]]="OFF"),RecData[[#This Row],[dBA Sum]],"")</f>
        <v>17.829380967425323</v>
      </c>
      <c r="DR349" s="3">
        <f>IF(OR(RecData[[#This Row],[Useable TON Data?]],RecData[[#This Row],[Useable Background Data?]]),ROUND(RecData[[#This Row],[WSpd_Avg '[m/s']]],0),"")</f>
        <v>0</v>
      </c>
      <c r="DS349" s="85">
        <f>(0.00002)^2*(10^(RecData[[#This Row],[Overall (dBA)]]/10))</f>
        <v>2.4265994122452647E-8</v>
      </c>
    </row>
    <row r="350" spans="1:123" ht="15" x14ac:dyDescent="0.25">
      <c r="A350" s="3" t="s">
        <v>249</v>
      </c>
      <c r="B350" s="12">
        <v>43261.949305555558</v>
      </c>
      <c r="C350" s="3"/>
      <c r="D350" s="3">
        <v>41.8</v>
      </c>
      <c r="E350" s="3"/>
      <c r="F350" s="3"/>
      <c r="G350" s="3"/>
      <c r="H350" s="3"/>
      <c r="I350" s="3"/>
      <c r="J350" s="3"/>
      <c r="K350" s="3">
        <v>40.4</v>
      </c>
      <c r="L350" s="3"/>
      <c r="M350" s="3"/>
      <c r="N350" s="3">
        <v>167.1</v>
      </c>
      <c r="O350" s="3"/>
      <c r="P350" s="3"/>
      <c r="Q350" s="3">
        <v>0.3</v>
      </c>
      <c r="R350" s="3">
        <v>0.2</v>
      </c>
      <c r="S350" s="3">
        <v>0.4</v>
      </c>
      <c r="T350" s="3">
        <v>11.3</v>
      </c>
      <c r="U350" s="3">
        <v>80</v>
      </c>
      <c r="V350" s="3">
        <v>974.3</v>
      </c>
      <c r="W350" s="3">
        <v>0</v>
      </c>
      <c r="X350" s="3">
        <v>23.3</v>
      </c>
      <c r="Y350" s="3">
        <v>27.4</v>
      </c>
      <c r="Z350" s="3">
        <v>28.2</v>
      </c>
      <c r="AA350" s="3">
        <v>20.6</v>
      </c>
      <c r="AB350" s="3">
        <v>14.1</v>
      </c>
      <c r="AC350" s="3">
        <v>8.6</v>
      </c>
      <c r="AD350" s="3">
        <v>11</v>
      </c>
      <c r="AE350" s="3">
        <v>13.3</v>
      </c>
      <c r="AF350" s="3">
        <v>15.2</v>
      </c>
      <c r="AG350" s="3">
        <v>15</v>
      </c>
      <c r="AH350" s="3">
        <v>13.5</v>
      </c>
      <c r="AI350" s="3">
        <v>12</v>
      </c>
      <c r="AJ350" s="3">
        <v>12.2</v>
      </c>
      <c r="AK350" s="3">
        <v>8.8000000000000007</v>
      </c>
      <c r="AL350" s="3">
        <v>8.1</v>
      </c>
      <c r="AM350" s="3">
        <v>9.8000000000000007</v>
      </c>
      <c r="AN350" s="3">
        <v>16.100000000000001</v>
      </c>
      <c r="AO350" s="3">
        <v>12.1</v>
      </c>
      <c r="AP350" s="3">
        <v>8.3000000000000007</v>
      </c>
      <c r="AQ350" s="3">
        <v>11.4</v>
      </c>
      <c r="AR350" s="3">
        <v>8.3000000000000007</v>
      </c>
      <c r="AS350" s="3">
        <v>33.1</v>
      </c>
      <c r="AT350" s="3">
        <v>39.700000000000003</v>
      </c>
      <c r="AU350" s="3">
        <v>14.7</v>
      </c>
      <c r="AV350" s="3">
        <v>9.6</v>
      </c>
      <c r="AW350" s="3">
        <v>9.8000000000000007</v>
      </c>
      <c r="AX350" s="3">
        <v>9.6999999999999993</v>
      </c>
      <c r="AY350" s="3">
        <v>9.8000000000000007</v>
      </c>
      <c r="AZ350" s="3">
        <v>0</v>
      </c>
      <c r="BA350" s="3">
        <v>0</v>
      </c>
      <c r="BB350" s="3">
        <v>0</v>
      </c>
      <c r="BC350" s="3">
        <v>41.819673645512616</v>
      </c>
      <c r="BD350" s="3">
        <v>23.280326354487379</v>
      </c>
      <c r="BE350" s="3">
        <v>27.380326354487373</v>
      </c>
      <c r="BF350" s="3">
        <v>26.940326354487375</v>
      </c>
      <c r="BG350" s="3">
        <v>19.666993021154049</v>
      </c>
      <c r="BH350" s="3">
        <v>13.306993021154049</v>
      </c>
      <c r="BI350" s="3">
        <v>8.2203263544873835</v>
      </c>
      <c r="BJ350" s="3">
        <v>11.413659687820711</v>
      </c>
      <c r="BK350" s="3">
        <v>13.586993021154044</v>
      </c>
      <c r="BL350" s="3">
        <v>15.06032635448738</v>
      </c>
      <c r="BM350" s="3">
        <v>14.993659687820717</v>
      </c>
      <c r="BN350" s="3">
        <v>13.776993021154048</v>
      </c>
      <c r="BO350" s="3">
        <v>11.643659687820715</v>
      </c>
      <c r="BP350" s="3">
        <v>11.56032635448738</v>
      </c>
      <c r="BQ350" s="3">
        <v>8.5769930211540384</v>
      </c>
      <c r="BR350" s="3">
        <v>8.2036596878207177</v>
      </c>
      <c r="BS350" s="3">
        <v>9.7069930211540481</v>
      </c>
      <c r="BT350" s="3">
        <v>16.203659687820718</v>
      </c>
      <c r="BU350" s="3">
        <v>12.170326354487386</v>
      </c>
      <c r="BV350" s="3">
        <v>8.0869930211540506</v>
      </c>
      <c r="BW350" s="3">
        <v>11.720326354487383</v>
      </c>
      <c r="BX350" s="3">
        <v>8.5403263544873838</v>
      </c>
      <c r="BY350" s="3">
        <v>33.160326354487374</v>
      </c>
      <c r="BZ350" s="3">
        <v>39.890326354487392</v>
      </c>
      <c r="CA350" s="3">
        <v>14.990326354487372</v>
      </c>
      <c r="CB350" s="3">
        <v>9.3269930211540455</v>
      </c>
      <c r="CC350" s="3">
        <v>9.7403263544873795</v>
      </c>
      <c r="CD350" s="3">
        <v>8.94699302115405</v>
      </c>
      <c r="CE350" s="3">
        <v>9.2403263544873795</v>
      </c>
      <c r="CF350" s="3">
        <v>-0.94634031217928793</v>
      </c>
      <c r="CG350" s="3">
        <v>-1.4796736455126194</v>
      </c>
      <c r="CH350" s="3">
        <v>-2.5563403121792874</v>
      </c>
      <c r="CI350" s="13">
        <f>[1]!dbasum(RecData[[#This Row],[20]:[2000]],RecData[[#Headers],[20]:[2000]])</f>
        <v>20.331982429334872</v>
      </c>
      <c r="CJ350" s="14">
        <v>4712</v>
      </c>
      <c r="CK350" s="15" t="s">
        <v>249</v>
      </c>
      <c r="CL350" s="15">
        <f>RecData[[#This Row],[Start Time]]</f>
        <v>43261.949305555558</v>
      </c>
      <c r="CM350" s="16">
        <f>RecData[[#This Row],[Wind Speed avg]]</f>
        <v>0.3</v>
      </c>
      <c r="CN350" s="16">
        <f>RecData[[#This Row],[Wind Dir. avg]]</f>
        <v>167.1</v>
      </c>
      <c r="CO350" s="16">
        <f>RecData[[#This Row],[Amb. Humidity]]</f>
        <v>80</v>
      </c>
      <c r="CP350" s="16">
        <f>RecData[[#This Row],[Amb. Temperature]]</f>
        <v>11.3</v>
      </c>
      <c r="CQ350" s="17">
        <f>RecData[[#This Row],[Amb. Rain Gauge]]</f>
        <v>0</v>
      </c>
      <c r="CR350" s="4" t="s">
        <v>50</v>
      </c>
      <c r="CS350" s="4" t="s">
        <v>49</v>
      </c>
      <c r="CT350" s="70">
        <v>-10.12442875</v>
      </c>
      <c r="CU350" s="70">
        <v>217.61749270000001</v>
      </c>
      <c r="CV350" s="70">
        <v>1.4842168090000001</v>
      </c>
      <c r="CW350" s="70">
        <v>0</v>
      </c>
      <c r="CX350" s="4"/>
      <c r="CY350" s="69"/>
      <c r="CZ350" s="2" t="b">
        <f>IF($DP$1="YES",IF(RecData[[#This Row],[Power (kW)]]&gt;=$CR$3, TRUE,FALSE),TRUE)</f>
        <v>0</v>
      </c>
      <c r="DA350" s="16">
        <f>MIN(MOD(180-ABS(ABS($DA$1-RecData[Yaw Angle (°)])-180),360),MOD(180-ABS(ABS($DB$1-RecData[Yaw Angle (°)])-180),360))</f>
        <v>149.91243407768752</v>
      </c>
      <c r="DB350" s="2" t="str">
        <f>IF($DP$2="None","None",IF(RecData[[#This Row],[Relative Wind Direction]]&lt;=45,"DW",IF(RecData[[#This Row],[Relative Wind Direction]]&lt;=135,"CW","UW")))</f>
        <v>UW</v>
      </c>
      <c r="DC350" s="61">
        <f>IF($CL350-$CL346&gt;1/24,#REF!,IF(SUM($CQ346:$CQ350)&gt;$DS$1,$DS$5,DC351-1))</f>
        <v>-6</v>
      </c>
      <c r="DD350" s="61">
        <f>IF($CL351-$CL350&gt;1/24,#REF!,IF(SUM($CQ346:$CQ350)&gt;$DS$1,$DS$6,DD349-1))</f>
        <v>-5</v>
      </c>
      <c r="DE350" s="18" t="b">
        <v>0</v>
      </c>
      <c r="DF350" s="2" t="b">
        <f>IF(OR(RecData[[#This Row],[WSpd_Avg '[m/s']]]-RecData[[#This Row],[Wind Speed min]]&gt;=$DF$3,RecData[[#This Row],[Wind Speed max]]-RecData[[#This Row],[WSpd_Avg '[m/s']]]&gt;=$DF$2),TRUE,FALSE)</f>
        <v>0</v>
      </c>
      <c r="DG350" s="2" t="b">
        <f>RecData[[#This Row],[Temperature '[°C']]]&lt;=-20</f>
        <v>0</v>
      </c>
      <c r="DH350" s="18" t="b">
        <f>NOT(OR(MOD(RecData[[#This Row],[TIMESTAMP]],1)&gt;0.91632,MOD(RecData[[#This Row],[TIMESTAMP]],1)&lt;0.208681))</f>
        <v>0</v>
      </c>
      <c r="DI350" s="18" t="b">
        <f>RecData[[#This Row],[Overall (dBA)]]-RecData[[#This Row],[L90]]&gt;=$DS$4</f>
        <v>0</v>
      </c>
      <c r="DJ350" s="18" t="b">
        <f>RecData[[#This Row],[Overall (dBA)]]&gt;$DS$2</f>
        <v>0</v>
      </c>
      <c r="DK350" s="18" t="b">
        <f>RecData[[#This Row],[Overall (dBA)]]&lt;$DS$3</f>
        <v>0</v>
      </c>
      <c r="DL3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0" s="2">
        <f>IF(AND(RecData[[#This Row],[Turbines ON/OFF]] = "OFF", NOT(OR(RecData[[#This Row],[Junk?]]="YES",RecData[[#This Row],[Gust?]],RecData[[#This Row],[Rain?]:[Min SPL Threshold?]]))),1,0)</f>
        <v>1</v>
      </c>
      <c r="DN350" s="16">
        <f>RecData[[#This Row],[dBA Sum]]</f>
        <v>20.331982429334872</v>
      </c>
      <c r="DO350" s="16">
        <f>RecData[[#This Row],[LAF90.0]]</f>
        <v>40.4</v>
      </c>
      <c r="DP350" s="55" t="str">
        <f>IF(AND(RecData[[#This Row],[Useable TON Data?]],RecData[[#This Row],[Turbines ON/OFF]]="ON"),RecData[[#This Row],[dBA Sum]],"")</f>
        <v/>
      </c>
      <c r="DQ350" s="55">
        <f>IF(AND(RecData[[#This Row],[Useable Background Data?]],RecData[[#This Row],[Turbines ON/OFF]]="OFF"),RecData[[#This Row],[dBA Sum]],"")</f>
        <v>20.331982429334872</v>
      </c>
      <c r="DR350" s="3">
        <f>IF(OR(RecData[[#This Row],[Useable TON Data?]],RecData[[#This Row],[Useable Background Data?]]),ROUND(RecData[[#This Row],[WSpd_Avg '[m/s']]],0),"")</f>
        <v>0</v>
      </c>
      <c r="DS350" s="85">
        <f>(0.00002)^2*(10^(RecData[[#This Row],[Overall (dBA)]]/10))</f>
        <v>4.3177573711406036E-8</v>
      </c>
    </row>
    <row r="351" spans="1:123" ht="15" x14ac:dyDescent="0.25">
      <c r="A351" s="3" t="s">
        <v>249</v>
      </c>
      <c r="B351" s="12">
        <v>43261.950000000004</v>
      </c>
      <c r="C351" s="3"/>
      <c r="D351" s="3">
        <v>41.2</v>
      </c>
      <c r="E351" s="3"/>
      <c r="F351" s="3"/>
      <c r="G351" s="3"/>
      <c r="H351" s="3"/>
      <c r="I351" s="3"/>
      <c r="J351" s="3"/>
      <c r="K351" s="3">
        <v>39.799999999999997</v>
      </c>
      <c r="L351" s="3"/>
      <c r="M351" s="3"/>
      <c r="N351" s="3">
        <v>140.19999999999999</v>
      </c>
      <c r="O351" s="3"/>
      <c r="P351" s="3"/>
      <c r="Q351" s="3">
        <v>0.37</v>
      </c>
      <c r="R351" s="3">
        <v>0.2</v>
      </c>
      <c r="S351" s="3">
        <v>0.5</v>
      </c>
      <c r="T351" s="3">
        <v>11.3</v>
      </c>
      <c r="U351" s="3">
        <v>80</v>
      </c>
      <c r="V351" s="3">
        <v>974.2</v>
      </c>
      <c r="W351" s="3">
        <v>0</v>
      </c>
      <c r="X351" s="3">
        <v>18.7</v>
      </c>
      <c r="Y351" s="3">
        <v>14.5</v>
      </c>
      <c r="Z351" s="3">
        <v>14.6</v>
      </c>
      <c r="AA351" s="3">
        <v>11.9</v>
      </c>
      <c r="AB351" s="3">
        <v>12.9</v>
      </c>
      <c r="AC351" s="3">
        <v>7.7</v>
      </c>
      <c r="AD351" s="3">
        <v>11.1</v>
      </c>
      <c r="AE351" s="3">
        <v>13.3</v>
      </c>
      <c r="AF351" s="3">
        <v>14.4</v>
      </c>
      <c r="AG351" s="3">
        <v>18.399999999999999</v>
      </c>
      <c r="AH351" s="3">
        <v>15.9</v>
      </c>
      <c r="AI351" s="3">
        <v>11.7</v>
      </c>
      <c r="AJ351" s="3">
        <v>11.5</v>
      </c>
      <c r="AK351" s="3">
        <v>8.4</v>
      </c>
      <c r="AL351" s="3">
        <v>6.6</v>
      </c>
      <c r="AM351" s="3">
        <v>6.9</v>
      </c>
      <c r="AN351" s="3">
        <v>7.5</v>
      </c>
      <c r="AO351" s="3">
        <v>7.2</v>
      </c>
      <c r="AP351" s="3">
        <v>8.1</v>
      </c>
      <c r="AQ351" s="3">
        <v>11.4</v>
      </c>
      <c r="AR351" s="3">
        <v>8.4</v>
      </c>
      <c r="AS351" s="3">
        <v>32.4</v>
      </c>
      <c r="AT351" s="3">
        <v>39.1</v>
      </c>
      <c r="AU351" s="3">
        <v>14.6</v>
      </c>
      <c r="AV351" s="3">
        <v>9.9</v>
      </c>
      <c r="AW351" s="3">
        <v>10</v>
      </c>
      <c r="AX351" s="3">
        <v>9.6999999999999993</v>
      </c>
      <c r="AY351" s="3">
        <v>9.9</v>
      </c>
      <c r="AZ351" s="3">
        <v>0</v>
      </c>
      <c r="BA351" s="3">
        <v>0</v>
      </c>
      <c r="BB351" s="3">
        <v>0</v>
      </c>
      <c r="BC351" s="3">
        <v>41.195550706648049</v>
      </c>
      <c r="BD351" s="3">
        <v>18.704449293351956</v>
      </c>
      <c r="BE351" s="3">
        <v>14.504449293351954</v>
      </c>
      <c r="BF351" s="3">
        <v>13.364449293351953</v>
      </c>
      <c r="BG351" s="3">
        <v>10.991115960018618</v>
      </c>
      <c r="BH351" s="3">
        <v>12.131115960018619</v>
      </c>
      <c r="BI351" s="3">
        <v>7.344449293351957</v>
      </c>
      <c r="BJ351" s="3">
        <v>11.537782626685285</v>
      </c>
      <c r="BK351" s="3">
        <v>13.611115960018616</v>
      </c>
      <c r="BL351" s="3">
        <v>14.284449293351955</v>
      </c>
      <c r="BM351" s="3">
        <v>18.417782626685288</v>
      </c>
      <c r="BN351" s="3">
        <v>16.201115960018619</v>
      </c>
      <c r="BO351" s="3">
        <v>11.36778262668529</v>
      </c>
      <c r="BP351" s="3">
        <v>10.884449293351956</v>
      </c>
      <c r="BQ351" s="3">
        <v>8.2011159600186119</v>
      </c>
      <c r="BR351" s="3">
        <v>6.7277826266852898</v>
      </c>
      <c r="BS351" s="3">
        <v>6.8311159600186215</v>
      </c>
      <c r="BT351" s="3">
        <v>7.6277826266852884</v>
      </c>
      <c r="BU351" s="3">
        <v>7.2944492933519598</v>
      </c>
      <c r="BV351" s="3">
        <v>7.9111159600186198</v>
      </c>
      <c r="BW351" s="3">
        <v>11.744449293351956</v>
      </c>
      <c r="BX351" s="3">
        <v>8.6644492933519572</v>
      </c>
      <c r="BY351" s="3">
        <v>32.484449293351958</v>
      </c>
      <c r="BZ351" s="3">
        <v>39.314449293351956</v>
      </c>
      <c r="CA351" s="3">
        <v>14.91444929335195</v>
      </c>
      <c r="CB351" s="3">
        <v>9.6511159600186147</v>
      </c>
      <c r="CC351" s="3">
        <v>9.9644492933519544</v>
      </c>
      <c r="CD351" s="3">
        <v>8.9711159600186221</v>
      </c>
      <c r="CE351" s="3">
        <v>9.364449293351953</v>
      </c>
      <c r="CF351" s="3">
        <v>-0.92221737331471587</v>
      </c>
      <c r="CG351" s="3">
        <v>-1.4555507066480473</v>
      </c>
      <c r="CH351" s="3">
        <v>-2.5322173733147153</v>
      </c>
      <c r="CI351" s="13">
        <f>[1]!dbasum(RecData[[#This Row],[20]:[2000]],RecData[[#Headers],[20]:[2000]])</f>
        <v>18.160804876539508</v>
      </c>
      <c r="CJ351" s="14">
        <v>4713</v>
      </c>
      <c r="CK351" s="15" t="s">
        <v>249</v>
      </c>
      <c r="CL351" s="15">
        <f>RecData[[#This Row],[Start Time]]</f>
        <v>43261.950000000004</v>
      </c>
      <c r="CM351" s="16">
        <f>RecData[[#This Row],[Wind Speed avg]]</f>
        <v>0.37</v>
      </c>
      <c r="CN351" s="16">
        <f>RecData[[#This Row],[Wind Dir. avg]]</f>
        <v>140.19999999999999</v>
      </c>
      <c r="CO351" s="16">
        <f>RecData[[#This Row],[Amb. Humidity]]</f>
        <v>80</v>
      </c>
      <c r="CP351" s="16">
        <f>RecData[[#This Row],[Amb. Temperature]]</f>
        <v>11.3</v>
      </c>
      <c r="CQ351" s="17">
        <f>RecData[[#This Row],[Amb. Rain Gauge]]</f>
        <v>0</v>
      </c>
      <c r="CR351" s="4" t="s">
        <v>50</v>
      </c>
      <c r="CS351" s="4" t="s">
        <v>49</v>
      </c>
      <c r="CT351" s="70">
        <v>-10.12442875</v>
      </c>
      <c r="CU351" s="70">
        <v>217.61749270000001</v>
      </c>
      <c r="CV351" s="70">
        <v>1.4842168090000001</v>
      </c>
      <c r="CW351" s="70">
        <v>0</v>
      </c>
      <c r="CX351" s="4"/>
      <c r="CY351" s="69"/>
      <c r="CZ351" s="2" t="b">
        <f>IF($DP$1="YES",IF(RecData[[#This Row],[Power (kW)]]&gt;=$CR$3, TRUE,FALSE),TRUE)</f>
        <v>0</v>
      </c>
      <c r="DA351" s="16">
        <f>MIN(MOD(180-ABS(ABS($DA$1-RecData[Yaw Angle (°)])-180),360),MOD(180-ABS(ABS($DB$1-RecData[Yaw Angle (°)])-180),360))</f>
        <v>149.91243407768752</v>
      </c>
      <c r="DB351" s="2" t="str">
        <f>IF($DP$2="None","None",IF(RecData[[#This Row],[Relative Wind Direction]]&lt;=45,"DW",IF(RecData[[#This Row],[Relative Wind Direction]]&lt;=135,"CW","UW")))</f>
        <v>UW</v>
      </c>
      <c r="DC351" s="61">
        <f>IF($CL351-$CL347&gt;1/24,#REF!,IF(SUM($CQ347:$CQ351)&gt;$DS$1,$DS$5,DC352-1))</f>
        <v>-5</v>
      </c>
      <c r="DD351" s="61">
        <f>IF($CL352-$CL351&gt;1/24,#REF!,IF(SUM($CQ347:$CQ351)&gt;$DS$1,$DS$6,DD350-1))</f>
        <v>-6</v>
      </c>
      <c r="DE351" s="18" t="b">
        <v>0</v>
      </c>
      <c r="DF351" s="2" t="b">
        <f>IF(OR(RecData[[#This Row],[WSpd_Avg '[m/s']]]-RecData[[#This Row],[Wind Speed min]]&gt;=$DF$3,RecData[[#This Row],[Wind Speed max]]-RecData[[#This Row],[WSpd_Avg '[m/s']]]&gt;=$DF$2),TRUE,FALSE)</f>
        <v>0</v>
      </c>
      <c r="DG351" s="2" t="b">
        <f>RecData[[#This Row],[Temperature '[°C']]]&lt;=-20</f>
        <v>0</v>
      </c>
      <c r="DH351" s="18" t="b">
        <f>NOT(OR(MOD(RecData[[#This Row],[TIMESTAMP]],1)&gt;0.91632,MOD(RecData[[#This Row],[TIMESTAMP]],1)&lt;0.208681))</f>
        <v>0</v>
      </c>
      <c r="DI351" s="18" t="b">
        <f>RecData[[#This Row],[Overall (dBA)]]-RecData[[#This Row],[L90]]&gt;=$DS$4</f>
        <v>0</v>
      </c>
      <c r="DJ351" s="18" t="b">
        <f>RecData[[#This Row],[Overall (dBA)]]&gt;$DS$2</f>
        <v>0</v>
      </c>
      <c r="DK351" s="18" t="b">
        <f>RecData[[#This Row],[Overall (dBA)]]&lt;$DS$3</f>
        <v>0</v>
      </c>
      <c r="DL3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1" s="2">
        <f>IF(AND(RecData[[#This Row],[Turbines ON/OFF]] = "OFF", NOT(OR(RecData[[#This Row],[Junk?]]="YES",RecData[[#This Row],[Gust?]],RecData[[#This Row],[Rain?]:[Min SPL Threshold?]]))),1,0)</f>
        <v>1</v>
      </c>
      <c r="DN351" s="16">
        <f>RecData[[#This Row],[dBA Sum]]</f>
        <v>18.160804876539508</v>
      </c>
      <c r="DO351" s="16">
        <f>RecData[[#This Row],[LAF90.0]]</f>
        <v>39.799999999999997</v>
      </c>
      <c r="DP351" s="55" t="str">
        <f>IF(AND(RecData[[#This Row],[Useable TON Data?]],RecData[[#This Row],[Turbines ON/OFF]]="ON"),RecData[[#This Row],[dBA Sum]],"")</f>
        <v/>
      </c>
      <c r="DQ351" s="55">
        <f>IF(AND(RecData[[#This Row],[Useable Background Data?]],RecData[[#This Row],[Turbines ON/OFF]]="OFF"),RecData[[#This Row],[dBA Sum]],"")</f>
        <v>18.160804876539508</v>
      </c>
      <c r="DR351" s="3">
        <f>IF(OR(RecData[[#This Row],[Useable TON Data?]],RecData[[#This Row],[Useable Background Data?]]),ROUND(RecData[[#This Row],[WSpd_Avg '[m/s']]],0),"")</f>
        <v>0</v>
      </c>
      <c r="DS351" s="85">
        <f>(0.00002)^2*(10^(RecData[[#This Row],[Overall (dBA)]]/10))</f>
        <v>2.6190300352716591E-8</v>
      </c>
    </row>
    <row r="352" spans="1:123" ht="15" x14ac:dyDescent="0.25">
      <c r="A352" s="3" t="s">
        <v>249</v>
      </c>
      <c r="B352" s="12">
        <v>43261.950694444451</v>
      </c>
      <c r="C352" s="3"/>
      <c r="D352" s="3">
        <v>42.5</v>
      </c>
      <c r="E352" s="3"/>
      <c r="F352" s="3"/>
      <c r="G352" s="3"/>
      <c r="H352" s="3"/>
      <c r="I352" s="3"/>
      <c r="J352" s="3"/>
      <c r="K352" s="3">
        <v>40.200000000000003</v>
      </c>
      <c r="L352" s="3"/>
      <c r="M352" s="3"/>
      <c r="N352" s="3">
        <v>136.19999999999999</v>
      </c>
      <c r="O352" s="3"/>
      <c r="P352" s="3"/>
      <c r="Q352" s="3">
        <v>0.54</v>
      </c>
      <c r="R352" s="3">
        <v>0.4</v>
      </c>
      <c r="S352" s="3">
        <v>0.7</v>
      </c>
      <c r="T352" s="3">
        <v>11.3</v>
      </c>
      <c r="U352" s="3">
        <v>80.8</v>
      </c>
      <c r="V352" s="3">
        <v>974.2</v>
      </c>
      <c r="W352" s="3">
        <v>0</v>
      </c>
      <c r="X352" s="3">
        <v>21.1</v>
      </c>
      <c r="Y352" s="3">
        <v>18.100000000000001</v>
      </c>
      <c r="Z352" s="3">
        <v>19.5</v>
      </c>
      <c r="AA352" s="3">
        <v>12.8</v>
      </c>
      <c r="AB352" s="3">
        <v>13.4</v>
      </c>
      <c r="AC352" s="3">
        <v>7.4</v>
      </c>
      <c r="AD352" s="3">
        <v>10.3</v>
      </c>
      <c r="AE352" s="3">
        <v>12.8</v>
      </c>
      <c r="AF352" s="3">
        <v>14.3</v>
      </c>
      <c r="AG352" s="3">
        <v>15.8</v>
      </c>
      <c r="AH352" s="3">
        <v>14.7</v>
      </c>
      <c r="AI352" s="3">
        <v>11.6</v>
      </c>
      <c r="AJ352" s="3">
        <v>11.6</v>
      </c>
      <c r="AK352" s="3">
        <v>8.5</v>
      </c>
      <c r="AL352" s="3">
        <v>7.1</v>
      </c>
      <c r="AM352" s="3">
        <v>7.1</v>
      </c>
      <c r="AN352" s="3">
        <v>7.5</v>
      </c>
      <c r="AO352" s="3">
        <v>7.3</v>
      </c>
      <c r="AP352" s="3">
        <v>8.1</v>
      </c>
      <c r="AQ352" s="3">
        <v>11.8</v>
      </c>
      <c r="AR352" s="3">
        <v>8.6</v>
      </c>
      <c r="AS352" s="3">
        <v>34.1</v>
      </c>
      <c r="AT352" s="3">
        <v>40.299999999999997</v>
      </c>
      <c r="AU352" s="3">
        <v>14.8</v>
      </c>
      <c r="AV352" s="3">
        <v>9.6</v>
      </c>
      <c r="AW352" s="3">
        <v>9.6999999999999993</v>
      </c>
      <c r="AX352" s="3">
        <v>9.6</v>
      </c>
      <c r="AY352" s="3">
        <v>9.8000000000000007</v>
      </c>
      <c r="AZ352" s="3">
        <v>0</v>
      </c>
      <c r="BA352" s="3">
        <v>0</v>
      </c>
      <c r="BB352" s="3">
        <v>0</v>
      </c>
      <c r="BC352" s="3">
        <v>42.477870404870899</v>
      </c>
      <c r="BD352" s="3">
        <v>21.122129595129103</v>
      </c>
      <c r="BE352" s="3">
        <v>18.122129595129103</v>
      </c>
      <c r="BF352" s="3">
        <v>18.282129595129106</v>
      </c>
      <c r="BG352" s="3">
        <v>11.908796261795764</v>
      </c>
      <c r="BH352" s="3">
        <v>12.648796261795766</v>
      </c>
      <c r="BI352" s="3">
        <v>7.0621295951291003</v>
      </c>
      <c r="BJ352" s="3">
        <v>10.755462928462435</v>
      </c>
      <c r="BK352" s="3">
        <v>13.128796261795763</v>
      </c>
      <c r="BL352" s="3">
        <v>14.202129595129101</v>
      </c>
      <c r="BM352" s="3">
        <v>15.835462928462434</v>
      </c>
      <c r="BN352" s="3">
        <v>15.018796261795771</v>
      </c>
      <c r="BO352" s="3">
        <v>11.285462928462437</v>
      </c>
      <c r="BP352" s="3">
        <v>11.002129595129105</v>
      </c>
      <c r="BQ352" s="3">
        <v>8.3187962617957609</v>
      </c>
      <c r="BR352" s="3">
        <v>7.2454629284624374</v>
      </c>
      <c r="BS352" s="3">
        <v>7.0487962617957649</v>
      </c>
      <c r="BT352" s="3">
        <v>7.645462928462436</v>
      </c>
      <c r="BU352" s="3">
        <v>7.4121295951291017</v>
      </c>
      <c r="BV352" s="3">
        <v>7.9287962617957675</v>
      </c>
      <c r="BW352" s="3">
        <v>12.162129595129102</v>
      </c>
      <c r="BX352" s="3">
        <v>8.8821295951291077</v>
      </c>
      <c r="BY352" s="3">
        <v>34.202129595129108</v>
      </c>
      <c r="BZ352" s="3">
        <v>40.532129595129092</v>
      </c>
      <c r="CA352" s="3">
        <v>15.132129595129094</v>
      </c>
      <c r="CB352" s="3">
        <v>9.3687962617957652</v>
      </c>
      <c r="CC352" s="3">
        <v>9.6821295951290978</v>
      </c>
      <c r="CD352" s="3">
        <v>8.8887962617957754</v>
      </c>
      <c r="CE352" s="3">
        <v>9.2821295951290992</v>
      </c>
      <c r="CF352" s="3">
        <v>-0.90453707153756824</v>
      </c>
      <c r="CG352" s="3">
        <v>-1.4378704048708997</v>
      </c>
      <c r="CH352" s="3">
        <v>-2.5145370715375677</v>
      </c>
      <c r="CI352" s="13">
        <f>[1]!dbasum(RecData[[#This Row],[20]:[2000]],RecData[[#Headers],[20]:[2000]])</f>
        <v>18.212957896756095</v>
      </c>
      <c r="CJ352" s="14">
        <v>4714</v>
      </c>
      <c r="CK352" s="15" t="s">
        <v>249</v>
      </c>
      <c r="CL352" s="15">
        <f>RecData[[#This Row],[Start Time]]</f>
        <v>43261.950694444451</v>
      </c>
      <c r="CM352" s="16">
        <f>RecData[[#This Row],[Wind Speed avg]]</f>
        <v>0.54</v>
      </c>
      <c r="CN352" s="16">
        <f>RecData[[#This Row],[Wind Dir. avg]]</f>
        <v>136.19999999999999</v>
      </c>
      <c r="CO352" s="16">
        <f>RecData[[#This Row],[Amb. Humidity]]</f>
        <v>80.8</v>
      </c>
      <c r="CP352" s="16">
        <f>RecData[[#This Row],[Amb. Temperature]]</f>
        <v>11.3</v>
      </c>
      <c r="CQ352" s="17">
        <f>RecData[[#This Row],[Amb. Rain Gauge]]</f>
        <v>0</v>
      </c>
      <c r="CR352" s="4" t="s">
        <v>50</v>
      </c>
      <c r="CS352" s="4" t="s">
        <v>49</v>
      </c>
      <c r="CT352" s="70">
        <v>-10.12442875</v>
      </c>
      <c r="CU352" s="70">
        <v>217.61749270000001</v>
      </c>
      <c r="CV352" s="70">
        <v>1.4842168090000001</v>
      </c>
      <c r="CW352" s="70">
        <v>0</v>
      </c>
      <c r="CX352" s="4"/>
      <c r="CY352" s="69"/>
      <c r="CZ352" s="2" t="b">
        <f>IF($DP$1="YES",IF(RecData[[#This Row],[Power (kW)]]&gt;=$CR$3, TRUE,FALSE),TRUE)</f>
        <v>0</v>
      </c>
      <c r="DA352" s="16">
        <f>MIN(MOD(180-ABS(ABS($DA$1-RecData[Yaw Angle (°)])-180),360),MOD(180-ABS(ABS($DB$1-RecData[Yaw Angle (°)])-180),360))</f>
        <v>149.91243407768752</v>
      </c>
      <c r="DB352" s="2" t="str">
        <f>IF($DP$2="None","None",IF(RecData[[#This Row],[Relative Wind Direction]]&lt;=45,"DW",IF(RecData[[#This Row],[Relative Wind Direction]]&lt;=135,"CW","UW")))</f>
        <v>UW</v>
      </c>
      <c r="DC352" s="61">
        <f>IF($CL352-$CL348&gt;1/24,#REF!,IF(SUM($CQ348:$CQ352)&gt;$DS$1,$DS$5,DC353-1))</f>
        <v>-4</v>
      </c>
      <c r="DD352" s="61">
        <f>IF($CL353-$CL352&gt;1/24,#REF!,IF(SUM($CQ348:$CQ352)&gt;$DS$1,$DS$6,DD351-1))</f>
        <v>-7</v>
      </c>
      <c r="DE352" s="18" t="b">
        <v>0</v>
      </c>
      <c r="DF352" s="2" t="b">
        <f>IF(OR(RecData[[#This Row],[WSpd_Avg '[m/s']]]-RecData[[#This Row],[Wind Speed min]]&gt;=$DF$3,RecData[[#This Row],[Wind Speed max]]-RecData[[#This Row],[WSpd_Avg '[m/s']]]&gt;=$DF$2),TRUE,FALSE)</f>
        <v>0</v>
      </c>
      <c r="DG352" s="2" t="b">
        <f>RecData[[#This Row],[Temperature '[°C']]]&lt;=-20</f>
        <v>0</v>
      </c>
      <c r="DH352" s="18" t="b">
        <f>NOT(OR(MOD(RecData[[#This Row],[TIMESTAMP]],1)&gt;0.91632,MOD(RecData[[#This Row],[TIMESTAMP]],1)&lt;0.208681))</f>
        <v>0</v>
      </c>
      <c r="DI352" s="18" t="b">
        <f>RecData[[#This Row],[Overall (dBA)]]-RecData[[#This Row],[L90]]&gt;=$DS$4</f>
        <v>0</v>
      </c>
      <c r="DJ352" s="18" t="b">
        <f>RecData[[#This Row],[Overall (dBA)]]&gt;$DS$2</f>
        <v>0</v>
      </c>
      <c r="DK352" s="18" t="b">
        <f>RecData[[#This Row],[Overall (dBA)]]&lt;$DS$3</f>
        <v>0</v>
      </c>
      <c r="DL3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2" s="2">
        <f>IF(AND(RecData[[#This Row],[Turbines ON/OFF]] = "OFF", NOT(OR(RecData[[#This Row],[Junk?]]="YES",RecData[[#This Row],[Gust?]],RecData[[#This Row],[Rain?]:[Min SPL Threshold?]]))),1,0)</f>
        <v>1</v>
      </c>
      <c r="DN352" s="16">
        <f>RecData[[#This Row],[dBA Sum]]</f>
        <v>18.212957896756095</v>
      </c>
      <c r="DO352" s="16">
        <f>RecData[[#This Row],[LAF90.0]]</f>
        <v>40.200000000000003</v>
      </c>
      <c r="DP352" s="55" t="str">
        <f>IF(AND(RecData[[#This Row],[Useable TON Data?]],RecData[[#This Row],[Turbines ON/OFF]]="ON"),RecData[[#This Row],[dBA Sum]],"")</f>
        <v/>
      </c>
      <c r="DQ352" s="55">
        <f>IF(AND(RecData[[#This Row],[Useable Background Data?]],RecData[[#This Row],[Turbines ON/OFF]]="OFF"),RecData[[#This Row],[dBA Sum]],"")</f>
        <v>18.212957896756095</v>
      </c>
      <c r="DR352" s="3">
        <f>IF(OR(RecData[[#This Row],[Useable TON Data?]],RecData[[#This Row],[Useable Background Data?]]),ROUND(RecData[[#This Row],[WSpd_Avg '[m/s']]],0),"")</f>
        <v>1</v>
      </c>
      <c r="DS352" s="85">
        <f>(0.00002)^2*(10^(RecData[[#This Row],[Overall (dBA)]]/10))</f>
        <v>2.6506707213561685E-8</v>
      </c>
    </row>
    <row r="353" spans="1:123" ht="15" x14ac:dyDescent="0.25">
      <c r="A353" s="3" t="s">
        <v>249</v>
      </c>
      <c r="B353" s="12">
        <v>43261.951388888891</v>
      </c>
      <c r="C353" s="3"/>
      <c r="D353" s="3">
        <v>41.6</v>
      </c>
      <c r="E353" s="3"/>
      <c r="F353" s="3"/>
      <c r="G353" s="3"/>
      <c r="H353" s="3"/>
      <c r="I353" s="3"/>
      <c r="J353" s="3"/>
      <c r="K353" s="3">
        <v>39.799999999999997</v>
      </c>
      <c r="L353" s="3"/>
      <c r="M353" s="3"/>
      <c r="N353" s="3">
        <v>142.6</v>
      </c>
      <c r="O353" s="3"/>
      <c r="P353" s="3"/>
      <c r="Q353" s="3">
        <v>0.7</v>
      </c>
      <c r="R353" s="3">
        <v>0.6</v>
      </c>
      <c r="S353" s="3">
        <v>0.7</v>
      </c>
      <c r="T353" s="3">
        <v>11.2</v>
      </c>
      <c r="U353" s="3">
        <v>80.900000000000006</v>
      </c>
      <c r="V353" s="3">
        <v>974.2</v>
      </c>
      <c r="W353" s="3">
        <v>0</v>
      </c>
      <c r="X353" s="3">
        <v>17.899999999999999</v>
      </c>
      <c r="Y353" s="3">
        <v>14.6</v>
      </c>
      <c r="Z353" s="3">
        <v>15.6</v>
      </c>
      <c r="AA353" s="3">
        <v>11.6</v>
      </c>
      <c r="AB353" s="3">
        <v>12.8</v>
      </c>
      <c r="AC353" s="3">
        <v>7.2</v>
      </c>
      <c r="AD353" s="3">
        <v>10.8</v>
      </c>
      <c r="AE353" s="3">
        <v>12.3</v>
      </c>
      <c r="AF353" s="3">
        <v>15.4</v>
      </c>
      <c r="AG353" s="3">
        <v>16.7</v>
      </c>
      <c r="AH353" s="3">
        <v>15.2</v>
      </c>
      <c r="AI353" s="3">
        <v>10.9</v>
      </c>
      <c r="AJ353" s="3">
        <v>11.2</v>
      </c>
      <c r="AK353" s="3">
        <v>8.3000000000000007</v>
      </c>
      <c r="AL353" s="3">
        <v>6.5</v>
      </c>
      <c r="AM353" s="3">
        <v>6.7</v>
      </c>
      <c r="AN353" s="3">
        <v>7.4</v>
      </c>
      <c r="AO353" s="3">
        <v>7.2</v>
      </c>
      <c r="AP353" s="3">
        <v>8</v>
      </c>
      <c r="AQ353" s="3">
        <v>11.3</v>
      </c>
      <c r="AR353" s="3">
        <v>8.4</v>
      </c>
      <c r="AS353" s="3">
        <v>33.6</v>
      </c>
      <c r="AT353" s="3">
        <v>39.200000000000003</v>
      </c>
      <c r="AU353" s="3">
        <v>14.4</v>
      </c>
      <c r="AV353" s="3">
        <v>9.6</v>
      </c>
      <c r="AW353" s="3">
        <v>9.8000000000000007</v>
      </c>
      <c r="AX353" s="3">
        <v>9.6</v>
      </c>
      <c r="AY353" s="3">
        <v>9.8000000000000007</v>
      </c>
      <c r="AZ353" s="3">
        <v>0</v>
      </c>
      <c r="BA353" s="3">
        <v>0</v>
      </c>
      <c r="BB353" s="3">
        <v>0</v>
      </c>
      <c r="BC353" s="3">
        <v>41.508472135302561</v>
      </c>
      <c r="BD353" s="3">
        <v>17.991527864697439</v>
      </c>
      <c r="BE353" s="3">
        <v>14.691527864697441</v>
      </c>
      <c r="BF353" s="3">
        <v>14.451527864697439</v>
      </c>
      <c r="BG353" s="3">
        <v>10.7781945313641</v>
      </c>
      <c r="BH353" s="3">
        <v>12.118194531364111</v>
      </c>
      <c r="BI353" s="3">
        <v>6.9315278646974434</v>
      </c>
      <c r="BJ353" s="3">
        <v>11.324861198030774</v>
      </c>
      <c r="BK353" s="3">
        <v>12.698194531364102</v>
      </c>
      <c r="BL353" s="3">
        <v>15.371527864697441</v>
      </c>
      <c r="BM353" s="3">
        <v>16.804861198030771</v>
      </c>
      <c r="BN353" s="3">
        <v>15.588194531364103</v>
      </c>
      <c r="BO353" s="3">
        <v>10.65486119803078</v>
      </c>
      <c r="BP353" s="3">
        <v>10.671527864697438</v>
      </c>
      <c r="BQ353" s="3">
        <v>8.1881945313640969</v>
      </c>
      <c r="BR353" s="3">
        <v>6.7148611980307749</v>
      </c>
      <c r="BS353" s="3">
        <v>6.7181945313641052</v>
      </c>
      <c r="BT353" s="3">
        <v>7.6148611980307734</v>
      </c>
      <c r="BU353" s="3">
        <v>7.3815278646974463</v>
      </c>
      <c r="BV353" s="3">
        <v>7.8981945313641049</v>
      </c>
      <c r="BW353" s="3">
        <v>11.731527864697448</v>
      </c>
      <c r="BX353" s="3">
        <v>8.7515278646974437</v>
      </c>
      <c r="BY353" s="3">
        <v>33.77152786469744</v>
      </c>
      <c r="BZ353" s="3">
        <v>39.501527864697444</v>
      </c>
      <c r="CA353" s="3">
        <v>14.801527864697434</v>
      </c>
      <c r="CB353" s="3">
        <v>9.438194531364104</v>
      </c>
      <c r="CC353" s="3">
        <v>9.851527864697438</v>
      </c>
      <c r="CD353" s="3">
        <v>8.9581945313641071</v>
      </c>
      <c r="CE353" s="3">
        <v>9.351527864697438</v>
      </c>
      <c r="CF353" s="3">
        <v>-0.83513880196922941</v>
      </c>
      <c r="CG353" s="3">
        <v>-1.3684721353025608</v>
      </c>
      <c r="CH353" s="3">
        <v>-2.4451388019692288</v>
      </c>
      <c r="CI353" s="13">
        <f>[1]!dbasum(RecData[[#This Row],[20]:[2000]],RecData[[#Headers],[20]:[2000]])</f>
        <v>18.051136381063138</v>
      </c>
      <c r="CJ353" s="14">
        <v>4715</v>
      </c>
      <c r="CK353" s="15" t="s">
        <v>249</v>
      </c>
      <c r="CL353" s="15">
        <f>RecData[[#This Row],[Start Time]]</f>
        <v>43261.951388888891</v>
      </c>
      <c r="CM353" s="16">
        <f>RecData[[#This Row],[Wind Speed avg]]</f>
        <v>0.7</v>
      </c>
      <c r="CN353" s="16">
        <f>RecData[[#This Row],[Wind Dir. avg]]</f>
        <v>142.6</v>
      </c>
      <c r="CO353" s="16">
        <f>RecData[[#This Row],[Amb. Humidity]]</f>
        <v>80.900000000000006</v>
      </c>
      <c r="CP353" s="16">
        <f>RecData[[#This Row],[Amb. Temperature]]</f>
        <v>11.2</v>
      </c>
      <c r="CQ353" s="17">
        <f>RecData[[#This Row],[Amb. Rain Gauge]]</f>
        <v>0</v>
      </c>
      <c r="CR353" s="4" t="s">
        <v>50</v>
      </c>
      <c r="CS353" s="4" t="s">
        <v>49</v>
      </c>
      <c r="CT353" s="70">
        <v>-10.12442875</v>
      </c>
      <c r="CU353" s="70">
        <v>217.61749270000001</v>
      </c>
      <c r="CV353" s="70">
        <v>1.4842168090000001</v>
      </c>
      <c r="CW353" s="70">
        <v>0</v>
      </c>
      <c r="CX353" s="4"/>
      <c r="CY353" s="69"/>
      <c r="CZ353" s="2" t="b">
        <f>IF($DP$1="YES",IF(RecData[[#This Row],[Power (kW)]]&gt;=$CR$3, TRUE,FALSE),TRUE)</f>
        <v>0</v>
      </c>
      <c r="DA353" s="16">
        <f>MIN(MOD(180-ABS(ABS($DA$1-RecData[Yaw Angle (°)])-180),360),MOD(180-ABS(ABS($DB$1-RecData[Yaw Angle (°)])-180),360))</f>
        <v>149.91243407768752</v>
      </c>
      <c r="DB353" s="2" t="str">
        <f>IF($DP$2="None","None",IF(RecData[[#This Row],[Relative Wind Direction]]&lt;=45,"DW",IF(RecData[[#This Row],[Relative Wind Direction]]&lt;=135,"CW","UW")))</f>
        <v>UW</v>
      </c>
      <c r="DC353" s="61">
        <f>IF($CL353-$CL349&gt;1/24,#REF!,IF(SUM($CQ349:$CQ353)&gt;$DS$1,$DS$5,DC354-1))</f>
        <v>-3</v>
      </c>
      <c r="DD353" s="61">
        <f>IF($CL354-$CL353&gt;1/24,#REF!,IF(SUM($CQ349:$CQ353)&gt;$DS$1,$DS$6,DD352-1))</f>
        <v>-8</v>
      </c>
      <c r="DE353" s="18" t="b">
        <v>0</v>
      </c>
      <c r="DF353" s="2" t="b">
        <f>IF(OR(RecData[[#This Row],[WSpd_Avg '[m/s']]]-RecData[[#This Row],[Wind Speed min]]&gt;=$DF$3,RecData[[#This Row],[Wind Speed max]]-RecData[[#This Row],[WSpd_Avg '[m/s']]]&gt;=$DF$2),TRUE,FALSE)</f>
        <v>0</v>
      </c>
      <c r="DG353" s="2" t="b">
        <f>RecData[[#This Row],[Temperature '[°C']]]&lt;=-20</f>
        <v>0</v>
      </c>
      <c r="DH353" s="18" t="b">
        <f>NOT(OR(MOD(RecData[[#This Row],[TIMESTAMP]],1)&gt;0.91632,MOD(RecData[[#This Row],[TIMESTAMP]],1)&lt;0.208681))</f>
        <v>0</v>
      </c>
      <c r="DI353" s="18" t="b">
        <f>RecData[[#This Row],[Overall (dBA)]]-RecData[[#This Row],[L90]]&gt;=$DS$4</f>
        <v>0</v>
      </c>
      <c r="DJ353" s="18" t="b">
        <f>RecData[[#This Row],[Overall (dBA)]]&gt;$DS$2</f>
        <v>0</v>
      </c>
      <c r="DK353" s="18" t="b">
        <f>RecData[[#This Row],[Overall (dBA)]]&lt;$DS$3</f>
        <v>0</v>
      </c>
      <c r="DL3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3" s="2">
        <f>IF(AND(RecData[[#This Row],[Turbines ON/OFF]] = "OFF", NOT(OR(RecData[[#This Row],[Junk?]]="YES",RecData[[#This Row],[Gust?]],RecData[[#This Row],[Rain?]:[Min SPL Threshold?]]))),1,0)</f>
        <v>1</v>
      </c>
      <c r="DN353" s="16">
        <f>RecData[[#This Row],[dBA Sum]]</f>
        <v>18.051136381063138</v>
      </c>
      <c r="DO353" s="16">
        <f>RecData[[#This Row],[LAF90.0]]</f>
        <v>39.799999999999997</v>
      </c>
      <c r="DP353" s="55" t="str">
        <f>IF(AND(RecData[[#This Row],[Useable TON Data?]],RecData[[#This Row],[Turbines ON/OFF]]="ON"),RecData[[#This Row],[dBA Sum]],"")</f>
        <v/>
      </c>
      <c r="DQ353" s="55">
        <f>IF(AND(RecData[[#This Row],[Useable Background Data?]],RecData[[#This Row],[Turbines ON/OFF]]="OFF"),RecData[[#This Row],[dBA Sum]],"")</f>
        <v>18.051136381063138</v>
      </c>
      <c r="DR353" s="3">
        <f>IF(OR(RecData[[#This Row],[Useable TON Data?]],RecData[[#This Row],[Useable Background Data?]]),ROUND(RecData[[#This Row],[WSpd_Avg '[m/s']]],0),"")</f>
        <v>1</v>
      </c>
      <c r="DS353" s="85">
        <f>(0.00002)^2*(10^(RecData[[#This Row],[Overall (dBA)]]/10))</f>
        <v>2.5537220678633562E-8</v>
      </c>
    </row>
    <row r="354" spans="1:123" ht="15" x14ac:dyDescent="0.25">
      <c r="A354" s="3" t="s">
        <v>249</v>
      </c>
      <c r="B354" s="12">
        <v>43261.952083333337</v>
      </c>
      <c r="C354" s="3"/>
      <c r="D354" s="3">
        <v>40.799999999999997</v>
      </c>
      <c r="E354" s="3"/>
      <c r="F354" s="3"/>
      <c r="G354" s="3"/>
      <c r="H354" s="3"/>
      <c r="I354" s="3"/>
      <c r="J354" s="3"/>
      <c r="K354" s="3">
        <v>38.700000000000003</v>
      </c>
      <c r="L354" s="3"/>
      <c r="M354" s="3"/>
      <c r="N354" s="3">
        <v>152.19999999999999</v>
      </c>
      <c r="O354" s="3"/>
      <c r="P354" s="3"/>
      <c r="Q354" s="3">
        <v>0.73</v>
      </c>
      <c r="R354" s="3">
        <v>0.6</v>
      </c>
      <c r="S354" s="3">
        <v>0.9</v>
      </c>
      <c r="T354" s="3">
        <v>11.2</v>
      </c>
      <c r="U354" s="3">
        <v>78.400000000000006</v>
      </c>
      <c r="V354" s="3">
        <v>974.2</v>
      </c>
      <c r="W354" s="3">
        <v>0</v>
      </c>
      <c r="X354" s="3">
        <v>20.2</v>
      </c>
      <c r="Y354" s="3">
        <v>21.4</v>
      </c>
      <c r="Z354" s="3">
        <v>23</v>
      </c>
      <c r="AA354" s="3">
        <v>16</v>
      </c>
      <c r="AB354" s="3">
        <v>13.2</v>
      </c>
      <c r="AC354" s="3">
        <v>7.5</v>
      </c>
      <c r="AD354" s="3">
        <v>10.9</v>
      </c>
      <c r="AE354" s="3">
        <v>12.2</v>
      </c>
      <c r="AF354" s="3">
        <v>14.9</v>
      </c>
      <c r="AG354" s="3">
        <v>14.7</v>
      </c>
      <c r="AH354" s="3">
        <v>13.6</v>
      </c>
      <c r="AI354" s="3">
        <v>10.4</v>
      </c>
      <c r="AJ354" s="3">
        <v>10.7</v>
      </c>
      <c r="AK354" s="3">
        <v>8</v>
      </c>
      <c r="AL354" s="3">
        <v>6.3</v>
      </c>
      <c r="AM354" s="3">
        <v>6.9</v>
      </c>
      <c r="AN354" s="3">
        <v>7.7</v>
      </c>
      <c r="AO354" s="3">
        <v>7.2</v>
      </c>
      <c r="AP354" s="3">
        <v>7.8</v>
      </c>
      <c r="AQ354" s="3">
        <v>10.9</v>
      </c>
      <c r="AR354" s="3">
        <v>8.1999999999999993</v>
      </c>
      <c r="AS354" s="3">
        <v>32.200000000000003</v>
      </c>
      <c r="AT354" s="3">
        <v>38.6</v>
      </c>
      <c r="AU354" s="3">
        <v>13.3</v>
      </c>
      <c r="AV354" s="3">
        <v>9.4</v>
      </c>
      <c r="AW354" s="3">
        <v>9.6999999999999993</v>
      </c>
      <c r="AX354" s="3">
        <v>9.6</v>
      </c>
      <c r="AY354" s="3">
        <v>9.8000000000000007</v>
      </c>
      <c r="AZ354" s="3">
        <v>0</v>
      </c>
      <c r="BA354" s="3">
        <v>0</v>
      </c>
      <c r="BB354" s="3">
        <v>0</v>
      </c>
      <c r="BC354" s="3">
        <v>40.748604643754717</v>
      </c>
      <c r="BD354" s="3">
        <v>20.251395356245283</v>
      </c>
      <c r="BE354" s="3">
        <v>21.451395356245278</v>
      </c>
      <c r="BF354" s="3">
        <v>21.811395356245285</v>
      </c>
      <c r="BG354" s="3">
        <v>15.138062022911946</v>
      </c>
      <c r="BH354" s="3">
        <v>12.478062022911949</v>
      </c>
      <c r="BI354" s="3">
        <v>7.1913953562452804</v>
      </c>
      <c r="BJ354" s="3">
        <v>11.384728689578608</v>
      </c>
      <c r="BK354" s="3">
        <v>12.55806202291194</v>
      </c>
      <c r="BL354" s="3">
        <v>14.831395356245281</v>
      </c>
      <c r="BM354" s="3">
        <v>14.764728689578618</v>
      </c>
      <c r="BN354" s="3">
        <v>13.948062022911948</v>
      </c>
      <c r="BO354" s="3">
        <v>10.114728689578612</v>
      </c>
      <c r="BP354" s="3">
        <v>10.131395356245278</v>
      </c>
      <c r="BQ354" s="3">
        <v>7.8480620229119396</v>
      </c>
      <c r="BR354" s="3">
        <v>6.4747286895786118</v>
      </c>
      <c r="BS354" s="3">
        <v>6.8780620229119478</v>
      </c>
      <c r="BT354" s="3">
        <v>7.8747286895786175</v>
      </c>
      <c r="BU354" s="3">
        <v>7.3413953562452861</v>
      </c>
      <c r="BV354" s="3">
        <v>7.6580620229119489</v>
      </c>
      <c r="BW354" s="3">
        <v>11.291395356245282</v>
      </c>
      <c r="BX354" s="3">
        <v>8.5113953562452878</v>
      </c>
      <c r="BY354" s="3">
        <v>32.331395356245281</v>
      </c>
      <c r="BZ354" s="3">
        <v>38.861395356245282</v>
      </c>
      <c r="CA354" s="3">
        <v>13.661395356245272</v>
      </c>
      <c r="CB354" s="3">
        <v>9.198062022911941</v>
      </c>
      <c r="CC354" s="3">
        <v>9.7113953562452764</v>
      </c>
      <c r="CD354" s="3">
        <v>8.918062022911954</v>
      </c>
      <c r="CE354" s="3">
        <v>9.3113953562452778</v>
      </c>
      <c r="CF354" s="3">
        <v>-0.87527131042138961</v>
      </c>
      <c r="CG354" s="3">
        <v>-1.4086046437547211</v>
      </c>
      <c r="CH354" s="3">
        <v>-2.485271310421389</v>
      </c>
      <c r="CI354" s="13">
        <f>[1]!dbasum(RecData[[#This Row],[20]:[2000]],RecData[[#Headers],[20]:[2000]])</f>
        <v>17.69843833288741</v>
      </c>
      <c r="CJ354" s="14">
        <v>4716</v>
      </c>
      <c r="CK354" s="15" t="s">
        <v>249</v>
      </c>
      <c r="CL354" s="15">
        <f>RecData[[#This Row],[Start Time]]</f>
        <v>43261.952083333337</v>
      </c>
      <c r="CM354" s="16">
        <f>RecData[[#This Row],[Wind Speed avg]]</f>
        <v>0.73</v>
      </c>
      <c r="CN354" s="16">
        <f>RecData[[#This Row],[Wind Dir. avg]]</f>
        <v>152.19999999999999</v>
      </c>
      <c r="CO354" s="16">
        <f>RecData[[#This Row],[Amb. Humidity]]</f>
        <v>78.400000000000006</v>
      </c>
      <c r="CP354" s="16">
        <f>RecData[[#This Row],[Amb. Temperature]]</f>
        <v>11.2</v>
      </c>
      <c r="CQ354" s="17">
        <f>RecData[[#This Row],[Amb. Rain Gauge]]</f>
        <v>0</v>
      </c>
      <c r="CR354" s="4" t="s">
        <v>50</v>
      </c>
      <c r="CS354" s="4" t="s">
        <v>49</v>
      </c>
      <c r="CT354" s="70">
        <v>-9.2304401400000007</v>
      </c>
      <c r="CU354" s="70">
        <v>224.00187679999999</v>
      </c>
      <c r="CV354" s="70">
        <v>2.189786673</v>
      </c>
      <c r="CW354" s="70">
        <v>0</v>
      </c>
      <c r="CX354" s="4"/>
      <c r="CY354" s="69"/>
      <c r="CZ354" s="2" t="b">
        <f>IF($DP$1="YES",IF(RecData[[#This Row],[Power (kW)]]&gt;=$CR$3, TRUE,FALSE),TRUE)</f>
        <v>0</v>
      </c>
      <c r="DA354" s="16">
        <f>MIN(MOD(180-ABS(ABS($DA$1-RecData[Yaw Angle (°)])-180),360),MOD(180-ABS(ABS($DB$1-RecData[Yaw Angle (°)])-180),360))</f>
        <v>143.52804997768754</v>
      </c>
      <c r="DB354" s="2" t="str">
        <f>IF($DP$2="None","None",IF(RecData[[#This Row],[Relative Wind Direction]]&lt;=45,"DW",IF(RecData[[#This Row],[Relative Wind Direction]]&lt;=135,"CW","UW")))</f>
        <v>UW</v>
      </c>
      <c r="DC354" s="61">
        <f>IF($CL354-$CL350&gt;1/24,#REF!,IF(SUM($CQ350:$CQ354)&gt;$DS$1,$DS$5,DC355-1))</f>
        <v>-2</v>
      </c>
      <c r="DD354" s="61">
        <f>IF($CL355-$CL354&gt;1/24,#REF!,IF(SUM($CQ350:$CQ354)&gt;$DS$1,$DS$6,DD353-1))</f>
        <v>-9</v>
      </c>
      <c r="DE354" s="18" t="b">
        <v>0</v>
      </c>
      <c r="DF354" s="2" t="b">
        <f>IF(OR(RecData[[#This Row],[WSpd_Avg '[m/s']]]-RecData[[#This Row],[Wind Speed min]]&gt;=$DF$3,RecData[[#This Row],[Wind Speed max]]-RecData[[#This Row],[WSpd_Avg '[m/s']]]&gt;=$DF$2),TRUE,FALSE)</f>
        <v>0</v>
      </c>
      <c r="DG354" s="2" t="b">
        <f>RecData[[#This Row],[Temperature '[°C']]]&lt;=-20</f>
        <v>0</v>
      </c>
      <c r="DH354" s="18" t="b">
        <f>NOT(OR(MOD(RecData[[#This Row],[TIMESTAMP]],1)&gt;0.91632,MOD(RecData[[#This Row],[TIMESTAMP]],1)&lt;0.208681))</f>
        <v>0</v>
      </c>
      <c r="DI354" s="18" t="b">
        <f>RecData[[#This Row],[Overall (dBA)]]-RecData[[#This Row],[L90]]&gt;=$DS$4</f>
        <v>0</v>
      </c>
      <c r="DJ354" s="18" t="b">
        <f>RecData[[#This Row],[Overall (dBA)]]&gt;$DS$2</f>
        <v>0</v>
      </c>
      <c r="DK354" s="18" t="b">
        <f>RecData[[#This Row],[Overall (dBA)]]&lt;$DS$3</f>
        <v>0</v>
      </c>
      <c r="DL3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4" s="2">
        <f>IF(AND(RecData[[#This Row],[Turbines ON/OFF]] = "OFF", NOT(OR(RecData[[#This Row],[Junk?]]="YES",RecData[[#This Row],[Gust?]],RecData[[#This Row],[Rain?]:[Min SPL Threshold?]]))),1,0)</f>
        <v>1</v>
      </c>
      <c r="DN354" s="16">
        <f>RecData[[#This Row],[dBA Sum]]</f>
        <v>17.69843833288741</v>
      </c>
      <c r="DO354" s="16">
        <f>RecData[[#This Row],[LAF90.0]]</f>
        <v>38.700000000000003</v>
      </c>
      <c r="DP354" s="55" t="str">
        <f>IF(AND(RecData[[#This Row],[Useable TON Data?]],RecData[[#This Row],[Turbines ON/OFF]]="ON"),RecData[[#This Row],[dBA Sum]],"")</f>
        <v/>
      </c>
      <c r="DQ354" s="55">
        <f>IF(AND(RecData[[#This Row],[Useable Background Data?]],RecData[[#This Row],[Turbines ON/OFF]]="OFF"),RecData[[#This Row],[dBA Sum]],"")</f>
        <v>17.69843833288741</v>
      </c>
      <c r="DR354" s="3">
        <f>IF(OR(RecData[[#This Row],[Useable TON Data?]],RecData[[#This Row],[Useable Background Data?]]),ROUND(RecData[[#This Row],[WSpd_Avg '[m/s']]],0),"")</f>
        <v>1</v>
      </c>
      <c r="DS354" s="85">
        <f>(0.00002)^2*(10^(RecData[[#This Row],[Overall (dBA)]]/10))</f>
        <v>2.3545278112555405E-8</v>
      </c>
    </row>
    <row r="355" spans="1:123" ht="15" x14ac:dyDescent="0.25">
      <c r="A355" s="3" t="s">
        <v>249</v>
      </c>
      <c r="B355" s="12">
        <v>43261.952777777784</v>
      </c>
      <c r="C355" s="3"/>
      <c r="D355" s="3">
        <v>40.6</v>
      </c>
      <c r="E355" s="3"/>
      <c r="F355" s="3"/>
      <c r="G355" s="3"/>
      <c r="H355" s="3"/>
      <c r="I355" s="3"/>
      <c r="J355" s="3"/>
      <c r="K355" s="3">
        <v>38.9</v>
      </c>
      <c r="L355" s="3"/>
      <c r="M355" s="3"/>
      <c r="N355" s="3">
        <v>154</v>
      </c>
      <c r="O355" s="3"/>
      <c r="P355" s="3"/>
      <c r="Q355" s="3">
        <v>0.79</v>
      </c>
      <c r="R355" s="3">
        <v>0.7</v>
      </c>
      <c r="S355" s="3">
        <v>0.9</v>
      </c>
      <c r="T355" s="3">
        <v>11.2</v>
      </c>
      <c r="U355" s="3">
        <v>78.3</v>
      </c>
      <c r="V355" s="3">
        <v>974.2</v>
      </c>
      <c r="W355" s="3">
        <v>0</v>
      </c>
      <c r="X355" s="3">
        <v>19.8</v>
      </c>
      <c r="Y355" s="3">
        <v>23.6</v>
      </c>
      <c r="Z355" s="3">
        <v>21.4</v>
      </c>
      <c r="AA355" s="3">
        <v>16.600000000000001</v>
      </c>
      <c r="AB355" s="3">
        <v>13.6</v>
      </c>
      <c r="AC355" s="3">
        <v>7.4</v>
      </c>
      <c r="AD355" s="3">
        <v>10.7</v>
      </c>
      <c r="AE355" s="3">
        <v>12.3</v>
      </c>
      <c r="AF355" s="3">
        <v>15.7</v>
      </c>
      <c r="AG355" s="3">
        <v>14.3</v>
      </c>
      <c r="AH355" s="3">
        <v>13</v>
      </c>
      <c r="AI355" s="3">
        <v>11</v>
      </c>
      <c r="AJ355" s="3">
        <v>10.7</v>
      </c>
      <c r="AK355" s="3">
        <v>7.7</v>
      </c>
      <c r="AL355" s="3">
        <v>6</v>
      </c>
      <c r="AM355" s="3">
        <v>6.9</v>
      </c>
      <c r="AN355" s="3">
        <v>8.1</v>
      </c>
      <c r="AO355" s="3">
        <v>7.7</v>
      </c>
      <c r="AP355" s="3">
        <v>8</v>
      </c>
      <c r="AQ355" s="3">
        <v>11</v>
      </c>
      <c r="AR355" s="3">
        <v>8.1999999999999993</v>
      </c>
      <c r="AS355" s="3">
        <v>32</v>
      </c>
      <c r="AT355" s="3">
        <v>38.4</v>
      </c>
      <c r="AU355" s="3">
        <v>13.7</v>
      </c>
      <c r="AV355" s="3">
        <v>9.6</v>
      </c>
      <c r="AW355" s="3">
        <v>9.8000000000000007</v>
      </c>
      <c r="AX355" s="3">
        <v>9.6</v>
      </c>
      <c r="AY355" s="3">
        <v>9.8000000000000007</v>
      </c>
      <c r="AZ355" s="3">
        <v>0</v>
      </c>
      <c r="BA355" s="3">
        <v>0</v>
      </c>
      <c r="BB355" s="3">
        <v>0</v>
      </c>
      <c r="BC355" s="3">
        <v>40.552410263089904</v>
      </c>
      <c r="BD355" s="3">
        <v>19.847589736910102</v>
      </c>
      <c r="BE355" s="3">
        <v>23.647589736910099</v>
      </c>
      <c r="BF355" s="3">
        <v>20.207589736910101</v>
      </c>
      <c r="BG355" s="3">
        <v>15.734256403576765</v>
      </c>
      <c r="BH355" s="3">
        <v>12.874256403576766</v>
      </c>
      <c r="BI355" s="3">
        <v>7.0875897369100969</v>
      </c>
      <c r="BJ355" s="3">
        <v>11.180923070243431</v>
      </c>
      <c r="BK355" s="3">
        <v>12.65425640357676</v>
      </c>
      <c r="BL355" s="3">
        <v>15.627589736910096</v>
      </c>
      <c r="BM355" s="3">
        <v>14.360923070243437</v>
      </c>
      <c r="BN355" s="3">
        <v>13.344256403576765</v>
      </c>
      <c r="BO355" s="3">
        <v>10.710923070243432</v>
      </c>
      <c r="BP355" s="3">
        <v>10.127589736910096</v>
      </c>
      <c r="BQ355" s="3">
        <v>7.5442564035767532</v>
      </c>
      <c r="BR355" s="3">
        <v>6.1709230702434326</v>
      </c>
      <c r="BS355" s="3">
        <v>6.8742564035767657</v>
      </c>
      <c r="BT355" s="3">
        <v>8.270923070243434</v>
      </c>
      <c r="BU355" s="3">
        <v>7.837589736910104</v>
      </c>
      <c r="BV355" s="3">
        <v>7.8542564035767626</v>
      </c>
      <c r="BW355" s="3">
        <v>11.387589736910101</v>
      </c>
      <c r="BX355" s="3">
        <v>8.5075897369100986</v>
      </c>
      <c r="BY355" s="3">
        <v>32.127589736910103</v>
      </c>
      <c r="BZ355" s="3">
        <v>38.657589736910104</v>
      </c>
      <c r="CA355" s="3">
        <v>14.057589736910089</v>
      </c>
      <c r="CB355" s="3">
        <v>9.3942564035767617</v>
      </c>
      <c r="CC355" s="3">
        <v>9.8075897369100957</v>
      </c>
      <c r="CD355" s="3">
        <v>8.9142564035767649</v>
      </c>
      <c r="CE355" s="3">
        <v>9.3075897369100957</v>
      </c>
      <c r="CF355" s="3">
        <v>-0.8790769297565717</v>
      </c>
      <c r="CG355" s="3">
        <v>-1.4124102630899031</v>
      </c>
      <c r="CH355" s="3">
        <v>-2.4890769297565711</v>
      </c>
      <c r="CI355" s="13">
        <f>[1]!dbasum(RecData[[#This Row],[20]:[2000]],RecData[[#Headers],[20]:[2000]])</f>
        <v>17.807731806299387</v>
      </c>
      <c r="CJ355" s="14">
        <v>4717</v>
      </c>
      <c r="CK355" s="15" t="s">
        <v>249</v>
      </c>
      <c r="CL355" s="15">
        <f>RecData[[#This Row],[Start Time]]</f>
        <v>43261.952777777784</v>
      </c>
      <c r="CM355" s="16">
        <f>RecData[[#This Row],[Wind Speed avg]]</f>
        <v>0.79</v>
      </c>
      <c r="CN355" s="16">
        <f>RecData[[#This Row],[Wind Dir. avg]]</f>
        <v>154</v>
      </c>
      <c r="CO355" s="16">
        <f>RecData[[#This Row],[Amb. Humidity]]</f>
        <v>78.3</v>
      </c>
      <c r="CP355" s="16">
        <f>RecData[[#This Row],[Amb. Temperature]]</f>
        <v>11.2</v>
      </c>
      <c r="CQ355" s="17">
        <f>RecData[[#This Row],[Amb. Rain Gauge]]</f>
        <v>0</v>
      </c>
      <c r="CR355" s="4" t="s">
        <v>50</v>
      </c>
      <c r="CS355" s="4" t="s">
        <v>49</v>
      </c>
      <c r="CT355" s="70">
        <v>-9.2304401400000007</v>
      </c>
      <c r="CU355" s="70">
        <v>224.00187679999999</v>
      </c>
      <c r="CV355" s="70">
        <v>2.189786673</v>
      </c>
      <c r="CW355" s="70">
        <v>0</v>
      </c>
      <c r="CX355" s="4"/>
      <c r="CY355" s="69"/>
      <c r="CZ355" s="2" t="b">
        <f>IF($DP$1="YES",IF(RecData[[#This Row],[Power (kW)]]&gt;=$CR$3, TRUE,FALSE),TRUE)</f>
        <v>0</v>
      </c>
      <c r="DA355" s="16">
        <f>MIN(MOD(180-ABS(ABS($DA$1-RecData[Yaw Angle (°)])-180),360),MOD(180-ABS(ABS($DB$1-RecData[Yaw Angle (°)])-180),360))</f>
        <v>143.52804997768754</v>
      </c>
      <c r="DB355" s="2" t="str">
        <f>IF($DP$2="None","None",IF(RecData[[#This Row],[Relative Wind Direction]]&lt;=45,"DW",IF(RecData[[#This Row],[Relative Wind Direction]]&lt;=135,"CW","UW")))</f>
        <v>UW</v>
      </c>
      <c r="DC355" s="61">
        <v>-1</v>
      </c>
      <c r="DD355" s="61">
        <v>-1</v>
      </c>
      <c r="DE355" s="18" t="b">
        <v>0</v>
      </c>
      <c r="DF355" s="2" t="b">
        <f>IF(OR(RecData[[#This Row],[WSpd_Avg '[m/s']]]-RecData[[#This Row],[Wind Speed min]]&gt;=$DF$3,RecData[[#This Row],[Wind Speed max]]-RecData[[#This Row],[WSpd_Avg '[m/s']]]&gt;=$DF$2),TRUE,FALSE)</f>
        <v>0</v>
      </c>
      <c r="DG355" s="2" t="b">
        <f>RecData[[#This Row],[Temperature '[°C']]]&lt;=-20</f>
        <v>0</v>
      </c>
      <c r="DH355" s="18" t="b">
        <f>NOT(OR(MOD(RecData[[#This Row],[TIMESTAMP]],1)&gt;0.91632,MOD(RecData[[#This Row],[TIMESTAMP]],1)&lt;0.208681))</f>
        <v>0</v>
      </c>
      <c r="DI355" s="18" t="b">
        <f>RecData[[#This Row],[Overall (dBA)]]-RecData[[#This Row],[L90]]&gt;=$DS$4</f>
        <v>0</v>
      </c>
      <c r="DJ355" s="18" t="b">
        <f>RecData[[#This Row],[Overall (dBA)]]&gt;$DS$2</f>
        <v>0</v>
      </c>
      <c r="DK355" s="18" t="b">
        <f>RecData[[#This Row],[Overall (dBA)]]&lt;$DS$3</f>
        <v>0</v>
      </c>
      <c r="DL3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5" s="2">
        <f>IF(AND(RecData[[#This Row],[Turbines ON/OFF]] = "OFF", NOT(OR(RecData[[#This Row],[Junk?]]="YES",RecData[[#This Row],[Gust?]],RecData[[#This Row],[Rain?]:[Min SPL Threshold?]]))),1,0)</f>
        <v>1</v>
      </c>
      <c r="DN355" s="16">
        <f>RecData[[#This Row],[dBA Sum]]</f>
        <v>17.807731806299387</v>
      </c>
      <c r="DO355" s="16">
        <f>RecData[[#This Row],[LAF90.0]]</f>
        <v>38.9</v>
      </c>
      <c r="DP355" s="55" t="str">
        <f>IF(AND(RecData[[#This Row],[Useable TON Data?]],RecData[[#This Row],[Turbines ON/OFF]]="ON"),RecData[[#This Row],[dBA Sum]],"")</f>
        <v/>
      </c>
      <c r="DQ355" s="55">
        <f>IF(AND(RecData[[#This Row],[Useable Background Data?]],RecData[[#This Row],[Turbines ON/OFF]]="OFF"),RecData[[#This Row],[dBA Sum]],"")</f>
        <v>17.807731806299387</v>
      </c>
      <c r="DR355" s="3">
        <f>IF(OR(RecData[[#This Row],[Useable TON Data?]],RecData[[#This Row],[Useable Background Data?]]),ROUND(RecData[[#This Row],[WSpd_Avg '[m/s']]],0),"")</f>
        <v>1</v>
      </c>
      <c r="DS355" s="85">
        <f>(0.00002)^2*(10^(RecData[[#This Row],[Overall (dBA)]]/10))</f>
        <v>2.4145331477449412E-8</v>
      </c>
    </row>
    <row r="356" spans="1:123" ht="15" x14ac:dyDescent="0.25">
      <c r="A356" s="3" t="s">
        <v>249</v>
      </c>
      <c r="B356" s="12">
        <v>43261.953472222231</v>
      </c>
      <c r="C356" s="3"/>
      <c r="D356" s="3">
        <v>40.5</v>
      </c>
      <c r="E356" s="3"/>
      <c r="F356" s="3"/>
      <c r="G356" s="3"/>
      <c r="H356" s="3"/>
      <c r="I356" s="3"/>
      <c r="J356" s="3"/>
      <c r="K356" s="3">
        <v>38.700000000000003</v>
      </c>
      <c r="L356" s="3"/>
      <c r="M356" s="3"/>
      <c r="N356" s="3">
        <v>148</v>
      </c>
      <c r="O356" s="3"/>
      <c r="P356" s="3"/>
      <c r="Q356" s="3">
        <v>0.69</v>
      </c>
      <c r="R356" s="3">
        <v>0.6</v>
      </c>
      <c r="S356" s="3">
        <v>0.8</v>
      </c>
      <c r="T356" s="3">
        <v>11.2</v>
      </c>
      <c r="U356" s="3">
        <v>78.400000000000006</v>
      </c>
      <c r="V356" s="3">
        <v>974.2</v>
      </c>
      <c r="W356" s="3">
        <v>0</v>
      </c>
      <c r="X356" s="3">
        <v>18.899999999999999</v>
      </c>
      <c r="Y356" s="3">
        <v>18.399999999999999</v>
      </c>
      <c r="Z356" s="3">
        <v>19.3</v>
      </c>
      <c r="AA356" s="3">
        <v>13.7</v>
      </c>
      <c r="AB356" s="3">
        <v>12.5</v>
      </c>
      <c r="AC356" s="3">
        <v>6.9</v>
      </c>
      <c r="AD356" s="3">
        <v>10.1</v>
      </c>
      <c r="AE356" s="3">
        <v>11</v>
      </c>
      <c r="AF356" s="3">
        <v>14.4</v>
      </c>
      <c r="AG356" s="3">
        <v>15.9</v>
      </c>
      <c r="AH356" s="3">
        <v>13.7</v>
      </c>
      <c r="AI356" s="3">
        <v>10</v>
      </c>
      <c r="AJ356" s="3">
        <v>11</v>
      </c>
      <c r="AK356" s="3">
        <v>7.7</v>
      </c>
      <c r="AL356" s="3">
        <v>5.9</v>
      </c>
      <c r="AM356" s="3">
        <v>7</v>
      </c>
      <c r="AN356" s="3">
        <v>7.1</v>
      </c>
      <c r="AO356" s="3">
        <v>6.8</v>
      </c>
      <c r="AP356" s="3">
        <v>7.6</v>
      </c>
      <c r="AQ356" s="3">
        <v>10.5</v>
      </c>
      <c r="AR356" s="3">
        <v>7.9</v>
      </c>
      <c r="AS356" s="3">
        <v>31.6</v>
      </c>
      <c r="AT356" s="3">
        <v>38.4</v>
      </c>
      <c r="AU356" s="3">
        <v>13.6</v>
      </c>
      <c r="AV356" s="3">
        <v>9.4</v>
      </c>
      <c r="AW356" s="3">
        <v>9.6</v>
      </c>
      <c r="AX356" s="3">
        <v>9.5</v>
      </c>
      <c r="AY356" s="3">
        <v>9.6999999999999993</v>
      </c>
      <c r="AZ356" s="3">
        <v>0</v>
      </c>
      <c r="BA356" s="3">
        <v>0</v>
      </c>
      <c r="BB356" s="3">
        <v>0</v>
      </c>
      <c r="BC356" s="3">
        <v>40.477865920616736</v>
      </c>
      <c r="BD356" s="3">
        <v>18.922134079383262</v>
      </c>
      <c r="BE356" s="3">
        <v>18.422134079383262</v>
      </c>
      <c r="BF356" s="3">
        <v>18.082134079383266</v>
      </c>
      <c r="BG356" s="3">
        <v>12.808800746049926</v>
      </c>
      <c r="BH356" s="3">
        <v>11.74880074604993</v>
      </c>
      <c r="BI356" s="3">
        <v>6.562134079383263</v>
      </c>
      <c r="BJ356" s="3">
        <v>10.555467412716595</v>
      </c>
      <c r="BK356" s="3">
        <v>11.328800746049929</v>
      </c>
      <c r="BL356" s="3">
        <v>14.302134079383265</v>
      </c>
      <c r="BM356" s="3">
        <v>15.935467412716598</v>
      </c>
      <c r="BN356" s="3">
        <v>14.018800746049934</v>
      </c>
      <c r="BO356" s="3">
        <v>9.6854674127165978</v>
      </c>
      <c r="BP356" s="3">
        <v>10.402134079383266</v>
      </c>
      <c r="BQ356" s="3">
        <v>7.5188007460499193</v>
      </c>
      <c r="BR356" s="3">
        <v>6.0454674127165973</v>
      </c>
      <c r="BS356" s="3">
        <v>6.9488007460499333</v>
      </c>
      <c r="BT356" s="3">
        <v>7.2454674127166001</v>
      </c>
      <c r="BU356" s="3">
        <v>6.9121340793832644</v>
      </c>
      <c r="BV356" s="3">
        <v>7.4288007460499301</v>
      </c>
      <c r="BW356" s="3">
        <v>10.862134079383267</v>
      </c>
      <c r="BX356" s="3">
        <v>8.1821340793832675</v>
      </c>
      <c r="BY356" s="3">
        <v>31.702134079383271</v>
      </c>
      <c r="BZ356" s="3">
        <v>38.632134079383263</v>
      </c>
      <c r="CA356" s="3">
        <v>13.93213407938326</v>
      </c>
      <c r="CB356" s="3">
        <v>9.168800746049925</v>
      </c>
      <c r="CC356" s="3">
        <v>9.5821340793832661</v>
      </c>
      <c r="CD356" s="3">
        <v>8.7888007460499367</v>
      </c>
      <c r="CE356" s="3">
        <v>9.1821340793832604</v>
      </c>
      <c r="CF356" s="3">
        <v>-0.90453258728340558</v>
      </c>
      <c r="CG356" s="3">
        <v>-1.437865920616737</v>
      </c>
      <c r="CH356" s="3">
        <v>-2.514532587283405</v>
      </c>
      <c r="CI356" s="13">
        <f>[1]!dbasum(RecData[[#This Row],[20]:[2000]],RecData[[#Headers],[20]:[2000]])</f>
        <v>17.408922546006945</v>
      </c>
      <c r="CJ356" s="14">
        <v>4718</v>
      </c>
      <c r="CK356" s="15" t="s">
        <v>249</v>
      </c>
      <c r="CL356" s="15">
        <f>RecData[[#This Row],[Start Time]]</f>
        <v>43261.953472222231</v>
      </c>
      <c r="CM356" s="16">
        <f>RecData[[#This Row],[Wind Speed avg]]</f>
        <v>0.69</v>
      </c>
      <c r="CN356" s="16">
        <f>RecData[[#This Row],[Wind Dir. avg]]</f>
        <v>148</v>
      </c>
      <c r="CO356" s="16">
        <f>RecData[[#This Row],[Amb. Humidity]]</f>
        <v>78.400000000000006</v>
      </c>
      <c r="CP356" s="16">
        <f>RecData[[#This Row],[Amb. Temperature]]</f>
        <v>11.2</v>
      </c>
      <c r="CQ356" s="17">
        <f>RecData[[#This Row],[Amb. Rain Gauge]]</f>
        <v>0</v>
      </c>
      <c r="CR356" s="4" t="s">
        <v>50</v>
      </c>
      <c r="CS356" s="4" t="s">
        <v>49</v>
      </c>
      <c r="CT356" s="70">
        <v>-9.2304401400000007</v>
      </c>
      <c r="CU356" s="70">
        <v>224.00187679999999</v>
      </c>
      <c r="CV356" s="70">
        <v>2.189786673</v>
      </c>
      <c r="CW356" s="70">
        <v>0</v>
      </c>
      <c r="CX356" s="4"/>
      <c r="CY356" s="69"/>
      <c r="CZ356" s="2" t="b">
        <f>IF($DP$1="YES",IF(RecData[[#This Row],[Power (kW)]]&gt;=$CR$3, TRUE,FALSE),TRUE)</f>
        <v>0</v>
      </c>
      <c r="DA356" s="16">
        <f>MIN(MOD(180-ABS(ABS($DA$1-RecData[Yaw Angle (°)])-180),360),MOD(180-ABS(ABS($DB$1-RecData[Yaw Angle (°)])-180),360))</f>
        <v>143.52804997768754</v>
      </c>
      <c r="DB356" s="2" t="str">
        <f>IF($DP$2="None","None",IF(RecData[[#This Row],[Relative Wind Direction]]&lt;=45,"DW",IF(RecData[[#This Row],[Relative Wind Direction]]&lt;=135,"CW","UW")))</f>
        <v>UW</v>
      </c>
      <c r="DC356" s="61" t="e">
        <f>IF($CL356-$CL355&gt;1/24,#REF!,IF(SUM($CQ355:$CQ356)&gt;$DS$1,$DS$5,DC357-1))</f>
        <v>#REF!</v>
      </c>
      <c r="DD356" s="61">
        <f>IF($CL357-$CL356&gt;1/24,#REF!,IF(SUM($CQ355:$CQ356)&gt;$DS$1,$DS$6,DD355-1))</f>
        <v>-2</v>
      </c>
      <c r="DE356" s="18" t="b">
        <v>0</v>
      </c>
      <c r="DF356" s="2" t="b">
        <f>IF(OR(RecData[[#This Row],[WSpd_Avg '[m/s']]]-RecData[[#This Row],[Wind Speed min]]&gt;=$DF$3,RecData[[#This Row],[Wind Speed max]]-RecData[[#This Row],[WSpd_Avg '[m/s']]]&gt;=$DF$2),TRUE,FALSE)</f>
        <v>0</v>
      </c>
      <c r="DG356" s="2" t="b">
        <f>RecData[[#This Row],[Temperature '[°C']]]&lt;=-20</f>
        <v>0</v>
      </c>
      <c r="DH356" s="18" t="b">
        <f>NOT(OR(MOD(RecData[[#This Row],[TIMESTAMP]],1)&gt;0.91632,MOD(RecData[[#This Row],[TIMESTAMP]],1)&lt;0.208681))</f>
        <v>0</v>
      </c>
      <c r="DI356" s="18" t="b">
        <f>RecData[[#This Row],[Overall (dBA)]]-RecData[[#This Row],[L90]]&gt;=$DS$4</f>
        <v>0</v>
      </c>
      <c r="DJ356" s="18" t="b">
        <f>RecData[[#This Row],[Overall (dBA)]]&gt;$DS$2</f>
        <v>0</v>
      </c>
      <c r="DK356" s="18" t="b">
        <f>RecData[[#This Row],[Overall (dBA)]]&lt;$DS$3</f>
        <v>0</v>
      </c>
      <c r="DL3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6" s="2">
        <f>IF(AND(RecData[[#This Row],[Turbines ON/OFF]] = "OFF", NOT(OR(RecData[[#This Row],[Junk?]]="YES",RecData[[#This Row],[Gust?]],RecData[[#This Row],[Rain?]:[Min SPL Threshold?]]))),1,0)</f>
        <v>1</v>
      </c>
      <c r="DN356" s="16">
        <f>RecData[[#This Row],[dBA Sum]]</f>
        <v>17.408922546006945</v>
      </c>
      <c r="DO356" s="16">
        <f>RecData[[#This Row],[LAF90.0]]</f>
        <v>38.700000000000003</v>
      </c>
      <c r="DP356" s="55" t="str">
        <f>IF(AND(RecData[[#This Row],[Useable TON Data?]],RecData[[#This Row],[Turbines ON/OFF]]="ON"),RecData[[#This Row],[dBA Sum]],"")</f>
        <v/>
      </c>
      <c r="DQ356" s="55">
        <f>IF(AND(RecData[[#This Row],[Useable Background Data?]],RecData[[#This Row],[Turbines ON/OFF]]="OFF"),RecData[[#This Row],[dBA Sum]],"")</f>
        <v>17.408922546006945</v>
      </c>
      <c r="DR356" s="3">
        <f>IF(OR(RecData[[#This Row],[Useable TON Data?]],RecData[[#This Row],[Useable Background Data?]]),ROUND(RecData[[#This Row],[WSpd_Avg '[m/s']]],0),"")</f>
        <v>1</v>
      </c>
      <c r="DS356" s="85">
        <f>(0.00002)^2*(10^(RecData[[#This Row],[Overall (dBA)]]/10))</f>
        <v>2.2026842473948066E-8</v>
      </c>
    </row>
    <row r="357" spans="1:123" ht="15" x14ac:dyDescent="0.25">
      <c r="A357" s="3" t="s">
        <v>249</v>
      </c>
      <c r="B357" s="12">
        <v>43261.95416666667</v>
      </c>
      <c r="C357" s="3"/>
      <c r="D357" s="3">
        <v>40.4</v>
      </c>
      <c r="E357" s="3"/>
      <c r="F357" s="3"/>
      <c r="G357" s="3"/>
      <c r="H357" s="3"/>
      <c r="I357" s="3"/>
      <c r="J357" s="3"/>
      <c r="K357" s="3">
        <v>38.4</v>
      </c>
      <c r="L357" s="3"/>
      <c r="M357" s="3"/>
      <c r="N357" s="3">
        <v>151.69999999999999</v>
      </c>
      <c r="O357" s="3"/>
      <c r="P357" s="3"/>
      <c r="Q357" s="3">
        <v>0.55000000000000004</v>
      </c>
      <c r="R357" s="3">
        <v>0.4</v>
      </c>
      <c r="S357" s="3">
        <v>0.7</v>
      </c>
      <c r="T357" s="3">
        <v>11.2</v>
      </c>
      <c r="U357" s="3">
        <v>78.7</v>
      </c>
      <c r="V357" s="3">
        <v>974.2</v>
      </c>
      <c r="W357" s="3">
        <v>0</v>
      </c>
      <c r="X357" s="3">
        <v>17.8</v>
      </c>
      <c r="Y357" s="3">
        <v>18.600000000000001</v>
      </c>
      <c r="Z357" s="3">
        <v>20</v>
      </c>
      <c r="AA357" s="3">
        <v>12.2</v>
      </c>
      <c r="AB357" s="3">
        <v>11.4</v>
      </c>
      <c r="AC357" s="3">
        <v>6.3</v>
      </c>
      <c r="AD357" s="3">
        <v>11.1</v>
      </c>
      <c r="AE357" s="3">
        <v>11.5</v>
      </c>
      <c r="AF357" s="3">
        <v>14.5</v>
      </c>
      <c r="AG357" s="3">
        <v>15</v>
      </c>
      <c r="AH357" s="3">
        <v>13.3</v>
      </c>
      <c r="AI357" s="3">
        <v>10.6</v>
      </c>
      <c r="AJ357" s="3">
        <v>11.5</v>
      </c>
      <c r="AK357" s="3">
        <v>8.4</v>
      </c>
      <c r="AL357" s="3">
        <v>6.7</v>
      </c>
      <c r="AM357" s="3">
        <v>6.4</v>
      </c>
      <c r="AN357" s="3">
        <v>7</v>
      </c>
      <c r="AO357" s="3">
        <v>6.9</v>
      </c>
      <c r="AP357" s="3">
        <v>7.6</v>
      </c>
      <c r="AQ357" s="3">
        <v>10.4</v>
      </c>
      <c r="AR357" s="3">
        <v>7.7</v>
      </c>
      <c r="AS357" s="3">
        <v>32.299999999999997</v>
      </c>
      <c r="AT357" s="3">
        <v>38</v>
      </c>
      <c r="AU357" s="3">
        <v>13</v>
      </c>
      <c r="AV357" s="3">
        <v>9.5</v>
      </c>
      <c r="AW357" s="3">
        <v>9.6999999999999993</v>
      </c>
      <c r="AX357" s="3">
        <v>9.6</v>
      </c>
      <c r="AY357" s="3">
        <v>9.8000000000000007</v>
      </c>
      <c r="AZ357" s="3">
        <v>0</v>
      </c>
      <c r="BA357" s="3">
        <v>0</v>
      </c>
      <c r="BB357" s="3">
        <v>0</v>
      </c>
      <c r="BC357" s="3">
        <v>40.29232585699841</v>
      </c>
      <c r="BD357" s="3">
        <v>17.907674143001593</v>
      </c>
      <c r="BE357" s="3">
        <v>18.70767414300159</v>
      </c>
      <c r="BF357" s="3">
        <v>18.867674143001587</v>
      </c>
      <c r="BG357" s="3">
        <v>11.39434080966825</v>
      </c>
      <c r="BH357" s="3">
        <v>10.734340809668261</v>
      </c>
      <c r="BI357" s="3">
        <v>6.0476741430015863</v>
      </c>
      <c r="BJ357" s="3">
        <v>11.64100747633492</v>
      </c>
      <c r="BK357" s="3">
        <v>11.914340809668253</v>
      </c>
      <c r="BL357" s="3">
        <v>14.487674143001591</v>
      </c>
      <c r="BM357" s="3">
        <v>15.121007476334924</v>
      </c>
      <c r="BN357" s="3">
        <v>13.70434080966826</v>
      </c>
      <c r="BO357" s="3">
        <v>10.371007476334924</v>
      </c>
      <c r="BP357" s="3">
        <v>10.987674143001591</v>
      </c>
      <c r="BQ357" s="3">
        <v>8.3043408096682469</v>
      </c>
      <c r="BR357" s="3">
        <v>6.9310074763349263</v>
      </c>
      <c r="BS357" s="3">
        <v>6.4343408096682566</v>
      </c>
      <c r="BT357" s="3">
        <v>7.2310074763349235</v>
      </c>
      <c r="BU357" s="3">
        <v>7.0976741430015906</v>
      </c>
      <c r="BV357" s="3">
        <v>7.5143408096682549</v>
      </c>
      <c r="BW357" s="3">
        <v>10.847674143001591</v>
      </c>
      <c r="BX357" s="3">
        <v>8.0676741430015966</v>
      </c>
      <c r="BY357" s="3">
        <v>32.487674143001591</v>
      </c>
      <c r="BZ357" s="3">
        <v>38.317674143001589</v>
      </c>
      <c r="CA357" s="3">
        <v>13.417674143001584</v>
      </c>
      <c r="CB357" s="3">
        <v>9.3543408096682512</v>
      </c>
      <c r="CC357" s="3">
        <v>9.7676741430015852</v>
      </c>
      <c r="CD357" s="3">
        <v>8.9743408096682558</v>
      </c>
      <c r="CE357" s="3">
        <v>9.3676741430015866</v>
      </c>
      <c r="CF357" s="3">
        <v>-0.8189925236650808</v>
      </c>
      <c r="CG357" s="3">
        <v>-1.3523258569984122</v>
      </c>
      <c r="CH357" s="3">
        <v>-2.4289925236650802</v>
      </c>
      <c r="CI357" s="13">
        <f>[1]!dbasum(RecData[[#This Row],[20]:[2000]],RecData[[#Headers],[20]:[2000]])</f>
        <v>17.460458505867209</v>
      </c>
      <c r="CJ357" s="14">
        <v>4719</v>
      </c>
      <c r="CK357" s="15" t="s">
        <v>249</v>
      </c>
      <c r="CL357" s="15">
        <f>RecData[[#This Row],[Start Time]]</f>
        <v>43261.95416666667</v>
      </c>
      <c r="CM357" s="16">
        <f>RecData[[#This Row],[Wind Speed avg]]</f>
        <v>0.55000000000000004</v>
      </c>
      <c r="CN357" s="16">
        <f>RecData[[#This Row],[Wind Dir. avg]]</f>
        <v>151.69999999999999</v>
      </c>
      <c r="CO357" s="16">
        <f>RecData[[#This Row],[Amb. Humidity]]</f>
        <v>78.7</v>
      </c>
      <c r="CP357" s="16">
        <f>RecData[[#This Row],[Amb. Temperature]]</f>
        <v>11.2</v>
      </c>
      <c r="CQ357" s="17">
        <f>RecData[[#This Row],[Amb. Rain Gauge]]</f>
        <v>0</v>
      </c>
      <c r="CR357" s="4" t="s">
        <v>50</v>
      </c>
      <c r="CS357" s="4" t="s">
        <v>49</v>
      </c>
      <c r="CT357" s="70">
        <v>-9.2304401400000007</v>
      </c>
      <c r="CU357" s="70">
        <v>224.00187679999999</v>
      </c>
      <c r="CV357" s="70">
        <v>2.189786673</v>
      </c>
      <c r="CW357" s="70">
        <v>0</v>
      </c>
      <c r="CX357" s="4"/>
      <c r="CY357" s="69"/>
      <c r="CZ357" s="2" t="b">
        <f>IF($DP$1="YES",IF(RecData[[#This Row],[Power (kW)]]&gt;=$CR$3, TRUE,FALSE),TRUE)</f>
        <v>0</v>
      </c>
      <c r="DA357" s="16">
        <f>MIN(MOD(180-ABS(ABS($DA$1-RecData[Yaw Angle (°)])-180),360),MOD(180-ABS(ABS($DB$1-RecData[Yaw Angle (°)])-180),360))</f>
        <v>143.52804997768754</v>
      </c>
      <c r="DB357" s="2" t="str">
        <f>IF($DP$2="None","None",IF(RecData[[#This Row],[Relative Wind Direction]]&lt;=45,"DW",IF(RecData[[#This Row],[Relative Wind Direction]]&lt;=135,"CW","UW")))</f>
        <v>UW</v>
      </c>
      <c r="DC357" s="61" t="e">
        <f>IF($CL357-$CL355&gt;1/24,#REF!,IF(SUM($CQ355:$CQ357)&gt;$DS$1,$DS$5,DC358-1))</f>
        <v>#REF!</v>
      </c>
      <c r="DD357" s="61">
        <f>IF($CL358-$CL357&gt;1/24,#REF!,IF(SUM($CQ355:$CQ357)&gt;$DS$1,$DS$6,DD356-1))</f>
        <v>-3</v>
      </c>
      <c r="DE357" s="18" t="b">
        <v>0</v>
      </c>
      <c r="DF357" s="2" t="b">
        <f>IF(OR(RecData[[#This Row],[WSpd_Avg '[m/s']]]-RecData[[#This Row],[Wind Speed min]]&gt;=$DF$3,RecData[[#This Row],[Wind Speed max]]-RecData[[#This Row],[WSpd_Avg '[m/s']]]&gt;=$DF$2),TRUE,FALSE)</f>
        <v>0</v>
      </c>
      <c r="DG357" s="2" t="b">
        <f>RecData[[#This Row],[Temperature '[°C']]]&lt;=-20</f>
        <v>0</v>
      </c>
      <c r="DH357" s="18" t="b">
        <f>NOT(OR(MOD(RecData[[#This Row],[TIMESTAMP]],1)&gt;0.91632,MOD(RecData[[#This Row],[TIMESTAMP]],1)&lt;0.208681))</f>
        <v>0</v>
      </c>
      <c r="DI357" s="18" t="b">
        <f>RecData[[#This Row],[Overall (dBA)]]-RecData[[#This Row],[L90]]&gt;=$DS$4</f>
        <v>0</v>
      </c>
      <c r="DJ357" s="18" t="b">
        <f>RecData[[#This Row],[Overall (dBA)]]&gt;$DS$2</f>
        <v>0</v>
      </c>
      <c r="DK357" s="18" t="b">
        <f>RecData[[#This Row],[Overall (dBA)]]&lt;$DS$3</f>
        <v>0</v>
      </c>
      <c r="DL3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7" s="2">
        <f>IF(AND(RecData[[#This Row],[Turbines ON/OFF]] = "OFF", NOT(OR(RecData[[#This Row],[Junk?]]="YES",RecData[[#This Row],[Gust?]],RecData[[#This Row],[Rain?]:[Min SPL Threshold?]]))),1,0)</f>
        <v>1</v>
      </c>
      <c r="DN357" s="16">
        <f>RecData[[#This Row],[dBA Sum]]</f>
        <v>17.460458505867209</v>
      </c>
      <c r="DO357" s="16">
        <f>RecData[[#This Row],[LAF90.0]]</f>
        <v>38.4</v>
      </c>
      <c r="DP357" s="55" t="str">
        <f>IF(AND(RecData[[#This Row],[Useable TON Data?]],RecData[[#This Row],[Turbines ON/OFF]]="ON"),RecData[[#This Row],[dBA Sum]],"")</f>
        <v/>
      </c>
      <c r="DQ357" s="55">
        <f>IF(AND(RecData[[#This Row],[Useable Background Data?]],RecData[[#This Row],[Turbines ON/OFF]]="OFF"),RecData[[#This Row],[dBA Sum]],"")</f>
        <v>17.460458505867209</v>
      </c>
      <c r="DR357" s="3">
        <f>IF(OR(RecData[[#This Row],[Useable TON Data?]],RecData[[#This Row],[Useable Background Data?]]),ROUND(RecData[[#This Row],[WSpd_Avg '[m/s']]],0),"")</f>
        <v>1</v>
      </c>
      <c r="DS357" s="85">
        <f>(0.00002)^2*(10^(RecData[[#This Row],[Overall (dBA)]]/10))</f>
        <v>2.2289783074177316E-8</v>
      </c>
    </row>
    <row r="358" spans="1:123" ht="15" x14ac:dyDescent="0.25">
      <c r="A358" s="3" t="s">
        <v>249</v>
      </c>
      <c r="B358" s="12">
        <v>43261.954861111117</v>
      </c>
      <c r="C358" s="3"/>
      <c r="D358" s="3">
        <v>39.799999999999997</v>
      </c>
      <c r="E358" s="3"/>
      <c r="F358" s="3"/>
      <c r="G358" s="3"/>
      <c r="H358" s="3"/>
      <c r="I358" s="3"/>
      <c r="J358" s="3"/>
      <c r="K358" s="3">
        <v>37.9</v>
      </c>
      <c r="L358" s="3"/>
      <c r="M358" s="3"/>
      <c r="N358" s="3">
        <v>127.3</v>
      </c>
      <c r="O358" s="3"/>
      <c r="P358" s="3"/>
      <c r="Q358" s="3">
        <v>0.35</v>
      </c>
      <c r="R358" s="3">
        <v>0.1</v>
      </c>
      <c r="S358" s="3">
        <v>0.5</v>
      </c>
      <c r="T358" s="3">
        <v>11.1</v>
      </c>
      <c r="U358" s="3">
        <v>79</v>
      </c>
      <c r="V358" s="3">
        <v>974.2</v>
      </c>
      <c r="W358" s="3">
        <v>0</v>
      </c>
      <c r="X358" s="3">
        <v>16.8</v>
      </c>
      <c r="Y358" s="3">
        <v>15.3</v>
      </c>
      <c r="Z358" s="3">
        <v>18.3</v>
      </c>
      <c r="AA358" s="3">
        <v>13.9</v>
      </c>
      <c r="AB358" s="3">
        <v>11.1</v>
      </c>
      <c r="AC358" s="3">
        <v>6.8</v>
      </c>
      <c r="AD358" s="3">
        <v>11.3</v>
      </c>
      <c r="AE358" s="3">
        <v>11.4</v>
      </c>
      <c r="AF358" s="3">
        <v>15.7</v>
      </c>
      <c r="AG358" s="3">
        <v>14.7</v>
      </c>
      <c r="AH358" s="3">
        <v>14</v>
      </c>
      <c r="AI358" s="3">
        <v>10.9</v>
      </c>
      <c r="AJ358" s="3">
        <v>11.2</v>
      </c>
      <c r="AK358" s="3">
        <v>8</v>
      </c>
      <c r="AL358" s="3">
        <v>6.9</v>
      </c>
      <c r="AM358" s="3">
        <v>6.9</v>
      </c>
      <c r="AN358" s="3">
        <v>7.3</v>
      </c>
      <c r="AO358" s="3">
        <v>6.9</v>
      </c>
      <c r="AP358" s="3">
        <v>7.4</v>
      </c>
      <c r="AQ358" s="3">
        <v>9.8000000000000007</v>
      </c>
      <c r="AR358" s="3">
        <v>7.5</v>
      </c>
      <c r="AS358" s="3">
        <v>31.4</v>
      </c>
      <c r="AT358" s="3">
        <v>37.5</v>
      </c>
      <c r="AU358" s="3">
        <v>12.9</v>
      </c>
      <c r="AV358" s="3">
        <v>9.1999999999999993</v>
      </c>
      <c r="AW358" s="3">
        <v>9.5</v>
      </c>
      <c r="AX358" s="3">
        <v>9.5</v>
      </c>
      <c r="AY358" s="3">
        <v>9.6999999999999993</v>
      </c>
      <c r="AZ358" s="3">
        <v>0</v>
      </c>
      <c r="BA358" s="3">
        <v>0</v>
      </c>
      <c r="BB358" s="3">
        <v>0</v>
      </c>
      <c r="BC358" s="3">
        <v>39.714258782286812</v>
      </c>
      <c r="BD358" s="3">
        <v>16.885741217713182</v>
      </c>
      <c r="BE358" s="3">
        <v>15.385741217713182</v>
      </c>
      <c r="BF358" s="3">
        <v>17.145741217713187</v>
      </c>
      <c r="BG358" s="3">
        <v>13.072407884379849</v>
      </c>
      <c r="BH358" s="3">
        <v>10.412407884379853</v>
      </c>
      <c r="BI358" s="3">
        <v>6.5257412177131826</v>
      </c>
      <c r="BJ358" s="3">
        <v>11.819074551046519</v>
      </c>
      <c r="BK358" s="3">
        <v>11.792407884379848</v>
      </c>
      <c r="BL358" s="3">
        <v>15.665741217713183</v>
      </c>
      <c r="BM358" s="3">
        <v>14.799074551046523</v>
      </c>
      <c r="BN358" s="3">
        <v>14.382407884379852</v>
      </c>
      <c r="BO358" s="3">
        <v>10.649074551046517</v>
      </c>
      <c r="BP358" s="3">
        <v>10.665741217713183</v>
      </c>
      <c r="BQ358" s="3">
        <v>7.8824078843798446</v>
      </c>
      <c r="BR358" s="3">
        <v>7.1090745510465183</v>
      </c>
      <c r="BS358" s="3">
        <v>6.9124078843798529</v>
      </c>
      <c r="BT358" s="3">
        <v>7.5090745510465169</v>
      </c>
      <c r="BU358" s="3">
        <v>7.0757412177131869</v>
      </c>
      <c r="BV358" s="3">
        <v>7.2924078843798554</v>
      </c>
      <c r="BW358" s="3">
        <v>10.225741217713185</v>
      </c>
      <c r="BX358" s="3">
        <v>7.84574121771319</v>
      </c>
      <c r="BY358" s="3">
        <v>31.565741217713189</v>
      </c>
      <c r="BZ358" s="3">
        <v>37.795741217713179</v>
      </c>
      <c r="CA358" s="3">
        <v>13.295741217713179</v>
      </c>
      <c r="CB358" s="3">
        <v>9.0324078843798503</v>
      </c>
      <c r="CC358" s="3">
        <v>9.5457412177131857</v>
      </c>
      <c r="CD358" s="3">
        <v>8.8524078843798577</v>
      </c>
      <c r="CE358" s="3">
        <v>9.2457412177131815</v>
      </c>
      <c r="CF358" s="3">
        <v>-0.84092544895348453</v>
      </c>
      <c r="CG358" s="3">
        <v>-1.374258782286816</v>
      </c>
      <c r="CH358" s="3">
        <v>-2.450925448953484</v>
      </c>
      <c r="CI358" s="13">
        <f>[1]!dbasum(RecData[[#This Row],[20]:[2000]],RecData[[#Headers],[20]:[2000]])</f>
        <v>17.304341340978858</v>
      </c>
      <c r="CJ358" s="14">
        <v>4720</v>
      </c>
      <c r="CK358" s="15" t="s">
        <v>249</v>
      </c>
      <c r="CL358" s="15">
        <f>RecData[[#This Row],[Start Time]]</f>
        <v>43261.954861111117</v>
      </c>
      <c r="CM358" s="16">
        <f>RecData[[#This Row],[Wind Speed avg]]</f>
        <v>0.35</v>
      </c>
      <c r="CN358" s="16">
        <f>RecData[[#This Row],[Wind Dir. avg]]</f>
        <v>127.3</v>
      </c>
      <c r="CO358" s="16">
        <f>RecData[[#This Row],[Amb. Humidity]]</f>
        <v>79</v>
      </c>
      <c r="CP358" s="16">
        <f>RecData[[#This Row],[Amb. Temperature]]</f>
        <v>11.1</v>
      </c>
      <c r="CQ358" s="17">
        <f>RecData[[#This Row],[Amb. Rain Gauge]]</f>
        <v>0</v>
      </c>
      <c r="CR358" s="4" t="s">
        <v>50</v>
      </c>
      <c r="CS358" s="4" t="s">
        <v>49</v>
      </c>
      <c r="CT358" s="70">
        <v>-9.2304401400000007</v>
      </c>
      <c r="CU358" s="70">
        <v>224.00187679999999</v>
      </c>
      <c r="CV358" s="70">
        <v>2.189786673</v>
      </c>
      <c r="CW358" s="70">
        <v>0</v>
      </c>
      <c r="CX358" s="4"/>
      <c r="CY358" s="69"/>
      <c r="CZ358" s="2" t="b">
        <f>IF($DP$1="YES",IF(RecData[[#This Row],[Power (kW)]]&gt;=$CR$3, TRUE,FALSE),TRUE)</f>
        <v>0</v>
      </c>
      <c r="DA358" s="16">
        <f>MIN(MOD(180-ABS(ABS($DA$1-RecData[Yaw Angle (°)])-180),360),MOD(180-ABS(ABS($DB$1-RecData[Yaw Angle (°)])-180),360))</f>
        <v>143.52804997768754</v>
      </c>
      <c r="DB358" s="2" t="str">
        <f>IF($DP$2="None","None",IF(RecData[[#This Row],[Relative Wind Direction]]&lt;=45,"DW",IF(RecData[[#This Row],[Relative Wind Direction]]&lt;=135,"CW","UW")))</f>
        <v>UW</v>
      </c>
      <c r="DC358" s="61" t="e">
        <f>IF($CL358-$CL355&gt;1/24,#REF!,IF(SUM($CQ355:$CQ358)&gt;$DS$1,$DS$5,DC359-1))</f>
        <v>#REF!</v>
      </c>
      <c r="DD358" s="61">
        <f>IF($CL359-$CL358&gt;1/24,#REF!,IF(SUM($CQ355:$CQ358)&gt;$DS$1,$DS$6,DD357-1))</f>
        <v>-4</v>
      </c>
      <c r="DE358" s="18" t="b">
        <v>0</v>
      </c>
      <c r="DF358" s="2" t="b">
        <f>IF(OR(RecData[[#This Row],[WSpd_Avg '[m/s']]]-RecData[[#This Row],[Wind Speed min]]&gt;=$DF$3,RecData[[#This Row],[Wind Speed max]]-RecData[[#This Row],[WSpd_Avg '[m/s']]]&gt;=$DF$2),TRUE,FALSE)</f>
        <v>0</v>
      </c>
      <c r="DG358" s="2" t="b">
        <f>RecData[[#This Row],[Temperature '[°C']]]&lt;=-20</f>
        <v>0</v>
      </c>
      <c r="DH358" s="18" t="b">
        <f>NOT(OR(MOD(RecData[[#This Row],[TIMESTAMP]],1)&gt;0.91632,MOD(RecData[[#This Row],[TIMESTAMP]],1)&lt;0.208681))</f>
        <v>0</v>
      </c>
      <c r="DI358" s="18" t="b">
        <f>RecData[[#This Row],[Overall (dBA)]]-RecData[[#This Row],[L90]]&gt;=$DS$4</f>
        <v>0</v>
      </c>
      <c r="DJ358" s="18" t="b">
        <f>RecData[[#This Row],[Overall (dBA)]]&gt;$DS$2</f>
        <v>0</v>
      </c>
      <c r="DK358" s="18" t="b">
        <f>RecData[[#This Row],[Overall (dBA)]]&lt;$DS$3</f>
        <v>0</v>
      </c>
      <c r="DL3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8" s="2">
        <f>IF(AND(RecData[[#This Row],[Turbines ON/OFF]] = "OFF", NOT(OR(RecData[[#This Row],[Junk?]]="YES",RecData[[#This Row],[Gust?]],RecData[[#This Row],[Rain?]:[Min SPL Threshold?]]))),1,0)</f>
        <v>1</v>
      </c>
      <c r="DN358" s="16">
        <f>RecData[[#This Row],[dBA Sum]]</f>
        <v>17.304341340978858</v>
      </c>
      <c r="DO358" s="16">
        <f>RecData[[#This Row],[LAF90.0]]</f>
        <v>37.9</v>
      </c>
      <c r="DP358" s="55" t="str">
        <f>IF(AND(RecData[[#This Row],[Useable TON Data?]],RecData[[#This Row],[Turbines ON/OFF]]="ON"),RecData[[#This Row],[dBA Sum]],"")</f>
        <v/>
      </c>
      <c r="DQ358" s="55">
        <f>IF(AND(RecData[[#This Row],[Useable Background Data?]],RecData[[#This Row],[Turbines ON/OFF]]="OFF"),RecData[[#This Row],[dBA Sum]],"")</f>
        <v>17.304341340978858</v>
      </c>
      <c r="DR358" s="3">
        <f>IF(OR(RecData[[#This Row],[Useable TON Data?]],RecData[[#This Row],[Useable Background Data?]]),ROUND(RecData[[#This Row],[WSpd_Avg '[m/s']]],0),"")</f>
        <v>0</v>
      </c>
      <c r="DS358" s="85">
        <f>(0.00002)^2*(10^(RecData[[#This Row],[Overall (dBA)]]/10))</f>
        <v>2.1502755929959017E-8</v>
      </c>
    </row>
    <row r="359" spans="1:123" ht="15" x14ac:dyDescent="0.25">
      <c r="A359" s="3" t="s">
        <v>249</v>
      </c>
      <c r="B359" s="12">
        <v>43261.955555555563</v>
      </c>
      <c r="C359" s="3"/>
      <c r="D359" s="3">
        <v>39.700000000000003</v>
      </c>
      <c r="E359" s="3"/>
      <c r="F359" s="3"/>
      <c r="G359" s="3"/>
      <c r="H359" s="3"/>
      <c r="I359" s="3"/>
      <c r="J359" s="3"/>
      <c r="K359" s="3">
        <v>37.700000000000003</v>
      </c>
      <c r="L359" s="3"/>
      <c r="M359" s="3"/>
      <c r="N359" s="3">
        <v>128.80000000000001</v>
      </c>
      <c r="O359" s="3"/>
      <c r="P359" s="3"/>
      <c r="Q359" s="3">
        <v>0.35</v>
      </c>
      <c r="R359" s="3">
        <v>0.3</v>
      </c>
      <c r="S359" s="3">
        <v>0.4</v>
      </c>
      <c r="T359" s="3">
        <v>11.1</v>
      </c>
      <c r="U359" s="3">
        <v>79.599999999999994</v>
      </c>
      <c r="V359" s="3">
        <v>974.2</v>
      </c>
      <c r="W359" s="3">
        <v>0</v>
      </c>
      <c r="X359" s="3">
        <v>18</v>
      </c>
      <c r="Y359" s="3">
        <v>17.7</v>
      </c>
      <c r="Z359" s="3">
        <v>17.399999999999999</v>
      </c>
      <c r="AA359" s="3">
        <v>12.3</v>
      </c>
      <c r="AB359" s="3">
        <v>12</v>
      </c>
      <c r="AC359" s="3">
        <v>9.1999999999999993</v>
      </c>
      <c r="AD359" s="3">
        <v>11.2</v>
      </c>
      <c r="AE359" s="3">
        <v>10.9</v>
      </c>
      <c r="AF359" s="3">
        <v>15.6</v>
      </c>
      <c r="AG359" s="3">
        <v>14.3</v>
      </c>
      <c r="AH359" s="3">
        <v>13.2</v>
      </c>
      <c r="AI359" s="3">
        <v>10.5</v>
      </c>
      <c r="AJ359" s="3">
        <v>11.2</v>
      </c>
      <c r="AK359" s="3">
        <v>7.9</v>
      </c>
      <c r="AL359" s="3">
        <v>6.8</v>
      </c>
      <c r="AM359" s="3">
        <v>6.4</v>
      </c>
      <c r="AN359" s="3">
        <v>7</v>
      </c>
      <c r="AO359" s="3">
        <v>6.8</v>
      </c>
      <c r="AP359" s="3">
        <v>7.4</v>
      </c>
      <c r="AQ359" s="3">
        <v>10.1</v>
      </c>
      <c r="AR359" s="3">
        <v>7.6</v>
      </c>
      <c r="AS359" s="3">
        <v>31.8</v>
      </c>
      <c r="AT359" s="3">
        <v>37.200000000000003</v>
      </c>
      <c r="AU359" s="3">
        <v>12.5</v>
      </c>
      <c r="AV359" s="3">
        <v>9.1999999999999993</v>
      </c>
      <c r="AW359" s="3">
        <v>9.5</v>
      </c>
      <c r="AX359" s="3">
        <v>9.5</v>
      </c>
      <c r="AY359" s="3">
        <v>9.6999999999999993</v>
      </c>
      <c r="AZ359" s="3">
        <v>0</v>
      </c>
      <c r="BA359" s="3">
        <v>0</v>
      </c>
      <c r="BB359" s="3">
        <v>0</v>
      </c>
      <c r="BC359" s="3">
        <v>39.563793442232431</v>
      </c>
      <c r="BD359" s="3">
        <v>18.136206557767572</v>
      </c>
      <c r="BE359" s="3">
        <v>17.836206557767575</v>
      </c>
      <c r="BF359" s="3">
        <v>16.296206557767569</v>
      </c>
      <c r="BG359" s="3">
        <v>11.522873224434235</v>
      </c>
      <c r="BH359" s="3">
        <v>11.362873224434239</v>
      </c>
      <c r="BI359" s="3">
        <v>8.9762065577675756</v>
      </c>
      <c r="BJ359" s="3">
        <v>11.769539891100905</v>
      </c>
      <c r="BK359" s="3">
        <v>11.342873224434236</v>
      </c>
      <c r="BL359" s="3">
        <v>15.616206557767576</v>
      </c>
      <c r="BM359" s="3">
        <v>14.449539891100905</v>
      </c>
      <c r="BN359" s="3">
        <v>13.632873224434242</v>
      </c>
      <c r="BO359" s="3">
        <v>10.299539891100906</v>
      </c>
      <c r="BP359" s="3">
        <v>10.71620655776757</v>
      </c>
      <c r="BQ359" s="3">
        <v>7.8328732244342305</v>
      </c>
      <c r="BR359" s="3">
        <v>7.0595398911009042</v>
      </c>
      <c r="BS359" s="3">
        <v>6.4628732244342402</v>
      </c>
      <c r="BT359" s="3">
        <v>7.259539891100907</v>
      </c>
      <c r="BU359" s="3">
        <v>7.0262065577675727</v>
      </c>
      <c r="BV359" s="3">
        <v>7.3428732244342427</v>
      </c>
      <c r="BW359" s="3">
        <v>10.576206557767577</v>
      </c>
      <c r="BX359" s="3">
        <v>7.9962065577675787</v>
      </c>
      <c r="BY359" s="3">
        <v>32.016206557767568</v>
      </c>
      <c r="BZ359" s="3">
        <v>37.546206557767583</v>
      </c>
      <c r="CA359" s="3">
        <v>12.946206557767567</v>
      </c>
      <c r="CB359" s="3">
        <v>9.0828732244342376</v>
      </c>
      <c r="CC359" s="3">
        <v>9.596206557767573</v>
      </c>
      <c r="CD359" s="3">
        <v>8.902873224434245</v>
      </c>
      <c r="CE359" s="3">
        <v>9.2962065577675688</v>
      </c>
      <c r="CF359" s="3">
        <v>-0.79046010889909724</v>
      </c>
      <c r="CG359" s="3">
        <v>-1.3237934422324287</v>
      </c>
      <c r="CH359" s="3">
        <v>-2.4004601088990967</v>
      </c>
      <c r="CI359" s="13">
        <f>[1]!dbasum(RecData[[#This Row],[20]:[2000]],RecData[[#Headers],[20]:[2000]])</f>
        <v>17.320787407222408</v>
      </c>
      <c r="CJ359" s="14">
        <v>4721</v>
      </c>
      <c r="CK359" s="15" t="s">
        <v>249</v>
      </c>
      <c r="CL359" s="15">
        <f>RecData[[#This Row],[Start Time]]</f>
        <v>43261.955555555563</v>
      </c>
      <c r="CM359" s="16">
        <f>RecData[[#This Row],[Wind Speed avg]]</f>
        <v>0.35</v>
      </c>
      <c r="CN359" s="16">
        <f>RecData[[#This Row],[Wind Dir. avg]]</f>
        <v>128.80000000000001</v>
      </c>
      <c r="CO359" s="16">
        <f>RecData[[#This Row],[Amb. Humidity]]</f>
        <v>79.599999999999994</v>
      </c>
      <c r="CP359" s="16">
        <f>RecData[[#This Row],[Amb. Temperature]]</f>
        <v>11.1</v>
      </c>
      <c r="CQ359" s="17">
        <f>RecData[[#This Row],[Amb. Rain Gauge]]</f>
        <v>0</v>
      </c>
      <c r="CR359" s="4" t="s">
        <v>50</v>
      </c>
      <c r="CS359" s="4" t="s">
        <v>49</v>
      </c>
      <c r="CT359" s="70">
        <v>-9.2304401400000007</v>
      </c>
      <c r="CU359" s="70">
        <v>224.00187679999999</v>
      </c>
      <c r="CV359" s="70">
        <v>2.189786673</v>
      </c>
      <c r="CW359" s="70">
        <v>0</v>
      </c>
      <c r="CX359" s="4"/>
      <c r="CY359" s="69"/>
      <c r="CZ359" s="2" t="b">
        <f>IF($DP$1="YES",IF(RecData[[#This Row],[Power (kW)]]&gt;=$CR$3, TRUE,FALSE),TRUE)</f>
        <v>0</v>
      </c>
      <c r="DA359" s="16">
        <f>MIN(MOD(180-ABS(ABS($DA$1-RecData[Yaw Angle (°)])-180),360),MOD(180-ABS(ABS($DB$1-RecData[Yaw Angle (°)])-180),360))</f>
        <v>143.52804997768754</v>
      </c>
      <c r="DB359" s="2" t="str">
        <f>IF($DP$2="None","None",IF(RecData[[#This Row],[Relative Wind Direction]]&lt;=45,"DW",IF(RecData[[#This Row],[Relative Wind Direction]]&lt;=135,"CW","UW")))</f>
        <v>UW</v>
      </c>
      <c r="DC359" s="61" t="e">
        <f>IF($CL359-$CL355&gt;1/24,#REF!,IF(SUM($CQ355:$CQ359)&gt;$DS$1,$DS$5,DC360-1))</f>
        <v>#REF!</v>
      </c>
      <c r="DD359" s="61">
        <f>IF($CL360-$CL359&gt;1/24,#REF!,IF(SUM($CQ355:$CQ359)&gt;$DS$1,$DS$6,DD358-1))</f>
        <v>-5</v>
      </c>
      <c r="DE359" s="18" t="b">
        <v>0</v>
      </c>
      <c r="DF359" s="2" t="b">
        <f>IF(OR(RecData[[#This Row],[WSpd_Avg '[m/s']]]-RecData[[#This Row],[Wind Speed min]]&gt;=$DF$3,RecData[[#This Row],[Wind Speed max]]-RecData[[#This Row],[WSpd_Avg '[m/s']]]&gt;=$DF$2),TRUE,FALSE)</f>
        <v>0</v>
      </c>
      <c r="DG359" s="2" t="b">
        <f>RecData[[#This Row],[Temperature '[°C']]]&lt;=-20</f>
        <v>0</v>
      </c>
      <c r="DH359" s="18" t="b">
        <f>NOT(OR(MOD(RecData[[#This Row],[TIMESTAMP]],1)&gt;0.91632,MOD(RecData[[#This Row],[TIMESTAMP]],1)&lt;0.208681))</f>
        <v>0</v>
      </c>
      <c r="DI359" s="18" t="b">
        <f>RecData[[#This Row],[Overall (dBA)]]-RecData[[#This Row],[L90]]&gt;=$DS$4</f>
        <v>0</v>
      </c>
      <c r="DJ359" s="18" t="b">
        <f>RecData[[#This Row],[Overall (dBA)]]&gt;$DS$2</f>
        <v>0</v>
      </c>
      <c r="DK359" s="18" t="b">
        <f>RecData[[#This Row],[Overall (dBA)]]&lt;$DS$3</f>
        <v>0</v>
      </c>
      <c r="DL3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59" s="2">
        <f>IF(AND(RecData[[#This Row],[Turbines ON/OFF]] = "OFF", NOT(OR(RecData[[#This Row],[Junk?]]="YES",RecData[[#This Row],[Gust?]],RecData[[#This Row],[Rain?]:[Min SPL Threshold?]]))),1,0)</f>
        <v>1</v>
      </c>
      <c r="DN359" s="16">
        <f>RecData[[#This Row],[dBA Sum]]</f>
        <v>17.320787407222408</v>
      </c>
      <c r="DO359" s="16">
        <f>RecData[[#This Row],[LAF90.0]]</f>
        <v>37.700000000000003</v>
      </c>
      <c r="DP359" s="55" t="str">
        <f>IF(AND(RecData[[#This Row],[Useable TON Data?]],RecData[[#This Row],[Turbines ON/OFF]]="ON"),RecData[[#This Row],[dBA Sum]],"")</f>
        <v/>
      </c>
      <c r="DQ359" s="55">
        <f>IF(AND(RecData[[#This Row],[Useable Background Data?]],RecData[[#This Row],[Turbines ON/OFF]]="OFF"),RecData[[#This Row],[dBA Sum]],"")</f>
        <v>17.320787407222408</v>
      </c>
      <c r="DR359" s="3">
        <f>IF(OR(RecData[[#This Row],[Useable TON Data?]],RecData[[#This Row],[Useable Background Data?]]),ROUND(RecData[[#This Row],[WSpd_Avg '[m/s']]],0),"")</f>
        <v>0</v>
      </c>
      <c r="DS359" s="85">
        <f>(0.00002)^2*(10^(RecData[[#This Row],[Overall (dBA)]]/10))</f>
        <v>2.158433794202505E-8</v>
      </c>
    </row>
    <row r="360" spans="1:123" ht="15" x14ac:dyDescent="0.25">
      <c r="A360" s="3" t="s">
        <v>249</v>
      </c>
      <c r="B360" s="12">
        <v>43261.956250000003</v>
      </c>
      <c r="C360" s="3"/>
      <c r="D360" s="3">
        <v>39.9</v>
      </c>
      <c r="E360" s="3"/>
      <c r="F360" s="3"/>
      <c r="G360" s="3"/>
      <c r="H360" s="3"/>
      <c r="I360" s="3"/>
      <c r="J360" s="3"/>
      <c r="K360" s="3">
        <v>38.299999999999997</v>
      </c>
      <c r="L360" s="3"/>
      <c r="M360" s="3"/>
      <c r="N360" s="3">
        <v>136.30000000000001</v>
      </c>
      <c r="O360" s="3"/>
      <c r="P360" s="3"/>
      <c r="Q360" s="3">
        <v>0.35</v>
      </c>
      <c r="R360" s="3">
        <v>0.3</v>
      </c>
      <c r="S360" s="3">
        <v>0.4</v>
      </c>
      <c r="T360" s="3">
        <v>11.1</v>
      </c>
      <c r="U360" s="3">
        <v>79.5</v>
      </c>
      <c r="V360" s="3">
        <v>974.2</v>
      </c>
      <c r="W360" s="3">
        <v>0</v>
      </c>
      <c r="X360" s="3">
        <v>19.2</v>
      </c>
      <c r="Y360" s="3">
        <v>19.100000000000001</v>
      </c>
      <c r="Z360" s="3">
        <v>19.8</v>
      </c>
      <c r="AA360" s="3">
        <v>14.4</v>
      </c>
      <c r="AB360" s="3">
        <v>10.8</v>
      </c>
      <c r="AC360" s="3">
        <v>7.7</v>
      </c>
      <c r="AD360" s="3">
        <v>10.6</v>
      </c>
      <c r="AE360" s="3">
        <v>11.2</v>
      </c>
      <c r="AF360" s="3">
        <v>14.7</v>
      </c>
      <c r="AG360" s="3">
        <v>14.3</v>
      </c>
      <c r="AH360" s="3">
        <v>12.4</v>
      </c>
      <c r="AI360" s="3">
        <v>10.6</v>
      </c>
      <c r="AJ360" s="3">
        <v>11.1</v>
      </c>
      <c r="AK360" s="3">
        <v>7.8</v>
      </c>
      <c r="AL360" s="3">
        <v>6.5</v>
      </c>
      <c r="AM360" s="3">
        <v>6.6</v>
      </c>
      <c r="AN360" s="3">
        <v>7.2</v>
      </c>
      <c r="AO360" s="3">
        <v>7</v>
      </c>
      <c r="AP360" s="3">
        <v>7.6</v>
      </c>
      <c r="AQ360" s="3">
        <v>10.8</v>
      </c>
      <c r="AR360" s="3">
        <v>7.7</v>
      </c>
      <c r="AS360" s="3">
        <v>31.8</v>
      </c>
      <c r="AT360" s="3">
        <v>37.6</v>
      </c>
      <c r="AU360" s="3">
        <v>13.1</v>
      </c>
      <c r="AV360" s="3">
        <v>9.1999999999999993</v>
      </c>
      <c r="AW360" s="3">
        <v>9.5</v>
      </c>
      <c r="AX360" s="3">
        <v>9.5</v>
      </c>
      <c r="AY360" s="3">
        <v>9.6999999999999993</v>
      </c>
      <c r="AZ360" s="3">
        <v>0</v>
      </c>
      <c r="BA360" s="3">
        <v>0</v>
      </c>
      <c r="BB360" s="3">
        <v>0</v>
      </c>
      <c r="BC360" s="3">
        <v>39.875486418244471</v>
      </c>
      <c r="BD360" s="3">
        <v>19.224513581755524</v>
      </c>
      <c r="BE360" s="3">
        <v>19.124513581755529</v>
      </c>
      <c r="BF360" s="3">
        <v>18.58451358175553</v>
      </c>
      <c r="BG360" s="3">
        <v>13.511180248422193</v>
      </c>
      <c r="BH360" s="3">
        <v>10.051180248422199</v>
      </c>
      <c r="BI360" s="3">
        <v>7.3645135817555314</v>
      </c>
      <c r="BJ360" s="3">
        <v>11.057846915088859</v>
      </c>
      <c r="BK360" s="3">
        <v>11.531180248422189</v>
      </c>
      <c r="BL360" s="3">
        <v>14.604513581755526</v>
      </c>
      <c r="BM360" s="3">
        <v>14.337846915088868</v>
      </c>
      <c r="BN360" s="3">
        <v>12.721180248422193</v>
      </c>
      <c r="BO360" s="3">
        <v>10.287846915088863</v>
      </c>
      <c r="BP360" s="3">
        <v>10.504513581755525</v>
      </c>
      <c r="BQ360" s="3">
        <v>7.6211802484221849</v>
      </c>
      <c r="BR360" s="3">
        <v>6.6478469150888628</v>
      </c>
      <c r="BS360" s="3">
        <v>6.5511802484221917</v>
      </c>
      <c r="BT360" s="3">
        <v>7.3478469150888657</v>
      </c>
      <c r="BU360" s="3">
        <v>7.1145135817555314</v>
      </c>
      <c r="BV360" s="3">
        <v>7.4311802484221943</v>
      </c>
      <c r="BW360" s="3">
        <v>11.164513581755536</v>
      </c>
      <c r="BX360" s="3">
        <v>7.9845135817555359</v>
      </c>
      <c r="BY360" s="3">
        <v>31.904513581755531</v>
      </c>
      <c r="BZ360" s="3">
        <v>37.834513581755537</v>
      </c>
      <c r="CA360" s="3">
        <v>13.434513581755517</v>
      </c>
      <c r="CB360" s="3">
        <v>8.9711802484221934</v>
      </c>
      <c r="CC360" s="3">
        <v>9.4845135817555288</v>
      </c>
      <c r="CD360" s="3">
        <v>8.7911802484222008</v>
      </c>
      <c r="CE360" s="3">
        <v>9.1845135817555246</v>
      </c>
      <c r="CF360" s="3">
        <v>-0.90215308491114143</v>
      </c>
      <c r="CG360" s="3">
        <v>-1.4354864182444729</v>
      </c>
      <c r="CH360" s="3">
        <v>-2.5121530849111409</v>
      </c>
      <c r="CI360" s="13">
        <f>[1]!dbasum(RecData[[#This Row],[20]:[2000]],RecData[[#Headers],[20]:[2000]])</f>
        <v>17.433323490581564</v>
      </c>
      <c r="CJ360" s="14">
        <v>4722</v>
      </c>
      <c r="CK360" s="15" t="s">
        <v>249</v>
      </c>
      <c r="CL360" s="15">
        <f>RecData[[#This Row],[Start Time]]</f>
        <v>43261.956250000003</v>
      </c>
      <c r="CM360" s="16">
        <f>RecData[[#This Row],[Wind Speed avg]]</f>
        <v>0.35</v>
      </c>
      <c r="CN360" s="16">
        <f>RecData[[#This Row],[Wind Dir. avg]]</f>
        <v>136.30000000000001</v>
      </c>
      <c r="CO360" s="16">
        <f>RecData[[#This Row],[Amb. Humidity]]</f>
        <v>79.5</v>
      </c>
      <c r="CP360" s="16">
        <f>RecData[[#This Row],[Amb. Temperature]]</f>
        <v>11.1</v>
      </c>
      <c r="CQ360" s="17">
        <f>RecData[[#This Row],[Amb. Rain Gauge]]</f>
        <v>0</v>
      </c>
      <c r="CR360" s="4" t="s">
        <v>50</v>
      </c>
      <c r="CS360" s="4" t="s">
        <v>49</v>
      </c>
      <c r="CT360" s="70">
        <v>-9.2304401400000007</v>
      </c>
      <c r="CU360" s="70">
        <v>224.00187679999999</v>
      </c>
      <c r="CV360" s="70">
        <v>2.189786673</v>
      </c>
      <c r="CW360" s="70">
        <v>0</v>
      </c>
      <c r="CX360" s="4"/>
      <c r="CY360" s="69"/>
      <c r="CZ360" s="2" t="b">
        <f>IF($DP$1="YES",IF(RecData[[#This Row],[Power (kW)]]&gt;=$CR$3, TRUE,FALSE),TRUE)</f>
        <v>0</v>
      </c>
      <c r="DA360" s="16">
        <f>MIN(MOD(180-ABS(ABS($DA$1-RecData[Yaw Angle (°)])-180),360),MOD(180-ABS(ABS($DB$1-RecData[Yaw Angle (°)])-180),360))</f>
        <v>143.52804997768754</v>
      </c>
      <c r="DB360" s="2" t="str">
        <f>IF($DP$2="None","None",IF(RecData[[#This Row],[Relative Wind Direction]]&lt;=45,"DW",IF(RecData[[#This Row],[Relative Wind Direction]]&lt;=135,"CW","UW")))</f>
        <v>UW</v>
      </c>
      <c r="DC360" s="61" t="e">
        <f>IF($CL360-$CL356&gt;1/24,#REF!,IF(SUM($CQ356:$CQ360)&gt;$DS$1,$DS$5,DC361-1))</f>
        <v>#REF!</v>
      </c>
      <c r="DD360" s="61">
        <f>IF($CL361-$CL360&gt;1/24,#REF!,IF(SUM($CQ356:$CQ360)&gt;$DS$1,$DS$6,DD359-1))</f>
        <v>-6</v>
      </c>
      <c r="DE360" s="18" t="b">
        <v>0</v>
      </c>
      <c r="DF360" s="2" t="b">
        <f>IF(OR(RecData[[#This Row],[WSpd_Avg '[m/s']]]-RecData[[#This Row],[Wind Speed min]]&gt;=$DF$3,RecData[[#This Row],[Wind Speed max]]-RecData[[#This Row],[WSpd_Avg '[m/s']]]&gt;=$DF$2),TRUE,FALSE)</f>
        <v>0</v>
      </c>
      <c r="DG360" s="2" t="b">
        <f>RecData[[#This Row],[Temperature '[°C']]]&lt;=-20</f>
        <v>0</v>
      </c>
      <c r="DH360" s="18" t="b">
        <f>NOT(OR(MOD(RecData[[#This Row],[TIMESTAMP]],1)&gt;0.91632,MOD(RecData[[#This Row],[TIMESTAMP]],1)&lt;0.208681))</f>
        <v>0</v>
      </c>
      <c r="DI360" s="18" t="b">
        <f>RecData[[#This Row],[Overall (dBA)]]-RecData[[#This Row],[L90]]&gt;=$DS$4</f>
        <v>0</v>
      </c>
      <c r="DJ360" s="18" t="b">
        <f>RecData[[#This Row],[Overall (dBA)]]&gt;$DS$2</f>
        <v>0</v>
      </c>
      <c r="DK360" s="18" t="b">
        <f>RecData[[#This Row],[Overall (dBA)]]&lt;$DS$3</f>
        <v>0</v>
      </c>
      <c r="DL3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0" s="2">
        <f>IF(AND(RecData[[#This Row],[Turbines ON/OFF]] = "OFF", NOT(OR(RecData[[#This Row],[Junk?]]="YES",RecData[[#This Row],[Gust?]],RecData[[#This Row],[Rain?]:[Min SPL Threshold?]]))),1,0)</f>
        <v>1</v>
      </c>
      <c r="DN360" s="16">
        <f>RecData[[#This Row],[dBA Sum]]</f>
        <v>17.433323490581564</v>
      </c>
      <c r="DO360" s="16">
        <f>RecData[[#This Row],[LAF90.0]]</f>
        <v>38.299999999999997</v>
      </c>
      <c r="DP360" s="55" t="str">
        <f>IF(AND(RecData[[#This Row],[Useable TON Data?]],RecData[[#This Row],[Turbines ON/OFF]]="ON"),RecData[[#This Row],[dBA Sum]],"")</f>
        <v/>
      </c>
      <c r="DQ360" s="55">
        <f>IF(AND(RecData[[#This Row],[Useable Background Data?]],RecData[[#This Row],[Turbines ON/OFF]]="OFF"),RecData[[#This Row],[dBA Sum]],"")</f>
        <v>17.433323490581564</v>
      </c>
      <c r="DR360" s="3">
        <f>IF(OR(RecData[[#This Row],[Useable TON Data?]],RecData[[#This Row],[Useable Background Data?]]),ROUND(RecData[[#This Row],[WSpd_Avg '[m/s']]],0),"")</f>
        <v>0</v>
      </c>
      <c r="DS360" s="85">
        <f>(0.00002)^2*(10^(RecData[[#This Row],[Overall (dBA)]]/10))</f>
        <v>2.2150949163569266E-8</v>
      </c>
    </row>
    <row r="361" spans="1:123" ht="15" x14ac:dyDescent="0.25">
      <c r="A361" s="3" t="s">
        <v>249</v>
      </c>
      <c r="B361" s="12">
        <v>43261.95694444445</v>
      </c>
      <c r="C361" s="3"/>
      <c r="D361" s="3">
        <v>40.9</v>
      </c>
      <c r="E361" s="3"/>
      <c r="F361" s="3"/>
      <c r="G361" s="3"/>
      <c r="H361" s="3"/>
      <c r="I361" s="3"/>
      <c r="J361" s="3"/>
      <c r="K361" s="3">
        <v>39</v>
      </c>
      <c r="L361" s="3"/>
      <c r="M361" s="3"/>
      <c r="N361" s="3">
        <v>121.1</v>
      </c>
      <c r="O361" s="3"/>
      <c r="P361" s="3"/>
      <c r="Q361" s="3">
        <v>0.34</v>
      </c>
      <c r="R361" s="3">
        <v>0.3</v>
      </c>
      <c r="S361" s="3">
        <v>0.5</v>
      </c>
      <c r="T361" s="3">
        <v>11</v>
      </c>
      <c r="U361" s="3">
        <v>79.599999999999994</v>
      </c>
      <c r="V361" s="3">
        <v>974.2</v>
      </c>
      <c r="W361" s="3">
        <v>0</v>
      </c>
      <c r="X361" s="3">
        <v>17.600000000000001</v>
      </c>
      <c r="Y361" s="3">
        <v>17.8</v>
      </c>
      <c r="Z361" s="3">
        <v>20.6</v>
      </c>
      <c r="AA361" s="3">
        <v>13.1</v>
      </c>
      <c r="AB361" s="3">
        <v>12.3</v>
      </c>
      <c r="AC361" s="3">
        <v>7.5</v>
      </c>
      <c r="AD361" s="3">
        <v>10.4</v>
      </c>
      <c r="AE361" s="3">
        <v>12.4</v>
      </c>
      <c r="AF361" s="3">
        <v>13.5</v>
      </c>
      <c r="AG361" s="3">
        <v>13.9</v>
      </c>
      <c r="AH361" s="3">
        <v>13.3</v>
      </c>
      <c r="AI361" s="3">
        <v>10.1</v>
      </c>
      <c r="AJ361" s="3">
        <v>11.5</v>
      </c>
      <c r="AK361" s="3">
        <v>8.5</v>
      </c>
      <c r="AL361" s="3">
        <v>6.6</v>
      </c>
      <c r="AM361" s="3">
        <v>6.6</v>
      </c>
      <c r="AN361" s="3">
        <v>7.4</v>
      </c>
      <c r="AO361" s="3">
        <v>7.4</v>
      </c>
      <c r="AP361" s="3">
        <v>8.1</v>
      </c>
      <c r="AQ361" s="3">
        <v>11.5</v>
      </c>
      <c r="AR361" s="3">
        <v>8.5</v>
      </c>
      <c r="AS361" s="3">
        <v>33.200000000000003</v>
      </c>
      <c r="AT361" s="3">
        <v>38.5</v>
      </c>
      <c r="AU361" s="3">
        <v>13.3</v>
      </c>
      <c r="AV361" s="3">
        <v>9.8000000000000007</v>
      </c>
      <c r="AW361" s="3">
        <v>10.5</v>
      </c>
      <c r="AX361" s="3">
        <v>9.8000000000000007</v>
      </c>
      <c r="AY361" s="3">
        <v>10</v>
      </c>
      <c r="AZ361" s="3">
        <v>0</v>
      </c>
      <c r="BA361" s="3">
        <v>0</v>
      </c>
      <c r="BB361" s="3">
        <v>0</v>
      </c>
      <c r="BC361" s="3">
        <v>40.8799142934744</v>
      </c>
      <c r="BD361" s="3">
        <v>17.6200857065256</v>
      </c>
      <c r="BE361" s="3">
        <v>17.820085706525603</v>
      </c>
      <c r="BF361" s="3">
        <v>19.380085706525605</v>
      </c>
      <c r="BG361" s="3">
        <v>12.206752373192259</v>
      </c>
      <c r="BH361" s="3">
        <v>11.54675237319227</v>
      </c>
      <c r="BI361" s="3">
        <v>7.1600857065255994</v>
      </c>
      <c r="BJ361" s="3">
        <v>10.853419039858935</v>
      </c>
      <c r="BK361" s="3">
        <v>12.726752373192262</v>
      </c>
      <c r="BL361" s="3">
        <v>13.400085706525601</v>
      </c>
      <c r="BM361" s="3">
        <v>13.933419039858933</v>
      </c>
      <c r="BN361" s="3">
        <v>13.61675237319227</v>
      </c>
      <c r="BO361" s="3">
        <v>9.7834190398589342</v>
      </c>
      <c r="BP361" s="3">
        <v>10.900085706525601</v>
      </c>
      <c r="BQ361" s="3">
        <v>8.3167523731922586</v>
      </c>
      <c r="BR361" s="3">
        <v>6.7434190398589351</v>
      </c>
      <c r="BS361" s="3">
        <v>6.5467523731922626</v>
      </c>
      <c r="BT361" s="3">
        <v>7.5434190398589323</v>
      </c>
      <c r="BU361" s="3">
        <v>7.5100857065256008</v>
      </c>
      <c r="BV361" s="3">
        <v>7.9267523731922651</v>
      </c>
      <c r="BW361" s="3">
        <v>11.860085706525602</v>
      </c>
      <c r="BX361" s="3">
        <v>8.7800857065256039</v>
      </c>
      <c r="BY361" s="3">
        <v>33.300085706525607</v>
      </c>
      <c r="BZ361" s="3">
        <v>38.7300857065256</v>
      </c>
      <c r="CA361" s="3">
        <v>13.630085706525591</v>
      </c>
      <c r="CB361" s="3">
        <v>9.5667523731922657</v>
      </c>
      <c r="CC361" s="3">
        <v>10.4800857065256</v>
      </c>
      <c r="CD361" s="3">
        <v>9.0867523731922688</v>
      </c>
      <c r="CE361" s="3">
        <v>9.4800857065255997</v>
      </c>
      <c r="CF361" s="3">
        <v>-0.90658096014107059</v>
      </c>
      <c r="CG361" s="3">
        <v>-1.439914293474402</v>
      </c>
      <c r="CH361" s="3">
        <v>-2.51658096014107</v>
      </c>
      <c r="CI361" s="13">
        <f>[1]!dbasum(RecData[[#This Row],[20]:[2000]],RecData[[#Headers],[20]:[2000]])</f>
        <v>17.919178842360132</v>
      </c>
      <c r="CJ361" s="14">
        <v>4723</v>
      </c>
      <c r="CK361" s="15" t="s">
        <v>249</v>
      </c>
      <c r="CL361" s="15">
        <f>RecData[[#This Row],[Start Time]]</f>
        <v>43261.95694444445</v>
      </c>
      <c r="CM361" s="16">
        <f>RecData[[#This Row],[Wind Speed avg]]</f>
        <v>0.34</v>
      </c>
      <c r="CN361" s="16">
        <f>RecData[[#This Row],[Wind Dir. avg]]</f>
        <v>121.1</v>
      </c>
      <c r="CO361" s="16">
        <f>RecData[[#This Row],[Amb. Humidity]]</f>
        <v>79.599999999999994</v>
      </c>
      <c r="CP361" s="16">
        <f>RecData[[#This Row],[Amb. Temperature]]</f>
        <v>11</v>
      </c>
      <c r="CQ361" s="17">
        <f>RecData[[#This Row],[Amb. Rain Gauge]]</f>
        <v>0</v>
      </c>
      <c r="CR361" s="4" t="s">
        <v>50</v>
      </c>
      <c r="CS361" s="4" t="s">
        <v>49</v>
      </c>
      <c r="CT361" s="70">
        <v>-9.2304401400000007</v>
      </c>
      <c r="CU361" s="70">
        <v>224.00187679999999</v>
      </c>
      <c r="CV361" s="70">
        <v>2.189786673</v>
      </c>
      <c r="CW361" s="70">
        <v>0</v>
      </c>
      <c r="CX361" s="4"/>
      <c r="CY361" s="69"/>
      <c r="CZ361" s="2" t="b">
        <f>IF($DP$1="YES",IF(RecData[[#This Row],[Power (kW)]]&gt;=$CR$3, TRUE,FALSE),TRUE)</f>
        <v>0</v>
      </c>
      <c r="DA361" s="16">
        <f>MIN(MOD(180-ABS(ABS($DA$1-RecData[Yaw Angle (°)])-180),360),MOD(180-ABS(ABS($DB$1-RecData[Yaw Angle (°)])-180),360))</f>
        <v>143.52804997768754</v>
      </c>
      <c r="DB361" s="2" t="str">
        <f>IF($DP$2="None","None",IF(RecData[[#This Row],[Relative Wind Direction]]&lt;=45,"DW",IF(RecData[[#This Row],[Relative Wind Direction]]&lt;=135,"CW","UW")))</f>
        <v>UW</v>
      </c>
      <c r="DC361" s="61" t="e">
        <f>IF($CL361-$CL357&gt;1/24,#REF!,IF(SUM($CQ357:$CQ361)&gt;$DS$1,$DS$5,DC362-1))</f>
        <v>#REF!</v>
      </c>
      <c r="DD361" s="61">
        <f>IF($CL362-$CL361&gt;1/24,#REF!,IF(SUM($CQ357:$CQ361)&gt;$DS$1,$DS$6,DD360-1))</f>
        <v>-7</v>
      </c>
      <c r="DE361" s="18" t="b">
        <v>0</v>
      </c>
      <c r="DF361" s="2" t="b">
        <f>IF(OR(RecData[[#This Row],[WSpd_Avg '[m/s']]]-RecData[[#This Row],[Wind Speed min]]&gt;=$DF$3,RecData[[#This Row],[Wind Speed max]]-RecData[[#This Row],[WSpd_Avg '[m/s']]]&gt;=$DF$2),TRUE,FALSE)</f>
        <v>0</v>
      </c>
      <c r="DG361" s="2" t="b">
        <f>RecData[[#This Row],[Temperature '[°C']]]&lt;=-20</f>
        <v>0</v>
      </c>
      <c r="DH361" s="18" t="b">
        <f>NOT(OR(MOD(RecData[[#This Row],[TIMESTAMP]],1)&gt;0.91632,MOD(RecData[[#This Row],[TIMESTAMP]],1)&lt;0.208681))</f>
        <v>0</v>
      </c>
      <c r="DI361" s="18" t="b">
        <f>RecData[[#This Row],[Overall (dBA)]]-RecData[[#This Row],[L90]]&gt;=$DS$4</f>
        <v>0</v>
      </c>
      <c r="DJ361" s="18" t="b">
        <f>RecData[[#This Row],[Overall (dBA)]]&gt;$DS$2</f>
        <v>0</v>
      </c>
      <c r="DK361" s="18" t="b">
        <f>RecData[[#This Row],[Overall (dBA)]]&lt;$DS$3</f>
        <v>0</v>
      </c>
      <c r="DL3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1" s="2">
        <f>IF(AND(RecData[[#This Row],[Turbines ON/OFF]] = "OFF", NOT(OR(RecData[[#This Row],[Junk?]]="YES",RecData[[#This Row],[Gust?]],RecData[[#This Row],[Rain?]:[Min SPL Threshold?]]))),1,0)</f>
        <v>1</v>
      </c>
      <c r="DN361" s="16">
        <f>RecData[[#This Row],[dBA Sum]]</f>
        <v>17.919178842360132</v>
      </c>
      <c r="DO361" s="16">
        <f>RecData[[#This Row],[LAF90.0]]</f>
        <v>39</v>
      </c>
      <c r="DP361" s="55" t="str">
        <f>IF(AND(RecData[[#This Row],[Useable TON Data?]],RecData[[#This Row],[Turbines ON/OFF]]="ON"),RecData[[#This Row],[dBA Sum]],"")</f>
        <v/>
      </c>
      <c r="DQ361" s="55">
        <f>IF(AND(RecData[[#This Row],[Useable Background Data?]],RecData[[#This Row],[Turbines ON/OFF]]="OFF"),RecData[[#This Row],[dBA Sum]],"")</f>
        <v>17.919178842360132</v>
      </c>
      <c r="DR361" s="3">
        <f>IF(OR(RecData[[#This Row],[Useable TON Data?]],RecData[[#This Row],[Useable Background Data?]]),ROUND(RecData[[#This Row],[WSpd_Avg '[m/s']]],0),"")</f>
        <v>0</v>
      </c>
      <c r="DS361" s="85">
        <f>(0.00002)^2*(10^(RecData[[#This Row],[Overall (dBA)]]/10))</f>
        <v>2.4772958525535924E-8</v>
      </c>
    </row>
    <row r="362" spans="1:123" ht="15" x14ac:dyDescent="0.25">
      <c r="A362" s="3" t="s">
        <v>249</v>
      </c>
      <c r="B362" s="12">
        <v>43261.957638888896</v>
      </c>
      <c r="C362" s="3"/>
      <c r="D362" s="3">
        <v>40.5</v>
      </c>
      <c r="E362" s="3"/>
      <c r="F362" s="3"/>
      <c r="G362" s="3"/>
      <c r="H362" s="3"/>
      <c r="I362" s="3"/>
      <c r="J362" s="3"/>
      <c r="K362" s="3">
        <v>38.6</v>
      </c>
      <c r="L362" s="3"/>
      <c r="M362" s="3"/>
      <c r="N362" s="3">
        <v>100.9</v>
      </c>
      <c r="O362" s="3"/>
      <c r="P362" s="3"/>
      <c r="Q362" s="3">
        <v>0.5</v>
      </c>
      <c r="R362" s="3">
        <v>0.3</v>
      </c>
      <c r="S362" s="3">
        <v>0.7</v>
      </c>
      <c r="T362" s="3">
        <v>11</v>
      </c>
      <c r="U362" s="3">
        <v>80.8</v>
      </c>
      <c r="V362" s="3">
        <v>974.2</v>
      </c>
      <c r="W362" s="3">
        <v>0</v>
      </c>
      <c r="X362" s="3">
        <v>17.100000000000001</v>
      </c>
      <c r="Y362" s="3">
        <v>15.9</v>
      </c>
      <c r="Z362" s="3">
        <v>19.3</v>
      </c>
      <c r="AA362" s="3">
        <v>14</v>
      </c>
      <c r="AB362" s="3">
        <v>10.5</v>
      </c>
      <c r="AC362" s="3">
        <v>6</v>
      </c>
      <c r="AD362" s="3">
        <v>10</v>
      </c>
      <c r="AE362" s="3">
        <v>10.3</v>
      </c>
      <c r="AF362" s="3">
        <v>14.6</v>
      </c>
      <c r="AG362" s="3">
        <v>14</v>
      </c>
      <c r="AH362" s="3">
        <v>12.2</v>
      </c>
      <c r="AI362" s="3">
        <v>9.8000000000000007</v>
      </c>
      <c r="AJ362" s="3">
        <v>10.1</v>
      </c>
      <c r="AK362" s="3">
        <v>7.9</v>
      </c>
      <c r="AL362" s="3">
        <v>6.5</v>
      </c>
      <c r="AM362" s="3">
        <v>7</v>
      </c>
      <c r="AN362" s="3">
        <v>7.4</v>
      </c>
      <c r="AO362" s="3">
        <v>7.2</v>
      </c>
      <c r="AP362" s="3">
        <v>7.7</v>
      </c>
      <c r="AQ362" s="3">
        <v>10.9</v>
      </c>
      <c r="AR362" s="3">
        <v>8</v>
      </c>
      <c r="AS362" s="3">
        <v>31.9</v>
      </c>
      <c r="AT362" s="3">
        <v>38.299999999999997</v>
      </c>
      <c r="AU362" s="3">
        <v>13.3</v>
      </c>
      <c r="AV362" s="3">
        <v>9.3000000000000007</v>
      </c>
      <c r="AW362" s="3">
        <v>9.6</v>
      </c>
      <c r="AX362" s="3">
        <v>9.6</v>
      </c>
      <c r="AY362" s="3">
        <v>9.8000000000000007</v>
      </c>
      <c r="AZ362" s="3">
        <v>0</v>
      </c>
      <c r="BA362" s="3">
        <v>0</v>
      </c>
      <c r="BB362" s="3">
        <v>0</v>
      </c>
      <c r="BC362" s="3">
        <v>40.450587726226843</v>
      </c>
      <c r="BD362" s="3">
        <v>17.149412273773159</v>
      </c>
      <c r="BE362" s="3">
        <v>15.949412273773156</v>
      </c>
      <c r="BF362" s="3">
        <v>18.10941227377316</v>
      </c>
      <c r="BG362" s="3">
        <v>13.136078940439823</v>
      </c>
      <c r="BH362" s="3">
        <v>9.7760789404398238</v>
      </c>
      <c r="BI362" s="3">
        <v>5.6894122737731578</v>
      </c>
      <c r="BJ362" s="3">
        <v>10.482745607106487</v>
      </c>
      <c r="BK362" s="3">
        <v>10.656078940439819</v>
      </c>
      <c r="BL362" s="3">
        <v>14.529412273773161</v>
      </c>
      <c r="BM362" s="3">
        <v>14.062745607106493</v>
      </c>
      <c r="BN362" s="3">
        <v>12.546078940439827</v>
      </c>
      <c r="BO362" s="3">
        <v>9.5127456071064955</v>
      </c>
      <c r="BP362" s="3">
        <v>9.5294122737731612</v>
      </c>
      <c r="BQ362" s="3">
        <v>7.7460789404398156</v>
      </c>
      <c r="BR362" s="3">
        <v>6.6727456071064921</v>
      </c>
      <c r="BS362" s="3">
        <v>6.9760789404398267</v>
      </c>
      <c r="BT362" s="3">
        <v>7.5727456071064907</v>
      </c>
      <c r="BU362" s="3">
        <v>7.3394122737731635</v>
      </c>
      <c r="BV362" s="3">
        <v>7.556078940439825</v>
      </c>
      <c r="BW362" s="3">
        <v>11.289412273773159</v>
      </c>
      <c r="BX362" s="3">
        <v>8.3094122737731624</v>
      </c>
      <c r="BY362" s="3">
        <v>32.029412273773147</v>
      </c>
      <c r="BZ362" s="3">
        <v>38.559412273773148</v>
      </c>
      <c r="CA362" s="3">
        <v>13.65941227377315</v>
      </c>
      <c r="CB362" s="3">
        <v>9.0960789404398241</v>
      </c>
      <c r="CC362" s="3">
        <v>9.6094122737731595</v>
      </c>
      <c r="CD362" s="3">
        <v>8.9160789404398315</v>
      </c>
      <c r="CE362" s="3">
        <v>9.3094122737731553</v>
      </c>
      <c r="CF362" s="3">
        <v>-0.87725439289351215</v>
      </c>
      <c r="CG362" s="3">
        <v>-1.4105877262268436</v>
      </c>
      <c r="CH362" s="3">
        <v>-2.4872543928935116</v>
      </c>
      <c r="CI362" s="13">
        <f>[1]!dbasum(RecData[[#This Row],[20]:[2000]],RecData[[#Headers],[20]:[2000]])</f>
        <v>17.531201380089605</v>
      </c>
      <c r="CJ362" s="14">
        <v>4724</v>
      </c>
      <c r="CK362" s="15" t="s">
        <v>249</v>
      </c>
      <c r="CL362" s="15">
        <f>RecData[[#This Row],[Start Time]]</f>
        <v>43261.957638888896</v>
      </c>
      <c r="CM362" s="16">
        <f>RecData[[#This Row],[Wind Speed avg]]</f>
        <v>0.5</v>
      </c>
      <c r="CN362" s="16">
        <f>RecData[[#This Row],[Wind Dir. avg]]</f>
        <v>100.9</v>
      </c>
      <c r="CO362" s="16">
        <f>RecData[[#This Row],[Amb. Humidity]]</f>
        <v>80.8</v>
      </c>
      <c r="CP362" s="16">
        <f>RecData[[#This Row],[Amb. Temperature]]</f>
        <v>11</v>
      </c>
      <c r="CQ362" s="17">
        <f>RecData[[#This Row],[Amb. Rain Gauge]]</f>
        <v>0</v>
      </c>
      <c r="CR362" s="4" t="s">
        <v>50</v>
      </c>
      <c r="CS362" s="4" t="s">
        <v>49</v>
      </c>
      <c r="CT362" s="70">
        <v>-9.2304401400000007</v>
      </c>
      <c r="CU362" s="70">
        <v>224.00187679999999</v>
      </c>
      <c r="CV362" s="70">
        <v>2.189786673</v>
      </c>
      <c r="CW362" s="70">
        <v>0</v>
      </c>
      <c r="CX362" s="4"/>
      <c r="CY362" s="69"/>
      <c r="CZ362" s="2" t="b">
        <f>IF($DP$1="YES",IF(RecData[[#This Row],[Power (kW)]]&gt;=$CR$3, TRUE,FALSE),TRUE)</f>
        <v>0</v>
      </c>
      <c r="DA362" s="16">
        <f>MIN(MOD(180-ABS(ABS($DA$1-RecData[Yaw Angle (°)])-180),360),MOD(180-ABS(ABS($DB$1-RecData[Yaw Angle (°)])-180),360))</f>
        <v>143.52804997768754</v>
      </c>
      <c r="DB362" s="2" t="str">
        <f>IF($DP$2="None","None",IF(RecData[[#This Row],[Relative Wind Direction]]&lt;=45,"DW",IF(RecData[[#This Row],[Relative Wind Direction]]&lt;=135,"CW","UW")))</f>
        <v>UW</v>
      </c>
      <c r="DC362" s="61" t="e">
        <f>IF($CL362-$CL358&gt;1/24,#REF!,IF(SUM($CQ358:$CQ362)&gt;$DS$1,$DS$5,DC363-1))</f>
        <v>#REF!</v>
      </c>
      <c r="DD362" s="61">
        <f>IF($CL363-$CL362&gt;1/24,#REF!,IF(SUM($CQ358:$CQ362)&gt;$DS$1,$DS$6,DD361-1))</f>
        <v>-8</v>
      </c>
      <c r="DE362" s="18" t="b">
        <v>0</v>
      </c>
      <c r="DF362" s="2" t="b">
        <f>IF(OR(RecData[[#This Row],[WSpd_Avg '[m/s']]]-RecData[[#This Row],[Wind Speed min]]&gt;=$DF$3,RecData[[#This Row],[Wind Speed max]]-RecData[[#This Row],[WSpd_Avg '[m/s']]]&gt;=$DF$2),TRUE,FALSE)</f>
        <v>0</v>
      </c>
      <c r="DG362" s="2" t="b">
        <f>RecData[[#This Row],[Temperature '[°C']]]&lt;=-20</f>
        <v>0</v>
      </c>
      <c r="DH362" s="18" t="b">
        <f>NOT(OR(MOD(RecData[[#This Row],[TIMESTAMP]],1)&gt;0.91632,MOD(RecData[[#This Row],[TIMESTAMP]],1)&lt;0.208681))</f>
        <v>0</v>
      </c>
      <c r="DI362" s="18" t="b">
        <f>RecData[[#This Row],[Overall (dBA)]]-RecData[[#This Row],[L90]]&gt;=$DS$4</f>
        <v>0</v>
      </c>
      <c r="DJ362" s="18" t="b">
        <f>RecData[[#This Row],[Overall (dBA)]]&gt;$DS$2</f>
        <v>0</v>
      </c>
      <c r="DK362" s="18" t="b">
        <f>RecData[[#This Row],[Overall (dBA)]]&lt;$DS$3</f>
        <v>0</v>
      </c>
      <c r="DL3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2" s="2">
        <f>IF(AND(RecData[[#This Row],[Turbines ON/OFF]] = "OFF", NOT(OR(RecData[[#This Row],[Junk?]]="YES",RecData[[#This Row],[Gust?]],RecData[[#This Row],[Rain?]:[Min SPL Threshold?]]))),1,0)</f>
        <v>1</v>
      </c>
      <c r="DN362" s="16">
        <f>RecData[[#This Row],[dBA Sum]]</f>
        <v>17.531201380089605</v>
      </c>
      <c r="DO362" s="16">
        <f>RecData[[#This Row],[LAF90.0]]</f>
        <v>38.6</v>
      </c>
      <c r="DP362" s="55" t="str">
        <f>IF(AND(RecData[[#This Row],[Useable TON Data?]],RecData[[#This Row],[Turbines ON/OFF]]="ON"),RecData[[#This Row],[dBA Sum]],"")</f>
        <v/>
      </c>
      <c r="DQ362" s="55">
        <f>IF(AND(RecData[[#This Row],[Useable Background Data?]],RecData[[#This Row],[Turbines ON/OFF]]="OFF"),RecData[[#This Row],[dBA Sum]],"")</f>
        <v>17.531201380089605</v>
      </c>
      <c r="DR362" s="3">
        <f>IF(OR(RecData[[#This Row],[Useable TON Data?]],RecData[[#This Row],[Useable Background Data?]]),ROUND(RecData[[#This Row],[WSpd_Avg '[m/s']]],0),"")</f>
        <v>1</v>
      </c>
      <c r="DS362" s="85">
        <f>(0.00002)^2*(10^(RecData[[#This Row],[Overall (dBA)]]/10))</f>
        <v>2.2655837933639375E-8</v>
      </c>
    </row>
    <row r="363" spans="1:123" ht="15" x14ac:dyDescent="0.25">
      <c r="A363" s="3" t="s">
        <v>249</v>
      </c>
      <c r="B363" s="12">
        <v>43261.958333333336</v>
      </c>
      <c r="C363" s="3"/>
      <c r="D363" s="3">
        <v>40.4</v>
      </c>
      <c r="E363" s="3"/>
      <c r="F363" s="3"/>
      <c r="G363" s="3"/>
      <c r="H363" s="3"/>
      <c r="I363" s="3"/>
      <c r="J363" s="3"/>
      <c r="K363" s="3">
        <v>38.6</v>
      </c>
      <c r="L363" s="3"/>
      <c r="M363" s="3"/>
      <c r="N363" s="3">
        <v>115.8</v>
      </c>
      <c r="O363" s="3"/>
      <c r="P363" s="3"/>
      <c r="Q363" s="3">
        <v>0.7</v>
      </c>
      <c r="R363" s="3">
        <v>0.4</v>
      </c>
      <c r="S363" s="3">
        <v>1</v>
      </c>
      <c r="T363" s="3">
        <v>11</v>
      </c>
      <c r="U363" s="3">
        <v>81.3</v>
      </c>
      <c r="V363" s="3">
        <v>974.2</v>
      </c>
      <c r="W363" s="3">
        <v>0</v>
      </c>
      <c r="X363" s="3">
        <v>21.1</v>
      </c>
      <c r="Y363" s="3">
        <v>18</v>
      </c>
      <c r="Z363" s="3">
        <v>19</v>
      </c>
      <c r="AA363" s="3">
        <v>13</v>
      </c>
      <c r="AB363" s="3">
        <v>10.8</v>
      </c>
      <c r="AC363" s="3">
        <v>7</v>
      </c>
      <c r="AD363" s="3">
        <v>9.5</v>
      </c>
      <c r="AE363" s="3">
        <v>10.199999999999999</v>
      </c>
      <c r="AF363" s="3">
        <v>14.7</v>
      </c>
      <c r="AG363" s="3">
        <v>12.4</v>
      </c>
      <c r="AH363" s="3">
        <v>11</v>
      </c>
      <c r="AI363" s="3">
        <v>9.1999999999999993</v>
      </c>
      <c r="AJ363" s="3">
        <v>9.8000000000000007</v>
      </c>
      <c r="AK363" s="3">
        <v>8.1999999999999993</v>
      </c>
      <c r="AL363" s="3">
        <v>6.7</v>
      </c>
      <c r="AM363" s="3">
        <v>6.8</v>
      </c>
      <c r="AN363" s="3">
        <v>7.6</v>
      </c>
      <c r="AO363" s="3">
        <v>7.3</v>
      </c>
      <c r="AP363" s="3">
        <v>7.6</v>
      </c>
      <c r="AQ363" s="3">
        <v>10.8</v>
      </c>
      <c r="AR363" s="3">
        <v>7.9</v>
      </c>
      <c r="AS363" s="3">
        <v>31.2</v>
      </c>
      <c r="AT363" s="3">
        <v>38.299999999999997</v>
      </c>
      <c r="AU363" s="3">
        <v>13.4</v>
      </c>
      <c r="AV363" s="3">
        <v>9.1999999999999993</v>
      </c>
      <c r="AW363" s="3">
        <v>9.5</v>
      </c>
      <c r="AX363" s="3">
        <v>9.5</v>
      </c>
      <c r="AY363" s="3">
        <v>9.6999999999999993</v>
      </c>
      <c r="AZ363" s="3">
        <v>0</v>
      </c>
      <c r="BA363" s="3">
        <v>0</v>
      </c>
      <c r="BB363" s="3">
        <v>0</v>
      </c>
      <c r="BC363" s="3">
        <v>40.327498480807577</v>
      </c>
      <c r="BD363" s="3">
        <v>21.172501519192423</v>
      </c>
      <c r="BE363" s="3">
        <v>18.072501519192421</v>
      </c>
      <c r="BF363" s="3">
        <v>17.832501519192419</v>
      </c>
      <c r="BG363" s="3">
        <v>12.159168185859087</v>
      </c>
      <c r="BH363" s="3">
        <v>10.099168185859092</v>
      </c>
      <c r="BI363" s="3">
        <v>6.712501519192422</v>
      </c>
      <c r="BJ363" s="3">
        <v>10.005834852525751</v>
      </c>
      <c r="BK363" s="3">
        <v>10.579168185859082</v>
      </c>
      <c r="BL363" s="3">
        <v>14.65250151919242</v>
      </c>
      <c r="BM363" s="3">
        <v>12.485834852525755</v>
      </c>
      <c r="BN363" s="3">
        <v>11.369168185859088</v>
      </c>
      <c r="BO363" s="3">
        <v>8.9358348525257583</v>
      </c>
      <c r="BP363" s="3">
        <v>9.2525015191924211</v>
      </c>
      <c r="BQ363" s="3">
        <v>8.0691681858590769</v>
      </c>
      <c r="BR363" s="3">
        <v>6.8958348525257591</v>
      </c>
      <c r="BS363" s="3">
        <v>6.799168185859088</v>
      </c>
      <c r="BT363" s="3">
        <v>7.7958348525257577</v>
      </c>
      <c r="BU363" s="3">
        <v>7.462501519192422</v>
      </c>
      <c r="BV363" s="3">
        <v>7.4791681858590877</v>
      </c>
      <c r="BW363" s="3">
        <v>11.212501519192429</v>
      </c>
      <c r="BX363" s="3">
        <v>8.2325015191924251</v>
      </c>
      <c r="BY363" s="3">
        <v>31.352501519192415</v>
      </c>
      <c r="BZ363" s="3">
        <v>38.582501519192419</v>
      </c>
      <c r="CA363" s="3">
        <v>13.782501519192415</v>
      </c>
      <c r="CB363" s="3">
        <v>9.0191681858590869</v>
      </c>
      <c r="CC363" s="3">
        <v>9.5325015191924223</v>
      </c>
      <c r="CD363" s="3">
        <v>8.8391681858590943</v>
      </c>
      <c r="CE363" s="3">
        <v>9.232501519192418</v>
      </c>
      <c r="CF363" s="3">
        <v>-0.85416514747424799</v>
      </c>
      <c r="CG363" s="3">
        <v>-1.3874984808075794</v>
      </c>
      <c r="CH363" s="3">
        <v>-2.4641651474742474</v>
      </c>
      <c r="CI363" s="13">
        <f>[1]!dbasum(RecData[[#This Row],[20]:[2000]],RecData[[#Headers],[20]:[2000]])</f>
        <v>17.454175958458649</v>
      </c>
      <c r="CJ363" s="14">
        <v>4725</v>
      </c>
      <c r="CK363" s="15" t="s">
        <v>249</v>
      </c>
      <c r="CL363" s="15">
        <f>RecData[[#This Row],[Start Time]]</f>
        <v>43261.958333333336</v>
      </c>
      <c r="CM363" s="16">
        <f>RecData[[#This Row],[Wind Speed avg]]</f>
        <v>0.7</v>
      </c>
      <c r="CN363" s="16">
        <f>RecData[[#This Row],[Wind Dir. avg]]</f>
        <v>115.8</v>
      </c>
      <c r="CO363" s="16">
        <f>RecData[[#This Row],[Amb. Humidity]]</f>
        <v>81.3</v>
      </c>
      <c r="CP363" s="16">
        <f>RecData[[#This Row],[Amb. Temperature]]</f>
        <v>11</v>
      </c>
      <c r="CQ363" s="17">
        <f>RecData[[#This Row],[Amb. Rain Gauge]]</f>
        <v>0</v>
      </c>
      <c r="CR363" s="4" t="s">
        <v>50</v>
      </c>
      <c r="CS363" s="4" t="s">
        <v>49</v>
      </c>
      <c r="CT363" s="70">
        <v>-9.2304401400000007</v>
      </c>
      <c r="CU363" s="70">
        <v>224.00187679999999</v>
      </c>
      <c r="CV363" s="70">
        <v>2.189786673</v>
      </c>
      <c r="CW363" s="70">
        <v>0</v>
      </c>
      <c r="CX363" s="4"/>
      <c r="CY363" s="69"/>
      <c r="CZ363" s="2" t="b">
        <f>IF($DP$1="YES",IF(RecData[[#This Row],[Power (kW)]]&gt;=$CR$3, TRUE,FALSE),TRUE)</f>
        <v>0</v>
      </c>
      <c r="DA363" s="16">
        <f>MIN(MOD(180-ABS(ABS($DA$1-RecData[Yaw Angle (°)])-180),360),MOD(180-ABS(ABS($DB$1-RecData[Yaw Angle (°)])-180),360))</f>
        <v>143.52804997768754</v>
      </c>
      <c r="DB363" s="2" t="str">
        <f>IF($DP$2="None","None",IF(RecData[[#This Row],[Relative Wind Direction]]&lt;=45,"DW",IF(RecData[[#This Row],[Relative Wind Direction]]&lt;=135,"CW","UW")))</f>
        <v>UW</v>
      </c>
      <c r="DC363" s="61" t="e">
        <f>IF($CL363-$CL359&gt;1/24,#REF!,IF(SUM($CQ359:$CQ363)&gt;$DS$1,$DS$5,#REF!-1))</f>
        <v>#REF!</v>
      </c>
      <c r="DD363" s="61" t="e">
        <f>IF(#REF!-$CL363&gt;1/24,#REF!,IF(SUM($CQ359:$CQ363)&gt;$DS$1,$DS$6,DD362-1))</f>
        <v>#REF!</v>
      </c>
      <c r="DE363" s="18" t="b">
        <v>0</v>
      </c>
      <c r="DF363" s="2" t="b">
        <f>IF(OR(RecData[[#This Row],[WSpd_Avg '[m/s']]]-RecData[[#This Row],[Wind Speed min]]&gt;=$DF$3,RecData[[#This Row],[Wind Speed max]]-RecData[[#This Row],[WSpd_Avg '[m/s']]]&gt;=$DF$2),TRUE,FALSE)</f>
        <v>0</v>
      </c>
      <c r="DG363" s="2" t="b">
        <f>RecData[[#This Row],[Temperature '[°C']]]&lt;=-20</f>
        <v>0</v>
      </c>
      <c r="DH363" s="18" t="b">
        <f>NOT(OR(MOD(RecData[[#This Row],[TIMESTAMP]],1)&gt;0.91632,MOD(RecData[[#This Row],[TIMESTAMP]],1)&lt;0.208681))</f>
        <v>0</v>
      </c>
      <c r="DI363" s="18" t="b">
        <f>RecData[[#This Row],[Overall (dBA)]]-RecData[[#This Row],[L90]]&gt;=$DS$4</f>
        <v>0</v>
      </c>
      <c r="DJ363" s="18" t="b">
        <f>RecData[[#This Row],[Overall (dBA)]]&gt;$DS$2</f>
        <v>0</v>
      </c>
      <c r="DK363" s="18" t="b">
        <f>RecData[[#This Row],[Overall (dBA)]]&lt;$DS$3</f>
        <v>0</v>
      </c>
      <c r="DL3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3" s="2">
        <f>IF(AND(RecData[[#This Row],[Turbines ON/OFF]] = "OFF", NOT(OR(RecData[[#This Row],[Junk?]]="YES",RecData[[#This Row],[Gust?]],RecData[[#This Row],[Rain?]:[Min SPL Threshold?]]))),1,0)</f>
        <v>1</v>
      </c>
      <c r="DN363" s="16">
        <f>RecData[[#This Row],[dBA Sum]]</f>
        <v>17.454175958458649</v>
      </c>
      <c r="DO363" s="16">
        <f>RecData[[#This Row],[LAF90.0]]</f>
        <v>38.6</v>
      </c>
      <c r="DP363" s="55" t="str">
        <f>IF(AND(RecData[[#This Row],[Useable TON Data?]],RecData[[#This Row],[Turbines ON/OFF]]="ON"),RecData[[#This Row],[dBA Sum]],"")</f>
        <v/>
      </c>
      <c r="DQ363" s="55">
        <f>IF(AND(RecData[[#This Row],[Useable Background Data?]],RecData[[#This Row],[Turbines ON/OFF]]="OFF"),RecData[[#This Row],[dBA Sum]],"")</f>
        <v>17.454175958458649</v>
      </c>
      <c r="DR363" s="3">
        <f>IF(OR(RecData[[#This Row],[Useable TON Data?]],RecData[[#This Row],[Useable Background Data?]]),ROUND(RecData[[#This Row],[WSpd_Avg '[m/s']]],0),"")</f>
        <v>1</v>
      </c>
      <c r="DS363" s="85">
        <f>(0.00002)^2*(10^(RecData[[#This Row],[Overall (dBA)]]/10))</f>
        <v>2.2257561762519274E-8</v>
      </c>
    </row>
    <row r="364" spans="1:123" ht="15" x14ac:dyDescent="0.25">
      <c r="A364" s="3" t="s">
        <v>249</v>
      </c>
      <c r="B364" s="12">
        <v>43262.021527777775</v>
      </c>
      <c r="C364" s="3"/>
      <c r="D364" s="3">
        <v>34.700000000000003</v>
      </c>
      <c r="E364" s="3"/>
      <c r="F364" s="3"/>
      <c r="G364" s="3"/>
      <c r="H364" s="3"/>
      <c r="I364" s="3"/>
      <c r="J364" s="3"/>
      <c r="K364" s="3">
        <v>31.1</v>
      </c>
      <c r="L364" s="3"/>
      <c r="M364" s="3"/>
      <c r="N364" s="3">
        <v>122</v>
      </c>
      <c r="O364" s="3"/>
      <c r="P364" s="3"/>
      <c r="Q364" s="3">
        <v>0.66</v>
      </c>
      <c r="R364" s="3">
        <v>0.3</v>
      </c>
      <c r="S364" s="3">
        <v>0.8</v>
      </c>
      <c r="T364" s="3">
        <v>9.6</v>
      </c>
      <c r="U364" s="3">
        <v>87</v>
      </c>
      <c r="V364" s="3">
        <v>974.2</v>
      </c>
      <c r="W364" s="3">
        <v>0</v>
      </c>
      <c r="X364" s="3">
        <v>17.600000000000001</v>
      </c>
      <c r="Y364" s="3">
        <v>16.5</v>
      </c>
      <c r="Z364" s="3">
        <v>16.399999999999999</v>
      </c>
      <c r="AA364" s="3">
        <v>8.9</v>
      </c>
      <c r="AB364" s="3">
        <v>7.8</v>
      </c>
      <c r="AC364" s="3">
        <v>5.6</v>
      </c>
      <c r="AD364" s="3">
        <v>7.6</v>
      </c>
      <c r="AE364" s="3">
        <v>7.2</v>
      </c>
      <c r="AF364" s="3">
        <v>10</v>
      </c>
      <c r="AG364" s="3">
        <v>7.6</v>
      </c>
      <c r="AH364" s="3">
        <v>7.7</v>
      </c>
      <c r="AI364" s="3">
        <v>8.5</v>
      </c>
      <c r="AJ364" s="3">
        <v>9.5</v>
      </c>
      <c r="AK364" s="3">
        <v>8.1999999999999993</v>
      </c>
      <c r="AL364" s="3">
        <v>7.3</v>
      </c>
      <c r="AM364" s="3">
        <v>6.8</v>
      </c>
      <c r="AN364" s="3">
        <v>7.3</v>
      </c>
      <c r="AO364" s="3">
        <v>6.8</v>
      </c>
      <c r="AP364" s="3">
        <v>7</v>
      </c>
      <c r="AQ364" s="3">
        <v>8</v>
      </c>
      <c r="AR364" s="3">
        <v>6.9</v>
      </c>
      <c r="AS364" s="3">
        <v>25.8</v>
      </c>
      <c r="AT364" s="3">
        <v>32.5</v>
      </c>
      <c r="AU364" s="3">
        <v>9.9</v>
      </c>
      <c r="AV364" s="3">
        <v>8.6999999999999993</v>
      </c>
      <c r="AW364" s="3">
        <v>9.1999999999999993</v>
      </c>
      <c r="AX364" s="3">
        <v>9.3000000000000007</v>
      </c>
      <c r="AY364" s="3">
        <v>9.6</v>
      </c>
      <c r="AZ364" s="3">
        <v>0</v>
      </c>
      <c r="BA364" s="3">
        <v>0</v>
      </c>
      <c r="BB364" s="3">
        <v>0</v>
      </c>
      <c r="BC364" s="3">
        <v>34.673763427828106</v>
      </c>
      <c r="BD364" s="3">
        <v>17.626236572171898</v>
      </c>
      <c r="BE364" s="3">
        <v>16.526236572171896</v>
      </c>
      <c r="BF364" s="3">
        <v>15.186236572171893</v>
      </c>
      <c r="BG364" s="3">
        <v>8.012903238838561</v>
      </c>
      <c r="BH364" s="3">
        <v>7.0529032388385673</v>
      </c>
      <c r="BI364" s="3">
        <v>5.2662365721718984</v>
      </c>
      <c r="BJ364" s="3">
        <v>8.0595699055052279</v>
      </c>
      <c r="BK364" s="3">
        <v>7.5329032388385571</v>
      </c>
      <c r="BL364" s="3">
        <v>9.906236572171899</v>
      </c>
      <c r="BM364" s="3">
        <v>7.6395699055052333</v>
      </c>
      <c r="BN364" s="3">
        <v>8.0229032388385662</v>
      </c>
      <c r="BO364" s="3">
        <v>8.1895699055052305</v>
      </c>
      <c r="BP364" s="3">
        <v>8.906236572171899</v>
      </c>
      <c r="BQ364" s="3">
        <v>8.0229032388385519</v>
      </c>
      <c r="BR364" s="3">
        <v>7.4495699055052285</v>
      </c>
      <c r="BS364" s="3">
        <v>6.752903238838563</v>
      </c>
      <c r="BT364" s="3">
        <v>7.4495699055052285</v>
      </c>
      <c r="BU364" s="3">
        <v>6.916236572171897</v>
      </c>
      <c r="BV364" s="3">
        <v>6.8329032388385613</v>
      </c>
      <c r="BW364" s="3">
        <v>8.3662365721718999</v>
      </c>
      <c r="BX364" s="3">
        <v>7.1862365721719001</v>
      </c>
      <c r="BY364" s="3">
        <v>25.906236572171892</v>
      </c>
      <c r="BZ364" s="3">
        <v>32.73623657217189</v>
      </c>
      <c r="CA364" s="3">
        <v>10.23623657217189</v>
      </c>
      <c r="CB364" s="3">
        <v>8.4729032388385619</v>
      </c>
      <c r="CC364" s="3">
        <v>9.186236572171893</v>
      </c>
      <c r="CD364" s="3">
        <v>8.5929032388385664</v>
      </c>
      <c r="CE364" s="3">
        <v>9.0862365721718987</v>
      </c>
      <c r="CF364" s="3">
        <v>-0.90043009449477296</v>
      </c>
      <c r="CG364" s="3">
        <v>-1.4337634278281044</v>
      </c>
      <c r="CH364" s="3">
        <v>-2.5104300944947724</v>
      </c>
      <c r="CI364" s="13">
        <f>[1]!dbasum(RecData[[#This Row],[20]:[2000]],RecData[[#Headers],[20]:[2000]])</f>
        <v>16.239779119100234</v>
      </c>
      <c r="CJ364" s="14">
        <v>4816</v>
      </c>
      <c r="CK364" s="15" t="s">
        <v>249</v>
      </c>
      <c r="CL364" s="15">
        <f>RecData[[#This Row],[Start Time]]</f>
        <v>43262.021527777775</v>
      </c>
      <c r="CM364" s="16">
        <f>RecData[[#This Row],[Wind Speed avg]]</f>
        <v>0.66</v>
      </c>
      <c r="CN364" s="16">
        <f>RecData[[#This Row],[Wind Dir. avg]]</f>
        <v>122</v>
      </c>
      <c r="CO364" s="16">
        <f>RecData[[#This Row],[Amb. Humidity]]</f>
        <v>87</v>
      </c>
      <c r="CP364" s="16">
        <f>RecData[[#This Row],[Amb. Temperature]]</f>
        <v>9.6</v>
      </c>
      <c r="CQ364" s="17">
        <f>RecData[[#This Row],[Amb. Rain Gauge]]</f>
        <v>0</v>
      </c>
      <c r="CR364" s="4" t="s">
        <v>50</v>
      </c>
      <c r="CS364" s="4" t="s">
        <v>49</v>
      </c>
      <c r="CT364" s="70">
        <v>-9.3480539319999991</v>
      </c>
      <c r="CU364" s="70">
        <v>205.00172420000001</v>
      </c>
      <c r="CV364" s="70">
        <v>1.6311064959999999</v>
      </c>
      <c r="CW364" s="70">
        <v>0</v>
      </c>
      <c r="CX364" s="4"/>
      <c r="CY364" s="69"/>
      <c r="CZ364" s="2" t="b">
        <f>IF($DP$1="YES",IF(RecData[[#This Row],[Power (kW)]]&gt;=$CR$3, TRUE,FALSE),TRUE)</f>
        <v>0</v>
      </c>
      <c r="DA364" s="16">
        <f>MIN(MOD(180-ABS(ABS($DA$1-RecData[Yaw Angle (°)])-180),360),MOD(180-ABS(ABS($DB$1-RecData[Yaw Angle (°)])-180),360))</f>
        <v>162.52820257768752</v>
      </c>
      <c r="DB364" s="2" t="str">
        <f>IF($DP$2="None","None",IF(RecData[[#This Row],[Relative Wind Direction]]&lt;=45,"DW",IF(RecData[[#This Row],[Relative Wind Direction]]&lt;=135,"CW","UW")))</f>
        <v>UW</v>
      </c>
      <c r="DC364" s="61">
        <v>-1</v>
      </c>
      <c r="DD364" s="61">
        <v>-1</v>
      </c>
      <c r="DE364" s="18" t="b">
        <v>0</v>
      </c>
      <c r="DF364" s="2" t="b">
        <f>IF(OR(RecData[[#This Row],[WSpd_Avg '[m/s']]]-RecData[[#This Row],[Wind Speed min]]&gt;=$DF$3,RecData[[#This Row],[Wind Speed max]]-RecData[[#This Row],[WSpd_Avg '[m/s']]]&gt;=$DF$2),TRUE,FALSE)</f>
        <v>0</v>
      </c>
      <c r="DG364" s="2" t="b">
        <f>RecData[[#This Row],[Temperature '[°C']]]&lt;=-20</f>
        <v>0</v>
      </c>
      <c r="DH364" s="18" t="b">
        <f>NOT(OR(MOD(RecData[[#This Row],[TIMESTAMP]],1)&gt;0.91632,MOD(RecData[[#This Row],[TIMESTAMP]],1)&lt;0.208681))</f>
        <v>0</v>
      </c>
      <c r="DI364" s="18" t="b">
        <f>RecData[[#This Row],[Overall (dBA)]]-RecData[[#This Row],[L90]]&gt;=$DS$4</f>
        <v>0</v>
      </c>
      <c r="DJ364" s="18" t="b">
        <f>RecData[[#This Row],[Overall (dBA)]]&gt;$DS$2</f>
        <v>0</v>
      </c>
      <c r="DK364" s="18" t="b">
        <f>RecData[[#This Row],[Overall (dBA)]]&lt;$DS$3</f>
        <v>0</v>
      </c>
      <c r="DL3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4" s="2">
        <f>IF(AND(RecData[[#This Row],[Turbines ON/OFF]] = "OFF", NOT(OR(RecData[[#This Row],[Junk?]]="YES",RecData[[#This Row],[Gust?]],RecData[[#This Row],[Rain?]:[Min SPL Threshold?]]))),1,0)</f>
        <v>1</v>
      </c>
      <c r="DN364" s="16">
        <f>RecData[[#This Row],[dBA Sum]]</f>
        <v>16.239779119100234</v>
      </c>
      <c r="DO364" s="16">
        <f>RecData[[#This Row],[LAF90.0]]</f>
        <v>31.1</v>
      </c>
      <c r="DP364" s="55" t="str">
        <f>IF(AND(RecData[[#This Row],[Useable TON Data?]],RecData[[#This Row],[Turbines ON/OFF]]="ON"),RecData[[#This Row],[dBA Sum]],"")</f>
        <v/>
      </c>
      <c r="DQ364" s="55">
        <f>IF(AND(RecData[[#This Row],[Useable Background Data?]],RecData[[#This Row],[Turbines ON/OFF]]="OFF"),RecData[[#This Row],[dBA Sum]],"")</f>
        <v>16.239779119100234</v>
      </c>
      <c r="DR364" s="3">
        <f>IF(OR(RecData[[#This Row],[Useable TON Data?]],RecData[[#This Row],[Useable Background Data?]]),ROUND(RecData[[#This Row],[WSpd_Avg '[m/s']]],0),"")</f>
        <v>1</v>
      </c>
      <c r="DS364" s="85">
        <f>(0.00002)^2*(10^(RecData[[#This Row],[Overall (dBA)]]/10))</f>
        <v>1.6828209235826325E-8</v>
      </c>
    </row>
    <row r="365" spans="1:123" ht="15" x14ac:dyDescent="0.25">
      <c r="A365" s="3" t="s">
        <v>249</v>
      </c>
      <c r="B365" s="12">
        <v>43262.022222222222</v>
      </c>
      <c r="C365" s="3"/>
      <c r="D365" s="3">
        <v>32.5</v>
      </c>
      <c r="E365" s="3"/>
      <c r="F365" s="3"/>
      <c r="G365" s="3"/>
      <c r="H365" s="3"/>
      <c r="I365" s="3"/>
      <c r="J365" s="3"/>
      <c r="K365" s="3">
        <v>27.5</v>
      </c>
      <c r="L365" s="3"/>
      <c r="M365" s="3"/>
      <c r="N365" s="3">
        <v>101.2</v>
      </c>
      <c r="O365" s="3"/>
      <c r="P365" s="3"/>
      <c r="Q365" s="3">
        <v>0.27</v>
      </c>
      <c r="R365" s="3">
        <v>0</v>
      </c>
      <c r="S365" s="3">
        <v>0.6</v>
      </c>
      <c r="T365" s="3">
        <v>9.6</v>
      </c>
      <c r="U365" s="3">
        <v>87.2</v>
      </c>
      <c r="V365" s="3">
        <v>974.2</v>
      </c>
      <c r="W365" s="3">
        <v>0</v>
      </c>
      <c r="X365" s="3">
        <v>15.5</v>
      </c>
      <c r="Y365" s="3">
        <v>13.4</v>
      </c>
      <c r="Z365" s="3">
        <v>16.899999999999999</v>
      </c>
      <c r="AA365" s="3">
        <v>11.3</v>
      </c>
      <c r="AB365" s="3">
        <v>7.2</v>
      </c>
      <c r="AC365" s="3">
        <v>5.4</v>
      </c>
      <c r="AD365" s="3">
        <v>8.5</v>
      </c>
      <c r="AE365" s="3">
        <v>7.9</v>
      </c>
      <c r="AF365" s="3">
        <v>10.7</v>
      </c>
      <c r="AG365" s="3">
        <v>7.6</v>
      </c>
      <c r="AH365" s="3">
        <v>8.6</v>
      </c>
      <c r="AI365" s="3">
        <v>8.4</v>
      </c>
      <c r="AJ365" s="3">
        <v>9.1999999999999993</v>
      </c>
      <c r="AK365" s="3">
        <v>7.9</v>
      </c>
      <c r="AL365" s="3">
        <v>6.8</v>
      </c>
      <c r="AM365" s="3">
        <v>7.1</v>
      </c>
      <c r="AN365" s="3">
        <v>7.8</v>
      </c>
      <c r="AO365" s="3">
        <v>7.4</v>
      </c>
      <c r="AP365" s="3">
        <v>6.8</v>
      </c>
      <c r="AQ365" s="3">
        <v>7.2</v>
      </c>
      <c r="AR365" s="3">
        <v>6.4</v>
      </c>
      <c r="AS365" s="3">
        <v>25.1</v>
      </c>
      <c r="AT365" s="3">
        <v>29.7</v>
      </c>
      <c r="AU365" s="3">
        <v>8.5</v>
      </c>
      <c r="AV365" s="3">
        <v>8.6999999999999993</v>
      </c>
      <c r="AW365" s="3">
        <v>9.1999999999999993</v>
      </c>
      <c r="AX365" s="3">
        <v>9.4</v>
      </c>
      <c r="AY365" s="3">
        <v>9.6</v>
      </c>
      <c r="AZ365" s="3">
        <v>0</v>
      </c>
      <c r="BA365" s="3">
        <v>0</v>
      </c>
      <c r="BB365" s="3">
        <v>0</v>
      </c>
      <c r="BC365" s="3">
        <v>32.405246030043422</v>
      </c>
      <c r="BD365" s="3">
        <v>15.594753969956578</v>
      </c>
      <c r="BE365" s="3">
        <v>13.494753969956577</v>
      </c>
      <c r="BF365" s="3">
        <v>15.754753969956575</v>
      </c>
      <c r="BG365" s="3">
        <v>10.481420636623241</v>
      </c>
      <c r="BH365" s="3">
        <v>6.5214206366232474</v>
      </c>
      <c r="BI365" s="3">
        <v>5.1347539699565772</v>
      </c>
      <c r="BJ365" s="3">
        <v>9.028087303289908</v>
      </c>
      <c r="BK365" s="3">
        <v>8.3014206366232415</v>
      </c>
      <c r="BL365" s="3">
        <v>10.674753969956576</v>
      </c>
      <c r="BM365" s="3">
        <v>7.7080873032899149</v>
      </c>
      <c r="BN365" s="3">
        <v>8.9914206366232463</v>
      </c>
      <c r="BO365" s="3">
        <v>8.1580873032899106</v>
      </c>
      <c r="BP365" s="3">
        <v>8.6747539699565763</v>
      </c>
      <c r="BQ365" s="3">
        <v>7.7914206366232364</v>
      </c>
      <c r="BR365" s="3">
        <v>7.01808730328991</v>
      </c>
      <c r="BS365" s="3">
        <v>7.1214206366232418</v>
      </c>
      <c r="BT365" s="3">
        <v>8.01808730328991</v>
      </c>
      <c r="BU365" s="3">
        <v>7.58475396995658</v>
      </c>
      <c r="BV365" s="3">
        <v>6.7014206366232472</v>
      </c>
      <c r="BW365" s="3">
        <v>7.6347539699565843</v>
      </c>
      <c r="BX365" s="3">
        <v>6.7547539699565817</v>
      </c>
      <c r="BY365" s="3">
        <v>25.274753969956578</v>
      </c>
      <c r="BZ365" s="3">
        <v>30.004753969956582</v>
      </c>
      <c r="CA365" s="3">
        <v>8.9047539699565732</v>
      </c>
      <c r="CB365" s="3">
        <v>8.5414206366232435</v>
      </c>
      <c r="CC365" s="3">
        <v>9.2547539699565746</v>
      </c>
      <c r="CD365" s="3">
        <v>8.7614206366232494</v>
      </c>
      <c r="CE365" s="3">
        <v>9.1547539699565803</v>
      </c>
      <c r="CF365" s="3">
        <v>-0.83191269671008783</v>
      </c>
      <c r="CG365" s="3">
        <v>-1.3652460300434193</v>
      </c>
      <c r="CH365" s="3">
        <v>-2.4419126967100873</v>
      </c>
      <c r="CI365" s="13">
        <f>[1]!dbasum(RecData[[#This Row],[20]:[2000]],RecData[[#Headers],[20]:[2000]])</f>
        <v>16.170383770596864</v>
      </c>
      <c r="CJ365" s="14">
        <v>4817</v>
      </c>
      <c r="CK365" s="15" t="s">
        <v>249</v>
      </c>
      <c r="CL365" s="15">
        <f>RecData[[#This Row],[Start Time]]</f>
        <v>43262.022222222222</v>
      </c>
      <c r="CM365" s="16">
        <f>RecData[[#This Row],[Wind Speed avg]]</f>
        <v>0.27</v>
      </c>
      <c r="CN365" s="16">
        <f>RecData[[#This Row],[Wind Dir. avg]]</f>
        <v>101.2</v>
      </c>
      <c r="CO365" s="16">
        <f>RecData[[#This Row],[Amb. Humidity]]</f>
        <v>87.2</v>
      </c>
      <c r="CP365" s="16">
        <f>RecData[[#This Row],[Amb. Temperature]]</f>
        <v>9.6</v>
      </c>
      <c r="CQ365" s="17">
        <f>RecData[[#This Row],[Amb. Rain Gauge]]</f>
        <v>0</v>
      </c>
      <c r="CR365" s="4" t="s">
        <v>50</v>
      </c>
      <c r="CS365" s="4" t="s">
        <v>49</v>
      </c>
      <c r="CT365" s="70">
        <v>-9.3480539319999991</v>
      </c>
      <c r="CU365" s="70">
        <v>205.00172420000001</v>
      </c>
      <c r="CV365" s="70">
        <v>1.6311064959999999</v>
      </c>
      <c r="CW365" s="70">
        <v>0</v>
      </c>
      <c r="CX365" s="4"/>
      <c r="CY365" s="69"/>
      <c r="CZ365" s="2" t="b">
        <f>IF($DP$1="YES",IF(RecData[[#This Row],[Power (kW)]]&gt;=$CR$3, TRUE,FALSE),TRUE)</f>
        <v>0</v>
      </c>
      <c r="DA365" s="16">
        <f>MIN(MOD(180-ABS(ABS($DA$1-RecData[Yaw Angle (°)])-180),360),MOD(180-ABS(ABS($DB$1-RecData[Yaw Angle (°)])-180),360))</f>
        <v>162.52820257768752</v>
      </c>
      <c r="DB365" s="2" t="str">
        <f>IF($DP$2="None","None",IF(RecData[[#This Row],[Relative Wind Direction]]&lt;=45,"DW",IF(RecData[[#This Row],[Relative Wind Direction]]&lt;=135,"CW","UW")))</f>
        <v>UW</v>
      </c>
      <c r="DC365" s="61">
        <f>IF($CL365-$CL364&gt;1/24,#REF!,IF(SUM($CQ364:$CQ365)&gt;$DS$1,$DS$5,DC366-1))</f>
        <v>-9</v>
      </c>
      <c r="DD365" s="61">
        <f>IF($CL366-$CL365&gt;1/24,#REF!,IF(SUM($CQ364:$CQ365)&gt;$DS$1,$DS$6,DD364-1))</f>
        <v>-2</v>
      </c>
      <c r="DE365" s="18" t="b">
        <v>0</v>
      </c>
      <c r="DF365" s="2" t="b">
        <f>IF(OR(RecData[[#This Row],[WSpd_Avg '[m/s']]]-RecData[[#This Row],[Wind Speed min]]&gt;=$DF$3,RecData[[#This Row],[Wind Speed max]]-RecData[[#This Row],[WSpd_Avg '[m/s']]]&gt;=$DF$2),TRUE,FALSE)</f>
        <v>0</v>
      </c>
      <c r="DG365" s="2" t="b">
        <f>RecData[[#This Row],[Temperature '[°C']]]&lt;=-20</f>
        <v>0</v>
      </c>
      <c r="DH365" s="18" t="b">
        <f>NOT(OR(MOD(RecData[[#This Row],[TIMESTAMP]],1)&gt;0.91632,MOD(RecData[[#This Row],[TIMESTAMP]],1)&lt;0.208681))</f>
        <v>0</v>
      </c>
      <c r="DI365" s="18" t="b">
        <f>RecData[[#This Row],[Overall (dBA)]]-RecData[[#This Row],[L90]]&gt;=$DS$4</f>
        <v>0</v>
      </c>
      <c r="DJ365" s="18" t="b">
        <f>RecData[[#This Row],[Overall (dBA)]]&gt;$DS$2</f>
        <v>0</v>
      </c>
      <c r="DK365" s="18" t="b">
        <f>RecData[[#This Row],[Overall (dBA)]]&lt;$DS$3</f>
        <v>0</v>
      </c>
      <c r="DL3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5" s="2">
        <f>IF(AND(RecData[[#This Row],[Turbines ON/OFF]] = "OFF", NOT(OR(RecData[[#This Row],[Junk?]]="YES",RecData[[#This Row],[Gust?]],RecData[[#This Row],[Rain?]:[Min SPL Threshold?]]))),1,0)</f>
        <v>1</v>
      </c>
      <c r="DN365" s="16">
        <f>RecData[[#This Row],[dBA Sum]]</f>
        <v>16.170383770596864</v>
      </c>
      <c r="DO365" s="16">
        <f>RecData[[#This Row],[LAF90.0]]</f>
        <v>27.5</v>
      </c>
      <c r="DP365" s="55" t="str">
        <f>IF(AND(RecData[[#This Row],[Useable TON Data?]],RecData[[#This Row],[Turbines ON/OFF]]="ON"),RecData[[#This Row],[dBA Sum]],"")</f>
        <v/>
      </c>
      <c r="DQ365" s="55">
        <f>IF(AND(RecData[[#This Row],[Useable Background Data?]],RecData[[#This Row],[Turbines ON/OFF]]="OFF"),RecData[[#This Row],[dBA Sum]],"")</f>
        <v>16.170383770596864</v>
      </c>
      <c r="DR365" s="3">
        <f>IF(OR(RecData[[#This Row],[Useable TON Data?]],RecData[[#This Row],[Useable Background Data?]]),ROUND(RecData[[#This Row],[WSpd_Avg '[m/s']]],0),"")</f>
        <v>0</v>
      </c>
      <c r="DS365" s="85">
        <f>(0.00002)^2*(10^(RecData[[#This Row],[Overall (dBA)]]/10))</f>
        <v>1.6561450404635374E-8</v>
      </c>
    </row>
    <row r="366" spans="1:123" ht="15" x14ac:dyDescent="0.25">
      <c r="A366" s="3" t="s">
        <v>249</v>
      </c>
      <c r="B366" s="12">
        <v>43262.022916666669</v>
      </c>
      <c r="C366" s="3"/>
      <c r="D366" s="3">
        <v>31.1</v>
      </c>
      <c r="E366" s="3"/>
      <c r="F366" s="3"/>
      <c r="G366" s="3"/>
      <c r="H366" s="3"/>
      <c r="I366" s="3"/>
      <c r="J366" s="3"/>
      <c r="K366" s="3">
        <v>25.3</v>
      </c>
      <c r="L366" s="3"/>
      <c r="M366" s="3"/>
      <c r="N366" s="3">
        <v>170.6</v>
      </c>
      <c r="O366" s="3"/>
      <c r="P366" s="3"/>
      <c r="Q366" s="3">
        <v>0.08</v>
      </c>
      <c r="R366" s="3">
        <v>0</v>
      </c>
      <c r="S366" s="3">
        <v>0.2</v>
      </c>
      <c r="T366" s="3">
        <v>9.6</v>
      </c>
      <c r="U366" s="3">
        <v>87.2</v>
      </c>
      <c r="V366" s="3">
        <v>974.2</v>
      </c>
      <c r="W366" s="3">
        <v>0</v>
      </c>
      <c r="X366" s="3">
        <v>14.9</v>
      </c>
      <c r="Y366" s="3">
        <v>13.9</v>
      </c>
      <c r="Z366" s="3">
        <v>15.9</v>
      </c>
      <c r="AA366" s="3">
        <v>10.9</v>
      </c>
      <c r="AB366" s="3">
        <v>7.5</v>
      </c>
      <c r="AC366" s="3">
        <v>5.9</v>
      </c>
      <c r="AD366" s="3">
        <v>7.9</v>
      </c>
      <c r="AE366" s="3">
        <v>7.3</v>
      </c>
      <c r="AF366" s="3">
        <v>11.4</v>
      </c>
      <c r="AG366" s="3">
        <v>7.5</v>
      </c>
      <c r="AH366" s="3">
        <v>6.5</v>
      </c>
      <c r="AI366" s="3">
        <v>7.7</v>
      </c>
      <c r="AJ366" s="3">
        <v>9</v>
      </c>
      <c r="AK366" s="3">
        <v>7.9</v>
      </c>
      <c r="AL366" s="3">
        <v>7</v>
      </c>
      <c r="AM366" s="3">
        <v>6.9</v>
      </c>
      <c r="AN366" s="3">
        <v>7.2</v>
      </c>
      <c r="AO366" s="3">
        <v>6.8</v>
      </c>
      <c r="AP366" s="3">
        <v>6.5</v>
      </c>
      <c r="AQ366" s="3">
        <v>7.1</v>
      </c>
      <c r="AR366" s="3">
        <v>6.6</v>
      </c>
      <c r="AS366" s="3">
        <v>22.7</v>
      </c>
      <c r="AT366" s="3">
        <v>28.6</v>
      </c>
      <c r="AU366" s="3">
        <v>8.5</v>
      </c>
      <c r="AV366" s="3">
        <v>8.6</v>
      </c>
      <c r="AW366" s="3">
        <v>9.1</v>
      </c>
      <c r="AX366" s="3">
        <v>9.3000000000000007</v>
      </c>
      <c r="AY366" s="3">
        <v>9.6</v>
      </c>
      <c r="AZ366" s="3">
        <v>0</v>
      </c>
      <c r="BA366" s="3">
        <v>0</v>
      </c>
      <c r="BB366" s="3">
        <v>0</v>
      </c>
      <c r="BC366" s="3">
        <v>31.066219614478037</v>
      </c>
      <c r="BD366" s="3">
        <v>14.933780385521963</v>
      </c>
      <c r="BE366" s="3">
        <v>13.933780385521963</v>
      </c>
      <c r="BF366" s="3">
        <v>14.693780385521968</v>
      </c>
      <c r="BG366" s="3">
        <v>10.020447052188629</v>
      </c>
      <c r="BH366" s="3">
        <v>6.7604470521886313</v>
      </c>
      <c r="BI366" s="3">
        <v>5.5737803855219639</v>
      </c>
      <c r="BJ366" s="3">
        <v>8.3671137188553004</v>
      </c>
      <c r="BK366" s="3">
        <v>7.6404470521886267</v>
      </c>
      <c r="BL366" s="3">
        <v>11.313780385521966</v>
      </c>
      <c r="BM366" s="3">
        <v>7.5471137188553001</v>
      </c>
      <c r="BN366" s="3">
        <v>6.8304470521886316</v>
      </c>
      <c r="BO366" s="3">
        <v>7.3971137188553016</v>
      </c>
      <c r="BP366" s="3">
        <v>8.4137803855219673</v>
      </c>
      <c r="BQ366" s="3">
        <v>7.730447052188623</v>
      </c>
      <c r="BR366" s="3">
        <v>7.1571137188552996</v>
      </c>
      <c r="BS366" s="3">
        <v>6.8604470521886327</v>
      </c>
      <c r="BT366" s="3">
        <v>7.3571137188553024</v>
      </c>
      <c r="BU366" s="3">
        <v>6.9237803855219653</v>
      </c>
      <c r="BV366" s="3">
        <v>6.3404470521886296</v>
      </c>
      <c r="BW366" s="3">
        <v>7.4737803855219695</v>
      </c>
      <c r="BX366" s="3">
        <v>6.8937803855219713</v>
      </c>
      <c r="BY366" s="3">
        <v>22.813780385521959</v>
      </c>
      <c r="BZ366" s="3">
        <v>28.843780385521974</v>
      </c>
      <c r="CA366" s="3">
        <v>8.8437803855219599</v>
      </c>
      <c r="CB366" s="3">
        <v>8.3804470521886287</v>
      </c>
      <c r="CC366" s="3">
        <v>9.0937803855219599</v>
      </c>
      <c r="CD366" s="3">
        <v>8.6004470521886347</v>
      </c>
      <c r="CE366" s="3">
        <v>9.0937803855219599</v>
      </c>
      <c r="CF366" s="3">
        <v>-0.89288628114470114</v>
      </c>
      <c r="CG366" s="3">
        <v>-1.4262196144780326</v>
      </c>
      <c r="CH366" s="3">
        <v>-2.5028862811447006</v>
      </c>
      <c r="CI366" s="13">
        <f>[1]!dbasum(RecData[[#This Row],[20]:[2000]],RecData[[#Headers],[20]:[2000]])</f>
        <v>15.882040112301915</v>
      </c>
      <c r="CJ366" s="14">
        <v>4818</v>
      </c>
      <c r="CK366" s="15" t="s">
        <v>249</v>
      </c>
      <c r="CL366" s="15">
        <f>RecData[[#This Row],[Start Time]]</f>
        <v>43262.022916666669</v>
      </c>
      <c r="CM366" s="16">
        <f>RecData[[#This Row],[Wind Speed avg]]</f>
        <v>0.08</v>
      </c>
      <c r="CN366" s="16">
        <f>RecData[[#This Row],[Wind Dir. avg]]</f>
        <v>170.6</v>
      </c>
      <c r="CO366" s="16">
        <f>RecData[[#This Row],[Amb. Humidity]]</f>
        <v>87.2</v>
      </c>
      <c r="CP366" s="16">
        <f>RecData[[#This Row],[Amb. Temperature]]</f>
        <v>9.6</v>
      </c>
      <c r="CQ366" s="17">
        <f>RecData[[#This Row],[Amb. Rain Gauge]]</f>
        <v>0</v>
      </c>
      <c r="CR366" s="4" t="s">
        <v>50</v>
      </c>
      <c r="CS366" s="4" t="s">
        <v>49</v>
      </c>
      <c r="CT366" s="70">
        <v>-9.3480539319999991</v>
      </c>
      <c r="CU366" s="70">
        <v>205.00172420000001</v>
      </c>
      <c r="CV366" s="70">
        <v>1.6311064959999999</v>
      </c>
      <c r="CW366" s="70">
        <v>0</v>
      </c>
      <c r="CX366" s="4"/>
      <c r="CY366" s="69"/>
      <c r="CZ366" s="2" t="b">
        <f>IF($DP$1="YES",IF(RecData[[#This Row],[Power (kW)]]&gt;=$CR$3, TRUE,FALSE),TRUE)</f>
        <v>0</v>
      </c>
      <c r="DA366" s="16">
        <f>MIN(MOD(180-ABS(ABS($DA$1-RecData[Yaw Angle (°)])-180),360),MOD(180-ABS(ABS($DB$1-RecData[Yaw Angle (°)])-180),360))</f>
        <v>162.52820257768752</v>
      </c>
      <c r="DB366" s="2" t="str">
        <f>IF($DP$2="None","None",IF(RecData[[#This Row],[Relative Wind Direction]]&lt;=45,"DW",IF(RecData[[#This Row],[Relative Wind Direction]]&lt;=135,"CW","UW")))</f>
        <v>UW</v>
      </c>
      <c r="DC366" s="61">
        <f>IF($CL366-$CL364&gt;1/24,#REF!,IF(SUM($CQ364:$CQ366)&gt;$DS$1,$DS$5,DC367-1))</f>
        <v>-8</v>
      </c>
      <c r="DD366" s="61">
        <f>IF($CL367-$CL366&gt;1/24,#REF!,IF(SUM($CQ364:$CQ366)&gt;$DS$1,$DS$6,DD365-1))</f>
        <v>-3</v>
      </c>
      <c r="DE366" s="18" t="b">
        <v>0</v>
      </c>
      <c r="DF366" s="2" t="b">
        <f>IF(OR(RecData[[#This Row],[WSpd_Avg '[m/s']]]-RecData[[#This Row],[Wind Speed min]]&gt;=$DF$3,RecData[[#This Row],[Wind Speed max]]-RecData[[#This Row],[WSpd_Avg '[m/s']]]&gt;=$DF$2),TRUE,FALSE)</f>
        <v>0</v>
      </c>
      <c r="DG366" s="2" t="b">
        <f>RecData[[#This Row],[Temperature '[°C']]]&lt;=-20</f>
        <v>0</v>
      </c>
      <c r="DH366" s="18" t="b">
        <f>NOT(OR(MOD(RecData[[#This Row],[TIMESTAMP]],1)&gt;0.91632,MOD(RecData[[#This Row],[TIMESTAMP]],1)&lt;0.208681))</f>
        <v>0</v>
      </c>
      <c r="DI366" s="18" t="b">
        <f>RecData[[#This Row],[Overall (dBA)]]-RecData[[#This Row],[L90]]&gt;=$DS$4</f>
        <v>0</v>
      </c>
      <c r="DJ366" s="18" t="b">
        <f>RecData[[#This Row],[Overall (dBA)]]&gt;$DS$2</f>
        <v>0</v>
      </c>
      <c r="DK366" s="18" t="b">
        <f>RecData[[#This Row],[Overall (dBA)]]&lt;$DS$3</f>
        <v>0</v>
      </c>
      <c r="DL3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6" s="2">
        <f>IF(AND(RecData[[#This Row],[Turbines ON/OFF]] = "OFF", NOT(OR(RecData[[#This Row],[Junk?]]="YES",RecData[[#This Row],[Gust?]],RecData[[#This Row],[Rain?]:[Min SPL Threshold?]]))),1,0)</f>
        <v>1</v>
      </c>
      <c r="DN366" s="16">
        <f>RecData[[#This Row],[dBA Sum]]</f>
        <v>15.882040112301915</v>
      </c>
      <c r="DO366" s="16">
        <f>RecData[[#This Row],[LAF90.0]]</f>
        <v>25.3</v>
      </c>
      <c r="DP366" s="55" t="str">
        <f>IF(AND(RecData[[#This Row],[Useable TON Data?]],RecData[[#This Row],[Turbines ON/OFF]]="ON"),RecData[[#This Row],[dBA Sum]],"")</f>
        <v/>
      </c>
      <c r="DQ366" s="55">
        <f>IF(AND(RecData[[#This Row],[Useable Background Data?]],RecData[[#This Row],[Turbines ON/OFF]]="OFF"),RecData[[#This Row],[dBA Sum]],"")</f>
        <v>15.882040112301915</v>
      </c>
      <c r="DR366" s="3">
        <f>IF(OR(RecData[[#This Row],[Useable TON Data?]],RecData[[#This Row],[Useable Background Data?]]),ROUND(RecData[[#This Row],[WSpd_Avg '[m/s']]],0),"")</f>
        <v>0</v>
      </c>
      <c r="DS366" s="85">
        <f>(0.00002)^2*(10^(RecData[[#This Row],[Overall (dBA)]]/10))</f>
        <v>1.5497584127227651E-8</v>
      </c>
    </row>
    <row r="367" spans="1:123" ht="15" x14ac:dyDescent="0.25">
      <c r="A367" s="3" t="s">
        <v>249</v>
      </c>
      <c r="B367" s="12">
        <v>43262.023611111108</v>
      </c>
      <c r="C367" s="3"/>
      <c r="D367" s="3">
        <v>32.700000000000003</v>
      </c>
      <c r="E367" s="3"/>
      <c r="F367" s="3"/>
      <c r="G367" s="3"/>
      <c r="H367" s="3"/>
      <c r="I367" s="3"/>
      <c r="J367" s="3"/>
      <c r="K367" s="3">
        <v>25.6</v>
      </c>
      <c r="L367" s="3"/>
      <c r="M367" s="3"/>
      <c r="N367" s="3">
        <v>208.6</v>
      </c>
      <c r="O367" s="3"/>
      <c r="P367" s="3"/>
      <c r="Q367" s="3">
        <v>0.14000000000000001</v>
      </c>
      <c r="R367" s="3">
        <v>0</v>
      </c>
      <c r="S367" s="3">
        <v>0.3</v>
      </c>
      <c r="T367" s="3">
        <v>9.5</v>
      </c>
      <c r="U367" s="3">
        <v>87.2</v>
      </c>
      <c r="V367" s="3">
        <v>974.1</v>
      </c>
      <c r="W367" s="3">
        <v>0</v>
      </c>
      <c r="X367" s="3">
        <v>16.399999999999999</v>
      </c>
      <c r="Y367" s="3">
        <v>14.8</v>
      </c>
      <c r="Z367" s="3">
        <v>17.2</v>
      </c>
      <c r="AA367" s="3">
        <v>10.9</v>
      </c>
      <c r="AB367" s="3">
        <v>7</v>
      </c>
      <c r="AC367" s="3">
        <v>6.4</v>
      </c>
      <c r="AD367" s="3">
        <v>7.6</v>
      </c>
      <c r="AE367" s="3">
        <v>7</v>
      </c>
      <c r="AF367" s="3">
        <v>11.2</v>
      </c>
      <c r="AG367" s="3">
        <v>7.1</v>
      </c>
      <c r="AH367" s="3">
        <v>7.1</v>
      </c>
      <c r="AI367" s="3">
        <v>8</v>
      </c>
      <c r="AJ367" s="3">
        <v>8.6999999999999993</v>
      </c>
      <c r="AK367" s="3">
        <v>7.4</v>
      </c>
      <c r="AL367" s="3">
        <v>6.8</v>
      </c>
      <c r="AM367" s="3">
        <v>6.6</v>
      </c>
      <c r="AN367" s="3">
        <v>7</v>
      </c>
      <c r="AO367" s="3">
        <v>6.6</v>
      </c>
      <c r="AP367" s="3">
        <v>6.5</v>
      </c>
      <c r="AQ367" s="3">
        <v>7.4</v>
      </c>
      <c r="AR367" s="3">
        <v>6.4</v>
      </c>
      <c r="AS367" s="3">
        <v>25.4</v>
      </c>
      <c r="AT367" s="3">
        <v>29.9</v>
      </c>
      <c r="AU367" s="3">
        <v>8.6999999999999993</v>
      </c>
      <c r="AV367" s="3">
        <v>8.6999999999999993</v>
      </c>
      <c r="AW367" s="3">
        <v>9.1999999999999993</v>
      </c>
      <c r="AX367" s="3">
        <v>9.3000000000000007</v>
      </c>
      <c r="AY367" s="3">
        <v>9.6</v>
      </c>
      <c r="AZ367" s="3">
        <v>0</v>
      </c>
      <c r="BA367" s="3">
        <v>0</v>
      </c>
      <c r="BB367" s="3">
        <v>0</v>
      </c>
      <c r="BC367" s="3">
        <v>32.615546136948609</v>
      </c>
      <c r="BD367" s="3">
        <v>16.484453863051392</v>
      </c>
      <c r="BE367" s="3">
        <v>14.884453863051391</v>
      </c>
      <c r="BF367" s="3">
        <v>16.044453863051395</v>
      </c>
      <c r="BG367" s="3">
        <v>10.071120529718058</v>
      </c>
      <c r="BH367" s="3">
        <v>6.3111205297180604</v>
      </c>
      <c r="BI367" s="3">
        <v>6.1244538630513929</v>
      </c>
      <c r="BJ367" s="3">
        <v>8.1177871963847252</v>
      </c>
      <c r="BK367" s="3">
        <v>7.3911205297180587</v>
      </c>
      <c r="BL367" s="3">
        <v>11.164453863051392</v>
      </c>
      <c r="BM367" s="3">
        <v>7.1977871963847306</v>
      </c>
      <c r="BN367" s="3">
        <v>7.4811205297180621</v>
      </c>
      <c r="BO367" s="3">
        <v>7.7477871963847278</v>
      </c>
      <c r="BP367" s="3">
        <v>8.1644538630513921</v>
      </c>
      <c r="BQ367" s="3">
        <v>7.2811205297180521</v>
      </c>
      <c r="BR367" s="3">
        <v>7.0077871963847258</v>
      </c>
      <c r="BS367" s="3">
        <v>6.6111205297180575</v>
      </c>
      <c r="BT367" s="3">
        <v>7.2077871963847286</v>
      </c>
      <c r="BU367" s="3">
        <v>6.7744538630513986</v>
      </c>
      <c r="BV367" s="3">
        <v>6.3911205297180587</v>
      </c>
      <c r="BW367" s="3">
        <v>7.8244538630513958</v>
      </c>
      <c r="BX367" s="3">
        <v>6.7444538630513975</v>
      </c>
      <c r="BY367" s="3">
        <v>25.564453863051391</v>
      </c>
      <c r="BZ367" s="3">
        <v>30.194453863051393</v>
      </c>
      <c r="CA367" s="3">
        <v>9.0944538630513847</v>
      </c>
      <c r="CB367" s="3">
        <v>8.5311205297180592</v>
      </c>
      <c r="CC367" s="3">
        <v>9.2444538630513904</v>
      </c>
      <c r="CD367" s="3">
        <v>8.6511205297180638</v>
      </c>
      <c r="CE367" s="3">
        <v>9.1444538630513961</v>
      </c>
      <c r="CF367" s="3">
        <v>-0.84221280361527207</v>
      </c>
      <c r="CG367" s="3">
        <v>-1.3755461369486035</v>
      </c>
      <c r="CH367" s="3">
        <v>-2.4522128036152715</v>
      </c>
      <c r="CI367" s="13">
        <f>[1]!dbasum(RecData[[#This Row],[20]:[2000]],RecData[[#Headers],[20]:[2000]])</f>
        <v>15.844515337947078</v>
      </c>
      <c r="CJ367" s="14">
        <v>4819</v>
      </c>
      <c r="CK367" s="15" t="s">
        <v>249</v>
      </c>
      <c r="CL367" s="15">
        <f>RecData[[#This Row],[Start Time]]</f>
        <v>43262.023611111108</v>
      </c>
      <c r="CM367" s="16">
        <f>RecData[[#This Row],[Wind Speed avg]]</f>
        <v>0.14000000000000001</v>
      </c>
      <c r="CN367" s="16">
        <f>RecData[[#This Row],[Wind Dir. avg]]</f>
        <v>208.6</v>
      </c>
      <c r="CO367" s="16">
        <f>RecData[[#This Row],[Amb. Humidity]]</f>
        <v>87.2</v>
      </c>
      <c r="CP367" s="16">
        <f>RecData[[#This Row],[Amb. Temperature]]</f>
        <v>9.5</v>
      </c>
      <c r="CQ367" s="17">
        <f>RecData[[#This Row],[Amb. Rain Gauge]]</f>
        <v>0</v>
      </c>
      <c r="CR367" s="4" t="s">
        <v>50</v>
      </c>
      <c r="CS367" s="4" t="s">
        <v>49</v>
      </c>
      <c r="CT367" s="70">
        <v>-9.3480539319999991</v>
      </c>
      <c r="CU367" s="70">
        <v>205.00172420000001</v>
      </c>
      <c r="CV367" s="70">
        <v>1.6311064959999999</v>
      </c>
      <c r="CW367" s="70">
        <v>0</v>
      </c>
      <c r="CX367" s="4"/>
      <c r="CY367" s="69"/>
      <c r="CZ367" s="2" t="b">
        <f>IF($DP$1="YES",IF(RecData[[#This Row],[Power (kW)]]&gt;=$CR$3, TRUE,FALSE),TRUE)</f>
        <v>0</v>
      </c>
      <c r="DA367" s="16">
        <f>MIN(MOD(180-ABS(ABS($DA$1-RecData[Yaw Angle (°)])-180),360),MOD(180-ABS(ABS($DB$1-RecData[Yaw Angle (°)])-180),360))</f>
        <v>162.52820257768752</v>
      </c>
      <c r="DB367" s="2" t="str">
        <f>IF($DP$2="None","None",IF(RecData[[#This Row],[Relative Wind Direction]]&lt;=45,"DW",IF(RecData[[#This Row],[Relative Wind Direction]]&lt;=135,"CW","UW")))</f>
        <v>UW</v>
      </c>
      <c r="DC367" s="61">
        <f>IF($CL367-$CL364&gt;1/24,#REF!,IF(SUM($CQ364:$CQ367)&gt;$DS$1,$DS$5,DC368-1))</f>
        <v>-7</v>
      </c>
      <c r="DD367" s="61">
        <f>IF($CL368-$CL367&gt;1/24,#REF!,IF(SUM($CQ364:$CQ367)&gt;$DS$1,$DS$6,DD366-1))</f>
        <v>-4</v>
      </c>
      <c r="DE367" s="18" t="b">
        <v>0</v>
      </c>
      <c r="DF367" s="2" t="b">
        <f>IF(OR(RecData[[#This Row],[WSpd_Avg '[m/s']]]-RecData[[#This Row],[Wind Speed min]]&gt;=$DF$3,RecData[[#This Row],[Wind Speed max]]-RecData[[#This Row],[WSpd_Avg '[m/s']]]&gt;=$DF$2),TRUE,FALSE)</f>
        <v>0</v>
      </c>
      <c r="DG367" s="2" t="b">
        <f>RecData[[#This Row],[Temperature '[°C']]]&lt;=-20</f>
        <v>0</v>
      </c>
      <c r="DH367" s="18" t="b">
        <f>NOT(OR(MOD(RecData[[#This Row],[TIMESTAMP]],1)&gt;0.91632,MOD(RecData[[#This Row],[TIMESTAMP]],1)&lt;0.208681))</f>
        <v>0</v>
      </c>
      <c r="DI367" s="18" t="b">
        <f>RecData[[#This Row],[Overall (dBA)]]-RecData[[#This Row],[L90]]&gt;=$DS$4</f>
        <v>0</v>
      </c>
      <c r="DJ367" s="18" t="b">
        <f>RecData[[#This Row],[Overall (dBA)]]&gt;$DS$2</f>
        <v>0</v>
      </c>
      <c r="DK367" s="18" t="b">
        <f>RecData[[#This Row],[Overall (dBA)]]&lt;$DS$3</f>
        <v>0</v>
      </c>
      <c r="DL3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7" s="2">
        <f>IF(AND(RecData[[#This Row],[Turbines ON/OFF]] = "OFF", NOT(OR(RecData[[#This Row],[Junk?]]="YES",RecData[[#This Row],[Gust?]],RecData[[#This Row],[Rain?]:[Min SPL Threshold?]]))),1,0)</f>
        <v>1</v>
      </c>
      <c r="DN367" s="16">
        <f>RecData[[#This Row],[dBA Sum]]</f>
        <v>15.844515337947078</v>
      </c>
      <c r="DO367" s="16">
        <f>RecData[[#This Row],[LAF90.0]]</f>
        <v>25.6</v>
      </c>
      <c r="DP367" s="55" t="str">
        <f>IF(AND(RecData[[#This Row],[Useable TON Data?]],RecData[[#This Row],[Turbines ON/OFF]]="ON"),RecData[[#This Row],[dBA Sum]],"")</f>
        <v/>
      </c>
      <c r="DQ367" s="55">
        <f>IF(AND(RecData[[#This Row],[Useable Background Data?]],RecData[[#This Row],[Turbines ON/OFF]]="OFF"),RecData[[#This Row],[dBA Sum]],"")</f>
        <v>15.844515337947078</v>
      </c>
      <c r="DR367" s="3">
        <f>IF(OR(RecData[[#This Row],[Useable TON Data?]],RecData[[#This Row],[Useable Background Data?]]),ROUND(RecData[[#This Row],[WSpd_Avg '[m/s']]],0),"")</f>
        <v>0</v>
      </c>
      <c r="DS367" s="85">
        <f>(0.00002)^2*(10^(RecData[[#This Row],[Overall (dBA)]]/10))</f>
        <v>1.5364255658002864E-8</v>
      </c>
    </row>
    <row r="368" spans="1:123" ht="15" x14ac:dyDescent="0.25">
      <c r="A368" s="3" t="s">
        <v>249</v>
      </c>
      <c r="B368" s="12">
        <v>43262.024305555555</v>
      </c>
      <c r="C368" s="3"/>
      <c r="D368" s="3">
        <v>30</v>
      </c>
      <c r="E368" s="3"/>
      <c r="F368" s="3"/>
      <c r="G368" s="3"/>
      <c r="H368" s="3"/>
      <c r="I368" s="3"/>
      <c r="J368" s="3"/>
      <c r="K368" s="3">
        <v>25.1</v>
      </c>
      <c r="L368" s="3"/>
      <c r="M368" s="3"/>
      <c r="N368" s="3">
        <v>238</v>
      </c>
      <c r="O368" s="3"/>
      <c r="P368" s="3"/>
      <c r="Q368" s="3">
        <v>0.2</v>
      </c>
      <c r="R368" s="3">
        <v>0</v>
      </c>
      <c r="S368" s="3">
        <v>0.4</v>
      </c>
      <c r="T368" s="3">
        <v>9.5</v>
      </c>
      <c r="U368" s="3">
        <v>87.3</v>
      </c>
      <c r="V368" s="3">
        <v>974.1</v>
      </c>
      <c r="W368" s="3">
        <v>0</v>
      </c>
      <c r="X368" s="3">
        <v>18.399999999999999</v>
      </c>
      <c r="Y368" s="3">
        <v>19.8</v>
      </c>
      <c r="Z368" s="3">
        <v>19.399999999999999</v>
      </c>
      <c r="AA368" s="3">
        <v>11.2</v>
      </c>
      <c r="AB368" s="3">
        <v>11.2</v>
      </c>
      <c r="AC368" s="3">
        <v>6.2</v>
      </c>
      <c r="AD368" s="3">
        <v>9.1</v>
      </c>
      <c r="AE368" s="3">
        <v>10</v>
      </c>
      <c r="AF368" s="3">
        <v>12.4</v>
      </c>
      <c r="AG368" s="3">
        <v>9.1999999999999993</v>
      </c>
      <c r="AH368" s="3">
        <v>9.1999999999999993</v>
      </c>
      <c r="AI368" s="3">
        <v>9.3000000000000007</v>
      </c>
      <c r="AJ368" s="3">
        <v>10.1</v>
      </c>
      <c r="AK368" s="3">
        <v>9.8000000000000007</v>
      </c>
      <c r="AL368" s="3">
        <v>8.6999999999999993</v>
      </c>
      <c r="AM368" s="3">
        <v>7.6</v>
      </c>
      <c r="AN368" s="3">
        <v>7.9</v>
      </c>
      <c r="AO368" s="3">
        <v>7.4</v>
      </c>
      <c r="AP368" s="3">
        <v>7</v>
      </c>
      <c r="AQ368" s="3">
        <v>8.3000000000000007</v>
      </c>
      <c r="AR368" s="3">
        <v>6.9</v>
      </c>
      <c r="AS368" s="3">
        <v>20.3</v>
      </c>
      <c r="AT368" s="3">
        <v>27.7</v>
      </c>
      <c r="AU368" s="3">
        <v>8.5</v>
      </c>
      <c r="AV368" s="3">
        <v>8.6999999999999993</v>
      </c>
      <c r="AW368" s="3">
        <v>9.1999999999999993</v>
      </c>
      <c r="AX368" s="3">
        <v>9.4</v>
      </c>
      <c r="AY368" s="3">
        <v>9.6</v>
      </c>
      <c r="AZ368" s="3">
        <v>0</v>
      </c>
      <c r="BA368" s="3">
        <v>0</v>
      </c>
      <c r="BB368" s="3">
        <v>0</v>
      </c>
      <c r="BC368" s="3">
        <v>30.013730716011512</v>
      </c>
      <c r="BD368" s="3">
        <v>18.386269283988486</v>
      </c>
      <c r="BE368" s="3">
        <v>19.786269283988485</v>
      </c>
      <c r="BF368" s="3">
        <v>18.146269283988484</v>
      </c>
      <c r="BG368" s="3">
        <v>10.27293595065515</v>
      </c>
      <c r="BH368" s="3">
        <v>10.412935950655157</v>
      </c>
      <c r="BI368" s="3">
        <v>5.8262692839884913</v>
      </c>
      <c r="BJ368" s="3">
        <v>9.5196026173218193</v>
      </c>
      <c r="BK368" s="3">
        <v>10.292935950655153</v>
      </c>
      <c r="BL368" s="3">
        <v>12.266269283988489</v>
      </c>
      <c r="BM368" s="3">
        <v>9.1996026173218262</v>
      </c>
      <c r="BN368" s="3">
        <v>9.4829359506551576</v>
      </c>
      <c r="BO368" s="3">
        <v>8.9496026173218262</v>
      </c>
      <c r="BP368" s="3">
        <v>9.4662692839884919</v>
      </c>
      <c r="BQ368" s="3">
        <v>9.5829359506551448</v>
      </c>
      <c r="BR368" s="3">
        <v>8.8096026173218256</v>
      </c>
      <c r="BS368" s="3">
        <v>7.5129359506551516</v>
      </c>
      <c r="BT368" s="3">
        <v>8.0096026173218213</v>
      </c>
      <c r="BU368" s="3">
        <v>7.4762692839884899</v>
      </c>
      <c r="BV368" s="3">
        <v>6.7929359506551528</v>
      </c>
      <c r="BW368" s="3">
        <v>8.6262692839884885</v>
      </c>
      <c r="BX368" s="3">
        <v>7.1462692839884916</v>
      </c>
      <c r="BY368" s="3">
        <v>20.366269283988483</v>
      </c>
      <c r="BZ368" s="3">
        <v>27.896269283988492</v>
      </c>
      <c r="CA368" s="3">
        <v>8.7962692839884831</v>
      </c>
      <c r="CB368" s="3">
        <v>8.4329359506551533</v>
      </c>
      <c r="CC368" s="3">
        <v>9.1462692839884845</v>
      </c>
      <c r="CD368" s="3">
        <v>8.6529359506551593</v>
      </c>
      <c r="CE368" s="3">
        <v>9.0462692839884902</v>
      </c>
      <c r="CF368" s="3">
        <v>-0.94039738267817796</v>
      </c>
      <c r="CG368" s="3">
        <v>-1.4737307160115094</v>
      </c>
      <c r="CH368" s="3">
        <v>-2.5503973826781774</v>
      </c>
      <c r="CI368" s="13">
        <f>[1]!dbasum(RecData[[#This Row],[20]:[2000]],RecData[[#Headers],[20]:[2000]])</f>
        <v>16.744190067174696</v>
      </c>
      <c r="CJ368" s="14">
        <v>4820</v>
      </c>
      <c r="CK368" s="15" t="s">
        <v>249</v>
      </c>
      <c r="CL368" s="15">
        <f>RecData[[#This Row],[Start Time]]</f>
        <v>43262.024305555555</v>
      </c>
      <c r="CM368" s="16">
        <f>RecData[[#This Row],[Wind Speed avg]]</f>
        <v>0.2</v>
      </c>
      <c r="CN368" s="16">
        <f>RecData[[#This Row],[Wind Dir. avg]]</f>
        <v>238</v>
      </c>
      <c r="CO368" s="16">
        <f>RecData[[#This Row],[Amb. Humidity]]</f>
        <v>87.3</v>
      </c>
      <c r="CP368" s="16">
        <f>RecData[[#This Row],[Amb. Temperature]]</f>
        <v>9.5</v>
      </c>
      <c r="CQ368" s="17">
        <f>RecData[[#This Row],[Amb. Rain Gauge]]</f>
        <v>0</v>
      </c>
      <c r="CR368" s="4" t="s">
        <v>50</v>
      </c>
      <c r="CS368" s="4" t="s">
        <v>49</v>
      </c>
      <c r="CT368" s="70">
        <v>-9.3480539319999991</v>
      </c>
      <c r="CU368" s="70">
        <v>205.00172420000001</v>
      </c>
      <c r="CV368" s="70">
        <v>1.6311064959999999</v>
      </c>
      <c r="CW368" s="70">
        <v>0</v>
      </c>
      <c r="CX368" s="4"/>
      <c r="CY368" s="69"/>
      <c r="CZ368" s="2" t="b">
        <f>IF($DP$1="YES",IF(RecData[[#This Row],[Power (kW)]]&gt;=$CR$3, TRUE,FALSE),TRUE)</f>
        <v>0</v>
      </c>
      <c r="DA368" s="16">
        <f>MIN(MOD(180-ABS(ABS($DA$1-RecData[Yaw Angle (°)])-180),360),MOD(180-ABS(ABS($DB$1-RecData[Yaw Angle (°)])-180),360))</f>
        <v>162.52820257768752</v>
      </c>
      <c r="DB368" s="2" t="str">
        <f>IF($DP$2="None","None",IF(RecData[[#This Row],[Relative Wind Direction]]&lt;=45,"DW",IF(RecData[[#This Row],[Relative Wind Direction]]&lt;=135,"CW","UW")))</f>
        <v>UW</v>
      </c>
      <c r="DC368" s="61">
        <f>IF($CL368-$CL364&gt;1/24,#REF!,IF(SUM($CQ364:$CQ368)&gt;$DS$1,$DS$5,DC369-1))</f>
        <v>-6</v>
      </c>
      <c r="DD368" s="61">
        <f>IF($CL369-$CL368&gt;1/24,#REF!,IF(SUM($CQ364:$CQ368)&gt;$DS$1,$DS$6,DD367-1))</f>
        <v>-5</v>
      </c>
      <c r="DE368" s="18" t="b">
        <v>0</v>
      </c>
      <c r="DF368" s="2" t="b">
        <f>IF(OR(RecData[[#This Row],[WSpd_Avg '[m/s']]]-RecData[[#This Row],[Wind Speed min]]&gt;=$DF$3,RecData[[#This Row],[Wind Speed max]]-RecData[[#This Row],[WSpd_Avg '[m/s']]]&gt;=$DF$2),TRUE,FALSE)</f>
        <v>0</v>
      </c>
      <c r="DG368" s="2" t="b">
        <f>RecData[[#This Row],[Temperature '[°C']]]&lt;=-20</f>
        <v>0</v>
      </c>
      <c r="DH368" s="18" t="b">
        <f>NOT(OR(MOD(RecData[[#This Row],[TIMESTAMP]],1)&gt;0.91632,MOD(RecData[[#This Row],[TIMESTAMP]],1)&lt;0.208681))</f>
        <v>0</v>
      </c>
      <c r="DI368" s="18" t="b">
        <f>RecData[[#This Row],[Overall (dBA)]]-RecData[[#This Row],[L90]]&gt;=$DS$4</f>
        <v>0</v>
      </c>
      <c r="DJ368" s="18" t="b">
        <f>RecData[[#This Row],[Overall (dBA)]]&gt;$DS$2</f>
        <v>0</v>
      </c>
      <c r="DK368" s="18" t="b">
        <f>RecData[[#This Row],[Overall (dBA)]]&lt;$DS$3</f>
        <v>0</v>
      </c>
      <c r="DL3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8" s="2">
        <f>IF(AND(RecData[[#This Row],[Turbines ON/OFF]] = "OFF", NOT(OR(RecData[[#This Row],[Junk?]]="YES",RecData[[#This Row],[Gust?]],RecData[[#This Row],[Rain?]:[Min SPL Threshold?]]))),1,0)</f>
        <v>1</v>
      </c>
      <c r="DN368" s="16">
        <f>RecData[[#This Row],[dBA Sum]]</f>
        <v>16.744190067174696</v>
      </c>
      <c r="DO368" s="16">
        <f>RecData[[#This Row],[LAF90.0]]</f>
        <v>25.1</v>
      </c>
      <c r="DP368" s="55" t="str">
        <f>IF(AND(RecData[[#This Row],[Useable TON Data?]],RecData[[#This Row],[Turbines ON/OFF]]="ON"),RecData[[#This Row],[dBA Sum]],"")</f>
        <v/>
      </c>
      <c r="DQ368" s="55">
        <f>IF(AND(RecData[[#This Row],[Useable Background Data?]],RecData[[#This Row],[Turbines ON/OFF]]="OFF"),RecData[[#This Row],[dBA Sum]],"")</f>
        <v>16.744190067174696</v>
      </c>
      <c r="DR368" s="3">
        <f>IF(OR(RecData[[#This Row],[Useable TON Data?]],RecData[[#This Row],[Useable Background Data?]]),ROUND(RecData[[#This Row],[WSpd_Avg '[m/s']]],0),"")</f>
        <v>0</v>
      </c>
      <c r="DS368" s="85">
        <f>(0.00002)^2*(10^(RecData[[#This Row],[Overall (dBA)]]/10))</f>
        <v>1.8900748272498739E-8</v>
      </c>
    </row>
    <row r="369" spans="1:123" ht="15" x14ac:dyDescent="0.25">
      <c r="A369" s="3" t="s">
        <v>249</v>
      </c>
      <c r="B369" s="12">
        <v>43262.025000000001</v>
      </c>
      <c r="C369" s="3"/>
      <c r="D369" s="3">
        <v>33.299999999999997</v>
      </c>
      <c r="E369" s="3"/>
      <c r="F369" s="3"/>
      <c r="G369" s="3"/>
      <c r="H369" s="3"/>
      <c r="I369" s="3"/>
      <c r="J369" s="3"/>
      <c r="K369" s="3">
        <v>29.8</v>
      </c>
      <c r="L369" s="3"/>
      <c r="M369" s="3"/>
      <c r="N369" s="3">
        <v>203.8</v>
      </c>
      <c r="O369" s="3"/>
      <c r="P369" s="3"/>
      <c r="Q369" s="3">
        <v>0.12</v>
      </c>
      <c r="R369" s="3">
        <v>0</v>
      </c>
      <c r="S369" s="3">
        <v>0.2</v>
      </c>
      <c r="T369" s="3">
        <v>9.5</v>
      </c>
      <c r="U369" s="3">
        <v>87.4</v>
      </c>
      <c r="V369" s="3">
        <v>974.1</v>
      </c>
      <c r="W369" s="3">
        <v>0</v>
      </c>
      <c r="X369" s="3">
        <v>18.8</v>
      </c>
      <c r="Y369" s="3">
        <v>14.6</v>
      </c>
      <c r="Z369" s="3">
        <v>19</v>
      </c>
      <c r="AA369" s="3">
        <v>12.6</v>
      </c>
      <c r="AB369" s="3">
        <v>9.6</v>
      </c>
      <c r="AC369" s="3">
        <v>5.8</v>
      </c>
      <c r="AD369" s="3">
        <v>8.9</v>
      </c>
      <c r="AE369" s="3">
        <v>11.4</v>
      </c>
      <c r="AF369" s="3">
        <v>10.6</v>
      </c>
      <c r="AG369" s="3">
        <v>8.3000000000000007</v>
      </c>
      <c r="AH369" s="3">
        <v>9.6999999999999993</v>
      </c>
      <c r="AI369" s="3">
        <v>9.1999999999999993</v>
      </c>
      <c r="AJ369" s="3">
        <v>10.199999999999999</v>
      </c>
      <c r="AK369" s="3">
        <v>10.3</v>
      </c>
      <c r="AL369" s="3">
        <v>8.9</v>
      </c>
      <c r="AM369" s="3">
        <v>8.1999999999999993</v>
      </c>
      <c r="AN369" s="3">
        <v>8.1</v>
      </c>
      <c r="AO369" s="3">
        <v>7.6</v>
      </c>
      <c r="AP369" s="3">
        <v>7.4</v>
      </c>
      <c r="AQ369" s="3">
        <v>8.9</v>
      </c>
      <c r="AR369" s="3">
        <v>7.5</v>
      </c>
      <c r="AS369" s="3">
        <v>24.4</v>
      </c>
      <c r="AT369" s="3">
        <v>31</v>
      </c>
      <c r="AU369" s="3">
        <v>9.1999999999999993</v>
      </c>
      <c r="AV369" s="3">
        <v>9.1</v>
      </c>
      <c r="AW369" s="3">
        <v>9.6999999999999993</v>
      </c>
      <c r="AX369" s="3">
        <v>9.8000000000000007</v>
      </c>
      <c r="AY369" s="3">
        <v>9.8000000000000007</v>
      </c>
      <c r="AZ369" s="3">
        <v>0</v>
      </c>
      <c r="BA369" s="3">
        <v>0</v>
      </c>
      <c r="BB369" s="3">
        <v>0</v>
      </c>
      <c r="BC369" s="3">
        <v>33.262978743696799</v>
      </c>
      <c r="BD369" s="3">
        <v>18.837021256303196</v>
      </c>
      <c r="BE369" s="3">
        <v>14.6370212563032</v>
      </c>
      <c r="BF369" s="3">
        <v>17.797021256303204</v>
      </c>
      <c r="BG369" s="3">
        <v>11.723687922969866</v>
      </c>
      <c r="BH369" s="3">
        <v>8.8636879229698664</v>
      </c>
      <c r="BI369" s="3">
        <v>5.4770212563031961</v>
      </c>
      <c r="BJ369" s="3">
        <v>9.370354589636527</v>
      </c>
      <c r="BK369" s="3">
        <v>11.743687922969862</v>
      </c>
      <c r="BL369" s="3">
        <v>10.517021256303202</v>
      </c>
      <c r="BM369" s="3">
        <v>8.350354589636531</v>
      </c>
      <c r="BN369" s="3">
        <v>10.033687922969868</v>
      </c>
      <c r="BO369" s="3">
        <v>8.9003545896365353</v>
      </c>
      <c r="BP369" s="3">
        <v>9.6170212563031967</v>
      </c>
      <c r="BQ369" s="3">
        <v>10.133687922969855</v>
      </c>
      <c r="BR369" s="3">
        <v>9.0603545896365318</v>
      </c>
      <c r="BS369" s="3">
        <v>8.1636879229698636</v>
      </c>
      <c r="BT369" s="3">
        <v>8.2603545896365347</v>
      </c>
      <c r="BU369" s="3">
        <v>7.7270212563032032</v>
      </c>
      <c r="BV369" s="3">
        <v>7.243687922969869</v>
      </c>
      <c r="BW369" s="3">
        <v>9.2770212563032004</v>
      </c>
      <c r="BX369" s="3">
        <v>7.7970212563032035</v>
      </c>
      <c r="BY369" s="3">
        <v>24.517021256303195</v>
      </c>
      <c r="BZ369" s="3">
        <v>31.247021256303206</v>
      </c>
      <c r="CA369" s="3">
        <v>9.5470212563031893</v>
      </c>
      <c r="CB369" s="3">
        <v>8.8836879229698624</v>
      </c>
      <c r="CC369" s="3">
        <v>9.697021256303195</v>
      </c>
      <c r="CD369" s="3">
        <v>9.1036879229698684</v>
      </c>
      <c r="CE369" s="3">
        <v>9.2970212563031964</v>
      </c>
      <c r="CF369" s="3">
        <v>-0.889645410363471</v>
      </c>
      <c r="CG369" s="3">
        <v>-1.4229787436967989</v>
      </c>
      <c r="CH369" s="3">
        <v>-2.4996454103634669</v>
      </c>
      <c r="CI369" s="13">
        <f>[1]!dbasum(RecData[[#This Row],[20]:[2000]],RecData[[#Headers],[20]:[2000]])</f>
        <v>17.183407529350781</v>
      </c>
      <c r="CJ369" s="14">
        <v>4821</v>
      </c>
      <c r="CK369" s="15" t="s">
        <v>249</v>
      </c>
      <c r="CL369" s="15">
        <f>RecData[[#This Row],[Start Time]]</f>
        <v>43262.025000000001</v>
      </c>
      <c r="CM369" s="16">
        <f>RecData[[#This Row],[Wind Speed avg]]</f>
        <v>0.12</v>
      </c>
      <c r="CN369" s="16">
        <f>RecData[[#This Row],[Wind Dir. avg]]</f>
        <v>203.8</v>
      </c>
      <c r="CO369" s="16">
        <f>RecData[[#This Row],[Amb. Humidity]]</f>
        <v>87.4</v>
      </c>
      <c r="CP369" s="16">
        <f>RecData[[#This Row],[Amb. Temperature]]</f>
        <v>9.5</v>
      </c>
      <c r="CQ369" s="17">
        <f>RecData[[#This Row],[Amb. Rain Gauge]]</f>
        <v>0</v>
      </c>
      <c r="CR369" s="4" t="s">
        <v>50</v>
      </c>
      <c r="CS369" s="4" t="s">
        <v>49</v>
      </c>
      <c r="CT369" s="70">
        <v>-9.3480539319999991</v>
      </c>
      <c r="CU369" s="70">
        <v>205.00172420000001</v>
      </c>
      <c r="CV369" s="70">
        <v>1.6311064959999999</v>
      </c>
      <c r="CW369" s="70">
        <v>0</v>
      </c>
      <c r="CX369" s="4"/>
      <c r="CY369" s="69"/>
      <c r="CZ369" s="2" t="b">
        <f>IF($DP$1="YES",IF(RecData[[#This Row],[Power (kW)]]&gt;=$CR$3, TRUE,FALSE),TRUE)</f>
        <v>0</v>
      </c>
      <c r="DA369" s="16">
        <f>MIN(MOD(180-ABS(ABS($DA$1-RecData[Yaw Angle (°)])-180),360),MOD(180-ABS(ABS($DB$1-RecData[Yaw Angle (°)])-180),360))</f>
        <v>162.52820257768752</v>
      </c>
      <c r="DB369" s="2" t="str">
        <f>IF($DP$2="None","None",IF(RecData[[#This Row],[Relative Wind Direction]]&lt;=45,"DW",IF(RecData[[#This Row],[Relative Wind Direction]]&lt;=135,"CW","UW")))</f>
        <v>UW</v>
      </c>
      <c r="DC369" s="61">
        <f>IF($CL369-$CL365&gt;1/24,#REF!,IF(SUM($CQ365:$CQ369)&gt;$DS$1,$DS$5,DC370-1))</f>
        <v>-5</v>
      </c>
      <c r="DD369" s="61">
        <f>IF($CL370-$CL369&gt;1/24,#REF!,IF(SUM($CQ365:$CQ369)&gt;$DS$1,$DS$6,DD368-1))</f>
        <v>-6</v>
      </c>
      <c r="DE369" s="18" t="b">
        <v>0</v>
      </c>
      <c r="DF369" s="2" t="b">
        <f>IF(OR(RecData[[#This Row],[WSpd_Avg '[m/s']]]-RecData[[#This Row],[Wind Speed min]]&gt;=$DF$3,RecData[[#This Row],[Wind Speed max]]-RecData[[#This Row],[WSpd_Avg '[m/s']]]&gt;=$DF$2),TRUE,FALSE)</f>
        <v>0</v>
      </c>
      <c r="DG369" s="2" t="b">
        <f>RecData[[#This Row],[Temperature '[°C']]]&lt;=-20</f>
        <v>0</v>
      </c>
      <c r="DH369" s="18" t="b">
        <f>NOT(OR(MOD(RecData[[#This Row],[TIMESTAMP]],1)&gt;0.91632,MOD(RecData[[#This Row],[TIMESTAMP]],1)&lt;0.208681))</f>
        <v>0</v>
      </c>
      <c r="DI369" s="18" t="b">
        <f>RecData[[#This Row],[Overall (dBA)]]-RecData[[#This Row],[L90]]&gt;=$DS$4</f>
        <v>0</v>
      </c>
      <c r="DJ369" s="18" t="b">
        <f>RecData[[#This Row],[Overall (dBA)]]&gt;$DS$2</f>
        <v>0</v>
      </c>
      <c r="DK369" s="18" t="b">
        <f>RecData[[#This Row],[Overall (dBA)]]&lt;$DS$3</f>
        <v>0</v>
      </c>
      <c r="DL3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69" s="2">
        <f>IF(AND(RecData[[#This Row],[Turbines ON/OFF]] = "OFF", NOT(OR(RecData[[#This Row],[Junk?]]="YES",RecData[[#This Row],[Gust?]],RecData[[#This Row],[Rain?]:[Min SPL Threshold?]]))),1,0)</f>
        <v>1</v>
      </c>
      <c r="DN369" s="16">
        <f>RecData[[#This Row],[dBA Sum]]</f>
        <v>17.183407529350781</v>
      </c>
      <c r="DO369" s="16">
        <f>RecData[[#This Row],[LAF90.0]]</f>
        <v>29.8</v>
      </c>
      <c r="DP369" s="55" t="str">
        <f>IF(AND(RecData[[#This Row],[Useable TON Data?]],RecData[[#This Row],[Turbines ON/OFF]]="ON"),RecData[[#This Row],[dBA Sum]],"")</f>
        <v/>
      </c>
      <c r="DQ369" s="55">
        <f>IF(AND(RecData[[#This Row],[Useable Background Data?]],RecData[[#This Row],[Turbines ON/OFF]]="OFF"),RecData[[#This Row],[dBA Sum]],"")</f>
        <v>17.183407529350781</v>
      </c>
      <c r="DR369" s="3">
        <f>IF(OR(RecData[[#This Row],[Useable TON Data?]],RecData[[#This Row],[Useable Background Data?]]),ROUND(RecData[[#This Row],[WSpd_Avg '[m/s']]],0),"")</f>
        <v>0</v>
      </c>
      <c r="DS369" s="85">
        <f>(0.00002)^2*(10^(RecData[[#This Row],[Overall (dBA)]]/10))</f>
        <v>2.0912249139449607E-8</v>
      </c>
    </row>
    <row r="370" spans="1:123" ht="15" x14ac:dyDescent="0.25">
      <c r="A370" s="3" t="s">
        <v>249</v>
      </c>
      <c r="B370" s="12">
        <v>43262.025694444441</v>
      </c>
      <c r="C370" s="3"/>
      <c r="D370" s="3">
        <v>34.5</v>
      </c>
      <c r="E370" s="3"/>
      <c r="F370" s="3"/>
      <c r="G370" s="3"/>
      <c r="H370" s="3"/>
      <c r="I370" s="3"/>
      <c r="J370" s="3"/>
      <c r="K370" s="3">
        <v>31</v>
      </c>
      <c r="L370" s="3"/>
      <c r="M370" s="3"/>
      <c r="N370" s="3">
        <v>133</v>
      </c>
      <c r="O370" s="3"/>
      <c r="P370" s="3"/>
      <c r="Q370" s="3">
        <v>0.38</v>
      </c>
      <c r="R370" s="3">
        <v>0.1</v>
      </c>
      <c r="S370" s="3">
        <v>0.6</v>
      </c>
      <c r="T370" s="3">
        <v>9.5</v>
      </c>
      <c r="U370" s="3">
        <v>87.6</v>
      </c>
      <c r="V370" s="3">
        <v>974.2</v>
      </c>
      <c r="W370" s="3">
        <v>0</v>
      </c>
      <c r="X370" s="3">
        <v>19.2</v>
      </c>
      <c r="Y370" s="3">
        <v>18.2</v>
      </c>
      <c r="Z370" s="3">
        <v>19.600000000000001</v>
      </c>
      <c r="AA370" s="3">
        <v>9.8000000000000007</v>
      </c>
      <c r="AB370" s="3">
        <v>10.199999999999999</v>
      </c>
      <c r="AC370" s="3">
        <v>5.5</v>
      </c>
      <c r="AD370" s="3">
        <v>8.5</v>
      </c>
      <c r="AE370" s="3">
        <v>10.5</v>
      </c>
      <c r="AF370" s="3">
        <v>9.3000000000000007</v>
      </c>
      <c r="AG370" s="3">
        <v>8.6</v>
      </c>
      <c r="AH370" s="3">
        <v>8.5</v>
      </c>
      <c r="AI370" s="3">
        <v>8.1</v>
      </c>
      <c r="AJ370" s="3">
        <v>10.199999999999999</v>
      </c>
      <c r="AK370" s="3">
        <v>11.4</v>
      </c>
      <c r="AL370" s="3">
        <v>9.6999999999999993</v>
      </c>
      <c r="AM370" s="3">
        <v>8</v>
      </c>
      <c r="AN370" s="3">
        <v>7.9</v>
      </c>
      <c r="AO370" s="3">
        <v>7.5</v>
      </c>
      <c r="AP370" s="3">
        <v>7.6</v>
      </c>
      <c r="AQ370" s="3">
        <v>10.1</v>
      </c>
      <c r="AR370" s="3">
        <v>8.6</v>
      </c>
      <c r="AS370" s="3">
        <v>26.3</v>
      </c>
      <c r="AT370" s="3">
        <v>32.1</v>
      </c>
      <c r="AU370" s="3">
        <v>9.3000000000000007</v>
      </c>
      <c r="AV370" s="3">
        <v>8.8000000000000007</v>
      </c>
      <c r="AW370" s="3">
        <v>9.3000000000000007</v>
      </c>
      <c r="AX370" s="3">
        <v>9.4</v>
      </c>
      <c r="AY370" s="3">
        <v>9.6</v>
      </c>
      <c r="AZ370" s="3">
        <v>0</v>
      </c>
      <c r="BA370" s="3">
        <v>0</v>
      </c>
      <c r="BB370" s="3">
        <v>0</v>
      </c>
      <c r="BC370" s="3">
        <v>34.478459887835413</v>
      </c>
      <c r="BD370" s="3">
        <v>19.22154011216459</v>
      </c>
      <c r="BE370" s="3">
        <v>18.22154011216459</v>
      </c>
      <c r="BF370" s="3">
        <v>18.381540112164586</v>
      </c>
      <c r="BG370" s="3">
        <v>8.90820677883125</v>
      </c>
      <c r="BH370" s="3">
        <v>9.4482067788312563</v>
      </c>
      <c r="BI370" s="3">
        <v>5.1615401121645874</v>
      </c>
      <c r="BJ370" s="3">
        <v>8.9548734454979169</v>
      </c>
      <c r="BK370" s="3">
        <v>10.828206778831252</v>
      </c>
      <c r="BL370" s="3">
        <v>9.2015401121645866</v>
      </c>
      <c r="BM370" s="3">
        <v>8.6348734454979237</v>
      </c>
      <c r="BN370" s="3">
        <v>8.8182067788312537</v>
      </c>
      <c r="BO370" s="3">
        <v>7.7848734454979223</v>
      </c>
      <c r="BP370" s="3">
        <v>9.6015401121645851</v>
      </c>
      <c r="BQ370" s="3">
        <v>11.218206778831245</v>
      </c>
      <c r="BR370" s="3">
        <v>9.8448734454979245</v>
      </c>
      <c r="BS370" s="3">
        <v>7.9482067788312563</v>
      </c>
      <c r="BT370" s="3">
        <v>8.0448734454979203</v>
      </c>
      <c r="BU370" s="3">
        <v>7.6115401121645903</v>
      </c>
      <c r="BV370" s="3">
        <v>7.4282067788312531</v>
      </c>
      <c r="BW370" s="3">
        <v>10.461540112164592</v>
      </c>
      <c r="BX370" s="3">
        <v>8.8815401121645934</v>
      </c>
      <c r="BY370" s="3">
        <v>26.401540112164582</v>
      </c>
      <c r="BZ370" s="3">
        <v>32.331540112164589</v>
      </c>
      <c r="CA370" s="3">
        <v>9.6315401121645792</v>
      </c>
      <c r="CB370" s="3">
        <v>8.5682067788312537</v>
      </c>
      <c r="CC370" s="3">
        <v>9.2815401121645849</v>
      </c>
      <c r="CD370" s="3">
        <v>8.6882067788312582</v>
      </c>
      <c r="CE370" s="3">
        <v>9.0815401121645891</v>
      </c>
      <c r="CF370" s="3">
        <v>-0.90512655450208257</v>
      </c>
      <c r="CG370" s="3">
        <v>-1.438459887835414</v>
      </c>
      <c r="CH370" s="3">
        <v>-2.5151265545020784</v>
      </c>
      <c r="CI370" s="13">
        <f>[1]!dbasum(RecData[[#This Row],[20]:[2000]],RecData[[#Headers],[20]:[2000]])</f>
        <v>17.685659703164966</v>
      </c>
      <c r="CJ370" s="14">
        <v>4822</v>
      </c>
      <c r="CK370" s="15" t="s">
        <v>249</v>
      </c>
      <c r="CL370" s="15">
        <f>RecData[[#This Row],[Start Time]]</f>
        <v>43262.025694444441</v>
      </c>
      <c r="CM370" s="16">
        <f>RecData[[#This Row],[Wind Speed avg]]</f>
        <v>0.38</v>
      </c>
      <c r="CN370" s="16">
        <f>RecData[[#This Row],[Wind Dir. avg]]</f>
        <v>133</v>
      </c>
      <c r="CO370" s="16">
        <f>RecData[[#This Row],[Amb. Humidity]]</f>
        <v>87.6</v>
      </c>
      <c r="CP370" s="16">
        <f>RecData[[#This Row],[Amb. Temperature]]</f>
        <v>9.5</v>
      </c>
      <c r="CQ370" s="17">
        <f>RecData[[#This Row],[Amb. Rain Gauge]]</f>
        <v>0</v>
      </c>
      <c r="CR370" s="4" t="s">
        <v>50</v>
      </c>
      <c r="CS370" s="4" t="s">
        <v>49</v>
      </c>
      <c r="CT370" s="70">
        <v>-9.3480539319999991</v>
      </c>
      <c r="CU370" s="70">
        <v>205.00172420000001</v>
      </c>
      <c r="CV370" s="70">
        <v>1.6311064959999999</v>
      </c>
      <c r="CW370" s="70">
        <v>0</v>
      </c>
      <c r="CX370" s="4"/>
      <c r="CY370" s="69"/>
      <c r="CZ370" s="2" t="b">
        <f>IF($DP$1="YES",IF(RecData[[#This Row],[Power (kW)]]&gt;=$CR$3, TRUE,FALSE),TRUE)</f>
        <v>0</v>
      </c>
      <c r="DA370" s="16">
        <f>MIN(MOD(180-ABS(ABS($DA$1-RecData[Yaw Angle (°)])-180),360),MOD(180-ABS(ABS($DB$1-RecData[Yaw Angle (°)])-180),360))</f>
        <v>162.52820257768752</v>
      </c>
      <c r="DB370" s="2" t="str">
        <f>IF($DP$2="None","None",IF(RecData[[#This Row],[Relative Wind Direction]]&lt;=45,"DW",IF(RecData[[#This Row],[Relative Wind Direction]]&lt;=135,"CW","UW")))</f>
        <v>UW</v>
      </c>
      <c r="DC370" s="61">
        <f>IF($CL370-$CL366&gt;1/24,#REF!,IF(SUM($CQ366:$CQ370)&gt;$DS$1,$DS$5,DC371-1))</f>
        <v>-4</v>
      </c>
      <c r="DD370" s="61">
        <f>IF($CL371-$CL370&gt;1/24,#REF!,IF(SUM($CQ366:$CQ370)&gt;$DS$1,$DS$6,DD369-1))</f>
        <v>-7</v>
      </c>
      <c r="DE370" s="18" t="b">
        <v>0</v>
      </c>
      <c r="DF370" s="2" t="b">
        <f>IF(OR(RecData[[#This Row],[WSpd_Avg '[m/s']]]-RecData[[#This Row],[Wind Speed min]]&gt;=$DF$3,RecData[[#This Row],[Wind Speed max]]-RecData[[#This Row],[WSpd_Avg '[m/s']]]&gt;=$DF$2),TRUE,FALSE)</f>
        <v>0</v>
      </c>
      <c r="DG370" s="2" t="b">
        <f>RecData[[#This Row],[Temperature '[°C']]]&lt;=-20</f>
        <v>0</v>
      </c>
      <c r="DH370" s="18" t="b">
        <f>NOT(OR(MOD(RecData[[#This Row],[TIMESTAMP]],1)&gt;0.91632,MOD(RecData[[#This Row],[TIMESTAMP]],1)&lt;0.208681))</f>
        <v>0</v>
      </c>
      <c r="DI370" s="18" t="b">
        <f>RecData[[#This Row],[Overall (dBA)]]-RecData[[#This Row],[L90]]&gt;=$DS$4</f>
        <v>0</v>
      </c>
      <c r="DJ370" s="18" t="b">
        <f>RecData[[#This Row],[Overall (dBA)]]&gt;$DS$2</f>
        <v>0</v>
      </c>
      <c r="DK370" s="18" t="b">
        <f>RecData[[#This Row],[Overall (dBA)]]&lt;$DS$3</f>
        <v>0</v>
      </c>
      <c r="DL3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0" s="2">
        <f>IF(AND(RecData[[#This Row],[Turbines ON/OFF]] = "OFF", NOT(OR(RecData[[#This Row],[Junk?]]="YES",RecData[[#This Row],[Gust?]],RecData[[#This Row],[Rain?]:[Min SPL Threshold?]]))),1,0)</f>
        <v>1</v>
      </c>
      <c r="DN370" s="16">
        <f>RecData[[#This Row],[dBA Sum]]</f>
        <v>17.685659703164966</v>
      </c>
      <c r="DO370" s="16">
        <f>RecData[[#This Row],[LAF90.0]]</f>
        <v>31</v>
      </c>
      <c r="DP370" s="55" t="str">
        <f>IF(AND(RecData[[#This Row],[Useable TON Data?]],RecData[[#This Row],[Turbines ON/OFF]]="ON"),RecData[[#This Row],[dBA Sum]],"")</f>
        <v/>
      </c>
      <c r="DQ370" s="55">
        <f>IF(AND(RecData[[#This Row],[Useable Background Data?]],RecData[[#This Row],[Turbines ON/OFF]]="OFF"),RecData[[#This Row],[dBA Sum]],"")</f>
        <v>17.685659703164966</v>
      </c>
      <c r="DR370" s="3">
        <f>IF(OR(RecData[[#This Row],[Useable TON Data?]],RecData[[#This Row],[Useable Background Data?]]),ROUND(RecData[[#This Row],[WSpd_Avg '[m/s']]],0),"")</f>
        <v>0</v>
      </c>
      <c r="DS370" s="85">
        <f>(0.00002)^2*(10^(RecData[[#This Row],[Overall (dBA)]]/10))</f>
        <v>2.3476100586824926E-8</v>
      </c>
    </row>
    <row r="371" spans="1:123" ht="15" x14ac:dyDescent="0.25">
      <c r="A371" s="3" t="s">
        <v>249</v>
      </c>
      <c r="B371" s="12">
        <v>43262.026388888888</v>
      </c>
      <c r="C371" s="3"/>
      <c r="D371" s="3">
        <v>32.700000000000003</v>
      </c>
      <c r="E371" s="3"/>
      <c r="F371" s="3"/>
      <c r="G371" s="3"/>
      <c r="H371" s="3"/>
      <c r="I371" s="3"/>
      <c r="J371" s="3"/>
      <c r="K371" s="3">
        <v>29</v>
      </c>
      <c r="L371" s="3"/>
      <c r="M371" s="3"/>
      <c r="N371" s="3">
        <v>136.4</v>
      </c>
      <c r="O371" s="3"/>
      <c r="P371" s="3"/>
      <c r="Q371" s="3">
        <v>0.34</v>
      </c>
      <c r="R371" s="3">
        <v>0.2</v>
      </c>
      <c r="S371" s="3">
        <v>0.5</v>
      </c>
      <c r="T371" s="3">
        <v>9.5</v>
      </c>
      <c r="U371" s="3">
        <v>88.1</v>
      </c>
      <c r="V371" s="3">
        <v>974.2</v>
      </c>
      <c r="W371" s="3">
        <v>0</v>
      </c>
      <c r="X371" s="3">
        <v>18</v>
      </c>
      <c r="Y371" s="3">
        <v>14.7</v>
      </c>
      <c r="Z371" s="3">
        <v>16.899999999999999</v>
      </c>
      <c r="AA371" s="3">
        <v>10.9</v>
      </c>
      <c r="AB371" s="3">
        <v>8.5</v>
      </c>
      <c r="AC371" s="3">
        <v>5.4</v>
      </c>
      <c r="AD371" s="3">
        <v>8.6999999999999993</v>
      </c>
      <c r="AE371" s="3">
        <v>9.3000000000000007</v>
      </c>
      <c r="AF371" s="3">
        <v>10.8</v>
      </c>
      <c r="AG371" s="3">
        <v>8.6999999999999993</v>
      </c>
      <c r="AH371" s="3">
        <v>8</v>
      </c>
      <c r="AI371" s="3">
        <v>8</v>
      </c>
      <c r="AJ371" s="3">
        <v>10.7</v>
      </c>
      <c r="AK371" s="3">
        <v>11.4</v>
      </c>
      <c r="AL371" s="3">
        <v>9.4</v>
      </c>
      <c r="AM371" s="3">
        <v>8.8000000000000007</v>
      </c>
      <c r="AN371" s="3">
        <v>8.5</v>
      </c>
      <c r="AO371" s="3">
        <v>7.6</v>
      </c>
      <c r="AP371" s="3">
        <v>7.6</v>
      </c>
      <c r="AQ371" s="3">
        <v>9.4</v>
      </c>
      <c r="AR371" s="3">
        <v>8.5</v>
      </c>
      <c r="AS371" s="3">
        <v>23.3</v>
      </c>
      <c r="AT371" s="3">
        <v>30.5</v>
      </c>
      <c r="AU371" s="3">
        <v>9.5</v>
      </c>
      <c r="AV371" s="3">
        <v>9.3000000000000007</v>
      </c>
      <c r="AW371" s="3">
        <v>9.5</v>
      </c>
      <c r="AX371" s="3">
        <v>9.6</v>
      </c>
      <c r="AY371" s="3">
        <v>9.8000000000000007</v>
      </c>
      <c r="AZ371" s="3">
        <v>0</v>
      </c>
      <c r="BA371" s="3">
        <v>0</v>
      </c>
      <c r="BB371" s="3">
        <v>0</v>
      </c>
      <c r="BC371" s="3">
        <v>32.702421969606036</v>
      </c>
      <c r="BD371" s="3">
        <v>17.997578030393967</v>
      </c>
      <c r="BE371" s="3">
        <v>14.69757803039397</v>
      </c>
      <c r="BF371" s="3">
        <v>15.657578030393964</v>
      </c>
      <c r="BG371" s="3">
        <v>9.9842446970606318</v>
      </c>
      <c r="BH371" s="3">
        <v>7.7242446970606338</v>
      </c>
      <c r="BI371" s="3">
        <v>5.0375780303939663</v>
      </c>
      <c r="BJ371" s="3">
        <v>9.1309113637273001</v>
      </c>
      <c r="BK371" s="3">
        <v>9.6042446970606292</v>
      </c>
      <c r="BL371" s="3">
        <v>10.677578030393967</v>
      </c>
      <c r="BM371" s="3">
        <v>8.7109113637273055</v>
      </c>
      <c r="BN371" s="3">
        <v>8.2942446970606341</v>
      </c>
      <c r="BO371" s="3">
        <v>7.6609113637273012</v>
      </c>
      <c r="BP371" s="3">
        <v>10.077578030393965</v>
      </c>
      <c r="BQ371" s="3">
        <v>11.194244697060626</v>
      </c>
      <c r="BR371" s="3">
        <v>9.5209113637273006</v>
      </c>
      <c r="BS371" s="3">
        <v>8.7242446970606338</v>
      </c>
      <c r="BT371" s="3">
        <v>8.620911363727302</v>
      </c>
      <c r="BU371" s="3">
        <v>7.687578030393972</v>
      </c>
      <c r="BV371" s="3">
        <v>7.4042446970606335</v>
      </c>
      <c r="BW371" s="3">
        <v>9.7375780303939692</v>
      </c>
      <c r="BX371" s="3">
        <v>8.7575780303939723</v>
      </c>
      <c r="BY371" s="3">
        <v>23.377578030393963</v>
      </c>
      <c r="BZ371" s="3">
        <v>30.707578030393975</v>
      </c>
      <c r="CA371" s="3">
        <v>9.8075780303939624</v>
      </c>
      <c r="CB371" s="3">
        <v>9.0442446970606341</v>
      </c>
      <c r="CC371" s="3">
        <v>9.457578030393968</v>
      </c>
      <c r="CD371" s="3">
        <v>8.8642446970606414</v>
      </c>
      <c r="CE371" s="3">
        <v>9.2575780303939652</v>
      </c>
      <c r="CF371" s="3">
        <v>-0.92908863627269866</v>
      </c>
      <c r="CG371" s="3">
        <v>-1.4624219696060301</v>
      </c>
      <c r="CH371" s="3">
        <v>-2.5390886362726981</v>
      </c>
      <c r="CI371" s="13">
        <f>[1]!dbasum(RecData[[#This Row],[20]:[2000]],RecData[[#Headers],[20]:[2000]])</f>
        <v>17.611155928435029</v>
      </c>
      <c r="CJ371" s="14">
        <v>4823</v>
      </c>
      <c r="CK371" s="15" t="s">
        <v>249</v>
      </c>
      <c r="CL371" s="15">
        <f>RecData[[#This Row],[Start Time]]</f>
        <v>43262.026388888888</v>
      </c>
      <c r="CM371" s="16">
        <f>RecData[[#This Row],[Wind Speed avg]]</f>
        <v>0.34</v>
      </c>
      <c r="CN371" s="16">
        <f>RecData[[#This Row],[Wind Dir. avg]]</f>
        <v>136.4</v>
      </c>
      <c r="CO371" s="16">
        <f>RecData[[#This Row],[Amb. Humidity]]</f>
        <v>88.1</v>
      </c>
      <c r="CP371" s="16">
        <f>RecData[[#This Row],[Amb. Temperature]]</f>
        <v>9.5</v>
      </c>
      <c r="CQ371" s="17">
        <f>RecData[[#This Row],[Amb. Rain Gauge]]</f>
        <v>0</v>
      </c>
      <c r="CR371" s="4" t="s">
        <v>50</v>
      </c>
      <c r="CS371" s="4" t="s">
        <v>49</v>
      </c>
      <c r="CT371" s="70">
        <v>-9.3480539319999991</v>
      </c>
      <c r="CU371" s="70">
        <v>205.00172420000001</v>
      </c>
      <c r="CV371" s="70">
        <v>1.6311064959999999</v>
      </c>
      <c r="CW371" s="70">
        <v>0</v>
      </c>
      <c r="CX371" s="4"/>
      <c r="CY371" s="69"/>
      <c r="CZ371" s="2" t="b">
        <f>IF($DP$1="YES",IF(RecData[[#This Row],[Power (kW)]]&gt;=$CR$3, TRUE,FALSE),TRUE)</f>
        <v>0</v>
      </c>
      <c r="DA371" s="16">
        <f>MIN(MOD(180-ABS(ABS($DA$1-RecData[Yaw Angle (°)])-180),360),MOD(180-ABS(ABS($DB$1-RecData[Yaw Angle (°)])-180),360))</f>
        <v>162.52820257768752</v>
      </c>
      <c r="DB371" s="2" t="str">
        <f>IF($DP$2="None","None",IF(RecData[[#This Row],[Relative Wind Direction]]&lt;=45,"DW",IF(RecData[[#This Row],[Relative Wind Direction]]&lt;=135,"CW","UW")))</f>
        <v>UW</v>
      </c>
      <c r="DC371" s="61">
        <f>IF($CL371-$CL367&gt;1/24,#REF!,IF(SUM($CQ367:$CQ371)&gt;$DS$1,$DS$5,DC372-1))</f>
        <v>-3</v>
      </c>
      <c r="DD371" s="61">
        <f>IF($CL372-$CL371&gt;1/24,#REF!,IF(SUM($CQ367:$CQ371)&gt;$DS$1,$DS$6,DD370-1))</f>
        <v>-8</v>
      </c>
      <c r="DE371" s="18" t="b">
        <v>0</v>
      </c>
      <c r="DF371" s="2" t="b">
        <f>IF(OR(RecData[[#This Row],[WSpd_Avg '[m/s']]]-RecData[[#This Row],[Wind Speed min]]&gt;=$DF$3,RecData[[#This Row],[Wind Speed max]]-RecData[[#This Row],[WSpd_Avg '[m/s']]]&gt;=$DF$2),TRUE,FALSE)</f>
        <v>0</v>
      </c>
      <c r="DG371" s="2" t="b">
        <f>RecData[[#This Row],[Temperature '[°C']]]&lt;=-20</f>
        <v>0</v>
      </c>
      <c r="DH371" s="18" t="b">
        <f>NOT(OR(MOD(RecData[[#This Row],[TIMESTAMP]],1)&gt;0.91632,MOD(RecData[[#This Row],[TIMESTAMP]],1)&lt;0.208681))</f>
        <v>0</v>
      </c>
      <c r="DI371" s="18" t="b">
        <f>RecData[[#This Row],[Overall (dBA)]]-RecData[[#This Row],[L90]]&gt;=$DS$4</f>
        <v>0</v>
      </c>
      <c r="DJ371" s="18" t="b">
        <f>RecData[[#This Row],[Overall (dBA)]]&gt;$DS$2</f>
        <v>0</v>
      </c>
      <c r="DK371" s="18" t="b">
        <f>RecData[[#This Row],[Overall (dBA)]]&lt;$DS$3</f>
        <v>0</v>
      </c>
      <c r="DL3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1" s="2">
        <f>IF(AND(RecData[[#This Row],[Turbines ON/OFF]] = "OFF", NOT(OR(RecData[[#This Row],[Junk?]]="YES",RecData[[#This Row],[Gust?]],RecData[[#This Row],[Rain?]:[Min SPL Threshold?]]))),1,0)</f>
        <v>1</v>
      </c>
      <c r="DN371" s="16">
        <f>RecData[[#This Row],[dBA Sum]]</f>
        <v>17.611155928435029</v>
      </c>
      <c r="DO371" s="16">
        <f>RecData[[#This Row],[LAF90.0]]</f>
        <v>29</v>
      </c>
      <c r="DP371" s="55" t="str">
        <f>IF(AND(RecData[[#This Row],[Useable TON Data?]],RecData[[#This Row],[Turbines ON/OFF]]="ON"),RecData[[#This Row],[dBA Sum]],"")</f>
        <v/>
      </c>
      <c r="DQ371" s="55">
        <f>IF(AND(RecData[[#This Row],[Useable Background Data?]],RecData[[#This Row],[Turbines ON/OFF]]="OFF"),RecData[[#This Row],[dBA Sum]],"")</f>
        <v>17.611155928435029</v>
      </c>
      <c r="DR371" s="3">
        <f>IF(OR(RecData[[#This Row],[Useable TON Data?]],RecData[[#This Row],[Useable Background Data?]]),ROUND(RecData[[#This Row],[WSpd_Avg '[m/s']]],0),"")</f>
        <v>0</v>
      </c>
      <c r="DS371" s="85">
        <f>(0.00002)^2*(10^(RecData[[#This Row],[Overall (dBA)]]/10))</f>
        <v>2.3076799893836518E-8</v>
      </c>
    </row>
    <row r="372" spans="1:123" ht="15" x14ac:dyDescent="0.25">
      <c r="A372" s="3" t="s">
        <v>249</v>
      </c>
      <c r="B372" s="12">
        <v>43262.027083333334</v>
      </c>
      <c r="C372" s="3"/>
      <c r="D372" s="3">
        <v>31.5</v>
      </c>
      <c r="E372" s="3"/>
      <c r="F372" s="3"/>
      <c r="G372" s="3"/>
      <c r="H372" s="3"/>
      <c r="I372" s="3"/>
      <c r="J372" s="3"/>
      <c r="K372" s="3">
        <v>27.9</v>
      </c>
      <c r="L372" s="3"/>
      <c r="M372" s="3"/>
      <c r="N372" s="3">
        <v>115.9</v>
      </c>
      <c r="O372" s="3"/>
      <c r="P372" s="3"/>
      <c r="Q372" s="3">
        <v>0.18</v>
      </c>
      <c r="R372" s="3">
        <v>0</v>
      </c>
      <c r="S372" s="3">
        <v>0.4</v>
      </c>
      <c r="T372" s="3">
        <v>9.5</v>
      </c>
      <c r="U372" s="3">
        <v>88.1</v>
      </c>
      <c r="V372" s="3">
        <v>974.2</v>
      </c>
      <c r="W372" s="3">
        <v>0</v>
      </c>
      <c r="X372" s="3">
        <v>16.3</v>
      </c>
      <c r="Y372" s="3">
        <v>16.2</v>
      </c>
      <c r="Z372" s="3">
        <v>19.5</v>
      </c>
      <c r="AA372" s="3">
        <v>10.8</v>
      </c>
      <c r="AB372" s="3">
        <v>14.1</v>
      </c>
      <c r="AC372" s="3">
        <v>6.6</v>
      </c>
      <c r="AD372" s="3">
        <v>9.1</v>
      </c>
      <c r="AE372" s="3">
        <v>15.4</v>
      </c>
      <c r="AF372" s="3">
        <v>11.4</v>
      </c>
      <c r="AG372" s="3">
        <v>9.9</v>
      </c>
      <c r="AH372" s="3">
        <v>12.2</v>
      </c>
      <c r="AI372" s="3">
        <v>10.8</v>
      </c>
      <c r="AJ372" s="3">
        <v>12.7</v>
      </c>
      <c r="AK372" s="3">
        <v>12.9</v>
      </c>
      <c r="AL372" s="3">
        <v>10.8</v>
      </c>
      <c r="AM372" s="3">
        <v>9.1999999999999993</v>
      </c>
      <c r="AN372" s="3">
        <v>8.4</v>
      </c>
      <c r="AO372" s="3">
        <v>8</v>
      </c>
      <c r="AP372" s="3">
        <v>7.8</v>
      </c>
      <c r="AQ372" s="3">
        <v>10.199999999999999</v>
      </c>
      <c r="AR372" s="3">
        <v>9.1</v>
      </c>
      <c r="AS372" s="3">
        <v>22.8</v>
      </c>
      <c r="AT372" s="3">
        <v>29</v>
      </c>
      <c r="AU372" s="3">
        <v>8.8000000000000007</v>
      </c>
      <c r="AV372" s="3">
        <v>9</v>
      </c>
      <c r="AW372" s="3">
        <v>9.4</v>
      </c>
      <c r="AX372" s="3">
        <v>9.5</v>
      </c>
      <c r="AY372" s="3">
        <v>9.8000000000000007</v>
      </c>
      <c r="AZ372" s="3">
        <v>0</v>
      </c>
      <c r="BA372" s="3">
        <v>0</v>
      </c>
      <c r="BB372" s="3">
        <v>0</v>
      </c>
      <c r="BC372" s="3">
        <v>31.490555038381245</v>
      </c>
      <c r="BD372" s="3">
        <v>16.309444961618752</v>
      </c>
      <c r="BE372" s="3">
        <v>16.209444961618757</v>
      </c>
      <c r="BF372" s="3">
        <v>18.26944496161876</v>
      </c>
      <c r="BG372" s="3">
        <v>9.8961116282854178</v>
      </c>
      <c r="BH372" s="3">
        <v>13.336111628285423</v>
      </c>
      <c r="BI372" s="3">
        <v>6.2494449616187566</v>
      </c>
      <c r="BJ372" s="3">
        <v>9.5427782949520861</v>
      </c>
      <c r="BK372" s="3">
        <v>15.716111628285418</v>
      </c>
      <c r="BL372" s="3">
        <v>11.289444961618756</v>
      </c>
      <c r="BM372" s="3">
        <v>9.9227782949520886</v>
      </c>
      <c r="BN372" s="3">
        <v>12.506111628285424</v>
      </c>
      <c r="BO372" s="3">
        <v>10.472778294952093</v>
      </c>
      <c r="BP372" s="3">
        <v>12.089444961618753</v>
      </c>
      <c r="BQ372" s="3">
        <v>12.706111628285413</v>
      </c>
      <c r="BR372" s="3">
        <v>10.932778294952087</v>
      </c>
      <c r="BS372" s="3">
        <v>9.1361116282854198</v>
      </c>
      <c r="BT372" s="3">
        <v>8.5327782949520881</v>
      </c>
      <c r="BU372" s="3">
        <v>8.099444961618758</v>
      </c>
      <c r="BV372" s="3">
        <v>7.6161116282854238</v>
      </c>
      <c r="BW372" s="3">
        <v>10.549444961618761</v>
      </c>
      <c r="BX372" s="3">
        <v>9.3694449616187612</v>
      </c>
      <c r="BY372" s="3">
        <v>22.88944496161875</v>
      </c>
      <c r="BZ372" s="3">
        <v>29.219444961618763</v>
      </c>
      <c r="CA372" s="3">
        <v>9.119444961618747</v>
      </c>
      <c r="CB372" s="3">
        <v>8.7561116282854172</v>
      </c>
      <c r="CC372" s="3">
        <v>9.3694449616187541</v>
      </c>
      <c r="CD372" s="3">
        <v>8.7761116282854275</v>
      </c>
      <c r="CE372" s="3">
        <v>9.2694449616187526</v>
      </c>
      <c r="CF372" s="3">
        <v>-0.91722170504791123</v>
      </c>
      <c r="CG372" s="3">
        <v>-1.4505550383812427</v>
      </c>
      <c r="CH372" s="3">
        <v>-2.5272217050479107</v>
      </c>
      <c r="CI372" s="13">
        <f>[1]!dbasum(RecData[[#This Row],[20]:[2000]],RecData[[#Headers],[20]:[2000]])</f>
        <v>18.436940037940133</v>
      </c>
      <c r="CJ372" s="14">
        <v>4824</v>
      </c>
      <c r="CK372" s="15" t="s">
        <v>249</v>
      </c>
      <c r="CL372" s="15">
        <f>RecData[[#This Row],[Start Time]]</f>
        <v>43262.027083333334</v>
      </c>
      <c r="CM372" s="16">
        <f>RecData[[#This Row],[Wind Speed avg]]</f>
        <v>0.18</v>
      </c>
      <c r="CN372" s="16">
        <f>RecData[[#This Row],[Wind Dir. avg]]</f>
        <v>115.9</v>
      </c>
      <c r="CO372" s="16">
        <f>RecData[[#This Row],[Amb. Humidity]]</f>
        <v>88.1</v>
      </c>
      <c r="CP372" s="16">
        <f>RecData[[#This Row],[Amb. Temperature]]</f>
        <v>9.5</v>
      </c>
      <c r="CQ372" s="17">
        <f>RecData[[#This Row],[Amb. Rain Gauge]]</f>
        <v>0</v>
      </c>
      <c r="CR372" s="4" t="s">
        <v>50</v>
      </c>
      <c r="CS372" s="4" t="s">
        <v>49</v>
      </c>
      <c r="CT372" s="70">
        <v>-9.3480539319999991</v>
      </c>
      <c r="CU372" s="70">
        <v>205.00172420000001</v>
      </c>
      <c r="CV372" s="70">
        <v>1.6311064959999999</v>
      </c>
      <c r="CW372" s="70">
        <v>0</v>
      </c>
      <c r="CX372" s="4"/>
      <c r="CY372" s="69"/>
      <c r="CZ372" s="2" t="b">
        <f>IF($DP$1="YES",IF(RecData[[#This Row],[Power (kW)]]&gt;=$CR$3, TRUE,FALSE),TRUE)</f>
        <v>0</v>
      </c>
      <c r="DA372" s="16">
        <f>MIN(MOD(180-ABS(ABS($DA$1-RecData[Yaw Angle (°)])-180),360),MOD(180-ABS(ABS($DB$1-RecData[Yaw Angle (°)])-180),360))</f>
        <v>162.52820257768752</v>
      </c>
      <c r="DB372" s="2" t="str">
        <f>IF($DP$2="None","None",IF(RecData[[#This Row],[Relative Wind Direction]]&lt;=45,"DW",IF(RecData[[#This Row],[Relative Wind Direction]]&lt;=135,"CW","UW")))</f>
        <v>UW</v>
      </c>
      <c r="DC372" s="61">
        <f>IF($CL372-$CL368&gt;1/24,#REF!,IF(SUM($CQ368:$CQ372)&gt;$DS$1,$DS$5,DC373-1))</f>
        <v>-2</v>
      </c>
      <c r="DD372" s="61">
        <f>IF($CL373-$CL372&gt;1/24,#REF!,IF(SUM($CQ368:$CQ372)&gt;$DS$1,$DS$6,DD371-1))</f>
        <v>-9</v>
      </c>
      <c r="DE372" s="18" t="b">
        <v>0</v>
      </c>
      <c r="DF372" s="2" t="b">
        <f>IF(OR(RecData[[#This Row],[WSpd_Avg '[m/s']]]-RecData[[#This Row],[Wind Speed min]]&gt;=$DF$3,RecData[[#This Row],[Wind Speed max]]-RecData[[#This Row],[WSpd_Avg '[m/s']]]&gt;=$DF$2),TRUE,FALSE)</f>
        <v>0</v>
      </c>
      <c r="DG372" s="2" t="b">
        <f>RecData[[#This Row],[Temperature '[°C']]]&lt;=-20</f>
        <v>0</v>
      </c>
      <c r="DH372" s="18" t="b">
        <f>NOT(OR(MOD(RecData[[#This Row],[TIMESTAMP]],1)&gt;0.91632,MOD(RecData[[#This Row],[TIMESTAMP]],1)&lt;0.208681))</f>
        <v>0</v>
      </c>
      <c r="DI372" s="18" t="b">
        <f>RecData[[#This Row],[Overall (dBA)]]-RecData[[#This Row],[L90]]&gt;=$DS$4</f>
        <v>0</v>
      </c>
      <c r="DJ372" s="18" t="b">
        <f>RecData[[#This Row],[Overall (dBA)]]&gt;$DS$2</f>
        <v>0</v>
      </c>
      <c r="DK372" s="18" t="b">
        <f>RecData[[#This Row],[Overall (dBA)]]&lt;$DS$3</f>
        <v>0</v>
      </c>
      <c r="DL3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2" s="2">
        <f>IF(AND(RecData[[#This Row],[Turbines ON/OFF]] = "OFF", NOT(OR(RecData[[#This Row],[Junk?]]="YES",RecData[[#This Row],[Gust?]],RecData[[#This Row],[Rain?]:[Min SPL Threshold?]]))),1,0)</f>
        <v>1</v>
      </c>
      <c r="DN372" s="16">
        <f>RecData[[#This Row],[dBA Sum]]</f>
        <v>18.436940037940133</v>
      </c>
      <c r="DO372" s="16">
        <f>RecData[[#This Row],[LAF90.0]]</f>
        <v>27.9</v>
      </c>
      <c r="DP372" s="55" t="str">
        <f>IF(AND(RecData[[#This Row],[Useable TON Data?]],RecData[[#This Row],[Turbines ON/OFF]]="ON"),RecData[[#This Row],[dBA Sum]],"")</f>
        <v/>
      </c>
      <c r="DQ372" s="55">
        <f>IF(AND(RecData[[#This Row],[Useable Background Data?]],RecData[[#This Row],[Turbines ON/OFF]]="OFF"),RecData[[#This Row],[dBA Sum]],"")</f>
        <v>18.436940037940133</v>
      </c>
      <c r="DR372" s="3">
        <f>IF(OR(RecData[[#This Row],[Useable TON Data?]],RecData[[#This Row],[Useable Background Data?]]),ROUND(RecData[[#This Row],[WSpd_Avg '[m/s']]],0),"")</f>
        <v>0</v>
      </c>
      <c r="DS372" s="85">
        <f>(0.00002)^2*(10^(RecData[[#This Row],[Overall (dBA)]]/10))</f>
        <v>2.7909624606220596E-8</v>
      </c>
    </row>
    <row r="373" spans="1:123" ht="15" x14ac:dyDescent="0.25">
      <c r="A373" s="3" t="s">
        <v>249</v>
      </c>
      <c r="B373" s="12">
        <v>43262.027777777781</v>
      </c>
      <c r="C373" s="3"/>
      <c r="D373" s="3">
        <v>29.9</v>
      </c>
      <c r="E373" s="3"/>
      <c r="F373" s="3"/>
      <c r="G373" s="3"/>
      <c r="H373" s="3"/>
      <c r="I373" s="3"/>
      <c r="J373" s="3"/>
      <c r="K373" s="3">
        <v>26.1</v>
      </c>
      <c r="L373" s="3"/>
      <c r="M373" s="3"/>
      <c r="N373" s="3">
        <v>118.3</v>
      </c>
      <c r="O373" s="3"/>
      <c r="P373" s="3"/>
      <c r="Q373" s="3">
        <v>0.15</v>
      </c>
      <c r="R373" s="3">
        <v>0</v>
      </c>
      <c r="S373" s="3">
        <v>0.3</v>
      </c>
      <c r="T373" s="3">
        <v>9.5</v>
      </c>
      <c r="U373" s="3">
        <v>88</v>
      </c>
      <c r="V373" s="3">
        <v>974.2</v>
      </c>
      <c r="W373" s="3">
        <v>0</v>
      </c>
      <c r="X373" s="3">
        <v>14.1</v>
      </c>
      <c r="Y373" s="3">
        <v>12</v>
      </c>
      <c r="Z373" s="3">
        <v>16.3</v>
      </c>
      <c r="AA373" s="3">
        <v>8.9</v>
      </c>
      <c r="AB373" s="3">
        <v>14.7</v>
      </c>
      <c r="AC373" s="3">
        <v>5.9</v>
      </c>
      <c r="AD373" s="3">
        <v>9.1999999999999993</v>
      </c>
      <c r="AE373" s="3">
        <v>15.3</v>
      </c>
      <c r="AF373" s="3">
        <v>12</v>
      </c>
      <c r="AG373" s="3">
        <v>10.4</v>
      </c>
      <c r="AH373" s="3">
        <v>13.3</v>
      </c>
      <c r="AI373" s="3">
        <v>11.3</v>
      </c>
      <c r="AJ373" s="3">
        <v>13.1</v>
      </c>
      <c r="AK373" s="3">
        <v>11.4</v>
      </c>
      <c r="AL373" s="3">
        <v>9</v>
      </c>
      <c r="AM373" s="3">
        <v>7.6</v>
      </c>
      <c r="AN373" s="3">
        <v>7.6</v>
      </c>
      <c r="AO373" s="3">
        <v>7.4</v>
      </c>
      <c r="AP373" s="3">
        <v>7.2</v>
      </c>
      <c r="AQ373" s="3">
        <v>8.6</v>
      </c>
      <c r="AR373" s="3">
        <v>8.1</v>
      </c>
      <c r="AS373" s="3">
        <v>19.3</v>
      </c>
      <c r="AT373" s="3">
        <v>27.7</v>
      </c>
      <c r="AU373" s="3">
        <v>8.6</v>
      </c>
      <c r="AV373" s="3">
        <v>8.9</v>
      </c>
      <c r="AW373" s="3">
        <v>9.4</v>
      </c>
      <c r="AX373" s="3">
        <v>9.5</v>
      </c>
      <c r="AY373" s="3">
        <v>9.6999999999999993</v>
      </c>
      <c r="AZ373" s="3">
        <v>0</v>
      </c>
      <c r="BA373" s="3">
        <v>0</v>
      </c>
      <c r="BB373" s="3">
        <v>0</v>
      </c>
      <c r="BC373" s="3">
        <v>29.927805799943883</v>
      </c>
      <c r="BD373" s="3">
        <v>14.072194200056117</v>
      </c>
      <c r="BE373" s="3">
        <v>11.972194200056116</v>
      </c>
      <c r="BF373" s="3">
        <v>15.032194200056118</v>
      </c>
      <c r="BG373" s="3">
        <v>7.9588608667227803</v>
      </c>
      <c r="BH373" s="3">
        <v>13.898860866722785</v>
      </c>
      <c r="BI373" s="3">
        <v>5.5121942000561148</v>
      </c>
      <c r="BJ373" s="3">
        <v>9.6055275333894485</v>
      </c>
      <c r="BK373" s="3">
        <v>15.578860866722778</v>
      </c>
      <c r="BL373" s="3">
        <v>11.852194200056118</v>
      </c>
      <c r="BM373" s="3">
        <v>10.38552753338945</v>
      </c>
      <c r="BN373" s="3">
        <v>13.568860866722787</v>
      </c>
      <c r="BO373" s="3">
        <v>10.935527533389454</v>
      </c>
      <c r="BP373" s="3">
        <v>12.452194200056113</v>
      </c>
      <c r="BQ373" s="3">
        <v>11.168860866722774</v>
      </c>
      <c r="BR373" s="3">
        <v>9.0955275333894505</v>
      </c>
      <c r="BS373" s="3">
        <v>7.4988608667227794</v>
      </c>
      <c r="BT373" s="3">
        <v>7.6955275333894519</v>
      </c>
      <c r="BU373" s="3">
        <v>7.4621942000561177</v>
      </c>
      <c r="BV373" s="3">
        <v>6.9788608667227834</v>
      </c>
      <c r="BW373" s="3">
        <v>8.9121942000561205</v>
      </c>
      <c r="BX373" s="3">
        <v>8.3321942000561222</v>
      </c>
      <c r="BY373" s="3">
        <v>19.352194200056118</v>
      </c>
      <c r="BZ373" s="3">
        <v>27.882194200056119</v>
      </c>
      <c r="CA373" s="3">
        <v>8.8821942000561052</v>
      </c>
      <c r="CB373" s="3">
        <v>8.618860866722784</v>
      </c>
      <c r="CC373" s="3">
        <v>9.3321942000561151</v>
      </c>
      <c r="CD373" s="3">
        <v>8.7388608667227885</v>
      </c>
      <c r="CE373" s="3">
        <v>9.1321942000561123</v>
      </c>
      <c r="CF373" s="3">
        <v>-0.95447246661055019</v>
      </c>
      <c r="CG373" s="3">
        <v>-1.4878057999438816</v>
      </c>
      <c r="CH373" s="3">
        <v>-2.5644724666105496</v>
      </c>
      <c r="CI373" s="13">
        <f>[1]!dbasum(RecData[[#This Row],[20]:[2000]],RecData[[#Headers],[20]:[2000]])</f>
        <v>17.44196243019794</v>
      </c>
      <c r="CJ373" s="14">
        <v>4825</v>
      </c>
      <c r="CK373" s="15" t="s">
        <v>249</v>
      </c>
      <c r="CL373" s="15">
        <f>RecData[[#This Row],[Start Time]]</f>
        <v>43262.027777777781</v>
      </c>
      <c r="CM373" s="16">
        <f>RecData[[#This Row],[Wind Speed avg]]</f>
        <v>0.15</v>
      </c>
      <c r="CN373" s="16">
        <f>RecData[[#This Row],[Wind Dir. avg]]</f>
        <v>118.3</v>
      </c>
      <c r="CO373" s="16">
        <f>RecData[[#This Row],[Amb. Humidity]]</f>
        <v>88</v>
      </c>
      <c r="CP373" s="16">
        <f>RecData[[#This Row],[Amb. Temperature]]</f>
        <v>9.5</v>
      </c>
      <c r="CQ373" s="17">
        <f>RecData[[#This Row],[Amb. Rain Gauge]]</f>
        <v>0</v>
      </c>
      <c r="CR373" s="4" t="s">
        <v>50</v>
      </c>
      <c r="CS373" s="4" t="s">
        <v>49</v>
      </c>
      <c r="CT373" s="70">
        <v>-9.3480539319999991</v>
      </c>
      <c r="CU373" s="70">
        <v>205.00172420000001</v>
      </c>
      <c r="CV373" s="70">
        <v>1.6311064959999999</v>
      </c>
      <c r="CW373" s="70">
        <v>0</v>
      </c>
      <c r="CX373" s="4"/>
      <c r="CY373" s="69"/>
      <c r="CZ373" s="2" t="b">
        <f>IF($DP$1="YES",IF(RecData[[#This Row],[Power (kW)]]&gt;=$CR$3, TRUE,FALSE),TRUE)</f>
        <v>0</v>
      </c>
      <c r="DA373" s="16">
        <f>MIN(MOD(180-ABS(ABS($DA$1-RecData[Yaw Angle (°)])-180),360),MOD(180-ABS(ABS($DB$1-RecData[Yaw Angle (°)])-180),360))</f>
        <v>162.52820257768752</v>
      </c>
      <c r="DB373" s="2" t="str">
        <f>IF($DP$2="None","None",IF(RecData[[#This Row],[Relative Wind Direction]]&lt;=45,"DW",IF(RecData[[#This Row],[Relative Wind Direction]]&lt;=135,"CW","UW")))</f>
        <v>UW</v>
      </c>
      <c r="DC373" s="61">
        <v>-1</v>
      </c>
      <c r="DD373" s="61">
        <v>-1</v>
      </c>
      <c r="DE373" s="18" t="b">
        <v>0</v>
      </c>
      <c r="DF373" s="2" t="b">
        <f>IF(OR(RecData[[#This Row],[WSpd_Avg '[m/s']]]-RecData[[#This Row],[Wind Speed min]]&gt;=$DF$3,RecData[[#This Row],[Wind Speed max]]-RecData[[#This Row],[WSpd_Avg '[m/s']]]&gt;=$DF$2),TRUE,FALSE)</f>
        <v>0</v>
      </c>
      <c r="DG373" s="2" t="b">
        <f>RecData[[#This Row],[Temperature '[°C']]]&lt;=-20</f>
        <v>0</v>
      </c>
      <c r="DH373" s="18" t="b">
        <f>NOT(OR(MOD(RecData[[#This Row],[TIMESTAMP]],1)&gt;0.91632,MOD(RecData[[#This Row],[TIMESTAMP]],1)&lt;0.208681))</f>
        <v>0</v>
      </c>
      <c r="DI373" s="18" t="b">
        <f>RecData[[#This Row],[Overall (dBA)]]-RecData[[#This Row],[L90]]&gt;=$DS$4</f>
        <v>0</v>
      </c>
      <c r="DJ373" s="18" t="b">
        <f>RecData[[#This Row],[Overall (dBA)]]&gt;$DS$2</f>
        <v>0</v>
      </c>
      <c r="DK373" s="18" t="b">
        <f>RecData[[#This Row],[Overall (dBA)]]&lt;$DS$3</f>
        <v>0</v>
      </c>
      <c r="DL3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3" s="2">
        <f>IF(AND(RecData[[#This Row],[Turbines ON/OFF]] = "OFF", NOT(OR(RecData[[#This Row],[Junk?]]="YES",RecData[[#This Row],[Gust?]],RecData[[#This Row],[Rain?]:[Min SPL Threshold?]]))),1,0)</f>
        <v>1</v>
      </c>
      <c r="DN373" s="16">
        <f>RecData[[#This Row],[dBA Sum]]</f>
        <v>17.44196243019794</v>
      </c>
      <c r="DO373" s="16">
        <f>RecData[[#This Row],[LAF90.0]]</f>
        <v>26.1</v>
      </c>
      <c r="DP373" s="55" t="str">
        <f>IF(AND(RecData[[#This Row],[Useable TON Data?]],RecData[[#This Row],[Turbines ON/OFF]]="ON"),RecData[[#This Row],[dBA Sum]],"")</f>
        <v/>
      </c>
      <c r="DQ373" s="55">
        <f>IF(AND(RecData[[#This Row],[Useable Background Data?]],RecData[[#This Row],[Turbines ON/OFF]]="OFF"),RecData[[#This Row],[dBA Sum]],"")</f>
        <v>17.44196243019794</v>
      </c>
      <c r="DR373" s="3">
        <f>IF(OR(RecData[[#This Row],[Useable TON Data?]],RecData[[#This Row],[Useable Background Data?]]),ROUND(RecData[[#This Row],[WSpd_Avg '[m/s']]],0),"")</f>
        <v>0</v>
      </c>
      <c r="DS373" s="85">
        <f>(0.00002)^2*(10^(RecData[[#This Row],[Overall (dBA)]]/10))</f>
        <v>2.2195055449248351E-8</v>
      </c>
    </row>
    <row r="374" spans="1:123" ht="15" x14ac:dyDescent="0.25">
      <c r="A374" s="3" t="s">
        <v>249</v>
      </c>
      <c r="B374" s="12">
        <v>43262.02847222222</v>
      </c>
      <c r="C374" s="3"/>
      <c r="D374" s="3">
        <v>30.8</v>
      </c>
      <c r="E374" s="3"/>
      <c r="F374" s="3"/>
      <c r="G374" s="3"/>
      <c r="H374" s="3"/>
      <c r="I374" s="3"/>
      <c r="J374" s="3"/>
      <c r="K374" s="3">
        <v>26.6</v>
      </c>
      <c r="L374" s="3"/>
      <c r="M374" s="3"/>
      <c r="N374" s="3">
        <v>175.5</v>
      </c>
      <c r="O374" s="3"/>
      <c r="P374" s="3"/>
      <c r="Q374" s="3">
        <v>0.21</v>
      </c>
      <c r="R374" s="3">
        <v>0.1</v>
      </c>
      <c r="S374" s="3">
        <v>0.3</v>
      </c>
      <c r="T374" s="3">
        <v>9.4</v>
      </c>
      <c r="U374" s="3">
        <v>88.2</v>
      </c>
      <c r="V374" s="3">
        <v>974.2</v>
      </c>
      <c r="W374" s="3">
        <v>0</v>
      </c>
      <c r="X374" s="3">
        <v>15.3</v>
      </c>
      <c r="Y374" s="3">
        <v>12.8</v>
      </c>
      <c r="Z374" s="3">
        <v>16.2</v>
      </c>
      <c r="AA374" s="3">
        <v>10.1</v>
      </c>
      <c r="AB374" s="3">
        <v>13.6</v>
      </c>
      <c r="AC374" s="3">
        <v>5.9</v>
      </c>
      <c r="AD374" s="3">
        <v>9.1</v>
      </c>
      <c r="AE374" s="3">
        <v>14</v>
      </c>
      <c r="AF374" s="3">
        <v>9.9</v>
      </c>
      <c r="AG374" s="3">
        <v>8.5</v>
      </c>
      <c r="AH374" s="3">
        <v>11.3</v>
      </c>
      <c r="AI374" s="3">
        <v>10</v>
      </c>
      <c r="AJ374" s="3">
        <v>11.5</v>
      </c>
      <c r="AK374" s="3">
        <v>9.3000000000000007</v>
      </c>
      <c r="AL374" s="3">
        <v>7.7</v>
      </c>
      <c r="AM374" s="3">
        <v>6.9</v>
      </c>
      <c r="AN374" s="3">
        <v>7.2</v>
      </c>
      <c r="AO374" s="3">
        <v>6.8</v>
      </c>
      <c r="AP374" s="3">
        <v>7</v>
      </c>
      <c r="AQ374" s="3">
        <v>8.1999999999999993</v>
      </c>
      <c r="AR374" s="3">
        <v>6.9</v>
      </c>
      <c r="AS374" s="3">
        <v>21.2</v>
      </c>
      <c r="AT374" s="3">
        <v>28.5</v>
      </c>
      <c r="AU374" s="3">
        <v>8.5</v>
      </c>
      <c r="AV374" s="3">
        <v>8.6999999999999993</v>
      </c>
      <c r="AW374" s="3">
        <v>9.1999999999999993</v>
      </c>
      <c r="AX374" s="3">
        <v>9.4</v>
      </c>
      <c r="AY374" s="3">
        <v>9.6</v>
      </c>
      <c r="AZ374" s="3">
        <v>0</v>
      </c>
      <c r="BA374" s="3">
        <v>0</v>
      </c>
      <c r="BB374" s="3">
        <v>0</v>
      </c>
      <c r="BC374" s="3">
        <v>30.760013424644907</v>
      </c>
      <c r="BD374" s="3">
        <v>15.339986575355095</v>
      </c>
      <c r="BE374" s="3">
        <v>12.839986575355095</v>
      </c>
      <c r="BF374" s="3">
        <v>14.999986575355091</v>
      </c>
      <c r="BG374" s="3">
        <v>9.226653242021758</v>
      </c>
      <c r="BH374" s="3">
        <v>12.866653242021759</v>
      </c>
      <c r="BI374" s="3">
        <v>5.5799865753550968</v>
      </c>
      <c r="BJ374" s="3">
        <v>9.573319908688422</v>
      </c>
      <c r="BK374" s="3">
        <v>14.346653242021755</v>
      </c>
      <c r="BL374" s="3">
        <v>9.8199865753550917</v>
      </c>
      <c r="BM374" s="3">
        <v>8.553319908688426</v>
      </c>
      <c r="BN374" s="3">
        <v>11.636653242021762</v>
      </c>
      <c r="BO374" s="3">
        <v>9.7033199086884316</v>
      </c>
      <c r="BP374" s="3">
        <v>10.919986575355093</v>
      </c>
      <c r="BQ374" s="3">
        <v>9.1366532420217546</v>
      </c>
      <c r="BR374" s="3">
        <v>7.8633199086884282</v>
      </c>
      <c r="BS374" s="3">
        <v>6.8666532420217585</v>
      </c>
      <c r="BT374" s="3">
        <v>7.3633199086884282</v>
      </c>
      <c r="BU374" s="3">
        <v>6.9299865753550982</v>
      </c>
      <c r="BV374" s="3">
        <v>6.8466532420217625</v>
      </c>
      <c r="BW374" s="3">
        <v>8.5799865753550968</v>
      </c>
      <c r="BX374" s="3">
        <v>7.1999865753551013</v>
      </c>
      <c r="BY374" s="3">
        <v>21.319986575355092</v>
      </c>
      <c r="BZ374" s="3">
        <v>28.749986575355098</v>
      </c>
      <c r="CA374" s="3">
        <v>8.8499865753550857</v>
      </c>
      <c r="CB374" s="3">
        <v>8.486653242021756</v>
      </c>
      <c r="CC374" s="3">
        <v>9.1999865753550942</v>
      </c>
      <c r="CD374" s="3">
        <v>8.7066532420217619</v>
      </c>
      <c r="CE374" s="3">
        <v>9.0999865753550928</v>
      </c>
      <c r="CF374" s="3">
        <v>-0.88668009131157177</v>
      </c>
      <c r="CG374" s="3">
        <v>-1.4200134246449032</v>
      </c>
      <c r="CH374" s="3">
        <v>-2.4966800913115712</v>
      </c>
      <c r="CI374" s="13">
        <f>[1]!dbasum(RecData[[#This Row],[20]:[2000]],RecData[[#Headers],[20]:[2000]])</f>
        <v>16.610758966750698</v>
      </c>
      <c r="CJ374" s="14">
        <v>4826</v>
      </c>
      <c r="CK374" s="15" t="s">
        <v>249</v>
      </c>
      <c r="CL374" s="15">
        <f>RecData[[#This Row],[Start Time]]</f>
        <v>43262.02847222222</v>
      </c>
      <c r="CM374" s="16">
        <f>RecData[[#This Row],[Wind Speed avg]]</f>
        <v>0.21</v>
      </c>
      <c r="CN374" s="16">
        <f>RecData[[#This Row],[Wind Dir. avg]]</f>
        <v>175.5</v>
      </c>
      <c r="CO374" s="16">
        <f>RecData[[#This Row],[Amb. Humidity]]</f>
        <v>88.2</v>
      </c>
      <c r="CP374" s="16">
        <f>RecData[[#This Row],[Amb. Temperature]]</f>
        <v>9.4</v>
      </c>
      <c r="CQ374" s="17">
        <f>RecData[[#This Row],[Amb. Rain Gauge]]</f>
        <v>0</v>
      </c>
      <c r="CR374" s="4" t="s">
        <v>50</v>
      </c>
      <c r="CS374" s="4" t="s">
        <v>49</v>
      </c>
      <c r="CT374" s="70">
        <v>-9.5282011030000007</v>
      </c>
      <c r="CU374" s="70">
        <v>210.7081757</v>
      </c>
      <c r="CV374" s="70">
        <v>1.6106516120000001</v>
      </c>
      <c r="CW374" s="70">
        <v>0</v>
      </c>
      <c r="CX374" s="4"/>
      <c r="CY374" s="69"/>
      <c r="CZ374" s="2" t="b">
        <f>IF($DP$1="YES",IF(RecData[[#This Row],[Power (kW)]]&gt;=$CR$3, TRUE,FALSE),TRUE)</f>
        <v>0</v>
      </c>
      <c r="DA374" s="16">
        <f>MIN(MOD(180-ABS(ABS($DA$1-RecData[Yaw Angle (°)])-180),360),MOD(180-ABS(ABS($DB$1-RecData[Yaw Angle (°)])-180),360))</f>
        <v>156.82175107768757</v>
      </c>
      <c r="DB374" s="2" t="str">
        <f>IF($DP$2="None","None",IF(RecData[[#This Row],[Relative Wind Direction]]&lt;=45,"DW",IF(RecData[[#This Row],[Relative Wind Direction]]&lt;=135,"CW","UW")))</f>
        <v>UW</v>
      </c>
      <c r="DC374" s="61">
        <f>IF($CL374-$CL373&gt;1/24,#REF!,IF(SUM($CQ373:$CQ374)&gt;$DS$1,$DS$5,DC375-1))</f>
        <v>-9</v>
      </c>
      <c r="DD374" s="61">
        <f>IF($CL375-$CL374&gt;1/24,#REF!,IF(SUM($CQ373:$CQ374)&gt;$DS$1,$DS$6,DD373-1))</f>
        <v>-2</v>
      </c>
      <c r="DE374" s="18" t="b">
        <v>0</v>
      </c>
      <c r="DF374" s="2" t="b">
        <f>IF(OR(RecData[[#This Row],[WSpd_Avg '[m/s']]]-RecData[[#This Row],[Wind Speed min]]&gt;=$DF$3,RecData[[#This Row],[Wind Speed max]]-RecData[[#This Row],[WSpd_Avg '[m/s']]]&gt;=$DF$2),TRUE,FALSE)</f>
        <v>0</v>
      </c>
      <c r="DG374" s="2" t="b">
        <f>RecData[[#This Row],[Temperature '[°C']]]&lt;=-20</f>
        <v>0</v>
      </c>
      <c r="DH374" s="18" t="b">
        <f>NOT(OR(MOD(RecData[[#This Row],[TIMESTAMP]],1)&gt;0.91632,MOD(RecData[[#This Row],[TIMESTAMP]],1)&lt;0.208681))</f>
        <v>0</v>
      </c>
      <c r="DI374" s="18" t="b">
        <f>RecData[[#This Row],[Overall (dBA)]]-RecData[[#This Row],[L90]]&gt;=$DS$4</f>
        <v>0</v>
      </c>
      <c r="DJ374" s="18" t="b">
        <f>RecData[[#This Row],[Overall (dBA)]]&gt;$DS$2</f>
        <v>0</v>
      </c>
      <c r="DK374" s="18" t="b">
        <f>RecData[[#This Row],[Overall (dBA)]]&lt;$DS$3</f>
        <v>0</v>
      </c>
      <c r="DL3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4" s="2">
        <f>IF(AND(RecData[[#This Row],[Turbines ON/OFF]] = "OFF", NOT(OR(RecData[[#This Row],[Junk?]]="YES",RecData[[#This Row],[Gust?]],RecData[[#This Row],[Rain?]:[Min SPL Threshold?]]))),1,0)</f>
        <v>1</v>
      </c>
      <c r="DN374" s="16">
        <f>RecData[[#This Row],[dBA Sum]]</f>
        <v>16.610758966750698</v>
      </c>
      <c r="DO374" s="16">
        <f>RecData[[#This Row],[LAF90.0]]</f>
        <v>26.6</v>
      </c>
      <c r="DP374" s="55" t="str">
        <f>IF(AND(RecData[[#This Row],[Useable TON Data?]],RecData[[#This Row],[Turbines ON/OFF]]="ON"),RecData[[#This Row],[dBA Sum]],"")</f>
        <v/>
      </c>
      <c r="DQ374" s="55">
        <f>IF(AND(RecData[[#This Row],[Useable Background Data?]],RecData[[#This Row],[Turbines ON/OFF]]="OFF"),RecData[[#This Row],[dBA Sum]],"")</f>
        <v>16.610758966750698</v>
      </c>
      <c r="DR374" s="3">
        <f>IF(OR(RecData[[#This Row],[Useable TON Data?]],RecData[[#This Row],[Useable Background Data?]]),ROUND(RecData[[#This Row],[WSpd_Avg '[m/s']]],0),"")</f>
        <v>0</v>
      </c>
      <c r="DS374" s="85">
        <f>(0.00002)^2*(10^(RecData[[#This Row],[Overall (dBA)]]/10))</f>
        <v>1.8328878316956512E-8</v>
      </c>
    </row>
    <row r="375" spans="1:123" ht="15" x14ac:dyDescent="0.25">
      <c r="A375" s="3" t="s">
        <v>249</v>
      </c>
      <c r="B375" s="12">
        <v>43262.029166666667</v>
      </c>
      <c r="C375" s="3"/>
      <c r="D375" s="3">
        <v>32.4</v>
      </c>
      <c r="E375" s="3"/>
      <c r="F375" s="3"/>
      <c r="G375" s="3"/>
      <c r="H375" s="3"/>
      <c r="I375" s="3"/>
      <c r="J375" s="3"/>
      <c r="K375" s="3">
        <v>28.4</v>
      </c>
      <c r="L375" s="3"/>
      <c r="M375" s="3"/>
      <c r="N375" s="3">
        <v>177.4</v>
      </c>
      <c r="O375" s="3"/>
      <c r="P375" s="3"/>
      <c r="Q375" s="3">
        <v>0.31</v>
      </c>
      <c r="R375" s="3">
        <v>0.1</v>
      </c>
      <c r="S375" s="3">
        <v>0.6</v>
      </c>
      <c r="T375" s="3">
        <v>9.4</v>
      </c>
      <c r="U375" s="3">
        <v>88.3</v>
      </c>
      <c r="V375" s="3">
        <v>974.3</v>
      </c>
      <c r="W375" s="3">
        <v>0</v>
      </c>
      <c r="X375" s="3">
        <v>17.100000000000001</v>
      </c>
      <c r="Y375" s="3">
        <v>16.3</v>
      </c>
      <c r="Z375" s="3">
        <v>16.3</v>
      </c>
      <c r="AA375" s="3">
        <v>10.8</v>
      </c>
      <c r="AB375" s="3">
        <v>12.5</v>
      </c>
      <c r="AC375" s="3">
        <v>6.9</v>
      </c>
      <c r="AD375" s="3">
        <v>9.1</v>
      </c>
      <c r="AE375" s="3">
        <v>13.3</v>
      </c>
      <c r="AF375" s="3">
        <v>11</v>
      </c>
      <c r="AG375" s="3">
        <v>9.9</v>
      </c>
      <c r="AH375" s="3">
        <v>10.9</v>
      </c>
      <c r="AI375" s="3">
        <v>10.6</v>
      </c>
      <c r="AJ375" s="3">
        <v>10.8</v>
      </c>
      <c r="AK375" s="3">
        <v>10.7</v>
      </c>
      <c r="AL375" s="3">
        <v>8.1999999999999993</v>
      </c>
      <c r="AM375" s="3">
        <v>8.4</v>
      </c>
      <c r="AN375" s="3">
        <v>8.1</v>
      </c>
      <c r="AO375" s="3">
        <v>10.4</v>
      </c>
      <c r="AP375" s="3">
        <v>7.6</v>
      </c>
      <c r="AQ375" s="3">
        <v>8.1999999999999993</v>
      </c>
      <c r="AR375" s="3">
        <v>7</v>
      </c>
      <c r="AS375" s="3">
        <v>23.2</v>
      </c>
      <c r="AT375" s="3">
        <v>30.1</v>
      </c>
      <c r="AU375" s="3">
        <v>9.1</v>
      </c>
      <c r="AV375" s="3">
        <v>9</v>
      </c>
      <c r="AW375" s="3">
        <v>9.6</v>
      </c>
      <c r="AX375" s="3">
        <v>9.5</v>
      </c>
      <c r="AY375" s="3">
        <v>9.6999999999999993</v>
      </c>
      <c r="AZ375" s="3">
        <v>0</v>
      </c>
      <c r="BA375" s="3">
        <v>0</v>
      </c>
      <c r="BB375" s="3">
        <v>0</v>
      </c>
      <c r="BC375" s="3">
        <v>32.36436780472566</v>
      </c>
      <c r="BD375" s="3">
        <v>17.13563219527434</v>
      </c>
      <c r="BE375" s="3">
        <v>16.335632195274343</v>
      </c>
      <c r="BF375" s="3">
        <v>15.095632195274341</v>
      </c>
      <c r="BG375" s="3">
        <v>9.9222988619410017</v>
      </c>
      <c r="BH375" s="3">
        <v>11.762298861941005</v>
      </c>
      <c r="BI375" s="3">
        <v>6.5756321952743377</v>
      </c>
      <c r="BJ375" s="3">
        <v>9.56896552860767</v>
      </c>
      <c r="BK375" s="3">
        <v>13.642298861941001</v>
      </c>
      <c r="BL375" s="3">
        <v>10.915632195274341</v>
      </c>
      <c r="BM375" s="3">
        <v>9.9489655286076726</v>
      </c>
      <c r="BN375" s="3">
        <v>11.232298861941004</v>
      </c>
      <c r="BO375" s="3">
        <v>10.298965528607674</v>
      </c>
      <c r="BP375" s="3">
        <v>10.215632195274338</v>
      </c>
      <c r="BQ375" s="3">
        <v>10.532298861940994</v>
      </c>
      <c r="BR375" s="3">
        <v>8.3589655286076692</v>
      </c>
      <c r="BS375" s="3">
        <v>8.3622988619410066</v>
      </c>
      <c r="BT375" s="3">
        <v>8.2589655286076749</v>
      </c>
      <c r="BU375" s="3">
        <v>10.525632195274341</v>
      </c>
      <c r="BV375" s="3">
        <v>7.4422988619410049</v>
      </c>
      <c r="BW375" s="3">
        <v>8.5756321952743377</v>
      </c>
      <c r="BX375" s="3">
        <v>7.2956321952743437</v>
      </c>
      <c r="BY375" s="3">
        <v>23.315632195274333</v>
      </c>
      <c r="BZ375" s="3">
        <v>30.345632195274348</v>
      </c>
      <c r="CA375" s="3">
        <v>9.4456321952743281</v>
      </c>
      <c r="CB375" s="3">
        <v>8.7822988619410012</v>
      </c>
      <c r="CC375" s="3">
        <v>9.5956321952743338</v>
      </c>
      <c r="CD375" s="3">
        <v>8.8022988619410114</v>
      </c>
      <c r="CE375" s="3">
        <v>9.1956321952743352</v>
      </c>
      <c r="CF375" s="3">
        <v>-0.89103447139232728</v>
      </c>
      <c r="CG375" s="3">
        <v>-1.4243678047256587</v>
      </c>
      <c r="CH375" s="3">
        <v>-2.5010344713923267</v>
      </c>
      <c r="CI375" s="13">
        <f>[1]!dbasum(RecData[[#This Row],[20]:[2000]],RecData[[#Headers],[20]:[2000]])</f>
        <v>17.532709259217292</v>
      </c>
      <c r="CJ375" s="14">
        <v>4827</v>
      </c>
      <c r="CK375" s="15" t="s">
        <v>249</v>
      </c>
      <c r="CL375" s="15">
        <f>RecData[[#This Row],[Start Time]]</f>
        <v>43262.029166666667</v>
      </c>
      <c r="CM375" s="16">
        <f>RecData[[#This Row],[Wind Speed avg]]</f>
        <v>0.31</v>
      </c>
      <c r="CN375" s="16">
        <f>RecData[[#This Row],[Wind Dir. avg]]</f>
        <v>177.4</v>
      </c>
      <c r="CO375" s="16">
        <f>RecData[[#This Row],[Amb. Humidity]]</f>
        <v>88.3</v>
      </c>
      <c r="CP375" s="16">
        <f>RecData[[#This Row],[Amb. Temperature]]</f>
        <v>9.4</v>
      </c>
      <c r="CQ375" s="17">
        <f>RecData[[#This Row],[Amb. Rain Gauge]]</f>
        <v>0</v>
      </c>
      <c r="CR375" s="4" t="s">
        <v>50</v>
      </c>
      <c r="CS375" s="4" t="s">
        <v>49</v>
      </c>
      <c r="CT375" s="70">
        <v>-9.5282011030000007</v>
      </c>
      <c r="CU375" s="70">
        <v>210.7081757</v>
      </c>
      <c r="CV375" s="70">
        <v>1.6106516120000001</v>
      </c>
      <c r="CW375" s="70">
        <v>0</v>
      </c>
      <c r="CX375" s="4"/>
      <c r="CY375" s="69"/>
      <c r="CZ375" s="2" t="b">
        <f>IF($DP$1="YES",IF(RecData[[#This Row],[Power (kW)]]&gt;=$CR$3, TRUE,FALSE),TRUE)</f>
        <v>0</v>
      </c>
      <c r="DA375" s="16">
        <f>MIN(MOD(180-ABS(ABS($DA$1-RecData[Yaw Angle (°)])-180),360),MOD(180-ABS(ABS($DB$1-RecData[Yaw Angle (°)])-180),360))</f>
        <v>156.82175107768757</v>
      </c>
      <c r="DB375" s="2" t="str">
        <f>IF($DP$2="None","None",IF(RecData[[#This Row],[Relative Wind Direction]]&lt;=45,"DW",IF(RecData[[#This Row],[Relative Wind Direction]]&lt;=135,"CW","UW")))</f>
        <v>UW</v>
      </c>
      <c r="DC375" s="61">
        <f>IF($CL375-$CL373&gt;1/24,#REF!,IF(SUM($CQ373:$CQ375)&gt;$DS$1,$DS$5,DC376-1))</f>
        <v>-8</v>
      </c>
      <c r="DD375" s="61">
        <f>IF($CL376-$CL375&gt;1/24,#REF!,IF(SUM($CQ373:$CQ375)&gt;$DS$1,$DS$6,DD374-1))</f>
        <v>-3</v>
      </c>
      <c r="DE375" s="18" t="b">
        <v>0</v>
      </c>
      <c r="DF375" s="2" t="b">
        <f>IF(OR(RecData[[#This Row],[WSpd_Avg '[m/s']]]-RecData[[#This Row],[Wind Speed min]]&gt;=$DF$3,RecData[[#This Row],[Wind Speed max]]-RecData[[#This Row],[WSpd_Avg '[m/s']]]&gt;=$DF$2),TRUE,FALSE)</f>
        <v>0</v>
      </c>
      <c r="DG375" s="2" t="b">
        <f>RecData[[#This Row],[Temperature '[°C']]]&lt;=-20</f>
        <v>0</v>
      </c>
      <c r="DH375" s="18" t="b">
        <f>NOT(OR(MOD(RecData[[#This Row],[TIMESTAMP]],1)&gt;0.91632,MOD(RecData[[#This Row],[TIMESTAMP]],1)&lt;0.208681))</f>
        <v>0</v>
      </c>
      <c r="DI375" s="18" t="b">
        <f>RecData[[#This Row],[Overall (dBA)]]-RecData[[#This Row],[L90]]&gt;=$DS$4</f>
        <v>0</v>
      </c>
      <c r="DJ375" s="18" t="b">
        <f>RecData[[#This Row],[Overall (dBA)]]&gt;$DS$2</f>
        <v>0</v>
      </c>
      <c r="DK375" s="18" t="b">
        <f>RecData[[#This Row],[Overall (dBA)]]&lt;$DS$3</f>
        <v>0</v>
      </c>
      <c r="DL3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5" s="2">
        <f>IF(AND(RecData[[#This Row],[Turbines ON/OFF]] = "OFF", NOT(OR(RecData[[#This Row],[Junk?]]="YES",RecData[[#This Row],[Gust?]],RecData[[#This Row],[Rain?]:[Min SPL Threshold?]]))),1,0)</f>
        <v>1</v>
      </c>
      <c r="DN375" s="16">
        <f>RecData[[#This Row],[dBA Sum]]</f>
        <v>17.532709259217292</v>
      </c>
      <c r="DO375" s="16">
        <f>RecData[[#This Row],[LAF90.0]]</f>
        <v>28.4</v>
      </c>
      <c r="DP375" s="55" t="str">
        <f>IF(AND(RecData[[#This Row],[Useable TON Data?]],RecData[[#This Row],[Turbines ON/OFF]]="ON"),RecData[[#This Row],[dBA Sum]],"")</f>
        <v/>
      </c>
      <c r="DQ375" s="55">
        <f>IF(AND(RecData[[#This Row],[Useable Background Data?]],RecData[[#This Row],[Turbines ON/OFF]]="OFF"),RecData[[#This Row],[dBA Sum]],"")</f>
        <v>17.532709259217292</v>
      </c>
      <c r="DR375" s="3">
        <f>IF(OR(RecData[[#This Row],[Useable TON Data?]],RecData[[#This Row],[Useable Background Data?]]),ROUND(RecData[[#This Row],[WSpd_Avg '[m/s']]],0),"")</f>
        <v>0</v>
      </c>
      <c r="DS375" s="85">
        <f>(0.00002)^2*(10^(RecData[[#This Row],[Overall (dBA)]]/10))</f>
        <v>2.2663705451614852E-8</v>
      </c>
    </row>
    <row r="376" spans="1:123" ht="15" x14ac:dyDescent="0.25">
      <c r="A376" s="3" t="s">
        <v>249</v>
      </c>
      <c r="B376" s="12">
        <v>43262.029861111114</v>
      </c>
      <c r="C376" s="3"/>
      <c r="D376" s="3">
        <v>31.5</v>
      </c>
      <c r="E376" s="3"/>
      <c r="F376" s="3"/>
      <c r="G376" s="3"/>
      <c r="H376" s="3"/>
      <c r="I376" s="3"/>
      <c r="J376" s="3"/>
      <c r="K376" s="3">
        <v>25.2</v>
      </c>
      <c r="L376" s="3"/>
      <c r="M376" s="3"/>
      <c r="N376" s="3">
        <v>174.1</v>
      </c>
      <c r="O376" s="3"/>
      <c r="P376" s="3"/>
      <c r="Q376" s="3">
        <v>0.52</v>
      </c>
      <c r="R376" s="3">
        <v>0.4</v>
      </c>
      <c r="S376" s="3">
        <v>0.6</v>
      </c>
      <c r="T376" s="3">
        <v>9.4</v>
      </c>
      <c r="U376" s="3">
        <v>88.5</v>
      </c>
      <c r="V376" s="3">
        <v>974.3</v>
      </c>
      <c r="W376" s="3">
        <v>0</v>
      </c>
      <c r="X376" s="3">
        <v>15.2</v>
      </c>
      <c r="Y376" s="3">
        <v>12.4</v>
      </c>
      <c r="Z376" s="3">
        <v>15.3</v>
      </c>
      <c r="AA376" s="3">
        <v>9.6999999999999993</v>
      </c>
      <c r="AB376" s="3">
        <v>6.2</v>
      </c>
      <c r="AC376" s="3">
        <v>5.7</v>
      </c>
      <c r="AD376" s="3">
        <v>8.6</v>
      </c>
      <c r="AE376" s="3">
        <v>7.7</v>
      </c>
      <c r="AF376" s="3">
        <v>11.8</v>
      </c>
      <c r="AG376" s="3">
        <v>9.4</v>
      </c>
      <c r="AH376" s="3">
        <v>9.5</v>
      </c>
      <c r="AI376" s="3">
        <v>9.1</v>
      </c>
      <c r="AJ376" s="3">
        <v>9.4</v>
      </c>
      <c r="AK376" s="3">
        <v>8.9</v>
      </c>
      <c r="AL376" s="3">
        <v>6.6</v>
      </c>
      <c r="AM376" s="3">
        <v>9.1</v>
      </c>
      <c r="AN376" s="3">
        <v>8.8000000000000007</v>
      </c>
      <c r="AO376" s="3">
        <v>10.6</v>
      </c>
      <c r="AP376" s="3">
        <v>7.2</v>
      </c>
      <c r="AQ376" s="3">
        <v>7.3</v>
      </c>
      <c r="AR376" s="3">
        <v>6.6</v>
      </c>
      <c r="AS376" s="3">
        <v>22.2</v>
      </c>
      <c r="AT376" s="3">
        <v>29.1</v>
      </c>
      <c r="AU376" s="3">
        <v>8.9</v>
      </c>
      <c r="AV376" s="3">
        <v>8.6999999999999993</v>
      </c>
      <c r="AW376" s="3">
        <v>9.1999999999999993</v>
      </c>
      <c r="AX376" s="3">
        <v>9.4</v>
      </c>
      <c r="AY376" s="3">
        <v>9.6</v>
      </c>
      <c r="AZ376" s="3">
        <v>0</v>
      </c>
      <c r="BA376" s="3">
        <v>0</v>
      </c>
      <c r="BB376" s="3">
        <v>0</v>
      </c>
      <c r="BC376" s="3">
        <v>31.405876978836535</v>
      </c>
      <c r="BD376" s="3">
        <v>15.294123021163468</v>
      </c>
      <c r="BE376" s="3">
        <v>12.494123021163464</v>
      </c>
      <c r="BF376" s="3">
        <v>14.154123021163468</v>
      </c>
      <c r="BG376" s="3">
        <v>8.8807896878301271</v>
      </c>
      <c r="BH376" s="3">
        <v>5.5207896878301348</v>
      </c>
      <c r="BI376" s="3">
        <v>5.4341230211634688</v>
      </c>
      <c r="BJ376" s="3">
        <v>9.1274563544967968</v>
      </c>
      <c r="BK376" s="3">
        <v>8.100789687830126</v>
      </c>
      <c r="BL376" s="3">
        <v>11.774123021163465</v>
      </c>
      <c r="BM376" s="3">
        <v>9.5074563544967994</v>
      </c>
      <c r="BN376" s="3">
        <v>9.8907896878301322</v>
      </c>
      <c r="BO376" s="3">
        <v>8.8574563544968008</v>
      </c>
      <c r="BP376" s="3">
        <v>8.8741230211634665</v>
      </c>
      <c r="BQ376" s="3">
        <v>8.7907896878301237</v>
      </c>
      <c r="BR376" s="3">
        <v>6.8174563544968017</v>
      </c>
      <c r="BS376" s="3">
        <v>9.1207896878301362</v>
      </c>
      <c r="BT376" s="3">
        <v>9.0174563544967974</v>
      </c>
      <c r="BU376" s="3">
        <v>10.78412302116347</v>
      </c>
      <c r="BV376" s="3">
        <v>7.1007896878301331</v>
      </c>
      <c r="BW376" s="3">
        <v>7.7341230211634659</v>
      </c>
      <c r="BX376" s="3">
        <v>6.9541230211634719</v>
      </c>
      <c r="BY376" s="3">
        <v>22.374123021163467</v>
      </c>
      <c r="BZ376" s="3">
        <v>29.404123021163468</v>
      </c>
      <c r="CA376" s="3">
        <v>9.3041230211634591</v>
      </c>
      <c r="CB376" s="3">
        <v>8.5407896878301308</v>
      </c>
      <c r="CC376" s="3">
        <v>9.254123021163462</v>
      </c>
      <c r="CD376" s="3">
        <v>8.7607896878301368</v>
      </c>
      <c r="CE376" s="3">
        <v>9.1541230211634677</v>
      </c>
      <c r="CF376" s="3">
        <v>-0.83254364550320048</v>
      </c>
      <c r="CG376" s="3">
        <v>-1.3658769788365319</v>
      </c>
      <c r="CH376" s="3">
        <v>-2.4425436455031999</v>
      </c>
      <c r="CI376" s="13">
        <f>[1]!dbasum(RecData[[#This Row],[20]:[2000]],RecData[[#Headers],[20]:[2000]])</f>
        <v>17.237053565677527</v>
      </c>
      <c r="CJ376" s="14">
        <v>4828</v>
      </c>
      <c r="CK376" s="15" t="s">
        <v>249</v>
      </c>
      <c r="CL376" s="15">
        <f>RecData[[#This Row],[Start Time]]</f>
        <v>43262.029861111114</v>
      </c>
      <c r="CM376" s="16">
        <f>RecData[[#This Row],[Wind Speed avg]]</f>
        <v>0.52</v>
      </c>
      <c r="CN376" s="16">
        <f>RecData[[#This Row],[Wind Dir. avg]]</f>
        <v>174.1</v>
      </c>
      <c r="CO376" s="16">
        <f>RecData[[#This Row],[Amb. Humidity]]</f>
        <v>88.5</v>
      </c>
      <c r="CP376" s="16">
        <f>RecData[[#This Row],[Amb. Temperature]]</f>
        <v>9.4</v>
      </c>
      <c r="CQ376" s="17">
        <f>RecData[[#This Row],[Amb. Rain Gauge]]</f>
        <v>0</v>
      </c>
      <c r="CR376" s="4" t="s">
        <v>50</v>
      </c>
      <c r="CS376" s="4" t="s">
        <v>49</v>
      </c>
      <c r="CT376" s="70">
        <v>-9.5282011030000007</v>
      </c>
      <c r="CU376" s="70">
        <v>210.7081757</v>
      </c>
      <c r="CV376" s="70">
        <v>1.6106516120000001</v>
      </c>
      <c r="CW376" s="70">
        <v>0</v>
      </c>
      <c r="CX376" s="4"/>
      <c r="CY376" s="69"/>
      <c r="CZ376" s="2" t="b">
        <f>IF($DP$1="YES",IF(RecData[[#This Row],[Power (kW)]]&gt;=$CR$3, TRUE,FALSE),TRUE)</f>
        <v>0</v>
      </c>
      <c r="DA376" s="16">
        <f>MIN(MOD(180-ABS(ABS($DA$1-RecData[Yaw Angle (°)])-180),360),MOD(180-ABS(ABS($DB$1-RecData[Yaw Angle (°)])-180),360))</f>
        <v>156.82175107768757</v>
      </c>
      <c r="DB376" s="2" t="str">
        <f>IF($DP$2="None","None",IF(RecData[[#This Row],[Relative Wind Direction]]&lt;=45,"DW",IF(RecData[[#This Row],[Relative Wind Direction]]&lt;=135,"CW","UW")))</f>
        <v>UW</v>
      </c>
      <c r="DC376" s="61">
        <f>IF($CL376-$CL373&gt;1/24,#REF!,IF(SUM($CQ373:$CQ376)&gt;$DS$1,$DS$5,DC377-1))</f>
        <v>-7</v>
      </c>
      <c r="DD376" s="61">
        <f>IF($CL377-$CL376&gt;1/24,#REF!,IF(SUM($CQ373:$CQ376)&gt;$DS$1,$DS$6,DD375-1))</f>
        <v>-4</v>
      </c>
      <c r="DE376" s="18" t="b">
        <v>0</v>
      </c>
      <c r="DF376" s="2" t="b">
        <f>IF(OR(RecData[[#This Row],[WSpd_Avg '[m/s']]]-RecData[[#This Row],[Wind Speed min]]&gt;=$DF$3,RecData[[#This Row],[Wind Speed max]]-RecData[[#This Row],[WSpd_Avg '[m/s']]]&gt;=$DF$2),TRUE,FALSE)</f>
        <v>0</v>
      </c>
      <c r="DG376" s="2" t="b">
        <f>RecData[[#This Row],[Temperature '[°C']]]&lt;=-20</f>
        <v>0</v>
      </c>
      <c r="DH376" s="18" t="b">
        <f>NOT(OR(MOD(RecData[[#This Row],[TIMESTAMP]],1)&gt;0.91632,MOD(RecData[[#This Row],[TIMESTAMP]],1)&lt;0.208681))</f>
        <v>0</v>
      </c>
      <c r="DI376" s="18" t="b">
        <f>RecData[[#This Row],[Overall (dBA)]]-RecData[[#This Row],[L90]]&gt;=$DS$4</f>
        <v>0</v>
      </c>
      <c r="DJ376" s="18" t="b">
        <f>RecData[[#This Row],[Overall (dBA)]]&gt;$DS$2</f>
        <v>0</v>
      </c>
      <c r="DK376" s="18" t="b">
        <f>RecData[[#This Row],[Overall (dBA)]]&lt;$DS$3</f>
        <v>0</v>
      </c>
      <c r="DL3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6" s="2">
        <f>IF(AND(RecData[[#This Row],[Turbines ON/OFF]] = "OFF", NOT(OR(RecData[[#This Row],[Junk?]]="YES",RecData[[#This Row],[Gust?]],RecData[[#This Row],[Rain?]:[Min SPL Threshold?]]))),1,0)</f>
        <v>1</v>
      </c>
      <c r="DN376" s="16">
        <f>RecData[[#This Row],[dBA Sum]]</f>
        <v>17.237053565677527</v>
      </c>
      <c r="DO376" s="16">
        <f>RecData[[#This Row],[LAF90.0]]</f>
        <v>25.2</v>
      </c>
      <c r="DP376" s="55" t="str">
        <f>IF(AND(RecData[[#This Row],[Useable TON Data?]],RecData[[#This Row],[Turbines ON/OFF]]="ON"),RecData[[#This Row],[dBA Sum]],"")</f>
        <v/>
      </c>
      <c r="DQ376" s="55">
        <f>IF(AND(RecData[[#This Row],[Useable Background Data?]],RecData[[#This Row],[Turbines ON/OFF]]="OFF"),RecData[[#This Row],[dBA Sum]],"")</f>
        <v>17.237053565677527</v>
      </c>
      <c r="DR376" s="3">
        <f>IF(OR(RecData[[#This Row],[Useable TON Data?]],RecData[[#This Row],[Useable Background Data?]]),ROUND(RecData[[#This Row],[WSpd_Avg '[m/s']]],0),"")</f>
        <v>1</v>
      </c>
      <c r="DS376" s="85">
        <f>(0.00002)^2*(10^(RecData[[#This Row],[Overall (dBA)]]/10))</f>
        <v>2.1172168802424721E-8</v>
      </c>
    </row>
    <row r="377" spans="1:123" ht="15" x14ac:dyDescent="0.25">
      <c r="A377" s="3" t="s">
        <v>249</v>
      </c>
      <c r="B377" s="12">
        <v>43262.030555555553</v>
      </c>
      <c r="C377" s="3"/>
      <c r="D377" s="3">
        <v>30.8</v>
      </c>
      <c r="E377" s="3"/>
      <c r="F377" s="3"/>
      <c r="G377" s="3"/>
      <c r="H377" s="3"/>
      <c r="I377" s="3"/>
      <c r="J377" s="3"/>
      <c r="K377" s="3">
        <v>26.5</v>
      </c>
      <c r="L377" s="3"/>
      <c r="M377" s="3"/>
      <c r="N377" s="3">
        <v>151.4</v>
      </c>
      <c r="O377" s="3"/>
      <c r="P377" s="3"/>
      <c r="Q377" s="3">
        <v>0.47</v>
      </c>
      <c r="R377" s="3">
        <v>0.4</v>
      </c>
      <c r="S377" s="3">
        <v>0.6</v>
      </c>
      <c r="T377" s="3">
        <v>9.4</v>
      </c>
      <c r="U377" s="3">
        <v>88.6</v>
      </c>
      <c r="V377" s="3">
        <v>974.3</v>
      </c>
      <c r="W377" s="3">
        <v>0</v>
      </c>
      <c r="X377" s="3">
        <v>17.3</v>
      </c>
      <c r="Y377" s="3">
        <v>15.6</v>
      </c>
      <c r="Z377" s="3">
        <v>19.5</v>
      </c>
      <c r="AA377" s="3">
        <v>12.9</v>
      </c>
      <c r="AB377" s="3">
        <v>7.7</v>
      </c>
      <c r="AC377" s="3">
        <v>6</v>
      </c>
      <c r="AD377" s="3">
        <v>8.4</v>
      </c>
      <c r="AE377" s="3">
        <v>8.1</v>
      </c>
      <c r="AF377" s="3">
        <v>12.1</v>
      </c>
      <c r="AG377" s="3">
        <v>8.3000000000000007</v>
      </c>
      <c r="AH377" s="3">
        <v>7</v>
      </c>
      <c r="AI377" s="3">
        <v>7.9</v>
      </c>
      <c r="AJ377" s="3">
        <v>9.3000000000000007</v>
      </c>
      <c r="AK377" s="3">
        <v>7.7</v>
      </c>
      <c r="AL377" s="3">
        <v>6.7</v>
      </c>
      <c r="AM377" s="3">
        <v>6.7</v>
      </c>
      <c r="AN377" s="3">
        <v>7</v>
      </c>
      <c r="AO377" s="3">
        <v>6.5</v>
      </c>
      <c r="AP377" s="3">
        <v>6.3</v>
      </c>
      <c r="AQ377" s="3">
        <v>7.1</v>
      </c>
      <c r="AR377" s="3">
        <v>6.6</v>
      </c>
      <c r="AS377" s="3">
        <v>22.8</v>
      </c>
      <c r="AT377" s="3">
        <v>28.1</v>
      </c>
      <c r="AU377" s="3">
        <v>8.4</v>
      </c>
      <c r="AV377" s="3">
        <v>8.8000000000000007</v>
      </c>
      <c r="AW377" s="3">
        <v>9.3000000000000007</v>
      </c>
      <c r="AX377" s="3">
        <v>9.4</v>
      </c>
      <c r="AY377" s="3">
        <v>9.6</v>
      </c>
      <c r="AZ377" s="3">
        <v>0</v>
      </c>
      <c r="BA377" s="3">
        <v>0</v>
      </c>
      <c r="BB377" s="3">
        <v>0</v>
      </c>
      <c r="BC377" s="3">
        <v>30.719540642960617</v>
      </c>
      <c r="BD377" s="3">
        <v>17.380459357039385</v>
      </c>
      <c r="BE377" s="3">
        <v>15.680459357039382</v>
      </c>
      <c r="BF377" s="3">
        <v>18.340459357039386</v>
      </c>
      <c r="BG377" s="3">
        <v>12.067126023706045</v>
      </c>
      <c r="BH377" s="3">
        <v>7.0071260237060571</v>
      </c>
      <c r="BI377" s="3">
        <v>5.7204593570393811</v>
      </c>
      <c r="BJ377" s="3">
        <v>8.9137926903727163</v>
      </c>
      <c r="BK377" s="3">
        <v>8.4871260237060469</v>
      </c>
      <c r="BL377" s="3">
        <v>12.060459357039385</v>
      </c>
      <c r="BM377" s="3">
        <v>8.3937926903727202</v>
      </c>
      <c r="BN377" s="3">
        <v>7.3771260237060474</v>
      </c>
      <c r="BO377" s="3">
        <v>7.6437926903727202</v>
      </c>
      <c r="BP377" s="3">
        <v>8.7604593570393874</v>
      </c>
      <c r="BQ377" s="3">
        <v>7.5771260237060432</v>
      </c>
      <c r="BR377" s="3">
        <v>6.9037926903727183</v>
      </c>
      <c r="BS377" s="3">
        <v>6.7071260237060528</v>
      </c>
      <c r="BT377" s="3">
        <v>7.2037926903727154</v>
      </c>
      <c r="BU377" s="3">
        <v>6.670459357039384</v>
      </c>
      <c r="BV377" s="3">
        <v>6.1871260237060497</v>
      </c>
      <c r="BW377" s="3">
        <v>7.5204593570393854</v>
      </c>
      <c r="BX377" s="3">
        <v>6.9404593570393871</v>
      </c>
      <c r="BY377" s="3">
        <v>22.960459357039383</v>
      </c>
      <c r="BZ377" s="3">
        <v>28.39045935703939</v>
      </c>
      <c r="CA377" s="3">
        <v>8.7904593570393743</v>
      </c>
      <c r="CB377" s="3">
        <v>8.6271260237060474</v>
      </c>
      <c r="CC377" s="3">
        <v>9.3404593570393857</v>
      </c>
      <c r="CD377" s="3">
        <v>8.747126023706052</v>
      </c>
      <c r="CE377" s="3">
        <v>9.1404593570393828</v>
      </c>
      <c r="CF377" s="3">
        <v>-0.84620730962728175</v>
      </c>
      <c r="CG377" s="3">
        <v>-1.3795406429606132</v>
      </c>
      <c r="CH377" s="3">
        <v>-2.4562073096272812</v>
      </c>
      <c r="CI377" s="13">
        <f>[1]!dbasum(RecData[[#This Row],[20]:[2000]],RecData[[#Headers],[20]:[2000]])</f>
        <v>15.836026789407656</v>
      </c>
      <c r="CJ377" s="14">
        <v>4829</v>
      </c>
      <c r="CK377" s="15" t="s">
        <v>249</v>
      </c>
      <c r="CL377" s="15">
        <f>RecData[[#This Row],[Start Time]]</f>
        <v>43262.030555555553</v>
      </c>
      <c r="CM377" s="16">
        <f>RecData[[#This Row],[Wind Speed avg]]</f>
        <v>0.47</v>
      </c>
      <c r="CN377" s="16">
        <f>RecData[[#This Row],[Wind Dir. avg]]</f>
        <v>151.4</v>
      </c>
      <c r="CO377" s="16">
        <f>RecData[[#This Row],[Amb. Humidity]]</f>
        <v>88.6</v>
      </c>
      <c r="CP377" s="16">
        <f>RecData[[#This Row],[Amb. Temperature]]</f>
        <v>9.4</v>
      </c>
      <c r="CQ377" s="17">
        <f>RecData[[#This Row],[Amb. Rain Gauge]]</f>
        <v>0</v>
      </c>
      <c r="CR377" s="4" t="s">
        <v>50</v>
      </c>
      <c r="CS377" s="4" t="s">
        <v>49</v>
      </c>
      <c r="CT377" s="70">
        <v>-9.5282011030000007</v>
      </c>
      <c r="CU377" s="70">
        <v>210.7081757</v>
      </c>
      <c r="CV377" s="70">
        <v>1.6106516120000001</v>
      </c>
      <c r="CW377" s="70">
        <v>0</v>
      </c>
      <c r="CX377" s="4"/>
      <c r="CY377" s="69"/>
      <c r="CZ377" s="2" t="b">
        <f>IF($DP$1="YES",IF(RecData[[#This Row],[Power (kW)]]&gt;=$CR$3, TRUE,FALSE),TRUE)</f>
        <v>0</v>
      </c>
      <c r="DA377" s="16">
        <f>MIN(MOD(180-ABS(ABS($DA$1-RecData[Yaw Angle (°)])-180),360),MOD(180-ABS(ABS($DB$1-RecData[Yaw Angle (°)])-180),360))</f>
        <v>156.82175107768757</v>
      </c>
      <c r="DB377" s="2" t="str">
        <f>IF($DP$2="None","None",IF(RecData[[#This Row],[Relative Wind Direction]]&lt;=45,"DW",IF(RecData[[#This Row],[Relative Wind Direction]]&lt;=135,"CW","UW")))</f>
        <v>UW</v>
      </c>
      <c r="DC377" s="61">
        <f>IF($CL377-$CL373&gt;1/24,#REF!,IF(SUM($CQ373:$CQ377)&gt;$DS$1,$DS$5,DC378-1))</f>
        <v>-6</v>
      </c>
      <c r="DD377" s="61">
        <f>IF($CL378-$CL377&gt;1/24,#REF!,IF(SUM($CQ373:$CQ377)&gt;$DS$1,$DS$6,DD376-1))</f>
        <v>-5</v>
      </c>
      <c r="DE377" s="18" t="b">
        <v>0</v>
      </c>
      <c r="DF377" s="2" t="b">
        <f>IF(OR(RecData[[#This Row],[WSpd_Avg '[m/s']]]-RecData[[#This Row],[Wind Speed min]]&gt;=$DF$3,RecData[[#This Row],[Wind Speed max]]-RecData[[#This Row],[WSpd_Avg '[m/s']]]&gt;=$DF$2),TRUE,FALSE)</f>
        <v>0</v>
      </c>
      <c r="DG377" s="2" t="b">
        <f>RecData[[#This Row],[Temperature '[°C']]]&lt;=-20</f>
        <v>0</v>
      </c>
      <c r="DH377" s="18" t="b">
        <f>NOT(OR(MOD(RecData[[#This Row],[TIMESTAMP]],1)&gt;0.91632,MOD(RecData[[#This Row],[TIMESTAMP]],1)&lt;0.208681))</f>
        <v>0</v>
      </c>
      <c r="DI377" s="18" t="b">
        <f>RecData[[#This Row],[Overall (dBA)]]-RecData[[#This Row],[L90]]&gt;=$DS$4</f>
        <v>0</v>
      </c>
      <c r="DJ377" s="18" t="b">
        <f>RecData[[#This Row],[Overall (dBA)]]&gt;$DS$2</f>
        <v>0</v>
      </c>
      <c r="DK377" s="18" t="b">
        <f>RecData[[#This Row],[Overall (dBA)]]&lt;$DS$3</f>
        <v>0</v>
      </c>
      <c r="DL3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7" s="2">
        <f>IF(AND(RecData[[#This Row],[Turbines ON/OFF]] = "OFF", NOT(OR(RecData[[#This Row],[Junk?]]="YES",RecData[[#This Row],[Gust?]],RecData[[#This Row],[Rain?]:[Min SPL Threshold?]]))),1,0)</f>
        <v>1</v>
      </c>
      <c r="DN377" s="16">
        <f>RecData[[#This Row],[dBA Sum]]</f>
        <v>15.836026789407656</v>
      </c>
      <c r="DO377" s="16">
        <f>RecData[[#This Row],[LAF90.0]]</f>
        <v>26.5</v>
      </c>
      <c r="DP377" s="55" t="str">
        <f>IF(AND(RecData[[#This Row],[Useable TON Data?]],RecData[[#This Row],[Turbines ON/OFF]]="ON"),RecData[[#This Row],[dBA Sum]],"")</f>
        <v/>
      </c>
      <c r="DQ377" s="55">
        <f>IF(AND(RecData[[#This Row],[Useable Background Data?]],RecData[[#This Row],[Turbines ON/OFF]]="OFF"),RecData[[#This Row],[dBA Sum]],"")</f>
        <v>15.836026789407656</v>
      </c>
      <c r="DR377" s="3">
        <f>IF(OR(RecData[[#This Row],[Useable TON Data?]],RecData[[#This Row],[Useable Background Data?]]),ROUND(RecData[[#This Row],[WSpd_Avg '[m/s']]],0),"")</f>
        <v>0</v>
      </c>
      <c r="DS377" s="85">
        <f>(0.00002)^2*(10^(RecData[[#This Row],[Overall (dBA)]]/10))</f>
        <v>1.5334254619252078E-8</v>
      </c>
    </row>
    <row r="378" spans="1:123" ht="15" x14ac:dyDescent="0.25">
      <c r="A378" s="3" t="s">
        <v>249</v>
      </c>
      <c r="B378" s="12">
        <v>43262.03125</v>
      </c>
      <c r="C378" s="3"/>
      <c r="D378" s="3">
        <v>31</v>
      </c>
      <c r="E378" s="3"/>
      <c r="F378" s="3"/>
      <c r="G378" s="3"/>
      <c r="H378" s="3"/>
      <c r="I378" s="3"/>
      <c r="J378" s="3"/>
      <c r="K378" s="3">
        <v>25.8</v>
      </c>
      <c r="L378" s="3"/>
      <c r="M378" s="3"/>
      <c r="N378" s="3">
        <v>148.80000000000001</v>
      </c>
      <c r="O378" s="3"/>
      <c r="P378" s="3"/>
      <c r="Q378" s="3">
        <v>0.57999999999999996</v>
      </c>
      <c r="R378" s="3">
        <v>0.4</v>
      </c>
      <c r="S378" s="3">
        <v>0.6</v>
      </c>
      <c r="T378" s="3">
        <v>9.4</v>
      </c>
      <c r="U378" s="3">
        <v>88.6</v>
      </c>
      <c r="V378" s="3">
        <v>974.3</v>
      </c>
      <c r="W378" s="3">
        <v>0</v>
      </c>
      <c r="X378" s="3">
        <v>18.2</v>
      </c>
      <c r="Y378" s="3">
        <v>17.600000000000001</v>
      </c>
      <c r="Z378" s="3">
        <v>19.7</v>
      </c>
      <c r="AA378" s="3">
        <v>13.5</v>
      </c>
      <c r="AB378" s="3">
        <v>12.5</v>
      </c>
      <c r="AC378" s="3">
        <v>6.7</v>
      </c>
      <c r="AD378" s="3">
        <v>8.3000000000000007</v>
      </c>
      <c r="AE378" s="3">
        <v>11.8</v>
      </c>
      <c r="AF378" s="3">
        <v>12.2</v>
      </c>
      <c r="AG378" s="3">
        <v>9.4</v>
      </c>
      <c r="AH378" s="3">
        <v>9.6999999999999993</v>
      </c>
      <c r="AI378" s="3">
        <v>9.8000000000000007</v>
      </c>
      <c r="AJ378" s="3">
        <v>10.199999999999999</v>
      </c>
      <c r="AK378" s="3">
        <v>9</v>
      </c>
      <c r="AL378" s="3">
        <v>7.3</v>
      </c>
      <c r="AM378" s="3">
        <v>6.8</v>
      </c>
      <c r="AN378" s="3">
        <v>7.1</v>
      </c>
      <c r="AO378" s="3">
        <v>6.8</v>
      </c>
      <c r="AP378" s="3">
        <v>6.5</v>
      </c>
      <c r="AQ378" s="3">
        <v>7.1</v>
      </c>
      <c r="AR378" s="3">
        <v>6.7</v>
      </c>
      <c r="AS378" s="3">
        <v>21.2</v>
      </c>
      <c r="AT378" s="3">
        <v>28.7</v>
      </c>
      <c r="AU378" s="3">
        <v>9.1</v>
      </c>
      <c r="AV378" s="3">
        <v>8.8000000000000007</v>
      </c>
      <c r="AW378" s="3">
        <v>9.3000000000000007</v>
      </c>
      <c r="AX378" s="3">
        <v>9.4</v>
      </c>
      <c r="AY378" s="3">
        <v>9.6</v>
      </c>
      <c r="AZ378" s="3">
        <v>0</v>
      </c>
      <c r="BA378" s="3">
        <v>0</v>
      </c>
      <c r="BB378" s="3">
        <v>0</v>
      </c>
      <c r="BC378" s="3">
        <v>30.907694546676808</v>
      </c>
      <c r="BD378" s="3">
        <v>18.292305453323195</v>
      </c>
      <c r="BE378" s="3">
        <v>17.692305453323193</v>
      </c>
      <c r="BF378" s="3">
        <v>18.552305453323193</v>
      </c>
      <c r="BG378" s="3">
        <v>12.678972119989858</v>
      </c>
      <c r="BH378" s="3">
        <v>11.818972119989859</v>
      </c>
      <c r="BI378" s="3">
        <v>6.4323054533231954</v>
      </c>
      <c r="BJ378" s="3">
        <v>8.8256387866565262</v>
      </c>
      <c r="BK378" s="3">
        <v>12.198972119989854</v>
      </c>
      <c r="BL378" s="3">
        <v>12.17230545332319</v>
      </c>
      <c r="BM378" s="3">
        <v>9.505638786656526</v>
      </c>
      <c r="BN378" s="3">
        <v>10.088972119989862</v>
      </c>
      <c r="BO378" s="3">
        <v>9.5556387866565302</v>
      </c>
      <c r="BP378" s="3">
        <v>9.6723054533231902</v>
      </c>
      <c r="BQ378" s="3">
        <v>8.8889721199898517</v>
      </c>
      <c r="BR378" s="3">
        <v>7.515638786656524</v>
      </c>
      <c r="BS378" s="3">
        <v>6.8189721199898585</v>
      </c>
      <c r="BT378" s="3">
        <v>7.3156387866565282</v>
      </c>
      <c r="BU378" s="3">
        <v>6.9823054533231925</v>
      </c>
      <c r="BV378" s="3">
        <v>6.3989721199898568</v>
      </c>
      <c r="BW378" s="3">
        <v>7.5323054533231968</v>
      </c>
      <c r="BX378" s="3">
        <v>7.0523054533231999</v>
      </c>
      <c r="BY378" s="3">
        <v>21.372305453323193</v>
      </c>
      <c r="BZ378" s="3">
        <v>29.002305453323196</v>
      </c>
      <c r="CA378" s="3">
        <v>9.5023054533231885</v>
      </c>
      <c r="CB378" s="3">
        <v>8.6389721199898588</v>
      </c>
      <c r="CC378" s="3">
        <v>9.35230545332319</v>
      </c>
      <c r="CD378" s="3">
        <v>8.7589721199898634</v>
      </c>
      <c r="CE378" s="3">
        <v>9.1523054533231942</v>
      </c>
      <c r="CF378" s="3">
        <v>-0.83436121334347391</v>
      </c>
      <c r="CG378" s="3">
        <v>-1.3676945466768053</v>
      </c>
      <c r="CH378" s="3">
        <v>-2.4443612133434733</v>
      </c>
      <c r="CI378" s="13">
        <f>[1]!dbasum(RecData[[#This Row],[20]:[2000]],RecData[[#Headers],[20]:[2000]])</f>
        <v>16.207786975105908</v>
      </c>
      <c r="CJ378" s="14">
        <v>4830</v>
      </c>
      <c r="CK378" s="15" t="s">
        <v>249</v>
      </c>
      <c r="CL378" s="15">
        <f>RecData[[#This Row],[Start Time]]</f>
        <v>43262.03125</v>
      </c>
      <c r="CM378" s="16">
        <f>RecData[[#This Row],[Wind Speed avg]]</f>
        <v>0.57999999999999996</v>
      </c>
      <c r="CN378" s="16">
        <f>RecData[[#This Row],[Wind Dir. avg]]</f>
        <v>148.80000000000001</v>
      </c>
      <c r="CO378" s="16">
        <f>RecData[[#This Row],[Amb. Humidity]]</f>
        <v>88.6</v>
      </c>
      <c r="CP378" s="16">
        <f>RecData[[#This Row],[Amb. Temperature]]</f>
        <v>9.4</v>
      </c>
      <c r="CQ378" s="17">
        <f>RecData[[#This Row],[Amb. Rain Gauge]]</f>
        <v>0</v>
      </c>
      <c r="CR378" s="4" t="s">
        <v>50</v>
      </c>
      <c r="CS378" s="4" t="s">
        <v>49</v>
      </c>
      <c r="CT378" s="70">
        <v>-9.5282011030000007</v>
      </c>
      <c r="CU378" s="70">
        <v>210.7081757</v>
      </c>
      <c r="CV378" s="70">
        <v>1.6106516120000001</v>
      </c>
      <c r="CW378" s="70">
        <v>0</v>
      </c>
      <c r="CX378" s="4"/>
      <c r="CY378" s="69"/>
      <c r="CZ378" s="2" t="b">
        <f>IF($DP$1="YES",IF(RecData[[#This Row],[Power (kW)]]&gt;=$CR$3, TRUE,FALSE),TRUE)</f>
        <v>0</v>
      </c>
      <c r="DA378" s="16">
        <f>MIN(MOD(180-ABS(ABS($DA$1-RecData[Yaw Angle (°)])-180),360),MOD(180-ABS(ABS($DB$1-RecData[Yaw Angle (°)])-180),360))</f>
        <v>156.82175107768757</v>
      </c>
      <c r="DB378" s="2" t="str">
        <f>IF($DP$2="None","None",IF(RecData[[#This Row],[Relative Wind Direction]]&lt;=45,"DW",IF(RecData[[#This Row],[Relative Wind Direction]]&lt;=135,"CW","UW")))</f>
        <v>UW</v>
      </c>
      <c r="DC378" s="61">
        <f>IF($CL378-$CL374&gt;1/24,#REF!,IF(SUM($CQ374:$CQ378)&gt;$DS$1,$DS$5,DC379-1))</f>
        <v>-5</v>
      </c>
      <c r="DD378" s="61">
        <f>IF($CL379-$CL378&gt;1/24,#REF!,IF(SUM($CQ374:$CQ378)&gt;$DS$1,$DS$6,DD377-1))</f>
        <v>-6</v>
      </c>
      <c r="DE378" s="18" t="b">
        <v>0</v>
      </c>
      <c r="DF378" s="2" t="b">
        <f>IF(OR(RecData[[#This Row],[WSpd_Avg '[m/s']]]-RecData[[#This Row],[Wind Speed min]]&gt;=$DF$3,RecData[[#This Row],[Wind Speed max]]-RecData[[#This Row],[WSpd_Avg '[m/s']]]&gt;=$DF$2),TRUE,FALSE)</f>
        <v>0</v>
      </c>
      <c r="DG378" s="2" t="b">
        <f>RecData[[#This Row],[Temperature '[°C']]]&lt;=-20</f>
        <v>0</v>
      </c>
      <c r="DH378" s="18" t="b">
        <f>NOT(OR(MOD(RecData[[#This Row],[TIMESTAMP]],1)&gt;0.91632,MOD(RecData[[#This Row],[TIMESTAMP]],1)&lt;0.208681))</f>
        <v>0</v>
      </c>
      <c r="DI378" s="18" t="b">
        <f>RecData[[#This Row],[Overall (dBA)]]-RecData[[#This Row],[L90]]&gt;=$DS$4</f>
        <v>0</v>
      </c>
      <c r="DJ378" s="18" t="b">
        <f>RecData[[#This Row],[Overall (dBA)]]&gt;$DS$2</f>
        <v>0</v>
      </c>
      <c r="DK378" s="18" t="b">
        <f>RecData[[#This Row],[Overall (dBA)]]&lt;$DS$3</f>
        <v>0</v>
      </c>
      <c r="DL3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8" s="2">
        <f>IF(AND(RecData[[#This Row],[Turbines ON/OFF]] = "OFF", NOT(OR(RecData[[#This Row],[Junk?]]="YES",RecData[[#This Row],[Gust?]],RecData[[#This Row],[Rain?]:[Min SPL Threshold?]]))),1,0)</f>
        <v>1</v>
      </c>
      <c r="DN378" s="16">
        <f>RecData[[#This Row],[dBA Sum]]</f>
        <v>16.207786975105908</v>
      </c>
      <c r="DO378" s="16">
        <f>RecData[[#This Row],[LAF90.0]]</f>
        <v>25.8</v>
      </c>
      <c r="DP378" s="55" t="str">
        <f>IF(AND(RecData[[#This Row],[Useable TON Data?]],RecData[[#This Row],[Turbines ON/OFF]]="ON"),RecData[[#This Row],[dBA Sum]],"")</f>
        <v/>
      </c>
      <c r="DQ378" s="55">
        <f>IF(AND(RecData[[#This Row],[Useable Background Data?]],RecData[[#This Row],[Turbines ON/OFF]]="OFF"),RecData[[#This Row],[dBA Sum]],"")</f>
        <v>16.207786975105908</v>
      </c>
      <c r="DR378" s="3">
        <f>IF(OR(RecData[[#This Row],[Useable TON Data?]],RecData[[#This Row],[Useable Background Data?]]),ROUND(RecData[[#This Row],[WSpd_Avg '[m/s']]],0),"")</f>
        <v>1</v>
      </c>
      <c r="DS378" s="85">
        <f>(0.00002)^2*(10^(RecData[[#This Row],[Overall (dBA)]]/10))</f>
        <v>1.6704700319119537E-8</v>
      </c>
    </row>
    <row r="379" spans="1:123" ht="15" x14ac:dyDescent="0.25">
      <c r="A379" s="3" t="s">
        <v>249</v>
      </c>
      <c r="B379" s="12">
        <v>43262.031944444447</v>
      </c>
      <c r="C379" s="3"/>
      <c r="D379" s="3">
        <v>31.6</v>
      </c>
      <c r="E379" s="3"/>
      <c r="F379" s="3"/>
      <c r="G379" s="3"/>
      <c r="H379" s="3"/>
      <c r="I379" s="3"/>
      <c r="J379" s="3"/>
      <c r="K379" s="3">
        <v>26.9</v>
      </c>
      <c r="L379" s="3"/>
      <c r="M379" s="3"/>
      <c r="N379" s="3">
        <v>135.30000000000001</v>
      </c>
      <c r="O379" s="3"/>
      <c r="P379" s="3"/>
      <c r="Q379" s="3">
        <v>0.46</v>
      </c>
      <c r="R379" s="3">
        <v>0.3</v>
      </c>
      <c r="S379" s="3">
        <v>0.7</v>
      </c>
      <c r="T379" s="3">
        <v>9.4</v>
      </c>
      <c r="U379" s="3">
        <v>88.4</v>
      </c>
      <c r="V379" s="3">
        <v>974.3</v>
      </c>
      <c r="W379" s="3">
        <v>0</v>
      </c>
      <c r="X379" s="3">
        <v>18</v>
      </c>
      <c r="Y379" s="3">
        <v>14.6</v>
      </c>
      <c r="Z379" s="3">
        <v>17.899999999999999</v>
      </c>
      <c r="AA379" s="3">
        <v>11.9</v>
      </c>
      <c r="AB379" s="3">
        <v>12.8</v>
      </c>
      <c r="AC379" s="3">
        <v>6.2</v>
      </c>
      <c r="AD379" s="3">
        <v>8.5</v>
      </c>
      <c r="AE379" s="3">
        <v>11.2</v>
      </c>
      <c r="AF379" s="3">
        <v>12.3</v>
      </c>
      <c r="AG379" s="3">
        <v>9.4</v>
      </c>
      <c r="AH379" s="3">
        <v>8.6999999999999993</v>
      </c>
      <c r="AI379" s="3">
        <v>9.5</v>
      </c>
      <c r="AJ379" s="3">
        <v>10.3</v>
      </c>
      <c r="AK379" s="3">
        <v>8.6999999999999993</v>
      </c>
      <c r="AL379" s="3">
        <v>7.2</v>
      </c>
      <c r="AM379" s="3">
        <v>7</v>
      </c>
      <c r="AN379" s="3">
        <v>7.2</v>
      </c>
      <c r="AO379" s="3">
        <v>6.7</v>
      </c>
      <c r="AP379" s="3">
        <v>6.6</v>
      </c>
      <c r="AQ379" s="3">
        <v>7.4</v>
      </c>
      <c r="AR379" s="3">
        <v>6.8</v>
      </c>
      <c r="AS379" s="3">
        <v>22.6</v>
      </c>
      <c r="AT379" s="3">
        <v>29.3</v>
      </c>
      <c r="AU379" s="3">
        <v>8.8000000000000007</v>
      </c>
      <c r="AV379" s="3">
        <v>8.6</v>
      </c>
      <c r="AW379" s="3">
        <v>9.1</v>
      </c>
      <c r="AX379" s="3">
        <v>9.3000000000000007</v>
      </c>
      <c r="AY379" s="3">
        <v>9.6</v>
      </c>
      <c r="AZ379" s="3">
        <v>0</v>
      </c>
      <c r="BA379" s="3">
        <v>0</v>
      </c>
      <c r="BB379" s="3">
        <v>0</v>
      </c>
      <c r="BC379" s="3">
        <v>31.592978468268718</v>
      </c>
      <c r="BD379" s="3">
        <v>18.007021531731283</v>
      </c>
      <c r="BE379" s="3">
        <v>14.607021531731284</v>
      </c>
      <c r="BF379" s="3">
        <v>16.667021531731287</v>
      </c>
      <c r="BG379" s="3">
        <v>10.993688198397948</v>
      </c>
      <c r="BH379" s="3">
        <v>12.033688198397954</v>
      </c>
      <c r="BI379" s="3">
        <v>5.8470215317312864</v>
      </c>
      <c r="BJ379" s="3">
        <v>8.940354865064613</v>
      </c>
      <c r="BK379" s="3">
        <v>11.513688198397944</v>
      </c>
      <c r="BL379" s="3">
        <v>12.187021531731283</v>
      </c>
      <c r="BM379" s="3">
        <v>9.4203548650646169</v>
      </c>
      <c r="BN379" s="3">
        <v>9.0036881983979455</v>
      </c>
      <c r="BO379" s="3">
        <v>9.1703548650646169</v>
      </c>
      <c r="BP379" s="3">
        <v>9.6870215317312827</v>
      </c>
      <c r="BQ379" s="3">
        <v>8.5036881983979384</v>
      </c>
      <c r="BR379" s="3">
        <v>7.3303548650646206</v>
      </c>
      <c r="BS379" s="3">
        <v>6.9336881983979524</v>
      </c>
      <c r="BT379" s="3">
        <v>7.3303548650646206</v>
      </c>
      <c r="BU379" s="3">
        <v>6.7970215317312892</v>
      </c>
      <c r="BV379" s="3">
        <v>6.4136881983979492</v>
      </c>
      <c r="BW379" s="3">
        <v>7.7470215317312849</v>
      </c>
      <c r="BX379" s="3">
        <v>7.0670215317312852</v>
      </c>
      <c r="BY379" s="3">
        <v>22.687021531731283</v>
      </c>
      <c r="BZ379" s="3">
        <v>29.517021531731288</v>
      </c>
      <c r="CA379" s="3">
        <v>9.1170215317312753</v>
      </c>
      <c r="CB379" s="3">
        <v>8.353688198397947</v>
      </c>
      <c r="CC379" s="3">
        <v>9.0670215317312781</v>
      </c>
      <c r="CD379" s="3">
        <v>8.5736881983979529</v>
      </c>
      <c r="CE379" s="3">
        <v>9.0670215317312781</v>
      </c>
      <c r="CF379" s="3">
        <v>-0.91964513493538291</v>
      </c>
      <c r="CG379" s="3">
        <v>-1.4529784682687144</v>
      </c>
      <c r="CH379" s="3">
        <v>-2.5296451349353823</v>
      </c>
      <c r="CI379" s="13">
        <f>[1]!dbasum(RecData[[#This Row],[20]:[2000]],RecData[[#Headers],[20]:[2000]])</f>
        <v>16.169709115013124</v>
      </c>
      <c r="CJ379" s="14">
        <v>4831</v>
      </c>
      <c r="CK379" s="15" t="s">
        <v>249</v>
      </c>
      <c r="CL379" s="15">
        <f>RecData[[#This Row],[Start Time]]</f>
        <v>43262.031944444447</v>
      </c>
      <c r="CM379" s="16">
        <f>RecData[[#This Row],[Wind Speed avg]]</f>
        <v>0.46</v>
      </c>
      <c r="CN379" s="16">
        <f>RecData[[#This Row],[Wind Dir. avg]]</f>
        <v>135.30000000000001</v>
      </c>
      <c r="CO379" s="16">
        <f>RecData[[#This Row],[Amb. Humidity]]</f>
        <v>88.4</v>
      </c>
      <c r="CP379" s="16">
        <f>RecData[[#This Row],[Amb. Temperature]]</f>
        <v>9.4</v>
      </c>
      <c r="CQ379" s="17">
        <f>RecData[[#This Row],[Amb. Rain Gauge]]</f>
        <v>0</v>
      </c>
      <c r="CR379" s="4" t="s">
        <v>50</v>
      </c>
      <c r="CS379" s="4" t="s">
        <v>49</v>
      </c>
      <c r="CT379" s="70">
        <v>-9.5282011030000007</v>
      </c>
      <c r="CU379" s="70">
        <v>210.7081757</v>
      </c>
      <c r="CV379" s="70">
        <v>1.6106516120000001</v>
      </c>
      <c r="CW379" s="70">
        <v>0</v>
      </c>
      <c r="CX379" s="4"/>
      <c r="CY379" s="69"/>
      <c r="CZ379" s="2" t="b">
        <f>IF($DP$1="YES",IF(RecData[[#This Row],[Power (kW)]]&gt;=$CR$3, TRUE,FALSE),TRUE)</f>
        <v>0</v>
      </c>
      <c r="DA379" s="16">
        <f>MIN(MOD(180-ABS(ABS($DA$1-RecData[Yaw Angle (°)])-180),360),MOD(180-ABS(ABS($DB$1-RecData[Yaw Angle (°)])-180),360))</f>
        <v>156.82175107768757</v>
      </c>
      <c r="DB379" s="2" t="str">
        <f>IF($DP$2="None","None",IF(RecData[[#This Row],[Relative Wind Direction]]&lt;=45,"DW",IF(RecData[[#This Row],[Relative Wind Direction]]&lt;=135,"CW","UW")))</f>
        <v>UW</v>
      </c>
      <c r="DC379" s="61">
        <f>IF($CL379-$CL375&gt;1/24,#REF!,IF(SUM($CQ375:$CQ379)&gt;$DS$1,$DS$5,DC380-1))</f>
        <v>-4</v>
      </c>
      <c r="DD379" s="61">
        <f>IF($CL380-$CL379&gt;1/24,#REF!,IF(SUM($CQ375:$CQ379)&gt;$DS$1,$DS$6,DD378-1))</f>
        <v>-7</v>
      </c>
      <c r="DE379" s="18" t="b">
        <v>0</v>
      </c>
      <c r="DF379" s="2" t="b">
        <f>IF(OR(RecData[[#This Row],[WSpd_Avg '[m/s']]]-RecData[[#This Row],[Wind Speed min]]&gt;=$DF$3,RecData[[#This Row],[Wind Speed max]]-RecData[[#This Row],[WSpd_Avg '[m/s']]]&gt;=$DF$2),TRUE,FALSE)</f>
        <v>0</v>
      </c>
      <c r="DG379" s="2" t="b">
        <f>RecData[[#This Row],[Temperature '[°C']]]&lt;=-20</f>
        <v>0</v>
      </c>
      <c r="DH379" s="18" t="b">
        <f>NOT(OR(MOD(RecData[[#This Row],[TIMESTAMP]],1)&gt;0.91632,MOD(RecData[[#This Row],[TIMESTAMP]],1)&lt;0.208681))</f>
        <v>0</v>
      </c>
      <c r="DI379" s="18" t="b">
        <f>RecData[[#This Row],[Overall (dBA)]]-RecData[[#This Row],[L90]]&gt;=$DS$4</f>
        <v>0</v>
      </c>
      <c r="DJ379" s="18" t="b">
        <f>RecData[[#This Row],[Overall (dBA)]]&gt;$DS$2</f>
        <v>0</v>
      </c>
      <c r="DK379" s="18" t="b">
        <f>RecData[[#This Row],[Overall (dBA)]]&lt;$DS$3</f>
        <v>0</v>
      </c>
      <c r="DL3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79" s="2">
        <f>IF(AND(RecData[[#This Row],[Turbines ON/OFF]] = "OFF", NOT(OR(RecData[[#This Row],[Junk?]]="YES",RecData[[#This Row],[Gust?]],RecData[[#This Row],[Rain?]:[Min SPL Threshold?]]))),1,0)</f>
        <v>1</v>
      </c>
      <c r="DN379" s="16">
        <f>RecData[[#This Row],[dBA Sum]]</f>
        <v>16.169709115013124</v>
      </c>
      <c r="DO379" s="16">
        <f>RecData[[#This Row],[LAF90.0]]</f>
        <v>26.9</v>
      </c>
      <c r="DP379" s="55" t="str">
        <f>IF(AND(RecData[[#This Row],[Useable TON Data?]],RecData[[#This Row],[Turbines ON/OFF]]="ON"),RecData[[#This Row],[dBA Sum]],"")</f>
        <v/>
      </c>
      <c r="DQ379" s="55">
        <f>IF(AND(RecData[[#This Row],[Useable Background Data?]],RecData[[#This Row],[Turbines ON/OFF]]="OFF"),RecData[[#This Row],[dBA Sum]],"")</f>
        <v>16.169709115013124</v>
      </c>
      <c r="DR379" s="3">
        <f>IF(OR(RecData[[#This Row],[Useable TON Data?]],RecData[[#This Row],[Useable Background Data?]]),ROUND(RecData[[#This Row],[WSpd_Avg '[m/s']]],0),"")</f>
        <v>0</v>
      </c>
      <c r="DS379" s="85">
        <f>(0.00002)^2*(10^(RecData[[#This Row],[Overall (dBA)]]/10))</f>
        <v>1.6558877862813287E-8</v>
      </c>
    </row>
    <row r="380" spans="1:123" ht="15" x14ac:dyDescent="0.25">
      <c r="A380" s="3" t="s">
        <v>249</v>
      </c>
      <c r="B380" s="12">
        <v>43262.032638888886</v>
      </c>
      <c r="C380" s="3"/>
      <c r="D380" s="3">
        <v>31.7</v>
      </c>
      <c r="E380" s="3"/>
      <c r="F380" s="3"/>
      <c r="G380" s="3"/>
      <c r="H380" s="3"/>
      <c r="I380" s="3"/>
      <c r="J380" s="3"/>
      <c r="K380" s="3">
        <v>27.2</v>
      </c>
      <c r="L380" s="3"/>
      <c r="M380" s="3"/>
      <c r="N380" s="3">
        <v>154.6</v>
      </c>
      <c r="O380" s="3"/>
      <c r="P380" s="3"/>
      <c r="Q380" s="3">
        <v>0.19</v>
      </c>
      <c r="R380" s="3">
        <v>0</v>
      </c>
      <c r="S380" s="3">
        <v>0.4</v>
      </c>
      <c r="T380" s="3">
        <v>9.4</v>
      </c>
      <c r="U380" s="3">
        <v>88.4</v>
      </c>
      <c r="V380" s="3">
        <v>974.2</v>
      </c>
      <c r="W380" s="3">
        <v>0</v>
      </c>
      <c r="X380" s="3">
        <v>18.3</v>
      </c>
      <c r="Y380" s="3">
        <v>16.100000000000001</v>
      </c>
      <c r="Z380" s="3">
        <v>17.600000000000001</v>
      </c>
      <c r="AA380" s="3">
        <v>13.3</v>
      </c>
      <c r="AB380" s="3">
        <v>11.1</v>
      </c>
      <c r="AC380" s="3">
        <v>5.7</v>
      </c>
      <c r="AD380" s="3">
        <v>8.6999999999999993</v>
      </c>
      <c r="AE380" s="3">
        <v>10.5</v>
      </c>
      <c r="AF380" s="3">
        <v>13.1</v>
      </c>
      <c r="AG380" s="3">
        <v>8.5</v>
      </c>
      <c r="AH380" s="3">
        <v>8.4</v>
      </c>
      <c r="AI380" s="3">
        <v>8.9</v>
      </c>
      <c r="AJ380" s="3">
        <v>10.3</v>
      </c>
      <c r="AK380" s="3">
        <v>8.4</v>
      </c>
      <c r="AL380" s="3">
        <v>7.1</v>
      </c>
      <c r="AM380" s="3">
        <v>7</v>
      </c>
      <c r="AN380" s="3">
        <v>7.3</v>
      </c>
      <c r="AO380" s="3">
        <v>6.7</v>
      </c>
      <c r="AP380" s="3">
        <v>6.4</v>
      </c>
      <c r="AQ380" s="3">
        <v>7.1</v>
      </c>
      <c r="AR380" s="3">
        <v>6.7</v>
      </c>
      <c r="AS380" s="3">
        <v>21.8</v>
      </c>
      <c r="AT380" s="3">
        <v>29.6</v>
      </c>
      <c r="AU380" s="3">
        <v>8.8000000000000007</v>
      </c>
      <c r="AV380" s="3">
        <v>8.6</v>
      </c>
      <c r="AW380" s="3">
        <v>9.1</v>
      </c>
      <c r="AX380" s="3">
        <v>9.3000000000000007</v>
      </c>
      <c r="AY380" s="3">
        <v>9.6</v>
      </c>
      <c r="AZ380" s="3">
        <v>0</v>
      </c>
      <c r="BA380" s="3">
        <v>0</v>
      </c>
      <c r="BB380" s="3">
        <v>0</v>
      </c>
      <c r="BC380" s="3">
        <v>31.705979418928266</v>
      </c>
      <c r="BD380" s="3">
        <v>18.294020581071734</v>
      </c>
      <c r="BE380" s="3">
        <v>16.094020581071732</v>
      </c>
      <c r="BF380" s="3">
        <v>16.354020581071737</v>
      </c>
      <c r="BG380" s="3">
        <v>12.3806872477384</v>
      </c>
      <c r="BH380" s="3">
        <v>10.320687247738405</v>
      </c>
      <c r="BI380" s="3">
        <v>5.3340205810717336</v>
      </c>
      <c r="BJ380" s="3">
        <v>9.1273539144050631</v>
      </c>
      <c r="BK380" s="3">
        <v>10.800687247738395</v>
      </c>
      <c r="BL380" s="3">
        <v>12.974020581071734</v>
      </c>
      <c r="BM380" s="3">
        <v>8.5073539144050727</v>
      </c>
      <c r="BN380" s="3">
        <v>8.6906872477384027</v>
      </c>
      <c r="BO380" s="3">
        <v>8.5573539144050699</v>
      </c>
      <c r="BP380" s="3">
        <v>9.674020581071737</v>
      </c>
      <c r="BQ380" s="3">
        <v>8.1906872477383956</v>
      </c>
      <c r="BR380" s="3">
        <v>7.2173539144050665</v>
      </c>
      <c r="BS380" s="3">
        <v>6.9206872477383996</v>
      </c>
      <c r="BT380" s="3">
        <v>7.4173539144050693</v>
      </c>
      <c r="BU380" s="3">
        <v>6.7840205810717364</v>
      </c>
      <c r="BV380" s="3">
        <v>6.2006872477384007</v>
      </c>
      <c r="BW380" s="3">
        <v>7.434020581071735</v>
      </c>
      <c r="BX380" s="3">
        <v>6.9540205810717381</v>
      </c>
      <c r="BY380" s="3">
        <v>21.874020581071733</v>
      </c>
      <c r="BZ380" s="3">
        <v>29.80402058107174</v>
      </c>
      <c r="CA380" s="3">
        <v>9.1040205810717296</v>
      </c>
      <c r="CB380" s="3">
        <v>8.3406872477384013</v>
      </c>
      <c r="CC380" s="3">
        <v>9.0540205810717325</v>
      </c>
      <c r="CD380" s="3">
        <v>8.5606872477384073</v>
      </c>
      <c r="CE380" s="3">
        <v>9.0540205810717325</v>
      </c>
      <c r="CF380" s="3">
        <v>-0.93264608559493212</v>
      </c>
      <c r="CG380" s="3">
        <v>-1.4659794189282636</v>
      </c>
      <c r="CH380" s="3">
        <v>-2.5426460855949315</v>
      </c>
      <c r="CI380" s="13">
        <f>[1]!dbasum(RecData[[#This Row],[20]:[2000]],RecData[[#Headers],[20]:[2000]])</f>
        <v>16.028954943309035</v>
      </c>
      <c r="CJ380" s="14">
        <v>4832</v>
      </c>
      <c r="CK380" s="15" t="s">
        <v>249</v>
      </c>
      <c r="CL380" s="15">
        <f>RecData[[#This Row],[Start Time]]</f>
        <v>43262.032638888886</v>
      </c>
      <c r="CM380" s="16">
        <f>RecData[[#This Row],[Wind Speed avg]]</f>
        <v>0.19</v>
      </c>
      <c r="CN380" s="16">
        <f>RecData[[#This Row],[Wind Dir. avg]]</f>
        <v>154.6</v>
      </c>
      <c r="CO380" s="16">
        <f>RecData[[#This Row],[Amb. Humidity]]</f>
        <v>88.4</v>
      </c>
      <c r="CP380" s="16">
        <f>RecData[[#This Row],[Amb. Temperature]]</f>
        <v>9.4</v>
      </c>
      <c r="CQ380" s="17">
        <f>RecData[[#This Row],[Amb. Rain Gauge]]</f>
        <v>0</v>
      </c>
      <c r="CR380" s="4" t="s">
        <v>50</v>
      </c>
      <c r="CS380" s="4" t="s">
        <v>49</v>
      </c>
      <c r="CT380" s="70">
        <v>-9.5282011030000007</v>
      </c>
      <c r="CU380" s="70">
        <v>210.7081757</v>
      </c>
      <c r="CV380" s="70">
        <v>1.6106516120000001</v>
      </c>
      <c r="CW380" s="70">
        <v>0</v>
      </c>
      <c r="CX380" s="4"/>
      <c r="CY380" s="69"/>
      <c r="CZ380" s="2" t="b">
        <f>IF($DP$1="YES",IF(RecData[[#This Row],[Power (kW)]]&gt;=$CR$3, TRUE,FALSE),TRUE)</f>
        <v>0</v>
      </c>
      <c r="DA380" s="16">
        <f>MIN(MOD(180-ABS(ABS($DA$1-RecData[Yaw Angle (°)])-180),360),MOD(180-ABS(ABS($DB$1-RecData[Yaw Angle (°)])-180),360))</f>
        <v>156.82175107768757</v>
      </c>
      <c r="DB380" s="2" t="str">
        <f>IF($DP$2="None","None",IF(RecData[[#This Row],[Relative Wind Direction]]&lt;=45,"DW",IF(RecData[[#This Row],[Relative Wind Direction]]&lt;=135,"CW","UW")))</f>
        <v>UW</v>
      </c>
      <c r="DC380" s="61">
        <f>IF($CL380-$CL376&gt;1/24,#REF!,IF(SUM($CQ376:$CQ380)&gt;$DS$1,$DS$5,DC381-1))</f>
        <v>-3</v>
      </c>
      <c r="DD380" s="61">
        <f>IF($CL381-$CL380&gt;1/24,#REF!,IF(SUM($CQ376:$CQ380)&gt;$DS$1,$DS$6,DD379-1))</f>
        <v>-8</v>
      </c>
      <c r="DE380" s="18" t="b">
        <v>0</v>
      </c>
      <c r="DF380" s="2" t="b">
        <f>IF(OR(RecData[[#This Row],[WSpd_Avg '[m/s']]]-RecData[[#This Row],[Wind Speed min]]&gt;=$DF$3,RecData[[#This Row],[Wind Speed max]]-RecData[[#This Row],[WSpd_Avg '[m/s']]]&gt;=$DF$2),TRUE,FALSE)</f>
        <v>0</v>
      </c>
      <c r="DG380" s="2" t="b">
        <f>RecData[[#This Row],[Temperature '[°C']]]&lt;=-20</f>
        <v>0</v>
      </c>
      <c r="DH380" s="18" t="b">
        <f>NOT(OR(MOD(RecData[[#This Row],[TIMESTAMP]],1)&gt;0.91632,MOD(RecData[[#This Row],[TIMESTAMP]],1)&lt;0.208681))</f>
        <v>0</v>
      </c>
      <c r="DI380" s="18" t="b">
        <f>RecData[[#This Row],[Overall (dBA)]]-RecData[[#This Row],[L90]]&gt;=$DS$4</f>
        <v>0</v>
      </c>
      <c r="DJ380" s="18" t="b">
        <f>RecData[[#This Row],[Overall (dBA)]]&gt;$DS$2</f>
        <v>0</v>
      </c>
      <c r="DK380" s="18" t="b">
        <f>RecData[[#This Row],[Overall (dBA)]]&lt;$DS$3</f>
        <v>0</v>
      </c>
      <c r="DL3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0" s="2">
        <f>IF(AND(RecData[[#This Row],[Turbines ON/OFF]] = "OFF", NOT(OR(RecData[[#This Row],[Junk?]]="YES",RecData[[#This Row],[Gust?]],RecData[[#This Row],[Rain?]:[Min SPL Threshold?]]))),1,0)</f>
        <v>1</v>
      </c>
      <c r="DN380" s="16">
        <f>RecData[[#This Row],[dBA Sum]]</f>
        <v>16.028954943309035</v>
      </c>
      <c r="DO380" s="16">
        <f>RecData[[#This Row],[LAF90.0]]</f>
        <v>27.2</v>
      </c>
      <c r="DP380" s="55" t="str">
        <f>IF(AND(RecData[[#This Row],[Useable TON Data?]],RecData[[#This Row],[Turbines ON/OFF]]="ON"),RecData[[#This Row],[dBA Sum]],"")</f>
        <v/>
      </c>
      <c r="DQ380" s="55">
        <f>IF(AND(RecData[[#This Row],[Useable Background Data?]],RecData[[#This Row],[Turbines ON/OFF]]="OFF"),RecData[[#This Row],[dBA Sum]],"")</f>
        <v>16.028954943309035</v>
      </c>
      <c r="DR380" s="3">
        <f>IF(OR(RecData[[#This Row],[Useable TON Data?]],RecData[[#This Row],[Useable Background Data?]]),ROUND(RecData[[#This Row],[WSpd_Avg '[m/s']]],0),"")</f>
        <v>0</v>
      </c>
      <c r="DS380" s="85">
        <f>(0.00002)^2*(10^(RecData[[#This Row],[Overall (dBA)]]/10))</f>
        <v>1.6030810695719281E-8</v>
      </c>
    </row>
    <row r="381" spans="1:123" ht="15" x14ac:dyDescent="0.25">
      <c r="A381" s="3" t="s">
        <v>249</v>
      </c>
      <c r="B381" s="12">
        <v>43262.033333333333</v>
      </c>
      <c r="C381" s="3"/>
      <c r="D381" s="3">
        <v>32</v>
      </c>
      <c r="E381" s="3"/>
      <c r="F381" s="3"/>
      <c r="G381" s="3"/>
      <c r="H381" s="3"/>
      <c r="I381" s="3"/>
      <c r="J381" s="3"/>
      <c r="K381" s="3">
        <v>27</v>
      </c>
      <c r="L381" s="3"/>
      <c r="M381" s="3"/>
      <c r="N381" s="3">
        <v>251.8</v>
      </c>
      <c r="O381" s="3"/>
      <c r="P381" s="3"/>
      <c r="Q381" s="3">
        <v>0.11</v>
      </c>
      <c r="R381" s="3">
        <v>0</v>
      </c>
      <c r="S381" s="3">
        <v>0.2</v>
      </c>
      <c r="T381" s="3">
        <v>9.3000000000000007</v>
      </c>
      <c r="U381" s="3">
        <v>88.3</v>
      </c>
      <c r="V381" s="3">
        <v>974.2</v>
      </c>
      <c r="W381" s="3">
        <v>0</v>
      </c>
      <c r="X381" s="3">
        <v>15.5</v>
      </c>
      <c r="Y381" s="3">
        <v>12.4</v>
      </c>
      <c r="Z381" s="3">
        <v>16.399999999999999</v>
      </c>
      <c r="AA381" s="3">
        <v>9.8000000000000007</v>
      </c>
      <c r="AB381" s="3">
        <v>11</v>
      </c>
      <c r="AC381" s="3">
        <v>5.7</v>
      </c>
      <c r="AD381" s="3">
        <v>9.1</v>
      </c>
      <c r="AE381" s="3">
        <v>11</v>
      </c>
      <c r="AF381" s="3">
        <v>14.9</v>
      </c>
      <c r="AG381" s="3">
        <v>10.4</v>
      </c>
      <c r="AH381" s="3">
        <v>8.3000000000000007</v>
      </c>
      <c r="AI381" s="3">
        <v>8.6999999999999993</v>
      </c>
      <c r="AJ381" s="3">
        <v>9.9</v>
      </c>
      <c r="AK381" s="3">
        <v>8.3000000000000007</v>
      </c>
      <c r="AL381" s="3">
        <v>6.6</v>
      </c>
      <c r="AM381" s="3">
        <v>6.3</v>
      </c>
      <c r="AN381" s="3">
        <v>7</v>
      </c>
      <c r="AO381" s="3">
        <v>6.6</v>
      </c>
      <c r="AP381" s="3">
        <v>6.5</v>
      </c>
      <c r="AQ381" s="3">
        <v>7.1</v>
      </c>
      <c r="AR381" s="3">
        <v>6.4</v>
      </c>
      <c r="AS381" s="3">
        <v>22.2</v>
      </c>
      <c r="AT381" s="3">
        <v>29.8</v>
      </c>
      <c r="AU381" s="3">
        <v>8.6999999999999993</v>
      </c>
      <c r="AV381" s="3">
        <v>8.6999999999999993</v>
      </c>
      <c r="AW381" s="3">
        <v>9.1</v>
      </c>
      <c r="AX381" s="3">
        <v>9.3000000000000007</v>
      </c>
      <c r="AY381" s="3">
        <v>9.6</v>
      </c>
      <c r="AZ381" s="3">
        <v>0</v>
      </c>
      <c r="BA381" s="3">
        <v>0</v>
      </c>
      <c r="BB381" s="3">
        <v>0</v>
      </c>
      <c r="BC381" s="3">
        <v>31.920066826360774</v>
      </c>
      <c r="BD381" s="3">
        <v>15.579933173639226</v>
      </c>
      <c r="BE381" s="3">
        <v>12.479933173639225</v>
      </c>
      <c r="BF381" s="3">
        <v>15.239933173639223</v>
      </c>
      <c r="BG381" s="3">
        <v>8.9665998403058893</v>
      </c>
      <c r="BH381" s="3">
        <v>10.306599840305893</v>
      </c>
      <c r="BI381" s="3">
        <v>5.4199331736392296</v>
      </c>
      <c r="BJ381" s="3">
        <v>9.6132665069725576</v>
      </c>
      <c r="BK381" s="3">
        <v>11.386599840305891</v>
      </c>
      <c r="BL381" s="3">
        <v>14.859933173639227</v>
      </c>
      <c r="BM381" s="3">
        <v>10.49326650697256</v>
      </c>
      <c r="BN381" s="3">
        <v>8.6765998403058902</v>
      </c>
      <c r="BO381" s="3">
        <v>8.443266506972563</v>
      </c>
      <c r="BP381" s="3">
        <v>9.3599331736392273</v>
      </c>
      <c r="BQ381" s="3">
        <v>8.176599840305883</v>
      </c>
      <c r="BR381" s="3">
        <v>6.8032665069725624</v>
      </c>
      <c r="BS381" s="3">
        <v>6.3065998403058927</v>
      </c>
      <c r="BT381" s="3">
        <v>7.203266506972561</v>
      </c>
      <c r="BU381" s="3">
        <v>6.769933173639231</v>
      </c>
      <c r="BV381" s="3">
        <v>6.386599840305891</v>
      </c>
      <c r="BW381" s="3">
        <v>7.519933173639231</v>
      </c>
      <c r="BX381" s="3">
        <v>6.7399331736392298</v>
      </c>
      <c r="BY381" s="3">
        <v>22.359933173639227</v>
      </c>
      <c r="BZ381" s="3">
        <v>30.089933173639231</v>
      </c>
      <c r="CA381" s="3">
        <v>9.089933173639217</v>
      </c>
      <c r="CB381" s="3">
        <v>8.5265998403058916</v>
      </c>
      <c r="CC381" s="3">
        <v>9.1399331736392284</v>
      </c>
      <c r="CD381" s="3">
        <v>8.6465998403058961</v>
      </c>
      <c r="CE381" s="3">
        <v>9.1399331736392284</v>
      </c>
      <c r="CF381" s="3">
        <v>-0.84673349302743972</v>
      </c>
      <c r="CG381" s="3">
        <v>-1.3800668263607712</v>
      </c>
      <c r="CH381" s="3">
        <v>-2.4567334930274392</v>
      </c>
      <c r="CI381" s="13">
        <f>[1]!dbasum(RecData[[#This Row],[20]:[2000]],RecData[[#Headers],[20]:[2000]])</f>
        <v>15.969258605802708</v>
      </c>
      <c r="CJ381" s="14">
        <v>4833</v>
      </c>
      <c r="CK381" s="15" t="s">
        <v>249</v>
      </c>
      <c r="CL381" s="15">
        <f>RecData[[#This Row],[Start Time]]</f>
        <v>43262.033333333333</v>
      </c>
      <c r="CM381" s="16">
        <f>RecData[[#This Row],[Wind Speed avg]]</f>
        <v>0.11</v>
      </c>
      <c r="CN381" s="16">
        <f>RecData[[#This Row],[Wind Dir. avg]]</f>
        <v>251.8</v>
      </c>
      <c r="CO381" s="16">
        <f>RecData[[#This Row],[Amb. Humidity]]</f>
        <v>88.3</v>
      </c>
      <c r="CP381" s="16">
        <f>RecData[[#This Row],[Amb. Temperature]]</f>
        <v>9.3000000000000007</v>
      </c>
      <c r="CQ381" s="17">
        <f>RecData[[#This Row],[Amb. Rain Gauge]]</f>
        <v>0</v>
      </c>
      <c r="CR381" s="4" t="s">
        <v>50</v>
      </c>
      <c r="CS381" s="4" t="s">
        <v>49</v>
      </c>
      <c r="CT381" s="70">
        <v>-9.5282011030000007</v>
      </c>
      <c r="CU381" s="70">
        <v>210.7081757</v>
      </c>
      <c r="CV381" s="70">
        <v>1.6106516120000001</v>
      </c>
      <c r="CW381" s="70">
        <v>0</v>
      </c>
      <c r="CX381" s="4"/>
      <c r="CY381" s="69"/>
      <c r="CZ381" s="2" t="b">
        <f>IF($DP$1="YES",IF(RecData[[#This Row],[Power (kW)]]&gt;=$CR$3, TRUE,FALSE),TRUE)</f>
        <v>0</v>
      </c>
      <c r="DA381" s="16">
        <f>MIN(MOD(180-ABS(ABS($DA$1-RecData[Yaw Angle (°)])-180),360),MOD(180-ABS(ABS($DB$1-RecData[Yaw Angle (°)])-180),360))</f>
        <v>156.82175107768757</v>
      </c>
      <c r="DB381" s="2" t="str">
        <f>IF($DP$2="None","None",IF(RecData[[#This Row],[Relative Wind Direction]]&lt;=45,"DW",IF(RecData[[#This Row],[Relative Wind Direction]]&lt;=135,"CW","UW")))</f>
        <v>UW</v>
      </c>
      <c r="DC381" s="61">
        <f>IF($CL381-$CL377&gt;1/24,#REF!,IF(SUM($CQ377:$CQ381)&gt;$DS$1,$DS$5,DC382-1))</f>
        <v>-2</v>
      </c>
      <c r="DD381" s="61">
        <f>IF($CL382-$CL381&gt;1/24,#REF!,IF(SUM($CQ377:$CQ381)&gt;$DS$1,$DS$6,DD380-1))</f>
        <v>-9</v>
      </c>
      <c r="DE381" s="18" t="b">
        <v>0</v>
      </c>
      <c r="DF381" s="2" t="b">
        <f>IF(OR(RecData[[#This Row],[WSpd_Avg '[m/s']]]-RecData[[#This Row],[Wind Speed min]]&gt;=$DF$3,RecData[[#This Row],[Wind Speed max]]-RecData[[#This Row],[WSpd_Avg '[m/s']]]&gt;=$DF$2),TRUE,FALSE)</f>
        <v>0</v>
      </c>
      <c r="DG381" s="2" t="b">
        <f>RecData[[#This Row],[Temperature '[°C']]]&lt;=-20</f>
        <v>0</v>
      </c>
      <c r="DH381" s="18" t="b">
        <f>NOT(OR(MOD(RecData[[#This Row],[TIMESTAMP]],1)&gt;0.91632,MOD(RecData[[#This Row],[TIMESTAMP]],1)&lt;0.208681))</f>
        <v>0</v>
      </c>
      <c r="DI381" s="18" t="b">
        <f>RecData[[#This Row],[Overall (dBA)]]-RecData[[#This Row],[L90]]&gt;=$DS$4</f>
        <v>0</v>
      </c>
      <c r="DJ381" s="18" t="b">
        <f>RecData[[#This Row],[Overall (dBA)]]&gt;$DS$2</f>
        <v>0</v>
      </c>
      <c r="DK381" s="18" t="b">
        <f>RecData[[#This Row],[Overall (dBA)]]&lt;$DS$3</f>
        <v>0</v>
      </c>
      <c r="DL3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1" s="2">
        <f>IF(AND(RecData[[#This Row],[Turbines ON/OFF]] = "OFF", NOT(OR(RecData[[#This Row],[Junk?]]="YES",RecData[[#This Row],[Gust?]],RecData[[#This Row],[Rain?]:[Min SPL Threshold?]]))),1,0)</f>
        <v>1</v>
      </c>
      <c r="DN381" s="16">
        <f>RecData[[#This Row],[dBA Sum]]</f>
        <v>15.969258605802708</v>
      </c>
      <c r="DO381" s="16">
        <f>RecData[[#This Row],[LAF90.0]]</f>
        <v>27</v>
      </c>
      <c r="DP381" s="55" t="str">
        <f>IF(AND(RecData[[#This Row],[Useable TON Data?]],RecData[[#This Row],[Turbines ON/OFF]]="ON"),RecData[[#This Row],[dBA Sum]],"")</f>
        <v/>
      </c>
      <c r="DQ381" s="55">
        <f>IF(AND(RecData[[#This Row],[Useable Background Data?]],RecData[[#This Row],[Turbines ON/OFF]]="OFF"),RecData[[#This Row],[dBA Sum]],"")</f>
        <v>15.969258605802708</v>
      </c>
      <c r="DR381" s="3">
        <f>IF(OR(RecData[[#This Row],[Useable TON Data?]],RecData[[#This Row],[Useable Background Data?]]),ROUND(RecData[[#This Row],[WSpd_Avg '[m/s']]],0),"")</f>
        <v>0</v>
      </c>
      <c r="DS381" s="85">
        <f>(0.00002)^2*(10^(RecData[[#This Row],[Overall (dBA)]]/10))</f>
        <v>1.5811965274992259E-8</v>
      </c>
    </row>
    <row r="382" spans="1:123" ht="15" x14ac:dyDescent="0.25">
      <c r="A382" s="3" t="s">
        <v>249</v>
      </c>
      <c r="B382" s="12">
        <v>43262.03402777778</v>
      </c>
      <c r="C382" s="3"/>
      <c r="D382" s="3">
        <v>30.6</v>
      </c>
      <c r="E382" s="3"/>
      <c r="F382" s="3"/>
      <c r="G382" s="3"/>
      <c r="H382" s="3"/>
      <c r="I382" s="3"/>
      <c r="J382" s="3"/>
      <c r="K382" s="3">
        <v>25.7</v>
      </c>
      <c r="L382" s="3"/>
      <c r="M382" s="3"/>
      <c r="N382" s="3">
        <v>309.39999999999998</v>
      </c>
      <c r="O382" s="3"/>
      <c r="P382" s="3"/>
      <c r="Q382" s="3">
        <v>0.14000000000000001</v>
      </c>
      <c r="R382" s="3">
        <v>0.1</v>
      </c>
      <c r="S382" s="3">
        <v>0.2</v>
      </c>
      <c r="T382" s="3">
        <v>9.3000000000000007</v>
      </c>
      <c r="U382" s="3">
        <v>88.3</v>
      </c>
      <c r="V382" s="3">
        <v>974.2</v>
      </c>
      <c r="W382" s="3">
        <v>0</v>
      </c>
      <c r="X382" s="3">
        <v>16.5</v>
      </c>
      <c r="Y382" s="3">
        <v>12.1</v>
      </c>
      <c r="Z382" s="3">
        <v>14.5</v>
      </c>
      <c r="AA382" s="3">
        <v>8.4</v>
      </c>
      <c r="AB382" s="3">
        <v>6.7</v>
      </c>
      <c r="AC382" s="3">
        <v>5.8</v>
      </c>
      <c r="AD382" s="3">
        <v>8.1</v>
      </c>
      <c r="AE382" s="3">
        <v>8.1999999999999993</v>
      </c>
      <c r="AF382" s="3">
        <v>14.3</v>
      </c>
      <c r="AG382" s="3">
        <v>10.7</v>
      </c>
      <c r="AH382" s="3">
        <v>9.5</v>
      </c>
      <c r="AI382" s="3">
        <v>8.6</v>
      </c>
      <c r="AJ382" s="3">
        <v>9.9</v>
      </c>
      <c r="AK382" s="3">
        <v>7.8</v>
      </c>
      <c r="AL382" s="3">
        <v>6.5</v>
      </c>
      <c r="AM382" s="3">
        <v>6.2</v>
      </c>
      <c r="AN382" s="3">
        <v>6.9</v>
      </c>
      <c r="AO382" s="3">
        <v>6.5</v>
      </c>
      <c r="AP382" s="3">
        <v>6.4</v>
      </c>
      <c r="AQ382" s="3">
        <v>6.9</v>
      </c>
      <c r="AR382" s="3">
        <v>6.4</v>
      </c>
      <c r="AS382" s="3">
        <v>20.2</v>
      </c>
      <c r="AT382" s="3">
        <v>28.5</v>
      </c>
      <c r="AU382" s="3">
        <v>8.6999999999999993</v>
      </c>
      <c r="AV382" s="3">
        <v>8.6999999999999993</v>
      </c>
      <c r="AW382" s="3">
        <v>9.1999999999999993</v>
      </c>
      <c r="AX382" s="3">
        <v>9.4</v>
      </c>
      <c r="AY382" s="3">
        <v>9.6</v>
      </c>
      <c r="AZ382" s="3">
        <v>0</v>
      </c>
      <c r="BA382" s="3">
        <v>0</v>
      </c>
      <c r="BB382" s="3">
        <v>0</v>
      </c>
      <c r="BC382" s="3">
        <v>30.598989923988857</v>
      </c>
      <c r="BD382" s="3">
        <v>16.501010076011145</v>
      </c>
      <c r="BE382" s="3">
        <v>12.101010076011146</v>
      </c>
      <c r="BF382" s="3">
        <v>13.261010076011143</v>
      </c>
      <c r="BG382" s="3">
        <v>7.4876767426778095</v>
      </c>
      <c r="BH382" s="3">
        <v>5.9276767426778143</v>
      </c>
      <c r="BI382" s="3">
        <v>5.4410100760111426</v>
      </c>
      <c r="BJ382" s="3">
        <v>8.5343434093444763</v>
      </c>
      <c r="BK382" s="3">
        <v>8.5076767426778055</v>
      </c>
      <c r="BL382" s="3">
        <v>14.181010076011145</v>
      </c>
      <c r="BM382" s="3">
        <v>10.714343409344476</v>
      </c>
      <c r="BN382" s="3">
        <v>9.7976767426778117</v>
      </c>
      <c r="BO382" s="3">
        <v>8.2643434093444803</v>
      </c>
      <c r="BP382" s="3">
        <v>9.281010076011146</v>
      </c>
      <c r="BQ382" s="3">
        <v>7.5976767426778018</v>
      </c>
      <c r="BR382" s="3">
        <v>6.6243434093444797</v>
      </c>
      <c r="BS382" s="3">
        <v>6.12767674267781</v>
      </c>
      <c r="BT382" s="3">
        <v>7.0243434093444783</v>
      </c>
      <c r="BU382" s="3">
        <v>6.5910100760111483</v>
      </c>
      <c r="BV382" s="3">
        <v>6.2076767426778154</v>
      </c>
      <c r="BW382" s="3">
        <v>7.2410100760111469</v>
      </c>
      <c r="BX382" s="3">
        <v>6.6610100760111486</v>
      </c>
      <c r="BY382" s="3">
        <v>20.281010076011139</v>
      </c>
      <c r="BZ382" s="3">
        <v>28.711010076011146</v>
      </c>
      <c r="CA382" s="3">
        <v>9.0110100760111358</v>
      </c>
      <c r="CB382" s="3">
        <v>8.4476767426778103</v>
      </c>
      <c r="CC382" s="3">
        <v>9.1610100760111415</v>
      </c>
      <c r="CD382" s="3">
        <v>8.6676767426778163</v>
      </c>
      <c r="CE382" s="3">
        <v>9.0610100760111401</v>
      </c>
      <c r="CF382" s="3">
        <v>-0.92565659065552097</v>
      </c>
      <c r="CG382" s="3">
        <v>-1.4589899239888524</v>
      </c>
      <c r="CH382" s="3">
        <v>-2.5356565906555204</v>
      </c>
      <c r="CI382" s="13">
        <f>[1]!dbasum(RecData[[#This Row],[20]:[2000]],RecData[[#Headers],[20]:[2000]])</f>
        <v>15.781759606823396</v>
      </c>
      <c r="CJ382" s="14">
        <v>4834</v>
      </c>
      <c r="CK382" s="15" t="s">
        <v>249</v>
      </c>
      <c r="CL382" s="15">
        <f>RecData[[#This Row],[Start Time]]</f>
        <v>43262.03402777778</v>
      </c>
      <c r="CM382" s="16">
        <f>RecData[[#This Row],[Wind Speed avg]]</f>
        <v>0.14000000000000001</v>
      </c>
      <c r="CN382" s="16">
        <f>RecData[[#This Row],[Wind Dir. avg]]</f>
        <v>309.39999999999998</v>
      </c>
      <c r="CO382" s="16">
        <f>RecData[[#This Row],[Amb. Humidity]]</f>
        <v>88.3</v>
      </c>
      <c r="CP382" s="16">
        <f>RecData[[#This Row],[Amb. Temperature]]</f>
        <v>9.3000000000000007</v>
      </c>
      <c r="CQ382" s="17">
        <f>RecData[[#This Row],[Amb. Rain Gauge]]</f>
        <v>0</v>
      </c>
      <c r="CR382" s="4" t="s">
        <v>50</v>
      </c>
      <c r="CS382" s="4" t="s">
        <v>49</v>
      </c>
      <c r="CT382" s="70">
        <v>-9.5282011030000007</v>
      </c>
      <c r="CU382" s="70">
        <v>210.7081757</v>
      </c>
      <c r="CV382" s="70">
        <v>1.6106516120000001</v>
      </c>
      <c r="CW382" s="70">
        <v>0</v>
      </c>
      <c r="CX382" s="4"/>
      <c r="CY382" s="69"/>
      <c r="CZ382" s="2" t="b">
        <f>IF($DP$1="YES",IF(RecData[[#This Row],[Power (kW)]]&gt;=$CR$3, TRUE,FALSE),TRUE)</f>
        <v>0</v>
      </c>
      <c r="DA382" s="16">
        <f>MIN(MOD(180-ABS(ABS($DA$1-RecData[Yaw Angle (°)])-180),360),MOD(180-ABS(ABS($DB$1-RecData[Yaw Angle (°)])-180),360))</f>
        <v>156.82175107768757</v>
      </c>
      <c r="DB382" s="2" t="str">
        <f>IF($DP$2="None","None",IF(RecData[[#This Row],[Relative Wind Direction]]&lt;=45,"DW",IF(RecData[[#This Row],[Relative Wind Direction]]&lt;=135,"CW","UW")))</f>
        <v>UW</v>
      </c>
      <c r="DC382" s="61">
        <v>-1</v>
      </c>
      <c r="DD382" s="61">
        <v>-1</v>
      </c>
      <c r="DE382" s="18" t="b">
        <v>0</v>
      </c>
      <c r="DF382" s="2" t="b">
        <f>IF(OR(RecData[[#This Row],[WSpd_Avg '[m/s']]]-RecData[[#This Row],[Wind Speed min]]&gt;=$DF$3,RecData[[#This Row],[Wind Speed max]]-RecData[[#This Row],[WSpd_Avg '[m/s']]]&gt;=$DF$2),TRUE,FALSE)</f>
        <v>0</v>
      </c>
      <c r="DG382" s="2" t="b">
        <f>RecData[[#This Row],[Temperature '[°C']]]&lt;=-20</f>
        <v>0</v>
      </c>
      <c r="DH382" s="18" t="b">
        <f>NOT(OR(MOD(RecData[[#This Row],[TIMESTAMP]],1)&gt;0.91632,MOD(RecData[[#This Row],[TIMESTAMP]],1)&lt;0.208681))</f>
        <v>0</v>
      </c>
      <c r="DI382" s="18" t="b">
        <f>RecData[[#This Row],[Overall (dBA)]]-RecData[[#This Row],[L90]]&gt;=$DS$4</f>
        <v>0</v>
      </c>
      <c r="DJ382" s="18" t="b">
        <f>RecData[[#This Row],[Overall (dBA)]]&gt;$DS$2</f>
        <v>0</v>
      </c>
      <c r="DK382" s="18" t="b">
        <f>RecData[[#This Row],[Overall (dBA)]]&lt;$DS$3</f>
        <v>0</v>
      </c>
      <c r="DL3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2" s="2">
        <f>IF(AND(RecData[[#This Row],[Turbines ON/OFF]] = "OFF", NOT(OR(RecData[[#This Row],[Junk?]]="YES",RecData[[#This Row],[Gust?]],RecData[[#This Row],[Rain?]:[Min SPL Threshold?]]))),1,0)</f>
        <v>1</v>
      </c>
      <c r="DN382" s="16">
        <f>RecData[[#This Row],[dBA Sum]]</f>
        <v>15.781759606823396</v>
      </c>
      <c r="DO382" s="16">
        <f>RecData[[#This Row],[LAF90.0]]</f>
        <v>25.7</v>
      </c>
      <c r="DP382" s="55" t="str">
        <f>IF(AND(RecData[[#This Row],[Useable TON Data?]],RecData[[#This Row],[Turbines ON/OFF]]="ON"),RecData[[#This Row],[dBA Sum]],"")</f>
        <v/>
      </c>
      <c r="DQ382" s="55">
        <f>IF(AND(RecData[[#This Row],[Useable Background Data?]],RecData[[#This Row],[Turbines ON/OFF]]="OFF"),RecData[[#This Row],[dBA Sum]],"")</f>
        <v>15.781759606823396</v>
      </c>
      <c r="DR382" s="3">
        <f>IF(OR(RecData[[#This Row],[Useable TON Data?]],RecData[[#This Row],[Useable Background Data?]]),ROUND(RecData[[#This Row],[WSpd_Avg '[m/s']]],0),"")</f>
        <v>0</v>
      </c>
      <c r="DS382" s="85">
        <f>(0.00002)^2*(10^(RecData[[#This Row],[Overall (dBA)]]/10))</f>
        <v>1.5143837890519388E-8</v>
      </c>
    </row>
    <row r="383" spans="1:123" ht="15" x14ac:dyDescent="0.25">
      <c r="A383" s="3" t="s">
        <v>249</v>
      </c>
      <c r="B383" s="12">
        <v>43262.034722222219</v>
      </c>
      <c r="C383" s="3"/>
      <c r="D383" s="3">
        <v>31.8</v>
      </c>
      <c r="E383" s="3"/>
      <c r="F383" s="3"/>
      <c r="G383" s="3"/>
      <c r="H383" s="3"/>
      <c r="I383" s="3"/>
      <c r="J383" s="3"/>
      <c r="K383" s="3">
        <v>27.2</v>
      </c>
      <c r="L383" s="3"/>
      <c r="M383" s="3"/>
      <c r="N383" s="3">
        <v>287.60000000000002</v>
      </c>
      <c r="O383" s="3"/>
      <c r="P383" s="3"/>
      <c r="Q383" s="3">
        <v>0.14000000000000001</v>
      </c>
      <c r="R383" s="3">
        <v>0</v>
      </c>
      <c r="S383" s="3">
        <v>0.2</v>
      </c>
      <c r="T383" s="3">
        <v>9.3000000000000007</v>
      </c>
      <c r="U383" s="3">
        <v>88.5</v>
      </c>
      <c r="V383" s="3">
        <v>974.2</v>
      </c>
      <c r="W383" s="3">
        <v>0</v>
      </c>
      <c r="X383" s="3">
        <v>19.8</v>
      </c>
      <c r="Y383" s="3">
        <v>16.2</v>
      </c>
      <c r="Z383" s="3">
        <v>18</v>
      </c>
      <c r="AA383" s="3">
        <v>13</v>
      </c>
      <c r="AB383" s="3">
        <v>9.1999999999999993</v>
      </c>
      <c r="AC383" s="3">
        <v>6.5</v>
      </c>
      <c r="AD383" s="3">
        <v>6.9</v>
      </c>
      <c r="AE383" s="3">
        <v>8.6999999999999993</v>
      </c>
      <c r="AF383" s="3">
        <v>13.2</v>
      </c>
      <c r="AG383" s="3">
        <v>9</v>
      </c>
      <c r="AH383" s="3">
        <v>9.8000000000000007</v>
      </c>
      <c r="AI383" s="3">
        <v>8.5</v>
      </c>
      <c r="AJ383" s="3">
        <v>11.1</v>
      </c>
      <c r="AK383" s="3">
        <v>11.7</v>
      </c>
      <c r="AL383" s="3">
        <v>7.6</v>
      </c>
      <c r="AM383" s="3">
        <v>8.1</v>
      </c>
      <c r="AN383" s="3">
        <v>8.1999999999999993</v>
      </c>
      <c r="AO383" s="3">
        <v>7.9</v>
      </c>
      <c r="AP383" s="3">
        <v>7.1</v>
      </c>
      <c r="AQ383" s="3">
        <v>7.4</v>
      </c>
      <c r="AR383" s="3">
        <v>7.2</v>
      </c>
      <c r="AS383" s="3">
        <v>23.2</v>
      </c>
      <c r="AT383" s="3">
        <v>29.3</v>
      </c>
      <c r="AU383" s="3">
        <v>9.1999999999999993</v>
      </c>
      <c r="AV383" s="3">
        <v>9.1999999999999993</v>
      </c>
      <c r="AW383" s="3">
        <v>9.5</v>
      </c>
      <c r="AX383" s="3">
        <v>9.5</v>
      </c>
      <c r="AY383" s="3">
        <v>9.6</v>
      </c>
      <c r="AZ383" s="3">
        <v>0</v>
      </c>
      <c r="BA383" s="3">
        <v>0</v>
      </c>
      <c r="BB383" s="3">
        <v>0</v>
      </c>
      <c r="BC383" s="3">
        <v>31.73259080487972</v>
      </c>
      <c r="BD383" s="3">
        <v>19.867409195120281</v>
      </c>
      <c r="BE383" s="3">
        <v>16.26740919512028</v>
      </c>
      <c r="BF383" s="3">
        <v>16.827409195120282</v>
      </c>
      <c r="BG383" s="3">
        <v>12.154075861786943</v>
      </c>
      <c r="BH383" s="3">
        <v>8.4940758617869463</v>
      </c>
      <c r="BI383" s="3">
        <v>6.2074091951202774</v>
      </c>
      <c r="BJ383" s="3">
        <v>7.4007425284536126</v>
      </c>
      <c r="BK383" s="3">
        <v>9.0740758617869446</v>
      </c>
      <c r="BL383" s="3">
        <v>13.147409195120282</v>
      </c>
      <c r="BM383" s="3">
        <v>9.0807425284536123</v>
      </c>
      <c r="BN383" s="3">
        <v>10.164075861786948</v>
      </c>
      <c r="BO383" s="3">
        <v>8.230742528453618</v>
      </c>
      <c r="BP383" s="3">
        <v>10.547409195120281</v>
      </c>
      <c r="BQ383" s="3">
        <v>11.564075861786939</v>
      </c>
      <c r="BR383" s="3">
        <v>7.7907425284536131</v>
      </c>
      <c r="BS383" s="3">
        <v>8.0940758617869477</v>
      </c>
      <c r="BT383" s="3">
        <v>8.3907425284536146</v>
      </c>
      <c r="BU383" s="3">
        <v>8.057409195120286</v>
      </c>
      <c r="BV383" s="3">
        <v>6.9740758617869503</v>
      </c>
      <c r="BW383" s="3">
        <v>7.807409195120286</v>
      </c>
      <c r="BX383" s="3">
        <v>7.5274091951202848</v>
      </c>
      <c r="BY383" s="3">
        <v>23.347409195120278</v>
      </c>
      <c r="BZ383" s="3">
        <v>29.577409195120282</v>
      </c>
      <c r="CA383" s="3">
        <v>9.5774091951202749</v>
      </c>
      <c r="CB383" s="3">
        <v>9.0140758617869423</v>
      </c>
      <c r="CC383" s="3">
        <v>9.5274091951202777</v>
      </c>
      <c r="CD383" s="3">
        <v>8.8340758617869497</v>
      </c>
      <c r="CE383" s="3">
        <v>9.1274091951202792</v>
      </c>
      <c r="CF383" s="3">
        <v>-0.85925747154638543</v>
      </c>
      <c r="CG383" s="3">
        <v>-1.3925908048797169</v>
      </c>
      <c r="CH383" s="3">
        <v>-2.4692574715463849</v>
      </c>
      <c r="CI383" s="13">
        <f>[1]!dbasum(RecData[[#This Row],[20]:[2000]],RecData[[#Headers],[20]:[2000]])</f>
        <v>16.977764218349918</v>
      </c>
      <c r="CJ383" s="14">
        <v>4835</v>
      </c>
      <c r="CK383" s="15" t="s">
        <v>249</v>
      </c>
      <c r="CL383" s="15">
        <f>RecData[[#This Row],[Start Time]]</f>
        <v>43262.034722222219</v>
      </c>
      <c r="CM383" s="16">
        <f>RecData[[#This Row],[Wind Speed avg]]</f>
        <v>0.14000000000000001</v>
      </c>
      <c r="CN383" s="16">
        <f>RecData[[#This Row],[Wind Dir. avg]]</f>
        <v>287.60000000000002</v>
      </c>
      <c r="CO383" s="16">
        <f>RecData[[#This Row],[Amb. Humidity]]</f>
        <v>88.5</v>
      </c>
      <c r="CP383" s="16">
        <f>RecData[[#This Row],[Amb. Temperature]]</f>
        <v>9.3000000000000007</v>
      </c>
      <c r="CQ383" s="17">
        <f>RecData[[#This Row],[Amb. Rain Gauge]]</f>
        <v>0</v>
      </c>
      <c r="CR383" s="4" t="s">
        <v>50</v>
      </c>
      <c r="CS383" s="4" t="s">
        <v>49</v>
      </c>
      <c r="CT383" s="70">
        <v>-9.5282011030000007</v>
      </c>
      <c r="CU383" s="70">
        <v>210.7081757</v>
      </c>
      <c r="CV383" s="70">
        <v>1.6106516120000001</v>
      </c>
      <c r="CW383" s="70">
        <v>0</v>
      </c>
      <c r="CX383" s="4"/>
      <c r="CY383" s="69"/>
      <c r="CZ383" s="2" t="b">
        <f>IF($DP$1="YES",IF(RecData[[#This Row],[Power (kW)]]&gt;=$CR$3, TRUE,FALSE),TRUE)</f>
        <v>0</v>
      </c>
      <c r="DA383" s="16">
        <f>MIN(MOD(180-ABS(ABS($DA$1-RecData[Yaw Angle (°)])-180),360),MOD(180-ABS(ABS($DB$1-RecData[Yaw Angle (°)])-180),360))</f>
        <v>156.82175107768757</v>
      </c>
      <c r="DB383" s="2" t="str">
        <f>IF($DP$2="None","None",IF(RecData[[#This Row],[Relative Wind Direction]]&lt;=45,"DW",IF(RecData[[#This Row],[Relative Wind Direction]]&lt;=135,"CW","UW")))</f>
        <v>UW</v>
      </c>
      <c r="DC383" s="61">
        <f>IF($CL383-$CL382&gt;1/24,#REF!,IF(SUM($CQ382:$CQ383)&gt;$DS$1,$DS$5,DC384-1))</f>
        <v>-9</v>
      </c>
      <c r="DD383" s="61">
        <f>IF($CL384-$CL383&gt;1/24,#REF!,IF(SUM($CQ382:$CQ383)&gt;$DS$1,$DS$6,DD382-1))</f>
        <v>-2</v>
      </c>
      <c r="DE383" s="18" t="b">
        <v>0</v>
      </c>
      <c r="DF383" s="2" t="b">
        <f>IF(OR(RecData[[#This Row],[WSpd_Avg '[m/s']]]-RecData[[#This Row],[Wind Speed min]]&gt;=$DF$3,RecData[[#This Row],[Wind Speed max]]-RecData[[#This Row],[WSpd_Avg '[m/s']]]&gt;=$DF$2),TRUE,FALSE)</f>
        <v>0</v>
      </c>
      <c r="DG383" s="2" t="b">
        <f>RecData[[#This Row],[Temperature '[°C']]]&lt;=-20</f>
        <v>0</v>
      </c>
      <c r="DH383" s="18" t="b">
        <f>NOT(OR(MOD(RecData[[#This Row],[TIMESTAMP]],1)&gt;0.91632,MOD(RecData[[#This Row],[TIMESTAMP]],1)&lt;0.208681))</f>
        <v>0</v>
      </c>
      <c r="DI383" s="18" t="b">
        <f>RecData[[#This Row],[Overall (dBA)]]-RecData[[#This Row],[L90]]&gt;=$DS$4</f>
        <v>0</v>
      </c>
      <c r="DJ383" s="18" t="b">
        <f>RecData[[#This Row],[Overall (dBA)]]&gt;$DS$2</f>
        <v>0</v>
      </c>
      <c r="DK383" s="18" t="b">
        <f>RecData[[#This Row],[Overall (dBA)]]&lt;$DS$3</f>
        <v>0</v>
      </c>
      <c r="DL3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3" s="2">
        <f>IF(AND(RecData[[#This Row],[Turbines ON/OFF]] = "OFF", NOT(OR(RecData[[#This Row],[Junk?]]="YES",RecData[[#This Row],[Gust?]],RecData[[#This Row],[Rain?]:[Min SPL Threshold?]]))),1,0)</f>
        <v>1</v>
      </c>
      <c r="DN383" s="16">
        <f>RecData[[#This Row],[dBA Sum]]</f>
        <v>16.977764218349918</v>
      </c>
      <c r="DO383" s="16">
        <f>RecData[[#This Row],[LAF90.0]]</f>
        <v>27.2</v>
      </c>
      <c r="DP383" s="55" t="str">
        <f>IF(AND(RecData[[#This Row],[Useable TON Data?]],RecData[[#This Row],[Turbines ON/OFF]]="ON"),RecData[[#This Row],[dBA Sum]],"")</f>
        <v/>
      </c>
      <c r="DQ383" s="55">
        <f>IF(AND(RecData[[#This Row],[Useable Background Data?]],RecData[[#This Row],[Turbines ON/OFF]]="OFF"),RecData[[#This Row],[dBA Sum]],"")</f>
        <v>16.977764218349918</v>
      </c>
      <c r="DR383" s="3">
        <f>IF(OR(RecData[[#This Row],[Useable TON Data?]],RecData[[#This Row],[Useable Background Data?]]),ROUND(RecData[[#This Row],[WSpd_Avg '[m/s']]],0),"")</f>
        <v>0</v>
      </c>
      <c r="DS383" s="85">
        <f>(0.00002)^2*(10^(RecData[[#This Row],[Overall (dBA)]]/10))</f>
        <v>1.9945108958286846E-8</v>
      </c>
    </row>
    <row r="384" spans="1:123" ht="15" x14ac:dyDescent="0.25">
      <c r="A384" s="3" t="s">
        <v>249</v>
      </c>
      <c r="B384" s="12">
        <v>43262.035416666666</v>
      </c>
      <c r="C384" s="3"/>
      <c r="D384" s="3">
        <v>32.4</v>
      </c>
      <c r="E384" s="3"/>
      <c r="F384" s="3"/>
      <c r="G384" s="3"/>
      <c r="H384" s="3"/>
      <c r="I384" s="3"/>
      <c r="J384" s="3"/>
      <c r="K384" s="3">
        <v>27.6</v>
      </c>
      <c r="L384" s="3"/>
      <c r="M384" s="3"/>
      <c r="N384" s="3">
        <v>159.80000000000001</v>
      </c>
      <c r="O384" s="3"/>
      <c r="P384" s="3"/>
      <c r="Q384" s="3">
        <v>0.43</v>
      </c>
      <c r="R384" s="3">
        <v>0.1</v>
      </c>
      <c r="S384" s="3">
        <v>0.8</v>
      </c>
      <c r="T384" s="3">
        <v>9.3000000000000007</v>
      </c>
      <c r="U384" s="3">
        <v>88.9</v>
      </c>
      <c r="V384" s="3">
        <v>974.2</v>
      </c>
      <c r="W384" s="3">
        <v>0</v>
      </c>
      <c r="X384" s="3">
        <v>15.1</v>
      </c>
      <c r="Y384" s="3">
        <v>12.8</v>
      </c>
      <c r="Z384" s="3">
        <v>15.5</v>
      </c>
      <c r="AA384" s="3">
        <v>9.1</v>
      </c>
      <c r="AB384" s="3">
        <v>9.1999999999999993</v>
      </c>
      <c r="AC384" s="3">
        <v>6.6</v>
      </c>
      <c r="AD384" s="3">
        <v>6.9</v>
      </c>
      <c r="AE384" s="3">
        <v>9.3000000000000007</v>
      </c>
      <c r="AF384" s="3">
        <v>10</v>
      </c>
      <c r="AG384" s="3">
        <v>8.1</v>
      </c>
      <c r="AH384" s="3">
        <v>8.4</v>
      </c>
      <c r="AI384" s="3">
        <v>8.4</v>
      </c>
      <c r="AJ384" s="3">
        <v>9.6999999999999993</v>
      </c>
      <c r="AK384" s="3">
        <v>8</v>
      </c>
      <c r="AL384" s="3">
        <v>6.6</v>
      </c>
      <c r="AM384" s="3">
        <v>6.4</v>
      </c>
      <c r="AN384" s="3">
        <v>7</v>
      </c>
      <c r="AO384" s="3">
        <v>6.6</v>
      </c>
      <c r="AP384" s="3">
        <v>6.6</v>
      </c>
      <c r="AQ384" s="3">
        <v>7.3</v>
      </c>
      <c r="AR384" s="3">
        <v>6.4</v>
      </c>
      <c r="AS384" s="3">
        <v>23.1</v>
      </c>
      <c r="AT384" s="3">
        <v>30.1</v>
      </c>
      <c r="AU384" s="3">
        <v>9</v>
      </c>
      <c r="AV384" s="3">
        <v>8.6999999999999993</v>
      </c>
      <c r="AW384" s="3">
        <v>9.1999999999999993</v>
      </c>
      <c r="AX384" s="3">
        <v>9.4</v>
      </c>
      <c r="AY384" s="3">
        <v>9.6</v>
      </c>
      <c r="AZ384" s="3">
        <v>0</v>
      </c>
      <c r="BA384" s="3">
        <v>0</v>
      </c>
      <c r="BB384" s="3">
        <v>0</v>
      </c>
      <c r="BC384" s="3">
        <v>32.298184681108623</v>
      </c>
      <c r="BD384" s="3">
        <v>15.201815318891377</v>
      </c>
      <c r="BE384" s="3">
        <v>12.90181531889138</v>
      </c>
      <c r="BF384" s="3">
        <v>14.361815318891374</v>
      </c>
      <c r="BG384" s="3">
        <v>8.2884819855580361</v>
      </c>
      <c r="BH384" s="3">
        <v>8.5284819855580452</v>
      </c>
      <c r="BI384" s="3">
        <v>6.3418153188913777</v>
      </c>
      <c r="BJ384" s="3">
        <v>7.4351486522247114</v>
      </c>
      <c r="BK384" s="3">
        <v>9.7084819855580378</v>
      </c>
      <c r="BL384" s="3">
        <v>9.9818153188913783</v>
      </c>
      <c r="BM384" s="3">
        <v>8.2151486522247126</v>
      </c>
      <c r="BN384" s="3">
        <v>8.7984819855580412</v>
      </c>
      <c r="BO384" s="3">
        <v>8.1651486522247154</v>
      </c>
      <c r="BP384" s="3">
        <v>9.181815318891374</v>
      </c>
      <c r="BQ384" s="3">
        <v>7.8984819855580355</v>
      </c>
      <c r="BR384" s="3">
        <v>6.825148652224712</v>
      </c>
      <c r="BS384" s="3">
        <v>6.4284819855580437</v>
      </c>
      <c r="BT384" s="3">
        <v>7.2251486522247106</v>
      </c>
      <c r="BU384" s="3">
        <v>6.7918153188913806</v>
      </c>
      <c r="BV384" s="3">
        <v>6.508481985558042</v>
      </c>
      <c r="BW384" s="3">
        <v>7.7418153188913763</v>
      </c>
      <c r="BX384" s="3">
        <v>6.7618153188913794</v>
      </c>
      <c r="BY384" s="3">
        <v>23.281815318891375</v>
      </c>
      <c r="BZ384" s="3">
        <v>30.411815318891385</v>
      </c>
      <c r="CA384" s="3">
        <v>9.4118153188913709</v>
      </c>
      <c r="CB384" s="3">
        <v>8.5484819855580412</v>
      </c>
      <c r="CC384" s="3">
        <v>9.2618153188913723</v>
      </c>
      <c r="CD384" s="3">
        <v>8.7684819855580471</v>
      </c>
      <c r="CE384" s="3">
        <v>9.1618153188913709</v>
      </c>
      <c r="CF384" s="3">
        <v>-0.82485134777529012</v>
      </c>
      <c r="CG384" s="3">
        <v>-1.3581846811086216</v>
      </c>
      <c r="CH384" s="3">
        <v>-2.4348513477752896</v>
      </c>
      <c r="CI384" s="13">
        <f>[1]!dbasum(RecData[[#This Row],[20]:[2000]],RecData[[#Headers],[20]:[2000]])</f>
        <v>15.929365486248024</v>
      </c>
      <c r="CJ384" s="14">
        <v>4836</v>
      </c>
      <c r="CK384" s="15" t="s">
        <v>249</v>
      </c>
      <c r="CL384" s="15">
        <f>RecData[[#This Row],[Start Time]]</f>
        <v>43262.035416666666</v>
      </c>
      <c r="CM384" s="16">
        <f>RecData[[#This Row],[Wind Speed avg]]</f>
        <v>0.43</v>
      </c>
      <c r="CN384" s="16">
        <f>RecData[[#This Row],[Wind Dir. avg]]</f>
        <v>159.80000000000001</v>
      </c>
      <c r="CO384" s="16">
        <f>RecData[[#This Row],[Amb. Humidity]]</f>
        <v>88.9</v>
      </c>
      <c r="CP384" s="16">
        <f>RecData[[#This Row],[Amb. Temperature]]</f>
        <v>9.3000000000000007</v>
      </c>
      <c r="CQ384" s="17">
        <f>RecData[[#This Row],[Amb. Rain Gauge]]</f>
        <v>0</v>
      </c>
      <c r="CR384" s="4" t="s">
        <v>50</v>
      </c>
      <c r="CS384" s="4" t="s">
        <v>49</v>
      </c>
      <c r="CT384" s="70">
        <v>-10.028619770000001</v>
      </c>
      <c r="CU384" s="70">
        <v>217.2116394</v>
      </c>
      <c r="CV384" s="70">
        <v>1.4344115260000001</v>
      </c>
      <c r="CW384" s="70">
        <v>0</v>
      </c>
      <c r="CX384" s="4"/>
      <c r="CY384" s="69"/>
      <c r="CZ384" s="2" t="b">
        <f>IF($DP$1="YES",IF(RecData[[#This Row],[Power (kW)]]&gt;=$CR$3, TRUE,FALSE),TRUE)</f>
        <v>0</v>
      </c>
      <c r="DA384" s="16">
        <f>MIN(MOD(180-ABS(ABS($DA$1-RecData[Yaw Angle (°)])-180),360),MOD(180-ABS(ABS($DB$1-RecData[Yaw Angle (°)])-180),360))</f>
        <v>150.31828737768757</v>
      </c>
      <c r="DB384" s="2" t="str">
        <f>IF($DP$2="None","None",IF(RecData[[#This Row],[Relative Wind Direction]]&lt;=45,"DW",IF(RecData[[#This Row],[Relative Wind Direction]]&lt;=135,"CW","UW")))</f>
        <v>UW</v>
      </c>
      <c r="DC384" s="61">
        <f>IF($CL384-$CL382&gt;1/24,#REF!,IF(SUM($CQ382:$CQ384)&gt;$DS$1,$DS$5,DC385-1))</f>
        <v>-8</v>
      </c>
      <c r="DD384" s="61">
        <f>IF($CL385-$CL384&gt;1/24,#REF!,IF(SUM($CQ382:$CQ384)&gt;$DS$1,$DS$6,DD383-1))</f>
        <v>-3</v>
      </c>
      <c r="DE384" s="18" t="b">
        <v>0</v>
      </c>
      <c r="DF384" s="2" t="b">
        <f>IF(OR(RecData[[#This Row],[WSpd_Avg '[m/s']]]-RecData[[#This Row],[Wind Speed min]]&gt;=$DF$3,RecData[[#This Row],[Wind Speed max]]-RecData[[#This Row],[WSpd_Avg '[m/s']]]&gt;=$DF$2),TRUE,FALSE)</f>
        <v>0</v>
      </c>
      <c r="DG384" s="2" t="b">
        <f>RecData[[#This Row],[Temperature '[°C']]]&lt;=-20</f>
        <v>0</v>
      </c>
      <c r="DH384" s="18" t="b">
        <f>NOT(OR(MOD(RecData[[#This Row],[TIMESTAMP]],1)&gt;0.91632,MOD(RecData[[#This Row],[TIMESTAMP]],1)&lt;0.208681))</f>
        <v>0</v>
      </c>
      <c r="DI384" s="18" t="b">
        <f>RecData[[#This Row],[Overall (dBA)]]-RecData[[#This Row],[L90]]&gt;=$DS$4</f>
        <v>0</v>
      </c>
      <c r="DJ384" s="18" t="b">
        <f>RecData[[#This Row],[Overall (dBA)]]&gt;$DS$2</f>
        <v>0</v>
      </c>
      <c r="DK384" s="18" t="b">
        <f>RecData[[#This Row],[Overall (dBA)]]&lt;$DS$3</f>
        <v>0</v>
      </c>
      <c r="DL3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4" s="2">
        <f>IF(AND(RecData[[#This Row],[Turbines ON/OFF]] = "OFF", NOT(OR(RecData[[#This Row],[Junk?]]="YES",RecData[[#This Row],[Gust?]],RecData[[#This Row],[Rain?]:[Min SPL Threshold?]]))),1,0)</f>
        <v>1</v>
      </c>
      <c r="DN384" s="16">
        <f>RecData[[#This Row],[dBA Sum]]</f>
        <v>15.929365486248024</v>
      </c>
      <c r="DO384" s="16">
        <f>RecData[[#This Row],[LAF90.0]]</f>
        <v>27.6</v>
      </c>
      <c r="DP384" s="55" t="str">
        <f>IF(AND(RecData[[#This Row],[Useable TON Data?]],RecData[[#This Row],[Turbines ON/OFF]]="ON"),RecData[[#This Row],[dBA Sum]],"")</f>
        <v/>
      </c>
      <c r="DQ384" s="55">
        <f>IF(AND(RecData[[#This Row],[Useable Background Data?]],RecData[[#This Row],[Turbines ON/OFF]]="OFF"),RecData[[#This Row],[dBA Sum]],"")</f>
        <v>15.929365486248024</v>
      </c>
      <c r="DR384" s="3">
        <f>IF(OR(RecData[[#This Row],[Useable TON Data?]],RecData[[#This Row],[Useable Background Data?]]),ROUND(RecData[[#This Row],[WSpd_Avg '[m/s']]],0),"")</f>
        <v>0</v>
      </c>
      <c r="DS384" s="85">
        <f>(0.00002)^2*(10^(RecData[[#This Row],[Overall (dBA)]]/10))</f>
        <v>1.5667385877687706E-8</v>
      </c>
    </row>
    <row r="385" spans="1:123" ht="15" x14ac:dyDescent="0.25">
      <c r="A385" s="3" t="s">
        <v>249</v>
      </c>
      <c r="B385" s="12">
        <v>43262.036111111112</v>
      </c>
      <c r="C385" s="3"/>
      <c r="D385" s="3">
        <v>32.6</v>
      </c>
      <c r="E385" s="3"/>
      <c r="F385" s="3"/>
      <c r="G385" s="3"/>
      <c r="H385" s="3"/>
      <c r="I385" s="3"/>
      <c r="J385" s="3"/>
      <c r="K385" s="3">
        <v>29.2</v>
      </c>
      <c r="L385" s="3"/>
      <c r="M385" s="3"/>
      <c r="N385" s="3">
        <v>143.19999999999999</v>
      </c>
      <c r="O385" s="3"/>
      <c r="P385" s="3"/>
      <c r="Q385" s="3">
        <v>0.88</v>
      </c>
      <c r="R385" s="3">
        <v>0.7</v>
      </c>
      <c r="S385" s="3">
        <v>1</v>
      </c>
      <c r="T385" s="3">
        <v>9.3000000000000007</v>
      </c>
      <c r="U385" s="3">
        <v>89.2</v>
      </c>
      <c r="V385" s="3">
        <v>974.2</v>
      </c>
      <c r="W385" s="3">
        <v>0</v>
      </c>
      <c r="X385" s="3">
        <v>19.5</v>
      </c>
      <c r="Y385" s="3">
        <v>22</v>
      </c>
      <c r="Z385" s="3">
        <v>20.5</v>
      </c>
      <c r="AA385" s="3">
        <v>14.2</v>
      </c>
      <c r="AB385" s="3">
        <v>10</v>
      </c>
      <c r="AC385" s="3">
        <v>7.1</v>
      </c>
      <c r="AD385" s="3">
        <v>9.4</v>
      </c>
      <c r="AE385" s="3">
        <v>9.6</v>
      </c>
      <c r="AF385" s="3">
        <v>10.6</v>
      </c>
      <c r="AG385" s="3">
        <v>10.4</v>
      </c>
      <c r="AH385" s="3">
        <v>12.4</v>
      </c>
      <c r="AI385" s="3">
        <v>10.8</v>
      </c>
      <c r="AJ385" s="3">
        <v>11.3</v>
      </c>
      <c r="AK385" s="3">
        <v>10.1</v>
      </c>
      <c r="AL385" s="3">
        <v>7.7</v>
      </c>
      <c r="AM385" s="3">
        <v>11.8</v>
      </c>
      <c r="AN385" s="3">
        <v>10.199999999999999</v>
      </c>
      <c r="AO385" s="3">
        <v>10.7</v>
      </c>
      <c r="AP385" s="3">
        <v>7.7</v>
      </c>
      <c r="AQ385" s="3">
        <v>7.6</v>
      </c>
      <c r="AR385" s="3">
        <v>6.6</v>
      </c>
      <c r="AS385" s="3">
        <v>23.9</v>
      </c>
      <c r="AT385" s="3">
        <v>30.1</v>
      </c>
      <c r="AU385" s="3">
        <v>8.9</v>
      </c>
      <c r="AV385" s="3">
        <v>8.8000000000000007</v>
      </c>
      <c r="AW385" s="3">
        <v>9.3000000000000007</v>
      </c>
      <c r="AX385" s="3">
        <v>9.4</v>
      </c>
      <c r="AY385" s="3">
        <v>9.6</v>
      </c>
      <c r="AZ385" s="3">
        <v>0</v>
      </c>
      <c r="BA385" s="3">
        <v>0</v>
      </c>
      <c r="BB385" s="3">
        <v>0</v>
      </c>
      <c r="BC385" s="3">
        <v>32.500691231191119</v>
      </c>
      <c r="BD385" s="3">
        <v>19.599308768808882</v>
      </c>
      <c r="BE385" s="3">
        <v>22.099308768808882</v>
      </c>
      <c r="BF385" s="3">
        <v>19.35930876880888</v>
      </c>
      <c r="BG385" s="3">
        <v>13.385975435475544</v>
      </c>
      <c r="BH385" s="3">
        <v>9.3259754354755486</v>
      </c>
      <c r="BI385" s="3">
        <v>6.8393087688088841</v>
      </c>
      <c r="BJ385" s="3">
        <v>9.9326421021422178</v>
      </c>
      <c r="BK385" s="3">
        <v>10.005975435475541</v>
      </c>
      <c r="BL385" s="3">
        <v>10.579308768808879</v>
      </c>
      <c r="BM385" s="3">
        <v>10.512642102142216</v>
      </c>
      <c r="BN385" s="3">
        <v>12.795975435475547</v>
      </c>
      <c r="BO385" s="3">
        <v>10.56264210214222</v>
      </c>
      <c r="BP385" s="3">
        <v>10.779308768808882</v>
      </c>
      <c r="BQ385" s="3">
        <v>9.9959754354755361</v>
      </c>
      <c r="BR385" s="3">
        <v>7.9226421021422198</v>
      </c>
      <c r="BS385" s="3">
        <v>11.825975435475549</v>
      </c>
      <c r="BT385" s="3">
        <v>10.422642102142213</v>
      </c>
      <c r="BU385" s="3">
        <v>10.889308768808881</v>
      </c>
      <c r="BV385" s="3">
        <v>7.6059754354755498</v>
      </c>
      <c r="BW385" s="3">
        <v>8.0393087688088869</v>
      </c>
      <c r="BX385" s="3">
        <v>6.9593087688088886</v>
      </c>
      <c r="BY385" s="3">
        <v>24.079308768808879</v>
      </c>
      <c r="BZ385" s="3">
        <v>30.409308768808891</v>
      </c>
      <c r="CA385" s="3">
        <v>9.3093087688088758</v>
      </c>
      <c r="CB385" s="3">
        <v>8.6459754354755489</v>
      </c>
      <c r="CC385" s="3">
        <v>9.3593087688088801</v>
      </c>
      <c r="CD385" s="3">
        <v>8.7659754354755535</v>
      </c>
      <c r="CE385" s="3">
        <v>9.1593087688088772</v>
      </c>
      <c r="CF385" s="3">
        <v>-0.8273578978577838</v>
      </c>
      <c r="CG385" s="3">
        <v>-1.3606912311911152</v>
      </c>
      <c r="CH385" s="3">
        <v>-2.4373578978577832</v>
      </c>
      <c r="CI385" s="13">
        <f>[1]!dbasum(RecData[[#This Row],[20]:[2000]],RecData[[#Headers],[20]:[2000]])</f>
        <v>18.150713391492946</v>
      </c>
      <c r="CJ385" s="14">
        <v>4837</v>
      </c>
      <c r="CK385" s="15" t="s">
        <v>249</v>
      </c>
      <c r="CL385" s="15">
        <f>RecData[[#This Row],[Start Time]]</f>
        <v>43262.036111111112</v>
      </c>
      <c r="CM385" s="16">
        <f>RecData[[#This Row],[Wind Speed avg]]</f>
        <v>0.88</v>
      </c>
      <c r="CN385" s="16">
        <f>RecData[[#This Row],[Wind Dir. avg]]</f>
        <v>143.19999999999999</v>
      </c>
      <c r="CO385" s="16">
        <f>RecData[[#This Row],[Amb. Humidity]]</f>
        <v>89.2</v>
      </c>
      <c r="CP385" s="16">
        <f>RecData[[#This Row],[Amb. Temperature]]</f>
        <v>9.3000000000000007</v>
      </c>
      <c r="CQ385" s="17">
        <f>RecData[[#This Row],[Amb. Rain Gauge]]</f>
        <v>0</v>
      </c>
      <c r="CR385" s="4" t="s">
        <v>50</v>
      </c>
      <c r="CS385" s="4" t="s">
        <v>49</v>
      </c>
      <c r="CT385" s="70">
        <v>-10.028619770000001</v>
      </c>
      <c r="CU385" s="70">
        <v>217.2116394</v>
      </c>
      <c r="CV385" s="70">
        <v>1.4344115260000001</v>
      </c>
      <c r="CW385" s="70">
        <v>0</v>
      </c>
      <c r="CX385" s="4"/>
      <c r="CY385" s="69"/>
      <c r="CZ385" s="2" t="b">
        <f>IF($DP$1="YES",IF(RecData[[#This Row],[Power (kW)]]&gt;=$CR$3, TRUE,FALSE),TRUE)</f>
        <v>0</v>
      </c>
      <c r="DA385" s="16">
        <f>MIN(MOD(180-ABS(ABS($DA$1-RecData[Yaw Angle (°)])-180),360),MOD(180-ABS(ABS($DB$1-RecData[Yaw Angle (°)])-180),360))</f>
        <v>150.31828737768757</v>
      </c>
      <c r="DB385" s="2" t="str">
        <f>IF($DP$2="None","None",IF(RecData[[#This Row],[Relative Wind Direction]]&lt;=45,"DW",IF(RecData[[#This Row],[Relative Wind Direction]]&lt;=135,"CW","UW")))</f>
        <v>UW</v>
      </c>
      <c r="DC385" s="61">
        <f>IF($CL385-$CL382&gt;1/24,#REF!,IF(SUM($CQ382:$CQ385)&gt;$DS$1,$DS$5,DC386-1))</f>
        <v>-7</v>
      </c>
      <c r="DD385" s="61">
        <f>IF($CL386-$CL385&gt;1/24,#REF!,IF(SUM($CQ382:$CQ385)&gt;$DS$1,$DS$6,DD384-1))</f>
        <v>-4</v>
      </c>
      <c r="DE385" s="18" t="b">
        <v>0</v>
      </c>
      <c r="DF385" s="2" t="b">
        <f>IF(OR(RecData[[#This Row],[WSpd_Avg '[m/s']]]-RecData[[#This Row],[Wind Speed min]]&gt;=$DF$3,RecData[[#This Row],[Wind Speed max]]-RecData[[#This Row],[WSpd_Avg '[m/s']]]&gt;=$DF$2),TRUE,FALSE)</f>
        <v>0</v>
      </c>
      <c r="DG385" s="2" t="b">
        <f>RecData[[#This Row],[Temperature '[°C']]]&lt;=-20</f>
        <v>0</v>
      </c>
      <c r="DH385" s="18" t="b">
        <f>NOT(OR(MOD(RecData[[#This Row],[TIMESTAMP]],1)&gt;0.91632,MOD(RecData[[#This Row],[TIMESTAMP]],1)&lt;0.208681))</f>
        <v>0</v>
      </c>
      <c r="DI385" s="18" t="b">
        <f>RecData[[#This Row],[Overall (dBA)]]-RecData[[#This Row],[L90]]&gt;=$DS$4</f>
        <v>0</v>
      </c>
      <c r="DJ385" s="18" t="b">
        <f>RecData[[#This Row],[Overall (dBA)]]&gt;$DS$2</f>
        <v>0</v>
      </c>
      <c r="DK385" s="18" t="b">
        <f>RecData[[#This Row],[Overall (dBA)]]&lt;$DS$3</f>
        <v>0</v>
      </c>
      <c r="DL3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5" s="2">
        <f>IF(AND(RecData[[#This Row],[Turbines ON/OFF]] = "OFF", NOT(OR(RecData[[#This Row],[Junk?]]="YES",RecData[[#This Row],[Gust?]],RecData[[#This Row],[Rain?]:[Min SPL Threshold?]]))),1,0)</f>
        <v>1</v>
      </c>
      <c r="DN385" s="16">
        <f>RecData[[#This Row],[dBA Sum]]</f>
        <v>18.150713391492946</v>
      </c>
      <c r="DO385" s="16">
        <f>RecData[[#This Row],[LAF90.0]]</f>
        <v>29.2</v>
      </c>
      <c r="DP385" s="55" t="str">
        <f>IF(AND(RecData[[#This Row],[Useable TON Data?]],RecData[[#This Row],[Turbines ON/OFF]]="ON"),RecData[[#This Row],[dBA Sum]],"")</f>
        <v/>
      </c>
      <c r="DQ385" s="55">
        <f>IF(AND(RecData[[#This Row],[Useable Background Data?]],RecData[[#This Row],[Turbines ON/OFF]]="OFF"),RecData[[#This Row],[dBA Sum]],"")</f>
        <v>18.150713391492946</v>
      </c>
      <c r="DR385" s="3">
        <f>IF(OR(RecData[[#This Row],[Useable TON Data?]],RecData[[#This Row],[Useable Background Data?]]),ROUND(RecData[[#This Row],[WSpd_Avg '[m/s']]],0),"")</f>
        <v>1</v>
      </c>
      <c r="DS385" s="85">
        <f>(0.00002)^2*(10^(RecData[[#This Row],[Overall (dBA)]]/10))</f>
        <v>2.6129513903930556E-8</v>
      </c>
    </row>
    <row r="386" spans="1:123" ht="15" x14ac:dyDescent="0.25">
      <c r="A386" s="3" t="s">
        <v>249</v>
      </c>
      <c r="B386" s="12">
        <v>43262.036805555559</v>
      </c>
      <c r="C386" s="3"/>
      <c r="D386" s="3">
        <v>34.4</v>
      </c>
      <c r="E386" s="3"/>
      <c r="F386" s="3"/>
      <c r="G386" s="3"/>
      <c r="H386" s="3"/>
      <c r="I386" s="3"/>
      <c r="J386" s="3"/>
      <c r="K386" s="3">
        <v>30.8</v>
      </c>
      <c r="L386" s="3"/>
      <c r="M386" s="3"/>
      <c r="N386" s="3">
        <v>154.1</v>
      </c>
      <c r="O386" s="3"/>
      <c r="P386" s="3"/>
      <c r="Q386" s="3">
        <v>1.02</v>
      </c>
      <c r="R386" s="3">
        <v>0.9</v>
      </c>
      <c r="S386" s="3">
        <v>1.2</v>
      </c>
      <c r="T386" s="3">
        <v>9.3000000000000007</v>
      </c>
      <c r="U386" s="3">
        <v>89.1</v>
      </c>
      <c r="V386" s="3">
        <v>974.2</v>
      </c>
      <c r="W386" s="3">
        <v>0</v>
      </c>
      <c r="X386" s="3">
        <v>19.399999999999999</v>
      </c>
      <c r="Y386" s="3">
        <v>18.3</v>
      </c>
      <c r="Z386" s="3">
        <v>19.899999999999999</v>
      </c>
      <c r="AA386" s="3">
        <v>14</v>
      </c>
      <c r="AB386" s="3">
        <v>14.4</v>
      </c>
      <c r="AC386" s="3">
        <v>6.5</v>
      </c>
      <c r="AD386" s="3">
        <v>9.6</v>
      </c>
      <c r="AE386" s="3">
        <v>13</v>
      </c>
      <c r="AF386" s="3">
        <v>13.3</v>
      </c>
      <c r="AG386" s="3">
        <v>11.2</v>
      </c>
      <c r="AH386" s="3">
        <v>11.4</v>
      </c>
      <c r="AI386" s="3">
        <v>10.8</v>
      </c>
      <c r="AJ386" s="3">
        <v>11.9</v>
      </c>
      <c r="AK386" s="3">
        <v>9.3000000000000007</v>
      </c>
      <c r="AL386" s="3">
        <v>7.3</v>
      </c>
      <c r="AM386" s="3">
        <v>6.3</v>
      </c>
      <c r="AN386" s="3">
        <v>7</v>
      </c>
      <c r="AO386" s="3">
        <v>6.9</v>
      </c>
      <c r="AP386" s="3">
        <v>6.9</v>
      </c>
      <c r="AQ386" s="3">
        <v>8</v>
      </c>
      <c r="AR386" s="3">
        <v>7.4</v>
      </c>
      <c r="AS386" s="3">
        <v>25.7</v>
      </c>
      <c r="AT386" s="3">
        <v>32.1</v>
      </c>
      <c r="AU386" s="3">
        <v>10.1</v>
      </c>
      <c r="AV386" s="3">
        <v>9.1</v>
      </c>
      <c r="AW386" s="3">
        <v>9.6</v>
      </c>
      <c r="AX386" s="3">
        <v>9.6</v>
      </c>
      <c r="AY386" s="3">
        <v>9.8000000000000007</v>
      </c>
      <c r="AZ386" s="3">
        <v>0</v>
      </c>
      <c r="BA386" s="3">
        <v>0</v>
      </c>
      <c r="BB386" s="3">
        <v>0</v>
      </c>
      <c r="BC386" s="3">
        <v>34.350387427852652</v>
      </c>
      <c r="BD386" s="3">
        <v>19.449612572147345</v>
      </c>
      <c r="BE386" s="3">
        <v>18.34961257214735</v>
      </c>
      <c r="BF386" s="3">
        <v>18.70961257214735</v>
      </c>
      <c r="BG386" s="3">
        <v>13.136279238814012</v>
      </c>
      <c r="BH386" s="3">
        <v>13.676279238814018</v>
      </c>
      <c r="BI386" s="3">
        <v>6.1896125721473467</v>
      </c>
      <c r="BJ386" s="3">
        <v>10.082945905480678</v>
      </c>
      <c r="BK386" s="3">
        <v>13.356279238814011</v>
      </c>
      <c r="BL386" s="3">
        <v>13.229612572147346</v>
      </c>
      <c r="BM386" s="3">
        <v>11.262945905480677</v>
      </c>
      <c r="BN386" s="3">
        <v>11.746279238814012</v>
      </c>
      <c r="BO386" s="3">
        <v>10.512945905480684</v>
      </c>
      <c r="BP386" s="3">
        <v>11.329612572147347</v>
      </c>
      <c r="BQ386" s="3">
        <v>9.1462792388140031</v>
      </c>
      <c r="BR386" s="3">
        <v>7.4729459054806782</v>
      </c>
      <c r="BS386" s="3">
        <v>6.2762792388140127</v>
      </c>
      <c r="BT386" s="3">
        <v>7.172945905480681</v>
      </c>
      <c r="BU386" s="3">
        <v>7.0396125721473481</v>
      </c>
      <c r="BV386" s="3">
        <v>6.7562792388140167</v>
      </c>
      <c r="BW386" s="3">
        <v>8.3896125721473496</v>
      </c>
      <c r="BX386" s="3">
        <v>7.7096125721473499</v>
      </c>
      <c r="BY386" s="3">
        <v>25.82961257214734</v>
      </c>
      <c r="BZ386" s="3">
        <v>32.359612572147356</v>
      </c>
      <c r="CA386" s="3">
        <v>10.459612572147336</v>
      </c>
      <c r="CB386" s="3">
        <v>8.8962792388140102</v>
      </c>
      <c r="CC386" s="3">
        <v>9.6096125721473413</v>
      </c>
      <c r="CD386" s="3">
        <v>8.9162792388140133</v>
      </c>
      <c r="CE386" s="3">
        <v>9.3096125721473442</v>
      </c>
      <c r="CF386" s="3">
        <v>-0.87705409451932326</v>
      </c>
      <c r="CG386" s="3">
        <v>-1.4103874278526547</v>
      </c>
      <c r="CH386" s="3">
        <v>-2.4870540945193191</v>
      </c>
      <c r="CI386" s="13">
        <f>[1]!dbasum(RecData[[#This Row],[20]:[2000]],RecData[[#Headers],[20]:[2000]])</f>
        <v>16.679271966521597</v>
      </c>
      <c r="CJ386" s="14">
        <v>4838</v>
      </c>
      <c r="CK386" s="15" t="s">
        <v>249</v>
      </c>
      <c r="CL386" s="15">
        <f>RecData[[#This Row],[Start Time]]</f>
        <v>43262.036805555559</v>
      </c>
      <c r="CM386" s="16">
        <f>RecData[[#This Row],[Wind Speed avg]]</f>
        <v>1.02</v>
      </c>
      <c r="CN386" s="16">
        <f>RecData[[#This Row],[Wind Dir. avg]]</f>
        <v>154.1</v>
      </c>
      <c r="CO386" s="16">
        <f>RecData[[#This Row],[Amb. Humidity]]</f>
        <v>89.1</v>
      </c>
      <c r="CP386" s="16">
        <f>RecData[[#This Row],[Amb. Temperature]]</f>
        <v>9.3000000000000007</v>
      </c>
      <c r="CQ386" s="17">
        <f>RecData[[#This Row],[Amb. Rain Gauge]]</f>
        <v>0</v>
      </c>
      <c r="CR386" s="4" t="s">
        <v>50</v>
      </c>
      <c r="CS386" s="4" t="s">
        <v>49</v>
      </c>
      <c r="CT386" s="70">
        <v>-10.028619770000001</v>
      </c>
      <c r="CU386" s="70">
        <v>217.2116394</v>
      </c>
      <c r="CV386" s="70">
        <v>1.4344115260000001</v>
      </c>
      <c r="CW386" s="70">
        <v>0</v>
      </c>
      <c r="CX386" s="4"/>
      <c r="CY386" s="69"/>
      <c r="CZ386" s="2" t="b">
        <f>IF($DP$1="YES",IF(RecData[[#This Row],[Power (kW)]]&gt;=$CR$3, TRUE,FALSE),TRUE)</f>
        <v>0</v>
      </c>
      <c r="DA386" s="16">
        <f>MIN(MOD(180-ABS(ABS($DA$1-RecData[Yaw Angle (°)])-180),360),MOD(180-ABS(ABS($DB$1-RecData[Yaw Angle (°)])-180),360))</f>
        <v>150.31828737768757</v>
      </c>
      <c r="DB386" s="2" t="str">
        <f>IF($DP$2="None","None",IF(RecData[[#This Row],[Relative Wind Direction]]&lt;=45,"DW",IF(RecData[[#This Row],[Relative Wind Direction]]&lt;=135,"CW","UW")))</f>
        <v>UW</v>
      </c>
      <c r="DC386" s="61">
        <f>IF($CL386-$CL382&gt;1/24,#REF!,IF(SUM($CQ382:$CQ386)&gt;$DS$1,$DS$5,DC387-1))</f>
        <v>-6</v>
      </c>
      <c r="DD386" s="61">
        <f>IF($CL387-$CL386&gt;1/24,#REF!,IF(SUM($CQ382:$CQ386)&gt;$DS$1,$DS$6,DD385-1))</f>
        <v>-5</v>
      </c>
      <c r="DE386" s="18" t="b">
        <v>0</v>
      </c>
      <c r="DF386" s="2" t="b">
        <f>IF(OR(RecData[[#This Row],[WSpd_Avg '[m/s']]]-RecData[[#This Row],[Wind Speed min]]&gt;=$DF$3,RecData[[#This Row],[Wind Speed max]]-RecData[[#This Row],[WSpd_Avg '[m/s']]]&gt;=$DF$2),TRUE,FALSE)</f>
        <v>0</v>
      </c>
      <c r="DG386" s="2" t="b">
        <f>RecData[[#This Row],[Temperature '[°C']]]&lt;=-20</f>
        <v>0</v>
      </c>
      <c r="DH386" s="18" t="b">
        <f>NOT(OR(MOD(RecData[[#This Row],[TIMESTAMP]],1)&gt;0.91632,MOD(RecData[[#This Row],[TIMESTAMP]],1)&lt;0.208681))</f>
        <v>0</v>
      </c>
      <c r="DI386" s="18" t="b">
        <f>RecData[[#This Row],[Overall (dBA)]]-RecData[[#This Row],[L90]]&gt;=$DS$4</f>
        <v>0</v>
      </c>
      <c r="DJ386" s="18" t="b">
        <f>RecData[[#This Row],[Overall (dBA)]]&gt;$DS$2</f>
        <v>0</v>
      </c>
      <c r="DK386" s="18" t="b">
        <f>RecData[[#This Row],[Overall (dBA)]]&lt;$DS$3</f>
        <v>0</v>
      </c>
      <c r="DL3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6" s="2">
        <f>IF(AND(RecData[[#This Row],[Turbines ON/OFF]] = "OFF", NOT(OR(RecData[[#This Row],[Junk?]]="YES",RecData[[#This Row],[Gust?]],RecData[[#This Row],[Rain?]:[Min SPL Threshold?]]))),1,0)</f>
        <v>1</v>
      </c>
      <c r="DN386" s="16">
        <f>RecData[[#This Row],[dBA Sum]]</f>
        <v>16.679271966521597</v>
      </c>
      <c r="DO386" s="16">
        <f>RecData[[#This Row],[LAF90.0]]</f>
        <v>30.8</v>
      </c>
      <c r="DP386" s="55" t="str">
        <f>IF(AND(RecData[[#This Row],[Useable TON Data?]],RecData[[#This Row],[Turbines ON/OFF]]="ON"),RecData[[#This Row],[dBA Sum]],"")</f>
        <v/>
      </c>
      <c r="DQ386" s="55">
        <f>IF(AND(RecData[[#This Row],[Useable Background Data?]],RecData[[#This Row],[Turbines ON/OFF]]="OFF"),RecData[[#This Row],[dBA Sum]],"")</f>
        <v>16.679271966521597</v>
      </c>
      <c r="DR386" s="3">
        <f>IF(OR(RecData[[#This Row],[Useable TON Data?]],RecData[[#This Row],[Useable Background Data?]]),ROUND(RecData[[#This Row],[WSpd_Avg '[m/s']]],0),"")</f>
        <v>1</v>
      </c>
      <c r="DS386" s="85">
        <f>(0.00002)^2*(10^(RecData[[#This Row],[Overall (dBA)]]/10))</f>
        <v>1.862032204476286E-8</v>
      </c>
    </row>
    <row r="387" spans="1:123" ht="15" x14ac:dyDescent="0.25">
      <c r="A387" s="3" t="s">
        <v>249</v>
      </c>
      <c r="B387" s="12">
        <v>43262.037499999999</v>
      </c>
      <c r="C387" s="3"/>
      <c r="D387" s="3">
        <v>32.1</v>
      </c>
      <c r="E387" s="3"/>
      <c r="F387" s="3"/>
      <c r="G387" s="3"/>
      <c r="H387" s="3"/>
      <c r="I387" s="3"/>
      <c r="J387" s="3"/>
      <c r="K387" s="3">
        <v>27.1</v>
      </c>
      <c r="L387" s="3"/>
      <c r="M387" s="3"/>
      <c r="N387" s="3">
        <v>141.1</v>
      </c>
      <c r="O387" s="3"/>
      <c r="P387" s="3"/>
      <c r="Q387" s="3">
        <v>0.71</v>
      </c>
      <c r="R387" s="3">
        <v>0.3</v>
      </c>
      <c r="S387" s="3">
        <v>1.1000000000000001</v>
      </c>
      <c r="T387" s="3">
        <v>9.3000000000000007</v>
      </c>
      <c r="U387" s="3">
        <v>88.7</v>
      </c>
      <c r="V387" s="3">
        <v>974.2</v>
      </c>
      <c r="W387" s="3">
        <v>0</v>
      </c>
      <c r="X387" s="3">
        <v>18.5</v>
      </c>
      <c r="Y387" s="3">
        <v>16.899999999999999</v>
      </c>
      <c r="Z387" s="3">
        <v>17.600000000000001</v>
      </c>
      <c r="AA387" s="3">
        <v>12.1</v>
      </c>
      <c r="AB387" s="3">
        <v>10.8</v>
      </c>
      <c r="AC387" s="3">
        <v>7</v>
      </c>
      <c r="AD387" s="3">
        <v>9.1999999999999993</v>
      </c>
      <c r="AE387" s="3">
        <v>10.6</v>
      </c>
      <c r="AF387" s="3">
        <v>12.7</v>
      </c>
      <c r="AG387" s="3">
        <v>8.6</v>
      </c>
      <c r="AH387" s="3">
        <v>9.1999999999999993</v>
      </c>
      <c r="AI387" s="3">
        <v>9.5</v>
      </c>
      <c r="AJ387" s="3">
        <v>10.1</v>
      </c>
      <c r="AK387" s="3">
        <v>8</v>
      </c>
      <c r="AL387" s="3">
        <v>6.7</v>
      </c>
      <c r="AM387" s="3">
        <v>6.3</v>
      </c>
      <c r="AN387" s="3">
        <v>6.9</v>
      </c>
      <c r="AO387" s="3">
        <v>6.6</v>
      </c>
      <c r="AP387" s="3">
        <v>6.5</v>
      </c>
      <c r="AQ387" s="3">
        <v>7.4</v>
      </c>
      <c r="AR387" s="3">
        <v>6.7</v>
      </c>
      <c r="AS387" s="3">
        <v>23.5</v>
      </c>
      <c r="AT387" s="3">
        <v>29.7</v>
      </c>
      <c r="AU387" s="3">
        <v>8.9</v>
      </c>
      <c r="AV387" s="3">
        <v>8.6999999999999993</v>
      </c>
      <c r="AW387" s="3">
        <v>9.3000000000000007</v>
      </c>
      <c r="AX387" s="3">
        <v>9.4</v>
      </c>
      <c r="AY387" s="3">
        <v>9.6</v>
      </c>
      <c r="AZ387" s="3">
        <v>0</v>
      </c>
      <c r="BA387" s="3">
        <v>0</v>
      </c>
      <c r="BB387" s="3">
        <v>0</v>
      </c>
      <c r="BC387" s="3">
        <v>32.058731657194308</v>
      </c>
      <c r="BD387" s="3">
        <v>18.541268342805694</v>
      </c>
      <c r="BE387" s="3">
        <v>16.941268342805692</v>
      </c>
      <c r="BF387" s="3">
        <v>16.4012683428057</v>
      </c>
      <c r="BG387" s="3">
        <v>11.227935009472354</v>
      </c>
      <c r="BH387" s="3">
        <v>10.067935009472365</v>
      </c>
      <c r="BI387" s="3">
        <v>6.6812683428056943</v>
      </c>
      <c r="BJ387" s="3">
        <v>9.6746016761390266</v>
      </c>
      <c r="BK387" s="3">
        <v>10.947935009472353</v>
      </c>
      <c r="BL387" s="3">
        <v>12.621268342805692</v>
      </c>
      <c r="BM387" s="3">
        <v>8.6546016761390305</v>
      </c>
      <c r="BN387" s="3">
        <v>9.5379350094723563</v>
      </c>
      <c r="BO387" s="3">
        <v>9.2046016761390277</v>
      </c>
      <c r="BP387" s="3">
        <v>9.5212683428056906</v>
      </c>
      <c r="BQ387" s="3">
        <v>7.8379350094723534</v>
      </c>
      <c r="BR387" s="3">
        <v>6.8646016761390314</v>
      </c>
      <c r="BS387" s="3">
        <v>6.2679350094723603</v>
      </c>
      <c r="BT387" s="3">
        <v>7.0646016761390271</v>
      </c>
      <c r="BU387" s="3">
        <v>6.7312683428056985</v>
      </c>
      <c r="BV387" s="3">
        <v>6.3479350094723586</v>
      </c>
      <c r="BW387" s="3">
        <v>7.7812683428056957</v>
      </c>
      <c r="BX387" s="3">
        <v>7.0012683428057016</v>
      </c>
      <c r="BY387" s="3">
        <v>23.621268342805692</v>
      </c>
      <c r="BZ387" s="3">
        <v>29.951268342805697</v>
      </c>
      <c r="CA387" s="3">
        <v>9.2512683428056874</v>
      </c>
      <c r="CB387" s="3">
        <v>8.4879350094723591</v>
      </c>
      <c r="CC387" s="3">
        <v>9.3012683428056917</v>
      </c>
      <c r="CD387" s="3">
        <v>8.7079350094723651</v>
      </c>
      <c r="CE387" s="3">
        <v>9.1012683428056889</v>
      </c>
      <c r="CF387" s="3">
        <v>-0.88539832386097217</v>
      </c>
      <c r="CG387" s="3">
        <v>-1.4187316571943036</v>
      </c>
      <c r="CH387" s="3">
        <v>-2.4953983238609716</v>
      </c>
      <c r="CI387" s="13">
        <f>[1]!dbasum(RecData[[#This Row],[20]:[2000]],RecData[[#Headers],[20]:[2000]])</f>
        <v>16.006807301659912</v>
      </c>
      <c r="CJ387" s="14">
        <v>4839</v>
      </c>
      <c r="CK387" s="15" t="s">
        <v>249</v>
      </c>
      <c r="CL387" s="15">
        <f>RecData[[#This Row],[Start Time]]</f>
        <v>43262.037499999999</v>
      </c>
      <c r="CM387" s="16">
        <f>RecData[[#This Row],[Wind Speed avg]]</f>
        <v>0.71</v>
      </c>
      <c r="CN387" s="16">
        <f>RecData[[#This Row],[Wind Dir. avg]]</f>
        <v>141.1</v>
      </c>
      <c r="CO387" s="16">
        <f>RecData[[#This Row],[Amb. Humidity]]</f>
        <v>88.7</v>
      </c>
      <c r="CP387" s="16">
        <f>RecData[[#This Row],[Amb. Temperature]]</f>
        <v>9.3000000000000007</v>
      </c>
      <c r="CQ387" s="17">
        <f>RecData[[#This Row],[Amb. Rain Gauge]]</f>
        <v>0</v>
      </c>
      <c r="CR387" s="4" t="s">
        <v>50</v>
      </c>
      <c r="CS387" s="4" t="s">
        <v>49</v>
      </c>
      <c r="CT387" s="70">
        <v>-10.028619770000001</v>
      </c>
      <c r="CU387" s="70">
        <v>217.2116394</v>
      </c>
      <c r="CV387" s="70">
        <v>1.4344115260000001</v>
      </c>
      <c r="CW387" s="70">
        <v>0</v>
      </c>
      <c r="CX387" s="4"/>
      <c r="CY387" s="69"/>
      <c r="CZ387" s="2" t="b">
        <f>IF($DP$1="YES",IF(RecData[[#This Row],[Power (kW)]]&gt;=$CR$3, TRUE,FALSE),TRUE)</f>
        <v>0</v>
      </c>
      <c r="DA387" s="16">
        <f>MIN(MOD(180-ABS(ABS($DA$1-RecData[Yaw Angle (°)])-180),360),MOD(180-ABS(ABS($DB$1-RecData[Yaw Angle (°)])-180),360))</f>
        <v>150.31828737768757</v>
      </c>
      <c r="DB387" s="2" t="str">
        <f>IF($DP$2="None","None",IF(RecData[[#This Row],[Relative Wind Direction]]&lt;=45,"DW",IF(RecData[[#This Row],[Relative Wind Direction]]&lt;=135,"CW","UW")))</f>
        <v>UW</v>
      </c>
      <c r="DC387" s="61">
        <f>IF($CL387-$CL383&gt;1/24,#REF!,IF(SUM($CQ383:$CQ387)&gt;$DS$1,$DS$5,DC388-1))</f>
        <v>-5</v>
      </c>
      <c r="DD387" s="61">
        <f>IF($CL388-$CL387&gt;1/24,#REF!,IF(SUM($CQ383:$CQ387)&gt;$DS$1,$DS$6,DD386-1))</f>
        <v>-6</v>
      </c>
      <c r="DE387" s="18" t="b">
        <v>0</v>
      </c>
      <c r="DF387" s="2" t="b">
        <f>IF(OR(RecData[[#This Row],[WSpd_Avg '[m/s']]]-RecData[[#This Row],[Wind Speed min]]&gt;=$DF$3,RecData[[#This Row],[Wind Speed max]]-RecData[[#This Row],[WSpd_Avg '[m/s']]]&gt;=$DF$2),TRUE,FALSE)</f>
        <v>0</v>
      </c>
      <c r="DG387" s="2" t="b">
        <f>RecData[[#This Row],[Temperature '[°C']]]&lt;=-20</f>
        <v>0</v>
      </c>
      <c r="DH387" s="18" t="b">
        <f>NOT(OR(MOD(RecData[[#This Row],[TIMESTAMP]],1)&gt;0.91632,MOD(RecData[[#This Row],[TIMESTAMP]],1)&lt;0.208681))</f>
        <v>0</v>
      </c>
      <c r="DI387" s="18" t="b">
        <f>RecData[[#This Row],[Overall (dBA)]]-RecData[[#This Row],[L90]]&gt;=$DS$4</f>
        <v>0</v>
      </c>
      <c r="DJ387" s="18" t="b">
        <f>RecData[[#This Row],[Overall (dBA)]]&gt;$DS$2</f>
        <v>0</v>
      </c>
      <c r="DK387" s="18" t="b">
        <f>RecData[[#This Row],[Overall (dBA)]]&lt;$DS$3</f>
        <v>0</v>
      </c>
      <c r="DL3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7" s="2">
        <f>IF(AND(RecData[[#This Row],[Turbines ON/OFF]] = "OFF", NOT(OR(RecData[[#This Row],[Junk?]]="YES",RecData[[#This Row],[Gust?]],RecData[[#This Row],[Rain?]:[Min SPL Threshold?]]))),1,0)</f>
        <v>1</v>
      </c>
      <c r="DN387" s="16">
        <f>RecData[[#This Row],[dBA Sum]]</f>
        <v>16.006807301659912</v>
      </c>
      <c r="DO387" s="16">
        <f>RecData[[#This Row],[LAF90.0]]</f>
        <v>27.1</v>
      </c>
      <c r="DP387" s="55" t="str">
        <f>IF(AND(RecData[[#This Row],[Useable TON Data?]],RecData[[#This Row],[Turbines ON/OFF]]="ON"),RecData[[#This Row],[dBA Sum]],"")</f>
        <v/>
      </c>
      <c r="DQ387" s="55">
        <f>IF(AND(RecData[[#This Row],[Useable Background Data?]],RecData[[#This Row],[Turbines ON/OFF]]="OFF"),RecData[[#This Row],[dBA Sum]],"")</f>
        <v>16.006807301659912</v>
      </c>
      <c r="DR387" s="3">
        <f>IF(OR(RecData[[#This Row],[Useable TON Data?]],RecData[[#This Row],[Useable Background Data?]]),ROUND(RecData[[#This Row],[WSpd_Avg '[m/s']]],0),"")</f>
        <v>1</v>
      </c>
      <c r="DS387" s="85">
        <f>(0.00002)^2*(10^(RecData[[#This Row],[Overall (dBA)]]/10))</f>
        <v>1.5949266744602707E-8</v>
      </c>
    </row>
    <row r="388" spans="1:123" ht="15" x14ac:dyDescent="0.25">
      <c r="A388" s="3" t="s">
        <v>249</v>
      </c>
      <c r="B388" s="12">
        <v>43262.038194444445</v>
      </c>
      <c r="C388" s="3"/>
      <c r="D388" s="3">
        <v>29.4</v>
      </c>
      <c r="E388" s="3"/>
      <c r="F388" s="3"/>
      <c r="G388" s="3"/>
      <c r="H388" s="3"/>
      <c r="I388" s="3"/>
      <c r="J388" s="3"/>
      <c r="K388" s="3">
        <v>20.8</v>
      </c>
      <c r="L388" s="3"/>
      <c r="M388" s="3"/>
      <c r="N388" s="3">
        <v>102.8</v>
      </c>
      <c r="O388" s="3"/>
      <c r="P388" s="3"/>
      <c r="Q388" s="3">
        <v>0.23</v>
      </c>
      <c r="R388" s="3">
        <v>0.1</v>
      </c>
      <c r="S388" s="3">
        <v>0.5</v>
      </c>
      <c r="T388" s="3">
        <v>9.1999999999999993</v>
      </c>
      <c r="U388" s="3">
        <v>88.7</v>
      </c>
      <c r="V388" s="3">
        <v>974.2</v>
      </c>
      <c r="W388" s="3">
        <v>0</v>
      </c>
      <c r="X388" s="3">
        <v>18.100000000000001</v>
      </c>
      <c r="Y388" s="3">
        <v>16.399999999999999</v>
      </c>
      <c r="Z388" s="3">
        <v>17.5</v>
      </c>
      <c r="AA388" s="3">
        <v>11.5</v>
      </c>
      <c r="AB388" s="3">
        <v>14</v>
      </c>
      <c r="AC388" s="3">
        <v>7.5</v>
      </c>
      <c r="AD388" s="3">
        <v>8.6</v>
      </c>
      <c r="AE388" s="3">
        <v>12.7</v>
      </c>
      <c r="AF388" s="3">
        <v>10</v>
      </c>
      <c r="AG388" s="3">
        <v>10.4</v>
      </c>
      <c r="AH388" s="3">
        <v>10.8</v>
      </c>
      <c r="AI388" s="3">
        <v>9.9</v>
      </c>
      <c r="AJ388" s="3">
        <v>10.6</v>
      </c>
      <c r="AK388" s="3">
        <v>8.8000000000000007</v>
      </c>
      <c r="AL388" s="3">
        <v>6.9</v>
      </c>
      <c r="AM388" s="3">
        <v>6.5</v>
      </c>
      <c r="AN388" s="3">
        <v>7.2</v>
      </c>
      <c r="AO388" s="3">
        <v>6.8</v>
      </c>
      <c r="AP388" s="3">
        <v>6.5</v>
      </c>
      <c r="AQ388" s="3">
        <v>7</v>
      </c>
      <c r="AR388" s="3">
        <v>6.6</v>
      </c>
      <c r="AS388" s="3">
        <v>20.6</v>
      </c>
      <c r="AT388" s="3">
        <v>26.8</v>
      </c>
      <c r="AU388" s="3">
        <v>8.5</v>
      </c>
      <c r="AV388" s="3">
        <v>8.8000000000000007</v>
      </c>
      <c r="AW388" s="3">
        <v>9.3000000000000007</v>
      </c>
      <c r="AX388" s="3">
        <v>9.4</v>
      </c>
      <c r="AY388" s="3">
        <v>9.6</v>
      </c>
      <c r="AZ388" s="3">
        <v>0</v>
      </c>
      <c r="BA388" s="3">
        <v>0</v>
      </c>
      <c r="BB388" s="3">
        <v>0</v>
      </c>
      <c r="BC388" s="3">
        <v>29.355132466139871</v>
      </c>
      <c r="BD388" s="3">
        <v>18.144867533860129</v>
      </c>
      <c r="BE388" s="3">
        <v>16.444867533860126</v>
      </c>
      <c r="BF388" s="3">
        <v>16.304867533860126</v>
      </c>
      <c r="BG388" s="3">
        <v>10.631534200526794</v>
      </c>
      <c r="BH388" s="3">
        <v>13.271534200526794</v>
      </c>
      <c r="BI388" s="3">
        <v>7.1848675338601282</v>
      </c>
      <c r="BJ388" s="3">
        <v>9.0782008671934591</v>
      </c>
      <c r="BK388" s="3">
        <v>13.051534200526788</v>
      </c>
      <c r="BL388" s="3">
        <v>9.9248675338601302</v>
      </c>
      <c r="BM388" s="3">
        <v>10.458200867193462</v>
      </c>
      <c r="BN388" s="3">
        <v>11.141534200526799</v>
      </c>
      <c r="BO388" s="3">
        <v>9.6082008671934673</v>
      </c>
      <c r="BP388" s="3">
        <v>10.024867533860125</v>
      </c>
      <c r="BQ388" s="3">
        <v>8.6415342005267846</v>
      </c>
      <c r="BR388" s="3">
        <v>7.0682008671934611</v>
      </c>
      <c r="BS388" s="3">
        <v>6.4715342005267971</v>
      </c>
      <c r="BT388" s="3">
        <v>7.3682008671934653</v>
      </c>
      <c r="BU388" s="3">
        <v>6.9348675338601282</v>
      </c>
      <c r="BV388" s="3">
        <v>6.3515342005267925</v>
      </c>
      <c r="BW388" s="3">
        <v>7.3848675338601311</v>
      </c>
      <c r="BX388" s="3">
        <v>6.9048675338601342</v>
      </c>
      <c r="BY388" s="3">
        <v>20.724867533860127</v>
      </c>
      <c r="BZ388" s="3">
        <v>27.054867533860133</v>
      </c>
      <c r="CA388" s="3">
        <v>8.8548675338601228</v>
      </c>
      <c r="CB388" s="3">
        <v>8.5915342005267945</v>
      </c>
      <c r="CC388" s="3">
        <v>9.3048675338601257</v>
      </c>
      <c r="CD388" s="3">
        <v>8.7115342005267991</v>
      </c>
      <c r="CE388" s="3">
        <v>9.1048675338601228</v>
      </c>
      <c r="CF388" s="3">
        <v>-0.88179913280653821</v>
      </c>
      <c r="CG388" s="3">
        <v>-1.4151324661398696</v>
      </c>
      <c r="CH388" s="3">
        <v>-2.4917991328065376</v>
      </c>
      <c r="CI388" s="13">
        <f>[1]!dbasum(RecData[[#This Row],[20]:[2000]],RecData[[#Headers],[20]:[2000]])</f>
        <v>16.12908136740797</v>
      </c>
      <c r="CJ388" s="14">
        <v>4840</v>
      </c>
      <c r="CK388" s="15" t="s">
        <v>249</v>
      </c>
      <c r="CL388" s="15">
        <f>RecData[[#This Row],[Start Time]]</f>
        <v>43262.038194444445</v>
      </c>
      <c r="CM388" s="16">
        <f>RecData[[#This Row],[Wind Speed avg]]</f>
        <v>0.23</v>
      </c>
      <c r="CN388" s="16">
        <f>RecData[[#This Row],[Wind Dir. avg]]</f>
        <v>102.8</v>
      </c>
      <c r="CO388" s="16">
        <f>RecData[[#This Row],[Amb. Humidity]]</f>
        <v>88.7</v>
      </c>
      <c r="CP388" s="16">
        <f>RecData[[#This Row],[Amb. Temperature]]</f>
        <v>9.1999999999999993</v>
      </c>
      <c r="CQ388" s="17">
        <f>RecData[[#This Row],[Amb. Rain Gauge]]</f>
        <v>0</v>
      </c>
      <c r="CR388" s="4" t="s">
        <v>50</v>
      </c>
      <c r="CS388" s="4" t="s">
        <v>49</v>
      </c>
      <c r="CT388" s="70">
        <v>-10.028619770000001</v>
      </c>
      <c r="CU388" s="70">
        <v>217.2116394</v>
      </c>
      <c r="CV388" s="70">
        <v>1.4344115260000001</v>
      </c>
      <c r="CW388" s="70">
        <v>0</v>
      </c>
      <c r="CX388" s="4"/>
      <c r="CY388" s="69"/>
      <c r="CZ388" s="2" t="b">
        <f>IF($DP$1="YES",IF(RecData[[#This Row],[Power (kW)]]&gt;=$CR$3, TRUE,FALSE),TRUE)</f>
        <v>0</v>
      </c>
      <c r="DA388" s="16">
        <f>MIN(MOD(180-ABS(ABS($DA$1-RecData[Yaw Angle (°)])-180),360),MOD(180-ABS(ABS($DB$1-RecData[Yaw Angle (°)])-180),360))</f>
        <v>150.31828737768757</v>
      </c>
      <c r="DB388" s="2" t="str">
        <f>IF($DP$2="None","None",IF(RecData[[#This Row],[Relative Wind Direction]]&lt;=45,"DW",IF(RecData[[#This Row],[Relative Wind Direction]]&lt;=135,"CW","UW")))</f>
        <v>UW</v>
      </c>
      <c r="DC388" s="61">
        <f>IF($CL388-$CL384&gt;1/24,#REF!,IF(SUM($CQ384:$CQ388)&gt;$DS$1,$DS$5,DC389-1))</f>
        <v>-4</v>
      </c>
      <c r="DD388" s="61">
        <f>IF($CL389-$CL388&gt;1/24,#REF!,IF(SUM($CQ384:$CQ388)&gt;$DS$1,$DS$6,DD387-1))</f>
        <v>-7</v>
      </c>
      <c r="DE388" s="18" t="b">
        <v>0</v>
      </c>
      <c r="DF388" s="2" t="b">
        <f>IF(OR(RecData[[#This Row],[WSpd_Avg '[m/s']]]-RecData[[#This Row],[Wind Speed min]]&gt;=$DF$3,RecData[[#This Row],[Wind Speed max]]-RecData[[#This Row],[WSpd_Avg '[m/s']]]&gt;=$DF$2),TRUE,FALSE)</f>
        <v>0</v>
      </c>
      <c r="DG388" s="2" t="b">
        <f>RecData[[#This Row],[Temperature '[°C']]]&lt;=-20</f>
        <v>0</v>
      </c>
      <c r="DH388" s="18" t="b">
        <f>NOT(OR(MOD(RecData[[#This Row],[TIMESTAMP]],1)&gt;0.91632,MOD(RecData[[#This Row],[TIMESTAMP]],1)&lt;0.208681))</f>
        <v>0</v>
      </c>
      <c r="DI388" s="18" t="b">
        <f>RecData[[#This Row],[Overall (dBA)]]-RecData[[#This Row],[L90]]&gt;=$DS$4</f>
        <v>0</v>
      </c>
      <c r="DJ388" s="18" t="b">
        <f>RecData[[#This Row],[Overall (dBA)]]&gt;$DS$2</f>
        <v>0</v>
      </c>
      <c r="DK388" s="18" t="b">
        <f>RecData[[#This Row],[Overall (dBA)]]&lt;$DS$3</f>
        <v>0</v>
      </c>
      <c r="DL3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8" s="2">
        <f>IF(AND(RecData[[#This Row],[Turbines ON/OFF]] = "OFF", NOT(OR(RecData[[#This Row],[Junk?]]="YES",RecData[[#This Row],[Gust?]],RecData[[#This Row],[Rain?]:[Min SPL Threshold?]]))),1,0)</f>
        <v>1</v>
      </c>
      <c r="DN388" s="16">
        <f>RecData[[#This Row],[dBA Sum]]</f>
        <v>16.12908136740797</v>
      </c>
      <c r="DO388" s="16">
        <f>RecData[[#This Row],[LAF90.0]]</f>
        <v>20.8</v>
      </c>
      <c r="DP388" s="55" t="str">
        <f>IF(AND(RecData[[#This Row],[Useable TON Data?]],RecData[[#This Row],[Turbines ON/OFF]]="ON"),RecData[[#This Row],[dBA Sum]],"")</f>
        <v/>
      </c>
      <c r="DQ388" s="55">
        <f>IF(AND(RecData[[#This Row],[Useable Background Data?]],RecData[[#This Row],[Turbines ON/OFF]]="OFF"),RecData[[#This Row],[dBA Sum]],"")</f>
        <v>16.12908136740797</v>
      </c>
      <c r="DR388" s="3">
        <f>IF(OR(RecData[[#This Row],[Useable TON Data?]],RecData[[#This Row],[Useable Background Data?]]),ROUND(RecData[[#This Row],[WSpd_Avg '[m/s']]],0),"")</f>
        <v>0</v>
      </c>
      <c r="DS388" s="85">
        <f>(0.00002)^2*(10^(RecData[[#This Row],[Overall (dBA)]]/10))</f>
        <v>1.6404693782878114E-8</v>
      </c>
    </row>
    <row r="389" spans="1:123" ht="15" x14ac:dyDescent="0.25">
      <c r="A389" s="3" t="s">
        <v>249</v>
      </c>
      <c r="B389" s="12">
        <v>43262.038888888892</v>
      </c>
      <c r="C389" s="3"/>
      <c r="D389" s="3">
        <v>29.8</v>
      </c>
      <c r="E389" s="3"/>
      <c r="F389" s="3"/>
      <c r="G389" s="3"/>
      <c r="H389" s="3"/>
      <c r="I389" s="3"/>
      <c r="J389" s="3"/>
      <c r="K389" s="3">
        <v>24.1</v>
      </c>
      <c r="L389" s="3"/>
      <c r="M389" s="3"/>
      <c r="N389" s="3">
        <v>101</v>
      </c>
      <c r="O389" s="3"/>
      <c r="P389" s="3"/>
      <c r="Q389" s="3">
        <v>0.14000000000000001</v>
      </c>
      <c r="R389" s="3">
        <v>0</v>
      </c>
      <c r="S389" s="3">
        <v>0.3</v>
      </c>
      <c r="T389" s="3">
        <v>9.1999999999999993</v>
      </c>
      <c r="U389" s="3">
        <v>88.7</v>
      </c>
      <c r="V389" s="3">
        <v>974.2</v>
      </c>
      <c r="W389" s="3">
        <v>0</v>
      </c>
      <c r="X389" s="3">
        <v>24.1</v>
      </c>
      <c r="Y389" s="3">
        <v>28.9</v>
      </c>
      <c r="Z389" s="3">
        <v>30.3</v>
      </c>
      <c r="AA389" s="3">
        <v>26.1</v>
      </c>
      <c r="AB389" s="3">
        <v>14.2</v>
      </c>
      <c r="AC389" s="3">
        <v>8.3000000000000007</v>
      </c>
      <c r="AD389" s="3">
        <v>9.4</v>
      </c>
      <c r="AE389" s="3">
        <v>11.1</v>
      </c>
      <c r="AF389" s="3">
        <v>13.5</v>
      </c>
      <c r="AG389" s="3">
        <v>9.4</v>
      </c>
      <c r="AH389" s="3">
        <v>11.6</v>
      </c>
      <c r="AI389" s="3">
        <v>11.2</v>
      </c>
      <c r="AJ389" s="3">
        <v>10.9</v>
      </c>
      <c r="AK389" s="3">
        <v>8.6</v>
      </c>
      <c r="AL389" s="3">
        <v>7.3</v>
      </c>
      <c r="AM389" s="3">
        <v>7.8</v>
      </c>
      <c r="AN389" s="3">
        <v>8.1</v>
      </c>
      <c r="AO389" s="3">
        <v>7.2</v>
      </c>
      <c r="AP389" s="3">
        <v>6.6</v>
      </c>
      <c r="AQ389" s="3">
        <v>7</v>
      </c>
      <c r="AR389" s="3">
        <v>6.3</v>
      </c>
      <c r="AS389" s="3">
        <v>19.899999999999999</v>
      </c>
      <c r="AT389" s="3">
        <v>27.5</v>
      </c>
      <c r="AU389" s="3">
        <v>8.5</v>
      </c>
      <c r="AV389" s="3">
        <v>8.6999999999999993</v>
      </c>
      <c r="AW389" s="3">
        <v>9.1999999999999993</v>
      </c>
      <c r="AX389" s="3">
        <v>9.3000000000000007</v>
      </c>
      <c r="AY389" s="3">
        <v>9.6</v>
      </c>
      <c r="AZ389" s="3">
        <v>0</v>
      </c>
      <c r="BA389" s="3">
        <v>0</v>
      </c>
      <c r="BB389" s="3">
        <v>0</v>
      </c>
      <c r="BC389" s="3">
        <v>29.788342455127989</v>
      </c>
      <c r="BD389" s="3">
        <v>24.111657544872017</v>
      </c>
      <c r="BE389" s="3">
        <v>28.911657544872014</v>
      </c>
      <c r="BF389" s="3">
        <v>29.071657544872011</v>
      </c>
      <c r="BG389" s="3">
        <v>25.198324211538676</v>
      </c>
      <c r="BH389" s="3">
        <v>13.438324211538678</v>
      </c>
      <c r="BI389" s="3">
        <v>7.9516575448720133</v>
      </c>
      <c r="BJ389" s="3">
        <v>9.8449908782053441</v>
      </c>
      <c r="BK389" s="3">
        <v>11.418324211538675</v>
      </c>
      <c r="BL389" s="3">
        <v>13.391657544872011</v>
      </c>
      <c r="BM389" s="3">
        <v>9.4249908782053495</v>
      </c>
      <c r="BN389" s="3">
        <v>11.908324211538677</v>
      </c>
      <c r="BO389" s="3">
        <v>10.874990878205345</v>
      </c>
      <c r="BP389" s="3">
        <v>10.29165754487201</v>
      </c>
      <c r="BQ389" s="3">
        <v>8.4083242115386696</v>
      </c>
      <c r="BR389" s="3">
        <v>7.4349908782053475</v>
      </c>
      <c r="BS389" s="3">
        <v>7.7383242115386821</v>
      </c>
      <c r="BT389" s="3">
        <v>8.2349908782053447</v>
      </c>
      <c r="BU389" s="3">
        <v>7.3016575448720147</v>
      </c>
      <c r="BV389" s="3">
        <v>6.4183242115386818</v>
      </c>
      <c r="BW389" s="3">
        <v>7.3516575448720118</v>
      </c>
      <c r="BX389" s="3">
        <v>6.5716575448720178</v>
      </c>
      <c r="BY389" s="3">
        <v>19.991657544872012</v>
      </c>
      <c r="BZ389" s="3">
        <v>27.721657544872016</v>
      </c>
      <c r="CA389" s="3">
        <v>8.8216575448720036</v>
      </c>
      <c r="CB389" s="3">
        <v>8.4583242115386739</v>
      </c>
      <c r="CC389" s="3">
        <v>9.1716575448720121</v>
      </c>
      <c r="CD389" s="3">
        <v>8.5783242115386855</v>
      </c>
      <c r="CE389" s="3">
        <v>9.0716575448720107</v>
      </c>
      <c r="CF389" s="3">
        <v>-0.91500912179465388</v>
      </c>
      <c r="CG389" s="3">
        <v>-1.4483424551279853</v>
      </c>
      <c r="CH389" s="3">
        <v>-2.5250091217946533</v>
      </c>
      <c r="CI389" s="13">
        <f>[1]!dbasum(RecData[[#This Row],[20]:[2000]],RecData[[#Headers],[20]:[2000]])</f>
        <v>16.449071830662156</v>
      </c>
      <c r="CJ389" s="14">
        <v>4841</v>
      </c>
      <c r="CK389" s="15" t="s">
        <v>249</v>
      </c>
      <c r="CL389" s="15">
        <f>RecData[[#This Row],[Start Time]]</f>
        <v>43262.038888888892</v>
      </c>
      <c r="CM389" s="16">
        <f>RecData[[#This Row],[Wind Speed avg]]</f>
        <v>0.14000000000000001</v>
      </c>
      <c r="CN389" s="16">
        <f>RecData[[#This Row],[Wind Dir. avg]]</f>
        <v>101</v>
      </c>
      <c r="CO389" s="16">
        <f>RecData[[#This Row],[Amb. Humidity]]</f>
        <v>88.7</v>
      </c>
      <c r="CP389" s="16">
        <f>RecData[[#This Row],[Amb. Temperature]]</f>
        <v>9.1999999999999993</v>
      </c>
      <c r="CQ389" s="17">
        <f>RecData[[#This Row],[Amb. Rain Gauge]]</f>
        <v>0</v>
      </c>
      <c r="CR389" s="4" t="s">
        <v>50</v>
      </c>
      <c r="CS389" s="4" t="s">
        <v>49</v>
      </c>
      <c r="CT389" s="70">
        <v>-10.028619770000001</v>
      </c>
      <c r="CU389" s="70">
        <v>217.2116394</v>
      </c>
      <c r="CV389" s="70">
        <v>1.4344115260000001</v>
      </c>
      <c r="CW389" s="70">
        <v>0</v>
      </c>
      <c r="CX389" s="4"/>
      <c r="CY389" s="69"/>
      <c r="CZ389" s="2" t="b">
        <f>IF($DP$1="YES",IF(RecData[[#This Row],[Power (kW)]]&gt;=$CR$3, TRUE,FALSE),TRUE)</f>
        <v>0</v>
      </c>
      <c r="DA389" s="16">
        <f>MIN(MOD(180-ABS(ABS($DA$1-RecData[Yaw Angle (°)])-180),360),MOD(180-ABS(ABS($DB$1-RecData[Yaw Angle (°)])-180),360))</f>
        <v>150.31828737768757</v>
      </c>
      <c r="DB389" s="2" t="str">
        <f>IF($DP$2="None","None",IF(RecData[[#This Row],[Relative Wind Direction]]&lt;=45,"DW",IF(RecData[[#This Row],[Relative Wind Direction]]&lt;=135,"CW","UW")))</f>
        <v>UW</v>
      </c>
      <c r="DC389" s="61">
        <f>IF($CL389-$CL385&gt;1/24,#REF!,IF(SUM($CQ385:$CQ389)&gt;$DS$1,$DS$5,DC390-1))</f>
        <v>-3</v>
      </c>
      <c r="DD389" s="61">
        <f>IF($CL390-$CL389&gt;1/24,#REF!,IF(SUM($CQ385:$CQ389)&gt;$DS$1,$DS$6,DD388-1))</f>
        <v>-8</v>
      </c>
      <c r="DE389" s="18" t="b">
        <v>0</v>
      </c>
      <c r="DF389" s="2" t="b">
        <f>IF(OR(RecData[[#This Row],[WSpd_Avg '[m/s']]]-RecData[[#This Row],[Wind Speed min]]&gt;=$DF$3,RecData[[#This Row],[Wind Speed max]]-RecData[[#This Row],[WSpd_Avg '[m/s']]]&gt;=$DF$2),TRUE,FALSE)</f>
        <v>0</v>
      </c>
      <c r="DG389" s="2" t="b">
        <f>RecData[[#This Row],[Temperature '[°C']]]&lt;=-20</f>
        <v>0</v>
      </c>
      <c r="DH389" s="18" t="b">
        <f>NOT(OR(MOD(RecData[[#This Row],[TIMESTAMP]],1)&gt;0.91632,MOD(RecData[[#This Row],[TIMESTAMP]],1)&lt;0.208681))</f>
        <v>0</v>
      </c>
      <c r="DI389" s="18" t="b">
        <f>RecData[[#This Row],[Overall (dBA)]]-RecData[[#This Row],[L90]]&gt;=$DS$4</f>
        <v>0</v>
      </c>
      <c r="DJ389" s="18" t="b">
        <f>RecData[[#This Row],[Overall (dBA)]]&gt;$DS$2</f>
        <v>0</v>
      </c>
      <c r="DK389" s="18" t="b">
        <f>RecData[[#This Row],[Overall (dBA)]]&lt;$DS$3</f>
        <v>0</v>
      </c>
      <c r="DL3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89" s="2">
        <f>IF(AND(RecData[[#This Row],[Turbines ON/OFF]] = "OFF", NOT(OR(RecData[[#This Row],[Junk?]]="YES",RecData[[#This Row],[Gust?]],RecData[[#This Row],[Rain?]:[Min SPL Threshold?]]))),1,0)</f>
        <v>1</v>
      </c>
      <c r="DN389" s="16">
        <f>RecData[[#This Row],[dBA Sum]]</f>
        <v>16.449071830662156</v>
      </c>
      <c r="DO389" s="16">
        <f>RecData[[#This Row],[LAF90.0]]</f>
        <v>24.1</v>
      </c>
      <c r="DP389" s="55" t="str">
        <f>IF(AND(RecData[[#This Row],[Useable TON Data?]],RecData[[#This Row],[Turbines ON/OFF]]="ON"),RecData[[#This Row],[dBA Sum]],"")</f>
        <v/>
      </c>
      <c r="DQ389" s="55">
        <f>IF(AND(RecData[[#This Row],[Useable Background Data?]],RecData[[#This Row],[Turbines ON/OFF]]="OFF"),RecData[[#This Row],[dBA Sum]],"")</f>
        <v>16.449071830662156</v>
      </c>
      <c r="DR389" s="3">
        <f>IF(OR(RecData[[#This Row],[Useable TON Data?]],RecData[[#This Row],[Useable Background Data?]]),ROUND(RecData[[#This Row],[WSpd_Avg '[m/s']]],0),"")</f>
        <v>0</v>
      </c>
      <c r="DS389" s="85">
        <f>(0.00002)^2*(10^(RecData[[#This Row],[Overall (dBA)]]/10))</f>
        <v>1.7659043419683908E-8</v>
      </c>
    </row>
    <row r="390" spans="1:123" ht="15" x14ac:dyDescent="0.25">
      <c r="A390" s="3" t="s">
        <v>249</v>
      </c>
      <c r="B390" s="12">
        <v>43262.039583333331</v>
      </c>
      <c r="C390" s="3"/>
      <c r="D390" s="3">
        <v>31.1</v>
      </c>
      <c r="E390" s="3"/>
      <c r="F390" s="3"/>
      <c r="G390" s="3"/>
      <c r="H390" s="3"/>
      <c r="I390" s="3"/>
      <c r="J390" s="3"/>
      <c r="K390" s="3">
        <v>25.4</v>
      </c>
      <c r="L390" s="3"/>
      <c r="M390" s="3"/>
      <c r="N390" s="3">
        <v>165.6</v>
      </c>
      <c r="O390" s="3"/>
      <c r="P390" s="3"/>
      <c r="Q390" s="3">
        <v>0.09</v>
      </c>
      <c r="R390" s="3">
        <v>0</v>
      </c>
      <c r="S390" s="3">
        <v>0.2</v>
      </c>
      <c r="T390" s="3">
        <v>9.1</v>
      </c>
      <c r="U390" s="3">
        <v>88.8</v>
      </c>
      <c r="V390" s="3">
        <v>974.2</v>
      </c>
      <c r="W390" s="3">
        <v>0</v>
      </c>
      <c r="X390" s="3">
        <v>17.5</v>
      </c>
      <c r="Y390" s="3">
        <v>14.9</v>
      </c>
      <c r="Z390" s="3">
        <v>14.9</v>
      </c>
      <c r="AA390" s="3">
        <v>11.8</v>
      </c>
      <c r="AB390" s="3">
        <v>10.4</v>
      </c>
      <c r="AC390" s="3">
        <v>6.3</v>
      </c>
      <c r="AD390" s="3">
        <v>8.5</v>
      </c>
      <c r="AE390" s="3">
        <v>9.8000000000000007</v>
      </c>
      <c r="AF390" s="3">
        <v>10.3</v>
      </c>
      <c r="AG390" s="3">
        <v>9.1</v>
      </c>
      <c r="AH390" s="3">
        <v>11.2</v>
      </c>
      <c r="AI390" s="3">
        <v>11</v>
      </c>
      <c r="AJ390" s="3">
        <v>11.6</v>
      </c>
      <c r="AK390" s="3">
        <v>12.2</v>
      </c>
      <c r="AL390" s="3">
        <v>8.6999999999999993</v>
      </c>
      <c r="AM390" s="3">
        <v>10.1</v>
      </c>
      <c r="AN390" s="3">
        <v>9.9</v>
      </c>
      <c r="AO390" s="3">
        <v>8.9</v>
      </c>
      <c r="AP390" s="3">
        <v>8</v>
      </c>
      <c r="AQ390" s="3">
        <v>7.1</v>
      </c>
      <c r="AR390" s="3">
        <v>6.3</v>
      </c>
      <c r="AS390" s="3">
        <v>19</v>
      </c>
      <c r="AT390" s="3">
        <v>29.1</v>
      </c>
      <c r="AU390" s="3">
        <v>8.6999999999999993</v>
      </c>
      <c r="AV390" s="3">
        <v>8.6999999999999993</v>
      </c>
      <c r="AW390" s="3">
        <v>9.1999999999999993</v>
      </c>
      <c r="AX390" s="3">
        <v>9.3000000000000007</v>
      </c>
      <c r="AY390" s="3">
        <v>9.6</v>
      </c>
      <c r="AZ390" s="3">
        <v>0</v>
      </c>
      <c r="BA390" s="3">
        <v>0</v>
      </c>
      <c r="BB390" s="3">
        <v>0</v>
      </c>
      <c r="BC390" s="3">
        <v>31.045545873153955</v>
      </c>
      <c r="BD390" s="3">
        <v>17.554454126846046</v>
      </c>
      <c r="BE390" s="3">
        <v>14.954454126846045</v>
      </c>
      <c r="BF390" s="3">
        <v>13.71445412684605</v>
      </c>
      <c r="BG390" s="3">
        <v>10.941120793512709</v>
      </c>
      <c r="BH390" s="3">
        <v>9.6811207935127186</v>
      </c>
      <c r="BI390" s="3">
        <v>5.9944541268460441</v>
      </c>
      <c r="BJ390" s="3">
        <v>8.9877874601793764</v>
      </c>
      <c r="BK390" s="3">
        <v>10.161120793512708</v>
      </c>
      <c r="BL390" s="3">
        <v>10.234454126846046</v>
      </c>
      <c r="BM390" s="3">
        <v>9.1677874601793832</v>
      </c>
      <c r="BN390" s="3">
        <v>11.551120793512709</v>
      </c>
      <c r="BO390" s="3">
        <v>10.71778746017938</v>
      </c>
      <c r="BP390" s="3">
        <v>11.034454126846043</v>
      </c>
      <c r="BQ390" s="3">
        <v>12.051120793512702</v>
      </c>
      <c r="BR390" s="3">
        <v>8.8777874601793769</v>
      </c>
      <c r="BS390" s="3">
        <v>10.08112079351271</v>
      </c>
      <c r="BT390" s="3">
        <v>10.07778746017938</v>
      </c>
      <c r="BU390" s="3">
        <v>9.0444541268460483</v>
      </c>
      <c r="BV390" s="3">
        <v>7.8611207935127112</v>
      </c>
      <c r="BW390" s="3">
        <v>7.4944541268460512</v>
      </c>
      <c r="BX390" s="3">
        <v>6.6144541268460486</v>
      </c>
      <c r="BY390" s="3">
        <v>19.134454126846045</v>
      </c>
      <c r="BZ390" s="3">
        <v>29.364454126846056</v>
      </c>
      <c r="CA390" s="3">
        <v>9.0644541268460372</v>
      </c>
      <c r="CB390" s="3">
        <v>8.5011207935127118</v>
      </c>
      <c r="CC390" s="3">
        <v>9.2144541268460429</v>
      </c>
      <c r="CD390" s="3">
        <v>8.6211207935127163</v>
      </c>
      <c r="CE390" s="3">
        <v>9.1144541268460415</v>
      </c>
      <c r="CF390" s="3">
        <v>-0.87221253982061953</v>
      </c>
      <c r="CG390" s="3">
        <v>-1.405545873153951</v>
      </c>
      <c r="CH390" s="3">
        <v>-2.482212539820619</v>
      </c>
      <c r="CI390" s="13">
        <f>[1]!dbasum(RecData[[#This Row],[20]:[2000]],RecData[[#Headers],[20]:[2000]])</f>
        <v>17.668828952424629</v>
      </c>
      <c r="CJ390" s="14">
        <v>4842</v>
      </c>
      <c r="CK390" s="15" t="s">
        <v>249</v>
      </c>
      <c r="CL390" s="15">
        <f>RecData[[#This Row],[Start Time]]</f>
        <v>43262.039583333331</v>
      </c>
      <c r="CM390" s="16">
        <f>RecData[[#This Row],[Wind Speed avg]]</f>
        <v>0.09</v>
      </c>
      <c r="CN390" s="16">
        <f>RecData[[#This Row],[Wind Dir. avg]]</f>
        <v>165.6</v>
      </c>
      <c r="CO390" s="16">
        <f>RecData[[#This Row],[Amb. Humidity]]</f>
        <v>88.8</v>
      </c>
      <c r="CP390" s="16">
        <f>RecData[[#This Row],[Amb. Temperature]]</f>
        <v>9.1</v>
      </c>
      <c r="CQ390" s="17">
        <f>RecData[[#This Row],[Amb. Rain Gauge]]</f>
        <v>0</v>
      </c>
      <c r="CR390" s="4" t="s">
        <v>50</v>
      </c>
      <c r="CS390" s="4" t="s">
        <v>49</v>
      </c>
      <c r="CT390" s="70">
        <v>-10.028619770000001</v>
      </c>
      <c r="CU390" s="70">
        <v>217.2116394</v>
      </c>
      <c r="CV390" s="70">
        <v>1.4344115260000001</v>
      </c>
      <c r="CW390" s="70">
        <v>0</v>
      </c>
      <c r="CX390" s="4"/>
      <c r="CY390" s="69"/>
      <c r="CZ390" s="2" t="b">
        <f>IF($DP$1="YES",IF(RecData[[#This Row],[Power (kW)]]&gt;=$CR$3, TRUE,FALSE),TRUE)</f>
        <v>0</v>
      </c>
      <c r="DA390" s="16">
        <f>MIN(MOD(180-ABS(ABS($DA$1-RecData[Yaw Angle (°)])-180),360),MOD(180-ABS(ABS($DB$1-RecData[Yaw Angle (°)])-180),360))</f>
        <v>150.31828737768757</v>
      </c>
      <c r="DB390" s="2" t="str">
        <f>IF($DP$2="None","None",IF(RecData[[#This Row],[Relative Wind Direction]]&lt;=45,"DW",IF(RecData[[#This Row],[Relative Wind Direction]]&lt;=135,"CW","UW")))</f>
        <v>UW</v>
      </c>
      <c r="DC390" s="61">
        <f>IF($CL390-$CL386&gt;1/24,#REF!,IF(SUM($CQ386:$CQ390)&gt;$DS$1,$DS$5,DC391-1))</f>
        <v>-2</v>
      </c>
      <c r="DD390" s="61">
        <f>IF($CL391-$CL390&gt;1/24,#REF!,IF(SUM($CQ386:$CQ390)&gt;$DS$1,$DS$6,DD389-1))</f>
        <v>-9</v>
      </c>
      <c r="DE390" s="18" t="b">
        <v>0</v>
      </c>
      <c r="DF390" s="2" t="b">
        <f>IF(OR(RecData[[#This Row],[WSpd_Avg '[m/s']]]-RecData[[#This Row],[Wind Speed min]]&gt;=$DF$3,RecData[[#This Row],[Wind Speed max]]-RecData[[#This Row],[WSpd_Avg '[m/s']]]&gt;=$DF$2),TRUE,FALSE)</f>
        <v>0</v>
      </c>
      <c r="DG390" s="2" t="b">
        <f>RecData[[#This Row],[Temperature '[°C']]]&lt;=-20</f>
        <v>0</v>
      </c>
      <c r="DH390" s="18" t="b">
        <f>NOT(OR(MOD(RecData[[#This Row],[TIMESTAMP]],1)&gt;0.91632,MOD(RecData[[#This Row],[TIMESTAMP]],1)&lt;0.208681))</f>
        <v>0</v>
      </c>
      <c r="DI390" s="18" t="b">
        <f>RecData[[#This Row],[Overall (dBA)]]-RecData[[#This Row],[L90]]&gt;=$DS$4</f>
        <v>0</v>
      </c>
      <c r="DJ390" s="18" t="b">
        <f>RecData[[#This Row],[Overall (dBA)]]&gt;$DS$2</f>
        <v>0</v>
      </c>
      <c r="DK390" s="18" t="b">
        <f>RecData[[#This Row],[Overall (dBA)]]&lt;$DS$3</f>
        <v>0</v>
      </c>
      <c r="DL3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0" s="2">
        <f>IF(AND(RecData[[#This Row],[Turbines ON/OFF]] = "OFF", NOT(OR(RecData[[#This Row],[Junk?]]="YES",RecData[[#This Row],[Gust?]],RecData[[#This Row],[Rain?]:[Min SPL Threshold?]]))),1,0)</f>
        <v>1</v>
      </c>
      <c r="DN390" s="16">
        <f>RecData[[#This Row],[dBA Sum]]</f>
        <v>17.668828952424629</v>
      </c>
      <c r="DO390" s="16">
        <f>RecData[[#This Row],[LAF90.0]]</f>
        <v>25.4</v>
      </c>
      <c r="DP390" s="55" t="str">
        <f>IF(AND(RecData[[#This Row],[Useable TON Data?]],RecData[[#This Row],[Turbines ON/OFF]]="ON"),RecData[[#This Row],[dBA Sum]],"")</f>
        <v/>
      </c>
      <c r="DQ390" s="55">
        <f>IF(AND(RecData[[#This Row],[Useable Background Data?]],RecData[[#This Row],[Turbines ON/OFF]]="OFF"),RecData[[#This Row],[dBA Sum]],"")</f>
        <v>17.668828952424629</v>
      </c>
      <c r="DR390" s="3">
        <f>IF(OR(RecData[[#This Row],[Useable TON Data?]],RecData[[#This Row],[Useable Background Data?]]),ROUND(RecData[[#This Row],[WSpd_Avg '[m/s']]],0),"")</f>
        <v>0</v>
      </c>
      <c r="DS390" s="85">
        <f>(0.00002)^2*(10^(RecData[[#This Row],[Overall (dBA)]]/10))</f>
        <v>2.3385296818321848E-8</v>
      </c>
    </row>
    <row r="391" spans="1:123" ht="15" x14ac:dyDescent="0.25">
      <c r="A391" s="3" t="s">
        <v>249</v>
      </c>
      <c r="B391" s="12">
        <v>43262.040277777778</v>
      </c>
      <c r="C391" s="3"/>
      <c r="D391" s="3">
        <v>30.5</v>
      </c>
      <c r="E391" s="3"/>
      <c r="F391" s="3"/>
      <c r="G391" s="3"/>
      <c r="H391" s="3"/>
      <c r="I391" s="3"/>
      <c r="J391" s="3"/>
      <c r="K391" s="3">
        <v>26.5</v>
      </c>
      <c r="L391" s="3"/>
      <c r="M391" s="3"/>
      <c r="N391" s="3">
        <v>152.19999999999999</v>
      </c>
      <c r="O391" s="3"/>
      <c r="P391" s="3"/>
      <c r="Q391" s="3">
        <v>0.18</v>
      </c>
      <c r="R391" s="3">
        <v>0</v>
      </c>
      <c r="S391" s="3">
        <v>0.4</v>
      </c>
      <c r="T391" s="3">
        <v>9.1</v>
      </c>
      <c r="U391" s="3">
        <v>88.8</v>
      </c>
      <c r="V391" s="3">
        <v>974.2</v>
      </c>
      <c r="W391" s="3">
        <v>0</v>
      </c>
      <c r="X391" s="3">
        <v>13.9</v>
      </c>
      <c r="Y391" s="3">
        <v>10.8</v>
      </c>
      <c r="Z391" s="3">
        <v>14.1</v>
      </c>
      <c r="AA391" s="3">
        <v>8.6999999999999993</v>
      </c>
      <c r="AB391" s="3">
        <v>8.3000000000000007</v>
      </c>
      <c r="AC391" s="3">
        <v>5.9</v>
      </c>
      <c r="AD391" s="3">
        <v>7.7</v>
      </c>
      <c r="AE391" s="3">
        <v>8.4</v>
      </c>
      <c r="AF391" s="3">
        <v>10.5</v>
      </c>
      <c r="AG391" s="3">
        <v>8.4</v>
      </c>
      <c r="AH391" s="3">
        <v>7.7</v>
      </c>
      <c r="AI391" s="3">
        <v>8.3000000000000007</v>
      </c>
      <c r="AJ391" s="3">
        <v>10.6</v>
      </c>
      <c r="AK391" s="3">
        <v>8.6999999999999993</v>
      </c>
      <c r="AL391" s="3">
        <v>7.6</v>
      </c>
      <c r="AM391" s="3">
        <v>7</v>
      </c>
      <c r="AN391" s="3">
        <v>7.3</v>
      </c>
      <c r="AO391" s="3">
        <v>6.9</v>
      </c>
      <c r="AP391" s="3">
        <v>6.7</v>
      </c>
      <c r="AQ391" s="3">
        <v>7.1</v>
      </c>
      <c r="AR391" s="3">
        <v>6.4</v>
      </c>
      <c r="AS391" s="3">
        <v>20.7</v>
      </c>
      <c r="AT391" s="3">
        <v>28.2</v>
      </c>
      <c r="AU391" s="3">
        <v>8.6999999999999993</v>
      </c>
      <c r="AV391" s="3">
        <v>8.6</v>
      </c>
      <c r="AW391" s="3">
        <v>9.1999999999999993</v>
      </c>
      <c r="AX391" s="3">
        <v>9.3000000000000007</v>
      </c>
      <c r="AY391" s="3">
        <v>9.6</v>
      </c>
      <c r="AZ391" s="3">
        <v>0</v>
      </c>
      <c r="BA391" s="3">
        <v>0</v>
      </c>
      <c r="BB391" s="3">
        <v>0</v>
      </c>
      <c r="BC391" s="3">
        <v>30.433335488008627</v>
      </c>
      <c r="BD391" s="3">
        <v>13.966664511991372</v>
      </c>
      <c r="BE391" s="3">
        <v>10.86666451199137</v>
      </c>
      <c r="BF391" s="3">
        <v>12.926664511991373</v>
      </c>
      <c r="BG391" s="3">
        <v>7.8533311786580349</v>
      </c>
      <c r="BH391" s="3">
        <v>7.593331178658044</v>
      </c>
      <c r="BI391" s="3">
        <v>5.6066645119913723</v>
      </c>
      <c r="BJ391" s="3">
        <v>8.199997845324706</v>
      </c>
      <c r="BK391" s="3">
        <v>8.7733311786580366</v>
      </c>
      <c r="BL391" s="3">
        <v>10.446664511991376</v>
      </c>
      <c r="BM391" s="3">
        <v>8.4799978453247071</v>
      </c>
      <c r="BN391" s="3">
        <v>8.0633311786580428</v>
      </c>
      <c r="BO391" s="3">
        <v>8.0299978453247114</v>
      </c>
      <c r="BP391" s="3">
        <v>10.046664511991377</v>
      </c>
      <c r="BQ391" s="3">
        <v>8.5633311786580286</v>
      </c>
      <c r="BR391" s="3">
        <v>7.7899978453247094</v>
      </c>
      <c r="BS391" s="3">
        <v>6.9933311786580425</v>
      </c>
      <c r="BT391" s="3">
        <v>7.4899978453247051</v>
      </c>
      <c r="BU391" s="3">
        <v>7.0566645119913751</v>
      </c>
      <c r="BV391" s="3">
        <v>6.5733311786580408</v>
      </c>
      <c r="BW391" s="3">
        <v>7.506664511991378</v>
      </c>
      <c r="BX391" s="3">
        <v>6.7266645119913768</v>
      </c>
      <c r="BY391" s="3">
        <v>20.846664511991374</v>
      </c>
      <c r="BZ391" s="3">
        <v>28.476664511991377</v>
      </c>
      <c r="CA391" s="3">
        <v>9.076664511991364</v>
      </c>
      <c r="CB391" s="3">
        <v>8.4133311786580371</v>
      </c>
      <c r="CC391" s="3">
        <v>9.2266645119913697</v>
      </c>
      <c r="CD391" s="3">
        <v>8.6333311786580431</v>
      </c>
      <c r="CE391" s="3">
        <v>9.1266645119913754</v>
      </c>
      <c r="CF391" s="3">
        <v>-0.86000215467529273</v>
      </c>
      <c r="CG391" s="3">
        <v>-1.3933354880086242</v>
      </c>
      <c r="CH391" s="3">
        <v>-2.4700021546752922</v>
      </c>
      <c r="CI391" s="13">
        <f>[1]!dbasum(RecData[[#This Row],[20]:[2000]],RecData[[#Headers],[20]:[2000]])</f>
        <v>16.125023913615998</v>
      </c>
      <c r="CJ391" s="14">
        <v>4843</v>
      </c>
      <c r="CK391" s="15" t="s">
        <v>249</v>
      </c>
      <c r="CL391" s="15">
        <f>RecData[[#This Row],[Start Time]]</f>
        <v>43262.040277777778</v>
      </c>
      <c r="CM391" s="16">
        <f>RecData[[#This Row],[Wind Speed avg]]</f>
        <v>0.18</v>
      </c>
      <c r="CN391" s="16">
        <f>RecData[[#This Row],[Wind Dir. avg]]</f>
        <v>152.19999999999999</v>
      </c>
      <c r="CO391" s="16">
        <f>RecData[[#This Row],[Amb. Humidity]]</f>
        <v>88.8</v>
      </c>
      <c r="CP391" s="16">
        <f>RecData[[#This Row],[Amb. Temperature]]</f>
        <v>9.1</v>
      </c>
      <c r="CQ391" s="17">
        <f>RecData[[#This Row],[Amb. Rain Gauge]]</f>
        <v>0</v>
      </c>
      <c r="CR391" s="4" t="s">
        <v>50</v>
      </c>
      <c r="CS391" s="4" t="s">
        <v>49</v>
      </c>
      <c r="CT391" s="70">
        <v>-10.028619770000001</v>
      </c>
      <c r="CU391" s="70">
        <v>217.2116394</v>
      </c>
      <c r="CV391" s="70">
        <v>1.4344115260000001</v>
      </c>
      <c r="CW391" s="70">
        <v>0</v>
      </c>
      <c r="CX391" s="4"/>
      <c r="CY391" s="69"/>
      <c r="CZ391" s="2" t="b">
        <f>IF($DP$1="YES",IF(RecData[[#This Row],[Power (kW)]]&gt;=$CR$3, TRUE,FALSE),TRUE)</f>
        <v>0</v>
      </c>
      <c r="DA391" s="16">
        <f>MIN(MOD(180-ABS(ABS($DA$1-RecData[Yaw Angle (°)])-180),360),MOD(180-ABS(ABS($DB$1-RecData[Yaw Angle (°)])-180),360))</f>
        <v>150.31828737768757</v>
      </c>
      <c r="DB391" s="2" t="str">
        <f>IF($DP$2="None","None",IF(RecData[[#This Row],[Relative Wind Direction]]&lt;=45,"DW",IF(RecData[[#This Row],[Relative Wind Direction]]&lt;=135,"CW","UW")))</f>
        <v>UW</v>
      </c>
      <c r="DC391" s="61">
        <v>-1</v>
      </c>
      <c r="DD391" s="61">
        <v>-1</v>
      </c>
      <c r="DE391" s="18" t="b">
        <v>0</v>
      </c>
      <c r="DF391" s="2" t="b">
        <f>IF(OR(RecData[[#This Row],[WSpd_Avg '[m/s']]]-RecData[[#This Row],[Wind Speed min]]&gt;=$DF$3,RecData[[#This Row],[Wind Speed max]]-RecData[[#This Row],[WSpd_Avg '[m/s']]]&gt;=$DF$2),TRUE,FALSE)</f>
        <v>0</v>
      </c>
      <c r="DG391" s="2" t="b">
        <f>RecData[[#This Row],[Temperature '[°C']]]&lt;=-20</f>
        <v>0</v>
      </c>
      <c r="DH391" s="18" t="b">
        <f>NOT(OR(MOD(RecData[[#This Row],[TIMESTAMP]],1)&gt;0.91632,MOD(RecData[[#This Row],[TIMESTAMP]],1)&lt;0.208681))</f>
        <v>0</v>
      </c>
      <c r="DI391" s="18" t="b">
        <f>RecData[[#This Row],[Overall (dBA)]]-RecData[[#This Row],[L90]]&gt;=$DS$4</f>
        <v>0</v>
      </c>
      <c r="DJ391" s="18" t="b">
        <f>RecData[[#This Row],[Overall (dBA)]]&gt;$DS$2</f>
        <v>0</v>
      </c>
      <c r="DK391" s="18" t="b">
        <f>RecData[[#This Row],[Overall (dBA)]]&lt;$DS$3</f>
        <v>0</v>
      </c>
      <c r="DL3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1" s="2">
        <f>IF(AND(RecData[[#This Row],[Turbines ON/OFF]] = "OFF", NOT(OR(RecData[[#This Row],[Junk?]]="YES",RecData[[#This Row],[Gust?]],RecData[[#This Row],[Rain?]:[Min SPL Threshold?]]))),1,0)</f>
        <v>1</v>
      </c>
      <c r="DN391" s="16">
        <f>RecData[[#This Row],[dBA Sum]]</f>
        <v>16.125023913615998</v>
      </c>
      <c r="DO391" s="16">
        <f>RecData[[#This Row],[LAF90.0]]</f>
        <v>26.5</v>
      </c>
      <c r="DP391" s="55" t="str">
        <f>IF(AND(RecData[[#This Row],[Useable TON Data?]],RecData[[#This Row],[Turbines ON/OFF]]="ON"),RecData[[#This Row],[dBA Sum]],"")</f>
        <v/>
      </c>
      <c r="DQ391" s="55">
        <f>IF(AND(RecData[[#This Row],[Useable Background Data?]],RecData[[#This Row],[Turbines ON/OFF]]="OFF"),RecData[[#This Row],[dBA Sum]],"")</f>
        <v>16.125023913615998</v>
      </c>
      <c r="DR391" s="3">
        <f>IF(OR(RecData[[#This Row],[Useable TON Data?]],RecData[[#This Row],[Useable Background Data?]]),ROUND(RecData[[#This Row],[WSpd_Avg '[m/s']]],0),"")</f>
        <v>0</v>
      </c>
      <c r="DS391" s="85">
        <f>(0.00002)^2*(10^(RecData[[#This Row],[Overall (dBA)]]/10))</f>
        <v>1.6389374637329208E-8</v>
      </c>
    </row>
    <row r="392" spans="1:123" ht="15" x14ac:dyDescent="0.25">
      <c r="A392" s="3" t="s">
        <v>249</v>
      </c>
      <c r="B392" s="12">
        <v>43262.040972222225</v>
      </c>
      <c r="C392" s="3"/>
      <c r="D392" s="3">
        <v>32.799999999999997</v>
      </c>
      <c r="E392" s="3"/>
      <c r="F392" s="3"/>
      <c r="G392" s="3"/>
      <c r="H392" s="3"/>
      <c r="I392" s="3"/>
      <c r="J392" s="3"/>
      <c r="K392" s="3">
        <v>25.9</v>
      </c>
      <c r="L392" s="3"/>
      <c r="M392" s="3"/>
      <c r="N392" s="3">
        <v>145.19999999999999</v>
      </c>
      <c r="O392" s="3"/>
      <c r="P392" s="3"/>
      <c r="Q392" s="3">
        <v>0.49</v>
      </c>
      <c r="R392" s="3">
        <v>0.3</v>
      </c>
      <c r="S392" s="3">
        <v>0.6</v>
      </c>
      <c r="T392" s="3">
        <v>9.1</v>
      </c>
      <c r="U392" s="3">
        <v>89.2</v>
      </c>
      <c r="V392" s="3">
        <v>974.2</v>
      </c>
      <c r="W392" s="3">
        <v>0</v>
      </c>
      <c r="X392" s="3">
        <v>17.5</v>
      </c>
      <c r="Y392" s="3">
        <v>11.8</v>
      </c>
      <c r="Z392" s="3">
        <v>14.3</v>
      </c>
      <c r="AA392" s="3">
        <v>8.4</v>
      </c>
      <c r="AB392" s="3">
        <v>9.3000000000000007</v>
      </c>
      <c r="AC392" s="3">
        <v>5.4</v>
      </c>
      <c r="AD392" s="3">
        <v>8.1</v>
      </c>
      <c r="AE392" s="3">
        <v>9.5</v>
      </c>
      <c r="AF392" s="3">
        <v>8.4</v>
      </c>
      <c r="AG392" s="3">
        <v>9.4</v>
      </c>
      <c r="AH392" s="3">
        <v>9.9</v>
      </c>
      <c r="AI392" s="3">
        <v>8.8000000000000007</v>
      </c>
      <c r="AJ392" s="3">
        <v>10.6</v>
      </c>
      <c r="AK392" s="3">
        <v>8.6999999999999993</v>
      </c>
      <c r="AL392" s="3">
        <v>7.3</v>
      </c>
      <c r="AM392" s="3">
        <v>7.1</v>
      </c>
      <c r="AN392" s="3">
        <v>7.5</v>
      </c>
      <c r="AO392" s="3">
        <v>7</v>
      </c>
      <c r="AP392" s="3">
        <v>6.8</v>
      </c>
      <c r="AQ392" s="3">
        <v>7.4</v>
      </c>
      <c r="AR392" s="3">
        <v>6.8</v>
      </c>
      <c r="AS392" s="3">
        <v>23.6</v>
      </c>
      <c r="AT392" s="3">
        <v>30.6</v>
      </c>
      <c r="AU392" s="3">
        <v>9.1999999999999993</v>
      </c>
      <c r="AV392" s="3">
        <v>8.6999999999999993</v>
      </c>
      <c r="AW392" s="3">
        <v>9.3000000000000007</v>
      </c>
      <c r="AX392" s="3">
        <v>9.4</v>
      </c>
      <c r="AY392" s="3">
        <v>9.6</v>
      </c>
      <c r="AZ392" s="3">
        <v>0</v>
      </c>
      <c r="BA392" s="3">
        <v>0</v>
      </c>
      <c r="BB392" s="3">
        <v>0</v>
      </c>
      <c r="BC392" s="3">
        <v>32.787592026460814</v>
      </c>
      <c r="BD392" s="3">
        <v>17.512407973539183</v>
      </c>
      <c r="BE392" s="3">
        <v>11.81240797353918</v>
      </c>
      <c r="BF392" s="3">
        <v>13.072407973539185</v>
      </c>
      <c r="BG392" s="3">
        <v>7.4990746402058477</v>
      </c>
      <c r="BH392" s="3">
        <v>8.5390746402058539</v>
      </c>
      <c r="BI392" s="3">
        <v>5.0524079735391823</v>
      </c>
      <c r="BJ392" s="3">
        <v>8.5457413068725145</v>
      </c>
      <c r="BK392" s="3">
        <v>9.819074640205848</v>
      </c>
      <c r="BL392" s="3">
        <v>8.2924079735391842</v>
      </c>
      <c r="BM392" s="3">
        <v>9.4257413068725171</v>
      </c>
      <c r="BN392" s="3">
        <v>10.209074640205849</v>
      </c>
      <c r="BO392" s="3">
        <v>8.4757413068725214</v>
      </c>
      <c r="BP392" s="3">
        <v>9.9924079735391871</v>
      </c>
      <c r="BQ392" s="3">
        <v>8.5090746402058386</v>
      </c>
      <c r="BR392" s="3">
        <v>7.4357413068725151</v>
      </c>
      <c r="BS392" s="3">
        <v>7.0390746402058468</v>
      </c>
      <c r="BT392" s="3">
        <v>7.635741306872518</v>
      </c>
      <c r="BU392" s="3">
        <v>7.1024079735391865</v>
      </c>
      <c r="BV392" s="3">
        <v>6.6190746402058522</v>
      </c>
      <c r="BW392" s="3">
        <v>7.7524079735391851</v>
      </c>
      <c r="BX392" s="3">
        <v>7.0724079735391854</v>
      </c>
      <c r="BY392" s="3">
        <v>23.692407973539183</v>
      </c>
      <c r="BZ392" s="3">
        <v>30.822407973539185</v>
      </c>
      <c r="CA392" s="3">
        <v>9.522407973539174</v>
      </c>
      <c r="CB392" s="3">
        <v>8.4590746402058485</v>
      </c>
      <c r="CC392" s="3">
        <v>9.2724079735391811</v>
      </c>
      <c r="CD392" s="3">
        <v>8.6790746402058545</v>
      </c>
      <c r="CE392" s="3">
        <v>9.0724079735391854</v>
      </c>
      <c r="CF392" s="3">
        <v>-0.91425869312748276</v>
      </c>
      <c r="CG392" s="3">
        <v>-1.4475920264608142</v>
      </c>
      <c r="CH392" s="3">
        <v>-2.5242586931274822</v>
      </c>
      <c r="CI392" s="13">
        <f>[1]!dbasum(RecData[[#This Row],[20]:[2000]],RecData[[#Headers],[20]:[2000]])</f>
        <v>16.269197048679139</v>
      </c>
      <c r="CJ392" s="14">
        <v>4844</v>
      </c>
      <c r="CK392" s="15" t="s">
        <v>249</v>
      </c>
      <c r="CL392" s="15">
        <f>RecData[[#This Row],[Start Time]]</f>
        <v>43262.040972222225</v>
      </c>
      <c r="CM392" s="16">
        <f>RecData[[#This Row],[Wind Speed avg]]</f>
        <v>0.49</v>
      </c>
      <c r="CN392" s="16">
        <f>RecData[[#This Row],[Wind Dir. avg]]</f>
        <v>145.19999999999999</v>
      </c>
      <c r="CO392" s="16">
        <f>RecData[[#This Row],[Amb. Humidity]]</f>
        <v>89.2</v>
      </c>
      <c r="CP392" s="16">
        <f>RecData[[#This Row],[Amb. Temperature]]</f>
        <v>9.1</v>
      </c>
      <c r="CQ392" s="17">
        <f>RecData[[#This Row],[Amb. Rain Gauge]]</f>
        <v>0</v>
      </c>
      <c r="CR392" s="4" t="s">
        <v>50</v>
      </c>
      <c r="CS392" s="4" t="s">
        <v>49</v>
      </c>
      <c r="CT392" s="70">
        <v>-10.028619770000001</v>
      </c>
      <c r="CU392" s="70">
        <v>217.2116394</v>
      </c>
      <c r="CV392" s="70">
        <v>1.4344115260000001</v>
      </c>
      <c r="CW392" s="70">
        <v>0</v>
      </c>
      <c r="CX392" s="4"/>
      <c r="CY392" s="69"/>
      <c r="CZ392" s="2" t="b">
        <f>IF($DP$1="YES",IF(RecData[[#This Row],[Power (kW)]]&gt;=$CR$3, TRUE,FALSE),TRUE)</f>
        <v>0</v>
      </c>
      <c r="DA392" s="16">
        <f>MIN(MOD(180-ABS(ABS($DA$1-RecData[Yaw Angle (°)])-180),360),MOD(180-ABS(ABS($DB$1-RecData[Yaw Angle (°)])-180),360))</f>
        <v>150.31828737768757</v>
      </c>
      <c r="DB392" s="2" t="str">
        <f>IF($DP$2="None","None",IF(RecData[[#This Row],[Relative Wind Direction]]&lt;=45,"DW",IF(RecData[[#This Row],[Relative Wind Direction]]&lt;=135,"CW","UW")))</f>
        <v>UW</v>
      </c>
      <c r="DC392" s="61">
        <f>IF($CL392-$CL391&gt;1/24,#REF!,IF(SUM($CQ391:$CQ392)&gt;$DS$1,$DS$5,DC393-1))</f>
        <v>-9</v>
      </c>
      <c r="DD392" s="61">
        <f>IF($CL393-$CL392&gt;1/24,#REF!,IF(SUM($CQ391:$CQ392)&gt;$DS$1,$DS$6,DD391-1))</f>
        <v>-2</v>
      </c>
      <c r="DE392" s="18" t="b">
        <v>0</v>
      </c>
      <c r="DF392" s="2" t="b">
        <f>IF(OR(RecData[[#This Row],[WSpd_Avg '[m/s']]]-RecData[[#This Row],[Wind Speed min]]&gt;=$DF$3,RecData[[#This Row],[Wind Speed max]]-RecData[[#This Row],[WSpd_Avg '[m/s']]]&gt;=$DF$2),TRUE,FALSE)</f>
        <v>0</v>
      </c>
      <c r="DG392" s="2" t="b">
        <f>RecData[[#This Row],[Temperature '[°C']]]&lt;=-20</f>
        <v>0</v>
      </c>
      <c r="DH392" s="18" t="b">
        <f>NOT(OR(MOD(RecData[[#This Row],[TIMESTAMP]],1)&gt;0.91632,MOD(RecData[[#This Row],[TIMESTAMP]],1)&lt;0.208681))</f>
        <v>0</v>
      </c>
      <c r="DI392" s="18" t="b">
        <f>RecData[[#This Row],[Overall (dBA)]]-RecData[[#This Row],[L90]]&gt;=$DS$4</f>
        <v>0</v>
      </c>
      <c r="DJ392" s="18" t="b">
        <f>RecData[[#This Row],[Overall (dBA)]]&gt;$DS$2</f>
        <v>0</v>
      </c>
      <c r="DK392" s="18" t="b">
        <f>RecData[[#This Row],[Overall (dBA)]]&lt;$DS$3</f>
        <v>0</v>
      </c>
      <c r="DL3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2" s="2">
        <f>IF(AND(RecData[[#This Row],[Turbines ON/OFF]] = "OFF", NOT(OR(RecData[[#This Row],[Junk?]]="YES",RecData[[#This Row],[Gust?]],RecData[[#This Row],[Rain?]:[Min SPL Threshold?]]))),1,0)</f>
        <v>1</v>
      </c>
      <c r="DN392" s="16">
        <f>RecData[[#This Row],[dBA Sum]]</f>
        <v>16.269197048679139</v>
      </c>
      <c r="DO392" s="16">
        <f>RecData[[#This Row],[LAF90.0]]</f>
        <v>25.9</v>
      </c>
      <c r="DP392" s="55" t="str">
        <f>IF(AND(RecData[[#This Row],[Useable TON Data?]],RecData[[#This Row],[Turbines ON/OFF]]="ON"),RecData[[#This Row],[dBA Sum]],"")</f>
        <v/>
      </c>
      <c r="DQ392" s="55">
        <f>IF(AND(RecData[[#This Row],[Useable Background Data?]],RecData[[#This Row],[Turbines ON/OFF]]="OFF"),RecData[[#This Row],[dBA Sum]],"")</f>
        <v>16.269197048679139</v>
      </c>
      <c r="DR392" s="3">
        <f>IF(OR(RecData[[#This Row],[Useable TON Data?]],RecData[[#This Row],[Useable Background Data?]]),ROUND(RecData[[#This Row],[WSpd_Avg '[m/s']]],0),"")</f>
        <v>0</v>
      </c>
      <c r="DS392" s="85">
        <f>(0.00002)^2*(10^(RecData[[#This Row],[Overall (dBA)]]/10))</f>
        <v>1.6942585899113693E-8</v>
      </c>
    </row>
    <row r="393" spans="1:123" ht="15" x14ac:dyDescent="0.25">
      <c r="A393" s="3" t="s">
        <v>249</v>
      </c>
      <c r="B393" s="12">
        <v>43262.041666666672</v>
      </c>
      <c r="C393" s="3"/>
      <c r="D393" s="3">
        <v>32.1</v>
      </c>
      <c r="E393" s="3"/>
      <c r="F393" s="3"/>
      <c r="G393" s="3"/>
      <c r="H393" s="3"/>
      <c r="I393" s="3"/>
      <c r="J393" s="3"/>
      <c r="K393" s="3">
        <v>27.7</v>
      </c>
      <c r="L393" s="3"/>
      <c r="M393" s="3"/>
      <c r="N393" s="3">
        <v>135.30000000000001</v>
      </c>
      <c r="O393" s="3"/>
      <c r="P393" s="3"/>
      <c r="Q393" s="3">
        <v>0.67</v>
      </c>
      <c r="R393" s="3">
        <v>0.5</v>
      </c>
      <c r="S393" s="3">
        <v>0.9</v>
      </c>
      <c r="T393" s="3">
        <v>9.1</v>
      </c>
      <c r="U393" s="3">
        <v>89.3</v>
      </c>
      <c r="V393" s="3">
        <v>974.2</v>
      </c>
      <c r="W393" s="3">
        <v>0</v>
      </c>
      <c r="X393" s="3">
        <v>25.9</v>
      </c>
      <c r="Y393" s="3">
        <v>24.3</v>
      </c>
      <c r="Z393" s="3">
        <v>25.6</v>
      </c>
      <c r="AA393" s="3">
        <v>20.7</v>
      </c>
      <c r="AB393" s="3">
        <v>13.2</v>
      </c>
      <c r="AC393" s="3">
        <v>8.3000000000000007</v>
      </c>
      <c r="AD393" s="3">
        <v>9.6999999999999993</v>
      </c>
      <c r="AE393" s="3">
        <v>12.3</v>
      </c>
      <c r="AF393" s="3">
        <v>14.8</v>
      </c>
      <c r="AG393" s="3">
        <v>14.2</v>
      </c>
      <c r="AH393" s="3">
        <v>13.7</v>
      </c>
      <c r="AI393" s="3">
        <v>13.6</v>
      </c>
      <c r="AJ393" s="3">
        <v>13.6</v>
      </c>
      <c r="AK393" s="3">
        <v>19</v>
      </c>
      <c r="AL393" s="3">
        <v>10.8</v>
      </c>
      <c r="AM393" s="3">
        <v>20.5</v>
      </c>
      <c r="AN393" s="3">
        <v>14.4</v>
      </c>
      <c r="AO393" s="3">
        <v>12.9</v>
      </c>
      <c r="AP393" s="3">
        <v>10.6</v>
      </c>
      <c r="AQ393" s="3">
        <v>7.8</v>
      </c>
      <c r="AR393" s="3">
        <v>6.9</v>
      </c>
      <c r="AS393" s="3">
        <v>20.3</v>
      </c>
      <c r="AT393" s="3">
        <v>29.7</v>
      </c>
      <c r="AU393" s="3">
        <v>9.1999999999999993</v>
      </c>
      <c r="AV393" s="3">
        <v>8.6</v>
      </c>
      <c r="AW393" s="3">
        <v>9.1999999999999993</v>
      </c>
      <c r="AX393" s="3">
        <v>9.3000000000000007</v>
      </c>
      <c r="AY393" s="3">
        <v>9.6</v>
      </c>
      <c r="AZ393" s="3">
        <v>0</v>
      </c>
      <c r="BA393" s="3">
        <v>0</v>
      </c>
      <c r="BB393" s="3">
        <v>0</v>
      </c>
      <c r="BC393" s="3">
        <v>32.034700703807232</v>
      </c>
      <c r="BD393" s="3">
        <v>25.965299296192768</v>
      </c>
      <c r="BE393" s="3">
        <v>24.365299296192774</v>
      </c>
      <c r="BF393" s="3">
        <v>24.425299296192776</v>
      </c>
      <c r="BG393" s="3">
        <v>19.851965962859431</v>
      </c>
      <c r="BH393" s="3">
        <v>12.491965962859439</v>
      </c>
      <c r="BI393" s="3">
        <v>8.0052992961927742</v>
      </c>
      <c r="BJ393" s="3">
        <v>10.198632629526102</v>
      </c>
      <c r="BK393" s="3">
        <v>12.671965962859431</v>
      </c>
      <c r="BL393" s="3">
        <v>14.745299296192769</v>
      </c>
      <c r="BM393" s="3">
        <v>14.278632629526101</v>
      </c>
      <c r="BN393" s="3">
        <v>14.061965962859432</v>
      </c>
      <c r="BO393" s="3">
        <v>13.328632629526105</v>
      </c>
      <c r="BP393" s="3">
        <v>13.045299296192766</v>
      </c>
      <c r="BQ393" s="3">
        <v>18.861965962859429</v>
      </c>
      <c r="BR393" s="3">
        <v>10.988632629526109</v>
      </c>
      <c r="BS393" s="3">
        <v>20.491965962859439</v>
      </c>
      <c r="BT393" s="3">
        <v>14.588632629526103</v>
      </c>
      <c r="BU393" s="3">
        <v>13.055299296192771</v>
      </c>
      <c r="BV393" s="3">
        <v>10.471965962859436</v>
      </c>
      <c r="BW393" s="3">
        <v>8.2052992961927771</v>
      </c>
      <c r="BX393" s="3">
        <v>7.2252992961927731</v>
      </c>
      <c r="BY393" s="3">
        <v>20.445299296192772</v>
      </c>
      <c r="BZ393" s="3">
        <v>29.975299296192773</v>
      </c>
      <c r="CA393" s="3">
        <v>9.5752992961927603</v>
      </c>
      <c r="CB393" s="3">
        <v>8.4119659628594334</v>
      </c>
      <c r="CC393" s="3">
        <v>9.225299296192766</v>
      </c>
      <c r="CD393" s="3">
        <v>8.6319659628594394</v>
      </c>
      <c r="CE393" s="3">
        <v>9.1252992961927646</v>
      </c>
      <c r="CF393" s="3">
        <v>-0.86136737047389644</v>
      </c>
      <c r="CG393" s="3">
        <v>-1.3947007038072279</v>
      </c>
      <c r="CH393" s="3">
        <v>-2.4713673704738959</v>
      </c>
      <c r="CI393" s="13">
        <f>[1]!dbasum(RecData[[#This Row],[20]:[2000]],RecData[[#Headers],[20]:[2000]])</f>
        <v>22.72984820694656</v>
      </c>
      <c r="CJ393" s="14">
        <v>4845</v>
      </c>
      <c r="CK393" s="15" t="s">
        <v>249</v>
      </c>
      <c r="CL393" s="15">
        <f>RecData[[#This Row],[Start Time]]</f>
        <v>43262.041666666672</v>
      </c>
      <c r="CM393" s="16">
        <f>RecData[[#This Row],[Wind Speed avg]]</f>
        <v>0.67</v>
      </c>
      <c r="CN393" s="16">
        <f>RecData[[#This Row],[Wind Dir. avg]]</f>
        <v>135.30000000000001</v>
      </c>
      <c r="CO393" s="16">
        <f>RecData[[#This Row],[Amb. Humidity]]</f>
        <v>89.3</v>
      </c>
      <c r="CP393" s="16">
        <f>RecData[[#This Row],[Amb. Temperature]]</f>
        <v>9.1</v>
      </c>
      <c r="CQ393" s="17">
        <f>RecData[[#This Row],[Amb. Rain Gauge]]</f>
        <v>0</v>
      </c>
      <c r="CR393" s="4" t="s">
        <v>50</v>
      </c>
      <c r="CS393" s="4" t="s">
        <v>49</v>
      </c>
      <c r="CT393" s="70">
        <v>-10.028619770000001</v>
      </c>
      <c r="CU393" s="70">
        <v>217.2116394</v>
      </c>
      <c r="CV393" s="70">
        <v>1.4344115260000001</v>
      </c>
      <c r="CW393" s="70">
        <v>0</v>
      </c>
      <c r="CX393" s="4"/>
      <c r="CY393" s="69"/>
      <c r="CZ393" s="2" t="b">
        <f>IF($DP$1="YES",IF(RecData[[#This Row],[Power (kW)]]&gt;=$CR$3, TRUE,FALSE),TRUE)</f>
        <v>0</v>
      </c>
      <c r="DA393" s="16">
        <f>MIN(MOD(180-ABS(ABS($DA$1-RecData[Yaw Angle (°)])-180),360),MOD(180-ABS(ABS($DB$1-RecData[Yaw Angle (°)])-180),360))</f>
        <v>150.31828737768757</v>
      </c>
      <c r="DB393" s="2" t="str">
        <f>IF($DP$2="None","None",IF(RecData[[#This Row],[Relative Wind Direction]]&lt;=45,"DW",IF(RecData[[#This Row],[Relative Wind Direction]]&lt;=135,"CW","UW")))</f>
        <v>UW</v>
      </c>
      <c r="DC393" s="61">
        <f>IF($CL393-$CL391&gt;1/24,#REF!,IF(SUM($CQ391:$CQ393)&gt;$DS$1,$DS$5,DC394-1))</f>
        <v>-8</v>
      </c>
      <c r="DD393" s="61">
        <f>IF($CL394-$CL393&gt;1/24,#REF!,IF(SUM($CQ391:$CQ393)&gt;$DS$1,$DS$6,DD392-1))</f>
        <v>-3</v>
      </c>
      <c r="DE393" s="18" t="b">
        <v>0</v>
      </c>
      <c r="DF393" s="2" t="b">
        <f>IF(OR(RecData[[#This Row],[WSpd_Avg '[m/s']]]-RecData[[#This Row],[Wind Speed min]]&gt;=$DF$3,RecData[[#This Row],[Wind Speed max]]-RecData[[#This Row],[WSpd_Avg '[m/s']]]&gt;=$DF$2),TRUE,FALSE)</f>
        <v>0</v>
      </c>
      <c r="DG393" s="2" t="b">
        <f>RecData[[#This Row],[Temperature '[°C']]]&lt;=-20</f>
        <v>0</v>
      </c>
      <c r="DH393" s="18" t="b">
        <f>NOT(OR(MOD(RecData[[#This Row],[TIMESTAMP]],1)&gt;0.91632,MOD(RecData[[#This Row],[TIMESTAMP]],1)&lt;0.208681))</f>
        <v>0</v>
      </c>
      <c r="DI393" s="18" t="b">
        <f>RecData[[#This Row],[Overall (dBA)]]-RecData[[#This Row],[L90]]&gt;=$DS$4</f>
        <v>0</v>
      </c>
      <c r="DJ393" s="18" t="b">
        <f>RecData[[#This Row],[Overall (dBA)]]&gt;$DS$2</f>
        <v>0</v>
      </c>
      <c r="DK393" s="18" t="b">
        <f>RecData[[#This Row],[Overall (dBA)]]&lt;$DS$3</f>
        <v>0</v>
      </c>
      <c r="DL3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3" s="2">
        <f>IF(AND(RecData[[#This Row],[Turbines ON/OFF]] = "OFF", NOT(OR(RecData[[#This Row],[Junk?]]="YES",RecData[[#This Row],[Gust?]],RecData[[#This Row],[Rain?]:[Min SPL Threshold?]]))),1,0)</f>
        <v>1</v>
      </c>
      <c r="DN393" s="16">
        <f>RecData[[#This Row],[dBA Sum]]</f>
        <v>22.72984820694656</v>
      </c>
      <c r="DO393" s="16">
        <f>RecData[[#This Row],[LAF90.0]]</f>
        <v>27.7</v>
      </c>
      <c r="DP393" s="55" t="str">
        <f>IF(AND(RecData[[#This Row],[Useable TON Data?]],RecData[[#This Row],[Turbines ON/OFF]]="ON"),RecData[[#This Row],[dBA Sum]],"")</f>
        <v/>
      </c>
      <c r="DQ393" s="55">
        <f>IF(AND(RecData[[#This Row],[Useable Background Data?]],RecData[[#This Row],[Turbines ON/OFF]]="OFF"),RecData[[#This Row],[dBA Sum]],"")</f>
        <v>22.72984820694656</v>
      </c>
      <c r="DR393" s="3">
        <f>IF(OR(RecData[[#This Row],[Useable TON Data?]],RecData[[#This Row],[Useable Background Data?]]),ROUND(RecData[[#This Row],[WSpd_Avg '[m/s']]],0),"")</f>
        <v>1</v>
      </c>
      <c r="DS393" s="85">
        <f>(0.00002)^2*(10^(RecData[[#This Row],[Overall (dBA)]]/10))</f>
        <v>7.499715900301929E-8</v>
      </c>
    </row>
    <row r="394" spans="1:123" ht="15" x14ac:dyDescent="0.25">
      <c r="A394" s="3" t="s">
        <v>249</v>
      </c>
      <c r="B394" s="12">
        <v>43262.042361111118</v>
      </c>
      <c r="C394" s="3"/>
      <c r="D394" s="3">
        <v>30.6</v>
      </c>
      <c r="E394" s="3"/>
      <c r="F394" s="3"/>
      <c r="G394" s="3"/>
      <c r="H394" s="3"/>
      <c r="I394" s="3"/>
      <c r="J394" s="3"/>
      <c r="K394" s="3">
        <v>26.2</v>
      </c>
      <c r="L394" s="3"/>
      <c r="M394" s="3"/>
      <c r="N394" s="3">
        <v>135.5</v>
      </c>
      <c r="O394" s="3"/>
      <c r="P394" s="3"/>
      <c r="Q394" s="3">
        <v>0.6</v>
      </c>
      <c r="R394" s="3">
        <v>0.5</v>
      </c>
      <c r="S394" s="3">
        <v>0.8</v>
      </c>
      <c r="T394" s="3">
        <v>9.1</v>
      </c>
      <c r="U394" s="3">
        <v>89.4</v>
      </c>
      <c r="V394" s="3">
        <v>974.2</v>
      </c>
      <c r="W394" s="3">
        <v>0</v>
      </c>
      <c r="X394" s="3">
        <v>20</v>
      </c>
      <c r="Y394" s="3">
        <v>20.5</v>
      </c>
      <c r="Z394" s="3">
        <v>18.8</v>
      </c>
      <c r="AA394" s="3">
        <v>14.4</v>
      </c>
      <c r="AB394" s="3">
        <v>10.199999999999999</v>
      </c>
      <c r="AC394" s="3">
        <v>6.7</v>
      </c>
      <c r="AD394" s="3">
        <v>8</v>
      </c>
      <c r="AE394" s="3">
        <v>10.1</v>
      </c>
      <c r="AF394" s="3">
        <v>11</v>
      </c>
      <c r="AG394" s="3">
        <v>9.4</v>
      </c>
      <c r="AH394" s="3">
        <v>9.6</v>
      </c>
      <c r="AI394" s="3">
        <v>9.9</v>
      </c>
      <c r="AJ394" s="3">
        <v>10.9</v>
      </c>
      <c r="AK394" s="3">
        <v>8.8000000000000007</v>
      </c>
      <c r="AL394" s="3">
        <v>7.5</v>
      </c>
      <c r="AM394" s="3">
        <v>7.5</v>
      </c>
      <c r="AN394" s="3">
        <v>7.8</v>
      </c>
      <c r="AO394" s="3">
        <v>7.4</v>
      </c>
      <c r="AP394" s="3">
        <v>7.1</v>
      </c>
      <c r="AQ394" s="3">
        <v>7.6</v>
      </c>
      <c r="AR394" s="3">
        <v>6.8</v>
      </c>
      <c r="AS394" s="3">
        <v>20</v>
      </c>
      <c r="AT394" s="3">
        <v>28.4</v>
      </c>
      <c r="AU394" s="3">
        <v>8.8000000000000007</v>
      </c>
      <c r="AV394" s="3">
        <v>9.1</v>
      </c>
      <c r="AW394" s="3">
        <v>9.8000000000000007</v>
      </c>
      <c r="AX394" s="3">
        <v>9.5</v>
      </c>
      <c r="AY394" s="3">
        <v>10.1</v>
      </c>
      <c r="AZ394" s="3">
        <v>0</v>
      </c>
      <c r="BA394" s="3">
        <v>0</v>
      </c>
      <c r="BB394" s="3">
        <v>0</v>
      </c>
      <c r="BC394" s="3">
        <v>30.531979977723704</v>
      </c>
      <c r="BD394" s="3">
        <v>20.068020022276297</v>
      </c>
      <c r="BE394" s="3">
        <v>20.568020022276297</v>
      </c>
      <c r="BF394" s="3">
        <v>17.628020022276299</v>
      </c>
      <c r="BG394" s="3">
        <v>13.554686688942962</v>
      </c>
      <c r="BH394" s="3">
        <v>9.4946866889429664</v>
      </c>
      <c r="BI394" s="3">
        <v>6.4080200222763004</v>
      </c>
      <c r="BJ394" s="3">
        <v>8.501353355609627</v>
      </c>
      <c r="BK394" s="3">
        <v>10.474686688942956</v>
      </c>
      <c r="BL394" s="3">
        <v>10.9480200222763</v>
      </c>
      <c r="BM394" s="3">
        <v>9.481353355609631</v>
      </c>
      <c r="BN394" s="3">
        <v>9.9646866889429653</v>
      </c>
      <c r="BO394" s="3">
        <v>9.6313533556096367</v>
      </c>
      <c r="BP394" s="3">
        <v>10.348020022276298</v>
      </c>
      <c r="BQ394" s="3">
        <v>8.6646866889429539</v>
      </c>
      <c r="BR394" s="3">
        <v>7.6913533556096318</v>
      </c>
      <c r="BS394" s="3">
        <v>7.4946866889429664</v>
      </c>
      <c r="BT394" s="3">
        <v>7.991353355609629</v>
      </c>
      <c r="BU394" s="3">
        <v>7.558020022276299</v>
      </c>
      <c r="BV394" s="3">
        <v>6.9746866889429633</v>
      </c>
      <c r="BW394" s="3">
        <v>8.0080200222763018</v>
      </c>
      <c r="BX394" s="3">
        <v>7.1280200222762993</v>
      </c>
      <c r="BY394" s="3">
        <v>20.148020022276295</v>
      </c>
      <c r="BZ394" s="3">
        <v>28.678020022276304</v>
      </c>
      <c r="CA394" s="3">
        <v>9.1780200222762893</v>
      </c>
      <c r="CB394" s="3">
        <v>8.914686688942961</v>
      </c>
      <c r="CC394" s="3">
        <v>9.828020022276295</v>
      </c>
      <c r="CD394" s="3">
        <v>8.8346866889429698</v>
      </c>
      <c r="CE394" s="3">
        <v>9.6280200222762922</v>
      </c>
      <c r="CF394" s="3">
        <v>-0.85864664439036886</v>
      </c>
      <c r="CG394" s="3">
        <v>-1.3919799777237003</v>
      </c>
      <c r="CH394" s="3">
        <v>-2.4686466443903683</v>
      </c>
      <c r="CI394" s="13">
        <f>[1]!dbasum(RecData[[#This Row],[20]:[2000]],RecData[[#Headers],[20]:[2000]])</f>
        <v>16.583405267745665</v>
      </c>
      <c r="CJ394" s="14">
        <v>4846</v>
      </c>
      <c r="CK394" s="15" t="s">
        <v>249</v>
      </c>
      <c r="CL394" s="15">
        <f>RecData[[#This Row],[Start Time]]</f>
        <v>43262.042361111118</v>
      </c>
      <c r="CM394" s="16">
        <f>RecData[[#This Row],[Wind Speed avg]]</f>
        <v>0.6</v>
      </c>
      <c r="CN394" s="16">
        <f>RecData[[#This Row],[Wind Dir. avg]]</f>
        <v>135.5</v>
      </c>
      <c r="CO394" s="16">
        <f>RecData[[#This Row],[Amb. Humidity]]</f>
        <v>89.4</v>
      </c>
      <c r="CP394" s="16">
        <f>RecData[[#This Row],[Amb. Temperature]]</f>
        <v>9.1</v>
      </c>
      <c r="CQ394" s="17">
        <f>RecData[[#This Row],[Amb. Rain Gauge]]</f>
        <v>0</v>
      </c>
      <c r="CR394" s="4" t="s">
        <v>50</v>
      </c>
      <c r="CS394" s="4" t="s">
        <v>49</v>
      </c>
      <c r="CT394" s="70">
        <v>-9.611400604</v>
      </c>
      <c r="CU394" s="70">
        <v>202.02041629999999</v>
      </c>
      <c r="CV394" s="70">
        <v>0.63366562100000001</v>
      </c>
      <c r="CW394" s="70">
        <v>0</v>
      </c>
      <c r="CX394" s="4"/>
      <c r="CY394" s="69"/>
      <c r="CZ394" s="2" t="b">
        <f>IF($DP$1="YES",IF(RecData[[#This Row],[Power (kW)]]&gt;=$CR$3, TRUE,FALSE),TRUE)</f>
        <v>0</v>
      </c>
      <c r="DA394" s="16">
        <f>MIN(MOD(180-ABS(ABS($DA$1-RecData[Yaw Angle (°)])-180),360),MOD(180-ABS(ABS($DB$1-RecData[Yaw Angle (°)])-180),360))</f>
        <v>165.50951047768757</v>
      </c>
      <c r="DB394" s="2" t="str">
        <f>IF($DP$2="None","None",IF(RecData[[#This Row],[Relative Wind Direction]]&lt;=45,"DW",IF(RecData[[#This Row],[Relative Wind Direction]]&lt;=135,"CW","UW")))</f>
        <v>UW</v>
      </c>
      <c r="DC394" s="61">
        <f>IF($CL394-$CL391&gt;1/24,#REF!,IF(SUM($CQ391:$CQ394)&gt;$DS$1,$DS$5,DC395-1))</f>
        <v>-7</v>
      </c>
      <c r="DD394" s="61">
        <f>IF($CL395-$CL394&gt;1/24,#REF!,IF(SUM($CQ391:$CQ394)&gt;$DS$1,$DS$6,DD393-1))</f>
        <v>-4</v>
      </c>
      <c r="DE394" s="18" t="b">
        <v>0</v>
      </c>
      <c r="DF394" s="2" t="b">
        <f>IF(OR(RecData[[#This Row],[WSpd_Avg '[m/s']]]-RecData[[#This Row],[Wind Speed min]]&gt;=$DF$3,RecData[[#This Row],[Wind Speed max]]-RecData[[#This Row],[WSpd_Avg '[m/s']]]&gt;=$DF$2),TRUE,FALSE)</f>
        <v>0</v>
      </c>
      <c r="DG394" s="2" t="b">
        <f>RecData[[#This Row],[Temperature '[°C']]]&lt;=-20</f>
        <v>0</v>
      </c>
      <c r="DH394" s="18" t="b">
        <f>NOT(OR(MOD(RecData[[#This Row],[TIMESTAMP]],1)&gt;0.91632,MOD(RecData[[#This Row],[TIMESTAMP]],1)&lt;0.208681))</f>
        <v>0</v>
      </c>
      <c r="DI394" s="18" t="b">
        <f>RecData[[#This Row],[Overall (dBA)]]-RecData[[#This Row],[L90]]&gt;=$DS$4</f>
        <v>0</v>
      </c>
      <c r="DJ394" s="18" t="b">
        <f>RecData[[#This Row],[Overall (dBA)]]&gt;$DS$2</f>
        <v>0</v>
      </c>
      <c r="DK394" s="18" t="b">
        <f>RecData[[#This Row],[Overall (dBA)]]&lt;$DS$3</f>
        <v>0</v>
      </c>
      <c r="DL3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4" s="2">
        <f>IF(AND(RecData[[#This Row],[Turbines ON/OFF]] = "OFF", NOT(OR(RecData[[#This Row],[Junk?]]="YES",RecData[[#This Row],[Gust?]],RecData[[#This Row],[Rain?]:[Min SPL Threshold?]]))),1,0)</f>
        <v>1</v>
      </c>
      <c r="DN394" s="16">
        <f>RecData[[#This Row],[dBA Sum]]</f>
        <v>16.583405267745665</v>
      </c>
      <c r="DO394" s="16">
        <f>RecData[[#This Row],[LAF90.0]]</f>
        <v>26.2</v>
      </c>
      <c r="DP394" s="55" t="str">
        <f>IF(AND(RecData[[#This Row],[Useable TON Data?]],RecData[[#This Row],[Turbines ON/OFF]]="ON"),RecData[[#This Row],[dBA Sum]],"")</f>
        <v/>
      </c>
      <c r="DQ394" s="55">
        <f>IF(AND(RecData[[#This Row],[Useable Background Data?]],RecData[[#This Row],[Turbines ON/OFF]]="OFF"),RecData[[#This Row],[dBA Sum]],"")</f>
        <v>16.583405267745665</v>
      </c>
      <c r="DR394" s="3">
        <f>IF(OR(RecData[[#This Row],[Useable TON Data?]],RecData[[#This Row],[Useable Background Data?]]),ROUND(RecData[[#This Row],[WSpd_Avg '[m/s']]],0),"")</f>
        <v>1</v>
      </c>
      <c r="DS394" s="85">
        <f>(0.00002)^2*(10^(RecData[[#This Row],[Overall (dBA)]]/10))</f>
        <v>1.8213798099643542E-8</v>
      </c>
    </row>
    <row r="395" spans="1:123" ht="15" x14ac:dyDescent="0.25">
      <c r="A395" s="3" t="s">
        <v>249</v>
      </c>
      <c r="B395" s="12">
        <v>43262.043055555558</v>
      </c>
      <c r="C395" s="3"/>
      <c r="D395" s="3">
        <v>30.8</v>
      </c>
      <c r="E395" s="3"/>
      <c r="F395" s="3"/>
      <c r="G395" s="3"/>
      <c r="H395" s="3"/>
      <c r="I395" s="3"/>
      <c r="J395" s="3"/>
      <c r="K395" s="3">
        <v>27</v>
      </c>
      <c r="L395" s="3"/>
      <c r="M395" s="3"/>
      <c r="N395" s="3">
        <v>146.6</v>
      </c>
      <c r="O395" s="3"/>
      <c r="P395" s="3"/>
      <c r="Q395" s="3">
        <v>0.59</v>
      </c>
      <c r="R395" s="3">
        <v>0.5</v>
      </c>
      <c r="S395" s="3">
        <v>0.7</v>
      </c>
      <c r="T395" s="3">
        <v>9.1</v>
      </c>
      <c r="U395" s="3">
        <v>89.5</v>
      </c>
      <c r="V395" s="3">
        <v>974.2</v>
      </c>
      <c r="W395" s="3">
        <v>0</v>
      </c>
      <c r="X395" s="3">
        <v>14.2</v>
      </c>
      <c r="Y395" s="3">
        <v>12.5</v>
      </c>
      <c r="Z395" s="3">
        <v>16.2</v>
      </c>
      <c r="AA395" s="3">
        <v>9.9</v>
      </c>
      <c r="AB395" s="3">
        <v>9.6</v>
      </c>
      <c r="AC395" s="3">
        <v>5.5</v>
      </c>
      <c r="AD395" s="3">
        <v>7.5</v>
      </c>
      <c r="AE395" s="3">
        <v>9.8000000000000007</v>
      </c>
      <c r="AF395" s="3">
        <v>11.4</v>
      </c>
      <c r="AG395" s="3">
        <v>9</v>
      </c>
      <c r="AH395" s="3">
        <v>8.8000000000000007</v>
      </c>
      <c r="AI395" s="3">
        <v>9.1999999999999993</v>
      </c>
      <c r="AJ395" s="3">
        <v>10.4</v>
      </c>
      <c r="AK395" s="3">
        <v>8.8000000000000007</v>
      </c>
      <c r="AL395" s="3">
        <v>6.9</v>
      </c>
      <c r="AM395" s="3">
        <v>6.8</v>
      </c>
      <c r="AN395" s="3">
        <v>7.5</v>
      </c>
      <c r="AO395" s="3">
        <v>7.4</v>
      </c>
      <c r="AP395" s="3">
        <v>7.4</v>
      </c>
      <c r="AQ395" s="3">
        <v>7.5</v>
      </c>
      <c r="AR395" s="3">
        <v>6.8</v>
      </c>
      <c r="AS395" s="3">
        <v>22.1</v>
      </c>
      <c r="AT395" s="3">
        <v>28.3</v>
      </c>
      <c r="AU395" s="3">
        <v>8.6</v>
      </c>
      <c r="AV395" s="3">
        <v>8.6999999999999993</v>
      </c>
      <c r="AW395" s="3">
        <v>9.3000000000000007</v>
      </c>
      <c r="AX395" s="3">
        <v>9.4</v>
      </c>
      <c r="AY395" s="3">
        <v>9.6</v>
      </c>
      <c r="AZ395" s="3">
        <v>0</v>
      </c>
      <c r="BA395" s="3">
        <v>0</v>
      </c>
      <c r="BB395" s="3">
        <v>0</v>
      </c>
      <c r="BC395" s="3">
        <v>30.748757252628693</v>
      </c>
      <c r="BD395" s="3">
        <v>14.251242747371307</v>
      </c>
      <c r="BE395" s="3">
        <v>12.551242747371305</v>
      </c>
      <c r="BF395" s="3">
        <v>15.011242747371305</v>
      </c>
      <c r="BG395" s="3">
        <v>9.0379094140379692</v>
      </c>
      <c r="BH395" s="3">
        <v>8.8779094140379726</v>
      </c>
      <c r="BI395" s="3">
        <v>5.1912427473713052</v>
      </c>
      <c r="BJ395" s="3">
        <v>7.9845760807046418</v>
      </c>
      <c r="BK395" s="3">
        <v>10.157909414037974</v>
      </c>
      <c r="BL395" s="3">
        <v>11.331242747371306</v>
      </c>
      <c r="BM395" s="3">
        <v>9.06457608070464</v>
      </c>
      <c r="BN395" s="3">
        <v>9.1479094140379758</v>
      </c>
      <c r="BO395" s="3">
        <v>8.9145760807046415</v>
      </c>
      <c r="BP395" s="3">
        <v>9.8312427473713058</v>
      </c>
      <c r="BQ395" s="3">
        <v>8.6479094140379686</v>
      </c>
      <c r="BR395" s="3">
        <v>7.0745760807046452</v>
      </c>
      <c r="BS395" s="3">
        <v>6.7779094140379783</v>
      </c>
      <c r="BT395" s="3">
        <v>7.6745760807046395</v>
      </c>
      <c r="BU395" s="3">
        <v>7.5412427473713137</v>
      </c>
      <c r="BV395" s="3">
        <v>7.2579094140379752</v>
      </c>
      <c r="BW395" s="3">
        <v>7.891242747371308</v>
      </c>
      <c r="BX395" s="3">
        <v>7.111242747371314</v>
      </c>
      <c r="BY395" s="3">
        <v>22.231242747371311</v>
      </c>
      <c r="BZ395" s="3">
        <v>28.56124274737131</v>
      </c>
      <c r="CA395" s="3">
        <v>8.9612427473713012</v>
      </c>
      <c r="CB395" s="3">
        <v>8.4979094140379701</v>
      </c>
      <c r="CC395" s="3">
        <v>9.3112427473713097</v>
      </c>
      <c r="CD395" s="3">
        <v>8.717909414037976</v>
      </c>
      <c r="CE395" s="3">
        <v>9.1112427473713069</v>
      </c>
      <c r="CF395" s="3">
        <v>-0.87542391929535768</v>
      </c>
      <c r="CG395" s="3">
        <v>-1.4087572526286891</v>
      </c>
      <c r="CH395" s="3">
        <v>-2.4854239192953571</v>
      </c>
      <c r="CI395" s="13">
        <f>[1]!dbasum(RecData[[#This Row],[20]:[2000]],RecData[[#Headers],[20]:[2000]])</f>
        <v>16.407797265726266</v>
      </c>
      <c r="CJ395" s="14">
        <v>4847</v>
      </c>
      <c r="CK395" s="15" t="s">
        <v>249</v>
      </c>
      <c r="CL395" s="15">
        <f>RecData[[#This Row],[Start Time]]</f>
        <v>43262.043055555558</v>
      </c>
      <c r="CM395" s="16">
        <f>RecData[[#This Row],[Wind Speed avg]]</f>
        <v>0.59</v>
      </c>
      <c r="CN395" s="16">
        <f>RecData[[#This Row],[Wind Dir. avg]]</f>
        <v>146.6</v>
      </c>
      <c r="CO395" s="16">
        <f>RecData[[#This Row],[Amb. Humidity]]</f>
        <v>89.5</v>
      </c>
      <c r="CP395" s="16">
        <f>RecData[[#This Row],[Amb. Temperature]]</f>
        <v>9.1</v>
      </c>
      <c r="CQ395" s="17">
        <f>RecData[[#This Row],[Amb. Rain Gauge]]</f>
        <v>0</v>
      </c>
      <c r="CR395" s="4" t="s">
        <v>50</v>
      </c>
      <c r="CS395" s="4" t="s">
        <v>49</v>
      </c>
      <c r="CT395" s="70">
        <v>-9.611400604</v>
      </c>
      <c r="CU395" s="70">
        <v>202.02041629999999</v>
      </c>
      <c r="CV395" s="70">
        <v>0.63366562100000001</v>
      </c>
      <c r="CW395" s="70">
        <v>0</v>
      </c>
      <c r="CX395" s="4"/>
      <c r="CY395" s="69"/>
      <c r="CZ395" s="2" t="b">
        <f>IF($DP$1="YES",IF(RecData[[#This Row],[Power (kW)]]&gt;=$CR$3, TRUE,FALSE),TRUE)</f>
        <v>0</v>
      </c>
      <c r="DA395" s="16">
        <f>MIN(MOD(180-ABS(ABS($DA$1-RecData[Yaw Angle (°)])-180),360),MOD(180-ABS(ABS($DB$1-RecData[Yaw Angle (°)])-180),360))</f>
        <v>165.50951047768757</v>
      </c>
      <c r="DB395" s="2" t="str">
        <f>IF($DP$2="None","None",IF(RecData[[#This Row],[Relative Wind Direction]]&lt;=45,"DW",IF(RecData[[#This Row],[Relative Wind Direction]]&lt;=135,"CW","UW")))</f>
        <v>UW</v>
      </c>
      <c r="DC395" s="61">
        <f>IF($CL395-$CL391&gt;1/24,#REF!,IF(SUM($CQ391:$CQ395)&gt;$DS$1,$DS$5,DC396-1))</f>
        <v>-6</v>
      </c>
      <c r="DD395" s="61">
        <f>IF($CL396-$CL395&gt;1/24,#REF!,IF(SUM($CQ391:$CQ395)&gt;$DS$1,$DS$6,DD394-1))</f>
        <v>-5</v>
      </c>
      <c r="DE395" s="18" t="b">
        <v>0</v>
      </c>
      <c r="DF395" s="2" t="b">
        <f>IF(OR(RecData[[#This Row],[WSpd_Avg '[m/s']]]-RecData[[#This Row],[Wind Speed min]]&gt;=$DF$3,RecData[[#This Row],[Wind Speed max]]-RecData[[#This Row],[WSpd_Avg '[m/s']]]&gt;=$DF$2),TRUE,FALSE)</f>
        <v>0</v>
      </c>
      <c r="DG395" s="2" t="b">
        <f>RecData[[#This Row],[Temperature '[°C']]]&lt;=-20</f>
        <v>0</v>
      </c>
      <c r="DH395" s="18" t="b">
        <f>NOT(OR(MOD(RecData[[#This Row],[TIMESTAMP]],1)&gt;0.91632,MOD(RecData[[#This Row],[TIMESTAMP]],1)&lt;0.208681))</f>
        <v>0</v>
      </c>
      <c r="DI395" s="18" t="b">
        <f>RecData[[#This Row],[Overall (dBA)]]-RecData[[#This Row],[L90]]&gt;=$DS$4</f>
        <v>0</v>
      </c>
      <c r="DJ395" s="18" t="b">
        <f>RecData[[#This Row],[Overall (dBA)]]&gt;$DS$2</f>
        <v>0</v>
      </c>
      <c r="DK395" s="18" t="b">
        <f>RecData[[#This Row],[Overall (dBA)]]&lt;$DS$3</f>
        <v>0</v>
      </c>
      <c r="DL3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5" s="2">
        <f>IF(AND(RecData[[#This Row],[Turbines ON/OFF]] = "OFF", NOT(OR(RecData[[#This Row],[Junk?]]="YES",RecData[[#This Row],[Gust?]],RecData[[#This Row],[Rain?]:[Min SPL Threshold?]]))),1,0)</f>
        <v>1</v>
      </c>
      <c r="DN395" s="16">
        <f>RecData[[#This Row],[dBA Sum]]</f>
        <v>16.407797265726266</v>
      </c>
      <c r="DO395" s="16">
        <f>RecData[[#This Row],[LAF90.0]]</f>
        <v>27</v>
      </c>
      <c r="DP395" s="55" t="str">
        <f>IF(AND(RecData[[#This Row],[Useable TON Data?]],RecData[[#This Row],[Turbines ON/OFF]]="ON"),RecData[[#This Row],[dBA Sum]],"")</f>
        <v/>
      </c>
      <c r="DQ395" s="55">
        <f>IF(AND(RecData[[#This Row],[Useable Background Data?]],RecData[[#This Row],[Turbines ON/OFF]]="OFF"),RecData[[#This Row],[dBA Sum]],"")</f>
        <v>16.407797265726266</v>
      </c>
      <c r="DR395" s="3">
        <f>IF(OR(RecData[[#This Row],[Useable TON Data?]],RecData[[#This Row],[Useable Background Data?]]),ROUND(RecData[[#This Row],[WSpd_Avg '[m/s']]],0),"")</f>
        <v>1</v>
      </c>
      <c r="DS395" s="85">
        <f>(0.00002)^2*(10^(RecData[[#This Row],[Overall (dBA)]]/10))</f>
        <v>1.7492010038104524E-8</v>
      </c>
    </row>
    <row r="396" spans="1:123" ht="15" x14ac:dyDescent="0.25">
      <c r="A396" s="3" t="s">
        <v>249</v>
      </c>
      <c r="B396" s="12">
        <v>43262.043750000004</v>
      </c>
      <c r="C396" s="3"/>
      <c r="D396" s="3">
        <v>29.9</v>
      </c>
      <c r="E396" s="3"/>
      <c r="F396" s="3"/>
      <c r="G396" s="3"/>
      <c r="H396" s="3"/>
      <c r="I396" s="3"/>
      <c r="J396" s="3"/>
      <c r="K396" s="3">
        <v>25</v>
      </c>
      <c r="L396" s="3"/>
      <c r="M396" s="3"/>
      <c r="N396" s="3">
        <v>162.4</v>
      </c>
      <c r="O396" s="3"/>
      <c r="P396" s="3"/>
      <c r="Q396" s="3">
        <v>0.55000000000000004</v>
      </c>
      <c r="R396" s="3">
        <v>0.4</v>
      </c>
      <c r="S396" s="3">
        <v>0.7</v>
      </c>
      <c r="T396" s="3">
        <v>9.1</v>
      </c>
      <c r="U396" s="3">
        <v>89.4</v>
      </c>
      <c r="V396" s="3">
        <v>974.2</v>
      </c>
      <c r="W396" s="3">
        <v>0</v>
      </c>
      <c r="X396" s="3">
        <v>14.9</v>
      </c>
      <c r="Y396" s="3">
        <v>12.4</v>
      </c>
      <c r="Z396" s="3">
        <v>17</v>
      </c>
      <c r="AA396" s="3">
        <v>15.8</v>
      </c>
      <c r="AB396" s="3">
        <v>21.6</v>
      </c>
      <c r="AC396" s="3">
        <v>7.2</v>
      </c>
      <c r="AD396" s="3">
        <v>9.6</v>
      </c>
      <c r="AE396" s="3">
        <v>19.8</v>
      </c>
      <c r="AF396" s="3">
        <v>11.6</v>
      </c>
      <c r="AG396" s="3">
        <v>13</v>
      </c>
      <c r="AH396" s="3">
        <v>14.8</v>
      </c>
      <c r="AI396" s="3">
        <v>13.6</v>
      </c>
      <c r="AJ396" s="3">
        <v>13.5</v>
      </c>
      <c r="AK396" s="3">
        <v>11.3</v>
      </c>
      <c r="AL396" s="3">
        <v>9</v>
      </c>
      <c r="AM396" s="3">
        <v>8.1999999999999993</v>
      </c>
      <c r="AN396" s="3">
        <v>8.5</v>
      </c>
      <c r="AO396" s="3">
        <v>8.1</v>
      </c>
      <c r="AP396" s="3">
        <v>7.8</v>
      </c>
      <c r="AQ396" s="3">
        <v>7.9</v>
      </c>
      <c r="AR396" s="3">
        <v>7.2</v>
      </c>
      <c r="AS396" s="3">
        <v>20</v>
      </c>
      <c r="AT396" s="3">
        <v>27.5</v>
      </c>
      <c r="AU396" s="3">
        <v>8.6</v>
      </c>
      <c r="AV396" s="3">
        <v>8.6999999999999993</v>
      </c>
      <c r="AW396" s="3">
        <v>9.3000000000000007</v>
      </c>
      <c r="AX396" s="3">
        <v>9.4</v>
      </c>
      <c r="AY396" s="3">
        <v>9.6</v>
      </c>
      <c r="AZ396" s="3">
        <v>0</v>
      </c>
      <c r="BA396" s="3">
        <v>0</v>
      </c>
      <c r="BB396" s="3">
        <v>0</v>
      </c>
      <c r="BC396" s="3">
        <v>29.875787367397216</v>
      </c>
      <c r="BD396" s="3">
        <v>14.924212632602782</v>
      </c>
      <c r="BE396" s="3">
        <v>12.424212632602782</v>
      </c>
      <c r="BF396" s="3">
        <v>15.784212632602781</v>
      </c>
      <c r="BG396" s="3">
        <v>14.910879299269446</v>
      </c>
      <c r="BH396" s="3">
        <v>20.850879299269458</v>
      </c>
      <c r="BI396" s="3">
        <v>6.8642126326027864</v>
      </c>
      <c r="BJ396" s="3">
        <v>10.057545965936114</v>
      </c>
      <c r="BK396" s="3">
        <v>20.130879299269445</v>
      </c>
      <c r="BL396" s="3">
        <v>11.50421263260278</v>
      </c>
      <c r="BM396" s="3">
        <v>13.037545965936118</v>
      </c>
      <c r="BN396" s="3">
        <v>15.120879299269454</v>
      </c>
      <c r="BO396" s="3">
        <v>13.287545965936118</v>
      </c>
      <c r="BP396" s="3">
        <v>12.904212632602786</v>
      </c>
      <c r="BQ396" s="3">
        <v>11.12087929926944</v>
      </c>
      <c r="BR396" s="3">
        <v>9.1475459659361178</v>
      </c>
      <c r="BS396" s="3">
        <v>8.1508792992694481</v>
      </c>
      <c r="BT396" s="3">
        <v>8.6475459659361178</v>
      </c>
      <c r="BU396" s="3">
        <v>8.2142126326027878</v>
      </c>
      <c r="BV396" s="3">
        <v>7.6308792992694521</v>
      </c>
      <c r="BW396" s="3">
        <v>8.2642126326027849</v>
      </c>
      <c r="BX396" s="3">
        <v>7.4842126326027909</v>
      </c>
      <c r="BY396" s="3">
        <v>20.104212632602781</v>
      </c>
      <c r="BZ396" s="3">
        <v>27.734212632602784</v>
      </c>
      <c r="CA396" s="3">
        <v>8.9342126326027724</v>
      </c>
      <c r="CB396" s="3">
        <v>8.4708792992694484</v>
      </c>
      <c r="CC396" s="3">
        <v>9.284212632602781</v>
      </c>
      <c r="CD396" s="3">
        <v>8.6908792992694543</v>
      </c>
      <c r="CE396" s="3">
        <v>9.0842126326027781</v>
      </c>
      <c r="CF396" s="3">
        <v>-0.90245403406388292</v>
      </c>
      <c r="CG396" s="3">
        <v>-1.4357873673972144</v>
      </c>
      <c r="CH396" s="3">
        <v>-2.5124540340638823</v>
      </c>
      <c r="CI396" s="13">
        <f>[1]!dbasum(RecData[[#This Row],[20]:[2000]],RecData[[#Headers],[20]:[2000]])</f>
        <v>17.785784751497872</v>
      </c>
      <c r="CJ396" s="14">
        <v>4848</v>
      </c>
      <c r="CK396" s="15" t="s">
        <v>249</v>
      </c>
      <c r="CL396" s="15">
        <f>RecData[[#This Row],[Start Time]]</f>
        <v>43262.043750000004</v>
      </c>
      <c r="CM396" s="16">
        <f>RecData[[#This Row],[Wind Speed avg]]</f>
        <v>0.55000000000000004</v>
      </c>
      <c r="CN396" s="16">
        <f>RecData[[#This Row],[Wind Dir. avg]]</f>
        <v>162.4</v>
      </c>
      <c r="CO396" s="16">
        <f>RecData[[#This Row],[Amb. Humidity]]</f>
        <v>89.4</v>
      </c>
      <c r="CP396" s="16">
        <f>RecData[[#This Row],[Amb. Temperature]]</f>
        <v>9.1</v>
      </c>
      <c r="CQ396" s="17">
        <f>RecData[[#This Row],[Amb. Rain Gauge]]</f>
        <v>0</v>
      </c>
      <c r="CR396" s="4" t="s">
        <v>50</v>
      </c>
      <c r="CS396" s="4" t="s">
        <v>49</v>
      </c>
      <c r="CT396" s="70">
        <v>-9.611400604</v>
      </c>
      <c r="CU396" s="70">
        <v>202.02041629999999</v>
      </c>
      <c r="CV396" s="70">
        <v>0.63366562100000001</v>
      </c>
      <c r="CW396" s="70">
        <v>0</v>
      </c>
      <c r="CX396" s="4"/>
      <c r="CY396" s="69"/>
      <c r="CZ396" s="2" t="b">
        <f>IF($DP$1="YES",IF(RecData[[#This Row],[Power (kW)]]&gt;=$CR$3, TRUE,FALSE),TRUE)</f>
        <v>0</v>
      </c>
      <c r="DA396" s="16">
        <f>MIN(MOD(180-ABS(ABS($DA$1-RecData[Yaw Angle (°)])-180),360),MOD(180-ABS(ABS($DB$1-RecData[Yaw Angle (°)])-180),360))</f>
        <v>165.50951047768757</v>
      </c>
      <c r="DB396" s="2" t="str">
        <f>IF($DP$2="None","None",IF(RecData[[#This Row],[Relative Wind Direction]]&lt;=45,"DW",IF(RecData[[#This Row],[Relative Wind Direction]]&lt;=135,"CW","UW")))</f>
        <v>UW</v>
      </c>
      <c r="DC396" s="61">
        <f>IF($CL396-$CL392&gt;1/24,#REF!,IF(SUM($CQ392:$CQ396)&gt;$DS$1,$DS$5,DC397-1))</f>
        <v>-5</v>
      </c>
      <c r="DD396" s="61">
        <f>IF($CL397-$CL396&gt;1/24,#REF!,IF(SUM($CQ392:$CQ396)&gt;$DS$1,$DS$6,DD395-1))</f>
        <v>-6</v>
      </c>
      <c r="DE396" s="18" t="b">
        <v>0</v>
      </c>
      <c r="DF396" s="2" t="b">
        <f>IF(OR(RecData[[#This Row],[WSpd_Avg '[m/s']]]-RecData[[#This Row],[Wind Speed min]]&gt;=$DF$3,RecData[[#This Row],[Wind Speed max]]-RecData[[#This Row],[WSpd_Avg '[m/s']]]&gt;=$DF$2),TRUE,FALSE)</f>
        <v>0</v>
      </c>
      <c r="DG396" s="2" t="b">
        <f>RecData[[#This Row],[Temperature '[°C']]]&lt;=-20</f>
        <v>0</v>
      </c>
      <c r="DH396" s="18" t="b">
        <f>NOT(OR(MOD(RecData[[#This Row],[TIMESTAMP]],1)&gt;0.91632,MOD(RecData[[#This Row],[TIMESTAMP]],1)&lt;0.208681))</f>
        <v>0</v>
      </c>
      <c r="DI396" s="18" t="b">
        <f>RecData[[#This Row],[Overall (dBA)]]-RecData[[#This Row],[L90]]&gt;=$DS$4</f>
        <v>0</v>
      </c>
      <c r="DJ396" s="18" t="b">
        <f>RecData[[#This Row],[Overall (dBA)]]&gt;$DS$2</f>
        <v>0</v>
      </c>
      <c r="DK396" s="18" t="b">
        <f>RecData[[#This Row],[Overall (dBA)]]&lt;$DS$3</f>
        <v>0</v>
      </c>
      <c r="DL3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6" s="2">
        <f>IF(AND(RecData[[#This Row],[Turbines ON/OFF]] = "OFF", NOT(OR(RecData[[#This Row],[Junk?]]="YES",RecData[[#This Row],[Gust?]],RecData[[#This Row],[Rain?]:[Min SPL Threshold?]]))),1,0)</f>
        <v>1</v>
      </c>
      <c r="DN396" s="16">
        <f>RecData[[#This Row],[dBA Sum]]</f>
        <v>17.785784751497872</v>
      </c>
      <c r="DO396" s="16">
        <f>RecData[[#This Row],[LAF90.0]]</f>
        <v>25</v>
      </c>
      <c r="DP396" s="55" t="str">
        <f>IF(AND(RecData[[#This Row],[Useable TON Data?]],RecData[[#This Row],[Turbines ON/OFF]]="ON"),RecData[[#This Row],[dBA Sum]],"")</f>
        <v/>
      </c>
      <c r="DQ396" s="55">
        <f>IF(AND(RecData[[#This Row],[Useable Background Data?]],RecData[[#This Row],[Turbines ON/OFF]]="OFF"),RecData[[#This Row],[dBA Sum]],"")</f>
        <v>17.785784751497872</v>
      </c>
      <c r="DR396" s="3">
        <f>IF(OR(RecData[[#This Row],[Useable TON Data?]],RecData[[#This Row],[Useable Background Data?]]),ROUND(RecData[[#This Row],[WSpd_Avg '[m/s']]],0),"")</f>
        <v>1</v>
      </c>
      <c r="DS396" s="85">
        <f>(0.00002)^2*(10^(RecData[[#This Row],[Overall (dBA)]]/10))</f>
        <v>2.4023620929370881E-8</v>
      </c>
    </row>
    <row r="397" spans="1:123" ht="15" x14ac:dyDescent="0.25">
      <c r="A397" s="3" t="s">
        <v>249</v>
      </c>
      <c r="B397" s="12">
        <v>43262.044444444451</v>
      </c>
      <c r="C397" s="3"/>
      <c r="D397" s="3">
        <v>29.8</v>
      </c>
      <c r="E397" s="3"/>
      <c r="F397" s="3"/>
      <c r="G397" s="3"/>
      <c r="H397" s="3"/>
      <c r="I397" s="3"/>
      <c r="J397" s="3"/>
      <c r="K397" s="3">
        <v>24.9</v>
      </c>
      <c r="L397" s="3"/>
      <c r="M397" s="3"/>
      <c r="N397" s="3">
        <v>160.69999999999999</v>
      </c>
      <c r="O397" s="3"/>
      <c r="P397" s="3"/>
      <c r="Q397" s="3">
        <v>0.68</v>
      </c>
      <c r="R397" s="3">
        <v>0.5</v>
      </c>
      <c r="S397" s="3">
        <v>0.8</v>
      </c>
      <c r="T397" s="3">
        <v>9</v>
      </c>
      <c r="U397" s="3">
        <v>89.2</v>
      </c>
      <c r="V397" s="3">
        <v>974.2</v>
      </c>
      <c r="W397" s="3">
        <v>0</v>
      </c>
      <c r="X397" s="3">
        <v>20.2</v>
      </c>
      <c r="Y397" s="3">
        <v>13.8</v>
      </c>
      <c r="Z397" s="3">
        <v>18</v>
      </c>
      <c r="AA397" s="3">
        <v>11.8</v>
      </c>
      <c r="AB397" s="3">
        <v>9.6</v>
      </c>
      <c r="AC397" s="3">
        <v>5.6</v>
      </c>
      <c r="AD397" s="3">
        <v>7.1</v>
      </c>
      <c r="AE397" s="3">
        <v>9.3000000000000007</v>
      </c>
      <c r="AF397" s="3">
        <v>10.3</v>
      </c>
      <c r="AG397" s="3">
        <v>10.7</v>
      </c>
      <c r="AH397" s="3">
        <v>9.6999999999999993</v>
      </c>
      <c r="AI397" s="3">
        <v>10.199999999999999</v>
      </c>
      <c r="AJ397" s="3">
        <v>11.8</v>
      </c>
      <c r="AK397" s="3">
        <v>10.3</v>
      </c>
      <c r="AL397" s="3">
        <v>8.6</v>
      </c>
      <c r="AM397" s="3">
        <v>7.7</v>
      </c>
      <c r="AN397" s="3">
        <v>8</v>
      </c>
      <c r="AO397" s="3">
        <v>7.5</v>
      </c>
      <c r="AP397" s="3">
        <v>7.2</v>
      </c>
      <c r="AQ397" s="3">
        <v>7.4</v>
      </c>
      <c r="AR397" s="3">
        <v>6.9</v>
      </c>
      <c r="AS397" s="3">
        <v>19.5</v>
      </c>
      <c r="AT397" s="3">
        <v>27.5</v>
      </c>
      <c r="AU397" s="3">
        <v>8.5</v>
      </c>
      <c r="AV397" s="3">
        <v>8.6999999999999993</v>
      </c>
      <c r="AW397" s="3">
        <v>9.3000000000000007</v>
      </c>
      <c r="AX397" s="3">
        <v>9.4</v>
      </c>
      <c r="AY397" s="3">
        <v>9.6</v>
      </c>
      <c r="AZ397" s="3">
        <v>0</v>
      </c>
      <c r="BA397" s="3">
        <v>0</v>
      </c>
      <c r="BB397" s="3">
        <v>0</v>
      </c>
      <c r="BC397" s="3">
        <v>29.754293091211249</v>
      </c>
      <c r="BD397" s="3">
        <v>20.245706908788751</v>
      </c>
      <c r="BE397" s="3">
        <v>13.845706908788753</v>
      </c>
      <c r="BF397" s="3">
        <v>16.805706908788753</v>
      </c>
      <c r="BG397" s="3">
        <v>10.932373575455419</v>
      </c>
      <c r="BH397" s="3">
        <v>8.8723735754554163</v>
      </c>
      <c r="BI397" s="3">
        <v>5.2857069087887503</v>
      </c>
      <c r="BJ397" s="3">
        <v>7.5790402421220868</v>
      </c>
      <c r="BK397" s="3">
        <v>9.6523735754554174</v>
      </c>
      <c r="BL397" s="3">
        <v>10.225706908788755</v>
      </c>
      <c r="BM397" s="3">
        <v>10.759040242122087</v>
      </c>
      <c r="BN397" s="3">
        <v>10.042373575455418</v>
      </c>
      <c r="BO397" s="3">
        <v>9.9090402421220851</v>
      </c>
      <c r="BP397" s="3">
        <v>11.225706908788755</v>
      </c>
      <c r="BQ397" s="3">
        <v>10.142373575455412</v>
      </c>
      <c r="BR397" s="3">
        <v>8.7690402421220845</v>
      </c>
      <c r="BS397" s="3">
        <v>7.6723735754554205</v>
      </c>
      <c r="BT397" s="3">
        <v>8.1690402421220831</v>
      </c>
      <c r="BU397" s="3">
        <v>7.6357069087887517</v>
      </c>
      <c r="BV397" s="3">
        <v>7.0523735754554231</v>
      </c>
      <c r="BW397" s="3">
        <v>7.7857069087887574</v>
      </c>
      <c r="BX397" s="3">
        <v>7.2057069087887591</v>
      </c>
      <c r="BY397" s="3">
        <v>19.625706908788747</v>
      </c>
      <c r="BZ397" s="3">
        <v>27.755706908788756</v>
      </c>
      <c r="CA397" s="3">
        <v>8.8557069087887434</v>
      </c>
      <c r="CB397" s="3">
        <v>8.4923735754554137</v>
      </c>
      <c r="CC397" s="3">
        <v>9.3057069087887534</v>
      </c>
      <c r="CD397" s="3">
        <v>8.7123735754554197</v>
      </c>
      <c r="CE397" s="3">
        <v>9.1057069087887506</v>
      </c>
      <c r="CF397" s="3">
        <v>-0.88095975787791403</v>
      </c>
      <c r="CG397" s="3">
        <v>-1.4142930912112455</v>
      </c>
      <c r="CH397" s="3">
        <v>-2.4909597578779135</v>
      </c>
      <c r="CI397" s="13">
        <f>[1]!dbasum(RecData[[#This Row],[20]:[2000]],RecData[[#Headers],[20]:[2000]])</f>
        <v>16.838419939825279</v>
      </c>
      <c r="CJ397" s="14">
        <v>4849</v>
      </c>
      <c r="CK397" s="15" t="s">
        <v>249</v>
      </c>
      <c r="CL397" s="15">
        <f>RecData[[#This Row],[Start Time]]</f>
        <v>43262.044444444451</v>
      </c>
      <c r="CM397" s="16">
        <f>RecData[[#This Row],[Wind Speed avg]]</f>
        <v>0.68</v>
      </c>
      <c r="CN397" s="16">
        <f>RecData[[#This Row],[Wind Dir. avg]]</f>
        <v>160.69999999999999</v>
      </c>
      <c r="CO397" s="16">
        <f>RecData[[#This Row],[Amb. Humidity]]</f>
        <v>89.2</v>
      </c>
      <c r="CP397" s="16">
        <f>RecData[[#This Row],[Amb. Temperature]]</f>
        <v>9</v>
      </c>
      <c r="CQ397" s="17">
        <f>RecData[[#This Row],[Amb. Rain Gauge]]</f>
        <v>0</v>
      </c>
      <c r="CR397" s="4" t="s">
        <v>50</v>
      </c>
      <c r="CS397" s="4" t="s">
        <v>49</v>
      </c>
      <c r="CT397" s="70">
        <v>-9.611400604</v>
      </c>
      <c r="CU397" s="70">
        <v>202.02041629999999</v>
      </c>
      <c r="CV397" s="70">
        <v>0.63366562100000001</v>
      </c>
      <c r="CW397" s="70">
        <v>0</v>
      </c>
      <c r="CX397" s="4"/>
      <c r="CY397" s="69"/>
      <c r="CZ397" s="2" t="b">
        <f>IF($DP$1="YES",IF(RecData[[#This Row],[Power (kW)]]&gt;=$CR$3, TRUE,FALSE),TRUE)</f>
        <v>0</v>
      </c>
      <c r="DA397" s="16">
        <f>MIN(MOD(180-ABS(ABS($DA$1-RecData[Yaw Angle (°)])-180),360),MOD(180-ABS(ABS($DB$1-RecData[Yaw Angle (°)])-180),360))</f>
        <v>165.50951047768757</v>
      </c>
      <c r="DB397" s="2" t="str">
        <f>IF($DP$2="None","None",IF(RecData[[#This Row],[Relative Wind Direction]]&lt;=45,"DW",IF(RecData[[#This Row],[Relative Wind Direction]]&lt;=135,"CW","UW")))</f>
        <v>UW</v>
      </c>
      <c r="DC397" s="61">
        <f>IF($CL397-$CL393&gt;1/24,#REF!,IF(SUM($CQ393:$CQ397)&gt;$DS$1,$DS$5,DC398-1))</f>
        <v>-4</v>
      </c>
      <c r="DD397" s="61">
        <f>IF($CL398-$CL397&gt;1/24,#REF!,IF(SUM($CQ393:$CQ397)&gt;$DS$1,$DS$6,DD396-1))</f>
        <v>-7</v>
      </c>
      <c r="DE397" s="18" t="b">
        <v>0</v>
      </c>
      <c r="DF397" s="2" t="b">
        <f>IF(OR(RecData[[#This Row],[WSpd_Avg '[m/s']]]-RecData[[#This Row],[Wind Speed min]]&gt;=$DF$3,RecData[[#This Row],[Wind Speed max]]-RecData[[#This Row],[WSpd_Avg '[m/s']]]&gt;=$DF$2),TRUE,FALSE)</f>
        <v>0</v>
      </c>
      <c r="DG397" s="2" t="b">
        <f>RecData[[#This Row],[Temperature '[°C']]]&lt;=-20</f>
        <v>0</v>
      </c>
      <c r="DH397" s="18" t="b">
        <f>NOT(OR(MOD(RecData[[#This Row],[TIMESTAMP]],1)&gt;0.91632,MOD(RecData[[#This Row],[TIMESTAMP]],1)&lt;0.208681))</f>
        <v>0</v>
      </c>
      <c r="DI397" s="18" t="b">
        <f>RecData[[#This Row],[Overall (dBA)]]-RecData[[#This Row],[L90]]&gt;=$DS$4</f>
        <v>0</v>
      </c>
      <c r="DJ397" s="18" t="b">
        <f>RecData[[#This Row],[Overall (dBA)]]&gt;$DS$2</f>
        <v>0</v>
      </c>
      <c r="DK397" s="18" t="b">
        <f>RecData[[#This Row],[Overall (dBA)]]&lt;$DS$3</f>
        <v>0</v>
      </c>
      <c r="DL3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7" s="2">
        <f>IF(AND(RecData[[#This Row],[Turbines ON/OFF]] = "OFF", NOT(OR(RecData[[#This Row],[Junk?]]="YES",RecData[[#This Row],[Gust?]],RecData[[#This Row],[Rain?]:[Min SPL Threshold?]]))),1,0)</f>
        <v>1</v>
      </c>
      <c r="DN397" s="16">
        <f>RecData[[#This Row],[dBA Sum]]</f>
        <v>16.838419939825279</v>
      </c>
      <c r="DO397" s="16">
        <f>RecData[[#This Row],[LAF90.0]]</f>
        <v>24.9</v>
      </c>
      <c r="DP397" s="55" t="str">
        <f>IF(AND(RecData[[#This Row],[Useable TON Data?]],RecData[[#This Row],[Turbines ON/OFF]]="ON"),RecData[[#This Row],[dBA Sum]],"")</f>
        <v/>
      </c>
      <c r="DQ397" s="55">
        <f>IF(AND(RecData[[#This Row],[Useable Background Data?]],RecData[[#This Row],[Turbines ON/OFF]]="OFF"),RecData[[#This Row],[dBA Sum]],"")</f>
        <v>16.838419939825279</v>
      </c>
      <c r="DR397" s="3">
        <f>IF(OR(RecData[[#This Row],[Useable TON Data?]],RecData[[#This Row],[Useable Background Data?]]),ROUND(RecData[[#This Row],[WSpd_Avg '[m/s']]],0),"")</f>
        <v>1</v>
      </c>
      <c r="DS397" s="85">
        <f>(0.00002)^2*(10^(RecData[[#This Row],[Overall (dBA)]]/10))</f>
        <v>1.9315323457669383E-8</v>
      </c>
    </row>
    <row r="398" spans="1:123" ht="15" x14ac:dyDescent="0.25">
      <c r="A398" s="3" t="s">
        <v>249</v>
      </c>
      <c r="B398" s="12">
        <v>43262.045138888891</v>
      </c>
      <c r="C398" s="3"/>
      <c r="D398" s="3">
        <v>32.200000000000003</v>
      </c>
      <c r="E398" s="3"/>
      <c r="F398" s="3"/>
      <c r="G398" s="3"/>
      <c r="H398" s="3"/>
      <c r="I398" s="3"/>
      <c r="J398" s="3"/>
      <c r="K398" s="3">
        <v>26.5</v>
      </c>
      <c r="L398" s="3"/>
      <c r="M398" s="3"/>
      <c r="N398" s="3">
        <v>154.5</v>
      </c>
      <c r="O398" s="3"/>
      <c r="P398" s="3"/>
      <c r="Q398" s="3">
        <v>0.87</v>
      </c>
      <c r="R398" s="3">
        <v>0.6</v>
      </c>
      <c r="S398" s="3">
        <v>1.1000000000000001</v>
      </c>
      <c r="T398" s="3">
        <v>9</v>
      </c>
      <c r="U398" s="3">
        <v>88.6</v>
      </c>
      <c r="V398" s="3">
        <v>974.2</v>
      </c>
      <c r="W398" s="3">
        <v>0</v>
      </c>
      <c r="X398" s="3">
        <v>24</v>
      </c>
      <c r="Y398" s="3">
        <v>24.9</v>
      </c>
      <c r="Z398" s="3">
        <v>24.4</v>
      </c>
      <c r="AA398" s="3">
        <v>20.7</v>
      </c>
      <c r="AB398" s="3">
        <v>12.7</v>
      </c>
      <c r="AC398" s="3">
        <v>7.3</v>
      </c>
      <c r="AD398" s="3">
        <v>8</v>
      </c>
      <c r="AE398" s="3">
        <v>10.1</v>
      </c>
      <c r="AF398" s="3">
        <v>11.8</v>
      </c>
      <c r="AG398" s="3">
        <v>13.6</v>
      </c>
      <c r="AH398" s="3">
        <v>12.4</v>
      </c>
      <c r="AI398" s="3">
        <v>10.9</v>
      </c>
      <c r="AJ398" s="3">
        <v>12.3</v>
      </c>
      <c r="AK398" s="3">
        <v>9.9</v>
      </c>
      <c r="AL398" s="3">
        <v>8.1</v>
      </c>
      <c r="AM398" s="3">
        <v>8.1999999999999993</v>
      </c>
      <c r="AN398" s="3">
        <v>8.4</v>
      </c>
      <c r="AO398" s="3">
        <v>8.1999999999999993</v>
      </c>
      <c r="AP398" s="3">
        <v>7.3</v>
      </c>
      <c r="AQ398" s="3">
        <v>7.8</v>
      </c>
      <c r="AR398" s="3">
        <v>7</v>
      </c>
      <c r="AS398" s="3">
        <v>22.5</v>
      </c>
      <c r="AT398" s="3">
        <v>30</v>
      </c>
      <c r="AU398" s="3">
        <v>8.9</v>
      </c>
      <c r="AV398" s="3">
        <v>8.8000000000000007</v>
      </c>
      <c r="AW398" s="3">
        <v>9.3000000000000007</v>
      </c>
      <c r="AX398" s="3">
        <v>9.4</v>
      </c>
      <c r="AY398" s="3">
        <v>9.6</v>
      </c>
      <c r="AZ398" s="3">
        <v>0</v>
      </c>
      <c r="BA398" s="3">
        <v>0</v>
      </c>
      <c r="BB398" s="3">
        <v>0</v>
      </c>
      <c r="BC398" s="3">
        <v>32.163486821837218</v>
      </c>
      <c r="BD398" s="3">
        <v>24.036513178162785</v>
      </c>
      <c r="BE398" s="3">
        <v>24.936513178162784</v>
      </c>
      <c r="BF398" s="3">
        <v>23.196513178162782</v>
      </c>
      <c r="BG398" s="3">
        <v>19.823179844829447</v>
      </c>
      <c r="BH398" s="3">
        <v>11.963179844829455</v>
      </c>
      <c r="BI398" s="3">
        <v>6.9765131781627829</v>
      </c>
      <c r="BJ398" s="3">
        <v>8.4698465114961152</v>
      </c>
      <c r="BK398" s="3">
        <v>10.443179844829451</v>
      </c>
      <c r="BL398" s="3">
        <v>11.716513178162785</v>
      </c>
      <c r="BM398" s="3">
        <v>13.649846511496122</v>
      </c>
      <c r="BN398" s="3">
        <v>12.733179844829451</v>
      </c>
      <c r="BO398" s="3">
        <v>10.599846511496118</v>
      </c>
      <c r="BP398" s="3">
        <v>11.716513178162785</v>
      </c>
      <c r="BQ398" s="3">
        <v>9.7331798448294435</v>
      </c>
      <c r="BR398" s="3">
        <v>8.2598465114961215</v>
      </c>
      <c r="BS398" s="3">
        <v>8.1631798448294504</v>
      </c>
      <c r="BT398" s="3">
        <v>8.5598465114961186</v>
      </c>
      <c r="BU398" s="3">
        <v>8.3265131781627915</v>
      </c>
      <c r="BV398" s="3">
        <v>7.1431798448294543</v>
      </c>
      <c r="BW398" s="3">
        <v>8.1765131781627858</v>
      </c>
      <c r="BX398" s="3">
        <v>7.2965131781627903</v>
      </c>
      <c r="BY398" s="3">
        <v>22.616513178162784</v>
      </c>
      <c r="BZ398" s="3">
        <v>30.246513178162793</v>
      </c>
      <c r="CA398" s="3">
        <v>9.246513178162779</v>
      </c>
      <c r="CB398" s="3">
        <v>8.5831798448294521</v>
      </c>
      <c r="CC398" s="3">
        <v>9.2965131781627832</v>
      </c>
      <c r="CD398" s="3">
        <v>8.7031798448294566</v>
      </c>
      <c r="CE398" s="3">
        <v>9.0965131781627875</v>
      </c>
      <c r="CF398" s="3">
        <v>-0.89015348850388065</v>
      </c>
      <c r="CG398" s="3">
        <v>-1.4234868218372121</v>
      </c>
      <c r="CH398" s="3">
        <v>-2.5001534885038801</v>
      </c>
      <c r="CI398" s="13">
        <f>[1]!dbasum(RecData[[#This Row],[20]:[2000]],RecData[[#Headers],[20]:[2000]])</f>
        <v>17.205568700589676</v>
      </c>
      <c r="CJ398" s="14">
        <v>4850</v>
      </c>
      <c r="CK398" s="15" t="s">
        <v>249</v>
      </c>
      <c r="CL398" s="15">
        <f>RecData[[#This Row],[Start Time]]</f>
        <v>43262.045138888891</v>
      </c>
      <c r="CM398" s="16">
        <f>RecData[[#This Row],[Wind Speed avg]]</f>
        <v>0.87</v>
      </c>
      <c r="CN398" s="16">
        <f>RecData[[#This Row],[Wind Dir. avg]]</f>
        <v>154.5</v>
      </c>
      <c r="CO398" s="16">
        <f>RecData[[#This Row],[Amb. Humidity]]</f>
        <v>88.6</v>
      </c>
      <c r="CP398" s="16">
        <f>RecData[[#This Row],[Amb. Temperature]]</f>
        <v>9</v>
      </c>
      <c r="CQ398" s="17">
        <f>RecData[[#This Row],[Amb. Rain Gauge]]</f>
        <v>0</v>
      </c>
      <c r="CR398" s="4" t="s">
        <v>50</v>
      </c>
      <c r="CS398" s="4" t="s">
        <v>49</v>
      </c>
      <c r="CT398" s="70">
        <v>-9.611400604</v>
      </c>
      <c r="CU398" s="70">
        <v>202.02041629999999</v>
      </c>
      <c r="CV398" s="70">
        <v>0.63366562100000001</v>
      </c>
      <c r="CW398" s="70">
        <v>0</v>
      </c>
      <c r="CX398" s="4"/>
      <c r="CY398" s="69"/>
      <c r="CZ398" s="2" t="b">
        <f>IF($DP$1="YES",IF(RecData[[#This Row],[Power (kW)]]&gt;=$CR$3, TRUE,FALSE),TRUE)</f>
        <v>0</v>
      </c>
      <c r="DA398" s="16">
        <f>MIN(MOD(180-ABS(ABS($DA$1-RecData[Yaw Angle (°)])-180),360),MOD(180-ABS(ABS($DB$1-RecData[Yaw Angle (°)])-180),360))</f>
        <v>165.50951047768757</v>
      </c>
      <c r="DB398" s="2" t="str">
        <f>IF($DP$2="None","None",IF(RecData[[#This Row],[Relative Wind Direction]]&lt;=45,"DW",IF(RecData[[#This Row],[Relative Wind Direction]]&lt;=135,"CW","UW")))</f>
        <v>UW</v>
      </c>
      <c r="DC398" s="61">
        <f>IF($CL398-$CL394&gt;1/24,#REF!,IF(SUM($CQ394:$CQ398)&gt;$DS$1,$DS$5,DC399-1))</f>
        <v>-3</v>
      </c>
      <c r="DD398" s="61">
        <f>IF($CL399-$CL398&gt;1/24,#REF!,IF(SUM($CQ394:$CQ398)&gt;$DS$1,$DS$6,DD397-1))</f>
        <v>-8</v>
      </c>
      <c r="DE398" s="18" t="b">
        <v>0</v>
      </c>
      <c r="DF398" s="2" t="b">
        <f>IF(OR(RecData[[#This Row],[WSpd_Avg '[m/s']]]-RecData[[#This Row],[Wind Speed min]]&gt;=$DF$3,RecData[[#This Row],[Wind Speed max]]-RecData[[#This Row],[WSpd_Avg '[m/s']]]&gt;=$DF$2),TRUE,FALSE)</f>
        <v>0</v>
      </c>
      <c r="DG398" s="2" t="b">
        <f>RecData[[#This Row],[Temperature '[°C']]]&lt;=-20</f>
        <v>0</v>
      </c>
      <c r="DH398" s="18" t="b">
        <f>NOT(OR(MOD(RecData[[#This Row],[TIMESTAMP]],1)&gt;0.91632,MOD(RecData[[#This Row],[TIMESTAMP]],1)&lt;0.208681))</f>
        <v>0</v>
      </c>
      <c r="DI398" s="18" t="b">
        <f>RecData[[#This Row],[Overall (dBA)]]-RecData[[#This Row],[L90]]&gt;=$DS$4</f>
        <v>0</v>
      </c>
      <c r="DJ398" s="18" t="b">
        <f>RecData[[#This Row],[Overall (dBA)]]&gt;$DS$2</f>
        <v>0</v>
      </c>
      <c r="DK398" s="18" t="b">
        <f>RecData[[#This Row],[Overall (dBA)]]&lt;$DS$3</f>
        <v>0</v>
      </c>
      <c r="DL3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8" s="2">
        <f>IF(AND(RecData[[#This Row],[Turbines ON/OFF]] = "OFF", NOT(OR(RecData[[#This Row],[Junk?]]="YES",RecData[[#This Row],[Gust?]],RecData[[#This Row],[Rain?]:[Min SPL Threshold?]]))),1,0)</f>
        <v>1</v>
      </c>
      <c r="DN398" s="16">
        <f>RecData[[#This Row],[dBA Sum]]</f>
        <v>17.205568700589676</v>
      </c>
      <c r="DO398" s="16">
        <f>RecData[[#This Row],[LAF90.0]]</f>
        <v>26.5</v>
      </c>
      <c r="DP398" s="55" t="str">
        <f>IF(AND(RecData[[#This Row],[Useable TON Data?]],RecData[[#This Row],[Turbines ON/OFF]]="ON"),RecData[[#This Row],[dBA Sum]],"")</f>
        <v/>
      </c>
      <c r="DQ398" s="55">
        <f>IF(AND(RecData[[#This Row],[Useable Background Data?]],RecData[[#This Row],[Turbines ON/OFF]]="OFF"),RecData[[#This Row],[dBA Sum]],"")</f>
        <v>17.205568700589676</v>
      </c>
      <c r="DR398" s="3">
        <f>IF(OR(RecData[[#This Row],[Useable TON Data?]],RecData[[#This Row],[Useable Background Data?]]),ROUND(RecData[[#This Row],[WSpd_Avg '[m/s']]],0),"")</f>
        <v>1</v>
      </c>
      <c r="DS398" s="85">
        <f>(0.00002)^2*(10^(RecData[[#This Row],[Overall (dBA)]]/10))</f>
        <v>2.1019232853855261E-8</v>
      </c>
    </row>
    <row r="399" spans="1:123" ht="15" x14ac:dyDescent="0.25">
      <c r="A399" s="3" t="s">
        <v>249</v>
      </c>
      <c r="B399" s="12">
        <v>43262.045833333337</v>
      </c>
      <c r="C399" s="3"/>
      <c r="D399" s="3">
        <v>33.1</v>
      </c>
      <c r="E399" s="3"/>
      <c r="F399" s="3"/>
      <c r="G399" s="3"/>
      <c r="H399" s="3"/>
      <c r="I399" s="3"/>
      <c r="J399" s="3"/>
      <c r="K399" s="3">
        <v>27.9</v>
      </c>
      <c r="L399" s="3"/>
      <c r="M399" s="3"/>
      <c r="N399" s="3">
        <v>151.19999999999999</v>
      </c>
      <c r="O399" s="3"/>
      <c r="P399" s="3"/>
      <c r="Q399" s="3">
        <v>0.93</v>
      </c>
      <c r="R399" s="3">
        <v>0.7</v>
      </c>
      <c r="S399" s="3">
        <v>1.2</v>
      </c>
      <c r="T399" s="3">
        <v>9</v>
      </c>
      <c r="U399" s="3">
        <v>88.6</v>
      </c>
      <c r="V399" s="3">
        <v>974.2</v>
      </c>
      <c r="W399" s="3">
        <v>0</v>
      </c>
      <c r="X399" s="3">
        <v>14.7</v>
      </c>
      <c r="Y399" s="3">
        <v>13.4</v>
      </c>
      <c r="Z399" s="3">
        <v>18.5</v>
      </c>
      <c r="AA399" s="3">
        <v>14.3</v>
      </c>
      <c r="AB399" s="3">
        <v>12.8</v>
      </c>
      <c r="AC399" s="3">
        <v>6.8</v>
      </c>
      <c r="AD399" s="3">
        <v>10.9</v>
      </c>
      <c r="AE399" s="3">
        <v>13.4</v>
      </c>
      <c r="AF399" s="3">
        <v>10.3</v>
      </c>
      <c r="AG399" s="3">
        <v>9.6999999999999993</v>
      </c>
      <c r="AH399" s="3">
        <v>13.1</v>
      </c>
      <c r="AI399" s="3">
        <v>12.4</v>
      </c>
      <c r="AJ399" s="3">
        <v>13.5</v>
      </c>
      <c r="AK399" s="3">
        <v>15.1</v>
      </c>
      <c r="AL399" s="3">
        <v>8.6999999999999993</v>
      </c>
      <c r="AM399" s="3">
        <v>11.4</v>
      </c>
      <c r="AN399" s="3">
        <v>9.8000000000000007</v>
      </c>
      <c r="AO399" s="3">
        <v>9.4</v>
      </c>
      <c r="AP399" s="3">
        <v>8.5</v>
      </c>
      <c r="AQ399" s="3">
        <v>8.1</v>
      </c>
      <c r="AR399" s="3">
        <v>7.4</v>
      </c>
      <c r="AS399" s="3">
        <v>22.5</v>
      </c>
      <c r="AT399" s="3">
        <v>31.1</v>
      </c>
      <c r="AU399" s="3">
        <v>9.6</v>
      </c>
      <c r="AV399" s="3">
        <v>8.8000000000000007</v>
      </c>
      <c r="AW399" s="3">
        <v>9.3000000000000007</v>
      </c>
      <c r="AX399" s="3">
        <v>9.4</v>
      </c>
      <c r="AY399" s="3">
        <v>9.6</v>
      </c>
      <c r="AZ399" s="3">
        <v>0</v>
      </c>
      <c r="BA399" s="3">
        <v>0</v>
      </c>
      <c r="BB399" s="3">
        <v>0</v>
      </c>
      <c r="BC399" s="3">
        <v>33.114676423535492</v>
      </c>
      <c r="BD399" s="3">
        <v>14.685323576464505</v>
      </c>
      <c r="BE399" s="3">
        <v>13.385323576464508</v>
      </c>
      <c r="BF399" s="3">
        <v>17.245323576464507</v>
      </c>
      <c r="BG399" s="3">
        <v>13.371990243131172</v>
      </c>
      <c r="BH399" s="3">
        <v>12.01199024313118</v>
      </c>
      <c r="BI399" s="3">
        <v>6.4253235764645069</v>
      </c>
      <c r="BJ399" s="3">
        <v>11.318656909797845</v>
      </c>
      <c r="BK399" s="3">
        <v>13.691990243131173</v>
      </c>
      <c r="BL399" s="3">
        <v>10.165323576464509</v>
      </c>
      <c r="BM399" s="3">
        <v>9.6986569097978403</v>
      </c>
      <c r="BN399" s="3">
        <v>13.381990243131177</v>
      </c>
      <c r="BO399" s="3">
        <v>12.048656909797849</v>
      </c>
      <c r="BP399" s="3">
        <v>12.865323576464512</v>
      </c>
      <c r="BQ399" s="3">
        <v>14.881990243131163</v>
      </c>
      <c r="BR399" s="3">
        <v>8.8086569097978398</v>
      </c>
      <c r="BS399" s="3">
        <v>11.311990243131177</v>
      </c>
      <c r="BT399" s="3">
        <v>9.9086569097978483</v>
      </c>
      <c r="BU399" s="3">
        <v>9.4753235764645112</v>
      </c>
      <c r="BV399" s="3">
        <v>8.2919902431311741</v>
      </c>
      <c r="BW399" s="3">
        <v>8.425323576464514</v>
      </c>
      <c r="BX399" s="3">
        <v>7.6453235764645129</v>
      </c>
      <c r="BY399" s="3">
        <v>22.565323576464507</v>
      </c>
      <c r="BZ399" s="3">
        <v>31.295323576464519</v>
      </c>
      <c r="CA399" s="3">
        <v>9.8953235764644987</v>
      </c>
      <c r="CB399" s="3">
        <v>8.531990243131176</v>
      </c>
      <c r="CC399" s="3">
        <v>9.2453235764645072</v>
      </c>
      <c r="CD399" s="3">
        <v>8.6519902431311806</v>
      </c>
      <c r="CE399" s="3">
        <v>9.0453235764645044</v>
      </c>
      <c r="CF399" s="3">
        <v>-0.94134309020216023</v>
      </c>
      <c r="CG399" s="3">
        <v>-1.4746764235354881</v>
      </c>
      <c r="CH399" s="3">
        <v>-2.5513430902021561</v>
      </c>
      <c r="CI399" s="13">
        <f>[1]!dbasum(RecData[[#This Row],[20]:[2000]],RecData[[#Headers],[20]:[2000]])</f>
        <v>18.626300398859875</v>
      </c>
      <c r="CJ399" s="14">
        <v>4851</v>
      </c>
      <c r="CK399" s="15" t="s">
        <v>249</v>
      </c>
      <c r="CL399" s="15">
        <f>RecData[[#This Row],[Start Time]]</f>
        <v>43262.045833333337</v>
      </c>
      <c r="CM399" s="16">
        <f>RecData[[#This Row],[Wind Speed avg]]</f>
        <v>0.93</v>
      </c>
      <c r="CN399" s="16">
        <f>RecData[[#This Row],[Wind Dir. avg]]</f>
        <v>151.19999999999999</v>
      </c>
      <c r="CO399" s="16">
        <f>RecData[[#This Row],[Amb. Humidity]]</f>
        <v>88.6</v>
      </c>
      <c r="CP399" s="16">
        <f>RecData[[#This Row],[Amb. Temperature]]</f>
        <v>9</v>
      </c>
      <c r="CQ399" s="17">
        <f>RecData[[#This Row],[Amb. Rain Gauge]]</f>
        <v>0</v>
      </c>
      <c r="CR399" s="4" t="s">
        <v>50</v>
      </c>
      <c r="CS399" s="4" t="s">
        <v>49</v>
      </c>
      <c r="CT399" s="70">
        <v>-9.611400604</v>
      </c>
      <c r="CU399" s="70">
        <v>202.02041629999999</v>
      </c>
      <c r="CV399" s="70">
        <v>0.63366562100000001</v>
      </c>
      <c r="CW399" s="70">
        <v>0</v>
      </c>
      <c r="CX399" s="4"/>
      <c r="CY399" s="69"/>
      <c r="CZ399" s="2" t="b">
        <f>IF($DP$1="YES",IF(RecData[[#This Row],[Power (kW)]]&gt;=$CR$3, TRUE,FALSE),TRUE)</f>
        <v>0</v>
      </c>
      <c r="DA399" s="16">
        <f>MIN(MOD(180-ABS(ABS($DA$1-RecData[Yaw Angle (°)])-180),360),MOD(180-ABS(ABS($DB$1-RecData[Yaw Angle (°)])-180),360))</f>
        <v>165.50951047768757</v>
      </c>
      <c r="DB399" s="2" t="str">
        <f>IF($DP$2="None","None",IF(RecData[[#This Row],[Relative Wind Direction]]&lt;=45,"DW",IF(RecData[[#This Row],[Relative Wind Direction]]&lt;=135,"CW","UW")))</f>
        <v>UW</v>
      </c>
      <c r="DC399" s="61">
        <f>IF($CL399-$CL395&gt;1/24,#REF!,IF(SUM($CQ395:$CQ399)&gt;$DS$1,$DS$5,DC400-1))</f>
        <v>-2</v>
      </c>
      <c r="DD399" s="61">
        <f>IF($CL400-$CL399&gt;1/24,#REF!,IF(SUM($CQ395:$CQ399)&gt;$DS$1,$DS$6,DD398-1))</f>
        <v>-9</v>
      </c>
      <c r="DE399" s="18" t="b">
        <v>0</v>
      </c>
      <c r="DF399" s="2" t="b">
        <f>IF(OR(RecData[[#This Row],[WSpd_Avg '[m/s']]]-RecData[[#This Row],[Wind Speed min]]&gt;=$DF$3,RecData[[#This Row],[Wind Speed max]]-RecData[[#This Row],[WSpd_Avg '[m/s']]]&gt;=$DF$2),TRUE,FALSE)</f>
        <v>0</v>
      </c>
      <c r="DG399" s="2" t="b">
        <f>RecData[[#This Row],[Temperature '[°C']]]&lt;=-20</f>
        <v>0</v>
      </c>
      <c r="DH399" s="18" t="b">
        <f>NOT(OR(MOD(RecData[[#This Row],[TIMESTAMP]],1)&gt;0.91632,MOD(RecData[[#This Row],[TIMESTAMP]],1)&lt;0.208681))</f>
        <v>0</v>
      </c>
      <c r="DI399" s="18" t="b">
        <f>RecData[[#This Row],[Overall (dBA)]]-RecData[[#This Row],[L90]]&gt;=$DS$4</f>
        <v>0</v>
      </c>
      <c r="DJ399" s="18" t="b">
        <f>RecData[[#This Row],[Overall (dBA)]]&gt;$DS$2</f>
        <v>0</v>
      </c>
      <c r="DK399" s="18" t="b">
        <f>RecData[[#This Row],[Overall (dBA)]]&lt;$DS$3</f>
        <v>0</v>
      </c>
      <c r="DL3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399" s="2">
        <f>IF(AND(RecData[[#This Row],[Turbines ON/OFF]] = "OFF", NOT(OR(RecData[[#This Row],[Junk?]]="YES",RecData[[#This Row],[Gust?]],RecData[[#This Row],[Rain?]:[Min SPL Threshold?]]))),1,0)</f>
        <v>1</v>
      </c>
      <c r="DN399" s="16">
        <f>RecData[[#This Row],[dBA Sum]]</f>
        <v>18.626300398859875</v>
      </c>
      <c r="DO399" s="16">
        <f>RecData[[#This Row],[LAF90.0]]</f>
        <v>27.9</v>
      </c>
      <c r="DP399" s="55" t="str">
        <f>IF(AND(RecData[[#This Row],[Useable TON Data?]],RecData[[#This Row],[Turbines ON/OFF]]="ON"),RecData[[#This Row],[dBA Sum]],"")</f>
        <v/>
      </c>
      <c r="DQ399" s="55">
        <f>IF(AND(RecData[[#This Row],[Useable Background Data?]],RecData[[#This Row],[Turbines ON/OFF]]="OFF"),RecData[[#This Row],[dBA Sum]],"")</f>
        <v>18.626300398859875</v>
      </c>
      <c r="DR399" s="3">
        <f>IF(OR(RecData[[#This Row],[Useable TON Data?]],RecData[[#This Row],[Useable Background Data?]]),ROUND(RecData[[#This Row],[WSpd_Avg '[m/s']]],0),"")</f>
        <v>1</v>
      </c>
      <c r="DS399" s="85">
        <f>(0.00002)^2*(10^(RecData[[#This Row],[Overall (dBA)]]/10))</f>
        <v>2.9153455031657336E-8</v>
      </c>
    </row>
    <row r="400" spans="1:123" ht="15" x14ac:dyDescent="0.25">
      <c r="A400" s="3" t="s">
        <v>249</v>
      </c>
      <c r="B400" s="12">
        <v>43262.046527777784</v>
      </c>
      <c r="C400" s="3"/>
      <c r="D400" s="3">
        <v>31.4</v>
      </c>
      <c r="E400" s="3"/>
      <c r="F400" s="3"/>
      <c r="G400" s="3"/>
      <c r="H400" s="3"/>
      <c r="I400" s="3"/>
      <c r="J400" s="3"/>
      <c r="K400" s="3">
        <v>25.3</v>
      </c>
      <c r="L400" s="3"/>
      <c r="M400" s="3"/>
      <c r="N400" s="3">
        <v>139.19999999999999</v>
      </c>
      <c r="O400" s="3"/>
      <c r="P400" s="3"/>
      <c r="Q400" s="3">
        <v>0.95</v>
      </c>
      <c r="R400" s="3">
        <v>0.8</v>
      </c>
      <c r="S400" s="3">
        <v>1.2</v>
      </c>
      <c r="T400" s="3">
        <v>9</v>
      </c>
      <c r="U400" s="3">
        <v>88.4</v>
      </c>
      <c r="V400" s="3">
        <v>974.2</v>
      </c>
      <c r="W400" s="3">
        <v>0</v>
      </c>
      <c r="X400" s="3">
        <v>15.2</v>
      </c>
      <c r="Y400" s="3">
        <v>13.2</v>
      </c>
      <c r="Z400" s="3">
        <v>18.3</v>
      </c>
      <c r="AA400" s="3">
        <v>11.3</v>
      </c>
      <c r="AB400" s="3">
        <v>13</v>
      </c>
      <c r="AC400" s="3">
        <v>6.7</v>
      </c>
      <c r="AD400" s="3">
        <v>8.4</v>
      </c>
      <c r="AE400" s="3">
        <v>11.9</v>
      </c>
      <c r="AF400" s="3">
        <v>11.6</v>
      </c>
      <c r="AG400" s="3">
        <v>9.8000000000000007</v>
      </c>
      <c r="AH400" s="3">
        <v>12.2</v>
      </c>
      <c r="AI400" s="3">
        <v>11.6</v>
      </c>
      <c r="AJ400" s="3">
        <v>12.8</v>
      </c>
      <c r="AK400" s="3">
        <v>13.9</v>
      </c>
      <c r="AL400" s="3">
        <v>8.5</v>
      </c>
      <c r="AM400" s="3">
        <v>10.7</v>
      </c>
      <c r="AN400" s="3">
        <v>9.4</v>
      </c>
      <c r="AO400" s="3">
        <v>9.1</v>
      </c>
      <c r="AP400" s="3">
        <v>8.3000000000000007</v>
      </c>
      <c r="AQ400" s="3">
        <v>7.7</v>
      </c>
      <c r="AR400" s="3">
        <v>6.9</v>
      </c>
      <c r="AS400" s="3">
        <v>21</v>
      </c>
      <c r="AT400" s="3">
        <v>29.2</v>
      </c>
      <c r="AU400" s="3">
        <v>9.3000000000000007</v>
      </c>
      <c r="AV400" s="3">
        <v>8.6999999999999993</v>
      </c>
      <c r="AW400" s="3">
        <v>9.3000000000000007</v>
      </c>
      <c r="AX400" s="3">
        <v>9.4</v>
      </c>
      <c r="AY400" s="3">
        <v>9.6</v>
      </c>
      <c r="AZ400" s="3">
        <v>0</v>
      </c>
      <c r="BA400" s="3">
        <v>0</v>
      </c>
      <c r="BB400" s="3">
        <v>0</v>
      </c>
      <c r="BC400" s="3">
        <v>31.361072764660495</v>
      </c>
      <c r="BD400" s="3">
        <v>15.238927235339499</v>
      </c>
      <c r="BE400" s="3">
        <v>13.238927235339499</v>
      </c>
      <c r="BF400" s="3">
        <v>17.098927235339506</v>
      </c>
      <c r="BG400" s="3">
        <v>10.425593902006167</v>
      </c>
      <c r="BH400" s="3">
        <v>12.26559390200617</v>
      </c>
      <c r="BI400" s="3">
        <v>6.378927235339507</v>
      </c>
      <c r="BJ400" s="3">
        <v>8.8722605686728393</v>
      </c>
      <c r="BK400" s="3">
        <v>12.245593902006167</v>
      </c>
      <c r="BL400" s="3">
        <v>11.5189272353395</v>
      </c>
      <c r="BM400" s="3">
        <v>9.8522605686728433</v>
      </c>
      <c r="BN400" s="3">
        <v>12.535593902006166</v>
      </c>
      <c r="BO400" s="3">
        <v>11.302260568672839</v>
      </c>
      <c r="BP400" s="3">
        <v>12.218927235339503</v>
      </c>
      <c r="BQ400" s="3">
        <v>13.735593902006162</v>
      </c>
      <c r="BR400" s="3">
        <v>8.6622605686728384</v>
      </c>
      <c r="BS400" s="3">
        <v>10.665593902006169</v>
      </c>
      <c r="BT400" s="3">
        <v>9.562260568672837</v>
      </c>
      <c r="BU400" s="3">
        <v>9.2289272353395084</v>
      </c>
      <c r="BV400" s="3">
        <v>8.1455939020061727</v>
      </c>
      <c r="BW400" s="3">
        <v>8.0789272353395027</v>
      </c>
      <c r="BX400" s="3">
        <v>7.1989272353395073</v>
      </c>
      <c r="BY400" s="3">
        <v>21.118927235339502</v>
      </c>
      <c r="BZ400" s="3">
        <v>29.448927235339507</v>
      </c>
      <c r="CA400" s="3">
        <v>9.6489272353394959</v>
      </c>
      <c r="CB400" s="3">
        <v>8.485593902006169</v>
      </c>
      <c r="CC400" s="3">
        <v>9.2989272353395016</v>
      </c>
      <c r="CD400" s="3">
        <v>8.705593902006175</v>
      </c>
      <c r="CE400" s="3">
        <v>9.0989272353394988</v>
      </c>
      <c r="CF400" s="3">
        <v>-0.88773943132716227</v>
      </c>
      <c r="CG400" s="3">
        <v>-1.4210727646604937</v>
      </c>
      <c r="CH400" s="3">
        <v>-2.4977394313271617</v>
      </c>
      <c r="CI400" s="13">
        <f>[1]!dbasum(RecData[[#This Row],[20]:[2000]],RecData[[#Headers],[20]:[2000]])</f>
        <v>18.139064493985288</v>
      </c>
      <c r="CJ400" s="14">
        <v>4852</v>
      </c>
      <c r="CK400" s="15" t="s">
        <v>249</v>
      </c>
      <c r="CL400" s="15">
        <f>RecData[[#This Row],[Start Time]]</f>
        <v>43262.046527777784</v>
      </c>
      <c r="CM400" s="16">
        <f>RecData[[#This Row],[Wind Speed avg]]</f>
        <v>0.95</v>
      </c>
      <c r="CN400" s="16">
        <f>RecData[[#This Row],[Wind Dir. avg]]</f>
        <v>139.19999999999999</v>
      </c>
      <c r="CO400" s="16">
        <f>RecData[[#This Row],[Amb. Humidity]]</f>
        <v>88.4</v>
      </c>
      <c r="CP400" s="16">
        <f>RecData[[#This Row],[Amb. Temperature]]</f>
        <v>9</v>
      </c>
      <c r="CQ400" s="17">
        <f>RecData[[#This Row],[Amb. Rain Gauge]]</f>
        <v>0</v>
      </c>
      <c r="CR400" s="4" t="s">
        <v>50</v>
      </c>
      <c r="CS400" s="4" t="s">
        <v>49</v>
      </c>
      <c r="CT400" s="70">
        <v>-9.611400604</v>
      </c>
      <c r="CU400" s="70">
        <v>202.02041629999999</v>
      </c>
      <c r="CV400" s="70">
        <v>0.63366562100000001</v>
      </c>
      <c r="CW400" s="70">
        <v>0</v>
      </c>
      <c r="CX400" s="4"/>
      <c r="CY400" s="69"/>
      <c r="CZ400" s="2" t="b">
        <f>IF($DP$1="YES",IF(RecData[[#This Row],[Power (kW)]]&gt;=$CR$3, TRUE,FALSE),TRUE)</f>
        <v>0</v>
      </c>
      <c r="DA400" s="16">
        <f>MIN(MOD(180-ABS(ABS($DA$1-RecData[Yaw Angle (°)])-180),360),MOD(180-ABS(ABS($DB$1-RecData[Yaw Angle (°)])-180),360))</f>
        <v>165.50951047768757</v>
      </c>
      <c r="DB400" s="2" t="str">
        <f>IF($DP$2="None","None",IF(RecData[[#This Row],[Relative Wind Direction]]&lt;=45,"DW",IF(RecData[[#This Row],[Relative Wind Direction]]&lt;=135,"CW","UW")))</f>
        <v>UW</v>
      </c>
      <c r="DC400" s="61">
        <v>-1</v>
      </c>
      <c r="DD400" s="61">
        <v>-1</v>
      </c>
      <c r="DE400" s="18" t="b">
        <v>0</v>
      </c>
      <c r="DF400" s="2" t="b">
        <f>IF(OR(RecData[[#This Row],[WSpd_Avg '[m/s']]]-RecData[[#This Row],[Wind Speed min]]&gt;=$DF$3,RecData[[#This Row],[Wind Speed max]]-RecData[[#This Row],[WSpd_Avg '[m/s']]]&gt;=$DF$2),TRUE,FALSE)</f>
        <v>0</v>
      </c>
      <c r="DG400" s="2" t="b">
        <f>RecData[[#This Row],[Temperature '[°C']]]&lt;=-20</f>
        <v>0</v>
      </c>
      <c r="DH400" s="18" t="b">
        <f>NOT(OR(MOD(RecData[[#This Row],[TIMESTAMP]],1)&gt;0.91632,MOD(RecData[[#This Row],[TIMESTAMP]],1)&lt;0.208681))</f>
        <v>0</v>
      </c>
      <c r="DI400" s="18" t="b">
        <f>RecData[[#This Row],[Overall (dBA)]]-RecData[[#This Row],[L90]]&gt;=$DS$4</f>
        <v>0</v>
      </c>
      <c r="DJ400" s="18" t="b">
        <f>RecData[[#This Row],[Overall (dBA)]]&gt;$DS$2</f>
        <v>0</v>
      </c>
      <c r="DK400" s="18" t="b">
        <f>RecData[[#This Row],[Overall (dBA)]]&lt;$DS$3</f>
        <v>0</v>
      </c>
      <c r="DL4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0" s="2">
        <f>IF(AND(RecData[[#This Row],[Turbines ON/OFF]] = "OFF", NOT(OR(RecData[[#This Row],[Junk?]]="YES",RecData[[#This Row],[Gust?]],RecData[[#This Row],[Rain?]:[Min SPL Threshold?]]))),1,0)</f>
        <v>1</v>
      </c>
      <c r="DN400" s="16">
        <f>RecData[[#This Row],[dBA Sum]]</f>
        <v>18.139064493985288</v>
      </c>
      <c r="DO400" s="16">
        <f>RecData[[#This Row],[LAF90.0]]</f>
        <v>25.3</v>
      </c>
      <c r="DP400" s="55" t="str">
        <f>IF(AND(RecData[[#This Row],[Useable TON Data?]],RecData[[#This Row],[Turbines ON/OFF]]="ON"),RecData[[#This Row],[dBA Sum]],"")</f>
        <v/>
      </c>
      <c r="DQ400" s="55">
        <f>IF(AND(RecData[[#This Row],[Useable Background Data?]],RecData[[#This Row],[Turbines ON/OFF]]="OFF"),RecData[[#This Row],[dBA Sum]],"")</f>
        <v>18.139064493985288</v>
      </c>
      <c r="DR400" s="3">
        <f>IF(OR(RecData[[#This Row],[Useable TON Data?]],RecData[[#This Row],[Useable Background Data?]]),ROUND(RecData[[#This Row],[WSpd_Avg '[m/s']]],0),"")</f>
        <v>1</v>
      </c>
      <c r="DS400" s="85">
        <f>(0.00002)^2*(10^(RecData[[#This Row],[Overall (dBA)]]/10))</f>
        <v>2.6059521722601844E-8</v>
      </c>
    </row>
    <row r="401" spans="1:123" ht="15" x14ac:dyDescent="0.25">
      <c r="A401" s="3" t="s">
        <v>249</v>
      </c>
      <c r="B401" s="12">
        <v>43262.047222222231</v>
      </c>
      <c r="C401" s="3"/>
      <c r="D401" s="3">
        <v>30.6</v>
      </c>
      <c r="E401" s="3"/>
      <c r="F401" s="3"/>
      <c r="G401" s="3"/>
      <c r="H401" s="3"/>
      <c r="I401" s="3"/>
      <c r="J401" s="3"/>
      <c r="K401" s="3">
        <v>24.5</v>
      </c>
      <c r="L401" s="3"/>
      <c r="M401" s="3"/>
      <c r="N401" s="3">
        <v>137.30000000000001</v>
      </c>
      <c r="O401" s="3"/>
      <c r="P401" s="3"/>
      <c r="Q401" s="3">
        <v>0.67</v>
      </c>
      <c r="R401" s="3">
        <v>0.2</v>
      </c>
      <c r="S401" s="3">
        <v>1</v>
      </c>
      <c r="T401" s="3">
        <v>9</v>
      </c>
      <c r="U401" s="3">
        <v>88.2</v>
      </c>
      <c r="V401" s="3">
        <v>974.2</v>
      </c>
      <c r="W401" s="3">
        <v>0</v>
      </c>
      <c r="X401" s="3">
        <v>14.7</v>
      </c>
      <c r="Y401" s="3">
        <v>12.5</v>
      </c>
      <c r="Z401" s="3">
        <v>17</v>
      </c>
      <c r="AA401" s="3">
        <v>11.7</v>
      </c>
      <c r="AB401" s="3">
        <v>12.7</v>
      </c>
      <c r="AC401" s="3">
        <v>5.7</v>
      </c>
      <c r="AD401" s="3">
        <v>9.3000000000000007</v>
      </c>
      <c r="AE401" s="3">
        <v>11.8</v>
      </c>
      <c r="AF401" s="3">
        <v>12.2</v>
      </c>
      <c r="AG401" s="3">
        <v>10.6</v>
      </c>
      <c r="AH401" s="3">
        <v>10.8</v>
      </c>
      <c r="AI401" s="3">
        <v>11.5</v>
      </c>
      <c r="AJ401" s="3">
        <v>13.1</v>
      </c>
      <c r="AK401" s="3">
        <v>11.2</v>
      </c>
      <c r="AL401" s="3">
        <v>8.8000000000000007</v>
      </c>
      <c r="AM401" s="3">
        <v>7.5</v>
      </c>
      <c r="AN401" s="3">
        <v>7.8</v>
      </c>
      <c r="AO401" s="3">
        <v>7.7</v>
      </c>
      <c r="AP401" s="3">
        <v>7.4</v>
      </c>
      <c r="AQ401" s="3">
        <v>8</v>
      </c>
      <c r="AR401" s="3">
        <v>7</v>
      </c>
      <c r="AS401" s="3">
        <v>20</v>
      </c>
      <c r="AT401" s="3">
        <v>28.5</v>
      </c>
      <c r="AU401" s="3">
        <v>8.9</v>
      </c>
      <c r="AV401" s="3">
        <v>8.8000000000000007</v>
      </c>
      <c r="AW401" s="3">
        <v>9.3000000000000007</v>
      </c>
      <c r="AX401" s="3">
        <v>9.4</v>
      </c>
      <c r="AY401" s="3">
        <v>9.6999999999999993</v>
      </c>
      <c r="AZ401" s="3">
        <v>0</v>
      </c>
      <c r="BA401" s="3">
        <v>0</v>
      </c>
      <c r="BB401" s="3">
        <v>0</v>
      </c>
      <c r="BC401" s="3">
        <v>30.633138167207953</v>
      </c>
      <c r="BD401" s="3">
        <v>14.666861832792044</v>
      </c>
      <c r="BE401" s="3">
        <v>12.466861832792048</v>
      </c>
      <c r="BF401" s="3">
        <v>15.726861832792046</v>
      </c>
      <c r="BG401" s="3">
        <v>10.75352849945871</v>
      </c>
      <c r="BH401" s="3">
        <v>11.893528499458718</v>
      </c>
      <c r="BI401" s="3">
        <v>5.3068618327920518</v>
      </c>
      <c r="BJ401" s="3">
        <v>9.7001951661253827</v>
      </c>
      <c r="BK401" s="3">
        <v>12.07352849945871</v>
      </c>
      <c r="BL401" s="3">
        <v>12.046861832792047</v>
      </c>
      <c r="BM401" s="3">
        <v>10.580195166125385</v>
      </c>
      <c r="BN401" s="3">
        <v>11.06352849945872</v>
      </c>
      <c r="BO401" s="3">
        <v>11.130195166125382</v>
      </c>
      <c r="BP401" s="3">
        <v>12.446861832792045</v>
      </c>
      <c r="BQ401" s="3">
        <v>10.963528499458704</v>
      </c>
      <c r="BR401" s="3">
        <v>8.8901951661253875</v>
      </c>
      <c r="BS401" s="3">
        <v>7.3935284994587178</v>
      </c>
      <c r="BT401" s="3">
        <v>7.8901951661253804</v>
      </c>
      <c r="BU401" s="3">
        <v>7.7568618327920547</v>
      </c>
      <c r="BV401" s="3">
        <v>7.173528499458719</v>
      </c>
      <c r="BW401" s="3">
        <v>8.3068618327920518</v>
      </c>
      <c r="BX401" s="3">
        <v>7.2268618327920535</v>
      </c>
      <c r="BY401" s="3">
        <v>20.046861832792047</v>
      </c>
      <c r="BZ401" s="3">
        <v>28.676861832792049</v>
      </c>
      <c r="CA401" s="3">
        <v>9.1768618327920422</v>
      </c>
      <c r="CB401" s="3">
        <v>8.5135284994587153</v>
      </c>
      <c r="CC401" s="3">
        <v>9.2268618327920464</v>
      </c>
      <c r="CD401" s="3">
        <v>8.6335284994587198</v>
      </c>
      <c r="CE401" s="3">
        <v>9.126861832792045</v>
      </c>
      <c r="CF401" s="3">
        <v>-0.95980483387461746</v>
      </c>
      <c r="CG401" s="3">
        <v>-1.4931381672079489</v>
      </c>
      <c r="CH401" s="3">
        <v>-2.5698048338746169</v>
      </c>
      <c r="CI401" s="13">
        <f>[1]!dbasum(RecData[[#This Row],[20]:[2000]],RecData[[#Headers],[20]:[2000]])</f>
        <v>17.131159758657475</v>
      </c>
      <c r="CJ401" s="14">
        <v>4853</v>
      </c>
      <c r="CK401" s="15" t="s">
        <v>249</v>
      </c>
      <c r="CL401" s="15">
        <f>RecData[[#This Row],[Start Time]]</f>
        <v>43262.047222222231</v>
      </c>
      <c r="CM401" s="16">
        <f>RecData[[#This Row],[Wind Speed avg]]</f>
        <v>0.67</v>
      </c>
      <c r="CN401" s="16">
        <f>RecData[[#This Row],[Wind Dir. avg]]</f>
        <v>137.30000000000001</v>
      </c>
      <c r="CO401" s="16">
        <f>RecData[[#This Row],[Amb. Humidity]]</f>
        <v>88.2</v>
      </c>
      <c r="CP401" s="16">
        <f>RecData[[#This Row],[Amb. Temperature]]</f>
        <v>9</v>
      </c>
      <c r="CQ401" s="17">
        <f>RecData[[#This Row],[Amb. Rain Gauge]]</f>
        <v>0</v>
      </c>
      <c r="CR401" s="4" t="s">
        <v>50</v>
      </c>
      <c r="CS401" s="4" t="s">
        <v>49</v>
      </c>
      <c r="CT401" s="70">
        <v>-9.611400604</v>
      </c>
      <c r="CU401" s="70">
        <v>202.02041629999999</v>
      </c>
      <c r="CV401" s="70">
        <v>0.63366562100000001</v>
      </c>
      <c r="CW401" s="70">
        <v>0</v>
      </c>
      <c r="CX401" s="4"/>
      <c r="CY401" s="69"/>
      <c r="CZ401" s="2" t="b">
        <f>IF($DP$1="YES",IF(RecData[[#This Row],[Power (kW)]]&gt;=$CR$3, TRUE,FALSE),TRUE)</f>
        <v>0</v>
      </c>
      <c r="DA401" s="16">
        <f>MIN(MOD(180-ABS(ABS($DA$1-RecData[Yaw Angle (°)])-180),360),MOD(180-ABS(ABS($DB$1-RecData[Yaw Angle (°)])-180),360))</f>
        <v>165.50951047768757</v>
      </c>
      <c r="DB401" s="2" t="str">
        <f>IF($DP$2="None","None",IF(RecData[[#This Row],[Relative Wind Direction]]&lt;=45,"DW",IF(RecData[[#This Row],[Relative Wind Direction]]&lt;=135,"CW","UW")))</f>
        <v>UW</v>
      </c>
      <c r="DC401" s="61">
        <f>IF($CL401-$CL400&gt;1/24,#REF!,IF(SUM($CQ400:$CQ401)&gt;$DS$1,$DS$5,DC402-1))</f>
        <v>-9</v>
      </c>
      <c r="DD401" s="61">
        <f>IF($CL402-$CL401&gt;1/24,#REF!,IF(SUM($CQ400:$CQ401)&gt;$DS$1,$DS$6,DD400-1))</f>
        <v>-2</v>
      </c>
      <c r="DE401" s="18" t="b">
        <v>0</v>
      </c>
      <c r="DF401" s="2" t="b">
        <f>IF(OR(RecData[[#This Row],[WSpd_Avg '[m/s']]]-RecData[[#This Row],[Wind Speed min]]&gt;=$DF$3,RecData[[#This Row],[Wind Speed max]]-RecData[[#This Row],[WSpd_Avg '[m/s']]]&gt;=$DF$2),TRUE,FALSE)</f>
        <v>0</v>
      </c>
      <c r="DG401" s="2" t="b">
        <f>RecData[[#This Row],[Temperature '[°C']]]&lt;=-20</f>
        <v>0</v>
      </c>
      <c r="DH401" s="18" t="b">
        <f>NOT(OR(MOD(RecData[[#This Row],[TIMESTAMP]],1)&gt;0.91632,MOD(RecData[[#This Row],[TIMESTAMP]],1)&lt;0.208681))</f>
        <v>0</v>
      </c>
      <c r="DI401" s="18" t="b">
        <f>RecData[[#This Row],[Overall (dBA)]]-RecData[[#This Row],[L90]]&gt;=$DS$4</f>
        <v>0</v>
      </c>
      <c r="DJ401" s="18" t="b">
        <f>RecData[[#This Row],[Overall (dBA)]]&gt;$DS$2</f>
        <v>0</v>
      </c>
      <c r="DK401" s="18" t="b">
        <f>RecData[[#This Row],[Overall (dBA)]]&lt;$DS$3</f>
        <v>0</v>
      </c>
      <c r="DL4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1" s="2">
        <f>IF(AND(RecData[[#This Row],[Turbines ON/OFF]] = "OFF", NOT(OR(RecData[[#This Row],[Junk?]]="YES",RecData[[#This Row],[Gust?]],RecData[[#This Row],[Rain?]:[Min SPL Threshold?]]))),1,0)</f>
        <v>1</v>
      </c>
      <c r="DN401" s="16">
        <f>RecData[[#This Row],[dBA Sum]]</f>
        <v>17.131159758657475</v>
      </c>
      <c r="DO401" s="16">
        <f>RecData[[#This Row],[LAF90.0]]</f>
        <v>24.5</v>
      </c>
      <c r="DP401" s="55" t="str">
        <f>IF(AND(RecData[[#This Row],[Useable TON Data?]],RecData[[#This Row],[Turbines ON/OFF]]="ON"),RecData[[#This Row],[dBA Sum]],"")</f>
        <v/>
      </c>
      <c r="DQ401" s="55">
        <f>IF(AND(RecData[[#This Row],[Useable Background Data?]],RecData[[#This Row],[Turbines ON/OFF]]="OFF"),RecData[[#This Row],[dBA Sum]],"")</f>
        <v>17.131159758657475</v>
      </c>
      <c r="DR401" s="3">
        <f>IF(OR(RecData[[#This Row],[Useable TON Data?]],RecData[[#This Row],[Useable Background Data?]]),ROUND(RecData[[#This Row],[WSpd_Avg '[m/s']]],0),"")</f>
        <v>1</v>
      </c>
      <c r="DS401" s="85">
        <f>(0.00002)^2*(10^(RecData[[#This Row],[Overall (dBA)]]/10))</f>
        <v>2.0662171749394624E-8</v>
      </c>
    </row>
    <row r="402" spans="1:123" ht="15" x14ac:dyDescent="0.25">
      <c r="A402" s="3" t="s">
        <v>249</v>
      </c>
      <c r="B402" s="12">
        <v>43262.04791666667</v>
      </c>
      <c r="C402" s="3"/>
      <c r="D402" s="3">
        <v>30.8</v>
      </c>
      <c r="E402" s="3"/>
      <c r="F402" s="3"/>
      <c r="G402" s="3"/>
      <c r="H402" s="3"/>
      <c r="I402" s="3"/>
      <c r="J402" s="3"/>
      <c r="K402" s="3">
        <v>24.6</v>
      </c>
      <c r="L402" s="3"/>
      <c r="M402" s="3"/>
      <c r="N402" s="3">
        <v>128.6</v>
      </c>
      <c r="O402" s="3"/>
      <c r="P402" s="3"/>
      <c r="Q402" s="3">
        <v>0.28000000000000003</v>
      </c>
      <c r="R402" s="3">
        <v>0</v>
      </c>
      <c r="S402" s="3">
        <v>0.7</v>
      </c>
      <c r="T402" s="3">
        <v>9.1</v>
      </c>
      <c r="U402" s="3">
        <v>88.2</v>
      </c>
      <c r="V402" s="3">
        <v>974.2</v>
      </c>
      <c r="W402" s="3">
        <v>0</v>
      </c>
      <c r="X402" s="3">
        <v>14.7</v>
      </c>
      <c r="Y402" s="3">
        <v>12.4</v>
      </c>
      <c r="Z402" s="3">
        <v>15.4</v>
      </c>
      <c r="AA402" s="3">
        <v>10.8</v>
      </c>
      <c r="AB402" s="3">
        <v>8.8000000000000007</v>
      </c>
      <c r="AC402" s="3">
        <v>6.7</v>
      </c>
      <c r="AD402" s="3">
        <v>6.4</v>
      </c>
      <c r="AE402" s="3">
        <v>8.9</v>
      </c>
      <c r="AF402" s="3">
        <v>11.7</v>
      </c>
      <c r="AG402" s="3">
        <v>9.6</v>
      </c>
      <c r="AH402" s="3">
        <v>10.6</v>
      </c>
      <c r="AI402" s="3">
        <v>10.4</v>
      </c>
      <c r="AJ402" s="3">
        <v>11.2</v>
      </c>
      <c r="AK402" s="3">
        <v>10.3</v>
      </c>
      <c r="AL402" s="3">
        <v>8.1</v>
      </c>
      <c r="AM402" s="3">
        <v>9.1999999999999993</v>
      </c>
      <c r="AN402" s="3">
        <v>8.1999999999999993</v>
      </c>
      <c r="AO402" s="3">
        <v>8.1999999999999993</v>
      </c>
      <c r="AP402" s="3">
        <v>7.4</v>
      </c>
      <c r="AQ402" s="3">
        <v>7.5</v>
      </c>
      <c r="AR402" s="3">
        <v>6.6</v>
      </c>
      <c r="AS402" s="3">
        <v>18.600000000000001</v>
      </c>
      <c r="AT402" s="3">
        <v>28.8</v>
      </c>
      <c r="AU402" s="3">
        <v>9.1</v>
      </c>
      <c r="AV402" s="3">
        <v>8.6999999999999993</v>
      </c>
      <c r="AW402" s="3">
        <v>9.1999999999999993</v>
      </c>
      <c r="AX402" s="3">
        <v>9.3000000000000007</v>
      </c>
      <c r="AY402" s="3">
        <v>9.6</v>
      </c>
      <c r="AZ402" s="3">
        <v>0</v>
      </c>
      <c r="BA402" s="3">
        <v>0</v>
      </c>
      <c r="BB402" s="3">
        <v>0</v>
      </c>
      <c r="BC402" s="3">
        <v>30.734934513306431</v>
      </c>
      <c r="BD402" s="3">
        <v>14.765065486693569</v>
      </c>
      <c r="BE402" s="3">
        <v>12.465065486693572</v>
      </c>
      <c r="BF402" s="3">
        <v>14.22506548669357</v>
      </c>
      <c r="BG402" s="3">
        <v>9.9517321533602363</v>
      </c>
      <c r="BH402" s="3">
        <v>8.0917321533602369</v>
      </c>
      <c r="BI402" s="3">
        <v>6.4050654866935695</v>
      </c>
      <c r="BJ402" s="3">
        <v>6.8983988200269017</v>
      </c>
      <c r="BK402" s="3">
        <v>9.2717321533602295</v>
      </c>
      <c r="BL402" s="3">
        <v>11.645065486693571</v>
      </c>
      <c r="BM402" s="3">
        <v>9.6783988200269029</v>
      </c>
      <c r="BN402" s="3">
        <v>10.961732153360234</v>
      </c>
      <c r="BO402" s="3">
        <v>10.128398820026906</v>
      </c>
      <c r="BP402" s="3">
        <v>10.645065486693571</v>
      </c>
      <c r="BQ402" s="3">
        <v>10.16173215336023</v>
      </c>
      <c r="BR402" s="3">
        <v>8.2883988200269023</v>
      </c>
      <c r="BS402" s="3">
        <v>9.1917321533602383</v>
      </c>
      <c r="BT402" s="3">
        <v>8.3883988200269037</v>
      </c>
      <c r="BU402" s="3">
        <v>8.3550654866935723</v>
      </c>
      <c r="BV402" s="3">
        <v>7.2717321533602366</v>
      </c>
      <c r="BW402" s="3">
        <v>7.9050654866935695</v>
      </c>
      <c r="BX402" s="3">
        <v>6.9250654866935726</v>
      </c>
      <c r="BY402" s="3">
        <v>18.745065486693573</v>
      </c>
      <c r="BZ402" s="3">
        <v>29.075065486693571</v>
      </c>
      <c r="CA402" s="3">
        <v>9.4750654866935626</v>
      </c>
      <c r="CB402" s="3">
        <v>8.5117321533602315</v>
      </c>
      <c r="CC402" s="3">
        <v>9.2250654866935697</v>
      </c>
      <c r="CD402" s="3">
        <v>8.6317321533602431</v>
      </c>
      <c r="CE402" s="3">
        <v>9.1250654866935683</v>
      </c>
      <c r="CF402" s="3">
        <v>-0.86160117997309627</v>
      </c>
      <c r="CG402" s="3">
        <v>-1.3949345133064277</v>
      </c>
      <c r="CH402" s="3">
        <v>-2.4716011799730957</v>
      </c>
      <c r="CI402" s="13">
        <f>[1]!dbasum(RecData[[#This Row],[20]:[2000]],RecData[[#Headers],[20]:[2000]])</f>
        <v>17.056379077794897</v>
      </c>
      <c r="CJ402" s="14">
        <v>4854</v>
      </c>
      <c r="CK402" s="15" t="s">
        <v>249</v>
      </c>
      <c r="CL402" s="15">
        <f>RecData[[#This Row],[Start Time]]</f>
        <v>43262.04791666667</v>
      </c>
      <c r="CM402" s="16">
        <f>RecData[[#This Row],[Wind Speed avg]]</f>
        <v>0.28000000000000003</v>
      </c>
      <c r="CN402" s="16">
        <f>RecData[[#This Row],[Wind Dir. avg]]</f>
        <v>128.6</v>
      </c>
      <c r="CO402" s="16">
        <f>RecData[[#This Row],[Amb. Humidity]]</f>
        <v>88.2</v>
      </c>
      <c r="CP402" s="16">
        <f>RecData[[#This Row],[Amb. Temperature]]</f>
        <v>9.1</v>
      </c>
      <c r="CQ402" s="17">
        <f>RecData[[#This Row],[Amb. Rain Gauge]]</f>
        <v>0</v>
      </c>
      <c r="CR402" s="4" t="s">
        <v>50</v>
      </c>
      <c r="CS402" s="4" t="s">
        <v>49</v>
      </c>
      <c r="CT402" s="70">
        <v>-9.611400604</v>
      </c>
      <c r="CU402" s="70">
        <v>202.02041629999999</v>
      </c>
      <c r="CV402" s="70">
        <v>0.63366562100000001</v>
      </c>
      <c r="CW402" s="70">
        <v>0</v>
      </c>
      <c r="CX402" s="4"/>
      <c r="CY402" s="69"/>
      <c r="CZ402" s="2" t="b">
        <f>IF($DP$1="YES",IF(RecData[[#This Row],[Power (kW)]]&gt;=$CR$3, TRUE,FALSE),TRUE)</f>
        <v>0</v>
      </c>
      <c r="DA402" s="16">
        <f>MIN(MOD(180-ABS(ABS($DA$1-RecData[Yaw Angle (°)])-180),360),MOD(180-ABS(ABS($DB$1-RecData[Yaw Angle (°)])-180),360))</f>
        <v>165.50951047768757</v>
      </c>
      <c r="DB402" s="2" t="str">
        <f>IF($DP$2="None","None",IF(RecData[[#This Row],[Relative Wind Direction]]&lt;=45,"DW",IF(RecData[[#This Row],[Relative Wind Direction]]&lt;=135,"CW","UW")))</f>
        <v>UW</v>
      </c>
      <c r="DC402" s="61">
        <f>IF($CL402-$CL400&gt;1/24,#REF!,IF(SUM($CQ400:$CQ402)&gt;$DS$1,$DS$5,DC403-1))</f>
        <v>-8</v>
      </c>
      <c r="DD402" s="61">
        <f>IF($CL403-$CL402&gt;1/24,#REF!,IF(SUM($CQ400:$CQ402)&gt;$DS$1,$DS$6,DD401-1))</f>
        <v>-3</v>
      </c>
      <c r="DE402" s="18" t="b">
        <v>0</v>
      </c>
      <c r="DF402" s="2" t="b">
        <f>IF(OR(RecData[[#This Row],[WSpd_Avg '[m/s']]]-RecData[[#This Row],[Wind Speed min]]&gt;=$DF$3,RecData[[#This Row],[Wind Speed max]]-RecData[[#This Row],[WSpd_Avg '[m/s']]]&gt;=$DF$2),TRUE,FALSE)</f>
        <v>0</v>
      </c>
      <c r="DG402" s="2" t="b">
        <f>RecData[[#This Row],[Temperature '[°C']]]&lt;=-20</f>
        <v>0</v>
      </c>
      <c r="DH402" s="18" t="b">
        <f>NOT(OR(MOD(RecData[[#This Row],[TIMESTAMP]],1)&gt;0.91632,MOD(RecData[[#This Row],[TIMESTAMP]],1)&lt;0.208681))</f>
        <v>0</v>
      </c>
      <c r="DI402" s="18" t="b">
        <f>RecData[[#This Row],[Overall (dBA)]]-RecData[[#This Row],[L90]]&gt;=$DS$4</f>
        <v>0</v>
      </c>
      <c r="DJ402" s="18" t="b">
        <f>RecData[[#This Row],[Overall (dBA)]]&gt;$DS$2</f>
        <v>0</v>
      </c>
      <c r="DK402" s="18" t="b">
        <f>RecData[[#This Row],[Overall (dBA)]]&lt;$DS$3</f>
        <v>0</v>
      </c>
      <c r="DL4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2" s="2">
        <f>IF(AND(RecData[[#This Row],[Turbines ON/OFF]] = "OFF", NOT(OR(RecData[[#This Row],[Junk?]]="YES",RecData[[#This Row],[Gust?]],RecData[[#This Row],[Rain?]:[Min SPL Threshold?]]))),1,0)</f>
        <v>1</v>
      </c>
      <c r="DN402" s="16">
        <f>RecData[[#This Row],[dBA Sum]]</f>
        <v>17.056379077794897</v>
      </c>
      <c r="DO402" s="16">
        <f>RecData[[#This Row],[LAF90.0]]</f>
        <v>24.6</v>
      </c>
      <c r="DP402" s="55" t="str">
        <f>IF(AND(RecData[[#This Row],[Useable TON Data?]],RecData[[#This Row],[Turbines ON/OFF]]="ON"),RecData[[#This Row],[dBA Sum]],"")</f>
        <v/>
      </c>
      <c r="DQ402" s="55">
        <f>IF(AND(RecData[[#This Row],[Useable Background Data?]],RecData[[#This Row],[Turbines ON/OFF]]="OFF"),RecData[[#This Row],[dBA Sum]],"")</f>
        <v>17.056379077794897</v>
      </c>
      <c r="DR402" s="3">
        <f>IF(OR(RecData[[#This Row],[Useable TON Data?]],RecData[[#This Row],[Useable Background Data?]]),ROUND(RecData[[#This Row],[WSpd_Avg '[m/s']]],0),"")</f>
        <v>0</v>
      </c>
      <c r="DS402" s="85">
        <f>(0.00002)^2*(10^(RecData[[#This Row],[Overall (dBA)]]/10))</f>
        <v>2.0309437685467551E-8</v>
      </c>
    </row>
    <row r="403" spans="1:123" ht="15" x14ac:dyDescent="0.25">
      <c r="A403" s="3" t="s">
        <v>249</v>
      </c>
      <c r="B403" s="12">
        <v>43262.048611111117</v>
      </c>
      <c r="C403" s="3"/>
      <c r="D403" s="3">
        <v>34.4</v>
      </c>
      <c r="E403" s="3"/>
      <c r="F403" s="3"/>
      <c r="G403" s="3"/>
      <c r="H403" s="3"/>
      <c r="I403" s="3"/>
      <c r="J403" s="3"/>
      <c r="K403" s="3">
        <v>28.2</v>
      </c>
      <c r="L403" s="3"/>
      <c r="M403" s="3"/>
      <c r="N403" s="3">
        <v>95.5</v>
      </c>
      <c r="O403" s="3"/>
      <c r="P403" s="3"/>
      <c r="Q403" s="3">
        <v>0.2</v>
      </c>
      <c r="R403" s="3">
        <v>0</v>
      </c>
      <c r="S403" s="3">
        <v>0.4</v>
      </c>
      <c r="T403" s="3">
        <v>9.1</v>
      </c>
      <c r="U403" s="3">
        <v>88.2</v>
      </c>
      <c r="V403" s="3">
        <v>974.2</v>
      </c>
      <c r="W403" s="3">
        <v>0</v>
      </c>
      <c r="X403" s="3">
        <v>14.6</v>
      </c>
      <c r="Y403" s="3">
        <v>11.8</v>
      </c>
      <c r="Z403" s="3">
        <v>14</v>
      </c>
      <c r="AA403" s="3">
        <v>8.8000000000000007</v>
      </c>
      <c r="AB403" s="3">
        <v>10</v>
      </c>
      <c r="AC403" s="3">
        <v>5.4</v>
      </c>
      <c r="AD403" s="3">
        <v>6.3</v>
      </c>
      <c r="AE403" s="3">
        <v>9.5</v>
      </c>
      <c r="AF403" s="3">
        <v>11.1</v>
      </c>
      <c r="AG403" s="3">
        <v>9.9</v>
      </c>
      <c r="AH403" s="3">
        <v>10.4</v>
      </c>
      <c r="AI403" s="3">
        <v>9.9</v>
      </c>
      <c r="AJ403" s="3">
        <v>10.9</v>
      </c>
      <c r="AK403" s="3">
        <v>8.9</v>
      </c>
      <c r="AL403" s="3">
        <v>7.6</v>
      </c>
      <c r="AM403" s="3">
        <v>6.3</v>
      </c>
      <c r="AN403" s="3">
        <v>6.8</v>
      </c>
      <c r="AO403" s="3">
        <v>6.6</v>
      </c>
      <c r="AP403" s="3">
        <v>6.5</v>
      </c>
      <c r="AQ403" s="3">
        <v>7.8</v>
      </c>
      <c r="AR403" s="3">
        <v>6.8</v>
      </c>
      <c r="AS403" s="3">
        <v>25</v>
      </c>
      <c r="AT403" s="3">
        <v>32.299999999999997</v>
      </c>
      <c r="AU403" s="3">
        <v>10.3</v>
      </c>
      <c r="AV403" s="3">
        <v>9.1</v>
      </c>
      <c r="AW403" s="3">
        <v>9.5</v>
      </c>
      <c r="AX403" s="3">
        <v>9.5</v>
      </c>
      <c r="AY403" s="3">
        <v>9.6</v>
      </c>
      <c r="AZ403" s="3">
        <v>0</v>
      </c>
      <c r="BA403" s="3">
        <v>0</v>
      </c>
      <c r="BB403" s="3">
        <v>0</v>
      </c>
      <c r="BC403" s="3">
        <v>34.386133773477511</v>
      </c>
      <c r="BD403" s="3">
        <v>14.613866226522489</v>
      </c>
      <c r="BE403" s="3">
        <v>11.813866226522492</v>
      </c>
      <c r="BF403" s="3">
        <v>12.773866226522486</v>
      </c>
      <c r="BG403" s="3">
        <v>7.9005328931891512</v>
      </c>
      <c r="BH403" s="3">
        <v>9.2405328931891546</v>
      </c>
      <c r="BI403" s="3">
        <v>5.0538662265224872</v>
      </c>
      <c r="BJ403" s="3">
        <v>6.7471995598558223</v>
      </c>
      <c r="BK403" s="3">
        <v>9.8205328931891529</v>
      </c>
      <c r="BL403" s="3">
        <v>10.993866226522485</v>
      </c>
      <c r="BM403" s="3">
        <v>9.927199559855822</v>
      </c>
      <c r="BN403" s="3">
        <v>10.710532893189153</v>
      </c>
      <c r="BO403" s="3">
        <v>9.5771995598558277</v>
      </c>
      <c r="BP403" s="3">
        <v>10.293866226522489</v>
      </c>
      <c r="BQ403" s="3">
        <v>8.7105328931891464</v>
      </c>
      <c r="BR403" s="3">
        <v>7.7371995598558243</v>
      </c>
      <c r="BS403" s="3">
        <v>6.2405328931891546</v>
      </c>
      <c r="BT403" s="3">
        <v>6.93719955985582</v>
      </c>
      <c r="BU403" s="3">
        <v>6.7038662265224929</v>
      </c>
      <c r="BV403" s="3">
        <v>6.3205328931891529</v>
      </c>
      <c r="BW403" s="3">
        <v>8.1538662265224957</v>
      </c>
      <c r="BX403" s="3">
        <v>7.0738662265224903</v>
      </c>
      <c r="BY403" s="3">
        <v>25.093866226522486</v>
      </c>
      <c r="BZ403" s="3">
        <v>32.523866226522486</v>
      </c>
      <c r="CA403" s="3">
        <v>10.62386622652248</v>
      </c>
      <c r="CB403" s="3">
        <v>8.860532893189152</v>
      </c>
      <c r="CC403" s="3">
        <v>9.4738662265224889</v>
      </c>
      <c r="CD403" s="3">
        <v>8.7805328931891609</v>
      </c>
      <c r="CE403" s="3">
        <v>9.0738662265224832</v>
      </c>
      <c r="CF403" s="3">
        <v>-0.91280044014418138</v>
      </c>
      <c r="CG403" s="3">
        <v>-1.4461337734775128</v>
      </c>
      <c r="CH403" s="3">
        <v>-2.5228004401441773</v>
      </c>
      <c r="CI403" s="13">
        <f>[1]!dbasum(RecData[[#This Row],[20]:[2000]],RecData[[#Headers],[20]:[2000]])</f>
        <v>16.236266394686723</v>
      </c>
      <c r="CJ403" s="14">
        <v>4855</v>
      </c>
      <c r="CK403" s="15" t="s">
        <v>249</v>
      </c>
      <c r="CL403" s="15">
        <f>RecData[[#This Row],[Start Time]]</f>
        <v>43262.048611111117</v>
      </c>
      <c r="CM403" s="16">
        <f>RecData[[#This Row],[Wind Speed avg]]</f>
        <v>0.2</v>
      </c>
      <c r="CN403" s="16">
        <f>RecData[[#This Row],[Wind Dir. avg]]</f>
        <v>95.5</v>
      </c>
      <c r="CO403" s="16">
        <f>RecData[[#This Row],[Amb. Humidity]]</f>
        <v>88.2</v>
      </c>
      <c r="CP403" s="16">
        <f>RecData[[#This Row],[Amb. Temperature]]</f>
        <v>9.1</v>
      </c>
      <c r="CQ403" s="17">
        <f>RecData[[#This Row],[Amb. Rain Gauge]]</f>
        <v>0</v>
      </c>
      <c r="CR403" s="4" t="s">
        <v>50</v>
      </c>
      <c r="CS403" s="4" t="s">
        <v>49</v>
      </c>
      <c r="CT403" s="70">
        <v>-9.611400604</v>
      </c>
      <c r="CU403" s="70">
        <v>202.02041629999999</v>
      </c>
      <c r="CV403" s="70">
        <v>0.63366562100000001</v>
      </c>
      <c r="CW403" s="70">
        <v>0</v>
      </c>
      <c r="CX403" s="4"/>
      <c r="CY403" s="69"/>
      <c r="CZ403" s="2" t="b">
        <f>IF($DP$1="YES",IF(RecData[[#This Row],[Power (kW)]]&gt;=$CR$3, TRUE,FALSE),TRUE)</f>
        <v>0</v>
      </c>
      <c r="DA403" s="16">
        <f>MIN(MOD(180-ABS(ABS($DA$1-RecData[Yaw Angle (°)])-180),360),MOD(180-ABS(ABS($DB$1-RecData[Yaw Angle (°)])-180),360))</f>
        <v>165.50951047768757</v>
      </c>
      <c r="DB403" s="2" t="str">
        <f>IF($DP$2="None","None",IF(RecData[[#This Row],[Relative Wind Direction]]&lt;=45,"DW",IF(RecData[[#This Row],[Relative Wind Direction]]&lt;=135,"CW","UW")))</f>
        <v>UW</v>
      </c>
      <c r="DC403" s="61">
        <f>IF($CL403-$CL400&gt;1/24,#REF!,IF(SUM($CQ400:$CQ403)&gt;$DS$1,$DS$5,DC404-1))</f>
        <v>-7</v>
      </c>
      <c r="DD403" s="61">
        <f>IF($CL404-$CL403&gt;1/24,#REF!,IF(SUM($CQ400:$CQ403)&gt;$DS$1,$DS$6,DD402-1))</f>
        <v>-4</v>
      </c>
      <c r="DE403" s="18" t="b">
        <v>0</v>
      </c>
      <c r="DF403" s="2" t="b">
        <f>IF(OR(RecData[[#This Row],[WSpd_Avg '[m/s']]]-RecData[[#This Row],[Wind Speed min]]&gt;=$DF$3,RecData[[#This Row],[Wind Speed max]]-RecData[[#This Row],[WSpd_Avg '[m/s']]]&gt;=$DF$2),TRUE,FALSE)</f>
        <v>0</v>
      </c>
      <c r="DG403" s="2" t="b">
        <f>RecData[[#This Row],[Temperature '[°C']]]&lt;=-20</f>
        <v>0</v>
      </c>
      <c r="DH403" s="18" t="b">
        <f>NOT(OR(MOD(RecData[[#This Row],[TIMESTAMP]],1)&gt;0.91632,MOD(RecData[[#This Row],[TIMESTAMP]],1)&lt;0.208681))</f>
        <v>0</v>
      </c>
      <c r="DI403" s="18" t="b">
        <f>RecData[[#This Row],[Overall (dBA)]]-RecData[[#This Row],[L90]]&gt;=$DS$4</f>
        <v>0</v>
      </c>
      <c r="DJ403" s="18" t="b">
        <f>RecData[[#This Row],[Overall (dBA)]]&gt;$DS$2</f>
        <v>0</v>
      </c>
      <c r="DK403" s="18" t="b">
        <f>RecData[[#This Row],[Overall (dBA)]]&lt;$DS$3</f>
        <v>0</v>
      </c>
      <c r="DL4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3" s="2">
        <f>IF(AND(RecData[[#This Row],[Turbines ON/OFF]] = "OFF", NOT(OR(RecData[[#This Row],[Junk?]]="YES",RecData[[#This Row],[Gust?]],RecData[[#This Row],[Rain?]:[Min SPL Threshold?]]))),1,0)</f>
        <v>1</v>
      </c>
      <c r="DN403" s="16">
        <f>RecData[[#This Row],[dBA Sum]]</f>
        <v>16.236266394686723</v>
      </c>
      <c r="DO403" s="16">
        <f>RecData[[#This Row],[LAF90.0]]</f>
        <v>28.2</v>
      </c>
      <c r="DP403" s="55" t="str">
        <f>IF(AND(RecData[[#This Row],[Useable TON Data?]],RecData[[#This Row],[Turbines ON/OFF]]="ON"),RecData[[#This Row],[dBA Sum]],"")</f>
        <v/>
      </c>
      <c r="DQ403" s="55">
        <f>IF(AND(RecData[[#This Row],[Useable Background Data?]],RecData[[#This Row],[Turbines ON/OFF]]="OFF"),RecData[[#This Row],[dBA Sum]],"")</f>
        <v>16.236266394686723</v>
      </c>
      <c r="DR403" s="3">
        <f>IF(OR(RecData[[#This Row],[Useable TON Data?]],RecData[[#This Row],[Useable Background Data?]]),ROUND(RecData[[#This Row],[WSpd_Avg '[m/s']]],0),"")</f>
        <v>0</v>
      </c>
      <c r="DS403" s="85">
        <f>(0.00002)^2*(10^(RecData[[#This Row],[Overall (dBA)]]/10))</f>
        <v>1.6814603499613154E-8</v>
      </c>
    </row>
    <row r="404" spans="1:123" ht="15" x14ac:dyDescent="0.25">
      <c r="A404" s="3" t="s">
        <v>249</v>
      </c>
      <c r="B404" s="12">
        <v>43262.049305555563</v>
      </c>
      <c r="C404" s="3"/>
      <c r="D404" s="3">
        <v>34.6</v>
      </c>
      <c r="E404" s="3"/>
      <c r="F404" s="3"/>
      <c r="G404" s="3"/>
      <c r="H404" s="3"/>
      <c r="I404" s="3"/>
      <c r="J404" s="3"/>
      <c r="K404" s="3">
        <v>25.9</v>
      </c>
      <c r="L404" s="3"/>
      <c r="M404" s="3"/>
      <c r="N404" s="3">
        <v>117</v>
      </c>
      <c r="O404" s="3"/>
      <c r="P404" s="3"/>
      <c r="Q404" s="3">
        <v>0.14000000000000001</v>
      </c>
      <c r="R404" s="3">
        <v>0</v>
      </c>
      <c r="S404" s="3">
        <v>0.3</v>
      </c>
      <c r="T404" s="3">
        <v>9.1</v>
      </c>
      <c r="U404" s="3">
        <v>88.2</v>
      </c>
      <c r="V404" s="3">
        <v>974.2</v>
      </c>
      <c r="W404" s="3">
        <v>0</v>
      </c>
      <c r="X404" s="3">
        <v>15.2</v>
      </c>
      <c r="Y404" s="3">
        <v>12.2</v>
      </c>
      <c r="Z404" s="3">
        <v>14.9</v>
      </c>
      <c r="AA404" s="3">
        <v>12.2</v>
      </c>
      <c r="AB404" s="3">
        <v>12.6</v>
      </c>
      <c r="AC404" s="3">
        <v>5.8</v>
      </c>
      <c r="AD404" s="3">
        <v>9.1999999999999993</v>
      </c>
      <c r="AE404" s="3">
        <v>12.9</v>
      </c>
      <c r="AF404" s="3">
        <v>13</v>
      </c>
      <c r="AG404" s="3">
        <v>9.5</v>
      </c>
      <c r="AH404" s="3">
        <v>10.7</v>
      </c>
      <c r="AI404" s="3">
        <v>10.8</v>
      </c>
      <c r="AJ404" s="3">
        <v>11.1</v>
      </c>
      <c r="AK404" s="3">
        <v>9.8000000000000007</v>
      </c>
      <c r="AL404" s="3">
        <v>7.5</v>
      </c>
      <c r="AM404" s="3">
        <v>7.5</v>
      </c>
      <c r="AN404" s="3">
        <v>7.9</v>
      </c>
      <c r="AO404" s="3">
        <v>8.4</v>
      </c>
      <c r="AP404" s="3">
        <v>7.5</v>
      </c>
      <c r="AQ404" s="3">
        <v>7.9</v>
      </c>
      <c r="AR404" s="3">
        <v>7.1</v>
      </c>
      <c r="AS404" s="3">
        <v>24.9</v>
      </c>
      <c r="AT404" s="3">
        <v>32.5</v>
      </c>
      <c r="AU404" s="3">
        <v>10.3</v>
      </c>
      <c r="AV404" s="3">
        <v>9.1999999999999993</v>
      </c>
      <c r="AW404" s="3">
        <v>9.6</v>
      </c>
      <c r="AX404" s="3">
        <v>9.5</v>
      </c>
      <c r="AY404" s="3">
        <v>9.6999999999999993</v>
      </c>
      <c r="AZ404" s="3">
        <v>0</v>
      </c>
      <c r="BA404" s="3">
        <v>0</v>
      </c>
      <c r="BB404" s="3">
        <v>0</v>
      </c>
      <c r="BC404" s="3">
        <v>34.547584862654922</v>
      </c>
      <c r="BD404" s="3">
        <v>15.252415137345075</v>
      </c>
      <c r="BE404" s="3">
        <v>12.252415137345075</v>
      </c>
      <c r="BF404" s="3">
        <v>13.712415137345083</v>
      </c>
      <c r="BG404" s="3">
        <v>11.339081804011741</v>
      </c>
      <c r="BH404" s="3">
        <v>11.879081804011747</v>
      </c>
      <c r="BI404" s="3">
        <v>5.4924151373450769</v>
      </c>
      <c r="BJ404" s="3">
        <v>9.685748470678412</v>
      </c>
      <c r="BK404" s="3">
        <v>13.259081804011743</v>
      </c>
      <c r="BL404" s="3">
        <v>12.932415137345082</v>
      </c>
      <c r="BM404" s="3">
        <v>9.5657484706784146</v>
      </c>
      <c r="BN404" s="3">
        <v>11.049081804011742</v>
      </c>
      <c r="BO404" s="3">
        <v>10.515748470678417</v>
      </c>
      <c r="BP404" s="3">
        <v>10.532415137345076</v>
      </c>
      <c r="BQ404" s="3">
        <v>9.6490818040117361</v>
      </c>
      <c r="BR404" s="3">
        <v>7.675748470678414</v>
      </c>
      <c r="BS404" s="3">
        <v>7.4790818040117486</v>
      </c>
      <c r="BT404" s="3">
        <v>8.0757484706784126</v>
      </c>
      <c r="BU404" s="3">
        <v>8.5424151373450812</v>
      </c>
      <c r="BV404" s="3">
        <v>7.3590818040117441</v>
      </c>
      <c r="BW404" s="3">
        <v>8.2924151373450812</v>
      </c>
      <c r="BX404" s="3">
        <v>7.4124151373450857</v>
      </c>
      <c r="BY404" s="3">
        <v>25.032415137345076</v>
      </c>
      <c r="BZ404" s="3">
        <v>32.76241513734508</v>
      </c>
      <c r="CA404" s="3">
        <v>10.662415137345072</v>
      </c>
      <c r="CB404" s="3">
        <v>8.9990818040117446</v>
      </c>
      <c r="CC404" s="3">
        <v>9.6124151373450744</v>
      </c>
      <c r="CD404" s="3">
        <v>8.819081804011752</v>
      </c>
      <c r="CE404" s="3">
        <v>9.2124151373450758</v>
      </c>
      <c r="CF404" s="3">
        <v>-0.87425152932159023</v>
      </c>
      <c r="CG404" s="3">
        <v>-1.4075848626549217</v>
      </c>
      <c r="CH404" s="3">
        <v>-2.4842515293215897</v>
      </c>
      <c r="CI404" s="13">
        <f>[1]!dbasum(RecData[[#This Row],[20]:[2000]],RecData[[#Headers],[20]:[2000]])</f>
        <v>17.001178782572211</v>
      </c>
      <c r="CJ404" s="14">
        <v>4856</v>
      </c>
      <c r="CK404" s="15" t="s">
        <v>249</v>
      </c>
      <c r="CL404" s="15">
        <f>RecData[[#This Row],[Start Time]]</f>
        <v>43262.049305555563</v>
      </c>
      <c r="CM404" s="16">
        <f>RecData[[#This Row],[Wind Speed avg]]</f>
        <v>0.14000000000000001</v>
      </c>
      <c r="CN404" s="16">
        <f>RecData[[#This Row],[Wind Dir. avg]]</f>
        <v>117</v>
      </c>
      <c r="CO404" s="16">
        <f>RecData[[#This Row],[Amb. Humidity]]</f>
        <v>88.2</v>
      </c>
      <c r="CP404" s="16">
        <f>RecData[[#This Row],[Amb. Temperature]]</f>
        <v>9.1</v>
      </c>
      <c r="CQ404" s="17">
        <f>RecData[[#This Row],[Amb. Rain Gauge]]</f>
        <v>0</v>
      </c>
      <c r="CR404" s="4" t="s">
        <v>50</v>
      </c>
      <c r="CS404" s="4" t="s">
        <v>49</v>
      </c>
      <c r="CT404" s="70">
        <v>-9.5240688319999993</v>
      </c>
      <c r="CU404" s="70">
        <v>203.28128050000001</v>
      </c>
      <c r="CV404" s="70">
        <v>0.39625492699999998</v>
      </c>
      <c r="CW404" s="70">
        <v>0</v>
      </c>
      <c r="CX404" s="4"/>
      <c r="CY404" s="69"/>
      <c r="CZ404" s="2" t="b">
        <f>IF($DP$1="YES",IF(RecData[[#This Row],[Power (kW)]]&gt;=$CR$3, TRUE,FALSE),TRUE)</f>
        <v>0</v>
      </c>
      <c r="DA404" s="16">
        <f>MIN(MOD(180-ABS(ABS($DA$1-RecData[Yaw Angle (°)])-180),360),MOD(180-ABS(ABS($DB$1-RecData[Yaw Angle (°)])-180),360))</f>
        <v>164.24864627768756</v>
      </c>
      <c r="DB404" s="2" t="str">
        <f>IF($DP$2="None","None",IF(RecData[[#This Row],[Relative Wind Direction]]&lt;=45,"DW",IF(RecData[[#This Row],[Relative Wind Direction]]&lt;=135,"CW","UW")))</f>
        <v>UW</v>
      </c>
      <c r="DC404" s="61">
        <f>IF($CL404-$CL400&gt;1/24,#REF!,IF(SUM($CQ400:$CQ404)&gt;$DS$1,$DS$5,DC405-1))</f>
        <v>-6</v>
      </c>
      <c r="DD404" s="61">
        <f>IF($CL405-$CL404&gt;1/24,#REF!,IF(SUM($CQ400:$CQ404)&gt;$DS$1,$DS$6,DD403-1))</f>
        <v>-5</v>
      </c>
      <c r="DE404" s="18" t="b">
        <v>0</v>
      </c>
      <c r="DF404" s="2" t="b">
        <f>IF(OR(RecData[[#This Row],[WSpd_Avg '[m/s']]]-RecData[[#This Row],[Wind Speed min]]&gt;=$DF$3,RecData[[#This Row],[Wind Speed max]]-RecData[[#This Row],[WSpd_Avg '[m/s']]]&gt;=$DF$2),TRUE,FALSE)</f>
        <v>0</v>
      </c>
      <c r="DG404" s="2" t="b">
        <f>RecData[[#This Row],[Temperature '[°C']]]&lt;=-20</f>
        <v>0</v>
      </c>
      <c r="DH404" s="18" t="b">
        <f>NOT(OR(MOD(RecData[[#This Row],[TIMESTAMP]],1)&gt;0.91632,MOD(RecData[[#This Row],[TIMESTAMP]],1)&lt;0.208681))</f>
        <v>0</v>
      </c>
      <c r="DI404" s="18" t="b">
        <f>RecData[[#This Row],[Overall (dBA)]]-RecData[[#This Row],[L90]]&gt;=$DS$4</f>
        <v>0</v>
      </c>
      <c r="DJ404" s="18" t="b">
        <f>RecData[[#This Row],[Overall (dBA)]]&gt;$DS$2</f>
        <v>0</v>
      </c>
      <c r="DK404" s="18" t="b">
        <f>RecData[[#This Row],[Overall (dBA)]]&lt;$DS$3</f>
        <v>0</v>
      </c>
      <c r="DL4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4" s="2">
        <f>IF(AND(RecData[[#This Row],[Turbines ON/OFF]] = "OFF", NOT(OR(RecData[[#This Row],[Junk?]]="YES",RecData[[#This Row],[Gust?]],RecData[[#This Row],[Rain?]:[Min SPL Threshold?]]))),1,0)</f>
        <v>1</v>
      </c>
      <c r="DN404" s="16">
        <f>RecData[[#This Row],[dBA Sum]]</f>
        <v>17.001178782572211</v>
      </c>
      <c r="DO404" s="16">
        <f>RecData[[#This Row],[LAF90.0]]</f>
        <v>25.9</v>
      </c>
      <c r="DP404" s="55" t="str">
        <f>IF(AND(RecData[[#This Row],[Useable TON Data?]],RecData[[#This Row],[Turbines ON/OFF]]="ON"),RecData[[#This Row],[dBA Sum]],"")</f>
        <v/>
      </c>
      <c r="DQ404" s="55">
        <f>IF(AND(RecData[[#This Row],[Useable Background Data?]],RecData[[#This Row],[Turbines ON/OFF]]="OFF"),RecData[[#This Row],[dBA Sum]],"")</f>
        <v>17.001178782572211</v>
      </c>
      <c r="DR404" s="3">
        <f>IF(OR(RecData[[#This Row],[Useable TON Data?]],RecData[[#This Row],[Useable Background Data?]]),ROUND(RecData[[#This Row],[WSpd_Avg '[m/s']]],0),"")</f>
        <v>0</v>
      </c>
      <c r="DS404" s="85">
        <f>(0.00002)^2*(10^(RecData[[#This Row],[Overall (dBA)]]/10))</f>
        <v>2.0052931467760196E-8</v>
      </c>
    </row>
    <row r="405" spans="1:123" ht="15" x14ac:dyDescent="0.25">
      <c r="A405" s="3" t="s">
        <v>249</v>
      </c>
      <c r="B405" s="12">
        <v>43262.05</v>
      </c>
      <c r="C405" s="3"/>
      <c r="D405" s="3">
        <v>32.5</v>
      </c>
      <c r="E405" s="3"/>
      <c r="F405" s="3"/>
      <c r="G405" s="3"/>
      <c r="H405" s="3"/>
      <c r="I405" s="3"/>
      <c r="J405" s="3"/>
      <c r="K405" s="3">
        <v>26.6</v>
      </c>
      <c r="L405" s="3"/>
      <c r="M405" s="3"/>
      <c r="N405" s="3">
        <v>92.6</v>
      </c>
      <c r="O405" s="3"/>
      <c r="P405" s="3"/>
      <c r="Q405" s="3">
        <v>0.08</v>
      </c>
      <c r="R405" s="3">
        <v>0</v>
      </c>
      <c r="S405" s="3">
        <v>0.2</v>
      </c>
      <c r="T405" s="3">
        <v>9.1</v>
      </c>
      <c r="U405" s="3">
        <v>88.1</v>
      </c>
      <c r="V405" s="3">
        <v>974.2</v>
      </c>
      <c r="W405" s="3">
        <v>0</v>
      </c>
      <c r="X405" s="3">
        <v>15.8</v>
      </c>
      <c r="Y405" s="3">
        <v>13</v>
      </c>
      <c r="Z405" s="3">
        <v>16.399999999999999</v>
      </c>
      <c r="AA405" s="3">
        <v>15.5</v>
      </c>
      <c r="AB405" s="3">
        <v>18.100000000000001</v>
      </c>
      <c r="AC405" s="3">
        <v>5.8</v>
      </c>
      <c r="AD405" s="3">
        <v>12.3</v>
      </c>
      <c r="AE405" s="3">
        <v>17.2</v>
      </c>
      <c r="AF405" s="3">
        <v>14.5</v>
      </c>
      <c r="AG405" s="3">
        <v>10.199999999999999</v>
      </c>
      <c r="AH405" s="3">
        <v>14.2</v>
      </c>
      <c r="AI405" s="3">
        <v>12.7</v>
      </c>
      <c r="AJ405" s="3">
        <v>13.4</v>
      </c>
      <c r="AK405" s="3">
        <v>11.4</v>
      </c>
      <c r="AL405" s="3">
        <v>8.3000000000000007</v>
      </c>
      <c r="AM405" s="3">
        <v>7.4</v>
      </c>
      <c r="AN405" s="3">
        <v>7.7</v>
      </c>
      <c r="AO405" s="3">
        <v>8.3000000000000007</v>
      </c>
      <c r="AP405" s="3">
        <v>7.7</v>
      </c>
      <c r="AQ405" s="3">
        <v>8.1999999999999993</v>
      </c>
      <c r="AR405" s="3">
        <v>7.3</v>
      </c>
      <c r="AS405" s="3">
        <v>21</v>
      </c>
      <c r="AT405" s="3">
        <v>30.5</v>
      </c>
      <c r="AU405" s="3">
        <v>9.8000000000000007</v>
      </c>
      <c r="AV405" s="3">
        <v>9.1</v>
      </c>
      <c r="AW405" s="3">
        <v>9.8000000000000007</v>
      </c>
      <c r="AX405" s="3">
        <v>9.6</v>
      </c>
      <c r="AY405" s="3">
        <v>9.9</v>
      </c>
      <c r="AZ405" s="3">
        <v>0</v>
      </c>
      <c r="BA405" s="3">
        <v>0</v>
      </c>
      <c r="BB405" s="3">
        <v>0</v>
      </c>
      <c r="BC405" s="3">
        <v>32.421061847381409</v>
      </c>
      <c r="BD405" s="3">
        <v>15.878938152618588</v>
      </c>
      <c r="BE405" s="3">
        <v>13.078938152618591</v>
      </c>
      <c r="BF405" s="3">
        <v>15.238938152618587</v>
      </c>
      <c r="BG405" s="3">
        <v>14.665604819285257</v>
      </c>
      <c r="BH405" s="3">
        <v>17.405604819285259</v>
      </c>
      <c r="BI405" s="3">
        <v>5.5189381526185883</v>
      </c>
      <c r="BJ405" s="3">
        <v>12.812271485951925</v>
      </c>
      <c r="BK405" s="3">
        <v>17.585604819285251</v>
      </c>
      <c r="BL405" s="3">
        <v>14.458938152618593</v>
      </c>
      <c r="BM405" s="3">
        <v>10.292271485951929</v>
      </c>
      <c r="BN405" s="3">
        <v>14.57560481928526</v>
      </c>
      <c r="BO405" s="3">
        <v>12.442271485951927</v>
      </c>
      <c r="BP405" s="3">
        <v>12.858938152618592</v>
      </c>
      <c r="BQ405" s="3">
        <v>11.275604819285249</v>
      </c>
      <c r="BR405" s="3">
        <v>8.5022714859519226</v>
      </c>
      <c r="BS405" s="3">
        <v>7.4056048192852586</v>
      </c>
      <c r="BT405" s="3">
        <v>7.9022714859519283</v>
      </c>
      <c r="BU405" s="3">
        <v>8.4689381526185912</v>
      </c>
      <c r="BV405" s="3">
        <v>7.5856048192852583</v>
      </c>
      <c r="BW405" s="3">
        <v>8.6189381526185969</v>
      </c>
      <c r="BX405" s="3">
        <v>7.6389381526185929</v>
      </c>
      <c r="BY405" s="3">
        <v>21.158938152618589</v>
      </c>
      <c r="BZ405" s="3">
        <v>30.788938152618599</v>
      </c>
      <c r="CA405" s="3">
        <v>10.188938152618583</v>
      </c>
      <c r="CB405" s="3">
        <v>8.9256048192852546</v>
      </c>
      <c r="CC405" s="3">
        <v>9.8389381526185886</v>
      </c>
      <c r="CD405" s="3">
        <v>8.9456048192852649</v>
      </c>
      <c r="CE405" s="3">
        <v>9.43893815261859</v>
      </c>
      <c r="CF405" s="3">
        <v>-0.84772851404807525</v>
      </c>
      <c r="CG405" s="3">
        <v>-1.3810618473814067</v>
      </c>
      <c r="CH405" s="3">
        <v>-2.4577285140480747</v>
      </c>
      <c r="CI405" s="13">
        <f>[1]!dbasum(RecData[[#This Row],[20]:[2000]],RecData[[#Headers],[20]:[2000]])</f>
        <v>17.620345300285059</v>
      </c>
      <c r="CJ405" s="14">
        <v>4857</v>
      </c>
      <c r="CK405" s="15" t="s">
        <v>249</v>
      </c>
      <c r="CL405" s="15">
        <f>RecData[[#This Row],[Start Time]]</f>
        <v>43262.05</v>
      </c>
      <c r="CM405" s="16">
        <f>RecData[[#This Row],[Wind Speed avg]]</f>
        <v>0.08</v>
      </c>
      <c r="CN405" s="16">
        <f>RecData[[#This Row],[Wind Dir. avg]]</f>
        <v>92.6</v>
      </c>
      <c r="CO405" s="16">
        <f>RecData[[#This Row],[Amb. Humidity]]</f>
        <v>88.1</v>
      </c>
      <c r="CP405" s="16">
        <f>RecData[[#This Row],[Amb. Temperature]]</f>
        <v>9.1</v>
      </c>
      <c r="CQ405" s="17">
        <f>RecData[[#This Row],[Amb. Rain Gauge]]</f>
        <v>0</v>
      </c>
      <c r="CR405" s="4" t="s">
        <v>50</v>
      </c>
      <c r="CS405" s="4" t="s">
        <v>49</v>
      </c>
      <c r="CT405" s="70">
        <v>-9.5240688319999993</v>
      </c>
      <c r="CU405" s="70">
        <v>203.28128050000001</v>
      </c>
      <c r="CV405" s="70">
        <v>0.39625492699999998</v>
      </c>
      <c r="CW405" s="70">
        <v>0</v>
      </c>
      <c r="CX405" s="4"/>
      <c r="CY405" s="69"/>
      <c r="CZ405" s="2" t="b">
        <f>IF($DP$1="YES",IF(RecData[[#This Row],[Power (kW)]]&gt;=$CR$3, TRUE,FALSE),TRUE)</f>
        <v>0</v>
      </c>
      <c r="DA405" s="16">
        <f>MIN(MOD(180-ABS(ABS($DA$1-RecData[Yaw Angle (°)])-180),360),MOD(180-ABS(ABS($DB$1-RecData[Yaw Angle (°)])-180),360))</f>
        <v>164.24864627768756</v>
      </c>
      <c r="DB405" s="2" t="str">
        <f>IF($DP$2="None","None",IF(RecData[[#This Row],[Relative Wind Direction]]&lt;=45,"DW",IF(RecData[[#This Row],[Relative Wind Direction]]&lt;=135,"CW","UW")))</f>
        <v>UW</v>
      </c>
      <c r="DC405" s="61">
        <f>IF($CL405-$CL401&gt;1/24,#REF!,IF(SUM($CQ401:$CQ405)&gt;$DS$1,$DS$5,DC406-1))</f>
        <v>-5</v>
      </c>
      <c r="DD405" s="61">
        <f>IF($CL406-$CL405&gt;1/24,#REF!,IF(SUM($CQ401:$CQ405)&gt;$DS$1,$DS$6,DD404-1))</f>
        <v>-6</v>
      </c>
      <c r="DE405" s="18" t="b">
        <v>0</v>
      </c>
      <c r="DF405" s="2" t="b">
        <f>IF(OR(RecData[[#This Row],[WSpd_Avg '[m/s']]]-RecData[[#This Row],[Wind Speed min]]&gt;=$DF$3,RecData[[#This Row],[Wind Speed max]]-RecData[[#This Row],[WSpd_Avg '[m/s']]]&gt;=$DF$2),TRUE,FALSE)</f>
        <v>0</v>
      </c>
      <c r="DG405" s="2" t="b">
        <f>RecData[[#This Row],[Temperature '[°C']]]&lt;=-20</f>
        <v>0</v>
      </c>
      <c r="DH405" s="18" t="b">
        <f>NOT(OR(MOD(RecData[[#This Row],[TIMESTAMP]],1)&gt;0.91632,MOD(RecData[[#This Row],[TIMESTAMP]],1)&lt;0.208681))</f>
        <v>0</v>
      </c>
      <c r="DI405" s="18" t="b">
        <f>RecData[[#This Row],[Overall (dBA)]]-RecData[[#This Row],[L90]]&gt;=$DS$4</f>
        <v>0</v>
      </c>
      <c r="DJ405" s="18" t="b">
        <f>RecData[[#This Row],[Overall (dBA)]]&gt;$DS$2</f>
        <v>0</v>
      </c>
      <c r="DK405" s="18" t="b">
        <f>RecData[[#This Row],[Overall (dBA)]]&lt;$DS$3</f>
        <v>0</v>
      </c>
      <c r="DL4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5" s="2">
        <f>IF(AND(RecData[[#This Row],[Turbines ON/OFF]] = "OFF", NOT(OR(RecData[[#This Row],[Junk?]]="YES",RecData[[#This Row],[Gust?]],RecData[[#This Row],[Rain?]:[Min SPL Threshold?]]))),1,0)</f>
        <v>1</v>
      </c>
      <c r="DN405" s="16">
        <f>RecData[[#This Row],[dBA Sum]]</f>
        <v>17.620345300285059</v>
      </c>
      <c r="DO405" s="16">
        <f>RecData[[#This Row],[LAF90.0]]</f>
        <v>26.6</v>
      </c>
      <c r="DP405" s="55" t="str">
        <f>IF(AND(RecData[[#This Row],[Useable TON Data?]],RecData[[#This Row],[Turbines ON/OFF]]="ON"),RecData[[#This Row],[dBA Sum]],"")</f>
        <v/>
      </c>
      <c r="DQ405" s="55">
        <f>IF(AND(RecData[[#This Row],[Useable Background Data?]],RecData[[#This Row],[Turbines ON/OFF]]="OFF"),RecData[[#This Row],[dBA Sum]],"")</f>
        <v>17.620345300285059</v>
      </c>
      <c r="DR405" s="3">
        <f>IF(OR(RecData[[#This Row],[Useable TON Data?]],RecData[[#This Row],[Useable Background Data?]]),ROUND(RecData[[#This Row],[WSpd_Avg '[m/s']]],0),"")</f>
        <v>0</v>
      </c>
      <c r="DS405" s="85">
        <f>(0.00002)^2*(10^(RecData[[#This Row],[Overall (dBA)]]/10))</f>
        <v>2.3125680507347101E-8</v>
      </c>
    </row>
    <row r="406" spans="1:123" ht="15" x14ac:dyDescent="0.25">
      <c r="A406" s="3" t="s">
        <v>249</v>
      </c>
      <c r="B406" s="12">
        <v>43262.05069444445</v>
      </c>
      <c r="C406" s="3"/>
      <c r="D406" s="3">
        <v>32.700000000000003</v>
      </c>
      <c r="E406" s="3"/>
      <c r="F406" s="3"/>
      <c r="G406" s="3"/>
      <c r="H406" s="3"/>
      <c r="I406" s="3"/>
      <c r="J406" s="3"/>
      <c r="K406" s="3">
        <v>27.3</v>
      </c>
      <c r="L406" s="3"/>
      <c r="M406" s="3"/>
      <c r="N406" s="3">
        <v>125.5</v>
      </c>
      <c r="O406" s="3"/>
      <c r="P406" s="3"/>
      <c r="Q406" s="3">
        <v>0.09</v>
      </c>
      <c r="R406" s="3">
        <v>0</v>
      </c>
      <c r="S406" s="3">
        <v>0.3</v>
      </c>
      <c r="T406" s="3">
        <v>9</v>
      </c>
      <c r="U406" s="3">
        <v>88</v>
      </c>
      <c r="V406" s="3">
        <v>974.2</v>
      </c>
      <c r="W406" s="3">
        <v>0</v>
      </c>
      <c r="X406" s="3">
        <v>15.6</v>
      </c>
      <c r="Y406" s="3">
        <v>13.2</v>
      </c>
      <c r="Z406" s="3">
        <v>17.2</v>
      </c>
      <c r="AA406" s="3">
        <v>11.6</v>
      </c>
      <c r="AB406" s="3">
        <v>9.8000000000000007</v>
      </c>
      <c r="AC406" s="3">
        <v>6.3</v>
      </c>
      <c r="AD406" s="3">
        <v>7.4</v>
      </c>
      <c r="AE406" s="3">
        <v>9.1</v>
      </c>
      <c r="AF406" s="3">
        <v>14.5</v>
      </c>
      <c r="AG406" s="3">
        <v>8.6999999999999993</v>
      </c>
      <c r="AH406" s="3">
        <v>10.199999999999999</v>
      </c>
      <c r="AI406" s="3">
        <v>9.3000000000000007</v>
      </c>
      <c r="AJ406" s="3">
        <v>11</v>
      </c>
      <c r="AK406" s="3">
        <v>11.2</v>
      </c>
      <c r="AL406" s="3">
        <v>7.4</v>
      </c>
      <c r="AM406" s="3">
        <v>10.199999999999999</v>
      </c>
      <c r="AN406" s="3">
        <v>9.3000000000000007</v>
      </c>
      <c r="AO406" s="3">
        <v>9.6999999999999993</v>
      </c>
      <c r="AP406" s="3">
        <v>7.8</v>
      </c>
      <c r="AQ406" s="3">
        <v>7.8</v>
      </c>
      <c r="AR406" s="3">
        <v>7.1</v>
      </c>
      <c r="AS406" s="3">
        <v>22.3</v>
      </c>
      <c r="AT406" s="3">
        <v>30.6</v>
      </c>
      <c r="AU406" s="3">
        <v>9.3000000000000007</v>
      </c>
      <c r="AV406" s="3">
        <v>8.8000000000000007</v>
      </c>
      <c r="AW406" s="3">
        <v>9.3000000000000007</v>
      </c>
      <c r="AX406" s="3">
        <v>9.4</v>
      </c>
      <c r="AY406" s="3">
        <v>9.6</v>
      </c>
      <c r="AZ406" s="3">
        <v>0</v>
      </c>
      <c r="BA406" s="3">
        <v>0</v>
      </c>
      <c r="BB406" s="3">
        <v>0</v>
      </c>
      <c r="BC406" s="3">
        <v>32.640287262822675</v>
      </c>
      <c r="BD406" s="3">
        <v>15.65971273717733</v>
      </c>
      <c r="BE406" s="3">
        <v>13.259712737177331</v>
      </c>
      <c r="BF406" s="3">
        <v>16.019712737177329</v>
      </c>
      <c r="BG406" s="3">
        <v>10.746379403843996</v>
      </c>
      <c r="BH406" s="3">
        <v>9.0863794038439991</v>
      </c>
      <c r="BI406" s="3">
        <v>5.999712737177326</v>
      </c>
      <c r="BJ406" s="3">
        <v>7.893046070510664</v>
      </c>
      <c r="BK406" s="3">
        <v>9.4663794038439946</v>
      </c>
      <c r="BL406" s="3">
        <v>14.439712737177331</v>
      </c>
      <c r="BM406" s="3">
        <v>8.7730460705106665</v>
      </c>
      <c r="BN406" s="3">
        <v>10.556379403843998</v>
      </c>
      <c r="BO406" s="3">
        <v>9.0230460705106665</v>
      </c>
      <c r="BP406" s="3">
        <v>10.439712737177331</v>
      </c>
      <c r="BQ406" s="3">
        <v>11.056379403843984</v>
      </c>
      <c r="BR406" s="3">
        <v>7.5830460705106617</v>
      </c>
      <c r="BS406" s="3">
        <v>10.186379403843993</v>
      </c>
      <c r="BT406" s="3">
        <v>9.4830460705106603</v>
      </c>
      <c r="BU406" s="3">
        <v>9.8497127371773345</v>
      </c>
      <c r="BV406" s="3">
        <v>7.6663794038439974</v>
      </c>
      <c r="BW406" s="3">
        <v>8.1997127371773288</v>
      </c>
      <c r="BX406" s="3">
        <v>7.4197127371773348</v>
      </c>
      <c r="BY406" s="3">
        <v>22.439712737177324</v>
      </c>
      <c r="BZ406" s="3">
        <v>30.869712737177331</v>
      </c>
      <c r="CA406" s="3">
        <v>9.6697127371773206</v>
      </c>
      <c r="CB406" s="3">
        <v>8.6063794038439951</v>
      </c>
      <c r="CC406" s="3">
        <v>9.3197127371773263</v>
      </c>
      <c r="CD406" s="3">
        <v>8.7263794038439997</v>
      </c>
      <c r="CE406" s="3">
        <v>9.1197127371773306</v>
      </c>
      <c r="CF406" s="3">
        <v>-0.86695392948933758</v>
      </c>
      <c r="CG406" s="3">
        <v>-1.400287262822669</v>
      </c>
      <c r="CH406" s="3">
        <v>-2.476953929489337</v>
      </c>
      <c r="CI406" s="13">
        <f>[1]!dbasum(RecData[[#This Row],[20]:[2000]],RecData[[#Headers],[20]:[2000]])</f>
        <v>17.675344203690639</v>
      </c>
      <c r="CJ406" s="14">
        <v>4858</v>
      </c>
      <c r="CK406" s="15" t="s">
        <v>249</v>
      </c>
      <c r="CL406" s="15">
        <f>RecData[[#This Row],[Start Time]]</f>
        <v>43262.05069444445</v>
      </c>
      <c r="CM406" s="16">
        <f>RecData[[#This Row],[Wind Speed avg]]</f>
        <v>0.09</v>
      </c>
      <c r="CN406" s="16">
        <f>RecData[[#This Row],[Wind Dir. avg]]</f>
        <v>125.5</v>
      </c>
      <c r="CO406" s="16">
        <f>RecData[[#This Row],[Amb. Humidity]]</f>
        <v>88</v>
      </c>
      <c r="CP406" s="16">
        <f>RecData[[#This Row],[Amb. Temperature]]</f>
        <v>9</v>
      </c>
      <c r="CQ406" s="17">
        <f>RecData[[#This Row],[Amb. Rain Gauge]]</f>
        <v>0</v>
      </c>
      <c r="CR406" s="4" t="s">
        <v>50</v>
      </c>
      <c r="CS406" s="4" t="s">
        <v>49</v>
      </c>
      <c r="CT406" s="70">
        <v>-9.5240688319999993</v>
      </c>
      <c r="CU406" s="70">
        <v>203.28128050000001</v>
      </c>
      <c r="CV406" s="70">
        <v>0.39625492699999998</v>
      </c>
      <c r="CW406" s="70">
        <v>0</v>
      </c>
      <c r="CX406" s="4"/>
      <c r="CY406" s="69"/>
      <c r="CZ406" s="2" t="b">
        <f>IF($DP$1="YES",IF(RecData[[#This Row],[Power (kW)]]&gt;=$CR$3, TRUE,FALSE),TRUE)</f>
        <v>0</v>
      </c>
      <c r="DA406" s="16">
        <f>MIN(MOD(180-ABS(ABS($DA$1-RecData[Yaw Angle (°)])-180),360),MOD(180-ABS(ABS($DB$1-RecData[Yaw Angle (°)])-180),360))</f>
        <v>164.24864627768756</v>
      </c>
      <c r="DB406" s="2" t="str">
        <f>IF($DP$2="None","None",IF(RecData[[#This Row],[Relative Wind Direction]]&lt;=45,"DW",IF(RecData[[#This Row],[Relative Wind Direction]]&lt;=135,"CW","UW")))</f>
        <v>UW</v>
      </c>
      <c r="DC406" s="61">
        <f>IF($CL406-$CL402&gt;1/24,#REF!,IF(SUM($CQ402:$CQ406)&gt;$DS$1,$DS$5,DC407-1))</f>
        <v>-4</v>
      </c>
      <c r="DD406" s="61">
        <f>IF($CL407-$CL406&gt;1/24,#REF!,IF(SUM($CQ402:$CQ406)&gt;$DS$1,$DS$6,DD405-1))</f>
        <v>-7</v>
      </c>
      <c r="DE406" s="18" t="b">
        <v>0</v>
      </c>
      <c r="DF406" s="2" t="b">
        <f>IF(OR(RecData[[#This Row],[WSpd_Avg '[m/s']]]-RecData[[#This Row],[Wind Speed min]]&gt;=$DF$3,RecData[[#This Row],[Wind Speed max]]-RecData[[#This Row],[WSpd_Avg '[m/s']]]&gt;=$DF$2),TRUE,FALSE)</f>
        <v>0</v>
      </c>
      <c r="DG406" s="2" t="b">
        <f>RecData[[#This Row],[Temperature '[°C']]]&lt;=-20</f>
        <v>0</v>
      </c>
      <c r="DH406" s="18" t="b">
        <f>NOT(OR(MOD(RecData[[#This Row],[TIMESTAMP]],1)&gt;0.91632,MOD(RecData[[#This Row],[TIMESTAMP]],1)&lt;0.208681))</f>
        <v>0</v>
      </c>
      <c r="DI406" s="18" t="b">
        <f>RecData[[#This Row],[Overall (dBA)]]-RecData[[#This Row],[L90]]&gt;=$DS$4</f>
        <v>0</v>
      </c>
      <c r="DJ406" s="18" t="b">
        <f>RecData[[#This Row],[Overall (dBA)]]&gt;$DS$2</f>
        <v>0</v>
      </c>
      <c r="DK406" s="18" t="b">
        <f>RecData[[#This Row],[Overall (dBA)]]&lt;$DS$3</f>
        <v>0</v>
      </c>
      <c r="DL4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6" s="2">
        <f>IF(AND(RecData[[#This Row],[Turbines ON/OFF]] = "OFF", NOT(OR(RecData[[#This Row],[Junk?]]="YES",RecData[[#This Row],[Gust?]],RecData[[#This Row],[Rain?]:[Min SPL Threshold?]]))),1,0)</f>
        <v>1</v>
      </c>
      <c r="DN406" s="16">
        <f>RecData[[#This Row],[dBA Sum]]</f>
        <v>17.675344203690639</v>
      </c>
      <c r="DO406" s="16">
        <f>RecData[[#This Row],[LAF90.0]]</f>
        <v>27.3</v>
      </c>
      <c r="DP406" s="55" t="str">
        <f>IF(AND(RecData[[#This Row],[Useable TON Data?]],RecData[[#This Row],[Turbines ON/OFF]]="ON"),RecData[[#This Row],[dBA Sum]],"")</f>
        <v/>
      </c>
      <c r="DQ406" s="55">
        <f>IF(AND(RecData[[#This Row],[Useable Background Data?]],RecData[[#This Row],[Turbines ON/OFF]]="OFF"),RecData[[#This Row],[dBA Sum]],"")</f>
        <v>17.675344203690639</v>
      </c>
      <c r="DR406" s="3">
        <f>IF(OR(RecData[[#This Row],[Useable TON Data?]],RecData[[#This Row],[Useable Background Data?]]),ROUND(RecData[[#This Row],[WSpd_Avg '[m/s']]],0),"")</f>
        <v>0</v>
      </c>
      <c r="DS406" s="85">
        <f>(0.00002)^2*(10^(RecData[[#This Row],[Overall (dBA)]]/10))</f>
        <v>2.3420405582920581E-8</v>
      </c>
    </row>
    <row r="407" spans="1:123" ht="15" x14ac:dyDescent="0.25">
      <c r="A407" s="3" t="s">
        <v>249</v>
      </c>
      <c r="B407" s="12">
        <v>43262.051388888896</v>
      </c>
      <c r="C407" s="3"/>
      <c r="D407" s="3">
        <v>33.799999999999997</v>
      </c>
      <c r="E407" s="3"/>
      <c r="F407" s="3"/>
      <c r="G407" s="3"/>
      <c r="H407" s="3"/>
      <c r="I407" s="3"/>
      <c r="J407" s="3"/>
      <c r="K407" s="3">
        <v>29.1</v>
      </c>
      <c r="L407" s="3"/>
      <c r="M407" s="3"/>
      <c r="N407" s="3">
        <v>113.5</v>
      </c>
      <c r="O407" s="3"/>
      <c r="P407" s="3"/>
      <c r="Q407" s="3">
        <v>0.18</v>
      </c>
      <c r="R407" s="3">
        <v>0.1</v>
      </c>
      <c r="S407" s="3">
        <v>0.3</v>
      </c>
      <c r="T407" s="3">
        <v>9</v>
      </c>
      <c r="U407" s="3">
        <v>88</v>
      </c>
      <c r="V407" s="3">
        <v>974.2</v>
      </c>
      <c r="W407" s="3">
        <v>0</v>
      </c>
      <c r="X407" s="3">
        <v>15.8</v>
      </c>
      <c r="Y407" s="3">
        <v>13.4</v>
      </c>
      <c r="Z407" s="3">
        <v>17.7</v>
      </c>
      <c r="AA407" s="3">
        <v>17.100000000000001</v>
      </c>
      <c r="AB407" s="3">
        <v>22.5</v>
      </c>
      <c r="AC407" s="3">
        <v>10.199999999999999</v>
      </c>
      <c r="AD407" s="3">
        <v>10.9</v>
      </c>
      <c r="AE407" s="3">
        <v>20.9</v>
      </c>
      <c r="AF407" s="3">
        <v>13.3</v>
      </c>
      <c r="AG407" s="3">
        <v>13.5</v>
      </c>
      <c r="AH407" s="3">
        <v>17</v>
      </c>
      <c r="AI407" s="3">
        <v>14.4</v>
      </c>
      <c r="AJ407" s="3">
        <v>14.7</v>
      </c>
      <c r="AK407" s="3">
        <v>13.5</v>
      </c>
      <c r="AL407" s="3">
        <v>9.8000000000000007</v>
      </c>
      <c r="AM407" s="3">
        <v>11</v>
      </c>
      <c r="AN407" s="3">
        <v>11.3</v>
      </c>
      <c r="AO407" s="3">
        <v>12.4</v>
      </c>
      <c r="AP407" s="3">
        <v>11.7</v>
      </c>
      <c r="AQ407" s="3">
        <v>11.9</v>
      </c>
      <c r="AR407" s="3">
        <v>11.5</v>
      </c>
      <c r="AS407" s="3">
        <v>24.1</v>
      </c>
      <c r="AT407" s="3">
        <v>31.5</v>
      </c>
      <c r="AU407" s="3">
        <v>11.5</v>
      </c>
      <c r="AV407" s="3">
        <v>11</v>
      </c>
      <c r="AW407" s="3">
        <v>12.5</v>
      </c>
      <c r="AX407" s="3">
        <v>10.7</v>
      </c>
      <c r="AY407" s="3">
        <v>11</v>
      </c>
      <c r="AZ407" s="3">
        <v>0</v>
      </c>
      <c r="BA407" s="3">
        <v>0</v>
      </c>
      <c r="BB407" s="3">
        <v>0</v>
      </c>
      <c r="BC407" s="3">
        <v>33.787010799654347</v>
      </c>
      <c r="BD407" s="3">
        <v>15.812989200345648</v>
      </c>
      <c r="BE407" s="3">
        <v>13.412989200345649</v>
      </c>
      <c r="BF407" s="3">
        <v>16.472989200345651</v>
      </c>
      <c r="BG407" s="3">
        <v>16.199655867012318</v>
      </c>
      <c r="BH407" s="3">
        <v>21.739655867012324</v>
      </c>
      <c r="BI407" s="3">
        <v>9.8529892003456538</v>
      </c>
      <c r="BJ407" s="3">
        <v>11.346322533678979</v>
      </c>
      <c r="BK407" s="3">
        <v>21.219655867012314</v>
      </c>
      <c r="BL407" s="3">
        <v>13.19298920034565</v>
      </c>
      <c r="BM407" s="3">
        <v>13.526322533678986</v>
      </c>
      <c r="BN407" s="3">
        <v>17.309655867012317</v>
      </c>
      <c r="BO407" s="3">
        <v>14.076322533678983</v>
      </c>
      <c r="BP407" s="3">
        <v>14.092989200345649</v>
      </c>
      <c r="BQ407" s="3">
        <v>13.30965586701231</v>
      </c>
      <c r="BR407" s="3">
        <v>9.9363225336789824</v>
      </c>
      <c r="BS407" s="3">
        <v>10.93965586701232</v>
      </c>
      <c r="BT407" s="3">
        <v>11.436322533678982</v>
      </c>
      <c r="BU407" s="3">
        <v>12.502989200345652</v>
      </c>
      <c r="BV407" s="3">
        <v>11.519655867012318</v>
      </c>
      <c r="BW407" s="3">
        <v>12.252989200345652</v>
      </c>
      <c r="BX407" s="3">
        <v>11.772989200345656</v>
      </c>
      <c r="BY407" s="3">
        <v>24.19298920034565</v>
      </c>
      <c r="BZ407" s="3">
        <v>31.722989200345658</v>
      </c>
      <c r="CA407" s="3">
        <v>11.822989200345646</v>
      </c>
      <c r="CB407" s="3">
        <v>10.759655867012313</v>
      </c>
      <c r="CC407" s="3">
        <v>12.472989200345651</v>
      </c>
      <c r="CD407" s="3">
        <v>9.979655867012319</v>
      </c>
      <c r="CE407" s="3">
        <v>10.472989200345651</v>
      </c>
      <c r="CF407" s="3">
        <v>-0.91367746632101898</v>
      </c>
      <c r="CG407" s="3">
        <v>-1.4470107996543504</v>
      </c>
      <c r="CH407" s="3">
        <v>-2.5236774663210149</v>
      </c>
      <c r="CI407" s="13">
        <f>[1]!dbasum(RecData[[#This Row],[20]:[2000]],RecData[[#Headers],[20]:[2000]])</f>
        <v>20.903410807625047</v>
      </c>
      <c r="CJ407" s="14">
        <v>4859</v>
      </c>
      <c r="CK407" s="15" t="s">
        <v>249</v>
      </c>
      <c r="CL407" s="15">
        <f>RecData[[#This Row],[Start Time]]</f>
        <v>43262.051388888896</v>
      </c>
      <c r="CM407" s="16">
        <f>RecData[[#This Row],[Wind Speed avg]]</f>
        <v>0.18</v>
      </c>
      <c r="CN407" s="16">
        <f>RecData[[#This Row],[Wind Dir. avg]]</f>
        <v>113.5</v>
      </c>
      <c r="CO407" s="16">
        <f>RecData[[#This Row],[Amb. Humidity]]</f>
        <v>88</v>
      </c>
      <c r="CP407" s="16">
        <f>RecData[[#This Row],[Amb. Temperature]]</f>
        <v>9</v>
      </c>
      <c r="CQ407" s="17">
        <f>RecData[[#This Row],[Amb. Rain Gauge]]</f>
        <v>0</v>
      </c>
      <c r="CR407" s="4" t="s">
        <v>50</v>
      </c>
      <c r="CS407" s="4" t="s">
        <v>49</v>
      </c>
      <c r="CT407" s="70">
        <v>-9.5240688319999993</v>
      </c>
      <c r="CU407" s="70">
        <v>203.28128050000001</v>
      </c>
      <c r="CV407" s="70">
        <v>0.39625492699999998</v>
      </c>
      <c r="CW407" s="70">
        <v>0</v>
      </c>
      <c r="CX407" s="4"/>
      <c r="CY407" s="69"/>
      <c r="CZ407" s="2" t="b">
        <f>IF($DP$1="YES",IF(RecData[[#This Row],[Power (kW)]]&gt;=$CR$3, TRUE,FALSE),TRUE)</f>
        <v>0</v>
      </c>
      <c r="DA407" s="16">
        <f>MIN(MOD(180-ABS(ABS($DA$1-RecData[Yaw Angle (°)])-180),360),MOD(180-ABS(ABS($DB$1-RecData[Yaw Angle (°)])-180),360))</f>
        <v>164.24864627768756</v>
      </c>
      <c r="DB407" s="2" t="str">
        <f>IF($DP$2="None","None",IF(RecData[[#This Row],[Relative Wind Direction]]&lt;=45,"DW",IF(RecData[[#This Row],[Relative Wind Direction]]&lt;=135,"CW","UW")))</f>
        <v>UW</v>
      </c>
      <c r="DC407" s="61">
        <f>IF($CL407-$CL403&gt;1/24,#REF!,IF(SUM($CQ403:$CQ407)&gt;$DS$1,$DS$5,DC408-1))</f>
        <v>-3</v>
      </c>
      <c r="DD407" s="61">
        <f>IF($CL408-$CL407&gt;1/24,#REF!,IF(SUM($CQ403:$CQ407)&gt;$DS$1,$DS$6,DD406-1))</f>
        <v>-8</v>
      </c>
      <c r="DE407" s="18" t="b">
        <v>0</v>
      </c>
      <c r="DF407" s="2" t="b">
        <f>IF(OR(RecData[[#This Row],[WSpd_Avg '[m/s']]]-RecData[[#This Row],[Wind Speed min]]&gt;=$DF$3,RecData[[#This Row],[Wind Speed max]]-RecData[[#This Row],[WSpd_Avg '[m/s']]]&gt;=$DF$2),TRUE,FALSE)</f>
        <v>0</v>
      </c>
      <c r="DG407" s="2" t="b">
        <f>RecData[[#This Row],[Temperature '[°C']]]&lt;=-20</f>
        <v>0</v>
      </c>
      <c r="DH407" s="18" t="b">
        <f>NOT(OR(MOD(RecData[[#This Row],[TIMESTAMP]],1)&gt;0.91632,MOD(RecData[[#This Row],[TIMESTAMP]],1)&lt;0.208681))</f>
        <v>0</v>
      </c>
      <c r="DI407" s="18" t="b">
        <f>RecData[[#This Row],[Overall (dBA)]]-RecData[[#This Row],[L90]]&gt;=$DS$4</f>
        <v>0</v>
      </c>
      <c r="DJ407" s="18" t="b">
        <f>RecData[[#This Row],[Overall (dBA)]]&gt;$DS$2</f>
        <v>0</v>
      </c>
      <c r="DK407" s="18" t="b">
        <f>RecData[[#This Row],[Overall (dBA)]]&lt;$DS$3</f>
        <v>0</v>
      </c>
      <c r="DL4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7" s="2">
        <f>IF(AND(RecData[[#This Row],[Turbines ON/OFF]] = "OFF", NOT(OR(RecData[[#This Row],[Junk?]]="YES",RecData[[#This Row],[Gust?]],RecData[[#This Row],[Rain?]:[Min SPL Threshold?]]))),1,0)</f>
        <v>1</v>
      </c>
      <c r="DN407" s="16">
        <f>RecData[[#This Row],[dBA Sum]]</f>
        <v>20.903410807625047</v>
      </c>
      <c r="DO407" s="16">
        <f>RecData[[#This Row],[LAF90.0]]</f>
        <v>29.1</v>
      </c>
      <c r="DP407" s="55" t="str">
        <f>IF(AND(RecData[[#This Row],[Useable TON Data?]],RecData[[#This Row],[Turbines ON/OFF]]="ON"),RecData[[#This Row],[dBA Sum]],"")</f>
        <v/>
      </c>
      <c r="DQ407" s="55">
        <f>IF(AND(RecData[[#This Row],[Useable Background Data?]],RecData[[#This Row],[Turbines ON/OFF]]="OFF"),RecData[[#This Row],[dBA Sum]],"")</f>
        <v>20.903410807625047</v>
      </c>
      <c r="DR407" s="3">
        <f>IF(OR(RecData[[#This Row],[Useable TON Data?]],RecData[[#This Row],[Useable Background Data?]]),ROUND(RecData[[#This Row],[WSpd_Avg '[m/s']]],0),"")</f>
        <v>0</v>
      </c>
      <c r="DS407" s="85">
        <f>(0.00002)^2*(10^(RecData[[#This Row],[Overall (dBA)]]/10))</f>
        <v>4.9249414536449152E-8</v>
      </c>
    </row>
    <row r="408" spans="1:123" ht="15" x14ac:dyDescent="0.25">
      <c r="A408" s="3" t="s">
        <v>249</v>
      </c>
      <c r="B408" s="12">
        <v>43262.052083333336</v>
      </c>
      <c r="C408" s="3"/>
      <c r="D408" s="3">
        <v>31.2</v>
      </c>
      <c r="E408" s="3"/>
      <c r="F408" s="3"/>
      <c r="G408" s="3"/>
      <c r="H408" s="3"/>
      <c r="I408" s="3"/>
      <c r="J408" s="3"/>
      <c r="K408" s="3">
        <v>24.9</v>
      </c>
      <c r="L408" s="3"/>
      <c r="M408" s="3"/>
      <c r="N408" s="3">
        <v>225.6</v>
      </c>
      <c r="O408" s="3"/>
      <c r="P408" s="3"/>
      <c r="Q408" s="3">
        <v>0.12</v>
      </c>
      <c r="R408" s="3">
        <v>0.1</v>
      </c>
      <c r="S408" s="3">
        <v>0.2</v>
      </c>
      <c r="T408" s="3">
        <v>9</v>
      </c>
      <c r="U408" s="3">
        <v>88.1</v>
      </c>
      <c r="V408" s="3">
        <v>974.2</v>
      </c>
      <c r="W408" s="3">
        <v>0</v>
      </c>
      <c r="X408" s="3">
        <v>15.1</v>
      </c>
      <c r="Y408" s="3">
        <v>12.9</v>
      </c>
      <c r="Z408" s="3">
        <v>17.100000000000001</v>
      </c>
      <c r="AA408" s="3">
        <v>10.3</v>
      </c>
      <c r="AB408" s="3">
        <v>10.8</v>
      </c>
      <c r="AC408" s="3">
        <v>5.0999999999999996</v>
      </c>
      <c r="AD408" s="3">
        <v>7.4</v>
      </c>
      <c r="AE408" s="3">
        <v>10.3</v>
      </c>
      <c r="AF408" s="3">
        <v>11.6</v>
      </c>
      <c r="AG408" s="3">
        <v>10</v>
      </c>
      <c r="AH408" s="3">
        <v>10.3</v>
      </c>
      <c r="AI408" s="3">
        <v>9.4</v>
      </c>
      <c r="AJ408" s="3">
        <v>10.5</v>
      </c>
      <c r="AK408" s="3">
        <v>9.3000000000000007</v>
      </c>
      <c r="AL408" s="3">
        <v>6.2</v>
      </c>
      <c r="AM408" s="3">
        <v>6.3</v>
      </c>
      <c r="AN408" s="3">
        <v>6.6</v>
      </c>
      <c r="AO408" s="3">
        <v>6.6</v>
      </c>
      <c r="AP408" s="3">
        <v>6.5</v>
      </c>
      <c r="AQ408" s="3">
        <v>7.1</v>
      </c>
      <c r="AR408" s="3">
        <v>6.5</v>
      </c>
      <c r="AS408" s="3">
        <v>20.3</v>
      </c>
      <c r="AT408" s="3">
        <v>29.2</v>
      </c>
      <c r="AU408" s="3">
        <v>9</v>
      </c>
      <c r="AV408" s="3">
        <v>8.9</v>
      </c>
      <c r="AW408" s="3">
        <v>9.5</v>
      </c>
      <c r="AX408" s="3">
        <v>9.5</v>
      </c>
      <c r="AY408" s="3">
        <v>9.8000000000000007</v>
      </c>
      <c r="AZ408" s="3">
        <v>0</v>
      </c>
      <c r="BA408" s="3">
        <v>0</v>
      </c>
      <c r="BB408" s="3">
        <v>0</v>
      </c>
      <c r="BC408" s="3">
        <v>31.19840332104117</v>
      </c>
      <c r="BD408" s="3">
        <v>15.101596678958828</v>
      </c>
      <c r="BE408" s="3">
        <v>12.901596678958832</v>
      </c>
      <c r="BF408" s="3">
        <v>15.861596678958833</v>
      </c>
      <c r="BG408" s="3">
        <v>9.3882633456254965</v>
      </c>
      <c r="BH408" s="3">
        <v>10.028263345625497</v>
      </c>
      <c r="BI408" s="3">
        <v>4.7415966789588282</v>
      </c>
      <c r="BJ408" s="3">
        <v>7.8349300122921619</v>
      </c>
      <c r="BK408" s="3">
        <v>10.608263345625495</v>
      </c>
      <c r="BL408" s="3">
        <v>11.48159667895883</v>
      </c>
      <c r="BM408" s="3">
        <v>10.014930012292169</v>
      </c>
      <c r="BN408" s="3">
        <v>10.598263345625497</v>
      </c>
      <c r="BO408" s="3">
        <v>9.0649300122921659</v>
      </c>
      <c r="BP408" s="3">
        <v>9.8815966789588288</v>
      </c>
      <c r="BQ408" s="3">
        <v>9.0982633456254902</v>
      </c>
      <c r="BR408" s="3">
        <v>6.3249300122921639</v>
      </c>
      <c r="BS408" s="3">
        <v>6.2282633456254928</v>
      </c>
      <c r="BT408" s="3">
        <v>6.7249300122921625</v>
      </c>
      <c r="BU408" s="3">
        <v>6.691596678958831</v>
      </c>
      <c r="BV408" s="3">
        <v>6.3082633456254982</v>
      </c>
      <c r="BW408" s="3">
        <v>7.441596678958831</v>
      </c>
      <c r="BX408" s="3">
        <v>6.7615966789588384</v>
      </c>
      <c r="BY408" s="3">
        <v>20.381596678958829</v>
      </c>
      <c r="BZ408" s="3">
        <v>29.41159667895883</v>
      </c>
      <c r="CA408" s="3">
        <v>9.3115966789588214</v>
      </c>
      <c r="CB408" s="3">
        <v>8.6482633456254945</v>
      </c>
      <c r="CC408" s="3">
        <v>9.4615966789588271</v>
      </c>
      <c r="CD408" s="3">
        <v>8.768263345625499</v>
      </c>
      <c r="CE408" s="3">
        <v>9.2615966789588313</v>
      </c>
      <c r="CF408" s="3">
        <v>-0.92506998770783611</v>
      </c>
      <c r="CG408" s="3">
        <v>-1.4584033210411675</v>
      </c>
      <c r="CH408" s="3">
        <v>-2.5350699877078355</v>
      </c>
      <c r="CI408" s="13">
        <f>[1]!dbasum(RecData[[#This Row],[20]:[2000]],RecData[[#Headers],[20]:[2000]])</f>
        <v>15.93937507667971</v>
      </c>
      <c r="CJ408" s="14">
        <v>4860</v>
      </c>
      <c r="CK408" s="15" t="s">
        <v>249</v>
      </c>
      <c r="CL408" s="15">
        <f>RecData[[#This Row],[Start Time]]</f>
        <v>43262.052083333336</v>
      </c>
      <c r="CM408" s="16">
        <f>RecData[[#This Row],[Wind Speed avg]]</f>
        <v>0.12</v>
      </c>
      <c r="CN408" s="16">
        <f>RecData[[#This Row],[Wind Dir. avg]]</f>
        <v>225.6</v>
      </c>
      <c r="CO408" s="16">
        <f>RecData[[#This Row],[Amb. Humidity]]</f>
        <v>88.1</v>
      </c>
      <c r="CP408" s="16">
        <f>RecData[[#This Row],[Amb. Temperature]]</f>
        <v>9</v>
      </c>
      <c r="CQ408" s="17">
        <f>RecData[[#This Row],[Amb. Rain Gauge]]</f>
        <v>0</v>
      </c>
      <c r="CR408" s="4" t="s">
        <v>50</v>
      </c>
      <c r="CS408" s="4" t="s">
        <v>49</v>
      </c>
      <c r="CT408" s="70">
        <v>-9.5240688319999993</v>
      </c>
      <c r="CU408" s="70">
        <v>203.28128050000001</v>
      </c>
      <c r="CV408" s="70">
        <v>0.39625492699999998</v>
      </c>
      <c r="CW408" s="70">
        <v>0</v>
      </c>
      <c r="CX408" s="4"/>
      <c r="CY408" s="69"/>
      <c r="CZ408" s="2" t="b">
        <f>IF($DP$1="YES",IF(RecData[[#This Row],[Power (kW)]]&gt;=$CR$3, TRUE,FALSE),TRUE)</f>
        <v>0</v>
      </c>
      <c r="DA408" s="16">
        <f>MIN(MOD(180-ABS(ABS($DA$1-RecData[Yaw Angle (°)])-180),360),MOD(180-ABS(ABS($DB$1-RecData[Yaw Angle (°)])-180),360))</f>
        <v>164.24864627768756</v>
      </c>
      <c r="DB408" s="2" t="str">
        <f>IF($DP$2="None","None",IF(RecData[[#This Row],[Relative Wind Direction]]&lt;=45,"DW",IF(RecData[[#This Row],[Relative Wind Direction]]&lt;=135,"CW","UW")))</f>
        <v>UW</v>
      </c>
      <c r="DC408" s="61">
        <f>IF($CL408-$CL404&gt;1/24,#REF!,IF(SUM($CQ404:$CQ408)&gt;$DS$1,$DS$5,DC409-1))</f>
        <v>-2</v>
      </c>
      <c r="DD408" s="61">
        <f>IF($CL409-$CL408&gt;1/24,#REF!,IF(SUM($CQ404:$CQ408)&gt;$DS$1,$DS$6,DD407-1))</f>
        <v>-9</v>
      </c>
      <c r="DE408" s="18" t="b">
        <v>0</v>
      </c>
      <c r="DF408" s="2" t="b">
        <f>IF(OR(RecData[[#This Row],[WSpd_Avg '[m/s']]]-RecData[[#This Row],[Wind Speed min]]&gt;=$DF$3,RecData[[#This Row],[Wind Speed max]]-RecData[[#This Row],[WSpd_Avg '[m/s']]]&gt;=$DF$2),TRUE,FALSE)</f>
        <v>0</v>
      </c>
      <c r="DG408" s="2" t="b">
        <f>RecData[[#This Row],[Temperature '[°C']]]&lt;=-20</f>
        <v>0</v>
      </c>
      <c r="DH408" s="18" t="b">
        <f>NOT(OR(MOD(RecData[[#This Row],[TIMESTAMP]],1)&gt;0.91632,MOD(RecData[[#This Row],[TIMESTAMP]],1)&lt;0.208681))</f>
        <v>0</v>
      </c>
      <c r="DI408" s="18" t="b">
        <f>RecData[[#This Row],[Overall (dBA)]]-RecData[[#This Row],[L90]]&gt;=$DS$4</f>
        <v>0</v>
      </c>
      <c r="DJ408" s="18" t="b">
        <f>RecData[[#This Row],[Overall (dBA)]]&gt;$DS$2</f>
        <v>0</v>
      </c>
      <c r="DK408" s="18" t="b">
        <f>RecData[[#This Row],[Overall (dBA)]]&lt;$DS$3</f>
        <v>0</v>
      </c>
      <c r="DL4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8" s="2">
        <f>IF(AND(RecData[[#This Row],[Turbines ON/OFF]] = "OFF", NOT(OR(RecData[[#This Row],[Junk?]]="YES",RecData[[#This Row],[Gust?]],RecData[[#This Row],[Rain?]:[Min SPL Threshold?]]))),1,0)</f>
        <v>1</v>
      </c>
      <c r="DN408" s="16">
        <f>RecData[[#This Row],[dBA Sum]]</f>
        <v>15.93937507667971</v>
      </c>
      <c r="DO408" s="16">
        <f>RecData[[#This Row],[LAF90.0]]</f>
        <v>24.9</v>
      </c>
      <c r="DP408" s="55" t="str">
        <f>IF(AND(RecData[[#This Row],[Useable TON Data?]],RecData[[#This Row],[Turbines ON/OFF]]="ON"),RecData[[#This Row],[dBA Sum]],"")</f>
        <v/>
      </c>
      <c r="DQ408" s="55">
        <f>IF(AND(RecData[[#This Row],[Useable Background Data?]],RecData[[#This Row],[Turbines ON/OFF]]="OFF"),RecData[[#This Row],[dBA Sum]],"")</f>
        <v>15.93937507667971</v>
      </c>
      <c r="DR408" s="3">
        <f>IF(OR(RecData[[#This Row],[Useable TON Data?]],RecData[[#This Row],[Useable Background Data?]]),ROUND(RecData[[#This Row],[WSpd_Avg '[m/s']]],0),"")</f>
        <v>0</v>
      </c>
      <c r="DS408" s="85">
        <f>(0.00002)^2*(10^(RecData[[#This Row],[Overall (dBA)]]/10))</f>
        <v>1.5703537609940343E-8</v>
      </c>
    </row>
    <row r="409" spans="1:123" ht="15" x14ac:dyDescent="0.25">
      <c r="A409" s="3" t="s">
        <v>249</v>
      </c>
      <c r="B409" s="12">
        <v>43262.052777777782</v>
      </c>
      <c r="C409" s="3"/>
      <c r="D409" s="3">
        <v>30.8</v>
      </c>
      <c r="E409" s="3"/>
      <c r="F409" s="3"/>
      <c r="G409" s="3"/>
      <c r="H409" s="3"/>
      <c r="I409" s="3"/>
      <c r="J409" s="3"/>
      <c r="K409" s="3">
        <v>25.8</v>
      </c>
      <c r="L409" s="3"/>
      <c r="M409" s="3"/>
      <c r="N409" s="3">
        <v>158.80000000000001</v>
      </c>
      <c r="O409" s="3"/>
      <c r="P409" s="3"/>
      <c r="Q409" s="3">
        <v>0.05</v>
      </c>
      <c r="R409" s="3">
        <v>0</v>
      </c>
      <c r="S409" s="3">
        <v>0.1</v>
      </c>
      <c r="T409" s="3">
        <v>9</v>
      </c>
      <c r="U409" s="3">
        <v>88.1</v>
      </c>
      <c r="V409" s="3">
        <v>974.2</v>
      </c>
      <c r="W409" s="3">
        <v>0</v>
      </c>
      <c r="X409" s="3">
        <v>15.2</v>
      </c>
      <c r="Y409" s="3">
        <v>13.4</v>
      </c>
      <c r="Z409" s="3">
        <v>17.600000000000001</v>
      </c>
      <c r="AA409" s="3">
        <v>10.4</v>
      </c>
      <c r="AB409" s="3">
        <v>9.8000000000000007</v>
      </c>
      <c r="AC409" s="3">
        <v>5</v>
      </c>
      <c r="AD409" s="3">
        <v>5.4</v>
      </c>
      <c r="AE409" s="3">
        <v>8.8000000000000007</v>
      </c>
      <c r="AF409" s="3">
        <v>10.4</v>
      </c>
      <c r="AG409" s="3">
        <v>6.9</v>
      </c>
      <c r="AH409" s="3">
        <v>8</v>
      </c>
      <c r="AI409" s="3">
        <v>8.6</v>
      </c>
      <c r="AJ409" s="3">
        <v>10.1</v>
      </c>
      <c r="AK409" s="3">
        <v>9.5</v>
      </c>
      <c r="AL409" s="3">
        <v>5.8</v>
      </c>
      <c r="AM409" s="3">
        <v>5.7</v>
      </c>
      <c r="AN409" s="3">
        <v>6.5</v>
      </c>
      <c r="AO409" s="3">
        <v>6.3</v>
      </c>
      <c r="AP409" s="3">
        <v>6.2</v>
      </c>
      <c r="AQ409" s="3">
        <v>7</v>
      </c>
      <c r="AR409" s="3">
        <v>6.4</v>
      </c>
      <c r="AS409" s="3">
        <v>21.4</v>
      </c>
      <c r="AT409" s="3">
        <v>28.5</v>
      </c>
      <c r="AU409" s="3">
        <v>8.6</v>
      </c>
      <c r="AV409" s="3">
        <v>8.6</v>
      </c>
      <c r="AW409" s="3">
        <v>9.1999999999999993</v>
      </c>
      <c r="AX409" s="3">
        <v>9.3000000000000007</v>
      </c>
      <c r="AY409" s="3">
        <v>9.6</v>
      </c>
      <c r="AZ409" s="3">
        <v>0</v>
      </c>
      <c r="BA409" s="3">
        <v>0</v>
      </c>
      <c r="BB409" s="3">
        <v>0</v>
      </c>
      <c r="BC409" s="3">
        <v>30.758538167368286</v>
      </c>
      <c r="BD409" s="3">
        <v>15.241461832631714</v>
      </c>
      <c r="BE409" s="3">
        <v>13.441461832631717</v>
      </c>
      <c r="BF409" s="3">
        <v>16.401461832631718</v>
      </c>
      <c r="BG409" s="3">
        <v>9.5281284992983757</v>
      </c>
      <c r="BH409" s="3">
        <v>9.0681284992983819</v>
      </c>
      <c r="BI409" s="3">
        <v>4.6814618326317117</v>
      </c>
      <c r="BJ409" s="3">
        <v>5.8747951659650468</v>
      </c>
      <c r="BK409" s="3">
        <v>9.1481284992983802</v>
      </c>
      <c r="BL409" s="3">
        <v>10.321461832631712</v>
      </c>
      <c r="BM409" s="3">
        <v>6.9547951659650522</v>
      </c>
      <c r="BN409" s="3">
        <v>8.338128499298378</v>
      </c>
      <c r="BO409" s="3">
        <v>8.3047951659650465</v>
      </c>
      <c r="BP409" s="3">
        <v>9.5214618326317151</v>
      </c>
      <c r="BQ409" s="3">
        <v>9.3381284992983709</v>
      </c>
      <c r="BR409" s="3">
        <v>5.9647951659650502</v>
      </c>
      <c r="BS409" s="3">
        <v>5.6681284992983834</v>
      </c>
      <c r="BT409" s="3">
        <v>6.664795165965046</v>
      </c>
      <c r="BU409" s="3">
        <v>6.4314618326317188</v>
      </c>
      <c r="BV409" s="3">
        <v>6.0481284992983859</v>
      </c>
      <c r="BW409" s="3">
        <v>7.3814618326317145</v>
      </c>
      <c r="BX409" s="3">
        <v>6.7014618326317219</v>
      </c>
      <c r="BY409" s="3">
        <v>21.521461832631715</v>
      </c>
      <c r="BZ409" s="3">
        <v>28.751461832631719</v>
      </c>
      <c r="CA409" s="3">
        <v>8.9514618326317077</v>
      </c>
      <c r="CB409" s="3">
        <v>8.3881284992983751</v>
      </c>
      <c r="CC409" s="3">
        <v>9.2014618326317148</v>
      </c>
      <c r="CD409" s="3">
        <v>8.6081284992983882</v>
      </c>
      <c r="CE409" s="3">
        <v>9.1014618326317134</v>
      </c>
      <c r="CF409" s="3">
        <v>-0.8852048340349512</v>
      </c>
      <c r="CG409" s="3">
        <v>-1.4185381673682826</v>
      </c>
      <c r="CH409" s="3">
        <v>-2.4952048340349506</v>
      </c>
      <c r="CI409" s="13">
        <f>[1]!dbasum(RecData[[#This Row],[20]:[2000]],RecData[[#Headers],[20]:[2000]])</f>
        <v>15.686109734680951</v>
      </c>
      <c r="CJ409" s="14">
        <v>4861</v>
      </c>
      <c r="CK409" s="15" t="s">
        <v>249</v>
      </c>
      <c r="CL409" s="15">
        <f>RecData[[#This Row],[Start Time]]</f>
        <v>43262.052777777782</v>
      </c>
      <c r="CM409" s="16">
        <f>RecData[[#This Row],[Wind Speed avg]]</f>
        <v>0.05</v>
      </c>
      <c r="CN409" s="16">
        <f>RecData[[#This Row],[Wind Dir. avg]]</f>
        <v>158.80000000000001</v>
      </c>
      <c r="CO409" s="16">
        <f>RecData[[#This Row],[Amb. Humidity]]</f>
        <v>88.1</v>
      </c>
      <c r="CP409" s="16">
        <f>RecData[[#This Row],[Amb. Temperature]]</f>
        <v>9</v>
      </c>
      <c r="CQ409" s="17">
        <f>RecData[[#This Row],[Amb. Rain Gauge]]</f>
        <v>0</v>
      </c>
      <c r="CR409" s="4" t="s">
        <v>50</v>
      </c>
      <c r="CS409" s="4" t="s">
        <v>49</v>
      </c>
      <c r="CT409" s="70">
        <v>-9.5240688319999993</v>
      </c>
      <c r="CU409" s="70">
        <v>203.28128050000001</v>
      </c>
      <c r="CV409" s="70">
        <v>0.39625492699999998</v>
      </c>
      <c r="CW409" s="70">
        <v>0</v>
      </c>
      <c r="CX409" s="4"/>
      <c r="CY409" s="69"/>
      <c r="CZ409" s="2" t="b">
        <f>IF($DP$1="YES",IF(RecData[[#This Row],[Power (kW)]]&gt;=$CR$3, TRUE,FALSE),TRUE)</f>
        <v>0</v>
      </c>
      <c r="DA409" s="16">
        <f>MIN(MOD(180-ABS(ABS($DA$1-RecData[Yaw Angle (°)])-180),360),MOD(180-ABS(ABS($DB$1-RecData[Yaw Angle (°)])-180),360))</f>
        <v>164.24864627768756</v>
      </c>
      <c r="DB409" s="2" t="str">
        <f>IF($DP$2="None","None",IF(RecData[[#This Row],[Relative Wind Direction]]&lt;=45,"DW",IF(RecData[[#This Row],[Relative Wind Direction]]&lt;=135,"CW","UW")))</f>
        <v>UW</v>
      </c>
      <c r="DC409" s="61">
        <v>-1</v>
      </c>
      <c r="DD409" s="61">
        <v>-1</v>
      </c>
      <c r="DE409" s="18" t="b">
        <v>0</v>
      </c>
      <c r="DF409" s="2" t="b">
        <f>IF(OR(RecData[[#This Row],[WSpd_Avg '[m/s']]]-RecData[[#This Row],[Wind Speed min]]&gt;=$DF$3,RecData[[#This Row],[Wind Speed max]]-RecData[[#This Row],[WSpd_Avg '[m/s']]]&gt;=$DF$2),TRUE,FALSE)</f>
        <v>0</v>
      </c>
      <c r="DG409" s="2" t="b">
        <f>RecData[[#This Row],[Temperature '[°C']]]&lt;=-20</f>
        <v>0</v>
      </c>
      <c r="DH409" s="18" t="b">
        <f>NOT(OR(MOD(RecData[[#This Row],[TIMESTAMP]],1)&gt;0.91632,MOD(RecData[[#This Row],[TIMESTAMP]],1)&lt;0.208681))</f>
        <v>0</v>
      </c>
      <c r="DI409" s="18" t="b">
        <f>RecData[[#This Row],[Overall (dBA)]]-RecData[[#This Row],[L90]]&gt;=$DS$4</f>
        <v>0</v>
      </c>
      <c r="DJ409" s="18" t="b">
        <f>RecData[[#This Row],[Overall (dBA)]]&gt;$DS$2</f>
        <v>0</v>
      </c>
      <c r="DK409" s="18" t="b">
        <f>RecData[[#This Row],[Overall (dBA)]]&lt;$DS$3</f>
        <v>0</v>
      </c>
      <c r="DL4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09" s="2">
        <f>IF(AND(RecData[[#This Row],[Turbines ON/OFF]] = "OFF", NOT(OR(RecData[[#This Row],[Junk?]]="YES",RecData[[#This Row],[Gust?]],RecData[[#This Row],[Rain?]:[Min SPL Threshold?]]))),1,0)</f>
        <v>1</v>
      </c>
      <c r="DN409" s="16">
        <f>RecData[[#This Row],[dBA Sum]]</f>
        <v>15.686109734680951</v>
      </c>
      <c r="DO409" s="16">
        <f>RecData[[#This Row],[LAF90.0]]</f>
        <v>25.8</v>
      </c>
      <c r="DP409" s="55" t="str">
        <f>IF(AND(RecData[[#This Row],[Useable TON Data?]],RecData[[#This Row],[Turbines ON/OFF]]="ON"),RecData[[#This Row],[dBA Sum]],"")</f>
        <v/>
      </c>
      <c r="DQ409" s="55">
        <f>IF(AND(RecData[[#This Row],[Useable Background Data?]],RecData[[#This Row],[Turbines ON/OFF]]="OFF"),RecData[[#This Row],[dBA Sum]],"")</f>
        <v>15.686109734680951</v>
      </c>
      <c r="DR409" s="3">
        <f>IF(OR(RecData[[#This Row],[Useable TON Data?]],RecData[[#This Row],[Useable Background Data?]]),ROUND(RecData[[#This Row],[WSpd_Avg '[m/s']]],0),"")</f>
        <v>0</v>
      </c>
      <c r="DS409" s="85">
        <f>(0.00002)^2*(10^(RecData[[#This Row],[Overall (dBA)]]/10))</f>
        <v>1.4813953080421873E-8</v>
      </c>
    </row>
    <row r="410" spans="1:123" ht="15" x14ac:dyDescent="0.25">
      <c r="A410" s="3" t="s">
        <v>249</v>
      </c>
      <c r="B410" s="12">
        <v>43262.053472222229</v>
      </c>
      <c r="C410" s="3"/>
      <c r="D410" s="3">
        <v>31.3</v>
      </c>
      <c r="E410" s="3"/>
      <c r="F410" s="3"/>
      <c r="G410" s="3"/>
      <c r="H410" s="3"/>
      <c r="I410" s="3"/>
      <c r="J410" s="3"/>
      <c r="K410" s="3">
        <v>25.4</v>
      </c>
      <c r="L410" s="3"/>
      <c r="M410" s="3"/>
      <c r="N410" s="3">
        <v>154.80000000000001</v>
      </c>
      <c r="O410" s="3"/>
      <c r="P410" s="3"/>
      <c r="Q410" s="3">
        <v>0.38</v>
      </c>
      <c r="R410" s="3">
        <v>0.1</v>
      </c>
      <c r="S410" s="3">
        <v>0.6</v>
      </c>
      <c r="T410" s="3">
        <v>8.9</v>
      </c>
      <c r="U410" s="3">
        <v>88.2</v>
      </c>
      <c r="V410" s="3">
        <v>974.2</v>
      </c>
      <c r="W410" s="3">
        <v>0</v>
      </c>
      <c r="X410" s="3">
        <v>15.7</v>
      </c>
      <c r="Y410" s="3">
        <v>13.3</v>
      </c>
      <c r="Z410" s="3">
        <v>17.2</v>
      </c>
      <c r="AA410" s="3">
        <v>10.3</v>
      </c>
      <c r="AB410" s="3">
        <v>11.6</v>
      </c>
      <c r="AC410" s="3">
        <v>5.5</v>
      </c>
      <c r="AD410" s="3">
        <v>6</v>
      </c>
      <c r="AE410" s="3">
        <v>9.6</v>
      </c>
      <c r="AF410" s="3">
        <v>11.9</v>
      </c>
      <c r="AG410" s="3">
        <v>8.8000000000000007</v>
      </c>
      <c r="AH410" s="3">
        <v>10</v>
      </c>
      <c r="AI410" s="3">
        <v>10.4</v>
      </c>
      <c r="AJ410" s="3">
        <v>11.2</v>
      </c>
      <c r="AK410" s="3">
        <v>11.5</v>
      </c>
      <c r="AL410" s="3">
        <v>7.1</v>
      </c>
      <c r="AM410" s="3">
        <v>7.4</v>
      </c>
      <c r="AN410" s="3">
        <v>7.5</v>
      </c>
      <c r="AO410" s="3">
        <v>7.6</v>
      </c>
      <c r="AP410" s="3">
        <v>7</v>
      </c>
      <c r="AQ410" s="3">
        <v>7.2</v>
      </c>
      <c r="AR410" s="3">
        <v>6.7</v>
      </c>
      <c r="AS410" s="3">
        <v>20.6</v>
      </c>
      <c r="AT410" s="3">
        <v>29.3</v>
      </c>
      <c r="AU410" s="3">
        <v>9</v>
      </c>
      <c r="AV410" s="3">
        <v>8.6999999999999993</v>
      </c>
      <c r="AW410" s="3">
        <v>9.1999999999999993</v>
      </c>
      <c r="AX410" s="3">
        <v>9.4</v>
      </c>
      <c r="AY410" s="3">
        <v>9.6</v>
      </c>
      <c r="AZ410" s="3">
        <v>0</v>
      </c>
      <c r="BA410" s="3">
        <v>0</v>
      </c>
      <c r="BB410" s="3">
        <v>0</v>
      </c>
      <c r="BC410" s="3">
        <v>31.332073845425246</v>
      </c>
      <c r="BD410" s="3">
        <v>15.667926154574754</v>
      </c>
      <c r="BE410" s="3">
        <v>13.267926154574756</v>
      </c>
      <c r="BF410" s="3">
        <v>15.927926154574752</v>
      </c>
      <c r="BG410" s="3">
        <v>9.3545928212414218</v>
      </c>
      <c r="BH410" s="3">
        <v>10.79459282124142</v>
      </c>
      <c r="BI410" s="3">
        <v>5.1079261545747521</v>
      </c>
      <c r="BJ410" s="3">
        <v>6.4012594879080886</v>
      </c>
      <c r="BK410" s="3">
        <v>9.8745928212414178</v>
      </c>
      <c r="BL410" s="3">
        <v>11.747926154574753</v>
      </c>
      <c r="BM410" s="3">
        <v>8.7812594879080912</v>
      </c>
      <c r="BN410" s="3">
        <v>10.264592821241418</v>
      </c>
      <c r="BO410" s="3">
        <v>10.031259487908091</v>
      </c>
      <c r="BP410" s="3">
        <v>10.547926154574757</v>
      </c>
      <c r="BQ410" s="3">
        <v>11.264592821241411</v>
      </c>
      <c r="BR410" s="3">
        <v>7.1912594879080878</v>
      </c>
      <c r="BS410" s="3">
        <v>7.2945928212414195</v>
      </c>
      <c r="BT410" s="3">
        <v>7.5912594879080864</v>
      </c>
      <c r="BU410" s="3">
        <v>7.6579261545747563</v>
      </c>
      <c r="BV410" s="3">
        <v>6.7745928212414235</v>
      </c>
      <c r="BW410" s="3">
        <v>7.5079261545747578</v>
      </c>
      <c r="BX410" s="3">
        <v>6.9279261545747595</v>
      </c>
      <c r="BY410" s="3">
        <v>20.647926154574758</v>
      </c>
      <c r="BZ410" s="3">
        <v>29.477926154574757</v>
      </c>
      <c r="CA410" s="3">
        <v>9.2779261545747467</v>
      </c>
      <c r="CB410" s="3">
        <v>8.4145928212414169</v>
      </c>
      <c r="CC410" s="3">
        <v>9.1279261545747552</v>
      </c>
      <c r="CD410" s="3">
        <v>8.6345928212414229</v>
      </c>
      <c r="CE410" s="3">
        <v>9.0279261545747538</v>
      </c>
      <c r="CF410" s="3">
        <v>-0.9587405120919108</v>
      </c>
      <c r="CG410" s="3">
        <v>-1.4920738454252422</v>
      </c>
      <c r="CH410" s="3">
        <v>-2.5687405120919102</v>
      </c>
      <c r="CI410" s="13">
        <f>[1]!dbasum(RecData[[#This Row],[20]:[2000]],RecData[[#Headers],[20]:[2000]])</f>
        <v>16.586234764454822</v>
      </c>
      <c r="CJ410" s="14">
        <v>4862</v>
      </c>
      <c r="CK410" s="15" t="s">
        <v>249</v>
      </c>
      <c r="CL410" s="15">
        <f>RecData[[#This Row],[Start Time]]</f>
        <v>43262.053472222229</v>
      </c>
      <c r="CM410" s="16">
        <f>RecData[[#This Row],[Wind Speed avg]]</f>
        <v>0.38</v>
      </c>
      <c r="CN410" s="16">
        <f>RecData[[#This Row],[Wind Dir. avg]]</f>
        <v>154.80000000000001</v>
      </c>
      <c r="CO410" s="16">
        <f>RecData[[#This Row],[Amb. Humidity]]</f>
        <v>88.2</v>
      </c>
      <c r="CP410" s="16">
        <f>RecData[[#This Row],[Amb. Temperature]]</f>
        <v>8.9</v>
      </c>
      <c r="CQ410" s="17">
        <f>RecData[[#This Row],[Amb. Rain Gauge]]</f>
        <v>0</v>
      </c>
      <c r="CR410" s="4" t="s">
        <v>50</v>
      </c>
      <c r="CS410" s="4" t="s">
        <v>49</v>
      </c>
      <c r="CT410" s="70">
        <v>-9.5240688319999993</v>
      </c>
      <c r="CU410" s="70">
        <v>203.28128050000001</v>
      </c>
      <c r="CV410" s="70">
        <v>0.39625492699999998</v>
      </c>
      <c r="CW410" s="70">
        <v>0</v>
      </c>
      <c r="CX410" s="4"/>
      <c r="CY410" s="69"/>
      <c r="CZ410" s="2" t="b">
        <f>IF($DP$1="YES",IF(RecData[[#This Row],[Power (kW)]]&gt;=$CR$3, TRUE,FALSE),TRUE)</f>
        <v>0</v>
      </c>
      <c r="DA410" s="16">
        <f>MIN(MOD(180-ABS(ABS($DA$1-RecData[Yaw Angle (°)])-180),360),MOD(180-ABS(ABS($DB$1-RecData[Yaw Angle (°)])-180),360))</f>
        <v>164.24864627768756</v>
      </c>
      <c r="DB410" s="2" t="str">
        <f>IF($DP$2="None","None",IF(RecData[[#This Row],[Relative Wind Direction]]&lt;=45,"DW",IF(RecData[[#This Row],[Relative Wind Direction]]&lt;=135,"CW","UW")))</f>
        <v>UW</v>
      </c>
      <c r="DC410" s="61">
        <f>IF($CL410-$CL409&gt;1/24,#REF!,IF(SUM($CQ409:$CQ410)&gt;$DS$1,$DS$5,DC411-1))</f>
        <v>-9</v>
      </c>
      <c r="DD410" s="61">
        <f>IF($CL411-$CL410&gt;1/24,#REF!,IF(SUM($CQ409:$CQ410)&gt;$DS$1,$DS$6,DD409-1))</f>
        <v>-2</v>
      </c>
      <c r="DE410" s="18" t="b">
        <v>0</v>
      </c>
      <c r="DF410" s="2" t="b">
        <f>IF(OR(RecData[[#This Row],[WSpd_Avg '[m/s']]]-RecData[[#This Row],[Wind Speed min]]&gt;=$DF$3,RecData[[#This Row],[Wind Speed max]]-RecData[[#This Row],[WSpd_Avg '[m/s']]]&gt;=$DF$2),TRUE,FALSE)</f>
        <v>0</v>
      </c>
      <c r="DG410" s="2" t="b">
        <f>RecData[[#This Row],[Temperature '[°C']]]&lt;=-20</f>
        <v>0</v>
      </c>
      <c r="DH410" s="18" t="b">
        <f>NOT(OR(MOD(RecData[[#This Row],[TIMESTAMP]],1)&gt;0.91632,MOD(RecData[[#This Row],[TIMESTAMP]],1)&lt;0.208681))</f>
        <v>0</v>
      </c>
      <c r="DI410" s="18" t="b">
        <f>RecData[[#This Row],[Overall (dBA)]]-RecData[[#This Row],[L90]]&gt;=$DS$4</f>
        <v>0</v>
      </c>
      <c r="DJ410" s="18" t="b">
        <f>RecData[[#This Row],[Overall (dBA)]]&gt;$DS$2</f>
        <v>0</v>
      </c>
      <c r="DK410" s="18" t="b">
        <f>RecData[[#This Row],[Overall (dBA)]]&lt;$DS$3</f>
        <v>0</v>
      </c>
      <c r="DL4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0" s="2">
        <f>IF(AND(RecData[[#This Row],[Turbines ON/OFF]] = "OFF", NOT(OR(RecData[[#This Row],[Junk?]]="YES",RecData[[#This Row],[Gust?]],RecData[[#This Row],[Rain?]:[Min SPL Threshold?]]))),1,0)</f>
        <v>1</v>
      </c>
      <c r="DN410" s="16">
        <f>RecData[[#This Row],[dBA Sum]]</f>
        <v>16.586234764454822</v>
      </c>
      <c r="DO410" s="16">
        <f>RecData[[#This Row],[LAF90.0]]</f>
        <v>25.4</v>
      </c>
      <c r="DP410" s="55" t="str">
        <f>IF(AND(RecData[[#This Row],[Useable TON Data?]],RecData[[#This Row],[Turbines ON/OFF]]="ON"),RecData[[#This Row],[dBA Sum]],"")</f>
        <v/>
      </c>
      <c r="DQ410" s="55">
        <f>IF(AND(RecData[[#This Row],[Useable Background Data?]],RecData[[#This Row],[Turbines ON/OFF]]="OFF"),RecData[[#This Row],[dBA Sum]],"")</f>
        <v>16.586234764454822</v>
      </c>
      <c r="DR410" s="3">
        <f>IF(OR(RecData[[#This Row],[Useable TON Data?]],RecData[[#This Row],[Useable Background Data?]]),ROUND(RecData[[#This Row],[WSpd_Avg '[m/s']]],0),"")</f>
        <v>0</v>
      </c>
      <c r="DS410" s="85">
        <f>(0.00002)^2*(10^(RecData[[#This Row],[Overall (dBA)]]/10))</f>
        <v>1.8225668541428268E-8</v>
      </c>
    </row>
    <row r="411" spans="1:123" ht="15" x14ac:dyDescent="0.25">
      <c r="A411" s="3" t="s">
        <v>249</v>
      </c>
      <c r="B411" s="12">
        <v>43262.054166666669</v>
      </c>
      <c r="C411" s="3"/>
      <c r="D411" s="3">
        <v>31.3</v>
      </c>
      <c r="E411" s="3"/>
      <c r="F411" s="3"/>
      <c r="G411" s="3"/>
      <c r="H411" s="3"/>
      <c r="I411" s="3"/>
      <c r="J411" s="3"/>
      <c r="K411" s="3">
        <v>25.7</v>
      </c>
      <c r="L411" s="3"/>
      <c r="M411" s="3"/>
      <c r="N411" s="3">
        <v>138.4</v>
      </c>
      <c r="O411" s="3"/>
      <c r="P411" s="3"/>
      <c r="Q411" s="3">
        <v>0.6</v>
      </c>
      <c r="R411" s="3">
        <v>0.5</v>
      </c>
      <c r="S411" s="3">
        <v>0.8</v>
      </c>
      <c r="T411" s="3">
        <v>8.9</v>
      </c>
      <c r="U411" s="3">
        <v>88.6</v>
      </c>
      <c r="V411" s="3">
        <v>974.2</v>
      </c>
      <c r="W411" s="3">
        <v>0</v>
      </c>
      <c r="X411" s="3">
        <v>15.8</v>
      </c>
      <c r="Y411" s="3">
        <v>13.2</v>
      </c>
      <c r="Z411" s="3">
        <v>17.5</v>
      </c>
      <c r="AA411" s="3">
        <v>12.4</v>
      </c>
      <c r="AB411" s="3">
        <v>13.6</v>
      </c>
      <c r="AC411" s="3">
        <v>7.1</v>
      </c>
      <c r="AD411" s="3">
        <v>8.4</v>
      </c>
      <c r="AE411" s="3">
        <v>13.3</v>
      </c>
      <c r="AF411" s="3">
        <v>14.2</v>
      </c>
      <c r="AG411" s="3">
        <v>11.1</v>
      </c>
      <c r="AH411" s="3">
        <v>11.5</v>
      </c>
      <c r="AI411" s="3">
        <v>12.2</v>
      </c>
      <c r="AJ411" s="3">
        <v>12.1</v>
      </c>
      <c r="AK411" s="3">
        <v>13.5</v>
      </c>
      <c r="AL411" s="3">
        <v>7.9</v>
      </c>
      <c r="AM411" s="3">
        <v>9.1999999999999993</v>
      </c>
      <c r="AN411" s="3">
        <v>8.6</v>
      </c>
      <c r="AO411" s="3">
        <v>8.5</v>
      </c>
      <c r="AP411" s="3">
        <v>8.1999999999999993</v>
      </c>
      <c r="AQ411" s="3">
        <v>7.5</v>
      </c>
      <c r="AR411" s="3">
        <v>7.3</v>
      </c>
      <c r="AS411" s="3">
        <v>20.5</v>
      </c>
      <c r="AT411" s="3">
        <v>29.2</v>
      </c>
      <c r="AU411" s="3">
        <v>9.4</v>
      </c>
      <c r="AV411" s="3">
        <v>9</v>
      </c>
      <c r="AW411" s="3">
        <v>9.4</v>
      </c>
      <c r="AX411" s="3">
        <v>9.5</v>
      </c>
      <c r="AY411" s="3">
        <v>9.8000000000000007</v>
      </c>
      <c r="AZ411" s="3">
        <v>0</v>
      </c>
      <c r="BA411" s="3">
        <v>0</v>
      </c>
      <c r="BB411" s="3">
        <v>0</v>
      </c>
      <c r="BC411" s="3">
        <v>31.289346122171168</v>
      </c>
      <c r="BD411" s="3">
        <v>15.810653877828834</v>
      </c>
      <c r="BE411" s="3">
        <v>13.210653877828832</v>
      </c>
      <c r="BF411" s="3">
        <v>16.270653877828835</v>
      </c>
      <c r="BG411" s="3">
        <v>11.497320544495494</v>
      </c>
      <c r="BH411" s="3">
        <v>12.837320544495498</v>
      </c>
      <c r="BI411" s="3">
        <v>6.7506538778288316</v>
      </c>
      <c r="BJ411" s="3">
        <v>8.8439872111621654</v>
      </c>
      <c r="BK411" s="3">
        <v>13.617320544495499</v>
      </c>
      <c r="BL411" s="3">
        <v>14.090653877828835</v>
      </c>
      <c r="BM411" s="3">
        <v>11.123987211162166</v>
      </c>
      <c r="BN411" s="3">
        <v>11.807320544495497</v>
      </c>
      <c r="BO411" s="3">
        <v>11.873987211162166</v>
      </c>
      <c r="BP411" s="3">
        <v>11.490653877828834</v>
      </c>
      <c r="BQ411" s="3">
        <v>13.307320544495489</v>
      </c>
      <c r="BR411" s="3">
        <v>8.0339872111621702</v>
      </c>
      <c r="BS411" s="3">
        <v>9.1373205444955019</v>
      </c>
      <c r="BT411" s="3">
        <v>8.7339872111621659</v>
      </c>
      <c r="BU411" s="3">
        <v>8.6006538778288331</v>
      </c>
      <c r="BV411" s="3">
        <v>8.0173205444954974</v>
      </c>
      <c r="BW411" s="3">
        <v>7.8506538778288331</v>
      </c>
      <c r="BX411" s="3">
        <v>7.570653877828839</v>
      </c>
      <c r="BY411" s="3">
        <v>20.590653877828828</v>
      </c>
      <c r="BZ411" s="3">
        <v>29.42065387782884</v>
      </c>
      <c r="CA411" s="3">
        <v>9.7206538778288234</v>
      </c>
      <c r="CB411" s="3">
        <v>8.7573205444954993</v>
      </c>
      <c r="CC411" s="3">
        <v>9.3706538778288291</v>
      </c>
      <c r="CD411" s="3">
        <v>8.7773205444955025</v>
      </c>
      <c r="CE411" s="3">
        <v>9.2706538778288348</v>
      </c>
      <c r="CF411" s="3">
        <v>-0.91601278883783266</v>
      </c>
      <c r="CG411" s="3">
        <v>-1.4493461221711641</v>
      </c>
      <c r="CH411" s="3">
        <v>-2.5260127888378321</v>
      </c>
      <c r="CI411" s="13">
        <f>[1]!dbasum(RecData[[#This Row],[20]:[2000]],RecData[[#Headers],[20]:[2000]])</f>
        <v>17.727187721494936</v>
      </c>
      <c r="CJ411" s="14">
        <v>4863</v>
      </c>
      <c r="CK411" s="15" t="s">
        <v>249</v>
      </c>
      <c r="CL411" s="15">
        <f>RecData[[#This Row],[Start Time]]</f>
        <v>43262.054166666669</v>
      </c>
      <c r="CM411" s="16">
        <f>RecData[[#This Row],[Wind Speed avg]]</f>
        <v>0.6</v>
      </c>
      <c r="CN411" s="16">
        <f>RecData[[#This Row],[Wind Dir. avg]]</f>
        <v>138.4</v>
      </c>
      <c r="CO411" s="16">
        <f>RecData[[#This Row],[Amb. Humidity]]</f>
        <v>88.6</v>
      </c>
      <c r="CP411" s="16">
        <f>RecData[[#This Row],[Amb. Temperature]]</f>
        <v>8.9</v>
      </c>
      <c r="CQ411" s="17">
        <f>RecData[[#This Row],[Amb. Rain Gauge]]</f>
        <v>0</v>
      </c>
      <c r="CR411" s="4" t="s">
        <v>50</v>
      </c>
      <c r="CS411" s="4" t="s">
        <v>49</v>
      </c>
      <c r="CT411" s="70">
        <v>-9.5240688319999993</v>
      </c>
      <c r="CU411" s="70">
        <v>203.28128050000001</v>
      </c>
      <c r="CV411" s="70">
        <v>0.39625492699999998</v>
      </c>
      <c r="CW411" s="70">
        <v>0</v>
      </c>
      <c r="CX411" s="4"/>
      <c r="CY411" s="69"/>
      <c r="CZ411" s="2" t="b">
        <f>IF($DP$1="YES",IF(RecData[[#This Row],[Power (kW)]]&gt;=$CR$3, TRUE,FALSE),TRUE)</f>
        <v>0</v>
      </c>
      <c r="DA411" s="16">
        <f>MIN(MOD(180-ABS(ABS($DA$1-RecData[Yaw Angle (°)])-180),360),MOD(180-ABS(ABS($DB$1-RecData[Yaw Angle (°)])-180),360))</f>
        <v>164.24864627768756</v>
      </c>
      <c r="DB411" s="2" t="str">
        <f>IF($DP$2="None","None",IF(RecData[[#This Row],[Relative Wind Direction]]&lt;=45,"DW",IF(RecData[[#This Row],[Relative Wind Direction]]&lt;=135,"CW","UW")))</f>
        <v>UW</v>
      </c>
      <c r="DC411" s="61">
        <f>IF($CL411-$CL409&gt;1/24,#REF!,IF(SUM($CQ409:$CQ411)&gt;$DS$1,$DS$5,DC412-1))</f>
        <v>-8</v>
      </c>
      <c r="DD411" s="61">
        <f>IF($CL412-$CL411&gt;1/24,#REF!,IF(SUM($CQ409:$CQ411)&gt;$DS$1,$DS$6,DD410-1))</f>
        <v>-3</v>
      </c>
      <c r="DE411" s="18" t="b">
        <v>0</v>
      </c>
      <c r="DF411" s="2" t="b">
        <f>IF(OR(RecData[[#This Row],[WSpd_Avg '[m/s']]]-RecData[[#This Row],[Wind Speed min]]&gt;=$DF$3,RecData[[#This Row],[Wind Speed max]]-RecData[[#This Row],[WSpd_Avg '[m/s']]]&gt;=$DF$2),TRUE,FALSE)</f>
        <v>0</v>
      </c>
      <c r="DG411" s="2" t="b">
        <f>RecData[[#This Row],[Temperature '[°C']]]&lt;=-20</f>
        <v>0</v>
      </c>
      <c r="DH411" s="18" t="b">
        <f>NOT(OR(MOD(RecData[[#This Row],[TIMESTAMP]],1)&gt;0.91632,MOD(RecData[[#This Row],[TIMESTAMP]],1)&lt;0.208681))</f>
        <v>0</v>
      </c>
      <c r="DI411" s="18" t="b">
        <f>RecData[[#This Row],[Overall (dBA)]]-RecData[[#This Row],[L90]]&gt;=$DS$4</f>
        <v>0</v>
      </c>
      <c r="DJ411" s="18" t="b">
        <f>RecData[[#This Row],[Overall (dBA)]]&gt;$DS$2</f>
        <v>0</v>
      </c>
      <c r="DK411" s="18" t="b">
        <f>RecData[[#This Row],[Overall (dBA)]]&lt;$DS$3</f>
        <v>0</v>
      </c>
      <c r="DL4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1" s="2">
        <f>IF(AND(RecData[[#This Row],[Turbines ON/OFF]] = "OFF", NOT(OR(RecData[[#This Row],[Junk?]]="YES",RecData[[#This Row],[Gust?]],RecData[[#This Row],[Rain?]:[Min SPL Threshold?]]))),1,0)</f>
        <v>1</v>
      </c>
      <c r="DN411" s="16">
        <f>RecData[[#This Row],[dBA Sum]]</f>
        <v>17.727187721494936</v>
      </c>
      <c r="DO411" s="16">
        <f>RecData[[#This Row],[LAF90.0]]</f>
        <v>25.7</v>
      </c>
      <c r="DP411" s="55" t="str">
        <f>IF(AND(RecData[[#This Row],[Useable TON Data?]],RecData[[#This Row],[Turbines ON/OFF]]="ON"),RecData[[#This Row],[dBA Sum]],"")</f>
        <v/>
      </c>
      <c r="DQ411" s="55">
        <f>IF(AND(RecData[[#This Row],[Useable Background Data?]],RecData[[#This Row],[Turbines ON/OFF]]="OFF"),RecData[[#This Row],[dBA Sum]],"")</f>
        <v>17.727187721494936</v>
      </c>
      <c r="DR411" s="3">
        <f>IF(OR(RecData[[#This Row],[Useable TON Data?]],RecData[[#This Row],[Useable Background Data?]]),ROUND(RecData[[#This Row],[WSpd_Avg '[m/s']]],0),"")</f>
        <v>1</v>
      </c>
      <c r="DS411" s="85">
        <f>(0.00002)^2*(10^(RecData[[#This Row],[Overall (dBA)]]/10))</f>
        <v>2.3701659977854102E-8</v>
      </c>
    </row>
    <row r="412" spans="1:123" ht="15" x14ac:dyDescent="0.25">
      <c r="A412" s="3" t="s">
        <v>249</v>
      </c>
      <c r="B412" s="12">
        <v>43262.054861111115</v>
      </c>
      <c r="C412" s="3"/>
      <c r="D412" s="3">
        <v>31.5</v>
      </c>
      <c r="E412" s="3"/>
      <c r="F412" s="3"/>
      <c r="G412" s="3"/>
      <c r="H412" s="3"/>
      <c r="I412" s="3"/>
      <c r="J412" s="3"/>
      <c r="K412" s="3">
        <v>21.6</v>
      </c>
      <c r="L412" s="3"/>
      <c r="M412" s="3"/>
      <c r="N412" s="3">
        <v>122.6</v>
      </c>
      <c r="O412" s="3"/>
      <c r="P412" s="3"/>
      <c r="Q412" s="3">
        <v>0.57999999999999996</v>
      </c>
      <c r="R412" s="3">
        <v>0.4</v>
      </c>
      <c r="S412" s="3">
        <v>0.8</v>
      </c>
      <c r="T412" s="3">
        <v>8.9</v>
      </c>
      <c r="U412" s="3">
        <v>88.9</v>
      </c>
      <c r="V412" s="3">
        <v>974.2</v>
      </c>
      <c r="W412" s="3">
        <v>0</v>
      </c>
      <c r="X412" s="3">
        <v>14.4</v>
      </c>
      <c r="Y412" s="3">
        <v>13</v>
      </c>
      <c r="Z412" s="3">
        <v>16.600000000000001</v>
      </c>
      <c r="AA412" s="3">
        <v>9.5</v>
      </c>
      <c r="AB412" s="3">
        <v>11.6</v>
      </c>
      <c r="AC412" s="3">
        <v>5.8</v>
      </c>
      <c r="AD412" s="3">
        <v>7.4</v>
      </c>
      <c r="AE412" s="3">
        <v>10.9</v>
      </c>
      <c r="AF412" s="3">
        <v>14.3</v>
      </c>
      <c r="AG412" s="3">
        <v>8</v>
      </c>
      <c r="AH412" s="3">
        <v>9.6</v>
      </c>
      <c r="AI412" s="3">
        <v>10</v>
      </c>
      <c r="AJ412" s="3">
        <v>10.9</v>
      </c>
      <c r="AK412" s="3">
        <v>9.8000000000000007</v>
      </c>
      <c r="AL412" s="3">
        <v>6.7</v>
      </c>
      <c r="AM412" s="3">
        <v>6.6</v>
      </c>
      <c r="AN412" s="3">
        <v>7.2</v>
      </c>
      <c r="AO412" s="3">
        <v>7.1</v>
      </c>
      <c r="AP412" s="3">
        <v>6.7</v>
      </c>
      <c r="AQ412" s="3">
        <v>7.7</v>
      </c>
      <c r="AR412" s="3">
        <v>6.5</v>
      </c>
      <c r="AS412" s="3">
        <v>22</v>
      </c>
      <c r="AT412" s="3">
        <v>29.2</v>
      </c>
      <c r="AU412" s="3">
        <v>9</v>
      </c>
      <c r="AV412" s="3">
        <v>8.6999999999999993</v>
      </c>
      <c r="AW412" s="3">
        <v>9.1999999999999993</v>
      </c>
      <c r="AX412" s="3">
        <v>9.4</v>
      </c>
      <c r="AY412" s="3">
        <v>9.6</v>
      </c>
      <c r="AZ412" s="3">
        <v>0</v>
      </c>
      <c r="BA412" s="3">
        <v>0</v>
      </c>
      <c r="BB412" s="3">
        <v>0</v>
      </c>
      <c r="BC412" s="3">
        <v>31.425918899092796</v>
      </c>
      <c r="BD412" s="3">
        <v>14.474081100907203</v>
      </c>
      <c r="BE412" s="3">
        <v>13.074081100907204</v>
      </c>
      <c r="BF412" s="3">
        <v>15.434081100907203</v>
      </c>
      <c r="BG412" s="3">
        <v>8.66074776757387</v>
      </c>
      <c r="BH412" s="3">
        <v>10.900747767573872</v>
      </c>
      <c r="BI412" s="3">
        <v>5.5140811009072017</v>
      </c>
      <c r="BJ412" s="3">
        <v>7.9074144342405397</v>
      </c>
      <c r="BK412" s="3">
        <v>11.280747767573867</v>
      </c>
      <c r="BL412" s="3">
        <v>14.254081100907204</v>
      </c>
      <c r="BM412" s="3">
        <v>8.0874144342405394</v>
      </c>
      <c r="BN412" s="3">
        <v>9.9707477675738723</v>
      </c>
      <c r="BO412" s="3">
        <v>9.737414434240538</v>
      </c>
      <c r="BP412" s="3">
        <v>10.354081100907205</v>
      </c>
      <c r="BQ412" s="3">
        <v>9.6707477675738609</v>
      </c>
      <c r="BR412" s="3">
        <v>6.8974144342405417</v>
      </c>
      <c r="BS412" s="3">
        <v>6.6007477675738677</v>
      </c>
      <c r="BT412" s="3">
        <v>7.3974144342405417</v>
      </c>
      <c r="BU412" s="3">
        <v>7.2640811009072088</v>
      </c>
      <c r="BV412" s="3">
        <v>6.5807477675738717</v>
      </c>
      <c r="BW412" s="3">
        <v>8.1140811009072102</v>
      </c>
      <c r="BX412" s="3">
        <v>6.8340811009072091</v>
      </c>
      <c r="BY412" s="3">
        <v>22.154081100907202</v>
      </c>
      <c r="BZ412" s="3">
        <v>29.484081100907208</v>
      </c>
      <c r="CA412" s="3">
        <v>9.3840811009071992</v>
      </c>
      <c r="CB412" s="3">
        <v>8.5207477675738694</v>
      </c>
      <c r="CC412" s="3">
        <v>9.2340811009072006</v>
      </c>
      <c r="CD412" s="3">
        <v>8.7407477675738754</v>
      </c>
      <c r="CE412" s="3">
        <v>9.1340811009072063</v>
      </c>
      <c r="CF412" s="3">
        <v>-0.85258556575946187</v>
      </c>
      <c r="CG412" s="3">
        <v>-1.3859188990927933</v>
      </c>
      <c r="CH412" s="3">
        <v>-2.4625855657594613</v>
      </c>
      <c r="CI412" s="13">
        <f>[1]!dbasum(RecData[[#This Row],[20]:[2000]],RecData[[#Headers],[20]:[2000]])</f>
        <v>16.387318653509354</v>
      </c>
      <c r="CJ412" s="14">
        <v>4864</v>
      </c>
      <c r="CK412" s="15" t="s">
        <v>249</v>
      </c>
      <c r="CL412" s="15">
        <f>RecData[[#This Row],[Start Time]]</f>
        <v>43262.054861111115</v>
      </c>
      <c r="CM412" s="16">
        <f>RecData[[#This Row],[Wind Speed avg]]</f>
        <v>0.57999999999999996</v>
      </c>
      <c r="CN412" s="16">
        <f>RecData[[#This Row],[Wind Dir. avg]]</f>
        <v>122.6</v>
      </c>
      <c r="CO412" s="16">
        <f>RecData[[#This Row],[Amb. Humidity]]</f>
        <v>88.9</v>
      </c>
      <c r="CP412" s="16">
        <f>RecData[[#This Row],[Amb. Temperature]]</f>
        <v>8.9</v>
      </c>
      <c r="CQ412" s="17">
        <f>RecData[[#This Row],[Amb. Rain Gauge]]</f>
        <v>0</v>
      </c>
      <c r="CR412" s="4" t="s">
        <v>50</v>
      </c>
      <c r="CS412" s="4" t="s">
        <v>49</v>
      </c>
      <c r="CT412" s="70">
        <v>-9.5240688319999993</v>
      </c>
      <c r="CU412" s="70">
        <v>203.28128050000001</v>
      </c>
      <c r="CV412" s="70">
        <v>0.39625492699999998</v>
      </c>
      <c r="CW412" s="70">
        <v>0</v>
      </c>
      <c r="CX412" s="4"/>
      <c r="CY412" s="69"/>
      <c r="CZ412" s="2" t="b">
        <f>IF($DP$1="YES",IF(RecData[[#This Row],[Power (kW)]]&gt;=$CR$3, TRUE,FALSE),TRUE)</f>
        <v>0</v>
      </c>
      <c r="DA412" s="16">
        <f>MIN(MOD(180-ABS(ABS($DA$1-RecData[Yaw Angle (°)])-180),360),MOD(180-ABS(ABS($DB$1-RecData[Yaw Angle (°)])-180),360))</f>
        <v>164.24864627768756</v>
      </c>
      <c r="DB412" s="2" t="str">
        <f>IF($DP$2="None","None",IF(RecData[[#This Row],[Relative Wind Direction]]&lt;=45,"DW",IF(RecData[[#This Row],[Relative Wind Direction]]&lt;=135,"CW","UW")))</f>
        <v>UW</v>
      </c>
      <c r="DC412" s="61">
        <f>IF($CL412-$CL409&gt;1/24,#REF!,IF(SUM($CQ409:$CQ412)&gt;$DS$1,$DS$5,DC413-1))</f>
        <v>-7</v>
      </c>
      <c r="DD412" s="61">
        <f>IF($CL413-$CL412&gt;1/24,#REF!,IF(SUM($CQ409:$CQ412)&gt;$DS$1,$DS$6,DD411-1))</f>
        <v>-4</v>
      </c>
      <c r="DE412" s="18" t="b">
        <v>0</v>
      </c>
      <c r="DF412" s="2" t="b">
        <f>IF(OR(RecData[[#This Row],[WSpd_Avg '[m/s']]]-RecData[[#This Row],[Wind Speed min]]&gt;=$DF$3,RecData[[#This Row],[Wind Speed max]]-RecData[[#This Row],[WSpd_Avg '[m/s']]]&gt;=$DF$2),TRUE,FALSE)</f>
        <v>0</v>
      </c>
      <c r="DG412" s="2" t="b">
        <f>RecData[[#This Row],[Temperature '[°C']]]&lt;=-20</f>
        <v>0</v>
      </c>
      <c r="DH412" s="18" t="b">
        <f>NOT(OR(MOD(RecData[[#This Row],[TIMESTAMP]],1)&gt;0.91632,MOD(RecData[[#This Row],[TIMESTAMP]],1)&lt;0.208681))</f>
        <v>0</v>
      </c>
      <c r="DI412" s="18" t="b">
        <f>RecData[[#This Row],[Overall (dBA)]]-RecData[[#This Row],[L90]]&gt;=$DS$4</f>
        <v>0</v>
      </c>
      <c r="DJ412" s="18" t="b">
        <f>RecData[[#This Row],[Overall (dBA)]]&gt;$DS$2</f>
        <v>0</v>
      </c>
      <c r="DK412" s="18" t="b">
        <f>RecData[[#This Row],[Overall (dBA)]]&lt;$DS$3</f>
        <v>0</v>
      </c>
      <c r="DL4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2" s="2">
        <f>IF(AND(RecData[[#This Row],[Turbines ON/OFF]] = "OFF", NOT(OR(RecData[[#This Row],[Junk?]]="YES",RecData[[#This Row],[Gust?]],RecData[[#This Row],[Rain?]:[Min SPL Threshold?]]))),1,0)</f>
        <v>1</v>
      </c>
      <c r="DN412" s="16">
        <f>RecData[[#This Row],[dBA Sum]]</f>
        <v>16.387318653509354</v>
      </c>
      <c r="DO412" s="16">
        <f>RecData[[#This Row],[LAF90.0]]</f>
        <v>21.6</v>
      </c>
      <c r="DP412" s="55" t="str">
        <f>IF(AND(RecData[[#This Row],[Useable TON Data?]],RecData[[#This Row],[Turbines ON/OFF]]="ON"),RecData[[#This Row],[dBA Sum]],"")</f>
        <v/>
      </c>
      <c r="DQ412" s="55">
        <f>IF(AND(RecData[[#This Row],[Useable Background Data?]],RecData[[#This Row],[Turbines ON/OFF]]="OFF"),RecData[[#This Row],[dBA Sum]],"")</f>
        <v>16.387318653509354</v>
      </c>
      <c r="DR412" s="3">
        <f>IF(OR(RecData[[#This Row],[Useable TON Data?]],RecData[[#This Row],[Useable Background Data?]]),ROUND(RecData[[#This Row],[WSpd_Avg '[m/s']]],0),"")</f>
        <v>1</v>
      </c>
      <c r="DS412" s="85">
        <f>(0.00002)^2*(10^(RecData[[#This Row],[Overall (dBA)]]/10))</f>
        <v>1.7409722816153894E-8</v>
      </c>
    </row>
    <row r="413" spans="1:123" ht="15" x14ac:dyDescent="0.25">
      <c r="A413" s="3" t="s">
        <v>249</v>
      </c>
      <c r="B413" s="12">
        <v>43262.055555555562</v>
      </c>
      <c r="C413" s="3"/>
      <c r="D413" s="3">
        <v>30.7</v>
      </c>
      <c r="E413" s="3"/>
      <c r="F413" s="3"/>
      <c r="G413" s="3"/>
      <c r="H413" s="3"/>
      <c r="I413" s="3"/>
      <c r="J413" s="3"/>
      <c r="K413" s="3">
        <v>26</v>
      </c>
      <c r="L413" s="3"/>
      <c r="M413" s="3"/>
      <c r="N413" s="3">
        <v>112.9</v>
      </c>
      <c r="O413" s="3"/>
      <c r="P413" s="3"/>
      <c r="Q413" s="3">
        <v>0.28000000000000003</v>
      </c>
      <c r="R413" s="3">
        <v>0.1</v>
      </c>
      <c r="S413" s="3">
        <v>0.6</v>
      </c>
      <c r="T413" s="3">
        <v>8.9</v>
      </c>
      <c r="U413" s="3">
        <v>89</v>
      </c>
      <c r="V413" s="3">
        <v>974.2</v>
      </c>
      <c r="W413" s="3">
        <v>0</v>
      </c>
      <c r="X413" s="3">
        <v>17.600000000000001</v>
      </c>
      <c r="Y413" s="3">
        <v>13.3</v>
      </c>
      <c r="Z413" s="3">
        <v>16.899999999999999</v>
      </c>
      <c r="AA413" s="3">
        <v>9.8000000000000007</v>
      </c>
      <c r="AB413" s="3">
        <v>14.6</v>
      </c>
      <c r="AC413" s="3">
        <v>6.1</v>
      </c>
      <c r="AD413" s="3">
        <v>7</v>
      </c>
      <c r="AE413" s="3">
        <v>14.1</v>
      </c>
      <c r="AF413" s="3">
        <v>14.8</v>
      </c>
      <c r="AG413" s="3">
        <v>10</v>
      </c>
      <c r="AH413" s="3">
        <v>12.4</v>
      </c>
      <c r="AI413" s="3">
        <v>11.3</v>
      </c>
      <c r="AJ413" s="3">
        <v>12.2</v>
      </c>
      <c r="AK413" s="3">
        <v>10.9</v>
      </c>
      <c r="AL413" s="3">
        <v>7.2</v>
      </c>
      <c r="AM413" s="3">
        <v>7.3</v>
      </c>
      <c r="AN413" s="3">
        <v>7.6</v>
      </c>
      <c r="AO413" s="3">
        <v>7.3</v>
      </c>
      <c r="AP413" s="3">
        <v>7.3</v>
      </c>
      <c r="AQ413" s="3">
        <v>7.5</v>
      </c>
      <c r="AR413" s="3">
        <v>6.5</v>
      </c>
      <c r="AS413" s="3">
        <v>19.399999999999999</v>
      </c>
      <c r="AT413" s="3">
        <v>28.6</v>
      </c>
      <c r="AU413" s="3">
        <v>8.6999999999999993</v>
      </c>
      <c r="AV413" s="3">
        <v>8.6999999999999993</v>
      </c>
      <c r="AW413" s="3">
        <v>9.1999999999999993</v>
      </c>
      <c r="AX413" s="3">
        <v>9.4</v>
      </c>
      <c r="AY413" s="3">
        <v>9.6</v>
      </c>
      <c r="AZ413" s="3">
        <v>0</v>
      </c>
      <c r="BA413" s="3">
        <v>0</v>
      </c>
      <c r="BB413" s="3">
        <v>0</v>
      </c>
      <c r="BC413" s="3">
        <v>30.630832463043546</v>
      </c>
      <c r="BD413" s="3">
        <v>17.669167536956451</v>
      </c>
      <c r="BE413" s="3">
        <v>13.369167536956454</v>
      </c>
      <c r="BF413" s="3">
        <v>15.729167536956453</v>
      </c>
      <c r="BG413" s="3">
        <v>8.9558342036231195</v>
      </c>
      <c r="BH413" s="3">
        <v>13.895834203623124</v>
      </c>
      <c r="BI413" s="3">
        <v>5.8091675369564513</v>
      </c>
      <c r="BJ413" s="3">
        <v>7.5025008702897864</v>
      </c>
      <c r="BK413" s="3">
        <v>14.475834203623116</v>
      </c>
      <c r="BL413" s="3">
        <v>14.749167536956456</v>
      </c>
      <c r="BM413" s="3">
        <v>10.082500870289792</v>
      </c>
      <c r="BN413" s="3">
        <v>12.765834203623122</v>
      </c>
      <c r="BO413" s="3">
        <v>11.032500870289788</v>
      </c>
      <c r="BP413" s="3">
        <v>11.649167536956455</v>
      </c>
      <c r="BQ413" s="3">
        <v>10.765834203623115</v>
      </c>
      <c r="BR413" s="3">
        <v>7.392500870289787</v>
      </c>
      <c r="BS413" s="3">
        <v>7.2958342036231159</v>
      </c>
      <c r="BT413" s="3">
        <v>7.7925008702897856</v>
      </c>
      <c r="BU413" s="3">
        <v>7.459167536956457</v>
      </c>
      <c r="BV413" s="3">
        <v>7.1758342036231184</v>
      </c>
      <c r="BW413" s="3">
        <v>7.9091675369564598</v>
      </c>
      <c r="BX413" s="3">
        <v>6.8291675369564615</v>
      </c>
      <c r="BY413" s="3">
        <v>19.549167536956446</v>
      </c>
      <c r="BZ413" s="3">
        <v>28.879167536956459</v>
      </c>
      <c r="CA413" s="3">
        <v>9.0791675369564473</v>
      </c>
      <c r="CB413" s="3">
        <v>8.5158342036231147</v>
      </c>
      <c r="CC413" s="3">
        <v>9.229167536956453</v>
      </c>
      <c r="CD413" s="3">
        <v>8.7358342036231278</v>
      </c>
      <c r="CE413" s="3">
        <v>9.1291675369564516</v>
      </c>
      <c r="CF413" s="3">
        <v>-0.85749912971021303</v>
      </c>
      <c r="CG413" s="3">
        <v>-1.3908324630435445</v>
      </c>
      <c r="CH413" s="3">
        <v>-2.4674991297102125</v>
      </c>
      <c r="CI413" s="13">
        <f>[1]!dbasum(RecData[[#This Row],[20]:[2000]],RecData[[#Headers],[20]:[2000]])</f>
        <v>16.875099121993227</v>
      </c>
      <c r="CJ413" s="14">
        <v>4865</v>
      </c>
      <c r="CK413" s="15" t="s">
        <v>249</v>
      </c>
      <c r="CL413" s="15">
        <f>RecData[[#This Row],[Start Time]]</f>
        <v>43262.055555555562</v>
      </c>
      <c r="CM413" s="16">
        <f>RecData[[#This Row],[Wind Speed avg]]</f>
        <v>0.28000000000000003</v>
      </c>
      <c r="CN413" s="16">
        <f>RecData[[#This Row],[Wind Dir. avg]]</f>
        <v>112.9</v>
      </c>
      <c r="CO413" s="16">
        <f>RecData[[#This Row],[Amb. Humidity]]</f>
        <v>89</v>
      </c>
      <c r="CP413" s="16">
        <f>RecData[[#This Row],[Amb. Temperature]]</f>
        <v>8.9</v>
      </c>
      <c r="CQ413" s="17">
        <f>RecData[[#This Row],[Amb. Rain Gauge]]</f>
        <v>0</v>
      </c>
      <c r="CR413" s="4" t="s">
        <v>50</v>
      </c>
      <c r="CS413" s="4" t="s">
        <v>49</v>
      </c>
      <c r="CT413" s="70">
        <v>-9.5240688319999993</v>
      </c>
      <c r="CU413" s="70">
        <v>203.28128050000001</v>
      </c>
      <c r="CV413" s="70">
        <v>0.39625492699999998</v>
      </c>
      <c r="CW413" s="70">
        <v>0</v>
      </c>
      <c r="CX413" s="4"/>
      <c r="CY413" s="69"/>
      <c r="CZ413" s="2" t="b">
        <f>IF($DP$1="YES",IF(RecData[[#This Row],[Power (kW)]]&gt;=$CR$3, TRUE,FALSE),TRUE)</f>
        <v>0</v>
      </c>
      <c r="DA413" s="16">
        <f>MIN(MOD(180-ABS(ABS($DA$1-RecData[Yaw Angle (°)])-180),360),MOD(180-ABS(ABS($DB$1-RecData[Yaw Angle (°)])-180),360))</f>
        <v>164.24864627768756</v>
      </c>
      <c r="DB413" s="2" t="str">
        <f>IF($DP$2="None","None",IF(RecData[[#This Row],[Relative Wind Direction]]&lt;=45,"DW",IF(RecData[[#This Row],[Relative Wind Direction]]&lt;=135,"CW","UW")))</f>
        <v>UW</v>
      </c>
      <c r="DC413" s="61">
        <f>IF($CL413-$CL409&gt;1/24,#REF!,IF(SUM($CQ409:$CQ413)&gt;$DS$1,$DS$5,DC414-1))</f>
        <v>-6</v>
      </c>
      <c r="DD413" s="61">
        <f>IF($CL414-$CL413&gt;1/24,#REF!,IF(SUM($CQ409:$CQ413)&gt;$DS$1,$DS$6,DD412-1))</f>
        <v>-5</v>
      </c>
      <c r="DE413" s="18" t="b">
        <v>0</v>
      </c>
      <c r="DF413" s="2" t="b">
        <f>IF(OR(RecData[[#This Row],[WSpd_Avg '[m/s']]]-RecData[[#This Row],[Wind Speed min]]&gt;=$DF$3,RecData[[#This Row],[Wind Speed max]]-RecData[[#This Row],[WSpd_Avg '[m/s']]]&gt;=$DF$2),TRUE,FALSE)</f>
        <v>0</v>
      </c>
      <c r="DG413" s="2" t="b">
        <f>RecData[[#This Row],[Temperature '[°C']]]&lt;=-20</f>
        <v>0</v>
      </c>
      <c r="DH413" s="18" t="b">
        <f>NOT(OR(MOD(RecData[[#This Row],[TIMESTAMP]],1)&gt;0.91632,MOD(RecData[[#This Row],[TIMESTAMP]],1)&lt;0.208681))</f>
        <v>0</v>
      </c>
      <c r="DI413" s="18" t="b">
        <f>RecData[[#This Row],[Overall (dBA)]]-RecData[[#This Row],[L90]]&gt;=$DS$4</f>
        <v>0</v>
      </c>
      <c r="DJ413" s="18" t="b">
        <f>RecData[[#This Row],[Overall (dBA)]]&gt;$DS$2</f>
        <v>0</v>
      </c>
      <c r="DK413" s="18" t="b">
        <f>RecData[[#This Row],[Overall (dBA)]]&lt;$DS$3</f>
        <v>0</v>
      </c>
      <c r="DL4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3" s="2">
        <f>IF(AND(RecData[[#This Row],[Turbines ON/OFF]] = "OFF", NOT(OR(RecData[[#This Row],[Junk?]]="YES",RecData[[#This Row],[Gust?]],RecData[[#This Row],[Rain?]:[Min SPL Threshold?]]))),1,0)</f>
        <v>1</v>
      </c>
      <c r="DN413" s="16">
        <f>RecData[[#This Row],[dBA Sum]]</f>
        <v>16.875099121993227</v>
      </c>
      <c r="DO413" s="16">
        <f>RecData[[#This Row],[LAF90.0]]</f>
        <v>26</v>
      </c>
      <c r="DP413" s="55" t="str">
        <f>IF(AND(RecData[[#This Row],[Useable TON Data?]],RecData[[#This Row],[Turbines ON/OFF]]="ON"),RecData[[#This Row],[dBA Sum]],"")</f>
        <v/>
      </c>
      <c r="DQ413" s="55">
        <f>IF(AND(RecData[[#This Row],[Useable Background Data?]],RecData[[#This Row],[Turbines ON/OFF]]="OFF"),RecData[[#This Row],[dBA Sum]],"")</f>
        <v>16.875099121993227</v>
      </c>
      <c r="DR413" s="3">
        <f>IF(OR(RecData[[#This Row],[Useable TON Data?]],RecData[[#This Row],[Useable Background Data?]]),ROUND(RecData[[#This Row],[WSpd_Avg '[m/s']]],0),"")</f>
        <v>0</v>
      </c>
      <c r="DS413" s="85">
        <f>(0.00002)^2*(10^(RecData[[#This Row],[Overall (dBA)]]/10))</f>
        <v>1.9479145587393323E-8</v>
      </c>
    </row>
    <row r="414" spans="1:123" ht="15" x14ac:dyDescent="0.25">
      <c r="A414" s="3" t="s">
        <v>249</v>
      </c>
      <c r="B414" s="12">
        <v>43262.056250000001</v>
      </c>
      <c r="C414" s="3"/>
      <c r="D414" s="3">
        <v>30.7</v>
      </c>
      <c r="E414" s="3"/>
      <c r="F414" s="3"/>
      <c r="G414" s="3"/>
      <c r="H414" s="3"/>
      <c r="I414" s="3"/>
      <c r="J414" s="3"/>
      <c r="K414" s="3">
        <v>24.5</v>
      </c>
      <c r="L414" s="3"/>
      <c r="M414" s="3"/>
      <c r="N414" s="3">
        <v>144.1</v>
      </c>
      <c r="O414" s="3"/>
      <c r="P414" s="3"/>
      <c r="Q414" s="3">
        <v>0.2</v>
      </c>
      <c r="R414" s="3">
        <v>0.1</v>
      </c>
      <c r="S414" s="3">
        <v>0.3</v>
      </c>
      <c r="T414" s="3">
        <v>8.9</v>
      </c>
      <c r="U414" s="3">
        <v>89</v>
      </c>
      <c r="V414" s="3">
        <v>974.2</v>
      </c>
      <c r="W414" s="3">
        <v>0</v>
      </c>
      <c r="X414" s="3">
        <v>17.399999999999999</v>
      </c>
      <c r="Y414" s="3">
        <v>13.2</v>
      </c>
      <c r="Z414" s="3">
        <v>17.7</v>
      </c>
      <c r="AA414" s="3">
        <v>10.6</v>
      </c>
      <c r="AB414" s="3">
        <v>10.7</v>
      </c>
      <c r="AC414" s="3">
        <v>5.2</v>
      </c>
      <c r="AD414" s="3">
        <v>6.2</v>
      </c>
      <c r="AE414" s="3">
        <v>9.4</v>
      </c>
      <c r="AF414" s="3">
        <v>14</v>
      </c>
      <c r="AG414" s="3">
        <v>7.9</v>
      </c>
      <c r="AH414" s="3">
        <v>9.6</v>
      </c>
      <c r="AI414" s="3">
        <v>10.3</v>
      </c>
      <c r="AJ414" s="3">
        <v>10.199999999999999</v>
      </c>
      <c r="AK414" s="3">
        <v>9</v>
      </c>
      <c r="AL414" s="3">
        <v>6.7</v>
      </c>
      <c r="AM414" s="3">
        <v>7.1</v>
      </c>
      <c r="AN414" s="3">
        <v>7.6</v>
      </c>
      <c r="AO414" s="3">
        <v>7.2</v>
      </c>
      <c r="AP414" s="3">
        <v>7.1</v>
      </c>
      <c r="AQ414" s="3">
        <v>7.2</v>
      </c>
      <c r="AR414" s="3">
        <v>6.5</v>
      </c>
      <c r="AS414" s="3">
        <v>20.9</v>
      </c>
      <c r="AT414" s="3">
        <v>28.4</v>
      </c>
      <c r="AU414" s="3">
        <v>8.6</v>
      </c>
      <c r="AV414" s="3">
        <v>8.6999999999999993</v>
      </c>
      <c r="AW414" s="3">
        <v>9.1999999999999993</v>
      </c>
      <c r="AX414" s="3">
        <v>9.4</v>
      </c>
      <c r="AY414" s="3">
        <v>9.6</v>
      </c>
      <c r="AZ414" s="3">
        <v>0</v>
      </c>
      <c r="BA414" s="3">
        <v>0</v>
      </c>
      <c r="BB414" s="3">
        <v>0</v>
      </c>
      <c r="BC414" s="3">
        <v>30.628112778112001</v>
      </c>
      <c r="BD414" s="3">
        <v>17.471887221887993</v>
      </c>
      <c r="BE414" s="3">
        <v>13.271887221887997</v>
      </c>
      <c r="BF414" s="3">
        <v>16.531887221887995</v>
      </c>
      <c r="BG414" s="3">
        <v>9.7585538885546619</v>
      </c>
      <c r="BH414" s="3">
        <v>9.9985538885546639</v>
      </c>
      <c r="BI414" s="3">
        <v>4.9118872218879979</v>
      </c>
      <c r="BJ414" s="3">
        <v>6.7052205552213273</v>
      </c>
      <c r="BK414" s="3">
        <v>9.778553888554665</v>
      </c>
      <c r="BL414" s="3">
        <v>13.951887221887997</v>
      </c>
      <c r="BM414" s="3">
        <v>7.9852205552213356</v>
      </c>
      <c r="BN414" s="3">
        <v>9.9685538885546627</v>
      </c>
      <c r="BO414" s="3">
        <v>10.035220555221333</v>
      </c>
      <c r="BP414" s="3">
        <v>9.6518872218879999</v>
      </c>
      <c r="BQ414" s="3">
        <v>8.8685538885546542</v>
      </c>
      <c r="BR414" s="3">
        <v>6.8952205552213321</v>
      </c>
      <c r="BS414" s="3">
        <v>7.0985538885546653</v>
      </c>
      <c r="BT414" s="3">
        <v>7.7952205552213307</v>
      </c>
      <c r="BU414" s="3">
        <v>7.3618872218880007</v>
      </c>
      <c r="BV414" s="3">
        <v>6.9785538885546679</v>
      </c>
      <c r="BW414" s="3">
        <v>7.6118872218880007</v>
      </c>
      <c r="BX414" s="3">
        <v>6.8318872218880067</v>
      </c>
      <c r="BY414" s="3">
        <v>21.051887221887991</v>
      </c>
      <c r="BZ414" s="3">
        <v>28.681887221888001</v>
      </c>
      <c r="CA414" s="3">
        <v>8.981887221887991</v>
      </c>
      <c r="CB414" s="3">
        <v>8.5185538885546599</v>
      </c>
      <c r="CC414" s="3">
        <v>9.2318872218879982</v>
      </c>
      <c r="CD414" s="3">
        <v>8.738553888554673</v>
      </c>
      <c r="CE414" s="3">
        <v>9.1318872218879967</v>
      </c>
      <c r="CF414" s="3">
        <v>-0.85477944477866785</v>
      </c>
      <c r="CG414" s="3">
        <v>-1.3881127781119993</v>
      </c>
      <c r="CH414" s="3">
        <v>-2.4647794447786673</v>
      </c>
      <c r="CI414" s="13">
        <f>[1]!dbasum(RecData[[#This Row],[20]:[2000]],RecData[[#Headers],[20]:[2000]])</f>
        <v>16.350658630360829</v>
      </c>
      <c r="CJ414" s="14">
        <v>4866</v>
      </c>
      <c r="CK414" s="15" t="s">
        <v>249</v>
      </c>
      <c r="CL414" s="15">
        <f>RecData[[#This Row],[Start Time]]</f>
        <v>43262.056250000001</v>
      </c>
      <c r="CM414" s="16">
        <f>RecData[[#This Row],[Wind Speed avg]]</f>
        <v>0.2</v>
      </c>
      <c r="CN414" s="16">
        <f>RecData[[#This Row],[Wind Dir. avg]]</f>
        <v>144.1</v>
      </c>
      <c r="CO414" s="16">
        <f>RecData[[#This Row],[Amb. Humidity]]</f>
        <v>89</v>
      </c>
      <c r="CP414" s="16">
        <f>RecData[[#This Row],[Amb. Temperature]]</f>
        <v>8.9</v>
      </c>
      <c r="CQ414" s="17">
        <f>RecData[[#This Row],[Amb. Rain Gauge]]</f>
        <v>0</v>
      </c>
      <c r="CR414" s="4" t="s">
        <v>50</v>
      </c>
      <c r="CS414" s="4" t="s">
        <v>49</v>
      </c>
      <c r="CT414" s="70">
        <v>-9.4847869869999997</v>
      </c>
      <c r="CU414" s="70">
        <v>200.28179929999999</v>
      </c>
      <c r="CV414" s="70">
        <v>0.53826647999999999</v>
      </c>
      <c r="CW414" s="70">
        <v>0</v>
      </c>
      <c r="CX414" s="4"/>
      <c r="CY414" s="69"/>
      <c r="CZ414" s="2" t="b">
        <f>IF($DP$1="YES",IF(RecData[[#This Row],[Power (kW)]]&gt;=$CR$3, TRUE,FALSE),TRUE)</f>
        <v>0</v>
      </c>
      <c r="DA414" s="16">
        <f>MIN(MOD(180-ABS(ABS($DA$1-RecData[Yaw Angle (°)])-180),360),MOD(180-ABS(ABS($DB$1-RecData[Yaw Angle (°)])-180),360))</f>
        <v>167.24812747768755</v>
      </c>
      <c r="DB414" s="2" t="str">
        <f>IF($DP$2="None","None",IF(RecData[[#This Row],[Relative Wind Direction]]&lt;=45,"DW",IF(RecData[[#This Row],[Relative Wind Direction]]&lt;=135,"CW","UW")))</f>
        <v>UW</v>
      </c>
      <c r="DC414" s="61">
        <f>IF($CL414-$CL410&gt;1/24,#REF!,IF(SUM($CQ410:$CQ414)&gt;$DS$1,$DS$5,DC415-1))</f>
        <v>-5</v>
      </c>
      <c r="DD414" s="61">
        <f>IF($CL415-$CL414&gt;1/24,#REF!,IF(SUM($CQ410:$CQ414)&gt;$DS$1,$DS$6,DD413-1))</f>
        <v>-6</v>
      </c>
      <c r="DE414" s="18" t="b">
        <v>0</v>
      </c>
      <c r="DF414" s="2" t="b">
        <f>IF(OR(RecData[[#This Row],[WSpd_Avg '[m/s']]]-RecData[[#This Row],[Wind Speed min]]&gt;=$DF$3,RecData[[#This Row],[Wind Speed max]]-RecData[[#This Row],[WSpd_Avg '[m/s']]]&gt;=$DF$2),TRUE,FALSE)</f>
        <v>0</v>
      </c>
      <c r="DG414" s="2" t="b">
        <f>RecData[[#This Row],[Temperature '[°C']]]&lt;=-20</f>
        <v>0</v>
      </c>
      <c r="DH414" s="18" t="b">
        <f>NOT(OR(MOD(RecData[[#This Row],[TIMESTAMP]],1)&gt;0.91632,MOD(RecData[[#This Row],[TIMESTAMP]],1)&lt;0.208681))</f>
        <v>0</v>
      </c>
      <c r="DI414" s="18" t="b">
        <f>RecData[[#This Row],[Overall (dBA)]]-RecData[[#This Row],[L90]]&gt;=$DS$4</f>
        <v>0</v>
      </c>
      <c r="DJ414" s="18" t="b">
        <f>RecData[[#This Row],[Overall (dBA)]]&gt;$DS$2</f>
        <v>0</v>
      </c>
      <c r="DK414" s="18" t="b">
        <f>RecData[[#This Row],[Overall (dBA)]]&lt;$DS$3</f>
        <v>0</v>
      </c>
      <c r="DL4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4" s="2">
        <f>IF(AND(RecData[[#This Row],[Turbines ON/OFF]] = "OFF", NOT(OR(RecData[[#This Row],[Junk?]]="YES",RecData[[#This Row],[Gust?]],RecData[[#This Row],[Rain?]:[Min SPL Threshold?]]))),1,0)</f>
        <v>1</v>
      </c>
      <c r="DN414" s="16">
        <f>RecData[[#This Row],[dBA Sum]]</f>
        <v>16.350658630360829</v>
      </c>
      <c r="DO414" s="16">
        <f>RecData[[#This Row],[LAF90.0]]</f>
        <v>24.5</v>
      </c>
      <c r="DP414" s="55" t="str">
        <f>IF(AND(RecData[[#This Row],[Useable TON Data?]],RecData[[#This Row],[Turbines ON/OFF]]="ON"),RecData[[#This Row],[dBA Sum]],"")</f>
        <v/>
      </c>
      <c r="DQ414" s="55">
        <f>IF(AND(RecData[[#This Row],[Useable Background Data?]],RecData[[#This Row],[Turbines ON/OFF]]="OFF"),RecData[[#This Row],[dBA Sum]],"")</f>
        <v>16.350658630360829</v>
      </c>
      <c r="DR414" s="3">
        <f>IF(OR(RecData[[#This Row],[Useable TON Data?]],RecData[[#This Row],[Useable Background Data?]]),ROUND(RecData[[#This Row],[WSpd_Avg '[m/s']]],0),"")</f>
        <v>0</v>
      </c>
      <c r="DS414" s="85">
        <f>(0.00002)^2*(10^(RecData[[#This Row],[Overall (dBA)]]/10))</f>
        <v>1.7263380956867351E-8</v>
      </c>
    </row>
    <row r="415" spans="1:123" ht="15" x14ac:dyDescent="0.25">
      <c r="A415" s="3" t="s">
        <v>249</v>
      </c>
      <c r="B415" s="12">
        <v>43262.056944444448</v>
      </c>
      <c r="C415" s="3"/>
      <c r="D415" s="3">
        <v>29.4</v>
      </c>
      <c r="E415" s="3"/>
      <c r="F415" s="3"/>
      <c r="G415" s="3"/>
      <c r="H415" s="3"/>
      <c r="I415" s="3"/>
      <c r="J415" s="3"/>
      <c r="K415" s="3">
        <v>24</v>
      </c>
      <c r="L415" s="3"/>
      <c r="M415" s="3"/>
      <c r="N415" s="3">
        <v>216.6</v>
      </c>
      <c r="O415" s="3"/>
      <c r="P415" s="3"/>
      <c r="Q415" s="3">
        <v>0.27</v>
      </c>
      <c r="R415" s="3">
        <v>0.1</v>
      </c>
      <c r="S415" s="3">
        <v>0.3</v>
      </c>
      <c r="T415" s="3">
        <v>8.8000000000000007</v>
      </c>
      <c r="U415" s="3">
        <v>89.1</v>
      </c>
      <c r="V415" s="3">
        <v>974.2</v>
      </c>
      <c r="W415" s="3">
        <v>0</v>
      </c>
      <c r="X415" s="3">
        <v>15.5</v>
      </c>
      <c r="Y415" s="3">
        <v>12.8</v>
      </c>
      <c r="Z415" s="3">
        <v>16.600000000000001</v>
      </c>
      <c r="AA415" s="3">
        <v>9.1999999999999993</v>
      </c>
      <c r="AB415" s="3">
        <v>10.9</v>
      </c>
      <c r="AC415" s="3">
        <v>5.7</v>
      </c>
      <c r="AD415" s="3">
        <v>6.3</v>
      </c>
      <c r="AE415" s="3">
        <v>11.2</v>
      </c>
      <c r="AF415" s="3">
        <v>13.3</v>
      </c>
      <c r="AG415" s="3">
        <v>8.1</v>
      </c>
      <c r="AH415" s="3">
        <v>9.3000000000000007</v>
      </c>
      <c r="AI415" s="3">
        <v>9.8000000000000007</v>
      </c>
      <c r="AJ415" s="3">
        <v>9.6999999999999993</v>
      </c>
      <c r="AK415" s="3">
        <v>8.4</v>
      </c>
      <c r="AL415" s="3">
        <v>6.2</v>
      </c>
      <c r="AM415" s="3">
        <v>6.3</v>
      </c>
      <c r="AN415" s="3">
        <v>6.9</v>
      </c>
      <c r="AO415" s="3">
        <v>6.7</v>
      </c>
      <c r="AP415" s="3">
        <v>6.6</v>
      </c>
      <c r="AQ415" s="3">
        <v>7.1</v>
      </c>
      <c r="AR415" s="3">
        <v>6.6</v>
      </c>
      <c r="AS415" s="3">
        <v>18.600000000000001</v>
      </c>
      <c r="AT415" s="3">
        <v>27.2</v>
      </c>
      <c r="AU415" s="3">
        <v>8.5</v>
      </c>
      <c r="AV415" s="3">
        <v>8.6</v>
      </c>
      <c r="AW415" s="3">
        <v>9.1999999999999993</v>
      </c>
      <c r="AX415" s="3">
        <v>9.4</v>
      </c>
      <c r="AY415" s="3">
        <v>9.6</v>
      </c>
      <c r="AZ415" s="3">
        <v>0</v>
      </c>
      <c r="BA415" s="3">
        <v>0</v>
      </c>
      <c r="BB415" s="3">
        <v>0</v>
      </c>
      <c r="BC415" s="3">
        <v>29.36459559031691</v>
      </c>
      <c r="BD415" s="3">
        <v>15.535404409683089</v>
      </c>
      <c r="BE415" s="3">
        <v>12.835404409683093</v>
      </c>
      <c r="BF415" s="3">
        <v>15.395404409683088</v>
      </c>
      <c r="BG415" s="3">
        <v>8.3220710763497507</v>
      </c>
      <c r="BH415" s="3">
        <v>10.162071076349761</v>
      </c>
      <c r="BI415" s="3">
        <v>5.3754044096830924</v>
      </c>
      <c r="BJ415" s="3">
        <v>6.7687377430164233</v>
      </c>
      <c r="BK415" s="3">
        <v>11.54207107634975</v>
      </c>
      <c r="BL415" s="3">
        <v>13.215404409683089</v>
      </c>
      <c r="BM415" s="3">
        <v>8.1487377430164258</v>
      </c>
      <c r="BN415" s="3">
        <v>9.6320710763497601</v>
      </c>
      <c r="BO415" s="3">
        <v>9.4987377430164273</v>
      </c>
      <c r="BP415" s="3">
        <v>9.1154044096830873</v>
      </c>
      <c r="BQ415" s="3">
        <v>8.2320710763497473</v>
      </c>
      <c r="BR415" s="3">
        <v>6.3587377430164267</v>
      </c>
      <c r="BS415" s="3">
        <v>6.2620710763497556</v>
      </c>
      <c r="BT415" s="3">
        <v>7.0587377430164224</v>
      </c>
      <c r="BU415" s="3">
        <v>6.8254044096830953</v>
      </c>
      <c r="BV415" s="3">
        <v>6.4420710763497553</v>
      </c>
      <c r="BW415" s="3">
        <v>7.4754044096830938</v>
      </c>
      <c r="BX415" s="3">
        <v>6.8954044096830955</v>
      </c>
      <c r="BY415" s="3">
        <v>18.715404409683089</v>
      </c>
      <c r="BZ415" s="3">
        <v>27.445404409683093</v>
      </c>
      <c r="CA415" s="3">
        <v>8.8454044096830842</v>
      </c>
      <c r="CB415" s="3">
        <v>8.382071076349753</v>
      </c>
      <c r="CC415" s="3">
        <v>9.1954044096830856</v>
      </c>
      <c r="CD415" s="3">
        <v>8.7020710763497604</v>
      </c>
      <c r="CE415" s="3">
        <v>9.0954044096830842</v>
      </c>
      <c r="CF415" s="3">
        <v>-0.89126225698357686</v>
      </c>
      <c r="CG415" s="3">
        <v>-1.4245955903169083</v>
      </c>
      <c r="CH415" s="3">
        <v>-2.5012622569835763</v>
      </c>
      <c r="CI415" s="13">
        <f>[1]!dbasum(RecData[[#This Row],[20]:[2000]],RecData[[#Headers],[20]:[2000]])</f>
        <v>15.94175623626276</v>
      </c>
      <c r="CJ415" s="14">
        <v>4867</v>
      </c>
      <c r="CK415" s="15" t="s">
        <v>249</v>
      </c>
      <c r="CL415" s="15">
        <f>RecData[[#This Row],[Start Time]]</f>
        <v>43262.056944444448</v>
      </c>
      <c r="CM415" s="16">
        <f>RecData[[#This Row],[Wind Speed avg]]</f>
        <v>0.27</v>
      </c>
      <c r="CN415" s="16">
        <f>RecData[[#This Row],[Wind Dir. avg]]</f>
        <v>216.6</v>
      </c>
      <c r="CO415" s="16">
        <f>RecData[[#This Row],[Amb. Humidity]]</f>
        <v>89.1</v>
      </c>
      <c r="CP415" s="16">
        <f>RecData[[#This Row],[Amb. Temperature]]</f>
        <v>8.8000000000000007</v>
      </c>
      <c r="CQ415" s="17">
        <f>RecData[[#This Row],[Amb. Rain Gauge]]</f>
        <v>0</v>
      </c>
      <c r="CR415" s="4" t="s">
        <v>50</v>
      </c>
      <c r="CS415" s="4" t="s">
        <v>49</v>
      </c>
      <c r="CT415" s="70">
        <v>-9.4847869869999997</v>
      </c>
      <c r="CU415" s="70">
        <v>200.28179929999999</v>
      </c>
      <c r="CV415" s="70">
        <v>0.53826647999999999</v>
      </c>
      <c r="CW415" s="70">
        <v>0</v>
      </c>
      <c r="CX415" s="4"/>
      <c r="CY415" s="69"/>
      <c r="CZ415" s="2" t="b">
        <f>IF($DP$1="YES",IF(RecData[[#This Row],[Power (kW)]]&gt;=$CR$3, TRUE,FALSE),TRUE)</f>
        <v>0</v>
      </c>
      <c r="DA415" s="16">
        <f>MIN(MOD(180-ABS(ABS($DA$1-RecData[Yaw Angle (°)])-180),360),MOD(180-ABS(ABS($DB$1-RecData[Yaw Angle (°)])-180),360))</f>
        <v>167.24812747768755</v>
      </c>
      <c r="DB415" s="2" t="str">
        <f>IF($DP$2="None","None",IF(RecData[[#This Row],[Relative Wind Direction]]&lt;=45,"DW",IF(RecData[[#This Row],[Relative Wind Direction]]&lt;=135,"CW","UW")))</f>
        <v>UW</v>
      </c>
      <c r="DC415" s="61">
        <f>IF($CL415-$CL411&gt;1/24,#REF!,IF(SUM($CQ411:$CQ415)&gt;$DS$1,$DS$5,DC416-1))</f>
        <v>-4</v>
      </c>
      <c r="DD415" s="61">
        <f>IF($CL416-$CL415&gt;1/24,#REF!,IF(SUM($CQ411:$CQ415)&gt;$DS$1,$DS$6,DD414-1))</f>
        <v>-7</v>
      </c>
      <c r="DE415" s="18" t="b">
        <v>0</v>
      </c>
      <c r="DF415" s="2" t="b">
        <f>IF(OR(RecData[[#This Row],[WSpd_Avg '[m/s']]]-RecData[[#This Row],[Wind Speed min]]&gt;=$DF$3,RecData[[#This Row],[Wind Speed max]]-RecData[[#This Row],[WSpd_Avg '[m/s']]]&gt;=$DF$2),TRUE,FALSE)</f>
        <v>0</v>
      </c>
      <c r="DG415" s="2" t="b">
        <f>RecData[[#This Row],[Temperature '[°C']]]&lt;=-20</f>
        <v>0</v>
      </c>
      <c r="DH415" s="18" t="b">
        <f>NOT(OR(MOD(RecData[[#This Row],[TIMESTAMP]],1)&gt;0.91632,MOD(RecData[[#This Row],[TIMESTAMP]],1)&lt;0.208681))</f>
        <v>0</v>
      </c>
      <c r="DI415" s="18" t="b">
        <f>RecData[[#This Row],[Overall (dBA)]]-RecData[[#This Row],[L90]]&gt;=$DS$4</f>
        <v>0</v>
      </c>
      <c r="DJ415" s="18" t="b">
        <f>RecData[[#This Row],[Overall (dBA)]]&gt;$DS$2</f>
        <v>0</v>
      </c>
      <c r="DK415" s="18" t="b">
        <f>RecData[[#This Row],[Overall (dBA)]]&lt;$DS$3</f>
        <v>0</v>
      </c>
      <c r="DL4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5" s="2">
        <f>IF(AND(RecData[[#This Row],[Turbines ON/OFF]] = "OFF", NOT(OR(RecData[[#This Row],[Junk?]]="YES",RecData[[#This Row],[Gust?]],RecData[[#This Row],[Rain?]:[Min SPL Threshold?]]))),1,0)</f>
        <v>1</v>
      </c>
      <c r="DN415" s="16">
        <f>RecData[[#This Row],[dBA Sum]]</f>
        <v>15.94175623626276</v>
      </c>
      <c r="DO415" s="16">
        <f>RecData[[#This Row],[LAF90.0]]</f>
        <v>24</v>
      </c>
      <c r="DP415" s="55" t="str">
        <f>IF(AND(RecData[[#This Row],[Useable TON Data?]],RecData[[#This Row],[Turbines ON/OFF]]="ON"),RecData[[#This Row],[dBA Sum]],"")</f>
        <v/>
      </c>
      <c r="DQ415" s="55">
        <f>IF(AND(RecData[[#This Row],[Useable Background Data?]],RecData[[#This Row],[Turbines ON/OFF]]="OFF"),RecData[[#This Row],[dBA Sum]],"")</f>
        <v>15.94175623626276</v>
      </c>
      <c r="DR415" s="3">
        <f>IF(OR(RecData[[#This Row],[Useable TON Data?]],RecData[[#This Row],[Useable Background Data?]]),ROUND(RecData[[#This Row],[WSpd_Avg '[m/s']]],0),"")</f>
        <v>0</v>
      </c>
      <c r="DS415" s="85">
        <f>(0.00002)^2*(10^(RecData[[#This Row],[Overall (dBA)]]/10))</f>
        <v>1.5712149941746871E-8</v>
      </c>
    </row>
    <row r="416" spans="1:123" ht="15" x14ac:dyDescent="0.25">
      <c r="A416" s="3" t="s">
        <v>249</v>
      </c>
      <c r="B416" s="12">
        <v>43262.057638888895</v>
      </c>
      <c r="C416" s="3"/>
      <c r="D416" s="3">
        <v>30.8</v>
      </c>
      <c r="E416" s="3"/>
      <c r="F416" s="3"/>
      <c r="G416" s="3"/>
      <c r="H416" s="3"/>
      <c r="I416" s="3"/>
      <c r="J416" s="3"/>
      <c r="K416" s="3">
        <v>26.4</v>
      </c>
      <c r="L416" s="3"/>
      <c r="M416" s="3"/>
      <c r="N416" s="3">
        <v>223.2</v>
      </c>
      <c r="O416" s="3"/>
      <c r="P416" s="3"/>
      <c r="Q416" s="3">
        <v>0.21</v>
      </c>
      <c r="R416" s="3">
        <v>0.1</v>
      </c>
      <c r="S416" s="3">
        <v>0.3</v>
      </c>
      <c r="T416" s="3">
        <v>8.8000000000000007</v>
      </c>
      <c r="U416" s="3">
        <v>89.2</v>
      </c>
      <c r="V416" s="3">
        <v>974.2</v>
      </c>
      <c r="W416" s="3">
        <v>0</v>
      </c>
      <c r="X416" s="3">
        <v>15.9</v>
      </c>
      <c r="Y416" s="3">
        <v>12.5</v>
      </c>
      <c r="Z416" s="3">
        <v>16.5</v>
      </c>
      <c r="AA416" s="3">
        <v>8.5</v>
      </c>
      <c r="AB416" s="3">
        <v>9.4</v>
      </c>
      <c r="AC416" s="3">
        <v>5.0999999999999996</v>
      </c>
      <c r="AD416" s="3">
        <v>5.8</v>
      </c>
      <c r="AE416" s="3">
        <v>8.9</v>
      </c>
      <c r="AF416" s="3">
        <v>13.2</v>
      </c>
      <c r="AG416" s="3">
        <v>6.6</v>
      </c>
      <c r="AH416" s="3">
        <v>8</v>
      </c>
      <c r="AI416" s="3">
        <v>9</v>
      </c>
      <c r="AJ416" s="3">
        <v>9.6999999999999993</v>
      </c>
      <c r="AK416" s="3">
        <v>8.4</v>
      </c>
      <c r="AL416" s="3">
        <v>6</v>
      </c>
      <c r="AM416" s="3">
        <v>5.9</v>
      </c>
      <c r="AN416" s="3">
        <v>6.7</v>
      </c>
      <c r="AO416" s="3">
        <v>6.6</v>
      </c>
      <c r="AP416" s="3">
        <v>6.4</v>
      </c>
      <c r="AQ416" s="3">
        <v>7.1</v>
      </c>
      <c r="AR416" s="3">
        <v>6.5</v>
      </c>
      <c r="AS416" s="3">
        <v>21.8</v>
      </c>
      <c r="AT416" s="3">
        <v>28.4</v>
      </c>
      <c r="AU416" s="3">
        <v>8.5</v>
      </c>
      <c r="AV416" s="3">
        <v>8.6999999999999993</v>
      </c>
      <c r="AW416" s="3">
        <v>9.1999999999999993</v>
      </c>
      <c r="AX416" s="3">
        <v>9.4</v>
      </c>
      <c r="AY416" s="3">
        <v>9.6</v>
      </c>
      <c r="AZ416" s="3">
        <v>0</v>
      </c>
      <c r="BA416" s="3">
        <v>0</v>
      </c>
      <c r="BB416" s="3">
        <v>0</v>
      </c>
      <c r="BC416" s="3">
        <v>30.748961837300168</v>
      </c>
      <c r="BD416" s="3">
        <v>15.951038162699835</v>
      </c>
      <c r="BE416" s="3">
        <v>12.551038162699829</v>
      </c>
      <c r="BF416" s="3">
        <v>15.311038162699834</v>
      </c>
      <c r="BG416" s="3">
        <v>7.6377048293664949</v>
      </c>
      <c r="BH416" s="3">
        <v>8.6777048293665011</v>
      </c>
      <c r="BI416" s="3">
        <v>4.7910381626998308</v>
      </c>
      <c r="BJ416" s="3">
        <v>6.2843714960331631</v>
      </c>
      <c r="BK416" s="3">
        <v>9.2577048293664923</v>
      </c>
      <c r="BL416" s="3">
        <v>13.131038162699834</v>
      </c>
      <c r="BM416" s="3">
        <v>6.6643714960331657</v>
      </c>
      <c r="BN416" s="3">
        <v>8.3477048293664957</v>
      </c>
      <c r="BO416" s="3">
        <v>8.71437149603317</v>
      </c>
      <c r="BP416" s="3">
        <v>9.1310381626998343</v>
      </c>
      <c r="BQ416" s="3">
        <v>8.2477048293664872</v>
      </c>
      <c r="BR416" s="3">
        <v>6.1743714960331637</v>
      </c>
      <c r="BS416" s="3">
        <v>5.8777048293664969</v>
      </c>
      <c r="BT416" s="3">
        <v>6.8743714960331666</v>
      </c>
      <c r="BU416" s="3">
        <v>6.7410381626998337</v>
      </c>
      <c r="BV416" s="3">
        <v>6.2577048293664994</v>
      </c>
      <c r="BW416" s="3">
        <v>7.4910381626998337</v>
      </c>
      <c r="BX416" s="3">
        <v>6.811038162699834</v>
      </c>
      <c r="BY416" s="3">
        <v>21.931038162699831</v>
      </c>
      <c r="BZ416" s="3">
        <v>28.661038162699835</v>
      </c>
      <c r="CA416" s="3">
        <v>8.861038162699824</v>
      </c>
      <c r="CB416" s="3">
        <v>8.4977048293664943</v>
      </c>
      <c r="CC416" s="3">
        <v>9.2110381626998326</v>
      </c>
      <c r="CD416" s="3">
        <v>8.7177048293665003</v>
      </c>
      <c r="CE416" s="3">
        <v>9.1110381626998311</v>
      </c>
      <c r="CF416" s="3">
        <v>-0.87562850396683345</v>
      </c>
      <c r="CG416" s="3">
        <v>-1.4089618373001649</v>
      </c>
      <c r="CH416" s="3">
        <v>-2.4856285039668329</v>
      </c>
      <c r="CI416" s="13">
        <f>[1]!dbasum(RecData[[#This Row],[20]:[2000]],RecData[[#Headers],[20]:[2000]])</f>
        <v>15.778720297166487</v>
      </c>
      <c r="CJ416" s="14">
        <v>4868</v>
      </c>
      <c r="CK416" s="15" t="s">
        <v>249</v>
      </c>
      <c r="CL416" s="15">
        <f>RecData[[#This Row],[Start Time]]</f>
        <v>43262.057638888895</v>
      </c>
      <c r="CM416" s="16">
        <f>RecData[[#This Row],[Wind Speed avg]]</f>
        <v>0.21</v>
      </c>
      <c r="CN416" s="16">
        <f>RecData[[#This Row],[Wind Dir. avg]]</f>
        <v>223.2</v>
      </c>
      <c r="CO416" s="16">
        <f>RecData[[#This Row],[Amb. Humidity]]</f>
        <v>89.2</v>
      </c>
      <c r="CP416" s="16">
        <f>RecData[[#This Row],[Amb. Temperature]]</f>
        <v>8.8000000000000007</v>
      </c>
      <c r="CQ416" s="17">
        <f>RecData[[#This Row],[Amb. Rain Gauge]]</f>
        <v>0</v>
      </c>
      <c r="CR416" s="4" t="s">
        <v>50</v>
      </c>
      <c r="CS416" s="4" t="s">
        <v>49</v>
      </c>
      <c r="CT416" s="70">
        <v>-9.4847869869999997</v>
      </c>
      <c r="CU416" s="70">
        <v>200.28179929999999</v>
      </c>
      <c r="CV416" s="70">
        <v>0.53826647999999999</v>
      </c>
      <c r="CW416" s="70">
        <v>0</v>
      </c>
      <c r="CX416" s="4"/>
      <c r="CY416" s="69"/>
      <c r="CZ416" s="2" t="b">
        <f>IF($DP$1="YES",IF(RecData[[#This Row],[Power (kW)]]&gt;=$CR$3, TRUE,FALSE),TRUE)</f>
        <v>0</v>
      </c>
      <c r="DA416" s="16">
        <f>MIN(MOD(180-ABS(ABS($DA$1-RecData[Yaw Angle (°)])-180),360),MOD(180-ABS(ABS($DB$1-RecData[Yaw Angle (°)])-180),360))</f>
        <v>167.24812747768755</v>
      </c>
      <c r="DB416" s="2" t="str">
        <f>IF($DP$2="None","None",IF(RecData[[#This Row],[Relative Wind Direction]]&lt;=45,"DW",IF(RecData[[#This Row],[Relative Wind Direction]]&lt;=135,"CW","UW")))</f>
        <v>UW</v>
      </c>
      <c r="DC416" s="61">
        <f>IF($CL416-$CL412&gt;1/24,#REF!,IF(SUM($CQ412:$CQ416)&gt;$DS$1,$DS$5,DC417-1))</f>
        <v>-3</v>
      </c>
      <c r="DD416" s="61">
        <f>IF($CL417-$CL416&gt;1/24,#REF!,IF(SUM($CQ412:$CQ416)&gt;$DS$1,$DS$6,DD415-1))</f>
        <v>-8</v>
      </c>
      <c r="DE416" s="18" t="b">
        <v>0</v>
      </c>
      <c r="DF416" s="2" t="b">
        <f>IF(OR(RecData[[#This Row],[WSpd_Avg '[m/s']]]-RecData[[#This Row],[Wind Speed min]]&gt;=$DF$3,RecData[[#This Row],[Wind Speed max]]-RecData[[#This Row],[WSpd_Avg '[m/s']]]&gt;=$DF$2),TRUE,FALSE)</f>
        <v>0</v>
      </c>
      <c r="DG416" s="2" t="b">
        <f>RecData[[#This Row],[Temperature '[°C']]]&lt;=-20</f>
        <v>0</v>
      </c>
      <c r="DH416" s="18" t="b">
        <f>NOT(OR(MOD(RecData[[#This Row],[TIMESTAMP]],1)&gt;0.91632,MOD(RecData[[#This Row],[TIMESTAMP]],1)&lt;0.208681))</f>
        <v>0</v>
      </c>
      <c r="DI416" s="18" t="b">
        <f>RecData[[#This Row],[Overall (dBA)]]-RecData[[#This Row],[L90]]&gt;=$DS$4</f>
        <v>0</v>
      </c>
      <c r="DJ416" s="18" t="b">
        <f>RecData[[#This Row],[Overall (dBA)]]&gt;$DS$2</f>
        <v>0</v>
      </c>
      <c r="DK416" s="18" t="b">
        <f>RecData[[#This Row],[Overall (dBA)]]&lt;$DS$3</f>
        <v>0</v>
      </c>
      <c r="DL4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6" s="2">
        <f>IF(AND(RecData[[#This Row],[Turbines ON/OFF]] = "OFF", NOT(OR(RecData[[#This Row],[Junk?]]="YES",RecData[[#This Row],[Gust?]],RecData[[#This Row],[Rain?]:[Min SPL Threshold?]]))),1,0)</f>
        <v>1</v>
      </c>
      <c r="DN416" s="16">
        <f>RecData[[#This Row],[dBA Sum]]</f>
        <v>15.778720297166487</v>
      </c>
      <c r="DO416" s="16">
        <f>RecData[[#This Row],[LAF90.0]]</f>
        <v>26.4</v>
      </c>
      <c r="DP416" s="55" t="str">
        <f>IF(AND(RecData[[#This Row],[Useable TON Data?]],RecData[[#This Row],[Turbines ON/OFF]]="ON"),RecData[[#This Row],[dBA Sum]],"")</f>
        <v/>
      </c>
      <c r="DQ416" s="55">
        <f>IF(AND(RecData[[#This Row],[Useable Background Data?]],RecData[[#This Row],[Turbines ON/OFF]]="OFF"),RecData[[#This Row],[dBA Sum]],"")</f>
        <v>15.778720297166487</v>
      </c>
      <c r="DR416" s="3">
        <f>IF(OR(RecData[[#This Row],[Useable TON Data?]],RecData[[#This Row],[Useable Background Data?]]),ROUND(RecData[[#This Row],[WSpd_Avg '[m/s']]],0),"")</f>
        <v>0</v>
      </c>
      <c r="DS416" s="85">
        <f>(0.00002)^2*(10^(RecData[[#This Row],[Overall (dBA)]]/10))</f>
        <v>1.5133243532770024E-8</v>
      </c>
    </row>
    <row r="417" spans="1:123" ht="15" x14ac:dyDescent="0.25">
      <c r="A417" s="3" t="s">
        <v>249</v>
      </c>
      <c r="B417" s="12">
        <v>43262.058333333342</v>
      </c>
      <c r="C417" s="3"/>
      <c r="D417" s="3">
        <v>32.6</v>
      </c>
      <c r="E417" s="3"/>
      <c r="F417" s="3"/>
      <c r="G417" s="3"/>
      <c r="H417" s="3"/>
      <c r="I417" s="3"/>
      <c r="J417" s="3"/>
      <c r="K417" s="3">
        <v>29</v>
      </c>
      <c r="L417" s="3"/>
      <c r="M417" s="3"/>
      <c r="N417" s="3">
        <v>252.3</v>
      </c>
      <c r="O417" s="3"/>
      <c r="P417" s="3"/>
      <c r="Q417" s="3">
        <v>0.13</v>
      </c>
      <c r="R417" s="3">
        <v>0</v>
      </c>
      <c r="S417" s="3">
        <v>0.3</v>
      </c>
      <c r="T417" s="3">
        <v>8.8000000000000007</v>
      </c>
      <c r="U417" s="3">
        <v>89.2</v>
      </c>
      <c r="V417" s="3">
        <v>974.2</v>
      </c>
      <c r="W417" s="3">
        <v>0</v>
      </c>
      <c r="X417" s="3">
        <v>16.600000000000001</v>
      </c>
      <c r="Y417" s="3">
        <v>14.6</v>
      </c>
      <c r="Z417" s="3">
        <v>15.9</v>
      </c>
      <c r="AA417" s="3">
        <v>8.8000000000000007</v>
      </c>
      <c r="AB417" s="3">
        <v>9.1</v>
      </c>
      <c r="AC417" s="3">
        <v>5.3</v>
      </c>
      <c r="AD417" s="3">
        <v>5.9</v>
      </c>
      <c r="AE417" s="3">
        <v>8.1999999999999993</v>
      </c>
      <c r="AF417" s="3">
        <v>12.4</v>
      </c>
      <c r="AG417" s="3">
        <v>6.9</v>
      </c>
      <c r="AH417" s="3">
        <v>8.1</v>
      </c>
      <c r="AI417" s="3">
        <v>8.9</v>
      </c>
      <c r="AJ417" s="3">
        <v>10.5</v>
      </c>
      <c r="AK417" s="3">
        <v>8.9</v>
      </c>
      <c r="AL417" s="3">
        <v>6.8</v>
      </c>
      <c r="AM417" s="3">
        <v>7.7</v>
      </c>
      <c r="AN417" s="3">
        <v>9.1999999999999993</v>
      </c>
      <c r="AO417" s="3">
        <v>8</v>
      </c>
      <c r="AP417" s="3">
        <v>7</v>
      </c>
      <c r="AQ417" s="3">
        <v>7.6</v>
      </c>
      <c r="AR417" s="3">
        <v>6.9</v>
      </c>
      <c r="AS417" s="3">
        <v>24.3</v>
      </c>
      <c r="AT417" s="3">
        <v>30.1</v>
      </c>
      <c r="AU417" s="3">
        <v>9.1</v>
      </c>
      <c r="AV417" s="3">
        <v>8.8000000000000007</v>
      </c>
      <c r="AW417" s="3">
        <v>9.1999999999999993</v>
      </c>
      <c r="AX417" s="3">
        <v>9.4</v>
      </c>
      <c r="AY417" s="3">
        <v>9.6</v>
      </c>
      <c r="AZ417" s="3">
        <v>0</v>
      </c>
      <c r="BA417" s="3">
        <v>0</v>
      </c>
      <c r="BB417" s="3">
        <v>0</v>
      </c>
      <c r="BC417" s="3">
        <v>32.536403624190598</v>
      </c>
      <c r="BD417" s="3">
        <v>16.663596375809405</v>
      </c>
      <c r="BE417" s="3">
        <v>14.663596375809405</v>
      </c>
      <c r="BF417" s="3">
        <v>14.723596375809407</v>
      </c>
      <c r="BG417" s="3">
        <v>7.9502630424760667</v>
      </c>
      <c r="BH417" s="3">
        <v>8.3902630424760716</v>
      </c>
      <c r="BI417" s="3">
        <v>5.0035963758094013</v>
      </c>
      <c r="BJ417" s="3">
        <v>6.3969297091427393</v>
      </c>
      <c r="BK417" s="3">
        <v>8.5702630424760642</v>
      </c>
      <c r="BL417" s="3">
        <v>12.343596375809405</v>
      </c>
      <c r="BM417" s="3">
        <v>6.9769297091427376</v>
      </c>
      <c r="BN417" s="3">
        <v>8.4602630424760719</v>
      </c>
      <c r="BO417" s="3">
        <v>8.6269297091427433</v>
      </c>
      <c r="BP417" s="3">
        <v>9.9435963758094061</v>
      </c>
      <c r="BQ417" s="3">
        <v>8.7602630424760619</v>
      </c>
      <c r="BR417" s="3">
        <v>6.9869297091427356</v>
      </c>
      <c r="BS417" s="3">
        <v>7.6902630424760687</v>
      </c>
      <c r="BT417" s="3">
        <v>9.3869297091427342</v>
      </c>
      <c r="BU417" s="3">
        <v>8.153596375809407</v>
      </c>
      <c r="BV417" s="3">
        <v>6.8702630424760684</v>
      </c>
      <c r="BW417" s="3">
        <v>8.0035963758094084</v>
      </c>
      <c r="BX417" s="3">
        <v>7.2235963758094073</v>
      </c>
      <c r="BY417" s="3">
        <v>24.443596375809406</v>
      </c>
      <c r="BZ417" s="3">
        <v>30.373596375809413</v>
      </c>
      <c r="CA417" s="3">
        <v>9.4735963758093931</v>
      </c>
      <c r="CB417" s="3">
        <v>8.6102630424760704</v>
      </c>
      <c r="CC417" s="3">
        <v>9.2235963758094002</v>
      </c>
      <c r="CD417" s="3">
        <v>8.730263042476075</v>
      </c>
      <c r="CE417" s="3">
        <v>9.1235963758093988</v>
      </c>
      <c r="CF417" s="3">
        <v>-0.86307029085726228</v>
      </c>
      <c r="CG417" s="3">
        <v>-1.3964036241905937</v>
      </c>
      <c r="CH417" s="3">
        <v>-2.4730702908572617</v>
      </c>
      <c r="CI417" s="13">
        <f>[1]!dbasum(RecData[[#This Row],[20]:[2000]],RecData[[#Headers],[20]:[2000]])</f>
        <v>16.749899452422163</v>
      </c>
      <c r="CJ417" s="14">
        <v>4869</v>
      </c>
      <c r="CK417" s="15" t="s">
        <v>249</v>
      </c>
      <c r="CL417" s="15">
        <f>RecData[[#This Row],[Start Time]]</f>
        <v>43262.058333333342</v>
      </c>
      <c r="CM417" s="16">
        <f>RecData[[#This Row],[Wind Speed avg]]</f>
        <v>0.13</v>
      </c>
      <c r="CN417" s="16">
        <f>RecData[[#This Row],[Wind Dir. avg]]</f>
        <v>252.3</v>
      </c>
      <c r="CO417" s="16">
        <f>RecData[[#This Row],[Amb. Humidity]]</f>
        <v>89.2</v>
      </c>
      <c r="CP417" s="16">
        <f>RecData[[#This Row],[Amb. Temperature]]</f>
        <v>8.8000000000000007</v>
      </c>
      <c r="CQ417" s="17">
        <f>RecData[[#This Row],[Amb. Rain Gauge]]</f>
        <v>0</v>
      </c>
      <c r="CR417" s="4" t="s">
        <v>50</v>
      </c>
      <c r="CS417" s="4" t="s">
        <v>49</v>
      </c>
      <c r="CT417" s="70">
        <v>-9.4847869869999997</v>
      </c>
      <c r="CU417" s="70">
        <v>200.28179929999999</v>
      </c>
      <c r="CV417" s="70">
        <v>0.53826647999999999</v>
      </c>
      <c r="CW417" s="70">
        <v>0</v>
      </c>
      <c r="CX417" s="4"/>
      <c r="CY417" s="69"/>
      <c r="CZ417" s="2" t="b">
        <f>IF($DP$1="YES",IF(RecData[[#This Row],[Power (kW)]]&gt;=$CR$3, TRUE,FALSE),TRUE)</f>
        <v>0</v>
      </c>
      <c r="DA417" s="16">
        <f>MIN(MOD(180-ABS(ABS($DA$1-RecData[Yaw Angle (°)])-180),360),MOD(180-ABS(ABS($DB$1-RecData[Yaw Angle (°)])-180),360))</f>
        <v>167.24812747768755</v>
      </c>
      <c r="DB417" s="2" t="str">
        <f>IF($DP$2="None","None",IF(RecData[[#This Row],[Relative Wind Direction]]&lt;=45,"DW",IF(RecData[[#This Row],[Relative Wind Direction]]&lt;=135,"CW","UW")))</f>
        <v>UW</v>
      </c>
      <c r="DC417" s="61">
        <f>IF($CL417-$CL413&gt;1/24,#REF!,IF(SUM($CQ413:$CQ417)&gt;$DS$1,$DS$5,DC418-1))</f>
        <v>-2</v>
      </c>
      <c r="DD417" s="61">
        <f>IF($CL418-$CL417&gt;1/24,#REF!,IF(SUM($CQ413:$CQ417)&gt;$DS$1,$DS$6,DD416-1))</f>
        <v>-9</v>
      </c>
      <c r="DE417" s="18" t="b">
        <v>0</v>
      </c>
      <c r="DF417" s="2" t="b">
        <f>IF(OR(RecData[[#This Row],[WSpd_Avg '[m/s']]]-RecData[[#This Row],[Wind Speed min]]&gt;=$DF$3,RecData[[#This Row],[Wind Speed max]]-RecData[[#This Row],[WSpd_Avg '[m/s']]]&gt;=$DF$2),TRUE,FALSE)</f>
        <v>0</v>
      </c>
      <c r="DG417" s="2" t="b">
        <f>RecData[[#This Row],[Temperature '[°C']]]&lt;=-20</f>
        <v>0</v>
      </c>
      <c r="DH417" s="18" t="b">
        <f>NOT(OR(MOD(RecData[[#This Row],[TIMESTAMP]],1)&gt;0.91632,MOD(RecData[[#This Row],[TIMESTAMP]],1)&lt;0.208681))</f>
        <v>0</v>
      </c>
      <c r="DI417" s="18" t="b">
        <f>RecData[[#This Row],[Overall (dBA)]]-RecData[[#This Row],[L90]]&gt;=$DS$4</f>
        <v>0</v>
      </c>
      <c r="DJ417" s="18" t="b">
        <f>RecData[[#This Row],[Overall (dBA)]]&gt;$DS$2</f>
        <v>0</v>
      </c>
      <c r="DK417" s="18" t="b">
        <f>RecData[[#This Row],[Overall (dBA)]]&lt;$DS$3</f>
        <v>0</v>
      </c>
      <c r="DL4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7" s="2">
        <f>IF(AND(RecData[[#This Row],[Turbines ON/OFF]] = "OFF", NOT(OR(RecData[[#This Row],[Junk?]]="YES",RecData[[#This Row],[Gust?]],RecData[[#This Row],[Rain?]:[Min SPL Threshold?]]))),1,0)</f>
        <v>1</v>
      </c>
      <c r="DN417" s="16">
        <f>RecData[[#This Row],[dBA Sum]]</f>
        <v>16.749899452422163</v>
      </c>
      <c r="DO417" s="16">
        <f>RecData[[#This Row],[LAF90.0]]</f>
        <v>29</v>
      </c>
      <c r="DP417" s="55" t="str">
        <f>IF(AND(RecData[[#This Row],[Useable TON Data?]],RecData[[#This Row],[Turbines ON/OFF]]="ON"),RecData[[#This Row],[dBA Sum]],"")</f>
        <v/>
      </c>
      <c r="DQ417" s="55">
        <f>IF(AND(RecData[[#This Row],[Useable Background Data?]],RecData[[#This Row],[Turbines ON/OFF]]="OFF"),RecData[[#This Row],[dBA Sum]],"")</f>
        <v>16.749899452422163</v>
      </c>
      <c r="DR417" s="3">
        <f>IF(OR(RecData[[#This Row],[Useable TON Data?]],RecData[[#This Row],[Useable Background Data?]]),ROUND(RecData[[#This Row],[WSpd_Avg '[m/s']]],0),"")</f>
        <v>0</v>
      </c>
      <c r="DS417" s="85">
        <f>(0.00002)^2*(10^(RecData[[#This Row],[Overall (dBA)]]/10))</f>
        <v>1.8925612188836465E-8</v>
      </c>
    </row>
    <row r="418" spans="1:123" ht="15" x14ac:dyDescent="0.25">
      <c r="A418" s="3" t="s">
        <v>249</v>
      </c>
      <c r="B418" s="12">
        <v>43262.059027777781</v>
      </c>
      <c r="C418" s="3"/>
      <c r="D418" s="3">
        <v>28.9</v>
      </c>
      <c r="E418" s="3"/>
      <c r="F418" s="3"/>
      <c r="G418" s="3"/>
      <c r="H418" s="3"/>
      <c r="I418" s="3"/>
      <c r="J418" s="3"/>
      <c r="K418" s="3">
        <v>21.7</v>
      </c>
      <c r="L418" s="3"/>
      <c r="M418" s="3"/>
      <c r="N418" s="3">
        <v>178.7</v>
      </c>
      <c r="O418" s="3"/>
      <c r="P418" s="3"/>
      <c r="Q418" s="3">
        <v>0.18</v>
      </c>
      <c r="R418" s="3">
        <v>0.1</v>
      </c>
      <c r="S418" s="3">
        <v>0.3</v>
      </c>
      <c r="T418" s="3">
        <v>8.8000000000000007</v>
      </c>
      <c r="U418" s="3">
        <v>89.3</v>
      </c>
      <c r="V418" s="3">
        <v>974.2</v>
      </c>
      <c r="W418" s="3">
        <v>0</v>
      </c>
      <c r="X418" s="3">
        <v>15</v>
      </c>
      <c r="Y418" s="3">
        <v>12.6</v>
      </c>
      <c r="Z418" s="3">
        <v>16.2</v>
      </c>
      <c r="AA418" s="3">
        <v>9.1999999999999993</v>
      </c>
      <c r="AB418" s="3">
        <v>9.6</v>
      </c>
      <c r="AC418" s="3">
        <v>7</v>
      </c>
      <c r="AD418" s="3">
        <v>6.4</v>
      </c>
      <c r="AE418" s="3">
        <v>8.6999999999999993</v>
      </c>
      <c r="AF418" s="3">
        <v>13.4</v>
      </c>
      <c r="AG418" s="3">
        <v>7.5</v>
      </c>
      <c r="AH418" s="3">
        <v>9.3000000000000007</v>
      </c>
      <c r="AI418" s="3">
        <v>9</v>
      </c>
      <c r="AJ418" s="3">
        <v>10.6</v>
      </c>
      <c r="AK418" s="3">
        <v>9.1</v>
      </c>
      <c r="AL418" s="3">
        <v>6.7</v>
      </c>
      <c r="AM418" s="3">
        <v>6.9</v>
      </c>
      <c r="AN418" s="3">
        <v>7.4</v>
      </c>
      <c r="AO418" s="3">
        <v>7.1</v>
      </c>
      <c r="AP418" s="3">
        <v>6.6</v>
      </c>
      <c r="AQ418" s="3">
        <v>6.8</v>
      </c>
      <c r="AR418" s="3">
        <v>6.4</v>
      </c>
      <c r="AS418" s="3">
        <v>18.5</v>
      </c>
      <c r="AT418" s="3">
        <v>26.6</v>
      </c>
      <c r="AU418" s="3">
        <v>8.1</v>
      </c>
      <c r="AV418" s="3">
        <v>8.6</v>
      </c>
      <c r="AW418" s="3">
        <v>9.1</v>
      </c>
      <c r="AX418" s="3">
        <v>9.3000000000000007</v>
      </c>
      <c r="AY418" s="3">
        <v>9.6</v>
      </c>
      <c r="AZ418" s="3">
        <v>0</v>
      </c>
      <c r="BA418" s="3">
        <v>0</v>
      </c>
      <c r="BB418" s="3">
        <v>0</v>
      </c>
      <c r="BC418" s="3">
        <v>28.88065046292915</v>
      </c>
      <c r="BD418" s="3">
        <v>15.019349537070848</v>
      </c>
      <c r="BE418" s="3">
        <v>12.61934953707085</v>
      </c>
      <c r="BF418" s="3">
        <v>14.979349537070849</v>
      </c>
      <c r="BG418" s="3">
        <v>8.30601620373751</v>
      </c>
      <c r="BH418" s="3">
        <v>8.8460162037375163</v>
      </c>
      <c r="BI418" s="3">
        <v>6.6593495370708489</v>
      </c>
      <c r="BJ418" s="3">
        <v>6.852682870404184</v>
      </c>
      <c r="BK418" s="3">
        <v>9.0260162037375089</v>
      </c>
      <c r="BL418" s="3">
        <v>13.299349537070849</v>
      </c>
      <c r="BM418" s="3">
        <v>7.5326828704041837</v>
      </c>
      <c r="BN418" s="3">
        <v>9.6160162037375194</v>
      </c>
      <c r="BO418" s="3">
        <v>8.6826828704041823</v>
      </c>
      <c r="BP418" s="3">
        <v>9.9993495370708452</v>
      </c>
      <c r="BQ418" s="3">
        <v>8.9160162037375024</v>
      </c>
      <c r="BR418" s="3">
        <v>6.842682870404186</v>
      </c>
      <c r="BS418" s="3">
        <v>6.8460162037375163</v>
      </c>
      <c r="BT418" s="3">
        <v>7.5426828704041817</v>
      </c>
      <c r="BU418" s="3">
        <v>7.2093495370708531</v>
      </c>
      <c r="BV418" s="3">
        <v>6.4260162037375146</v>
      </c>
      <c r="BW418" s="3">
        <v>7.1593495370708489</v>
      </c>
      <c r="BX418" s="3">
        <v>6.679349537070852</v>
      </c>
      <c r="BY418" s="3">
        <v>18.599349537070847</v>
      </c>
      <c r="BZ418" s="3">
        <v>26.829349537070858</v>
      </c>
      <c r="CA418" s="3">
        <v>8.4293495370708378</v>
      </c>
      <c r="CB418" s="3">
        <v>8.3660162037375123</v>
      </c>
      <c r="CC418" s="3">
        <v>9.0793495370708435</v>
      </c>
      <c r="CD418" s="3">
        <v>8.5860162037375183</v>
      </c>
      <c r="CE418" s="3">
        <v>9.0793495370708435</v>
      </c>
      <c r="CF418" s="3">
        <v>-0.90731712959581756</v>
      </c>
      <c r="CG418" s="3">
        <v>-1.440650462929149</v>
      </c>
      <c r="CH418" s="3">
        <v>-2.517317129595817</v>
      </c>
      <c r="CI418" s="13">
        <f>[1]!dbasum(RecData[[#This Row],[20]:[2000]],RecData[[#Headers],[20]:[2000]])</f>
        <v>16.073621052125265</v>
      </c>
      <c r="CJ418" s="14">
        <v>4870</v>
      </c>
      <c r="CK418" s="15" t="s">
        <v>249</v>
      </c>
      <c r="CL418" s="15">
        <f>RecData[[#This Row],[Start Time]]</f>
        <v>43262.059027777781</v>
      </c>
      <c r="CM418" s="16">
        <f>RecData[[#This Row],[Wind Speed avg]]</f>
        <v>0.18</v>
      </c>
      <c r="CN418" s="16">
        <f>RecData[[#This Row],[Wind Dir. avg]]</f>
        <v>178.7</v>
      </c>
      <c r="CO418" s="16">
        <f>RecData[[#This Row],[Amb. Humidity]]</f>
        <v>89.3</v>
      </c>
      <c r="CP418" s="16">
        <f>RecData[[#This Row],[Amb. Temperature]]</f>
        <v>8.8000000000000007</v>
      </c>
      <c r="CQ418" s="17">
        <f>RecData[[#This Row],[Amb. Rain Gauge]]</f>
        <v>0</v>
      </c>
      <c r="CR418" s="4" t="s">
        <v>50</v>
      </c>
      <c r="CS418" s="4" t="s">
        <v>49</v>
      </c>
      <c r="CT418" s="70">
        <v>-9.4847869869999997</v>
      </c>
      <c r="CU418" s="70">
        <v>200.28179929999999</v>
      </c>
      <c r="CV418" s="70">
        <v>0.53826647999999999</v>
      </c>
      <c r="CW418" s="70">
        <v>0</v>
      </c>
      <c r="CX418" s="4"/>
      <c r="CY418" s="69"/>
      <c r="CZ418" s="2" t="b">
        <f>IF($DP$1="YES",IF(RecData[[#This Row],[Power (kW)]]&gt;=$CR$3, TRUE,FALSE),TRUE)</f>
        <v>0</v>
      </c>
      <c r="DA418" s="16">
        <f>MIN(MOD(180-ABS(ABS($DA$1-RecData[Yaw Angle (°)])-180),360),MOD(180-ABS(ABS($DB$1-RecData[Yaw Angle (°)])-180),360))</f>
        <v>167.24812747768755</v>
      </c>
      <c r="DB418" s="2" t="str">
        <f>IF($DP$2="None","None",IF(RecData[[#This Row],[Relative Wind Direction]]&lt;=45,"DW",IF(RecData[[#This Row],[Relative Wind Direction]]&lt;=135,"CW","UW")))</f>
        <v>UW</v>
      </c>
      <c r="DC418" s="61">
        <v>-1</v>
      </c>
      <c r="DD418" s="61">
        <v>-1</v>
      </c>
      <c r="DE418" s="18" t="b">
        <v>0</v>
      </c>
      <c r="DF418" s="2" t="b">
        <f>IF(OR(RecData[[#This Row],[WSpd_Avg '[m/s']]]-RecData[[#This Row],[Wind Speed min]]&gt;=$DF$3,RecData[[#This Row],[Wind Speed max]]-RecData[[#This Row],[WSpd_Avg '[m/s']]]&gt;=$DF$2),TRUE,FALSE)</f>
        <v>0</v>
      </c>
      <c r="DG418" s="2" t="b">
        <f>RecData[[#This Row],[Temperature '[°C']]]&lt;=-20</f>
        <v>0</v>
      </c>
      <c r="DH418" s="18" t="b">
        <f>NOT(OR(MOD(RecData[[#This Row],[TIMESTAMP]],1)&gt;0.91632,MOD(RecData[[#This Row],[TIMESTAMP]],1)&lt;0.208681))</f>
        <v>0</v>
      </c>
      <c r="DI418" s="18" t="b">
        <f>RecData[[#This Row],[Overall (dBA)]]-RecData[[#This Row],[L90]]&gt;=$DS$4</f>
        <v>0</v>
      </c>
      <c r="DJ418" s="18" t="b">
        <f>RecData[[#This Row],[Overall (dBA)]]&gt;$DS$2</f>
        <v>0</v>
      </c>
      <c r="DK418" s="18" t="b">
        <f>RecData[[#This Row],[Overall (dBA)]]&lt;$DS$3</f>
        <v>0</v>
      </c>
      <c r="DL4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8" s="2">
        <f>IF(AND(RecData[[#This Row],[Turbines ON/OFF]] = "OFF", NOT(OR(RecData[[#This Row],[Junk?]]="YES",RecData[[#This Row],[Gust?]],RecData[[#This Row],[Rain?]:[Min SPL Threshold?]]))),1,0)</f>
        <v>1</v>
      </c>
      <c r="DN418" s="16">
        <f>RecData[[#This Row],[dBA Sum]]</f>
        <v>16.073621052125265</v>
      </c>
      <c r="DO418" s="16">
        <f>RecData[[#This Row],[LAF90.0]]</f>
        <v>21.7</v>
      </c>
      <c r="DP418" s="55" t="str">
        <f>IF(AND(RecData[[#This Row],[Useable TON Data?]],RecData[[#This Row],[Turbines ON/OFF]]="ON"),RecData[[#This Row],[dBA Sum]],"")</f>
        <v/>
      </c>
      <c r="DQ418" s="55">
        <f>IF(AND(RecData[[#This Row],[Useable Background Data?]],RecData[[#This Row],[Turbines ON/OFF]]="OFF"),RecData[[#This Row],[dBA Sum]],"")</f>
        <v>16.073621052125265</v>
      </c>
      <c r="DR418" s="3">
        <f>IF(OR(RecData[[#This Row],[Useable TON Data?]],RecData[[#This Row],[Useable Background Data?]]),ROUND(RecData[[#This Row],[WSpd_Avg '[m/s']]],0),"")</f>
        <v>0</v>
      </c>
      <c r="DS418" s="85">
        <f>(0.00002)^2*(10^(RecData[[#This Row],[Overall (dBA)]]/10))</f>
        <v>1.619653435472644E-8</v>
      </c>
    </row>
    <row r="419" spans="1:123" ht="15" x14ac:dyDescent="0.25">
      <c r="A419" s="3" t="s">
        <v>249</v>
      </c>
      <c r="B419" s="12">
        <v>43262.059722222228</v>
      </c>
      <c r="C419" s="3"/>
      <c r="D419" s="3">
        <v>31.9</v>
      </c>
      <c r="E419" s="3"/>
      <c r="F419" s="3"/>
      <c r="G419" s="3"/>
      <c r="H419" s="3"/>
      <c r="I419" s="3"/>
      <c r="J419" s="3"/>
      <c r="K419" s="3">
        <v>28.4</v>
      </c>
      <c r="L419" s="3"/>
      <c r="M419" s="3"/>
      <c r="N419" s="3">
        <v>142.19999999999999</v>
      </c>
      <c r="O419" s="3"/>
      <c r="P419" s="3"/>
      <c r="Q419" s="3">
        <v>0.44</v>
      </c>
      <c r="R419" s="3">
        <v>0.2</v>
      </c>
      <c r="S419" s="3">
        <v>0.6</v>
      </c>
      <c r="T419" s="3">
        <v>8.8000000000000007</v>
      </c>
      <c r="U419" s="3">
        <v>89.6</v>
      </c>
      <c r="V419" s="3">
        <v>974.2</v>
      </c>
      <c r="W419" s="3">
        <v>0</v>
      </c>
      <c r="X419" s="3">
        <v>14.6</v>
      </c>
      <c r="Y419" s="3">
        <v>12.5</v>
      </c>
      <c r="Z419" s="3">
        <v>16.600000000000001</v>
      </c>
      <c r="AA419" s="3">
        <v>8.1999999999999993</v>
      </c>
      <c r="AB419" s="3">
        <v>10.199999999999999</v>
      </c>
      <c r="AC419" s="3">
        <v>6.7</v>
      </c>
      <c r="AD419" s="3">
        <v>7.1</v>
      </c>
      <c r="AE419" s="3">
        <v>10.3</v>
      </c>
      <c r="AF419" s="3">
        <v>14.8</v>
      </c>
      <c r="AG419" s="3">
        <v>8.5</v>
      </c>
      <c r="AH419" s="3">
        <v>8.4</v>
      </c>
      <c r="AI419" s="3">
        <v>8.6999999999999993</v>
      </c>
      <c r="AJ419" s="3">
        <v>10</v>
      </c>
      <c r="AK419" s="3">
        <v>8.3000000000000007</v>
      </c>
      <c r="AL419" s="3">
        <v>6.2</v>
      </c>
      <c r="AM419" s="3">
        <v>6.4</v>
      </c>
      <c r="AN419" s="3">
        <v>6.9</v>
      </c>
      <c r="AO419" s="3">
        <v>6.5</v>
      </c>
      <c r="AP419" s="3">
        <v>6.6</v>
      </c>
      <c r="AQ419" s="3">
        <v>7.4</v>
      </c>
      <c r="AR419" s="3">
        <v>6.7</v>
      </c>
      <c r="AS419" s="3">
        <v>24.6</v>
      </c>
      <c r="AT419" s="3">
        <v>29.1</v>
      </c>
      <c r="AU419" s="3">
        <v>8.8000000000000007</v>
      </c>
      <c r="AV419" s="3">
        <v>8.8000000000000007</v>
      </c>
      <c r="AW419" s="3">
        <v>9.3000000000000007</v>
      </c>
      <c r="AX419" s="3">
        <v>9.4</v>
      </c>
      <c r="AY419" s="3">
        <v>9.6</v>
      </c>
      <c r="AZ419" s="3">
        <v>0</v>
      </c>
      <c r="BA419" s="3">
        <v>0</v>
      </c>
      <c r="BB419" s="3">
        <v>0</v>
      </c>
      <c r="BC419" s="3">
        <v>31.858337409568446</v>
      </c>
      <c r="BD419" s="3">
        <v>14.641662590431554</v>
      </c>
      <c r="BE419" s="3">
        <v>12.541662590431553</v>
      </c>
      <c r="BF419" s="3">
        <v>15.401662590431553</v>
      </c>
      <c r="BG419" s="3">
        <v>7.3283292570982148</v>
      </c>
      <c r="BH419" s="3">
        <v>9.4683292570982225</v>
      </c>
      <c r="BI419" s="3">
        <v>6.3816625904315565</v>
      </c>
      <c r="BJ419" s="3">
        <v>7.5749959237648845</v>
      </c>
      <c r="BK419" s="3">
        <v>10.648329257098215</v>
      </c>
      <c r="BL419" s="3">
        <v>14.721662590431553</v>
      </c>
      <c r="BM419" s="3">
        <v>8.5549959237648885</v>
      </c>
      <c r="BN419" s="3">
        <v>8.7383292570982185</v>
      </c>
      <c r="BO419" s="3">
        <v>8.4049959237648899</v>
      </c>
      <c r="BP419" s="3">
        <v>9.4216625904315556</v>
      </c>
      <c r="BQ419" s="3">
        <v>8.13832925709821</v>
      </c>
      <c r="BR419" s="3">
        <v>6.3649959237648908</v>
      </c>
      <c r="BS419" s="3">
        <v>6.3683292570982211</v>
      </c>
      <c r="BT419" s="3">
        <v>7.0649959237648865</v>
      </c>
      <c r="BU419" s="3">
        <v>6.6316625904315565</v>
      </c>
      <c r="BV419" s="3">
        <v>6.4483292570982194</v>
      </c>
      <c r="BW419" s="3">
        <v>7.7816625904315551</v>
      </c>
      <c r="BX419" s="3">
        <v>7.001662590431561</v>
      </c>
      <c r="BY419" s="3">
        <v>24.721662590431553</v>
      </c>
      <c r="BZ419" s="3">
        <v>29.351662590431562</v>
      </c>
      <c r="CA419" s="3">
        <v>9.1516625904315454</v>
      </c>
      <c r="CB419" s="3">
        <v>8.5883292570982199</v>
      </c>
      <c r="CC419" s="3">
        <v>9.3016625904315511</v>
      </c>
      <c r="CD419" s="3">
        <v>8.7083292570982245</v>
      </c>
      <c r="CE419" s="3">
        <v>9.1016625904315482</v>
      </c>
      <c r="CF419" s="3">
        <v>-0.88500407623511279</v>
      </c>
      <c r="CG419" s="3">
        <v>-1.4183374095684442</v>
      </c>
      <c r="CH419" s="3">
        <v>-2.4950040762351122</v>
      </c>
      <c r="CI419" s="13">
        <f>[1]!dbasum(RecData[[#This Row],[20]:[2000]],RecData[[#Headers],[20]:[2000]])</f>
        <v>15.989193584577038</v>
      </c>
      <c r="CJ419" s="14">
        <v>4871</v>
      </c>
      <c r="CK419" s="15" t="s">
        <v>249</v>
      </c>
      <c r="CL419" s="15">
        <f>RecData[[#This Row],[Start Time]]</f>
        <v>43262.059722222228</v>
      </c>
      <c r="CM419" s="16">
        <f>RecData[[#This Row],[Wind Speed avg]]</f>
        <v>0.44</v>
      </c>
      <c r="CN419" s="16">
        <f>RecData[[#This Row],[Wind Dir. avg]]</f>
        <v>142.19999999999999</v>
      </c>
      <c r="CO419" s="16">
        <f>RecData[[#This Row],[Amb. Humidity]]</f>
        <v>89.6</v>
      </c>
      <c r="CP419" s="16">
        <f>RecData[[#This Row],[Amb. Temperature]]</f>
        <v>8.8000000000000007</v>
      </c>
      <c r="CQ419" s="17">
        <f>RecData[[#This Row],[Amb. Rain Gauge]]</f>
        <v>0</v>
      </c>
      <c r="CR419" s="4" t="s">
        <v>50</v>
      </c>
      <c r="CS419" s="4" t="s">
        <v>49</v>
      </c>
      <c r="CT419" s="70">
        <v>-9.4847869869999997</v>
      </c>
      <c r="CU419" s="70">
        <v>200.28179929999999</v>
      </c>
      <c r="CV419" s="70">
        <v>0.53826647999999999</v>
      </c>
      <c r="CW419" s="70">
        <v>0</v>
      </c>
      <c r="CX419" s="4"/>
      <c r="CY419" s="69"/>
      <c r="CZ419" s="2" t="b">
        <f>IF($DP$1="YES",IF(RecData[[#This Row],[Power (kW)]]&gt;=$CR$3, TRUE,FALSE),TRUE)</f>
        <v>0</v>
      </c>
      <c r="DA419" s="16">
        <f>MIN(MOD(180-ABS(ABS($DA$1-RecData[Yaw Angle (°)])-180),360),MOD(180-ABS(ABS($DB$1-RecData[Yaw Angle (°)])-180),360))</f>
        <v>167.24812747768755</v>
      </c>
      <c r="DB419" s="2" t="str">
        <f>IF($DP$2="None","None",IF(RecData[[#This Row],[Relative Wind Direction]]&lt;=45,"DW",IF(RecData[[#This Row],[Relative Wind Direction]]&lt;=135,"CW","UW")))</f>
        <v>UW</v>
      </c>
      <c r="DC419" s="61">
        <f>IF($CL419-$CL418&gt;1/24,#REF!,IF(SUM($CQ418:$CQ419)&gt;$DS$1,$DS$5,DC420-1))</f>
        <v>-9</v>
      </c>
      <c r="DD419" s="61">
        <f>IF($CL420-$CL419&gt;1/24,#REF!,IF(SUM($CQ418:$CQ419)&gt;$DS$1,$DS$6,DD418-1))</f>
        <v>-2</v>
      </c>
      <c r="DE419" s="18" t="b">
        <v>0</v>
      </c>
      <c r="DF419" s="2" t="b">
        <f>IF(OR(RecData[[#This Row],[WSpd_Avg '[m/s']]]-RecData[[#This Row],[Wind Speed min]]&gt;=$DF$3,RecData[[#This Row],[Wind Speed max]]-RecData[[#This Row],[WSpd_Avg '[m/s']]]&gt;=$DF$2),TRUE,FALSE)</f>
        <v>0</v>
      </c>
      <c r="DG419" s="2" t="b">
        <f>RecData[[#This Row],[Temperature '[°C']]]&lt;=-20</f>
        <v>0</v>
      </c>
      <c r="DH419" s="18" t="b">
        <f>NOT(OR(MOD(RecData[[#This Row],[TIMESTAMP]],1)&gt;0.91632,MOD(RecData[[#This Row],[TIMESTAMP]],1)&lt;0.208681))</f>
        <v>0</v>
      </c>
      <c r="DI419" s="18" t="b">
        <f>RecData[[#This Row],[Overall (dBA)]]-RecData[[#This Row],[L90]]&gt;=$DS$4</f>
        <v>0</v>
      </c>
      <c r="DJ419" s="18" t="b">
        <f>RecData[[#This Row],[Overall (dBA)]]&gt;$DS$2</f>
        <v>0</v>
      </c>
      <c r="DK419" s="18" t="b">
        <f>RecData[[#This Row],[Overall (dBA)]]&lt;$DS$3</f>
        <v>0</v>
      </c>
      <c r="DL4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19" s="2">
        <f>IF(AND(RecData[[#This Row],[Turbines ON/OFF]] = "OFF", NOT(OR(RecData[[#This Row],[Junk?]]="YES",RecData[[#This Row],[Gust?]],RecData[[#This Row],[Rain?]:[Min SPL Threshold?]]))),1,0)</f>
        <v>1</v>
      </c>
      <c r="DN419" s="16">
        <f>RecData[[#This Row],[dBA Sum]]</f>
        <v>15.989193584577038</v>
      </c>
      <c r="DO419" s="16">
        <f>RecData[[#This Row],[LAF90.0]]</f>
        <v>28.4</v>
      </c>
      <c r="DP419" s="55" t="str">
        <f>IF(AND(RecData[[#This Row],[Useable TON Data?]],RecData[[#This Row],[Turbines ON/OFF]]="ON"),RecData[[#This Row],[dBA Sum]],"")</f>
        <v/>
      </c>
      <c r="DQ419" s="55">
        <f>IF(AND(RecData[[#This Row],[Useable Background Data?]],RecData[[#This Row],[Turbines ON/OFF]]="OFF"),RecData[[#This Row],[dBA Sum]],"")</f>
        <v>15.989193584577038</v>
      </c>
      <c r="DR419" s="3">
        <f>IF(OR(RecData[[#This Row],[Useable TON Data?]],RecData[[#This Row],[Useable Background Data?]]),ROUND(RecData[[#This Row],[WSpd_Avg '[m/s']]],0),"")</f>
        <v>0</v>
      </c>
      <c r="DS419" s="85">
        <f>(0.00002)^2*(10^(RecData[[#This Row],[Overall (dBA)]]/10))</f>
        <v>1.5884712167816398E-8</v>
      </c>
    </row>
    <row r="420" spans="1:123" ht="15" x14ac:dyDescent="0.25">
      <c r="A420" s="3" t="s">
        <v>249</v>
      </c>
      <c r="B420" s="12">
        <v>43262.060416666674</v>
      </c>
      <c r="C420" s="3"/>
      <c r="D420" s="3">
        <v>29.1</v>
      </c>
      <c r="E420" s="3"/>
      <c r="F420" s="3"/>
      <c r="G420" s="3"/>
      <c r="H420" s="3"/>
      <c r="I420" s="3"/>
      <c r="J420" s="3"/>
      <c r="K420" s="3">
        <v>21.7</v>
      </c>
      <c r="L420" s="3"/>
      <c r="M420" s="3"/>
      <c r="N420" s="3">
        <v>143.80000000000001</v>
      </c>
      <c r="O420" s="3"/>
      <c r="P420" s="3"/>
      <c r="Q420" s="3">
        <v>0.5</v>
      </c>
      <c r="R420" s="3">
        <v>0.3</v>
      </c>
      <c r="S420" s="3">
        <v>0.7</v>
      </c>
      <c r="T420" s="3">
        <v>8.8000000000000007</v>
      </c>
      <c r="U420" s="3">
        <v>89.8</v>
      </c>
      <c r="V420" s="3">
        <v>974.2</v>
      </c>
      <c r="W420" s="3">
        <v>0</v>
      </c>
      <c r="X420" s="3">
        <v>15</v>
      </c>
      <c r="Y420" s="3">
        <v>13.1</v>
      </c>
      <c r="Z420" s="3">
        <v>17.600000000000001</v>
      </c>
      <c r="AA420" s="3">
        <v>8.8000000000000007</v>
      </c>
      <c r="AB420" s="3">
        <v>11.5</v>
      </c>
      <c r="AC420" s="3">
        <v>6</v>
      </c>
      <c r="AD420" s="3">
        <v>7</v>
      </c>
      <c r="AE420" s="3">
        <v>11.1</v>
      </c>
      <c r="AF420" s="3">
        <v>14.1</v>
      </c>
      <c r="AG420" s="3">
        <v>8.5</v>
      </c>
      <c r="AH420" s="3">
        <v>9.3000000000000007</v>
      </c>
      <c r="AI420" s="3">
        <v>10.199999999999999</v>
      </c>
      <c r="AJ420" s="3">
        <v>10.3</v>
      </c>
      <c r="AK420" s="3">
        <v>8.9</v>
      </c>
      <c r="AL420" s="3">
        <v>6.3</v>
      </c>
      <c r="AM420" s="3">
        <v>6.6</v>
      </c>
      <c r="AN420" s="3">
        <v>7</v>
      </c>
      <c r="AO420" s="3">
        <v>6.9</v>
      </c>
      <c r="AP420" s="3">
        <v>6.7</v>
      </c>
      <c r="AQ420" s="3">
        <v>7.2</v>
      </c>
      <c r="AR420" s="3">
        <v>6.8</v>
      </c>
      <c r="AS420" s="3">
        <v>18.899999999999999</v>
      </c>
      <c r="AT420" s="3">
        <v>26.9</v>
      </c>
      <c r="AU420" s="3">
        <v>8.5</v>
      </c>
      <c r="AV420" s="3">
        <v>8.6999999999999993</v>
      </c>
      <c r="AW420" s="3">
        <v>9.1999999999999993</v>
      </c>
      <c r="AX420" s="3">
        <v>9.4</v>
      </c>
      <c r="AY420" s="3">
        <v>9.6</v>
      </c>
      <c r="AZ420" s="3">
        <v>0</v>
      </c>
      <c r="BA420" s="3">
        <v>0</v>
      </c>
      <c r="BB420" s="3">
        <v>0</v>
      </c>
      <c r="BC420" s="3">
        <v>29.174130262149141</v>
      </c>
      <c r="BD420" s="3">
        <v>14.92586973785086</v>
      </c>
      <c r="BE420" s="3">
        <v>13.025869737850861</v>
      </c>
      <c r="BF420" s="3">
        <v>16.285869737850867</v>
      </c>
      <c r="BG420" s="3">
        <v>7.8125364045175232</v>
      </c>
      <c r="BH420" s="3">
        <v>10.652536404517527</v>
      </c>
      <c r="BI420" s="3">
        <v>5.5658697378508606</v>
      </c>
      <c r="BJ420" s="3">
        <v>7.35920307118419</v>
      </c>
      <c r="BK420" s="3">
        <v>11.332536404517519</v>
      </c>
      <c r="BL420" s="3">
        <v>13.905869737850857</v>
      </c>
      <c r="BM420" s="3">
        <v>8.4392030711841954</v>
      </c>
      <c r="BN420" s="3">
        <v>9.5225364045175311</v>
      </c>
      <c r="BO420" s="3">
        <v>9.7892030711841969</v>
      </c>
      <c r="BP420" s="3">
        <v>9.6058697378508597</v>
      </c>
      <c r="BQ420" s="3">
        <v>8.6225364045175183</v>
      </c>
      <c r="BR420" s="3">
        <v>6.349203071184192</v>
      </c>
      <c r="BS420" s="3">
        <v>6.4525364045175237</v>
      </c>
      <c r="BT420" s="3">
        <v>7.0492030711841949</v>
      </c>
      <c r="BU420" s="3">
        <v>6.915869737850862</v>
      </c>
      <c r="BV420" s="3">
        <v>6.4325364045175277</v>
      </c>
      <c r="BW420" s="3">
        <v>7.4658697378508663</v>
      </c>
      <c r="BX420" s="3">
        <v>6.9858697378508623</v>
      </c>
      <c r="BY420" s="3">
        <v>18.905869737850857</v>
      </c>
      <c r="BZ420" s="3">
        <v>27.035869737850867</v>
      </c>
      <c r="CA420" s="3">
        <v>8.7358697378508552</v>
      </c>
      <c r="CB420" s="3">
        <v>8.3725364045175255</v>
      </c>
      <c r="CC420" s="3">
        <v>9.0858697378508566</v>
      </c>
      <c r="CD420" s="3">
        <v>8.5925364045175314</v>
      </c>
      <c r="CE420" s="3">
        <v>8.9858697378508552</v>
      </c>
      <c r="CF420" s="3">
        <v>-1.0007969288158058</v>
      </c>
      <c r="CG420" s="3">
        <v>-1.5341302621491373</v>
      </c>
      <c r="CH420" s="3">
        <v>-2.6107969288158053</v>
      </c>
      <c r="CI420" s="13">
        <f>[1]!dbasum(RecData[[#This Row],[20]:[2000]],RecData[[#Headers],[20]:[2000]])</f>
        <v>16.041112901801256</v>
      </c>
      <c r="CJ420" s="14">
        <v>4872</v>
      </c>
      <c r="CK420" s="15" t="s">
        <v>249</v>
      </c>
      <c r="CL420" s="15">
        <f>RecData[[#This Row],[Start Time]]</f>
        <v>43262.060416666674</v>
      </c>
      <c r="CM420" s="16">
        <f>RecData[[#This Row],[Wind Speed avg]]</f>
        <v>0.5</v>
      </c>
      <c r="CN420" s="16">
        <f>RecData[[#This Row],[Wind Dir. avg]]</f>
        <v>143.80000000000001</v>
      </c>
      <c r="CO420" s="16">
        <f>RecData[[#This Row],[Amb. Humidity]]</f>
        <v>89.8</v>
      </c>
      <c r="CP420" s="16">
        <f>RecData[[#This Row],[Amb. Temperature]]</f>
        <v>8.8000000000000007</v>
      </c>
      <c r="CQ420" s="17">
        <f>RecData[[#This Row],[Amb. Rain Gauge]]</f>
        <v>0</v>
      </c>
      <c r="CR420" s="4" t="s">
        <v>50</v>
      </c>
      <c r="CS420" s="4" t="s">
        <v>49</v>
      </c>
      <c r="CT420" s="70">
        <v>-9.4847869869999997</v>
      </c>
      <c r="CU420" s="70">
        <v>200.28179929999999</v>
      </c>
      <c r="CV420" s="70">
        <v>0.53826647999999999</v>
      </c>
      <c r="CW420" s="70">
        <v>0</v>
      </c>
      <c r="CX420" s="4"/>
      <c r="CY420" s="69"/>
      <c r="CZ420" s="2" t="b">
        <f>IF($DP$1="YES",IF(RecData[[#This Row],[Power (kW)]]&gt;=$CR$3, TRUE,FALSE),TRUE)</f>
        <v>0</v>
      </c>
      <c r="DA420" s="16">
        <f>MIN(MOD(180-ABS(ABS($DA$1-RecData[Yaw Angle (°)])-180),360),MOD(180-ABS(ABS($DB$1-RecData[Yaw Angle (°)])-180),360))</f>
        <v>167.24812747768755</v>
      </c>
      <c r="DB420" s="2" t="str">
        <f>IF($DP$2="None","None",IF(RecData[[#This Row],[Relative Wind Direction]]&lt;=45,"DW",IF(RecData[[#This Row],[Relative Wind Direction]]&lt;=135,"CW","UW")))</f>
        <v>UW</v>
      </c>
      <c r="DC420" s="61">
        <f>IF($CL420-$CL418&gt;1/24,#REF!,IF(SUM($CQ418:$CQ420)&gt;$DS$1,$DS$5,DC421-1))</f>
        <v>-8</v>
      </c>
      <c r="DD420" s="61">
        <f>IF($CL421-$CL420&gt;1/24,#REF!,IF(SUM($CQ418:$CQ420)&gt;$DS$1,$DS$6,DD419-1))</f>
        <v>-3</v>
      </c>
      <c r="DE420" s="18" t="b">
        <v>0</v>
      </c>
      <c r="DF420" s="2" t="b">
        <f>IF(OR(RecData[[#This Row],[WSpd_Avg '[m/s']]]-RecData[[#This Row],[Wind Speed min]]&gt;=$DF$3,RecData[[#This Row],[Wind Speed max]]-RecData[[#This Row],[WSpd_Avg '[m/s']]]&gt;=$DF$2),TRUE,FALSE)</f>
        <v>0</v>
      </c>
      <c r="DG420" s="2" t="b">
        <f>RecData[[#This Row],[Temperature '[°C']]]&lt;=-20</f>
        <v>0</v>
      </c>
      <c r="DH420" s="18" t="b">
        <f>NOT(OR(MOD(RecData[[#This Row],[TIMESTAMP]],1)&gt;0.91632,MOD(RecData[[#This Row],[TIMESTAMP]],1)&lt;0.208681))</f>
        <v>0</v>
      </c>
      <c r="DI420" s="18" t="b">
        <f>RecData[[#This Row],[Overall (dBA)]]-RecData[[#This Row],[L90]]&gt;=$DS$4</f>
        <v>0</v>
      </c>
      <c r="DJ420" s="18" t="b">
        <f>RecData[[#This Row],[Overall (dBA)]]&gt;$DS$2</f>
        <v>0</v>
      </c>
      <c r="DK420" s="18" t="b">
        <f>RecData[[#This Row],[Overall (dBA)]]&lt;$DS$3</f>
        <v>0</v>
      </c>
      <c r="DL4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0" s="2">
        <f>IF(AND(RecData[[#This Row],[Turbines ON/OFF]] = "OFF", NOT(OR(RecData[[#This Row],[Junk?]]="YES",RecData[[#This Row],[Gust?]],RecData[[#This Row],[Rain?]:[Min SPL Threshold?]]))),1,0)</f>
        <v>1</v>
      </c>
      <c r="DN420" s="16">
        <f>RecData[[#This Row],[dBA Sum]]</f>
        <v>16.041112901801256</v>
      </c>
      <c r="DO420" s="16">
        <f>RecData[[#This Row],[LAF90.0]]</f>
        <v>21.7</v>
      </c>
      <c r="DP420" s="55" t="str">
        <f>IF(AND(RecData[[#This Row],[Useable TON Data?]],RecData[[#This Row],[Turbines ON/OFF]]="ON"),RecData[[#This Row],[dBA Sum]],"")</f>
        <v/>
      </c>
      <c r="DQ420" s="55">
        <f>IF(AND(RecData[[#This Row],[Useable Background Data?]],RecData[[#This Row],[Turbines ON/OFF]]="OFF"),RecData[[#This Row],[dBA Sum]],"")</f>
        <v>16.041112901801256</v>
      </c>
      <c r="DR420" s="3">
        <f>IF(OR(RecData[[#This Row],[Useable TON Data?]],RecData[[#This Row],[Useable Background Data?]]),ROUND(RecData[[#This Row],[WSpd_Avg '[m/s']]],0),"")</f>
        <v>1</v>
      </c>
      <c r="DS420" s="85">
        <f>(0.00002)^2*(10^(RecData[[#This Row],[Overall (dBA)]]/10))</f>
        <v>1.6075751399621348E-8</v>
      </c>
    </row>
    <row r="421" spans="1:123" ht="15" x14ac:dyDescent="0.25">
      <c r="A421" s="3" t="s">
        <v>249</v>
      </c>
      <c r="B421" s="12">
        <v>43262.061111111114</v>
      </c>
      <c r="C421" s="3"/>
      <c r="D421" s="3">
        <v>29.7</v>
      </c>
      <c r="E421" s="3"/>
      <c r="F421" s="3"/>
      <c r="G421" s="3"/>
      <c r="H421" s="3"/>
      <c r="I421" s="3"/>
      <c r="J421" s="3"/>
      <c r="K421" s="3">
        <v>23.3</v>
      </c>
      <c r="L421" s="3"/>
      <c r="M421" s="3"/>
      <c r="N421" s="3">
        <v>141.6</v>
      </c>
      <c r="O421" s="3"/>
      <c r="P421" s="3"/>
      <c r="Q421" s="3">
        <v>0.66</v>
      </c>
      <c r="R421" s="3">
        <v>0.6</v>
      </c>
      <c r="S421" s="3">
        <v>0.7</v>
      </c>
      <c r="T421" s="3">
        <v>8.8000000000000007</v>
      </c>
      <c r="U421" s="3">
        <v>89.8</v>
      </c>
      <c r="V421" s="3">
        <v>974.3</v>
      </c>
      <c r="W421" s="3">
        <v>0</v>
      </c>
      <c r="X421" s="3">
        <v>16.5</v>
      </c>
      <c r="Y421" s="3">
        <v>13.7</v>
      </c>
      <c r="Z421" s="3">
        <v>18.2</v>
      </c>
      <c r="AA421" s="3">
        <v>8.6</v>
      </c>
      <c r="AB421" s="3">
        <v>10.5</v>
      </c>
      <c r="AC421" s="3">
        <v>5.3</v>
      </c>
      <c r="AD421" s="3">
        <v>7.3</v>
      </c>
      <c r="AE421" s="3">
        <v>9.6</v>
      </c>
      <c r="AF421" s="3">
        <v>13.4</v>
      </c>
      <c r="AG421" s="3">
        <v>8.5</v>
      </c>
      <c r="AH421" s="3">
        <v>8.8000000000000007</v>
      </c>
      <c r="AI421" s="3">
        <v>9.6999999999999993</v>
      </c>
      <c r="AJ421" s="3">
        <v>9.5</v>
      </c>
      <c r="AK421" s="3">
        <v>8.8000000000000007</v>
      </c>
      <c r="AL421" s="3">
        <v>6.3</v>
      </c>
      <c r="AM421" s="3">
        <v>7.2</v>
      </c>
      <c r="AN421" s="3">
        <v>7.8</v>
      </c>
      <c r="AO421" s="3">
        <v>7.5</v>
      </c>
      <c r="AP421" s="3">
        <v>6.7</v>
      </c>
      <c r="AQ421" s="3">
        <v>7.1</v>
      </c>
      <c r="AR421" s="3">
        <v>6.6</v>
      </c>
      <c r="AS421" s="3">
        <v>17.600000000000001</v>
      </c>
      <c r="AT421" s="3">
        <v>27.7</v>
      </c>
      <c r="AU421" s="3">
        <v>8.5</v>
      </c>
      <c r="AV421" s="3">
        <v>8.6</v>
      </c>
      <c r="AW421" s="3">
        <v>9.1999999999999993</v>
      </c>
      <c r="AX421" s="3">
        <v>9.3000000000000007</v>
      </c>
      <c r="AY421" s="3">
        <v>9.6</v>
      </c>
      <c r="AZ421" s="3">
        <v>0</v>
      </c>
      <c r="BA421" s="3">
        <v>0</v>
      </c>
      <c r="BB421" s="3">
        <v>0</v>
      </c>
      <c r="BC421" s="3">
        <v>29.68889219871361</v>
      </c>
      <c r="BD421" s="3">
        <v>16.511107801286393</v>
      </c>
      <c r="BE421" s="3">
        <v>13.711107801286389</v>
      </c>
      <c r="BF421" s="3">
        <v>16.971107801286387</v>
      </c>
      <c r="BG421" s="3">
        <v>7.6977744679530531</v>
      </c>
      <c r="BH421" s="3">
        <v>9.7377744679530593</v>
      </c>
      <c r="BI421" s="3">
        <v>4.9511078012863905</v>
      </c>
      <c r="BJ421" s="3">
        <v>7.7444411346197199</v>
      </c>
      <c r="BK421" s="3">
        <v>9.917774467953052</v>
      </c>
      <c r="BL421" s="3">
        <v>13.291107801286394</v>
      </c>
      <c r="BM421" s="3">
        <v>8.5244411346197282</v>
      </c>
      <c r="BN421" s="3">
        <v>9.1077744679530568</v>
      </c>
      <c r="BO421" s="3">
        <v>9.3744411346197225</v>
      </c>
      <c r="BP421" s="3">
        <v>8.8911078012863882</v>
      </c>
      <c r="BQ421" s="3">
        <v>8.6077744679530497</v>
      </c>
      <c r="BR421" s="3">
        <v>6.4344411346197248</v>
      </c>
      <c r="BS421" s="3">
        <v>7.1377744679530579</v>
      </c>
      <c r="BT421" s="3">
        <v>7.9344411346197248</v>
      </c>
      <c r="BU421" s="3">
        <v>7.6011078012863962</v>
      </c>
      <c r="BV421" s="3">
        <v>6.5177744679530534</v>
      </c>
      <c r="BW421" s="3">
        <v>7.4511078012863905</v>
      </c>
      <c r="BX421" s="3">
        <v>6.8711078012863922</v>
      </c>
      <c r="BY421" s="3">
        <v>17.691107801286385</v>
      </c>
      <c r="BZ421" s="3">
        <v>27.921107801286389</v>
      </c>
      <c r="CA421" s="3">
        <v>8.8211078012863808</v>
      </c>
      <c r="CB421" s="3">
        <v>8.3577744679530568</v>
      </c>
      <c r="CC421" s="3">
        <v>9.1711078012863894</v>
      </c>
      <c r="CD421" s="3">
        <v>8.5777744679530628</v>
      </c>
      <c r="CE421" s="3">
        <v>9.0711078012863879</v>
      </c>
      <c r="CF421" s="3">
        <v>-0.91555886538027664</v>
      </c>
      <c r="CG421" s="3">
        <v>-1.4488921987136081</v>
      </c>
      <c r="CH421" s="3">
        <v>-2.5255588653802761</v>
      </c>
      <c r="CI421" s="13">
        <f>[1]!dbasum(RecData[[#This Row],[20]:[2000]],RecData[[#Headers],[20]:[2000]])</f>
        <v>16.212113560536149</v>
      </c>
      <c r="CJ421" s="14">
        <v>4873</v>
      </c>
      <c r="CK421" s="15" t="s">
        <v>249</v>
      </c>
      <c r="CL421" s="15">
        <f>RecData[[#This Row],[Start Time]]</f>
        <v>43262.061111111114</v>
      </c>
      <c r="CM421" s="16">
        <f>RecData[[#This Row],[Wind Speed avg]]</f>
        <v>0.66</v>
      </c>
      <c r="CN421" s="16">
        <f>RecData[[#This Row],[Wind Dir. avg]]</f>
        <v>141.6</v>
      </c>
      <c r="CO421" s="16">
        <f>RecData[[#This Row],[Amb. Humidity]]</f>
        <v>89.8</v>
      </c>
      <c r="CP421" s="16">
        <f>RecData[[#This Row],[Amb. Temperature]]</f>
        <v>8.8000000000000007</v>
      </c>
      <c r="CQ421" s="17">
        <f>RecData[[#This Row],[Amb. Rain Gauge]]</f>
        <v>0</v>
      </c>
      <c r="CR421" s="4" t="s">
        <v>50</v>
      </c>
      <c r="CS421" s="4" t="s">
        <v>49</v>
      </c>
      <c r="CT421" s="70">
        <v>-9.4847869869999997</v>
      </c>
      <c r="CU421" s="70">
        <v>200.28179929999999</v>
      </c>
      <c r="CV421" s="70">
        <v>0.53826647999999999</v>
      </c>
      <c r="CW421" s="70">
        <v>0</v>
      </c>
      <c r="CX421" s="4"/>
      <c r="CY421" s="69"/>
      <c r="CZ421" s="2" t="b">
        <f>IF($DP$1="YES",IF(RecData[[#This Row],[Power (kW)]]&gt;=$CR$3, TRUE,FALSE),TRUE)</f>
        <v>0</v>
      </c>
      <c r="DA421" s="16">
        <f>MIN(MOD(180-ABS(ABS($DA$1-RecData[Yaw Angle (°)])-180),360),MOD(180-ABS(ABS($DB$1-RecData[Yaw Angle (°)])-180),360))</f>
        <v>167.24812747768755</v>
      </c>
      <c r="DB421" s="2" t="str">
        <f>IF($DP$2="None","None",IF(RecData[[#This Row],[Relative Wind Direction]]&lt;=45,"DW",IF(RecData[[#This Row],[Relative Wind Direction]]&lt;=135,"CW","UW")))</f>
        <v>UW</v>
      </c>
      <c r="DC421" s="61">
        <f>IF($CL421-$CL418&gt;1/24,#REF!,IF(SUM($CQ418:$CQ421)&gt;$DS$1,$DS$5,DC422-1))</f>
        <v>-7</v>
      </c>
      <c r="DD421" s="61">
        <f>IF($CL422-$CL421&gt;1/24,#REF!,IF(SUM($CQ418:$CQ421)&gt;$DS$1,$DS$6,DD420-1))</f>
        <v>-4</v>
      </c>
      <c r="DE421" s="18" t="b">
        <v>0</v>
      </c>
      <c r="DF421" s="2" t="b">
        <f>IF(OR(RecData[[#This Row],[WSpd_Avg '[m/s']]]-RecData[[#This Row],[Wind Speed min]]&gt;=$DF$3,RecData[[#This Row],[Wind Speed max]]-RecData[[#This Row],[WSpd_Avg '[m/s']]]&gt;=$DF$2),TRUE,FALSE)</f>
        <v>0</v>
      </c>
      <c r="DG421" s="2" t="b">
        <f>RecData[[#This Row],[Temperature '[°C']]]&lt;=-20</f>
        <v>0</v>
      </c>
      <c r="DH421" s="18" t="b">
        <f>NOT(OR(MOD(RecData[[#This Row],[TIMESTAMP]],1)&gt;0.91632,MOD(RecData[[#This Row],[TIMESTAMP]],1)&lt;0.208681))</f>
        <v>0</v>
      </c>
      <c r="DI421" s="18" t="b">
        <f>RecData[[#This Row],[Overall (dBA)]]-RecData[[#This Row],[L90]]&gt;=$DS$4</f>
        <v>0</v>
      </c>
      <c r="DJ421" s="18" t="b">
        <f>RecData[[#This Row],[Overall (dBA)]]&gt;$DS$2</f>
        <v>0</v>
      </c>
      <c r="DK421" s="18" t="b">
        <f>RecData[[#This Row],[Overall (dBA)]]&lt;$DS$3</f>
        <v>0</v>
      </c>
      <c r="DL4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1" s="2">
        <f>IF(AND(RecData[[#This Row],[Turbines ON/OFF]] = "OFF", NOT(OR(RecData[[#This Row],[Junk?]]="YES",RecData[[#This Row],[Gust?]],RecData[[#This Row],[Rain?]:[Min SPL Threshold?]]))),1,0)</f>
        <v>1</v>
      </c>
      <c r="DN421" s="16">
        <f>RecData[[#This Row],[dBA Sum]]</f>
        <v>16.212113560536149</v>
      </c>
      <c r="DO421" s="16">
        <f>RecData[[#This Row],[LAF90.0]]</f>
        <v>23.3</v>
      </c>
      <c r="DP421" s="55" t="str">
        <f>IF(AND(RecData[[#This Row],[Useable TON Data?]],RecData[[#This Row],[Turbines ON/OFF]]="ON"),RecData[[#This Row],[dBA Sum]],"")</f>
        <v/>
      </c>
      <c r="DQ421" s="55">
        <f>IF(AND(RecData[[#This Row],[Useable Background Data?]],RecData[[#This Row],[Turbines ON/OFF]]="OFF"),RecData[[#This Row],[dBA Sum]],"")</f>
        <v>16.212113560536149</v>
      </c>
      <c r="DR421" s="3">
        <f>IF(OR(RecData[[#This Row],[Useable TON Data?]],RecData[[#This Row],[Useable Background Data?]]),ROUND(RecData[[#This Row],[WSpd_Avg '[m/s']]],0),"")</f>
        <v>1</v>
      </c>
      <c r="DS421" s="85">
        <f>(0.00002)^2*(10^(RecData[[#This Row],[Overall (dBA)]]/10))</f>
        <v>1.6721350386992929E-8</v>
      </c>
    </row>
    <row r="422" spans="1:123" ht="15" x14ac:dyDescent="0.25">
      <c r="A422" s="3" t="s">
        <v>249</v>
      </c>
      <c r="B422" s="12">
        <v>43262.061805555561</v>
      </c>
      <c r="C422" s="3"/>
      <c r="D422" s="3">
        <v>31.3</v>
      </c>
      <c r="E422" s="3"/>
      <c r="F422" s="3"/>
      <c r="G422" s="3"/>
      <c r="H422" s="3"/>
      <c r="I422" s="3"/>
      <c r="J422" s="3"/>
      <c r="K422" s="3">
        <v>25.4</v>
      </c>
      <c r="L422" s="3"/>
      <c r="M422" s="3"/>
      <c r="N422" s="3">
        <v>158.9</v>
      </c>
      <c r="O422" s="3"/>
      <c r="P422" s="3"/>
      <c r="Q422" s="3">
        <v>0.89</v>
      </c>
      <c r="R422" s="3">
        <v>0.7</v>
      </c>
      <c r="S422" s="3">
        <v>1.2</v>
      </c>
      <c r="T422" s="3">
        <v>8.8000000000000007</v>
      </c>
      <c r="U422" s="3">
        <v>89.6</v>
      </c>
      <c r="V422" s="3">
        <v>974.3</v>
      </c>
      <c r="W422" s="3">
        <v>0</v>
      </c>
      <c r="X422" s="3">
        <v>16.8</v>
      </c>
      <c r="Y422" s="3">
        <v>13.4</v>
      </c>
      <c r="Z422" s="3">
        <v>15.5</v>
      </c>
      <c r="AA422" s="3">
        <v>9.3000000000000007</v>
      </c>
      <c r="AB422" s="3">
        <v>10.4</v>
      </c>
      <c r="AC422" s="3">
        <v>5.3</v>
      </c>
      <c r="AD422" s="3">
        <v>7.9</v>
      </c>
      <c r="AE422" s="3">
        <v>10.7</v>
      </c>
      <c r="AF422" s="3">
        <v>14.5</v>
      </c>
      <c r="AG422" s="3">
        <v>10</v>
      </c>
      <c r="AH422" s="3">
        <v>10.7</v>
      </c>
      <c r="AI422" s="3">
        <v>10.6</v>
      </c>
      <c r="AJ422" s="3">
        <v>10.9</v>
      </c>
      <c r="AK422" s="3">
        <v>12.5</v>
      </c>
      <c r="AL422" s="3">
        <v>7.1</v>
      </c>
      <c r="AM422" s="3">
        <v>8.4</v>
      </c>
      <c r="AN422" s="3">
        <v>8.3000000000000007</v>
      </c>
      <c r="AO422" s="3">
        <v>8.4</v>
      </c>
      <c r="AP422" s="3">
        <v>7.5</v>
      </c>
      <c r="AQ422" s="3">
        <v>7.2</v>
      </c>
      <c r="AR422" s="3">
        <v>6.7</v>
      </c>
      <c r="AS422" s="3">
        <v>20.5</v>
      </c>
      <c r="AT422" s="3">
        <v>29.3</v>
      </c>
      <c r="AU422" s="3">
        <v>8.9</v>
      </c>
      <c r="AV422" s="3">
        <v>8.6999999999999993</v>
      </c>
      <c r="AW422" s="3">
        <v>9.1999999999999993</v>
      </c>
      <c r="AX422" s="3">
        <v>9.4</v>
      </c>
      <c r="AY422" s="3">
        <v>9.6</v>
      </c>
      <c r="AZ422" s="3">
        <v>0</v>
      </c>
      <c r="BA422" s="3">
        <v>0</v>
      </c>
      <c r="BB422" s="3">
        <v>0</v>
      </c>
      <c r="BC422" s="3">
        <v>31.337492201960217</v>
      </c>
      <c r="BD422" s="3">
        <v>16.762507798039785</v>
      </c>
      <c r="BE422" s="3">
        <v>13.362507798039786</v>
      </c>
      <c r="BF422" s="3">
        <v>14.222507798039786</v>
      </c>
      <c r="BG422" s="3">
        <v>8.3491744647064507</v>
      </c>
      <c r="BH422" s="3">
        <v>9.5891744647064527</v>
      </c>
      <c r="BI422" s="3">
        <v>4.9025077980397853</v>
      </c>
      <c r="BJ422" s="3">
        <v>8.2958411313731162</v>
      </c>
      <c r="BK422" s="3">
        <v>10.969174464706448</v>
      </c>
      <c r="BL422" s="3">
        <v>14.342507798039783</v>
      </c>
      <c r="BM422" s="3">
        <v>9.9758411313731159</v>
      </c>
      <c r="BN422" s="3">
        <v>10.95917446470645</v>
      </c>
      <c r="BO422" s="3">
        <v>10.225841131373116</v>
      </c>
      <c r="BP422" s="3">
        <v>10.242507798039782</v>
      </c>
      <c r="BQ422" s="3">
        <v>12.25917446470644</v>
      </c>
      <c r="BR422" s="3">
        <v>7.1858411313731168</v>
      </c>
      <c r="BS422" s="3">
        <v>8.2891744647064485</v>
      </c>
      <c r="BT422" s="3">
        <v>8.3858411313731196</v>
      </c>
      <c r="BU422" s="3">
        <v>8.4525077980397896</v>
      </c>
      <c r="BV422" s="3">
        <v>7.2691744647064525</v>
      </c>
      <c r="BW422" s="3">
        <v>7.5025077980397867</v>
      </c>
      <c r="BX422" s="3">
        <v>6.9225077980397884</v>
      </c>
      <c r="BY422" s="3">
        <v>20.542507798039779</v>
      </c>
      <c r="BZ422" s="3">
        <v>29.472507798039786</v>
      </c>
      <c r="CA422" s="3">
        <v>9.1725077980397742</v>
      </c>
      <c r="CB422" s="3">
        <v>8.4091744647064459</v>
      </c>
      <c r="CC422" s="3">
        <v>9.1225077980397842</v>
      </c>
      <c r="CD422" s="3">
        <v>8.6291744647064519</v>
      </c>
      <c r="CE422" s="3">
        <v>9.0225077980397828</v>
      </c>
      <c r="CF422" s="3">
        <v>-0.96415886862688183</v>
      </c>
      <c r="CG422" s="3">
        <v>-1.4974922019602133</v>
      </c>
      <c r="CH422" s="3">
        <v>-2.5741588686268813</v>
      </c>
      <c r="CI422" s="13">
        <f>[1]!dbasum(RecData[[#This Row],[20]:[2000]],RecData[[#Headers],[20]:[2000]])</f>
        <v>17.063693046219147</v>
      </c>
      <c r="CJ422" s="14">
        <v>4874</v>
      </c>
      <c r="CK422" s="15" t="s">
        <v>249</v>
      </c>
      <c r="CL422" s="15">
        <f>RecData[[#This Row],[Start Time]]</f>
        <v>43262.061805555561</v>
      </c>
      <c r="CM422" s="16">
        <f>RecData[[#This Row],[Wind Speed avg]]</f>
        <v>0.89</v>
      </c>
      <c r="CN422" s="16">
        <f>RecData[[#This Row],[Wind Dir. avg]]</f>
        <v>158.9</v>
      </c>
      <c r="CO422" s="16">
        <f>RecData[[#This Row],[Amb. Humidity]]</f>
        <v>89.6</v>
      </c>
      <c r="CP422" s="16">
        <f>RecData[[#This Row],[Amb. Temperature]]</f>
        <v>8.8000000000000007</v>
      </c>
      <c r="CQ422" s="17">
        <f>RecData[[#This Row],[Amb. Rain Gauge]]</f>
        <v>0</v>
      </c>
      <c r="CR422" s="4" t="s">
        <v>50</v>
      </c>
      <c r="CS422" s="4" t="s">
        <v>49</v>
      </c>
      <c r="CT422" s="70">
        <v>-9.4847869869999997</v>
      </c>
      <c r="CU422" s="70">
        <v>200.28179929999999</v>
      </c>
      <c r="CV422" s="70">
        <v>0.53826647999999999</v>
      </c>
      <c r="CW422" s="70">
        <v>0</v>
      </c>
      <c r="CX422" s="4"/>
      <c r="CY422" s="69"/>
      <c r="CZ422" s="2" t="b">
        <f>IF($DP$1="YES",IF(RecData[[#This Row],[Power (kW)]]&gt;=$CR$3, TRUE,FALSE),TRUE)</f>
        <v>0</v>
      </c>
      <c r="DA422" s="16">
        <f>MIN(MOD(180-ABS(ABS($DA$1-RecData[Yaw Angle (°)])-180),360),MOD(180-ABS(ABS($DB$1-RecData[Yaw Angle (°)])-180),360))</f>
        <v>167.24812747768755</v>
      </c>
      <c r="DB422" s="2" t="str">
        <f>IF($DP$2="None","None",IF(RecData[[#This Row],[Relative Wind Direction]]&lt;=45,"DW",IF(RecData[[#This Row],[Relative Wind Direction]]&lt;=135,"CW","UW")))</f>
        <v>UW</v>
      </c>
      <c r="DC422" s="61">
        <f>IF($CL422-$CL418&gt;1/24,#REF!,IF(SUM($CQ418:$CQ422)&gt;$DS$1,$DS$5,DC423-1))</f>
        <v>-6</v>
      </c>
      <c r="DD422" s="61">
        <f>IF($CL423-$CL422&gt;1/24,#REF!,IF(SUM($CQ418:$CQ422)&gt;$DS$1,$DS$6,DD421-1))</f>
        <v>-5</v>
      </c>
      <c r="DE422" s="18" t="b">
        <v>0</v>
      </c>
      <c r="DF422" s="2" t="b">
        <f>IF(OR(RecData[[#This Row],[WSpd_Avg '[m/s']]]-RecData[[#This Row],[Wind Speed min]]&gt;=$DF$3,RecData[[#This Row],[Wind Speed max]]-RecData[[#This Row],[WSpd_Avg '[m/s']]]&gt;=$DF$2),TRUE,FALSE)</f>
        <v>0</v>
      </c>
      <c r="DG422" s="2" t="b">
        <f>RecData[[#This Row],[Temperature '[°C']]]&lt;=-20</f>
        <v>0</v>
      </c>
      <c r="DH422" s="18" t="b">
        <f>NOT(OR(MOD(RecData[[#This Row],[TIMESTAMP]],1)&gt;0.91632,MOD(RecData[[#This Row],[TIMESTAMP]],1)&lt;0.208681))</f>
        <v>0</v>
      </c>
      <c r="DI422" s="18" t="b">
        <f>RecData[[#This Row],[Overall (dBA)]]-RecData[[#This Row],[L90]]&gt;=$DS$4</f>
        <v>0</v>
      </c>
      <c r="DJ422" s="18" t="b">
        <f>RecData[[#This Row],[Overall (dBA)]]&gt;$DS$2</f>
        <v>0</v>
      </c>
      <c r="DK422" s="18" t="b">
        <f>RecData[[#This Row],[Overall (dBA)]]&lt;$DS$3</f>
        <v>0</v>
      </c>
      <c r="DL4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2" s="2">
        <f>IF(AND(RecData[[#This Row],[Turbines ON/OFF]] = "OFF", NOT(OR(RecData[[#This Row],[Junk?]]="YES",RecData[[#This Row],[Gust?]],RecData[[#This Row],[Rain?]:[Min SPL Threshold?]]))),1,0)</f>
        <v>1</v>
      </c>
      <c r="DN422" s="16">
        <f>RecData[[#This Row],[dBA Sum]]</f>
        <v>17.063693046219147</v>
      </c>
      <c r="DO422" s="16">
        <f>RecData[[#This Row],[LAF90.0]]</f>
        <v>25.4</v>
      </c>
      <c r="DP422" s="55" t="str">
        <f>IF(AND(RecData[[#This Row],[Useable TON Data?]],RecData[[#This Row],[Turbines ON/OFF]]="ON"),RecData[[#This Row],[dBA Sum]],"")</f>
        <v/>
      </c>
      <c r="DQ422" s="55">
        <f>IF(AND(RecData[[#This Row],[Useable Background Data?]],RecData[[#This Row],[Turbines ON/OFF]]="OFF"),RecData[[#This Row],[dBA Sum]],"")</f>
        <v>17.063693046219147</v>
      </c>
      <c r="DR422" s="3">
        <f>IF(OR(RecData[[#This Row],[Useable TON Data?]],RecData[[#This Row],[Useable Background Data?]]),ROUND(RecData[[#This Row],[WSpd_Avg '[m/s']]],0),"")</f>
        <v>1</v>
      </c>
      <c r="DS422" s="85">
        <f>(0.00002)^2*(10^(RecData[[#This Row],[Overall (dBA)]]/10))</f>
        <v>2.0343669696908719E-8</v>
      </c>
    </row>
    <row r="423" spans="1:123" ht="15" x14ac:dyDescent="0.25">
      <c r="A423" s="3" t="s">
        <v>249</v>
      </c>
      <c r="B423" s="12">
        <v>43262.062500000007</v>
      </c>
      <c r="C423" s="3"/>
      <c r="D423" s="3">
        <v>32.4</v>
      </c>
      <c r="E423" s="3"/>
      <c r="F423" s="3"/>
      <c r="G423" s="3"/>
      <c r="H423" s="3"/>
      <c r="I423" s="3"/>
      <c r="J423" s="3"/>
      <c r="K423" s="3">
        <v>27.7</v>
      </c>
      <c r="L423" s="3"/>
      <c r="M423" s="3"/>
      <c r="N423" s="3">
        <v>151.6</v>
      </c>
      <c r="O423" s="3"/>
      <c r="P423" s="3"/>
      <c r="Q423" s="3">
        <v>0.85</v>
      </c>
      <c r="R423" s="3">
        <v>0.5</v>
      </c>
      <c r="S423" s="3">
        <v>1.3</v>
      </c>
      <c r="T423" s="3">
        <v>8.8000000000000007</v>
      </c>
      <c r="U423" s="3">
        <v>89.5</v>
      </c>
      <c r="V423" s="3">
        <v>974.3</v>
      </c>
      <c r="W423" s="3">
        <v>0</v>
      </c>
      <c r="X423" s="3">
        <v>14.7</v>
      </c>
      <c r="Y423" s="3">
        <v>12.2</v>
      </c>
      <c r="Z423" s="3">
        <v>16</v>
      </c>
      <c r="AA423" s="3">
        <v>12.5</v>
      </c>
      <c r="AB423" s="3">
        <v>13.1</v>
      </c>
      <c r="AC423" s="3">
        <v>5.8</v>
      </c>
      <c r="AD423" s="3">
        <v>9.6</v>
      </c>
      <c r="AE423" s="3">
        <v>11.7</v>
      </c>
      <c r="AF423" s="3">
        <v>13.5</v>
      </c>
      <c r="AG423" s="3">
        <v>10.6</v>
      </c>
      <c r="AH423" s="3">
        <v>10.6</v>
      </c>
      <c r="AI423" s="3">
        <v>10.7</v>
      </c>
      <c r="AJ423" s="3">
        <v>11.8</v>
      </c>
      <c r="AK423" s="3">
        <v>12.9</v>
      </c>
      <c r="AL423" s="3">
        <v>7.8</v>
      </c>
      <c r="AM423" s="3">
        <v>11.8</v>
      </c>
      <c r="AN423" s="3">
        <v>9.1999999999999993</v>
      </c>
      <c r="AO423" s="3">
        <v>9.1</v>
      </c>
      <c r="AP423" s="3">
        <v>8</v>
      </c>
      <c r="AQ423" s="3">
        <v>7.5</v>
      </c>
      <c r="AR423" s="3">
        <v>6.9</v>
      </c>
      <c r="AS423" s="3">
        <v>24.9</v>
      </c>
      <c r="AT423" s="3">
        <v>29.6</v>
      </c>
      <c r="AU423" s="3">
        <v>8.9</v>
      </c>
      <c r="AV423" s="3">
        <v>8.8000000000000007</v>
      </c>
      <c r="AW423" s="3">
        <v>9.3000000000000007</v>
      </c>
      <c r="AX423" s="3">
        <v>9.4</v>
      </c>
      <c r="AY423" s="3">
        <v>9.6</v>
      </c>
      <c r="AZ423" s="3">
        <v>0</v>
      </c>
      <c r="BA423" s="3">
        <v>0</v>
      </c>
      <c r="BB423" s="3">
        <v>0</v>
      </c>
      <c r="BC423" s="3">
        <v>32.344417365423752</v>
      </c>
      <c r="BD423" s="3">
        <v>14.755582634576243</v>
      </c>
      <c r="BE423" s="3">
        <v>12.255582634576243</v>
      </c>
      <c r="BF423" s="3">
        <v>14.815582634576245</v>
      </c>
      <c r="BG423" s="3">
        <v>11.642249301242913</v>
      </c>
      <c r="BH423" s="3">
        <v>12.382249301242915</v>
      </c>
      <c r="BI423" s="3">
        <v>5.4955826345762446</v>
      </c>
      <c r="BJ423" s="3">
        <v>10.088915967909578</v>
      </c>
      <c r="BK423" s="3">
        <v>12.062249301242908</v>
      </c>
      <c r="BL423" s="3">
        <v>13.435582634576249</v>
      </c>
      <c r="BM423" s="3">
        <v>10.668915967909584</v>
      </c>
      <c r="BN423" s="3">
        <v>10.952249301242915</v>
      </c>
      <c r="BO423" s="3">
        <v>10.418915967909584</v>
      </c>
      <c r="BP423" s="3">
        <v>11.235582634576247</v>
      </c>
      <c r="BQ423" s="3">
        <v>12.752249301242905</v>
      </c>
      <c r="BR423" s="3">
        <v>7.9789159679095789</v>
      </c>
      <c r="BS423" s="3">
        <v>11.782249301242913</v>
      </c>
      <c r="BT423" s="3">
        <v>9.3789159679095775</v>
      </c>
      <c r="BU423" s="3">
        <v>9.2455826345762517</v>
      </c>
      <c r="BV423" s="3">
        <v>7.8622493012429118</v>
      </c>
      <c r="BW423" s="3">
        <v>7.8955826345762503</v>
      </c>
      <c r="BX423" s="3">
        <v>7.2155826345762506</v>
      </c>
      <c r="BY423" s="3">
        <v>25.035582634576244</v>
      </c>
      <c r="BZ423" s="3">
        <v>29.865582634576256</v>
      </c>
      <c r="CA423" s="3">
        <v>9.2655826345762407</v>
      </c>
      <c r="CB423" s="3">
        <v>8.6022493012429138</v>
      </c>
      <c r="CC423" s="3">
        <v>9.3155826345762449</v>
      </c>
      <c r="CD423" s="3">
        <v>8.7222493012429183</v>
      </c>
      <c r="CE423" s="3">
        <v>9.1155826345762421</v>
      </c>
      <c r="CF423" s="3">
        <v>-0.87108403209041896</v>
      </c>
      <c r="CG423" s="3">
        <v>-1.4044173654237504</v>
      </c>
      <c r="CH423" s="3">
        <v>-2.4810840320904184</v>
      </c>
      <c r="CI423" s="13">
        <f>[1]!dbasum(RecData[[#This Row],[20]:[2000]],RecData[[#Headers],[20]:[2000]])</f>
        <v>17.990821336234081</v>
      </c>
      <c r="CJ423" s="14">
        <v>4875</v>
      </c>
      <c r="CK423" s="15" t="s">
        <v>249</v>
      </c>
      <c r="CL423" s="15">
        <f>RecData[[#This Row],[Start Time]]</f>
        <v>43262.062500000007</v>
      </c>
      <c r="CM423" s="16">
        <f>RecData[[#This Row],[Wind Speed avg]]</f>
        <v>0.85</v>
      </c>
      <c r="CN423" s="16">
        <f>RecData[[#This Row],[Wind Dir. avg]]</f>
        <v>151.6</v>
      </c>
      <c r="CO423" s="16">
        <f>RecData[[#This Row],[Amb. Humidity]]</f>
        <v>89.5</v>
      </c>
      <c r="CP423" s="16">
        <f>RecData[[#This Row],[Amb. Temperature]]</f>
        <v>8.8000000000000007</v>
      </c>
      <c r="CQ423" s="17">
        <f>RecData[[#This Row],[Amb. Rain Gauge]]</f>
        <v>0</v>
      </c>
      <c r="CR423" s="4" t="s">
        <v>50</v>
      </c>
      <c r="CS423" s="4" t="s">
        <v>49</v>
      </c>
      <c r="CT423" s="70">
        <v>-9.4847869869999997</v>
      </c>
      <c r="CU423" s="70">
        <v>200.28179929999999</v>
      </c>
      <c r="CV423" s="70">
        <v>0.53826647999999999</v>
      </c>
      <c r="CW423" s="70">
        <v>0</v>
      </c>
      <c r="CX423" s="4"/>
      <c r="CY423" s="69"/>
      <c r="CZ423" s="2" t="b">
        <f>IF($DP$1="YES",IF(RecData[[#This Row],[Power (kW)]]&gt;=$CR$3, TRUE,FALSE),TRUE)</f>
        <v>0</v>
      </c>
      <c r="DA423" s="16">
        <f>MIN(MOD(180-ABS(ABS($DA$1-RecData[Yaw Angle (°)])-180),360),MOD(180-ABS(ABS($DB$1-RecData[Yaw Angle (°)])-180),360))</f>
        <v>167.24812747768755</v>
      </c>
      <c r="DB423" s="2" t="str">
        <f>IF($DP$2="None","None",IF(RecData[[#This Row],[Relative Wind Direction]]&lt;=45,"DW",IF(RecData[[#This Row],[Relative Wind Direction]]&lt;=135,"CW","UW")))</f>
        <v>UW</v>
      </c>
      <c r="DC423" s="61">
        <f>IF($CL423-$CL419&gt;1/24,#REF!,IF(SUM($CQ419:$CQ423)&gt;$DS$1,$DS$5,DC424-1))</f>
        <v>-5</v>
      </c>
      <c r="DD423" s="61">
        <f>IF($CL424-$CL423&gt;1/24,#REF!,IF(SUM($CQ419:$CQ423)&gt;$DS$1,$DS$6,DD422-1))</f>
        <v>-6</v>
      </c>
      <c r="DE423" s="18" t="b">
        <v>0</v>
      </c>
      <c r="DF423" s="2" t="b">
        <f>IF(OR(RecData[[#This Row],[WSpd_Avg '[m/s']]]-RecData[[#This Row],[Wind Speed min]]&gt;=$DF$3,RecData[[#This Row],[Wind Speed max]]-RecData[[#This Row],[WSpd_Avg '[m/s']]]&gt;=$DF$2),TRUE,FALSE)</f>
        <v>0</v>
      </c>
      <c r="DG423" s="2" t="b">
        <f>RecData[[#This Row],[Temperature '[°C']]]&lt;=-20</f>
        <v>0</v>
      </c>
      <c r="DH423" s="18" t="b">
        <f>NOT(OR(MOD(RecData[[#This Row],[TIMESTAMP]],1)&gt;0.91632,MOD(RecData[[#This Row],[TIMESTAMP]],1)&lt;0.208681))</f>
        <v>0</v>
      </c>
      <c r="DI423" s="18" t="b">
        <f>RecData[[#This Row],[Overall (dBA)]]-RecData[[#This Row],[L90]]&gt;=$DS$4</f>
        <v>0</v>
      </c>
      <c r="DJ423" s="18" t="b">
        <f>RecData[[#This Row],[Overall (dBA)]]&gt;$DS$2</f>
        <v>0</v>
      </c>
      <c r="DK423" s="18" t="b">
        <f>RecData[[#This Row],[Overall (dBA)]]&lt;$DS$3</f>
        <v>0</v>
      </c>
      <c r="DL4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3" s="2">
        <f>IF(AND(RecData[[#This Row],[Turbines ON/OFF]] = "OFF", NOT(OR(RecData[[#This Row],[Junk?]]="YES",RecData[[#This Row],[Gust?]],RecData[[#This Row],[Rain?]:[Min SPL Threshold?]]))),1,0)</f>
        <v>1</v>
      </c>
      <c r="DN423" s="16">
        <f>RecData[[#This Row],[dBA Sum]]</f>
        <v>17.990821336234081</v>
      </c>
      <c r="DO423" s="16">
        <f>RecData[[#This Row],[LAF90.0]]</f>
        <v>27.7</v>
      </c>
      <c r="DP423" s="55" t="str">
        <f>IF(AND(RecData[[#This Row],[Useable TON Data?]],RecData[[#This Row],[Turbines ON/OFF]]="ON"),RecData[[#This Row],[dBA Sum]],"")</f>
        <v/>
      </c>
      <c r="DQ423" s="55">
        <f>IF(AND(RecData[[#This Row],[Useable Background Data?]],RecData[[#This Row],[Turbines ON/OFF]]="OFF"),RecData[[#This Row],[dBA Sum]],"")</f>
        <v>17.990821336234081</v>
      </c>
      <c r="DR423" s="3">
        <f>IF(OR(RecData[[#This Row],[Useable TON Data?]],RecData[[#This Row],[Useable Background Data?]]),ROUND(RecData[[#This Row],[WSpd_Avg '[m/s']]],0),"")</f>
        <v>1</v>
      </c>
      <c r="DS423" s="85">
        <f>(0.00002)^2*(10^(RecData[[#This Row],[Overall (dBA)]]/10))</f>
        <v>2.5185009844350318E-8</v>
      </c>
    </row>
    <row r="424" spans="1:123" ht="15" x14ac:dyDescent="0.25">
      <c r="A424" s="3" t="s">
        <v>249</v>
      </c>
      <c r="B424" s="12">
        <v>43262.063194444447</v>
      </c>
      <c r="C424" s="3"/>
      <c r="D424" s="3">
        <v>28.8</v>
      </c>
      <c r="E424" s="3"/>
      <c r="F424" s="3"/>
      <c r="G424" s="3"/>
      <c r="H424" s="3"/>
      <c r="I424" s="3"/>
      <c r="J424" s="3"/>
      <c r="K424" s="3">
        <v>20.7</v>
      </c>
      <c r="L424" s="3"/>
      <c r="M424" s="3"/>
      <c r="N424" s="3">
        <v>140.30000000000001</v>
      </c>
      <c r="O424" s="3"/>
      <c r="P424" s="3"/>
      <c r="Q424" s="3">
        <v>0.47</v>
      </c>
      <c r="R424" s="3">
        <v>0.3</v>
      </c>
      <c r="S424" s="3">
        <v>0.6</v>
      </c>
      <c r="T424" s="3">
        <v>8.8000000000000007</v>
      </c>
      <c r="U424" s="3">
        <v>89.2</v>
      </c>
      <c r="V424" s="3">
        <v>974.2</v>
      </c>
      <c r="W424" s="3">
        <v>0</v>
      </c>
      <c r="X424" s="3">
        <v>18.5</v>
      </c>
      <c r="Y424" s="3">
        <v>16.399999999999999</v>
      </c>
      <c r="Z424" s="3">
        <v>19.2</v>
      </c>
      <c r="AA424" s="3">
        <v>14.4</v>
      </c>
      <c r="AB424" s="3">
        <v>11.1</v>
      </c>
      <c r="AC424" s="3">
        <v>5.9</v>
      </c>
      <c r="AD424" s="3">
        <v>6.2</v>
      </c>
      <c r="AE424" s="3">
        <v>9.6999999999999993</v>
      </c>
      <c r="AF424" s="3">
        <v>10.5</v>
      </c>
      <c r="AG424" s="3">
        <v>8.8000000000000007</v>
      </c>
      <c r="AH424" s="3">
        <v>10.3</v>
      </c>
      <c r="AI424" s="3">
        <v>9.6</v>
      </c>
      <c r="AJ424" s="3">
        <v>10.8</v>
      </c>
      <c r="AK424" s="3">
        <v>10.8</v>
      </c>
      <c r="AL424" s="3">
        <v>7.2</v>
      </c>
      <c r="AM424" s="3">
        <v>9.1999999999999993</v>
      </c>
      <c r="AN424" s="3">
        <v>9.1</v>
      </c>
      <c r="AO424" s="3">
        <v>9.1</v>
      </c>
      <c r="AP424" s="3">
        <v>9</v>
      </c>
      <c r="AQ424" s="3">
        <v>7.2</v>
      </c>
      <c r="AR424" s="3">
        <v>6.7</v>
      </c>
      <c r="AS424" s="3">
        <v>17.8</v>
      </c>
      <c r="AT424" s="3">
        <v>26.5</v>
      </c>
      <c r="AU424" s="3">
        <v>8.5</v>
      </c>
      <c r="AV424" s="3">
        <v>8.9</v>
      </c>
      <c r="AW424" s="3">
        <v>9.4</v>
      </c>
      <c r="AX424" s="3">
        <v>9.5</v>
      </c>
      <c r="AY424" s="3">
        <v>9.6</v>
      </c>
      <c r="AZ424" s="3">
        <v>0</v>
      </c>
      <c r="BA424" s="3">
        <v>0</v>
      </c>
      <c r="BB424" s="3">
        <v>0</v>
      </c>
      <c r="BC424" s="3">
        <v>28.815797036686263</v>
      </c>
      <c r="BD424" s="3">
        <v>18.484202963313734</v>
      </c>
      <c r="BE424" s="3">
        <v>16.38420296331374</v>
      </c>
      <c r="BF424" s="3">
        <v>17.944202963313742</v>
      </c>
      <c r="BG424" s="3">
        <v>13.470869629980399</v>
      </c>
      <c r="BH424" s="3">
        <v>10.310869629980402</v>
      </c>
      <c r="BI424" s="3">
        <v>5.5242029633137406</v>
      </c>
      <c r="BJ424" s="3">
        <v>6.6175362966470743</v>
      </c>
      <c r="BK424" s="3">
        <v>9.9908696299804021</v>
      </c>
      <c r="BL424" s="3">
        <v>10.364202963313737</v>
      </c>
      <c r="BM424" s="3">
        <v>8.797536296647074</v>
      </c>
      <c r="BN424" s="3">
        <v>10.580869629980405</v>
      </c>
      <c r="BO424" s="3">
        <v>9.2475362966470698</v>
      </c>
      <c r="BP424" s="3">
        <v>10.164202963313741</v>
      </c>
      <c r="BQ424" s="3">
        <v>10.580869629980398</v>
      </c>
      <c r="BR424" s="3">
        <v>7.307536296647072</v>
      </c>
      <c r="BS424" s="3">
        <v>9.1108696299804066</v>
      </c>
      <c r="BT424" s="3">
        <v>9.2075362966470706</v>
      </c>
      <c r="BU424" s="3">
        <v>9.1742029633137392</v>
      </c>
      <c r="BV424" s="3">
        <v>8.7908696299804063</v>
      </c>
      <c r="BW424" s="3">
        <v>7.5242029633137406</v>
      </c>
      <c r="BX424" s="3">
        <v>6.9442029633137423</v>
      </c>
      <c r="BY424" s="3">
        <v>17.864202963313737</v>
      </c>
      <c r="BZ424" s="3">
        <v>26.694202963313742</v>
      </c>
      <c r="CA424" s="3">
        <v>8.7942029633137295</v>
      </c>
      <c r="CB424" s="3">
        <v>8.6308696299804026</v>
      </c>
      <c r="CC424" s="3">
        <v>9.3442029633137338</v>
      </c>
      <c r="CD424" s="3">
        <v>8.7508696299804072</v>
      </c>
      <c r="CE424" s="3">
        <v>9.0442029633137366</v>
      </c>
      <c r="CF424" s="3">
        <v>-0.94246370335292795</v>
      </c>
      <c r="CG424" s="3">
        <v>-1.4757970366862594</v>
      </c>
      <c r="CH424" s="3">
        <v>-2.5524637033529274</v>
      </c>
      <c r="CI424" s="13">
        <f>[1]!dbasum(RecData[[#This Row],[20]:[2000]],RecData[[#Headers],[20]:[2000]])</f>
        <v>17.337680520020182</v>
      </c>
      <c r="CJ424" s="14">
        <v>4876</v>
      </c>
      <c r="CK424" s="15" t="s">
        <v>249</v>
      </c>
      <c r="CL424" s="15">
        <f>RecData[[#This Row],[Start Time]]</f>
        <v>43262.063194444447</v>
      </c>
      <c r="CM424" s="16">
        <f>RecData[[#This Row],[Wind Speed avg]]</f>
        <v>0.47</v>
      </c>
      <c r="CN424" s="16">
        <f>RecData[[#This Row],[Wind Dir. avg]]</f>
        <v>140.30000000000001</v>
      </c>
      <c r="CO424" s="16">
        <f>RecData[[#This Row],[Amb. Humidity]]</f>
        <v>89.2</v>
      </c>
      <c r="CP424" s="16">
        <f>RecData[[#This Row],[Amb. Temperature]]</f>
        <v>8.8000000000000007</v>
      </c>
      <c r="CQ424" s="17">
        <f>RecData[[#This Row],[Amb. Rain Gauge]]</f>
        <v>0</v>
      </c>
      <c r="CR424" s="4" t="s">
        <v>50</v>
      </c>
      <c r="CS424" s="4" t="s">
        <v>49</v>
      </c>
      <c r="CT424" s="70">
        <v>-10.34200191</v>
      </c>
      <c r="CU424" s="70">
        <v>182.3253632</v>
      </c>
      <c r="CV424" s="70">
        <v>1.1664233209999999</v>
      </c>
      <c r="CW424" s="70">
        <v>0</v>
      </c>
      <c r="CX424" s="4"/>
      <c r="CY424" s="69"/>
      <c r="CZ424" s="2" t="b">
        <f>IF($DP$1="YES",IF(RecData[[#This Row],[Power (kW)]]&gt;=$CR$3, TRUE,FALSE),TRUE)</f>
        <v>0</v>
      </c>
      <c r="DA424" s="16">
        <f>MIN(MOD(180-ABS(ABS($DA$1-RecData[Yaw Angle (°)])-180),360),MOD(180-ABS(ABS($DB$1-RecData[Yaw Angle (°)])-180),360))</f>
        <v>174.79543642231243</v>
      </c>
      <c r="DB424" s="2" t="str">
        <f>IF($DP$2="None","None",IF(RecData[[#This Row],[Relative Wind Direction]]&lt;=45,"DW",IF(RecData[[#This Row],[Relative Wind Direction]]&lt;=135,"CW","UW")))</f>
        <v>UW</v>
      </c>
      <c r="DC424" s="61">
        <f>IF($CL424-$CL420&gt;1/24,#REF!,IF(SUM($CQ420:$CQ424)&gt;$DS$1,$DS$5,DC425-1))</f>
        <v>-4</v>
      </c>
      <c r="DD424" s="61">
        <f>IF($CL425-$CL424&gt;1/24,#REF!,IF(SUM($CQ420:$CQ424)&gt;$DS$1,$DS$6,DD423-1))</f>
        <v>-7</v>
      </c>
      <c r="DE424" s="18" t="b">
        <v>0</v>
      </c>
      <c r="DF424" s="2" t="b">
        <f>IF(OR(RecData[[#This Row],[WSpd_Avg '[m/s']]]-RecData[[#This Row],[Wind Speed min]]&gt;=$DF$3,RecData[[#This Row],[Wind Speed max]]-RecData[[#This Row],[WSpd_Avg '[m/s']]]&gt;=$DF$2),TRUE,FALSE)</f>
        <v>0</v>
      </c>
      <c r="DG424" s="2" t="b">
        <f>RecData[[#This Row],[Temperature '[°C']]]&lt;=-20</f>
        <v>0</v>
      </c>
      <c r="DH424" s="18" t="b">
        <f>NOT(OR(MOD(RecData[[#This Row],[TIMESTAMP]],1)&gt;0.91632,MOD(RecData[[#This Row],[TIMESTAMP]],1)&lt;0.208681))</f>
        <v>0</v>
      </c>
      <c r="DI424" s="18" t="b">
        <f>RecData[[#This Row],[Overall (dBA)]]-RecData[[#This Row],[L90]]&gt;=$DS$4</f>
        <v>0</v>
      </c>
      <c r="DJ424" s="18" t="b">
        <f>RecData[[#This Row],[Overall (dBA)]]&gt;$DS$2</f>
        <v>0</v>
      </c>
      <c r="DK424" s="18" t="b">
        <f>RecData[[#This Row],[Overall (dBA)]]&lt;$DS$3</f>
        <v>0</v>
      </c>
      <c r="DL4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4" s="2">
        <f>IF(AND(RecData[[#This Row],[Turbines ON/OFF]] = "OFF", NOT(OR(RecData[[#This Row],[Junk?]]="YES",RecData[[#This Row],[Gust?]],RecData[[#This Row],[Rain?]:[Min SPL Threshold?]]))),1,0)</f>
        <v>1</v>
      </c>
      <c r="DN424" s="16">
        <f>RecData[[#This Row],[dBA Sum]]</f>
        <v>17.337680520020182</v>
      </c>
      <c r="DO424" s="16">
        <f>RecData[[#This Row],[LAF90.0]]</f>
        <v>20.7</v>
      </c>
      <c r="DP424" s="55" t="str">
        <f>IF(AND(RecData[[#This Row],[Useable TON Data?]],RecData[[#This Row],[Turbines ON/OFF]]="ON"),RecData[[#This Row],[dBA Sum]],"")</f>
        <v/>
      </c>
      <c r="DQ424" s="55">
        <f>IF(AND(RecData[[#This Row],[Useable Background Data?]],RecData[[#This Row],[Turbines ON/OFF]]="OFF"),RecData[[#This Row],[dBA Sum]],"")</f>
        <v>17.337680520020182</v>
      </c>
      <c r="DR424" s="3">
        <f>IF(OR(RecData[[#This Row],[Useable TON Data?]],RecData[[#This Row],[Useable Background Data?]]),ROUND(RecData[[#This Row],[WSpd_Avg '[m/s']]],0),"")</f>
        <v>0</v>
      </c>
      <c r="DS424" s="85">
        <f>(0.00002)^2*(10^(RecData[[#This Row],[Overall (dBA)]]/10))</f>
        <v>2.1668459834060879E-8</v>
      </c>
    </row>
    <row r="425" spans="1:123" ht="15" x14ac:dyDescent="0.25">
      <c r="A425" s="3" t="s">
        <v>249</v>
      </c>
      <c r="B425" s="12">
        <v>43262.063888888893</v>
      </c>
      <c r="C425" s="3"/>
      <c r="D425" s="3">
        <v>31.4</v>
      </c>
      <c r="E425" s="3"/>
      <c r="F425" s="3"/>
      <c r="G425" s="3"/>
      <c r="H425" s="3"/>
      <c r="I425" s="3"/>
      <c r="J425" s="3"/>
      <c r="K425" s="3">
        <v>26.1</v>
      </c>
      <c r="L425" s="3"/>
      <c r="M425" s="3"/>
      <c r="N425" s="3">
        <v>140.6</v>
      </c>
      <c r="O425" s="3"/>
      <c r="P425" s="3"/>
      <c r="Q425" s="3">
        <v>0.41</v>
      </c>
      <c r="R425" s="3">
        <v>0.2</v>
      </c>
      <c r="S425" s="3">
        <v>0.6</v>
      </c>
      <c r="T425" s="3">
        <v>8.8000000000000007</v>
      </c>
      <c r="U425" s="3">
        <v>89</v>
      </c>
      <c r="V425" s="3">
        <v>974.2</v>
      </c>
      <c r="W425" s="3">
        <v>0</v>
      </c>
      <c r="X425" s="3">
        <v>22.3</v>
      </c>
      <c r="Y425" s="3">
        <v>19.2</v>
      </c>
      <c r="Z425" s="3">
        <v>22.9</v>
      </c>
      <c r="AA425" s="3">
        <v>16.8</v>
      </c>
      <c r="AB425" s="3">
        <v>11.7</v>
      </c>
      <c r="AC425" s="3">
        <v>6.3</v>
      </c>
      <c r="AD425" s="3">
        <v>6.5</v>
      </c>
      <c r="AE425" s="3">
        <v>8.5</v>
      </c>
      <c r="AF425" s="3">
        <v>11.7</v>
      </c>
      <c r="AG425" s="3">
        <v>8.1999999999999993</v>
      </c>
      <c r="AH425" s="3">
        <v>8.6999999999999993</v>
      </c>
      <c r="AI425" s="3">
        <v>9.1</v>
      </c>
      <c r="AJ425" s="3">
        <v>10.8</v>
      </c>
      <c r="AK425" s="3">
        <v>9</v>
      </c>
      <c r="AL425" s="3">
        <v>7.3</v>
      </c>
      <c r="AM425" s="3">
        <v>7.1</v>
      </c>
      <c r="AN425" s="3">
        <v>7.5</v>
      </c>
      <c r="AO425" s="3">
        <v>7.1</v>
      </c>
      <c r="AP425" s="3">
        <v>7</v>
      </c>
      <c r="AQ425" s="3">
        <v>7.6</v>
      </c>
      <c r="AR425" s="3">
        <v>6.8</v>
      </c>
      <c r="AS425" s="3">
        <v>21.4</v>
      </c>
      <c r="AT425" s="3">
        <v>29.3</v>
      </c>
      <c r="AU425" s="3">
        <v>9.1999999999999993</v>
      </c>
      <c r="AV425" s="3">
        <v>9</v>
      </c>
      <c r="AW425" s="3">
        <v>9.3000000000000007</v>
      </c>
      <c r="AX425" s="3">
        <v>9.5</v>
      </c>
      <c r="AY425" s="3">
        <v>9.6</v>
      </c>
      <c r="AZ425" s="3">
        <v>0</v>
      </c>
      <c r="BA425" s="3">
        <v>0</v>
      </c>
      <c r="BB425" s="3">
        <v>0</v>
      </c>
      <c r="BC425" s="3">
        <v>31.4255860455891</v>
      </c>
      <c r="BD425" s="3">
        <v>22.274413954410903</v>
      </c>
      <c r="BE425" s="3">
        <v>19.174413954410895</v>
      </c>
      <c r="BF425" s="3">
        <v>21.634413954410903</v>
      </c>
      <c r="BG425" s="3">
        <v>15.861080621077562</v>
      </c>
      <c r="BH425" s="3">
        <v>10.901080621077568</v>
      </c>
      <c r="BI425" s="3">
        <v>5.9144139544108967</v>
      </c>
      <c r="BJ425" s="3">
        <v>6.907747287744229</v>
      </c>
      <c r="BK425" s="3">
        <v>8.7810806210775638</v>
      </c>
      <c r="BL425" s="3">
        <v>11.554413954410897</v>
      </c>
      <c r="BM425" s="3">
        <v>8.1877472877442301</v>
      </c>
      <c r="BN425" s="3">
        <v>8.9710806210775615</v>
      </c>
      <c r="BO425" s="3">
        <v>8.7377472877442344</v>
      </c>
      <c r="BP425" s="3">
        <v>10.154413954410899</v>
      </c>
      <c r="BQ425" s="3">
        <v>8.7710806210775587</v>
      </c>
      <c r="BR425" s="3">
        <v>7.397747287744231</v>
      </c>
      <c r="BS425" s="3">
        <v>7.0010806210775627</v>
      </c>
      <c r="BT425" s="3">
        <v>7.5977472877442338</v>
      </c>
      <c r="BU425" s="3">
        <v>7.1644139544109038</v>
      </c>
      <c r="BV425" s="3">
        <v>6.7810806210775638</v>
      </c>
      <c r="BW425" s="3">
        <v>7.9144139544109038</v>
      </c>
      <c r="BX425" s="3">
        <v>7.0344139544109012</v>
      </c>
      <c r="BY425" s="3">
        <v>21.454413954410896</v>
      </c>
      <c r="BZ425" s="3">
        <v>29.484413954410904</v>
      </c>
      <c r="CA425" s="3">
        <v>9.4844139544108899</v>
      </c>
      <c r="CB425" s="3">
        <v>8.7210806210775615</v>
      </c>
      <c r="CC425" s="3">
        <v>9.234413954410897</v>
      </c>
      <c r="CD425" s="3">
        <v>8.7410806210775718</v>
      </c>
      <c r="CE425" s="3">
        <v>9.0344139544108941</v>
      </c>
      <c r="CF425" s="3">
        <v>-0.95225271225576691</v>
      </c>
      <c r="CG425" s="3">
        <v>-1.4855860455890983</v>
      </c>
      <c r="CH425" s="3">
        <v>-2.5622527122557663</v>
      </c>
      <c r="CI425" s="13">
        <f>[1]!dbasum(RecData[[#This Row],[20]:[2000]],RecData[[#Headers],[20]:[2000]])</f>
        <v>16.325836181281016</v>
      </c>
      <c r="CJ425" s="14">
        <v>4877</v>
      </c>
      <c r="CK425" s="15" t="s">
        <v>249</v>
      </c>
      <c r="CL425" s="15">
        <f>RecData[[#This Row],[Start Time]]</f>
        <v>43262.063888888893</v>
      </c>
      <c r="CM425" s="16">
        <f>RecData[[#This Row],[Wind Speed avg]]</f>
        <v>0.41</v>
      </c>
      <c r="CN425" s="16">
        <f>RecData[[#This Row],[Wind Dir. avg]]</f>
        <v>140.6</v>
      </c>
      <c r="CO425" s="16">
        <f>RecData[[#This Row],[Amb. Humidity]]</f>
        <v>89</v>
      </c>
      <c r="CP425" s="16">
        <f>RecData[[#This Row],[Amb. Temperature]]</f>
        <v>8.8000000000000007</v>
      </c>
      <c r="CQ425" s="17">
        <f>RecData[[#This Row],[Amb. Rain Gauge]]</f>
        <v>0</v>
      </c>
      <c r="CR425" s="4" t="s">
        <v>50</v>
      </c>
      <c r="CS425" s="4" t="s">
        <v>49</v>
      </c>
      <c r="CT425" s="70">
        <v>-10.34200191</v>
      </c>
      <c r="CU425" s="70">
        <v>182.3253632</v>
      </c>
      <c r="CV425" s="70">
        <v>1.1664233209999999</v>
      </c>
      <c r="CW425" s="70">
        <v>0</v>
      </c>
      <c r="CX425" s="4"/>
      <c r="CY425" s="69"/>
      <c r="CZ425" s="2" t="b">
        <f>IF($DP$1="YES",IF(RecData[[#This Row],[Power (kW)]]&gt;=$CR$3, TRUE,FALSE),TRUE)</f>
        <v>0</v>
      </c>
      <c r="DA425" s="16">
        <f>MIN(MOD(180-ABS(ABS($DA$1-RecData[Yaw Angle (°)])-180),360),MOD(180-ABS(ABS($DB$1-RecData[Yaw Angle (°)])-180),360))</f>
        <v>174.79543642231243</v>
      </c>
      <c r="DB425" s="2" t="str">
        <f>IF($DP$2="None","None",IF(RecData[[#This Row],[Relative Wind Direction]]&lt;=45,"DW",IF(RecData[[#This Row],[Relative Wind Direction]]&lt;=135,"CW","UW")))</f>
        <v>UW</v>
      </c>
      <c r="DC425" s="61">
        <f>IF($CL425-$CL421&gt;1/24,#REF!,IF(SUM($CQ421:$CQ425)&gt;$DS$1,$DS$5,DC426-1))</f>
        <v>-3</v>
      </c>
      <c r="DD425" s="61">
        <f>IF($CL426-$CL425&gt;1/24,#REF!,IF(SUM($CQ421:$CQ425)&gt;$DS$1,$DS$6,DD424-1))</f>
        <v>-8</v>
      </c>
      <c r="DE425" s="18" t="b">
        <v>0</v>
      </c>
      <c r="DF425" s="2" t="b">
        <f>IF(OR(RecData[[#This Row],[WSpd_Avg '[m/s']]]-RecData[[#This Row],[Wind Speed min]]&gt;=$DF$3,RecData[[#This Row],[Wind Speed max]]-RecData[[#This Row],[WSpd_Avg '[m/s']]]&gt;=$DF$2),TRUE,FALSE)</f>
        <v>0</v>
      </c>
      <c r="DG425" s="2" t="b">
        <f>RecData[[#This Row],[Temperature '[°C']]]&lt;=-20</f>
        <v>0</v>
      </c>
      <c r="DH425" s="18" t="b">
        <f>NOT(OR(MOD(RecData[[#This Row],[TIMESTAMP]],1)&gt;0.91632,MOD(RecData[[#This Row],[TIMESTAMP]],1)&lt;0.208681))</f>
        <v>0</v>
      </c>
      <c r="DI425" s="18" t="b">
        <f>RecData[[#This Row],[Overall (dBA)]]-RecData[[#This Row],[L90]]&gt;=$DS$4</f>
        <v>0</v>
      </c>
      <c r="DJ425" s="18" t="b">
        <f>RecData[[#This Row],[Overall (dBA)]]&gt;$DS$2</f>
        <v>0</v>
      </c>
      <c r="DK425" s="18" t="b">
        <f>RecData[[#This Row],[Overall (dBA)]]&lt;$DS$3</f>
        <v>0</v>
      </c>
      <c r="DL4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5" s="2">
        <f>IF(AND(RecData[[#This Row],[Turbines ON/OFF]] = "OFF", NOT(OR(RecData[[#This Row],[Junk?]]="YES",RecData[[#This Row],[Gust?]],RecData[[#This Row],[Rain?]:[Min SPL Threshold?]]))),1,0)</f>
        <v>1</v>
      </c>
      <c r="DN425" s="16">
        <f>RecData[[#This Row],[dBA Sum]]</f>
        <v>16.325836181281016</v>
      </c>
      <c r="DO425" s="16">
        <f>RecData[[#This Row],[LAF90.0]]</f>
        <v>26.1</v>
      </c>
      <c r="DP425" s="55" t="str">
        <f>IF(AND(RecData[[#This Row],[Useable TON Data?]],RecData[[#This Row],[Turbines ON/OFF]]="ON"),RecData[[#This Row],[dBA Sum]],"")</f>
        <v/>
      </c>
      <c r="DQ425" s="55">
        <f>IF(AND(RecData[[#This Row],[Useable Background Data?]],RecData[[#This Row],[Turbines ON/OFF]]="OFF"),RecData[[#This Row],[dBA Sum]],"")</f>
        <v>16.325836181281016</v>
      </c>
      <c r="DR425" s="3">
        <f>IF(OR(RecData[[#This Row],[Useable TON Data?]],RecData[[#This Row],[Useable Background Data?]]),ROUND(RecData[[#This Row],[WSpd_Avg '[m/s']]],0),"")</f>
        <v>0</v>
      </c>
      <c r="DS425" s="85">
        <f>(0.00002)^2*(10^(RecData[[#This Row],[Overall (dBA)]]/10))</f>
        <v>1.7164992162192277E-8</v>
      </c>
    </row>
    <row r="426" spans="1:123" ht="15" x14ac:dyDescent="0.25">
      <c r="A426" s="3" t="s">
        <v>249</v>
      </c>
      <c r="B426" s="12">
        <v>43262.06458333334</v>
      </c>
      <c r="C426" s="3"/>
      <c r="D426" s="3">
        <v>29.7</v>
      </c>
      <c r="E426" s="3"/>
      <c r="F426" s="3"/>
      <c r="G426" s="3"/>
      <c r="H426" s="3"/>
      <c r="I426" s="3"/>
      <c r="J426" s="3"/>
      <c r="K426" s="3">
        <v>21.3</v>
      </c>
      <c r="L426" s="3"/>
      <c r="M426" s="3"/>
      <c r="N426" s="3">
        <v>146.6</v>
      </c>
      <c r="O426" s="3"/>
      <c r="P426" s="3"/>
      <c r="Q426" s="3">
        <v>0.44</v>
      </c>
      <c r="R426" s="3">
        <v>0.2</v>
      </c>
      <c r="S426" s="3">
        <v>0.7</v>
      </c>
      <c r="T426" s="3">
        <v>8.8000000000000007</v>
      </c>
      <c r="U426" s="3">
        <v>88.9</v>
      </c>
      <c r="V426" s="3">
        <v>974.2</v>
      </c>
      <c r="W426" s="3">
        <v>0</v>
      </c>
      <c r="X426" s="3">
        <v>24.3</v>
      </c>
      <c r="Y426" s="3">
        <v>24.4</v>
      </c>
      <c r="Z426" s="3">
        <v>25</v>
      </c>
      <c r="AA426" s="3">
        <v>14.5</v>
      </c>
      <c r="AB426" s="3">
        <v>13.2</v>
      </c>
      <c r="AC426" s="3">
        <v>6.6</v>
      </c>
      <c r="AD426" s="3">
        <v>6.4</v>
      </c>
      <c r="AE426" s="3">
        <v>10.5</v>
      </c>
      <c r="AF426" s="3">
        <v>12.1</v>
      </c>
      <c r="AG426" s="3">
        <v>9.6</v>
      </c>
      <c r="AH426" s="3">
        <v>10.1</v>
      </c>
      <c r="AI426" s="3">
        <v>10.1</v>
      </c>
      <c r="AJ426" s="3">
        <v>11.7</v>
      </c>
      <c r="AK426" s="3">
        <v>10.6</v>
      </c>
      <c r="AL426" s="3">
        <v>8.3000000000000007</v>
      </c>
      <c r="AM426" s="3">
        <v>8.1</v>
      </c>
      <c r="AN426" s="3">
        <v>8</v>
      </c>
      <c r="AO426" s="3">
        <v>8.1999999999999993</v>
      </c>
      <c r="AP426" s="3">
        <v>7.5</v>
      </c>
      <c r="AQ426" s="3">
        <v>7.4</v>
      </c>
      <c r="AR426" s="3">
        <v>6.7</v>
      </c>
      <c r="AS426" s="3">
        <v>19</v>
      </c>
      <c r="AT426" s="3">
        <v>27.5</v>
      </c>
      <c r="AU426" s="3">
        <v>8.4</v>
      </c>
      <c r="AV426" s="3">
        <v>8.6</v>
      </c>
      <c r="AW426" s="3">
        <v>9.1999999999999993</v>
      </c>
      <c r="AX426" s="3">
        <v>9.4</v>
      </c>
      <c r="AY426" s="3">
        <v>9.6</v>
      </c>
      <c r="AZ426" s="3">
        <v>0</v>
      </c>
      <c r="BA426" s="3">
        <v>0</v>
      </c>
      <c r="BB426" s="3">
        <v>0</v>
      </c>
      <c r="BC426" s="3">
        <v>29.698862353062601</v>
      </c>
      <c r="BD426" s="3">
        <v>24.301137646937399</v>
      </c>
      <c r="BE426" s="3">
        <v>24.401137646937393</v>
      </c>
      <c r="BF426" s="3">
        <v>23.761137646937399</v>
      </c>
      <c r="BG426" s="3">
        <v>13.58780431360406</v>
      </c>
      <c r="BH426" s="3">
        <v>12.427804313604064</v>
      </c>
      <c r="BI426" s="3">
        <v>6.2411376469373963</v>
      </c>
      <c r="BJ426" s="3">
        <v>6.83447098027073</v>
      </c>
      <c r="BK426" s="3">
        <v>10.807804313604059</v>
      </c>
      <c r="BL426" s="3">
        <v>11.981137646937398</v>
      </c>
      <c r="BM426" s="3">
        <v>9.6144709802707311</v>
      </c>
      <c r="BN426" s="3">
        <v>10.397804313604063</v>
      </c>
      <c r="BO426" s="3">
        <v>9.7644709802707368</v>
      </c>
      <c r="BP426" s="3">
        <v>11.0811376469374</v>
      </c>
      <c r="BQ426" s="3">
        <v>10.397804313604055</v>
      </c>
      <c r="BR426" s="3">
        <v>8.4244709802707334</v>
      </c>
      <c r="BS426" s="3">
        <v>8.0278043136040651</v>
      </c>
      <c r="BT426" s="3">
        <v>8.1244709802707362</v>
      </c>
      <c r="BU426" s="3">
        <v>8.2911376469374005</v>
      </c>
      <c r="BV426" s="3">
        <v>7.3078043136040662</v>
      </c>
      <c r="BW426" s="3">
        <v>7.7411376469374034</v>
      </c>
      <c r="BX426" s="3">
        <v>6.9611376469374022</v>
      </c>
      <c r="BY426" s="3">
        <v>19.0811376469374</v>
      </c>
      <c r="BZ426" s="3">
        <v>27.711137646937402</v>
      </c>
      <c r="CA426" s="3">
        <v>8.7111376469373951</v>
      </c>
      <c r="CB426" s="3">
        <v>8.3478043136040654</v>
      </c>
      <c r="CC426" s="3">
        <v>9.161137646937398</v>
      </c>
      <c r="CD426" s="3">
        <v>8.6678043136040728</v>
      </c>
      <c r="CE426" s="3">
        <v>9.0611376469373965</v>
      </c>
      <c r="CF426" s="3">
        <v>-0.92552901972926804</v>
      </c>
      <c r="CG426" s="3">
        <v>-1.4588623530625995</v>
      </c>
      <c r="CH426" s="3">
        <v>-2.5355290197292675</v>
      </c>
      <c r="CI426" s="13">
        <f>[1]!dbasum(RecData[[#This Row],[20]:[2000]],RecData[[#Headers],[20]:[2000]])</f>
        <v>16.931350215940032</v>
      </c>
      <c r="CJ426" s="14">
        <v>4878</v>
      </c>
      <c r="CK426" s="15" t="s">
        <v>249</v>
      </c>
      <c r="CL426" s="15">
        <f>RecData[[#This Row],[Start Time]]</f>
        <v>43262.06458333334</v>
      </c>
      <c r="CM426" s="16">
        <f>RecData[[#This Row],[Wind Speed avg]]</f>
        <v>0.44</v>
      </c>
      <c r="CN426" s="16">
        <f>RecData[[#This Row],[Wind Dir. avg]]</f>
        <v>146.6</v>
      </c>
      <c r="CO426" s="16">
        <f>RecData[[#This Row],[Amb. Humidity]]</f>
        <v>88.9</v>
      </c>
      <c r="CP426" s="16">
        <f>RecData[[#This Row],[Amb. Temperature]]</f>
        <v>8.8000000000000007</v>
      </c>
      <c r="CQ426" s="17">
        <f>RecData[[#This Row],[Amb. Rain Gauge]]</f>
        <v>0</v>
      </c>
      <c r="CR426" s="4" t="s">
        <v>50</v>
      </c>
      <c r="CS426" s="4" t="s">
        <v>49</v>
      </c>
      <c r="CT426" s="70">
        <v>-10.34200191</v>
      </c>
      <c r="CU426" s="70">
        <v>182.3253632</v>
      </c>
      <c r="CV426" s="70">
        <v>1.1664233209999999</v>
      </c>
      <c r="CW426" s="70">
        <v>0</v>
      </c>
      <c r="CX426" s="4"/>
      <c r="CY426" s="69"/>
      <c r="CZ426" s="2" t="b">
        <f>IF($DP$1="YES",IF(RecData[[#This Row],[Power (kW)]]&gt;=$CR$3, TRUE,FALSE),TRUE)</f>
        <v>0</v>
      </c>
      <c r="DA426" s="16">
        <f>MIN(MOD(180-ABS(ABS($DA$1-RecData[Yaw Angle (°)])-180),360),MOD(180-ABS(ABS($DB$1-RecData[Yaw Angle (°)])-180),360))</f>
        <v>174.79543642231243</v>
      </c>
      <c r="DB426" s="2" t="str">
        <f>IF($DP$2="None","None",IF(RecData[[#This Row],[Relative Wind Direction]]&lt;=45,"DW",IF(RecData[[#This Row],[Relative Wind Direction]]&lt;=135,"CW","UW")))</f>
        <v>UW</v>
      </c>
      <c r="DC426" s="61">
        <f>IF($CL426-$CL422&gt;1/24,#REF!,IF(SUM($CQ422:$CQ426)&gt;$DS$1,$DS$5,DC427-1))</f>
        <v>-2</v>
      </c>
      <c r="DD426" s="61">
        <f>IF($CL427-$CL426&gt;1/24,#REF!,IF(SUM($CQ422:$CQ426)&gt;$DS$1,$DS$6,DD425-1))</f>
        <v>-9</v>
      </c>
      <c r="DE426" s="18" t="b">
        <v>0</v>
      </c>
      <c r="DF426" s="2" t="b">
        <f>IF(OR(RecData[[#This Row],[WSpd_Avg '[m/s']]]-RecData[[#This Row],[Wind Speed min]]&gt;=$DF$3,RecData[[#This Row],[Wind Speed max]]-RecData[[#This Row],[WSpd_Avg '[m/s']]]&gt;=$DF$2),TRUE,FALSE)</f>
        <v>0</v>
      </c>
      <c r="DG426" s="2" t="b">
        <f>RecData[[#This Row],[Temperature '[°C']]]&lt;=-20</f>
        <v>0</v>
      </c>
      <c r="DH426" s="18" t="b">
        <f>NOT(OR(MOD(RecData[[#This Row],[TIMESTAMP]],1)&gt;0.91632,MOD(RecData[[#This Row],[TIMESTAMP]],1)&lt;0.208681))</f>
        <v>0</v>
      </c>
      <c r="DI426" s="18" t="b">
        <f>RecData[[#This Row],[Overall (dBA)]]-RecData[[#This Row],[L90]]&gt;=$DS$4</f>
        <v>0</v>
      </c>
      <c r="DJ426" s="18" t="b">
        <f>RecData[[#This Row],[Overall (dBA)]]&gt;$DS$2</f>
        <v>0</v>
      </c>
      <c r="DK426" s="18" t="b">
        <f>RecData[[#This Row],[Overall (dBA)]]&lt;$DS$3</f>
        <v>0</v>
      </c>
      <c r="DL4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6" s="2">
        <f>IF(AND(RecData[[#This Row],[Turbines ON/OFF]] = "OFF", NOT(OR(RecData[[#This Row],[Junk?]]="YES",RecData[[#This Row],[Gust?]],RecData[[#This Row],[Rain?]:[Min SPL Threshold?]]))),1,0)</f>
        <v>1</v>
      </c>
      <c r="DN426" s="16">
        <f>RecData[[#This Row],[dBA Sum]]</f>
        <v>16.931350215940032</v>
      </c>
      <c r="DO426" s="16">
        <f>RecData[[#This Row],[LAF90.0]]</f>
        <v>21.3</v>
      </c>
      <c r="DP426" s="55" t="str">
        <f>IF(AND(RecData[[#This Row],[Useable TON Data?]],RecData[[#This Row],[Turbines ON/OFF]]="ON"),RecData[[#This Row],[dBA Sum]],"")</f>
        <v/>
      </c>
      <c r="DQ426" s="55">
        <f>IF(AND(RecData[[#This Row],[Useable Background Data?]],RecData[[#This Row],[Turbines ON/OFF]]="OFF"),RecData[[#This Row],[dBA Sum]],"")</f>
        <v>16.931350215940032</v>
      </c>
      <c r="DR426" s="3">
        <f>IF(OR(RecData[[#This Row],[Useable TON Data?]],RecData[[#This Row],[Useable Background Data?]]),ROUND(RecData[[#This Row],[WSpd_Avg '[m/s']]],0),"")</f>
        <v>0</v>
      </c>
      <c r="DS426" s="85">
        <f>(0.00002)^2*(10^(RecData[[#This Row],[Overall (dBA)]]/10))</f>
        <v>1.9733086195650214E-8</v>
      </c>
    </row>
    <row r="427" spans="1:123" ht="15" x14ac:dyDescent="0.25">
      <c r="A427" s="3" t="s">
        <v>249</v>
      </c>
      <c r="B427" s="12">
        <v>43262.06527777778</v>
      </c>
      <c r="C427" s="3"/>
      <c r="D427" s="3">
        <v>32.799999999999997</v>
      </c>
      <c r="E427" s="3"/>
      <c r="F427" s="3"/>
      <c r="G427" s="3"/>
      <c r="H427" s="3"/>
      <c r="I427" s="3"/>
      <c r="J427" s="3"/>
      <c r="K427" s="3">
        <v>27.1</v>
      </c>
      <c r="L427" s="3"/>
      <c r="M427" s="3"/>
      <c r="N427" s="3">
        <v>166.1</v>
      </c>
      <c r="O427" s="3"/>
      <c r="P427" s="3"/>
      <c r="Q427" s="3">
        <v>0.94</v>
      </c>
      <c r="R427" s="3">
        <v>0.5</v>
      </c>
      <c r="S427" s="3">
        <v>1.3</v>
      </c>
      <c r="T427" s="3">
        <v>8.8000000000000007</v>
      </c>
      <c r="U427" s="3">
        <v>88.9</v>
      </c>
      <c r="V427" s="3">
        <v>974.3</v>
      </c>
      <c r="W427" s="3">
        <v>0</v>
      </c>
      <c r="X427" s="3">
        <v>20.8</v>
      </c>
      <c r="Y427" s="3">
        <v>20.3</v>
      </c>
      <c r="Z427" s="3">
        <v>18.2</v>
      </c>
      <c r="AA427" s="3">
        <v>12.3</v>
      </c>
      <c r="AB427" s="3">
        <v>12.5</v>
      </c>
      <c r="AC427" s="3">
        <v>6.4</v>
      </c>
      <c r="AD427" s="3">
        <v>7.2</v>
      </c>
      <c r="AE427" s="3">
        <v>9.8000000000000007</v>
      </c>
      <c r="AF427" s="3">
        <v>13.1</v>
      </c>
      <c r="AG427" s="3">
        <v>9.8000000000000007</v>
      </c>
      <c r="AH427" s="3">
        <v>9.1</v>
      </c>
      <c r="AI427" s="3">
        <v>10.7</v>
      </c>
      <c r="AJ427" s="3">
        <v>11.3</v>
      </c>
      <c r="AK427" s="3">
        <v>10.4</v>
      </c>
      <c r="AL427" s="3">
        <v>8.6</v>
      </c>
      <c r="AM427" s="3">
        <v>7.6</v>
      </c>
      <c r="AN427" s="3">
        <v>8.3000000000000007</v>
      </c>
      <c r="AO427" s="3">
        <v>8.9</v>
      </c>
      <c r="AP427" s="3">
        <v>7.4</v>
      </c>
      <c r="AQ427" s="3">
        <v>8.1999999999999993</v>
      </c>
      <c r="AR427" s="3">
        <v>7.2</v>
      </c>
      <c r="AS427" s="3">
        <v>26.4</v>
      </c>
      <c r="AT427" s="3">
        <v>29.6</v>
      </c>
      <c r="AU427" s="3">
        <v>8.8000000000000007</v>
      </c>
      <c r="AV427" s="3">
        <v>8.6999999999999993</v>
      </c>
      <c r="AW427" s="3">
        <v>9.1999999999999993</v>
      </c>
      <c r="AX427" s="3">
        <v>9.3000000000000007</v>
      </c>
      <c r="AY427" s="3">
        <v>9.6</v>
      </c>
      <c r="AZ427" s="3">
        <v>0</v>
      </c>
      <c r="BA427" s="3">
        <v>0</v>
      </c>
      <c r="BB427" s="3">
        <v>0</v>
      </c>
      <c r="BC427" s="3">
        <v>32.731324423131191</v>
      </c>
      <c r="BD427" s="3">
        <v>20.868675576868803</v>
      </c>
      <c r="BE427" s="3">
        <v>20.368675576868803</v>
      </c>
      <c r="BF427" s="3">
        <v>17.028675576868807</v>
      </c>
      <c r="BG427" s="3">
        <v>11.455342243535469</v>
      </c>
      <c r="BH427" s="3">
        <v>11.795342243535472</v>
      </c>
      <c r="BI427" s="3">
        <v>6.108675576868805</v>
      </c>
      <c r="BJ427" s="3">
        <v>7.7020089102021387</v>
      </c>
      <c r="BK427" s="3">
        <v>10.175342243535468</v>
      </c>
      <c r="BL427" s="3">
        <v>13.04867557686881</v>
      </c>
      <c r="BM427" s="3">
        <v>9.8820089102021385</v>
      </c>
      <c r="BN427" s="3">
        <v>9.4653422435354742</v>
      </c>
      <c r="BO427" s="3">
        <v>10.432008910202143</v>
      </c>
      <c r="BP427" s="3">
        <v>10.748675576868806</v>
      </c>
      <c r="BQ427" s="3">
        <v>10.265342243535464</v>
      </c>
      <c r="BR427" s="3">
        <v>8.7920089102021421</v>
      </c>
      <c r="BS427" s="3">
        <v>7.5953422435354696</v>
      </c>
      <c r="BT427" s="3">
        <v>8.4920089102021379</v>
      </c>
      <c r="BU427" s="3">
        <v>9.0586755768688079</v>
      </c>
      <c r="BV427" s="3">
        <v>7.2753422435354764</v>
      </c>
      <c r="BW427" s="3">
        <v>8.6086755768688121</v>
      </c>
      <c r="BX427" s="3">
        <v>7.5286755768688138</v>
      </c>
      <c r="BY427" s="3">
        <v>26.548675576868803</v>
      </c>
      <c r="BZ427" s="3">
        <v>29.878675576868808</v>
      </c>
      <c r="CA427" s="3">
        <v>9.1786755768687982</v>
      </c>
      <c r="CB427" s="3">
        <v>8.5153422435354713</v>
      </c>
      <c r="CC427" s="3">
        <v>9.2286755768688025</v>
      </c>
      <c r="CD427" s="3">
        <v>8.6353422435354759</v>
      </c>
      <c r="CE427" s="3">
        <v>9.1286755768688082</v>
      </c>
      <c r="CF427" s="3">
        <v>-0.85799108979785998</v>
      </c>
      <c r="CG427" s="3">
        <v>-1.3913244231311914</v>
      </c>
      <c r="CH427" s="3">
        <v>-2.4679910897978594</v>
      </c>
      <c r="CI427" s="13">
        <f>[1]!dbasum(RecData[[#This Row],[20]:[2000]],RecData[[#Headers],[20]:[2000]])</f>
        <v>17.270983852057778</v>
      </c>
      <c r="CJ427" s="14">
        <v>4879</v>
      </c>
      <c r="CK427" s="15" t="s">
        <v>249</v>
      </c>
      <c r="CL427" s="15">
        <f>RecData[[#This Row],[Start Time]]</f>
        <v>43262.06527777778</v>
      </c>
      <c r="CM427" s="16">
        <f>RecData[[#This Row],[Wind Speed avg]]</f>
        <v>0.94</v>
      </c>
      <c r="CN427" s="16">
        <f>RecData[[#This Row],[Wind Dir. avg]]</f>
        <v>166.1</v>
      </c>
      <c r="CO427" s="16">
        <f>RecData[[#This Row],[Amb. Humidity]]</f>
        <v>88.9</v>
      </c>
      <c r="CP427" s="16">
        <f>RecData[[#This Row],[Amb. Temperature]]</f>
        <v>8.8000000000000007</v>
      </c>
      <c r="CQ427" s="17">
        <f>RecData[[#This Row],[Amb. Rain Gauge]]</f>
        <v>0</v>
      </c>
      <c r="CR427" s="4" t="s">
        <v>50</v>
      </c>
      <c r="CS427" s="4" t="s">
        <v>49</v>
      </c>
      <c r="CT427" s="70">
        <v>-10.34200191</v>
      </c>
      <c r="CU427" s="70">
        <v>182.3253632</v>
      </c>
      <c r="CV427" s="70">
        <v>1.1664233209999999</v>
      </c>
      <c r="CW427" s="70">
        <v>0</v>
      </c>
      <c r="CX427" s="4"/>
      <c r="CY427" s="69"/>
      <c r="CZ427" s="2" t="b">
        <f>IF($DP$1="YES",IF(RecData[[#This Row],[Power (kW)]]&gt;=$CR$3, TRUE,FALSE),TRUE)</f>
        <v>0</v>
      </c>
      <c r="DA427" s="16">
        <f>MIN(MOD(180-ABS(ABS($DA$1-RecData[Yaw Angle (°)])-180),360),MOD(180-ABS(ABS($DB$1-RecData[Yaw Angle (°)])-180),360))</f>
        <v>174.79543642231243</v>
      </c>
      <c r="DB427" s="2" t="str">
        <f>IF($DP$2="None","None",IF(RecData[[#This Row],[Relative Wind Direction]]&lt;=45,"DW",IF(RecData[[#This Row],[Relative Wind Direction]]&lt;=135,"CW","UW")))</f>
        <v>UW</v>
      </c>
      <c r="DC427" s="61">
        <v>-1</v>
      </c>
      <c r="DD427" s="61">
        <v>-1</v>
      </c>
      <c r="DE427" s="18" t="b">
        <v>0</v>
      </c>
      <c r="DF427" s="2" t="b">
        <f>IF(OR(RecData[[#This Row],[WSpd_Avg '[m/s']]]-RecData[[#This Row],[Wind Speed min]]&gt;=$DF$3,RecData[[#This Row],[Wind Speed max]]-RecData[[#This Row],[WSpd_Avg '[m/s']]]&gt;=$DF$2),TRUE,FALSE)</f>
        <v>0</v>
      </c>
      <c r="DG427" s="2" t="b">
        <f>RecData[[#This Row],[Temperature '[°C']]]&lt;=-20</f>
        <v>0</v>
      </c>
      <c r="DH427" s="18" t="b">
        <f>NOT(OR(MOD(RecData[[#This Row],[TIMESTAMP]],1)&gt;0.91632,MOD(RecData[[#This Row],[TIMESTAMP]],1)&lt;0.208681))</f>
        <v>0</v>
      </c>
      <c r="DI427" s="18" t="b">
        <f>RecData[[#This Row],[Overall (dBA)]]-RecData[[#This Row],[L90]]&gt;=$DS$4</f>
        <v>0</v>
      </c>
      <c r="DJ427" s="18" t="b">
        <f>RecData[[#This Row],[Overall (dBA)]]&gt;$DS$2</f>
        <v>0</v>
      </c>
      <c r="DK427" s="18" t="b">
        <f>RecData[[#This Row],[Overall (dBA)]]&lt;$DS$3</f>
        <v>0</v>
      </c>
      <c r="DL4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7" s="2">
        <f>IF(AND(RecData[[#This Row],[Turbines ON/OFF]] = "OFF", NOT(OR(RecData[[#This Row],[Junk?]]="YES",RecData[[#This Row],[Gust?]],RecData[[#This Row],[Rain?]:[Min SPL Threshold?]]))),1,0)</f>
        <v>1</v>
      </c>
      <c r="DN427" s="16">
        <f>RecData[[#This Row],[dBA Sum]]</f>
        <v>17.270983852057778</v>
      </c>
      <c r="DO427" s="16">
        <f>RecData[[#This Row],[LAF90.0]]</f>
        <v>27.1</v>
      </c>
      <c r="DP427" s="55" t="str">
        <f>IF(AND(RecData[[#This Row],[Useable TON Data?]],RecData[[#This Row],[Turbines ON/OFF]]="ON"),RecData[[#This Row],[dBA Sum]],"")</f>
        <v/>
      </c>
      <c r="DQ427" s="55">
        <f>IF(AND(RecData[[#This Row],[Useable Background Data?]],RecData[[#This Row],[Turbines ON/OFF]]="OFF"),RecData[[#This Row],[dBA Sum]],"")</f>
        <v>17.270983852057778</v>
      </c>
      <c r="DR427" s="3">
        <f>IF(OR(RecData[[#This Row],[Useable TON Data?]],RecData[[#This Row],[Useable Background Data?]]),ROUND(RecData[[#This Row],[WSpd_Avg '[m/s']]],0),"")</f>
        <v>1</v>
      </c>
      <c r="DS427" s="85">
        <f>(0.00002)^2*(10^(RecData[[#This Row],[Overall (dBA)]]/10))</f>
        <v>2.1338229241030371E-8</v>
      </c>
    </row>
    <row r="428" spans="1:123" ht="15" x14ac:dyDescent="0.25">
      <c r="A428" s="3" t="s">
        <v>249</v>
      </c>
      <c r="B428" s="12">
        <v>43262.065972222226</v>
      </c>
      <c r="C428" s="3"/>
      <c r="D428" s="3">
        <v>30.9</v>
      </c>
      <c r="E428" s="3"/>
      <c r="F428" s="3"/>
      <c r="G428" s="3"/>
      <c r="H428" s="3"/>
      <c r="I428" s="3"/>
      <c r="J428" s="3"/>
      <c r="K428" s="3">
        <v>23.1</v>
      </c>
      <c r="L428" s="3"/>
      <c r="M428" s="3"/>
      <c r="N428" s="3">
        <v>141.80000000000001</v>
      </c>
      <c r="O428" s="3"/>
      <c r="P428" s="3"/>
      <c r="Q428" s="3">
        <v>1.1000000000000001</v>
      </c>
      <c r="R428" s="3">
        <v>0.6</v>
      </c>
      <c r="S428" s="3">
        <v>1.7</v>
      </c>
      <c r="T428" s="3">
        <v>8.6999999999999993</v>
      </c>
      <c r="U428" s="3">
        <v>88.5</v>
      </c>
      <c r="V428" s="3">
        <v>974.3</v>
      </c>
      <c r="W428" s="3">
        <v>0</v>
      </c>
      <c r="X428" s="3">
        <v>18.3</v>
      </c>
      <c r="Y428" s="3">
        <v>15.7</v>
      </c>
      <c r="Z428" s="3">
        <v>19</v>
      </c>
      <c r="AA428" s="3">
        <v>11.4</v>
      </c>
      <c r="AB428" s="3">
        <v>10</v>
      </c>
      <c r="AC428" s="3">
        <v>6.6</v>
      </c>
      <c r="AD428" s="3">
        <v>7</v>
      </c>
      <c r="AE428" s="3">
        <v>9.3000000000000007</v>
      </c>
      <c r="AF428" s="3">
        <v>12.5</v>
      </c>
      <c r="AG428" s="3">
        <v>10.7</v>
      </c>
      <c r="AH428" s="3">
        <v>10.1</v>
      </c>
      <c r="AI428" s="3">
        <v>10.3</v>
      </c>
      <c r="AJ428" s="3">
        <v>10.7</v>
      </c>
      <c r="AK428" s="3">
        <v>9</v>
      </c>
      <c r="AL428" s="3">
        <v>7.1</v>
      </c>
      <c r="AM428" s="3">
        <v>6.8</v>
      </c>
      <c r="AN428" s="3">
        <v>7.5</v>
      </c>
      <c r="AO428" s="3">
        <v>8.1</v>
      </c>
      <c r="AP428" s="3">
        <v>7.2</v>
      </c>
      <c r="AQ428" s="3">
        <v>7.7</v>
      </c>
      <c r="AR428" s="3">
        <v>7.2</v>
      </c>
      <c r="AS428" s="3">
        <v>18.899999999999999</v>
      </c>
      <c r="AT428" s="3">
        <v>28.9</v>
      </c>
      <c r="AU428" s="3">
        <v>8.9</v>
      </c>
      <c r="AV428" s="3">
        <v>8.8000000000000007</v>
      </c>
      <c r="AW428" s="3">
        <v>9.1999999999999993</v>
      </c>
      <c r="AX428" s="3">
        <v>9.3000000000000007</v>
      </c>
      <c r="AY428" s="3">
        <v>9.6</v>
      </c>
      <c r="AZ428" s="3">
        <v>0</v>
      </c>
      <c r="BA428" s="3">
        <v>0</v>
      </c>
      <c r="BB428" s="3">
        <v>0</v>
      </c>
      <c r="BC428" s="3">
        <v>30.828801216167918</v>
      </c>
      <c r="BD428" s="3">
        <v>18.371198783832085</v>
      </c>
      <c r="BE428" s="3">
        <v>15.771198783832077</v>
      </c>
      <c r="BF428" s="3">
        <v>17.831198783832079</v>
      </c>
      <c r="BG428" s="3">
        <v>10.557865450498745</v>
      </c>
      <c r="BH428" s="3">
        <v>9.2978654504987475</v>
      </c>
      <c r="BI428" s="3">
        <v>6.3111987838320829</v>
      </c>
      <c r="BJ428" s="3">
        <v>7.5045321171654109</v>
      </c>
      <c r="BK428" s="3">
        <v>9.6778654504987429</v>
      </c>
      <c r="BL428" s="3">
        <v>12.451198783832083</v>
      </c>
      <c r="BM428" s="3">
        <v>10.784532117165412</v>
      </c>
      <c r="BN428" s="3">
        <v>10.467865450498749</v>
      </c>
      <c r="BO428" s="3">
        <v>10.034532117165419</v>
      </c>
      <c r="BP428" s="3">
        <v>10.151198783832079</v>
      </c>
      <c r="BQ428" s="3">
        <v>8.8678654504987406</v>
      </c>
      <c r="BR428" s="3">
        <v>7.2945321171654172</v>
      </c>
      <c r="BS428" s="3">
        <v>6.7978654504987475</v>
      </c>
      <c r="BT428" s="3">
        <v>7.6945321171654157</v>
      </c>
      <c r="BU428" s="3">
        <v>8.2611987838320857</v>
      </c>
      <c r="BV428" s="3">
        <v>7.0778654504987486</v>
      </c>
      <c r="BW428" s="3">
        <v>8.11119878383208</v>
      </c>
      <c r="BX428" s="3">
        <v>7.5311987838320888</v>
      </c>
      <c r="BY428" s="3">
        <v>19.051198783832078</v>
      </c>
      <c r="BZ428" s="3">
        <v>29.181198783832087</v>
      </c>
      <c r="CA428" s="3">
        <v>9.2811987838320746</v>
      </c>
      <c r="CB428" s="3">
        <v>8.6178654504987477</v>
      </c>
      <c r="CC428" s="3">
        <v>9.2311987838320775</v>
      </c>
      <c r="CD428" s="3">
        <v>8.6378654504987509</v>
      </c>
      <c r="CE428" s="3">
        <v>9.1311987838320761</v>
      </c>
      <c r="CF428" s="3">
        <v>-0.85546788283458497</v>
      </c>
      <c r="CG428" s="3">
        <v>-1.3888012161679164</v>
      </c>
      <c r="CH428" s="3">
        <v>-2.4654678828345844</v>
      </c>
      <c r="CI428" s="13">
        <f>[1]!dbasum(RecData[[#This Row],[20]:[2000]],RecData[[#Headers],[20]:[2000]])</f>
        <v>16.708626643697663</v>
      </c>
      <c r="CJ428" s="14">
        <v>4880</v>
      </c>
      <c r="CK428" s="15" t="s">
        <v>249</v>
      </c>
      <c r="CL428" s="15">
        <f>RecData[[#This Row],[Start Time]]</f>
        <v>43262.065972222226</v>
      </c>
      <c r="CM428" s="16">
        <f>RecData[[#This Row],[Wind Speed avg]]</f>
        <v>1.1000000000000001</v>
      </c>
      <c r="CN428" s="16">
        <f>RecData[[#This Row],[Wind Dir. avg]]</f>
        <v>141.80000000000001</v>
      </c>
      <c r="CO428" s="16">
        <f>RecData[[#This Row],[Amb. Humidity]]</f>
        <v>88.5</v>
      </c>
      <c r="CP428" s="16">
        <f>RecData[[#This Row],[Amb. Temperature]]</f>
        <v>8.6999999999999993</v>
      </c>
      <c r="CQ428" s="17">
        <f>RecData[[#This Row],[Amb. Rain Gauge]]</f>
        <v>0</v>
      </c>
      <c r="CR428" s="4" t="s">
        <v>50</v>
      </c>
      <c r="CS428" s="4" t="s">
        <v>49</v>
      </c>
      <c r="CT428" s="70">
        <v>-10.34200191</v>
      </c>
      <c r="CU428" s="70">
        <v>182.3253632</v>
      </c>
      <c r="CV428" s="70">
        <v>1.1664233209999999</v>
      </c>
      <c r="CW428" s="70">
        <v>0</v>
      </c>
      <c r="CX428" s="4"/>
      <c r="CY428" s="69"/>
      <c r="CZ428" s="2" t="b">
        <f>IF($DP$1="YES",IF(RecData[[#This Row],[Power (kW)]]&gt;=$CR$3, TRUE,FALSE),TRUE)</f>
        <v>0</v>
      </c>
      <c r="DA428" s="16">
        <f>MIN(MOD(180-ABS(ABS($DA$1-RecData[Yaw Angle (°)])-180),360),MOD(180-ABS(ABS($DB$1-RecData[Yaw Angle (°)])-180),360))</f>
        <v>174.79543642231243</v>
      </c>
      <c r="DB428" s="2" t="str">
        <f>IF($DP$2="None","None",IF(RecData[[#This Row],[Relative Wind Direction]]&lt;=45,"DW",IF(RecData[[#This Row],[Relative Wind Direction]]&lt;=135,"CW","UW")))</f>
        <v>UW</v>
      </c>
      <c r="DC428" s="61">
        <f>IF($CL428-$CL427&gt;1/24,#REF!,IF(SUM($CQ427:$CQ428)&gt;$DS$1,$DS$5,DC429-1))</f>
        <v>-9</v>
      </c>
      <c r="DD428" s="61">
        <f>IF($CL429-$CL428&gt;1/24,#REF!,IF(SUM($CQ427:$CQ428)&gt;$DS$1,$DS$6,DD427-1))</f>
        <v>-2</v>
      </c>
      <c r="DE428" s="18" t="b">
        <v>0</v>
      </c>
      <c r="DF428" s="2" t="b">
        <f>IF(OR(RecData[[#This Row],[WSpd_Avg '[m/s']]]-RecData[[#This Row],[Wind Speed min]]&gt;=$DF$3,RecData[[#This Row],[Wind Speed max]]-RecData[[#This Row],[WSpd_Avg '[m/s']]]&gt;=$DF$2),TRUE,FALSE)</f>
        <v>0</v>
      </c>
      <c r="DG428" s="2" t="b">
        <f>RecData[[#This Row],[Temperature '[°C']]]&lt;=-20</f>
        <v>0</v>
      </c>
      <c r="DH428" s="18" t="b">
        <f>NOT(OR(MOD(RecData[[#This Row],[TIMESTAMP]],1)&gt;0.91632,MOD(RecData[[#This Row],[TIMESTAMP]],1)&lt;0.208681))</f>
        <v>0</v>
      </c>
      <c r="DI428" s="18" t="b">
        <f>RecData[[#This Row],[Overall (dBA)]]-RecData[[#This Row],[L90]]&gt;=$DS$4</f>
        <v>0</v>
      </c>
      <c r="DJ428" s="18" t="b">
        <f>RecData[[#This Row],[Overall (dBA)]]&gt;$DS$2</f>
        <v>0</v>
      </c>
      <c r="DK428" s="18" t="b">
        <f>RecData[[#This Row],[Overall (dBA)]]&lt;$DS$3</f>
        <v>0</v>
      </c>
      <c r="DL4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8" s="2">
        <f>IF(AND(RecData[[#This Row],[Turbines ON/OFF]] = "OFF", NOT(OR(RecData[[#This Row],[Junk?]]="YES",RecData[[#This Row],[Gust?]],RecData[[#This Row],[Rain?]:[Min SPL Threshold?]]))),1,0)</f>
        <v>1</v>
      </c>
      <c r="DN428" s="16">
        <f>RecData[[#This Row],[dBA Sum]]</f>
        <v>16.708626643697663</v>
      </c>
      <c r="DO428" s="16">
        <f>RecData[[#This Row],[LAF90.0]]</f>
        <v>23.1</v>
      </c>
      <c r="DP428" s="55" t="str">
        <f>IF(AND(RecData[[#This Row],[Useable TON Data?]],RecData[[#This Row],[Turbines ON/OFF]]="ON"),RecData[[#This Row],[dBA Sum]],"")</f>
        <v/>
      </c>
      <c r="DQ428" s="55">
        <f>IF(AND(RecData[[#This Row],[Useable Background Data?]],RecData[[#This Row],[Turbines ON/OFF]]="OFF"),RecData[[#This Row],[dBA Sum]],"")</f>
        <v>16.708626643697663</v>
      </c>
      <c r="DR428" s="3">
        <f>IF(OR(RecData[[#This Row],[Useable TON Data?]],RecData[[#This Row],[Useable Background Data?]]),ROUND(RecData[[#This Row],[WSpd_Avg '[m/s']]],0),"")</f>
        <v>1</v>
      </c>
      <c r="DS428" s="85">
        <f>(0.00002)^2*(10^(RecData[[#This Row],[Overall (dBA)]]/10))</f>
        <v>1.8746606165828487E-8</v>
      </c>
    </row>
    <row r="429" spans="1:123" ht="15" x14ac:dyDescent="0.25">
      <c r="A429" s="3" t="s">
        <v>249</v>
      </c>
      <c r="B429" s="12">
        <v>43262.066666666673</v>
      </c>
      <c r="C429" s="3"/>
      <c r="D429" s="3">
        <v>30.4</v>
      </c>
      <c r="E429" s="3"/>
      <c r="F429" s="3"/>
      <c r="G429" s="3"/>
      <c r="H429" s="3"/>
      <c r="I429" s="3"/>
      <c r="J429" s="3"/>
      <c r="K429" s="3">
        <v>25.9</v>
      </c>
      <c r="L429" s="3"/>
      <c r="M429" s="3"/>
      <c r="N429" s="3">
        <v>136.19999999999999</v>
      </c>
      <c r="O429" s="3"/>
      <c r="P429" s="3"/>
      <c r="Q429" s="3">
        <v>0.93</v>
      </c>
      <c r="R429" s="3">
        <v>0.7</v>
      </c>
      <c r="S429" s="3">
        <v>1.2</v>
      </c>
      <c r="T429" s="3">
        <v>8.6999999999999993</v>
      </c>
      <c r="U429" s="3">
        <v>88.3</v>
      </c>
      <c r="V429" s="3">
        <v>974.3</v>
      </c>
      <c r="W429" s="3">
        <v>0</v>
      </c>
      <c r="X429" s="3">
        <v>22.2</v>
      </c>
      <c r="Y429" s="3">
        <v>22.1</v>
      </c>
      <c r="Z429" s="3">
        <v>26.6</v>
      </c>
      <c r="AA429" s="3">
        <v>18.899999999999999</v>
      </c>
      <c r="AB429" s="3">
        <v>14.7</v>
      </c>
      <c r="AC429" s="3">
        <v>7.1</v>
      </c>
      <c r="AD429" s="3">
        <v>7.4</v>
      </c>
      <c r="AE429" s="3">
        <v>12.2</v>
      </c>
      <c r="AF429" s="3">
        <v>15.7</v>
      </c>
      <c r="AG429" s="3">
        <v>11.8</v>
      </c>
      <c r="AH429" s="3">
        <v>13</v>
      </c>
      <c r="AI429" s="3">
        <v>12.1</v>
      </c>
      <c r="AJ429" s="3">
        <v>13.4</v>
      </c>
      <c r="AK429" s="3">
        <v>10.199999999999999</v>
      </c>
      <c r="AL429" s="3">
        <v>8.1999999999999993</v>
      </c>
      <c r="AM429" s="3">
        <v>8.1999999999999993</v>
      </c>
      <c r="AN429" s="3">
        <v>11.3</v>
      </c>
      <c r="AO429" s="3">
        <v>8.4</v>
      </c>
      <c r="AP429" s="3">
        <v>7.5</v>
      </c>
      <c r="AQ429" s="3">
        <v>7.9</v>
      </c>
      <c r="AR429" s="3">
        <v>7.4</v>
      </c>
      <c r="AS429" s="3">
        <v>20.2</v>
      </c>
      <c r="AT429" s="3">
        <v>28.1</v>
      </c>
      <c r="AU429" s="3">
        <v>8.8000000000000007</v>
      </c>
      <c r="AV429" s="3">
        <v>8.6999999999999993</v>
      </c>
      <c r="AW429" s="3">
        <v>9.1999999999999993</v>
      </c>
      <c r="AX429" s="3">
        <v>9.3000000000000007</v>
      </c>
      <c r="AY429" s="3">
        <v>9.6</v>
      </c>
      <c r="AZ429" s="3">
        <v>0</v>
      </c>
      <c r="BA429" s="3">
        <v>0</v>
      </c>
      <c r="BB429" s="3">
        <v>0</v>
      </c>
      <c r="BC429" s="3">
        <v>30.371971705628273</v>
      </c>
      <c r="BD429" s="3">
        <v>22.228028294371722</v>
      </c>
      <c r="BE429" s="3">
        <v>22.128028294371727</v>
      </c>
      <c r="BF429" s="3">
        <v>25.388028294371733</v>
      </c>
      <c r="BG429" s="3">
        <v>18.014694961038384</v>
      </c>
      <c r="BH429" s="3">
        <v>13.954694961038395</v>
      </c>
      <c r="BI429" s="3">
        <v>6.768028294371728</v>
      </c>
      <c r="BJ429" s="3">
        <v>7.8613616277050617</v>
      </c>
      <c r="BK429" s="3">
        <v>12.534694961038387</v>
      </c>
      <c r="BL429" s="3">
        <v>15.608028294371724</v>
      </c>
      <c r="BM429" s="3">
        <v>11.841361627705066</v>
      </c>
      <c r="BN429" s="3">
        <v>13.324694961038393</v>
      </c>
      <c r="BO429" s="3">
        <v>11.791361627705061</v>
      </c>
      <c r="BP429" s="3">
        <v>12.808028294371727</v>
      </c>
      <c r="BQ429" s="3">
        <v>10.024694961038382</v>
      </c>
      <c r="BR429" s="3">
        <v>8.3513616277050566</v>
      </c>
      <c r="BS429" s="3">
        <v>8.1546949610383912</v>
      </c>
      <c r="BT429" s="3">
        <v>11.451361627705065</v>
      </c>
      <c r="BU429" s="3">
        <v>8.518028294371728</v>
      </c>
      <c r="BV429" s="3">
        <v>7.3346949610383909</v>
      </c>
      <c r="BW429" s="3">
        <v>8.268028294371728</v>
      </c>
      <c r="BX429" s="3">
        <v>7.6880282943717297</v>
      </c>
      <c r="BY429" s="3">
        <v>20.30802829437172</v>
      </c>
      <c r="BZ429" s="3">
        <v>28.338028294371735</v>
      </c>
      <c r="CA429" s="3">
        <v>9.1380282943717184</v>
      </c>
      <c r="CB429" s="3">
        <v>8.4746949610383915</v>
      </c>
      <c r="CC429" s="3">
        <v>9.1880282943717226</v>
      </c>
      <c r="CD429" s="3">
        <v>8.594694961038396</v>
      </c>
      <c r="CE429" s="3">
        <v>9.0880282943717212</v>
      </c>
      <c r="CF429" s="3">
        <v>-0.89863837229493981</v>
      </c>
      <c r="CG429" s="3">
        <v>-1.4319717056282713</v>
      </c>
      <c r="CH429" s="3">
        <v>-2.5086383722949392</v>
      </c>
      <c r="CI429" s="13">
        <f>[1]!dbasum(RecData[[#This Row],[20]:[2000]],RecData[[#Headers],[20]:[2000]])</f>
        <v>17.906463038946626</v>
      </c>
      <c r="CJ429" s="14">
        <v>4881</v>
      </c>
      <c r="CK429" s="15" t="s">
        <v>249</v>
      </c>
      <c r="CL429" s="15">
        <f>RecData[[#This Row],[Start Time]]</f>
        <v>43262.066666666673</v>
      </c>
      <c r="CM429" s="16">
        <f>RecData[[#This Row],[Wind Speed avg]]</f>
        <v>0.93</v>
      </c>
      <c r="CN429" s="16">
        <f>RecData[[#This Row],[Wind Dir. avg]]</f>
        <v>136.19999999999999</v>
      </c>
      <c r="CO429" s="16">
        <f>RecData[[#This Row],[Amb. Humidity]]</f>
        <v>88.3</v>
      </c>
      <c r="CP429" s="16">
        <f>RecData[[#This Row],[Amb. Temperature]]</f>
        <v>8.6999999999999993</v>
      </c>
      <c r="CQ429" s="17">
        <f>RecData[[#This Row],[Amb. Rain Gauge]]</f>
        <v>0</v>
      </c>
      <c r="CR429" s="4" t="s">
        <v>50</v>
      </c>
      <c r="CS429" s="4" t="s">
        <v>49</v>
      </c>
      <c r="CT429" s="70">
        <v>-10.34200191</v>
      </c>
      <c r="CU429" s="70">
        <v>182.3253632</v>
      </c>
      <c r="CV429" s="70">
        <v>1.1664233209999999</v>
      </c>
      <c r="CW429" s="70">
        <v>0</v>
      </c>
      <c r="CX429" s="4"/>
      <c r="CY429" s="69"/>
      <c r="CZ429" s="2" t="b">
        <f>IF($DP$1="YES",IF(RecData[[#This Row],[Power (kW)]]&gt;=$CR$3, TRUE,FALSE),TRUE)</f>
        <v>0</v>
      </c>
      <c r="DA429" s="16">
        <f>MIN(MOD(180-ABS(ABS($DA$1-RecData[Yaw Angle (°)])-180),360),MOD(180-ABS(ABS($DB$1-RecData[Yaw Angle (°)])-180),360))</f>
        <v>174.79543642231243</v>
      </c>
      <c r="DB429" s="2" t="str">
        <f>IF($DP$2="None","None",IF(RecData[[#This Row],[Relative Wind Direction]]&lt;=45,"DW",IF(RecData[[#This Row],[Relative Wind Direction]]&lt;=135,"CW","UW")))</f>
        <v>UW</v>
      </c>
      <c r="DC429" s="61">
        <f>IF($CL429-$CL427&gt;1/24,#REF!,IF(SUM($CQ427:$CQ429)&gt;$DS$1,$DS$5,DC430-1))</f>
        <v>-8</v>
      </c>
      <c r="DD429" s="61">
        <f>IF($CL430-$CL429&gt;1/24,#REF!,IF(SUM($CQ427:$CQ429)&gt;$DS$1,$DS$6,DD428-1))</f>
        <v>-3</v>
      </c>
      <c r="DE429" s="18" t="b">
        <v>0</v>
      </c>
      <c r="DF429" s="2" t="b">
        <f>IF(OR(RecData[[#This Row],[WSpd_Avg '[m/s']]]-RecData[[#This Row],[Wind Speed min]]&gt;=$DF$3,RecData[[#This Row],[Wind Speed max]]-RecData[[#This Row],[WSpd_Avg '[m/s']]]&gt;=$DF$2),TRUE,FALSE)</f>
        <v>0</v>
      </c>
      <c r="DG429" s="2" t="b">
        <f>RecData[[#This Row],[Temperature '[°C']]]&lt;=-20</f>
        <v>0</v>
      </c>
      <c r="DH429" s="18" t="b">
        <f>NOT(OR(MOD(RecData[[#This Row],[TIMESTAMP]],1)&gt;0.91632,MOD(RecData[[#This Row],[TIMESTAMP]],1)&lt;0.208681))</f>
        <v>0</v>
      </c>
      <c r="DI429" s="18" t="b">
        <f>RecData[[#This Row],[Overall (dBA)]]-RecData[[#This Row],[L90]]&gt;=$DS$4</f>
        <v>0</v>
      </c>
      <c r="DJ429" s="18" t="b">
        <f>RecData[[#This Row],[Overall (dBA)]]&gt;$DS$2</f>
        <v>0</v>
      </c>
      <c r="DK429" s="18" t="b">
        <f>RecData[[#This Row],[Overall (dBA)]]&lt;$DS$3</f>
        <v>0</v>
      </c>
      <c r="DL4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29" s="2">
        <f>IF(AND(RecData[[#This Row],[Turbines ON/OFF]] = "OFF", NOT(OR(RecData[[#This Row],[Junk?]]="YES",RecData[[#This Row],[Gust?]],RecData[[#This Row],[Rain?]:[Min SPL Threshold?]]))),1,0)</f>
        <v>1</v>
      </c>
      <c r="DN429" s="16">
        <f>RecData[[#This Row],[dBA Sum]]</f>
        <v>17.906463038946626</v>
      </c>
      <c r="DO429" s="16">
        <f>RecData[[#This Row],[LAF90.0]]</f>
        <v>25.9</v>
      </c>
      <c r="DP429" s="55" t="str">
        <f>IF(AND(RecData[[#This Row],[Useable TON Data?]],RecData[[#This Row],[Turbines ON/OFF]]="ON"),RecData[[#This Row],[dBA Sum]],"")</f>
        <v/>
      </c>
      <c r="DQ429" s="55">
        <f>IF(AND(RecData[[#This Row],[Useable Background Data?]],RecData[[#This Row],[Turbines ON/OFF]]="OFF"),RecData[[#This Row],[dBA Sum]],"")</f>
        <v>17.906463038946626</v>
      </c>
      <c r="DR429" s="3">
        <f>IF(OR(RecData[[#This Row],[Useable TON Data?]],RecData[[#This Row],[Useable Background Data?]]),ROUND(RecData[[#This Row],[WSpd_Avg '[m/s']]],0),"")</f>
        <v>1</v>
      </c>
      <c r="DS429" s="85">
        <f>(0.00002)^2*(10^(RecData[[#This Row],[Overall (dBA)]]/10))</f>
        <v>2.4700531319131343E-8</v>
      </c>
    </row>
    <row r="430" spans="1:123" ht="15" x14ac:dyDescent="0.25">
      <c r="A430" s="3" t="s">
        <v>249</v>
      </c>
      <c r="B430" s="12">
        <v>43262.067361111112</v>
      </c>
      <c r="C430" s="3"/>
      <c r="D430" s="3">
        <v>29.8</v>
      </c>
      <c r="E430" s="3"/>
      <c r="F430" s="3"/>
      <c r="G430" s="3"/>
      <c r="H430" s="3"/>
      <c r="I430" s="3"/>
      <c r="J430" s="3"/>
      <c r="K430" s="3">
        <v>24.4</v>
      </c>
      <c r="L430" s="3"/>
      <c r="M430" s="3"/>
      <c r="N430" s="3">
        <v>166.2</v>
      </c>
      <c r="O430" s="3"/>
      <c r="P430" s="3"/>
      <c r="Q430" s="3">
        <v>0.51</v>
      </c>
      <c r="R430" s="3">
        <v>0.1</v>
      </c>
      <c r="S430" s="3">
        <v>0.8</v>
      </c>
      <c r="T430" s="3">
        <v>8.6999999999999993</v>
      </c>
      <c r="U430" s="3">
        <v>88.5</v>
      </c>
      <c r="V430" s="3">
        <v>974.3</v>
      </c>
      <c r="W430" s="3">
        <v>0</v>
      </c>
      <c r="X430" s="3">
        <v>25.7</v>
      </c>
      <c r="Y430" s="3">
        <v>25.2</v>
      </c>
      <c r="Z430" s="3">
        <v>30.3</v>
      </c>
      <c r="AA430" s="3">
        <v>22.3</v>
      </c>
      <c r="AB430" s="3">
        <v>13.5</v>
      </c>
      <c r="AC430" s="3">
        <v>8.5</v>
      </c>
      <c r="AD430" s="3">
        <v>10.3</v>
      </c>
      <c r="AE430" s="3">
        <v>14.3</v>
      </c>
      <c r="AF430" s="3">
        <v>14.9</v>
      </c>
      <c r="AG430" s="3">
        <v>13.5</v>
      </c>
      <c r="AH430" s="3">
        <v>18.5</v>
      </c>
      <c r="AI430" s="3">
        <v>13.9</v>
      </c>
      <c r="AJ430" s="3">
        <v>15.5</v>
      </c>
      <c r="AK430" s="3">
        <v>17.600000000000001</v>
      </c>
      <c r="AL430" s="3">
        <v>11</v>
      </c>
      <c r="AM430" s="3">
        <v>15.3</v>
      </c>
      <c r="AN430" s="3">
        <v>14.5</v>
      </c>
      <c r="AO430" s="3">
        <v>14.4</v>
      </c>
      <c r="AP430" s="3">
        <v>12.9</v>
      </c>
      <c r="AQ430" s="3">
        <v>7.9</v>
      </c>
      <c r="AR430" s="3">
        <v>7.3</v>
      </c>
      <c r="AS430" s="3">
        <v>16.8</v>
      </c>
      <c r="AT430" s="3">
        <v>27.2</v>
      </c>
      <c r="AU430" s="3">
        <v>8.6</v>
      </c>
      <c r="AV430" s="3">
        <v>8.6999999999999993</v>
      </c>
      <c r="AW430" s="3">
        <v>9.1999999999999993</v>
      </c>
      <c r="AX430" s="3">
        <v>9.4</v>
      </c>
      <c r="AY430" s="3">
        <v>9.6</v>
      </c>
      <c r="AZ430" s="3">
        <v>0</v>
      </c>
      <c r="BA430" s="3">
        <v>0</v>
      </c>
      <c r="BB430" s="3">
        <v>0</v>
      </c>
      <c r="BC430" s="3">
        <v>29.763862899820133</v>
      </c>
      <c r="BD430" s="3">
        <v>25.736137100179867</v>
      </c>
      <c r="BE430" s="3">
        <v>25.236137100179867</v>
      </c>
      <c r="BF430" s="3">
        <v>29.096137100179867</v>
      </c>
      <c r="BG430" s="3">
        <v>21.422803766846535</v>
      </c>
      <c r="BH430" s="3">
        <v>12.762803766846538</v>
      </c>
      <c r="BI430" s="3">
        <v>8.1761371001798651</v>
      </c>
      <c r="BJ430" s="3">
        <v>10.769470433513199</v>
      </c>
      <c r="BK430" s="3">
        <v>14.642803766846534</v>
      </c>
      <c r="BL430" s="3">
        <v>14.816137100179866</v>
      </c>
      <c r="BM430" s="3">
        <v>13.5494704335132</v>
      </c>
      <c r="BN430" s="3">
        <v>18.832803766846531</v>
      </c>
      <c r="BO430" s="3">
        <v>13.599470433513204</v>
      </c>
      <c r="BP430" s="3">
        <v>14.916137100179867</v>
      </c>
      <c r="BQ430" s="3">
        <v>17.432803766846526</v>
      </c>
      <c r="BR430" s="3">
        <v>11.159470433513199</v>
      </c>
      <c r="BS430" s="3">
        <v>15.262803766846538</v>
      </c>
      <c r="BT430" s="3">
        <v>14.659470433513199</v>
      </c>
      <c r="BU430" s="3">
        <v>14.526137100179874</v>
      </c>
      <c r="BV430" s="3">
        <v>12.742803766846535</v>
      </c>
      <c r="BW430" s="3">
        <v>8.2761371001798736</v>
      </c>
      <c r="BX430" s="3">
        <v>7.5961371001798739</v>
      </c>
      <c r="BY430" s="3">
        <v>16.916137100179867</v>
      </c>
      <c r="BZ430" s="3">
        <v>27.446137100179875</v>
      </c>
      <c r="CA430" s="3">
        <v>8.9461371001798611</v>
      </c>
      <c r="CB430" s="3">
        <v>8.4828037668465299</v>
      </c>
      <c r="CC430" s="3">
        <v>9.1961371001798682</v>
      </c>
      <c r="CD430" s="3">
        <v>8.7028037668465359</v>
      </c>
      <c r="CE430" s="3">
        <v>9.0961371001798668</v>
      </c>
      <c r="CF430" s="3">
        <v>-0.89052956648679782</v>
      </c>
      <c r="CG430" s="3">
        <v>-1.4238628998201293</v>
      </c>
      <c r="CH430" s="3">
        <v>-2.5005295664867973</v>
      </c>
      <c r="CI430" s="13">
        <f>[1]!dbasum(RecData[[#This Row],[20]:[2000]],RecData[[#Headers],[20]:[2000]])</f>
        <v>21.899401371230731</v>
      </c>
      <c r="CJ430" s="14">
        <v>4882</v>
      </c>
      <c r="CK430" s="15" t="s">
        <v>249</v>
      </c>
      <c r="CL430" s="15">
        <f>RecData[[#This Row],[Start Time]]</f>
        <v>43262.067361111112</v>
      </c>
      <c r="CM430" s="16">
        <f>RecData[[#This Row],[Wind Speed avg]]</f>
        <v>0.51</v>
      </c>
      <c r="CN430" s="16">
        <f>RecData[[#This Row],[Wind Dir. avg]]</f>
        <v>166.2</v>
      </c>
      <c r="CO430" s="16">
        <f>RecData[[#This Row],[Amb. Humidity]]</f>
        <v>88.5</v>
      </c>
      <c r="CP430" s="16">
        <f>RecData[[#This Row],[Amb. Temperature]]</f>
        <v>8.6999999999999993</v>
      </c>
      <c r="CQ430" s="17">
        <f>RecData[[#This Row],[Amb. Rain Gauge]]</f>
        <v>0</v>
      </c>
      <c r="CR430" s="4" t="s">
        <v>50</v>
      </c>
      <c r="CS430" s="4" t="s">
        <v>49</v>
      </c>
      <c r="CT430" s="70">
        <v>-10.34200191</v>
      </c>
      <c r="CU430" s="70">
        <v>182.3253632</v>
      </c>
      <c r="CV430" s="70">
        <v>1.1664233209999999</v>
      </c>
      <c r="CW430" s="70">
        <v>0</v>
      </c>
      <c r="CX430" s="4"/>
      <c r="CY430" s="69"/>
      <c r="CZ430" s="2" t="b">
        <f>IF($DP$1="YES",IF(RecData[[#This Row],[Power (kW)]]&gt;=$CR$3, TRUE,FALSE),TRUE)</f>
        <v>0</v>
      </c>
      <c r="DA430" s="16">
        <f>MIN(MOD(180-ABS(ABS($DA$1-RecData[Yaw Angle (°)])-180),360),MOD(180-ABS(ABS($DB$1-RecData[Yaw Angle (°)])-180),360))</f>
        <v>174.79543642231243</v>
      </c>
      <c r="DB430" s="2" t="str">
        <f>IF($DP$2="None","None",IF(RecData[[#This Row],[Relative Wind Direction]]&lt;=45,"DW",IF(RecData[[#This Row],[Relative Wind Direction]]&lt;=135,"CW","UW")))</f>
        <v>UW</v>
      </c>
      <c r="DC430" s="61">
        <f>IF($CL430-$CL427&gt;1/24,#REF!,IF(SUM($CQ427:$CQ430)&gt;$DS$1,$DS$5,DC431-1))</f>
        <v>-7</v>
      </c>
      <c r="DD430" s="61">
        <f>IF($CL431-$CL430&gt;1/24,#REF!,IF(SUM($CQ427:$CQ430)&gt;$DS$1,$DS$6,DD429-1))</f>
        <v>-4</v>
      </c>
      <c r="DE430" s="18" t="b">
        <v>0</v>
      </c>
      <c r="DF430" s="2" t="b">
        <f>IF(OR(RecData[[#This Row],[WSpd_Avg '[m/s']]]-RecData[[#This Row],[Wind Speed min]]&gt;=$DF$3,RecData[[#This Row],[Wind Speed max]]-RecData[[#This Row],[WSpd_Avg '[m/s']]]&gt;=$DF$2),TRUE,FALSE)</f>
        <v>0</v>
      </c>
      <c r="DG430" s="2" t="b">
        <f>RecData[[#This Row],[Temperature '[°C']]]&lt;=-20</f>
        <v>0</v>
      </c>
      <c r="DH430" s="18" t="b">
        <f>NOT(OR(MOD(RecData[[#This Row],[TIMESTAMP]],1)&gt;0.91632,MOD(RecData[[#This Row],[TIMESTAMP]],1)&lt;0.208681))</f>
        <v>0</v>
      </c>
      <c r="DI430" s="18" t="b">
        <f>RecData[[#This Row],[Overall (dBA)]]-RecData[[#This Row],[L90]]&gt;=$DS$4</f>
        <v>0</v>
      </c>
      <c r="DJ430" s="18" t="b">
        <f>RecData[[#This Row],[Overall (dBA)]]&gt;$DS$2</f>
        <v>0</v>
      </c>
      <c r="DK430" s="18" t="b">
        <f>RecData[[#This Row],[Overall (dBA)]]&lt;$DS$3</f>
        <v>0</v>
      </c>
      <c r="DL4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0" s="2">
        <f>IF(AND(RecData[[#This Row],[Turbines ON/OFF]] = "OFF", NOT(OR(RecData[[#This Row],[Junk?]]="YES",RecData[[#This Row],[Gust?]],RecData[[#This Row],[Rain?]:[Min SPL Threshold?]]))),1,0)</f>
        <v>1</v>
      </c>
      <c r="DN430" s="16">
        <f>RecData[[#This Row],[dBA Sum]]</f>
        <v>21.899401371230731</v>
      </c>
      <c r="DO430" s="16">
        <f>RecData[[#This Row],[LAF90.0]]</f>
        <v>24.4</v>
      </c>
      <c r="DP430" s="55" t="str">
        <f>IF(AND(RecData[[#This Row],[Useable TON Data?]],RecData[[#This Row],[Turbines ON/OFF]]="ON"),RecData[[#This Row],[dBA Sum]],"")</f>
        <v/>
      </c>
      <c r="DQ430" s="55">
        <f>IF(AND(RecData[[#This Row],[Useable Background Data?]],RecData[[#This Row],[Turbines ON/OFF]]="OFF"),RecData[[#This Row],[dBA Sum]],"")</f>
        <v>21.899401371230731</v>
      </c>
      <c r="DR430" s="3">
        <f>IF(OR(RecData[[#This Row],[Useable TON Data?]],RecData[[#This Row],[Useable Background Data?]]),ROUND(RecData[[#This Row],[WSpd_Avg '[m/s']]],0),"")</f>
        <v>1</v>
      </c>
      <c r="DS430" s="85">
        <f>(0.00002)^2*(10^(RecData[[#This Row],[Overall (dBA)]]/10))</f>
        <v>6.1944125828854818E-8</v>
      </c>
    </row>
    <row r="431" spans="1:123" ht="15" x14ac:dyDescent="0.25">
      <c r="A431" s="3" t="s">
        <v>249</v>
      </c>
      <c r="B431" s="12">
        <v>43262.068055555559</v>
      </c>
      <c r="C431" s="3"/>
      <c r="D431" s="3">
        <v>31.1</v>
      </c>
      <c r="E431" s="3"/>
      <c r="F431" s="3"/>
      <c r="G431" s="3"/>
      <c r="H431" s="3"/>
      <c r="I431" s="3"/>
      <c r="J431" s="3"/>
      <c r="K431" s="3">
        <v>25.5</v>
      </c>
      <c r="L431" s="3"/>
      <c r="M431" s="3"/>
      <c r="N431" s="3">
        <v>112.7</v>
      </c>
      <c r="O431" s="3"/>
      <c r="P431" s="3"/>
      <c r="Q431" s="3">
        <v>0.41</v>
      </c>
      <c r="R431" s="3">
        <v>0.1</v>
      </c>
      <c r="S431" s="3">
        <v>0.7</v>
      </c>
      <c r="T431" s="3">
        <v>8.6999999999999993</v>
      </c>
      <c r="U431" s="3">
        <v>88.5</v>
      </c>
      <c r="V431" s="3">
        <v>974.3</v>
      </c>
      <c r="W431" s="3">
        <v>0</v>
      </c>
      <c r="X431" s="3">
        <v>21.3</v>
      </c>
      <c r="Y431" s="3">
        <v>17.600000000000001</v>
      </c>
      <c r="Z431" s="3">
        <v>20.2</v>
      </c>
      <c r="AA431" s="3">
        <v>11.9</v>
      </c>
      <c r="AB431" s="3">
        <v>8.9</v>
      </c>
      <c r="AC431" s="3">
        <v>6.9</v>
      </c>
      <c r="AD431" s="3">
        <v>6.9</v>
      </c>
      <c r="AE431" s="3">
        <v>8.5</v>
      </c>
      <c r="AF431" s="3">
        <v>11</v>
      </c>
      <c r="AG431" s="3">
        <v>9.3000000000000007</v>
      </c>
      <c r="AH431" s="3">
        <v>9.5</v>
      </c>
      <c r="AI431" s="3">
        <v>10.3</v>
      </c>
      <c r="AJ431" s="3">
        <v>11.6</v>
      </c>
      <c r="AK431" s="3">
        <v>10</v>
      </c>
      <c r="AL431" s="3">
        <v>8.6</v>
      </c>
      <c r="AM431" s="3">
        <v>8.8000000000000007</v>
      </c>
      <c r="AN431" s="3">
        <v>11</v>
      </c>
      <c r="AO431" s="3">
        <v>8</v>
      </c>
      <c r="AP431" s="3">
        <v>7.4</v>
      </c>
      <c r="AQ431" s="3">
        <v>8.1999999999999993</v>
      </c>
      <c r="AR431" s="3">
        <v>6.9</v>
      </c>
      <c r="AS431" s="3">
        <v>22.7</v>
      </c>
      <c r="AT431" s="3">
        <v>28.5</v>
      </c>
      <c r="AU431" s="3">
        <v>8.4</v>
      </c>
      <c r="AV431" s="3">
        <v>8.6</v>
      </c>
      <c r="AW431" s="3">
        <v>9.1</v>
      </c>
      <c r="AX431" s="3">
        <v>9.3000000000000007</v>
      </c>
      <c r="AY431" s="3">
        <v>9.6</v>
      </c>
      <c r="AZ431" s="3">
        <v>0</v>
      </c>
      <c r="BA431" s="3">
        <v>0</v>
      </c>
      <c r="BB431" s="3">
        <v>0</v>
      </c>
      <c r="BC431" s="3">
        <v>31.051889014895057</v>
      </c>
      <c r="BD431" s="3">
        <v>21.348110985104949</v>
      </c>
      <c r="BE431" s="3">
        <v>17.648110985104946</v>
      </c>
      <c r="BF431" s="3">
        <v>19.008110985104945</v>
      </c>
      <c r="BG431" s="3">
        <v>11.034777651771609</v>
      </c>
      <c r="BH431" s="3">
        <v>8.1747776517716169</v>
      </c>
      <c r="BI431" s="3">
        <v>6.5881109851049438</v>
      </c>
      <c r="BJ431" s="3">
        <v>7.3814443184382803</v>
      </c>
      <c r="BK431" s="3">
        <v>8.8547776517716095</v>
      </c>
      <c r="BL431" s="3">
        <v>10.928110985104947</v>
      </c>
      <c r="BM431" s="3">
        <v>9.3614443184382843</v>
      </c>
      <c r="BN431" s="3">
        <v>9.8447776517716115</v>
      </c>
      <c r="BO431" s="3">
        <v>10.011444318438283</v>
      </c>
      <c r="BP431" s="3">
        <v>11.028110985104941</v>
      </c>
      <c r="BQ431" s="3">
        <v>9.8447776517716044</v>
      </c>
      <c r="BR431" s="3">
        <v>8.7714443184382809</v>
      </c>
      <c r="BS431" s="3">
        <v>8.7747776517716112</v>
      </c>
      <c r="BT431" s="3">
        <v>11.171444318438279</v>
      </c>
      <c r="BU431" s="3">
        <v>8.138110985104948</v>
      </c>
      <c r="BV431" s="3">
        <v>7.2547776517716152</v>
      </c>
      <c r="BW431" s="3">
        <v>8.5881109851049438</v>
      </c>
      <c r="BX431" s="3">
        <v>7.2081109851049483</v>
      </c>
      <c r="BY431" s="3">
        <v>22.828110985104939</v>
      </c>
      <c r="BZ431" s="3">
        <v>28.758110985104945</v>
      </c>
      <c r="CA431" s="3">
        <v>8.7581109851049384</v>
      </c>
      <c r="CB431" s="3">
        <v>8.3947776517716086</v>
      </c>
      <c r="CC431" s="3">
        <v>9.1081109851049398</v>
      </c>
      <c r="CD431" s="3">
        <v>8.6147776517716146</v>
      </c>
      <c r="CE431" s="3">
        <v>9.1081109851049398</v>
      </c>
      <c r="CF431" s="3">
        <v>-0.87855568156172126</v>
      </c>
      <c r="CG431" s="3">
        <v>-1.4118890148950527</v>
      </c>
      <c r="CH431" s="3">
        <v>-2.4885556815617207</v>
      </c>
      <c r="CI431" s="13">
        <f>[1]!dbasum(RecData[[#This Row],[20]:[2000]],RecData[[#Headers],[20]:[2000]])</f>
        <v>17.547525469237812</v>
      </c>
      <c r="CJ431" s="14">
        <v>4883</v>
      </c>
      <c r="CK431" s="15" t="s">
        <v>249</v>
      </c>
      <c r="CL431" s="15">
        <f>RecData[[#This Row],[Start Time]]</f>
        <v>43262.068055555559</v>
      </c>
      <c r="CM431" s="16">
        <f>RecData[[#This Row],[Wind Speed avg]]</f>
        <v>0.41</v>
      </c>
      <c r="CN431" s="16">
        <f>RecData[[#This Row],[Wind Dir. avg]]</f>
        <v>112.7</v>
      </c>
      <c r="CO431" s="16">
        <f>RecData[[#This Row],[Amb. Humidity]]</f>
        <v>88.5</v>
      </c>
      <c r="CP431" s="16">
        <f>RecData[[#This Row],[Amb. Temperature]]</f>
        <v>8.6999999999999993</v>
      </c>
      <c r="CQ431" s="17">
        <f>RecData[[#This Row],[Amb. Rain Gauge]]</f>
        <v>0</v>
      </c>
      <c r="CR431" s="4" t="s">
        <v>50</v>
      </c>
      <c r="CS431" s="4" t="s">
        <v>49</v>
      </c>
      <c r="CT431" s="70">
        <v>-10.34200191</v>
      </c>
      <c r="CU431" s="70">
        <v>182.3253632</v>
      </c>
      <c r="CV431" s="70">
        <v>1.1664233209999999</v>
      </c>
      <c r="CW431" s="70">
        <v>0</v>
      </c>
      <c r="CX431" s="4"/>
      <c r="CY431" s="69"/>
      <c r="CZ431" s="2" t="b">
        <f>IF($DP$1="YES",IF(RecData[[#This Row],[Power (kW)]]&gt;=$CR$3, TRUE,FALSE),TRUE)</f>
        <v>0</v>
      </c>
      <c r="DA431" s="16">
        <f>MIN(MOD(180-ABS(ABS($DA$1-RecData[Yaw Angle (°)])-180),360),MOD(180-ABS(ABS($DB$1-RecData[Yaw Angle (°)])-180),360))</f>
        <v>174.79543642231243</v>
      </c>
      <c r="DB431" s="2" t="str">
        <f>IF($DP$2="None","None",IF(RecData[[#This Row],[Relative Wind Direction]]&lt;=45,"DW",IF(RecData[[#This Row],[Relative Wind Direction]]&lt;=135,"CW","UW")))</f>
        <v>UW</v>
      </c>
      <c r="DC431" s="61">
        <f>IF($CL431-$CL427&gt;1/24,#REF!,IF(SUM($CQ427:$CQ431)&gt;$DS$1,$DS$5,DC432-1))</f>
        <v>-6</v>
      </c>
      <c r="DD431" s="61">
        <f>IF($CL432-$CL431&gt;1/24,#REF!,IF(SUM($CQ427:$CQ431)&gt;$DS$1,$DS$6,DD430-1))</f>
        <v>-5</v>
      </c>
      <c r="DE431" s="18" t="b">
        <v>0</v>
      </c>
      <c r="DF431" s="2" t="b">
        <f>IF(OR(RecData[[#This Row],[WSpd_Avg '[m/s']]]-RecData[[#This Row],[Wind Speed min]]&gt;=$DF$3,RecData[[#This Row],[Wind Speed max]]-RecData[[#This Row],[WSpd_Avg '[m/s']]]&gt;=$DF$2),TRUE,FALSE)</f>
        <v>0</v>
      </c>
      <c r="DG431" s="2" t="b">
        <f>RecData[[#This Row],[Temperature '[°C']]]&lt;=-20</f>
        <v>0</v>
      </c>
      <c r="DH431" s="18" t="b">
        <f>NOT(OR(MOD(RecData[[#This Row],[TIMESTAMP]],1)&gt;0.91632,MOD(RecData[[#This Row],[TIMESTAMP]],1)&lt;0.208681))</f>
        <v>0</v>
      </c>
      <c r="DI431" s="18" t="b">
        <f>RecData[[#This Row],[Overall (dBA)]]-RecData[[#This Row],[L90]]&gt;=$DS$4</f>
        <v>0</v>
      </c>
      <c r="DJ431" s="18" t="b">
        <f>RecData[[#This Row],[Overall (dBA)]]&gt;$DS$2</f>
        <v>0</v>
      </c>
      <c r="DK431" s="18" t="b">
        <f>RecData[[#This Row],[Overall (dBA)]]&lt;$DS$3</f>
        <v>0</v>
      </c>
      <c r="DL4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1" s="2">
        <f>IF(AND(RecData[[#This Row],[Turbines ON/OFF]] = "OFF", NOT(OR(RecData[[#This Row],[Junk?]]="YES",RecData[[#This Row],[Gust?]],RecData[[#This Row],[Rain?]:[Min SPL Threshold?]]))),1,0)</f>
        <v>1</v>
      </c>
      <c r="DN431" s="16">
        <f>RecData[[#This Row],[dBA Sum]]</f>
        <v>17.547525469237812</v>
      </c>
      <c r="DO431" s="16">
        <f>RecData[[#This Row],[LAF90.0]]</f>
        <v>25.5</v>
      </c>
      <c r="DP431" s="55" t="str">
        <f>IF(AND(RecData[[#This Row],[Useable TON Data?]],RecData[[#This Row],[Turbines ON/OFF]]="ON"),RecData[[#This Row],[dBA Sum]],"")</f>
        <v/>
      </c>
      <c r="DQ431" s="55">
        <f>IF(AND(RecData[[#This Row],[Useable Background Data?]],RecData[[#This Row],[Turbines ON/OFF]]="OFF"),RecData[[#This Row],[dBA Sum]],"")</f>
        <v>17.547525469237812</v>
      </c>
      <c r="DR431" s="3">
        <f>IF(OR(RecData[[#This Row],[Useable TON Data?]],RecData[[#This Row],[Useable Background Data?]]),ROUND(RecData[[#This Row],[WSpd_Avg '[m/s']]],0),"")</f>
        <v>0</v>
      </c>
      <c r="DS431" s="85">
        <f>(0.00002)^2*(10^(RecData[[#This Row],[Overall (dBA)]]/10))</f>
        <v>2.2741156045561189E-8</v>
      </c>
    </row>
    <row r="432" spans="1:123" ht="15" x14ac:dyDescent="0.25">
      <c r="A432" s="3" t="s">
        <v>249</v>
      </c>
      <c r="B432" s="12">
        <v>43262.068750000006</v>
      </c>
      <c r="C432" s="3"/>
      <c r="D432" s="3">
        <v>28.5</v>
      </c>
      <c r="E432" s="3"/>
      <c r="F432" s="3"/>
      <c r="G432" s="3"/>
      <c r="H432" s="3"/>
      <c r="I432" s="3"/>
      <c r="J432" s="3"/>
      <c r="K432" s="3">
        <v>22.4</v>
      </c>
      <c r="L432" s="3"/>
      <c r="M432" s="3"/>
      <c r="N432" s="3">
        <v>101.4</v>
      </c>
      <c r="O432" s="3"/>
      <c r="P432" s="3"/>
      <c r="Q432" s="3">
        <v>0.28000000000000003</v>
      </c>
      <c r="R432" s="3">
        <v>0.1</v>
      </c>
      <c r="S432" s="3">
        <v>0.8</v>
      </c>
      <c r="T432" s="3">
        <v>8.6999999999999993</v>
      </c>
      <c r="U432" s="3">
        <v>88.5</v>
      </c>
      <c r="V432" s="3">
        <v>974.3</v>
      </c>
      <c r="W432" s="3">
        <v>0</v>
      </c>
      <c r="X432" s="3">
        <v>26.2</v>
      </c>
      <c r="Y432" s="3">
        <v>22.5</v>
      </c>
      <c r="Z432" s="3">
        <v>29.8</v>
      </c>
      <c r="AA432" s="3">
        <v>23.7</v>
      </c>
      <c r="AB432" s="3">
        <v>12.9</v>
      </c>
      <c r="AC432" s="3">
        <v>8.6999999999999993</v>
      </c>
      <c r="AD432" s="3">
        <v>7.8</v>
      </c>
      <c r="AE432" s="3">
        <v>10.8</v>
      </c>
      <c r="AF432" s="3">
        <v>10.7</v>
      </c>
      <c r="AG432" s="3">
        <v>9.5</v>
      </c>
      <c r="AH432" s="3">
        <v>9.3000000000000007</v>
      </c>
      <c r="AI432" s="3">
        <v>10.6</v>
      </c>
      <c r="AJ432" s="3">
        <v>12.7</v>
      </c>
      <c r="AK432" s="3">
        <v>10.7</v>
      </c>
      <c r="AL432" s="3">
        <v>9.1</v>
      </c>
      <c r="AM432" s="3">
        <v>8.6999999999999993</v>
      </c>
      <c r="AN432" s="3">
        <v>8.6</v>
      </c>
      <c r="AO432" s="3">
        <v>7.7</v>
      </c>
      <c r="AP432" s="3">
        <v>7.2</v>
      </c>
      <c r="AQ432" s="3">
        <v>8.3000000000000007</v>
      </c>
      <c r="AR432" s="3">
        <v>6.7</v>
      </c>
      <c r="AS432" s="3">
        <v>18.7</v>
      </c>
      <c r="AT432" s="3">
        <v>26</v>
      </c>
      <c r="AU432" s="3">
        <v>8.1999999999999993</v>
      </c>
      <c r="AV432" s="3">
        <v>8.6</v>
      </c>
      <c r="AW432" s="3">
        <v>9.1</v>
      </c>
      <c r="AX432" s="3">
        <v>9.3000000000000007</v>
      </c>
      <c r="AY432" s="3">
        <v>9.6</v>
      </c>
      <c r="AZ432" s="3">
        <v>0</v>
      </c>
      <c r="BA432" s="3">
        <v>0</v>
      </c>
      <c r="BB432" s="3">
        <v>0</v>
      </c>
      <c r="BC432" s="3">
        <v>28.5265243855142</v>
      </c>
      <c r="BD432" s="3">
        <v>26.173475614485803</v>
      </c>
      <c r="BE432" s="3">
        <v>22.4734756144858</v>
      </c>
      <c r="BF432" s="3">
        <v>28.533475614485802</v>
      </c>
      <c r="BG432" s="3">
        <v>22.760142281152461</v>
      </c>
      <c r="BH432" s="3">
        <v>12.100142281152465</v>
      </c>
      <c r="BI432" s="3">
        <v>8.3134756144858031</v>
      </c>
      <c r="BJ432" s="3">
        <v>8.2068089478191339</v>
      </c>
      <c r="BK432" s="3">
        <v>11.080142281152462</v>
      </c>
      <c r="BL432" s="3">
        <v>10.553475614485798</v>
      </c>
      <c r="BM432" s="3">
        <v>9.4868089478191351</v>
      </c>
      <c r="BN432" s="3">
        <v>9.5701422811524637</v>
      </c>
      <c r="BO432" s="3">
        <v>10.236808947819135</v>
      </c>
      <c r="BP432" s="3">
        <v>12.053475614485798</v>
      </c>
      <c r="BQ432" s="3">
        <v>10.470142281152455</v>
      </c>
      <c r="BR432" s="3">
        <v>9.1968089478191359</v>
      </c>
      <c r="BS432" s="3">
        <v>8.6001422811524648</v>
      </c>
      <c r="BT432" s="3">
        <v>8.6968089478191359</v>
      </c>
      <c r="BU432" s="3">
        <v>7.7634756144858059</v>
      </c>
      <c r="BV432" s="3">
        <v>6.9801422811524674</v>
      </c>
      <c r="BW432" s="3">
        <v>8.6134756144858002</v>
      </c>
      <c r="BX432" s="3">
        <v>6.9334756144858076</v>
      </c>
      <c r="BY432" s="3">
        <v>18.753475614485801</v>
      </c>
      <c r="BZ432" s="3">
        <v>26.183475614485808</v>
      </c>
      <c r="CA432" s="3">
        <v>8.4834756144857906</v>
      </c>
      <c r="CB432" s="3">
        <v>8.3201422811524637</v>
      </c>
      <c r="CC432" s="3">
        <v>9.0334756144858019</v>
      </c>
      <c r="CD432" s="3">
        <v>8.5401422811524696</v>
      </c>
      <c r="CE432" s="3">
        <v>9.0334756144858019</v>
      </c>
      <c r="CF432" s="3">
        <v>-0.95319105218086619</v>
      </c>
      <c r="CG432" s="3">
        <v>-1.4865243855141976</v>
      </c>
      <c r="CH432" s="3">
        <v>-2.5631910521808656</v>
      </c>
      <c r="CI432" s="13">
        <f>[1]!dbasum(RecData[[#This Row],[20]:[2000]],RecData[[#Headers],[20]:[2000]])</f>
        <v>17.199596665329132</v>
      </c>
      <c r="CJ432" s="14">
        <v>4884</v>
      </c>
      <c r="CK432" s="15" t="s">
        <v>249</v>
      </c>
      <c r="CL432" s="15">
        <f>RecData[[#This Row],[Start Time]]</f>
        <v>43262.068750000006</v>
      </c>
      <c r="CM432" s="16">
        <f>RecData[[#This Row],[Wind Speed avg]]</f>
        <v>0.28000000000000003</v>
      </c>
      <c r="CN432" s="16">
        <f>RecData[[#This Row],[Wind Dir. avg]]</f>
        <v>101.4</v>
      </c>
      <c r="CO432" s="16">
        <f>RecData[[#This Row],[Amb. Humidity]]</f>
        <v>88.5</v>
      </c>
      <c r="CP432" s="16">
        <f>RecData[[#This Row],[Amb. Temperature]]</f>
        <v>8.6999999999999993</v>
      </c>
      <c r="CQ432" s="17">
        <f>RecData[[#This Row],[Amb. Rain Gauge]]</f>
        <v>0</v>
      </c>
      <c r="CR432" s="4" t="s">
        <v>50</v>
      </c>
      <c r="CS432" s="4" t="s">
        <v>49</v>
      </c>
      <c r="CT432" s="70">
        <v>-10.34200191</v>
      </c>
      <c r="CU432" s="70">
        <v>182.3253632</v>
      </c>
      <c r="CV432" s="70">
        <v>1.1664233209999999</v>
      </c>
      <c r="CW432" s="70">
        <v>0</v>
      </c>
      <c r="CX432" s="4"/>
      <c r="CY432" s="69"/>
      <c r="CZ432" s="2" t="b">
        <f>IF($DP$1="YES",IF(RecData[[#This Row],[Power (kW)]]&gt;=$CR$3, TRUE,FALSE),TRUE)</f>
        <v>0</v>
      </c>
      <c r="DA432" s="16">
        <f>MIN(MOD(180-ABS(ABS($DA$1-RecData[Yaw Angle (°)])-180),360),MOD(180-ABS(ABS($DB$1-RecData[Yaw Angle (°)])-180),360))</f>
        <v>174.79543642231243</v>
      </c>
      <c r="DB432" s="2" t="str">
        <f>IF($DP$2="None","None",IF(RecData[[#This Row],[Relative Wind Direction]]&lt;=45,"DW",IF(RecData[[#This Row],[Relative Wind Direction]]&lt;=135,"CW","UW")))</f>
        <v>UW</v>
      </c>
      <c r="DC432" s="61">
        <f>IF($CL432-$CL428&gt;1/24,#REF!,IF(SUM($CQ428:$CQ432)&gt;$DS$1,$DS$5,DC433-1))</f>
        <v>-5</v>
      </c>
      <c r="DD432" s="61">
        <f>IF($CL433-$CL432&gt;1/24,#REF!,IF(SUM($CQ428:$CQ432)&gt;$DS$1,$DS$6,DD431-1))</f>
        <v>-6</v>
      </c>
      <c r="DE432" s="18" t="b">
        <v>0</v>
      </c>
      <c r="DF432" s="2" t="b">
        <f>IF(OR(RecData[[#This Row],[WSpd_Avg '[m/s']]]-RecData[[#This Row],[Wind Speed min]]&gt;=$DF$3,RecData[[#This Row],[Wind Speed max]]-RecData[[#This Row],[WSpd_Avg '[m/s']]]&gt;=$DF$2),TRUE,FALSE)</f>
        <v>0</v>
      </c>
      <c r="DG432" s="2" t="b">
        <f>RecData[[#This Row],[Temperature '[°C']]]&lt;=-20</f>
        <v>0</v>
      </c>
      <c r="DH432" s="18" t="b">
        <f>NOT(OR(MOD(RecData[[#This Row],[TIMESTAMP]],1)&gt;0.91632,MOD(RecData[[#This Row],[TIMESTAMP]],1)&lt;0.208681))</f>
        <v>0</v>
      </c>
      <c r="DI432" s="18" t="b">
        <f>RecData[[#This Row],[Overall (dBA)]]-RecData[[#This Row],[L90]]&gt;=$DS$4</f>
        <v>0</v>
      </c>
      <c r="DJ432" s="18" t="b">
        <f>RecData[[#This Row],[Overall (dBA)]]&gt;$DS$2</f>
        <v>0</v>
      </c>
      <c r="DK432" s="18" t="b">
        <f>RecData[[#This Row],[Overall (dBA)]]&lt;$DS$3</f>
        <v>0</v>
      </c>
      <c r="DL4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2" s="2">
        <f>IF(AND(RecData[[#This Row],[Turbines ON/OFF]] = "OFF", NOT(OR(RecData[[#This Row],[Junk?]]="YES",RecData[[#This Row],[Gust?]],RecData[[#This Row],[Rain?]:[Min SPL Threshold?]]))),1,0)</f>
        <v>1</v>
      </c>
      <c r="DN432" s="16">
        <f>RecData[[#This Row],[dBA Sum]]</f>
        <v>17.199596665329132</v>
      </c>
      <c r="DO432" s="16">
        <f>RecData[[#This Row],[LAF90.0]]</f>
        <v>22.4</v>
      </c>
      <c r="DP432" s="55" t="str">
        <f>IF(AND(RecData[[#This Row],[Useable TON Data?]],RecData[[#This Row],[Turbines ON/OFF]]="ON"),RecData[[#This Row],[dBA Sum]],"")</f>
        <v/>
      </c>
      <c r="DQ432" s="55">
        <f>IF(AND(RecData[[#This Row],[Useable Background Data?]],RecData[[#This Row],[Turbines ON/OFF]]="OFF"),RecData[[#This Row],[dBA Sum]],"")</f>
        <v>17.199596665329132</v>
      </c>
      <c r="DR432" s="3">
        <f>IF(OR(RecData[[#This Row],[Useable TON Data?]],RecData[[#This Row],[Useable Background Data?]]),ROUND(RecData[[#This Row],[WSpd_Avg '[m/s']]],0),"")</f>
        <v>0</v>
      </c>
      <c r="DS432" s="85">
        <f>(0.00002)^2*(10^(RecData[[#This Row],[Overall (dBA)]]/10))</f>
        <v>2.0990348919732994E-8</v>
      </c>
    </row>
    <row r="433" spans="1:123" ht="15" x14ac:dyDescent="0.25">
      <c r="A433" s="3" t="s">
        <v>249</v>
      </c>
      <c r="B433" s="12">
        <v>43262.069444444453</v>
      </c>
      <c r="C433" s="3"/>
      <c r="D433" s="3">
        <v>29.3</v>
      </c>
      <c r="E433" s="3"/>
      <c r="F433" s="3"/>
      <c r="G433" s="3"/>
      <c r="H433" s="3"/>
      <c r="I433" s="3"/>
      <c r="J433" s="3"/>
      <c r="K433" s="3">
        <v>21.7</v>
      </c>
      <c r="L433" s="3"/>
      <c r="M433" s="3"/>
      <c r="N433" s="3">
        <v>111.7</v>
      </c>
      <c r="O433" s="3"/>
      <c r="P433" s="3"/>
      <c r="Q433" s="3">
        <v>0.7</v>
      </c>
      <c r="R433" s="3">
        <v>0.4</v>
      </c>
      <c r="S433" s="3">
        <v>1</v>
      </c>
      <c r="T433" s="3">
        <v>8.6999999999999993</v>
      </c>
      <c r="U433" s="3">
        <v>88.7</v>
      </c>
      <c r="V433" s="3">
        <v>974.3</v>
      </c>
      <c r="W433" s="3">
        <v>0</v>
      </c>
      <c r="X433" s="3">
        <v>23.1</v>
      </c>
      <c r="Y433" s="3">
        <v>26.5</v>
      </c>
      <c r="Z433" s="3">
        <v>25.5</v>
      </c>
      <c r="AA433" s="3">
        <v>20.2</v>
      </c>
      <c r="AB433" s="3">
        <v>10.9</v>
      </c>
      <c r="AC433" s="3">
        <v>7.8</v>
      </c>
      <c r="AD433" s="3">
        <v>7.3</v>
      </c>
      <c r="AE433" s="3">
        <v>9.1999999999999993</v>
      </c>
      <c r="AF433" s="3">
        <v>9.3000000000000007</v>
      </c>
      <c r="AG433" s="3">
        <v>8.6</v>
      </c>
      <c r="AH433" s="3">
        <v>8.8000000000000007</v>
      </c>
      <c r="AI433" s="3">
        <v>9.9</v>
      </c>
      <c r="AJ433" s="3">
        <v>11.3</v>
      </c>
      <c r="AK433" s="3">
        <v>9.5</v>
      </c>
      <c r="AL433" s="3">
        <v>8.1999999999999993</v>
      </c>
      <c r="AM433" s="3">
        <v>8</v>
      </c>
      <c r="AN433" s="3">
        <v>8.8000000000000007</v>
      </c>
      <c r="AO433" s="3">
        <v>7.4</v>
      </c>
      <c r="AP433" s="3">
        <v>7</v>
      </c>
      <c r="AQ433" s="3">
        <v>8.1</v>
      </c>
      <c r="AR433" s="3">
        <v>6.6</v>
      </c>
      <c r="AS433" s="3">
        <v>18.8</v>
      </c>
      <c r="AT433" s="3">
        <v>27</v>
      </c>
      <c r="AU433" s="3">
        <v>8.4</v>
      </c>
      <c r="AV433" s="3">
        <v>8.6</v>
      </c>
      <c r="AW433" s="3">
        <v>9.1</v>
      </c>
      <c r="AX433" s="3">
        <v>9.3000000000000007</v>
      </c>
      <c r="AY433" s="3">
        <v>9.6</v>
      </c>
      <c r="AZ433" s="3">
        <v>0</v>
      </c>
      <c r="BA433" s="3">
        <v>0</v>
      </c>
      <c r="BB433" s="3">
        <v>0</v>
      </c>
      <c r="BC433" s="3">
        <v>29.272574001409552</v>
      </c>
      <c r="BD433" s="3">
        <v>23.127425998590454</v>
      </c>
      <c r="BE433" s="3">
        <v>26.527425998590445</v>
      </c>
      <c r="BF433" s="3">
        <v>24.28742599859045</v>
      </c>
      <c r="BG433" s="3">
        <v>19.314092665257107</v>
      </c>
      <c r="BH433" s="3">
        <v>10.154092665257117</v>
      </c>
      <c r="BI433" s="3">
        <v>7.4674259985904499</v>
      </c>
      <c r="BJ433" s="3">
        <v>7.7607593319237793</v>
      </c>
      <c r="BK433" s="3">
        <v>9.5340926652571127</v>
      </c>
      <c r="BL433" s="3">
        <v>9.2074259985904519</v>
      </c>
      <c r="BM433" s="3">
        <v>8.6407593319237819</v>
      </c>
      <c r="BN433" s="3">
        <v>9.1240926652571162</v>
      </c>
      <c r="BO433" s="3">
        <v>9.5907593319237847</v>
      </c>
      <c r="BP433" s="3">
        <v>10.707425998590452</v>
      </c>
      <c r="BQ433" s="3">
        <v>9.3240926652571048</v>
      </c>
      <c r="BR433" s="3">
        <v>8.3507593319237827</v>
      </c>
      <c r="BS433" s="3">
        <v>7.9540926652571144</v>
      </c>
      <c r="BT433" s="3">
        <v>8.9507593319237841</v>
      </c>
      <c r="BU433" s="3">
        <v>7.5174259985904541</v>
      </c>
      <c r="BV433" s="3">
        <v>6.834092665257117</v>
      </c>
      <c r="BW433" s="3">
        <v>8.4674259985904499</v>
      </c>
      <c r="BX433" s="3">
        <v>6.8874259985904516</v>
      </c>
      <c r="BY433" s="3">
        <v>18.907425998590448</v>
      </c>
      <c r="BZ433" s="3">
        <v>27.237425998590453</v>
      </c>
      <c r="CA433" s="3">
        <v>8.7374259985904388</v>
      </c>
      <c r="CB433" s="3">
        <v>8.374092665257109</v>
      </c>
      <c r="CC433" s="3">
        <v>9.0874259985904473</v>
      </c>
      <c r="CD433" s="3">
        <v>8.5940926652571221</v>
      </c>
      <c r="CE433" s="3">
        <v>9.0874259985904473</v>
      </c>
      <c r="CF433" s="3">
        <v>-0.89924066807621728</v>
      </c>
      <c r="CG433" s="3">
        <v>-1.4325740014095487</v>
      </c>
      <c r="CH433" s="3">
        <v>-2.5092406680762167</v>
      </c>
      <c r="CI433" s="13">
        <f>[1]!dbasum(RecData[[#This Row],[20]:[2000]],RecData[[#Headers],[20]:[2000]])</f>
        <v>16.837548641551294</v>
      </c>
      <c r="CJ433" s="14">
        <v>4885</v>
      </c>
      <c r="CK433" s="15" t="s">
        <v>249</v>
      </c>
      <c r="CL433" s="15">
        <f>RecData[[#This Row],[Start Time]]</f>
        <v>43262.069444444453</v>
      </c>
      <c r="CM433" s="16">
        <f>RecData[[#This Row],[Wind Speed avg]]</f>
        <v>0.7</v>
      </c>
      <c r="CN433" s="16">
        <f>RecData[[#This Row],[Wind Dir. avg]]</f>
        <v>111.7</v>
      </c>
      <c r="CO433" s="16">
        <f>RecData[[#This Row],[Amb. Humidity]]</f>
        <v>88.7</v>
      </c>
      <c r="CP433" s="16">
        <f>RecData[[#This Row],[Amb. Temperature]]</f>
        <v>8.6999999999999993</v>
      </c>
      <c r="CQ433" s="17">
        <f>RecData[[#This Row],[Amb. Rain Gauge]]</f>
        <v>0</v>
      </c>
      <c r="CR433" s="4" t="s">
        <v>50</v>
      </c>
      <c r="CS433" s="4" t="s">
        <v>49</v>
      </c>
      <c r="CT433" s="70">
        <v>-10.34200191</v>
      </c>
      <c r="CU433" s="70">
        <v>182.3253632</v>
      </c>
      <c r="CV433" s="70">
        <v>1.1664233209999999</v>
      </c>
      <c r="CW433" s="70">
        <v>0</v>
      </c>
      <c r="CX433" s="4"/>
      <c r="CY433" s="69"/>
      <c r="CZ433" s="2" t="b">
        <f>IF($DP$1="YES",IF(RecData[[#This Row],[Power (kW)]]&gt;=$CR$3, TRUE,FALSE),TRUE)</f>
        <v>0</v>
      </c>
      <c r="DA433" s="16">
        <f>MIN(MOD(180-ABS(ABS($DA$1-RecData[Yaw Angle (°)])-180),360),MOD(180-ABS(ABS($DB$1-RecData[Yaw Angle (°)])-180),360))</f>
        <v>174.79543642231243</v>
      </c>
      <c r="DB433" s="2" t="str">
        <f>IF($DP$2="None","None",IF(RecData[[#This Row],[Relative Wind Direction]]&lt;=45,"DW",IF(RecData[[#This Row],[Relative Wind Direction]]&lt;=135,"CW","UW")))</f>
        <v>UW</v>
      </c>
      <c r="DC433" s="61">
        <f>IF($CL433-$CL429&gt;1/24,#REF!,IF(SUM($CQ429:$CQ433)&gt;$DS$1,$DS$5,DC434-1))</f>
        <v>-4</v>
      </c>
      <c r="DD433" s="61">
        <f>IF($CL434-$CL433&gt;1/24,#REF!,IF(SUM($CQ429:$CQ433)&gt;$DS$1,$DS$6,DD432-1))</f>
        <v>-7</v>
      </c>
      <c r="DE433" s="18" t="b">
        <v>0</v>
      </c>
      <c r="DF433" s="2" t="b">
        <f>IF(OR(RecData[[#This Row],[WSpd_Avg '[m/s']]]-RecData[[#This Row],[Wind Speed min]]&gt;=$DF$3,RecData[[#This Row],[Wind Speed max]]-RecData[[#This Row],[WSpd_Avg '[m/s']]]&gt;=$DF$2),TRUE,FALSE)</f>
        <v>0</v>
      </c>
      <c r="DG433" s="2" t="b">
        <f>RecData[[#This Row],[Temperature '[°C']]]&lt;=-20</f>
        <v>0</v>
      </c>
      <c r="DH433" s="18" t="b">
        <f>NOT(OR(MOD(RecData[[#This Row],[TIMESTAMP]],1)&gt;0.91632,MOD(RecData[[#This Row],[TIMESTAMP]],1)&lt;0.208681))</f>
        <v>0</v>
      </c>
      <c r="DI433" s="18" t="b">
        <f>RecData[[#This Row],[Overall (dBA)]]-RecData[[#This Row],[L90]]&gt;=$DS$4</f>
        <v>0</v>
      </c>
      <c r="DJ433" s="18" t="b">
        <f>RecData[[#This Row],[Overall (dBA)]]&gt;$DS$2</f>
        <v>0</v>
      </c>
      <c r="DK433" s="18" t="b">
        <f>RecData[[#This Row],[Overall (dBA)]]&lt;$DS$3</f>
        <v>0</v>
      </c>
      <c r="DL4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3" s="2">
        <f>IF(AND(RecData[[#This Row],[Turbines ON/OFF]] = "OFF", NOT(OR(RecData[[#This Row],[Junk?]]="YES",RecData[[#This Row],[Gust?]],RecData[[#This Row],[Rain?]:[Min SPL Threshold?]]))),1,0)</f>
        <v>1</v>
      </c>
      <c r="DN433" s="16">
        <f>RecData[[#This Row],[dBA Sum]]</f>
        <v>16.837548641551294</v>
      </c>
      <c r="DO433" s="16">
        <f>RecData[[#This Row],[LAF90.0]]</f>
        <v>21.7</v>
      </c>
      <c r="DP433" s="55" t="str">
        <f>IF(AND(RecData[[#This Row],[Useable TON Data?]],RecData[[#This Row],[Turbines ON/OFF]]="ON"),RecData[[#This Row],[dBA Sum]],"")</f>
        <v/>
      </c>
      <c r="DQ433" s="55">
        <f>IF(AND(RecData[[#This Row],[Useable Background Data?]],RecData[[#This Row],[Turbines ON/OFF]]="OFF"),RecData[[#This Row],[dBA Sum]],"")</f>
        <v>16.837548641551294</v>
      </c>
      <c r="DR433" s="3">
        <f>IF(OR(RecData[[#This Row],[Useable TON Data?]],RecData[[#This Row],[Useable Background Data?]]),ROUND(RecData[[#This Row],[WSpd_Avg '[m/s']]],0),"")</f>
        <v>1</v>
      </c>
      <c r="DS433" s="85">
        <f>(0.00002)^2*(10^(RecData[[#This Row],[Overall (dBA)]]/10))</f>
        <v>1.9311448731967353E-8</v>
      </c>
    </row>
    <row r="434" spans="1:123" ht="15" x14ac:dyDescent="0.25">
      <c r="A434" s="3" t="s">
        <v>249</v>
      </c>
      <c r="B434" s="12">
        <v>43262.070138888892</v>
      </c>
      <c r="C434" s="3"/>
      <c r="D434" s="3">
        <v>29.8</v>
      </c>
      <c r="E434" s="3"/>
      <c r="F434" s="3"/>
      <c r="G434" s="3"/>
      <c r="H434" s="3"/>
      <c r="I434" s="3"/>
      <c r="J434" s="3"/>
      <c r="K434" s="3">
        <v>24.1</v>
      </c>
      <c r="L434" s="3"/>
      <c r="M434" s="3"/>
      <c r="N434" s="3">
        <v>128</v>
      </c>
      <c r="O434" s="3"/>
      <c r="P434" s="3"/>
      <c r="Q434" s="3">
        <v>0.74</v>
      </c>
      <c r="R434" s="3">
        <v>0.5</v>
      </c>
      <c r="S434" s="3">
        <v>1.1000000000000001</v>
      </c>
      <c r="T434" s="3">
        <v>8.6999999999999993</v>
      </c>
      <c r="U434" s="3">
        <v>88.7</v>
      </c>
      <c r="V434" s="3">
        <v>974.3</v>
      </c>
      <c r="W434" s="3">
        <v>0</v>
      </c>
      <c r="X434" s="3">
        <v>27.8</v>
      </c>
      <c r="Y434" s="3">
        <v>20.6</v>
      </c>
      <c r="Z434" s="3">
        <v>23.1</v>
      </c>
      <c r="AA434" s="3">
        <v>22.7</v>
      </c>
      <c r="AB434" s="3">
        <v>12.2</v>
      </c>
      <c r="AC434" s="3">
        <v>8.8000000000000007</v>
      </c>
      <c r="AD434" s="3">
        <v>7.2</v>
      </c>
      <c r="AE434" s="3">
        <v>11.5</v>
      </c>
      <c r="AF434" s="3">
        <v>11.1</v>
      </c>
      <c r="AG434" s="3">
        <v>11.2</v>
      </c>
      <c r="AH434" s="3">
        <v>10</v>
      </c>
      <c r="AI434" s="3">
        <v>10.9</v>
      </c>
      <c r="AJ434" s="3">
        <v>11.3</v>
      </c>
      <c r="AK434" s="3">
        <v>10</v>
      </c>
      <c r="AL434" s="3">
        <v>8.4</v>
      </c>
      <c r="AM434" s="3">
        <v>8.1999999999999993</v>
      </c>
      <c r="AN434" s="3">
        <v>8.1</v>
      </c>
      <c r="AO434" s="3">
        <v>7.4</v>
      </c>
      <c r="AP434" s="3">
        <v>7</v>
      </c>
      <c r="AQ434" s="3">
        <v>8</v>
      </c>
      <c r="AR434" s="3">
        <v>6.8</v>
      </c>
      <c r="AS434" s="3">
        <v>19.8</v>
      </c>
      <c r="AT434" s="3">
        <v>27.4</v>
      </c>
      <c r="AU434" s="3">
        <v>8.4</v>
      </c>
      <c r="AV434" s="3">
        <v>8.6</v>
      </c>
      <c r="AW434" s="3">
        <v>9.1</v>
      </c>
      <c r="AX434" s="3">
        <v>9.3000000000000007</v>
      </c>
      <c r="AY434" s="3">
        <v>9.5</v>
      </c>
      <c r="AZ434" s="3">
        <v>0</v>
      </c>
      <c r="BA434" s="3">
        <v>0</v>
      </c>
      <c r="BB434" s="3">
        <v>0</v>
      </c>
      <c r="BC434" s="3">
        <v>29.715238970667087</v>
      </c>
      <c r="BD434" s="3">
        <v>27.884761029332914</v>
      </c>
      <c r="BE434" s="3">
        <v>20.684761029332918</v>
      </c>
      <c r="BF434" s="3">
        <v>21.944761029332916</v>
      </c>
      <c r="BG434" s="3">
        <v>21.871427695999571</v>
      </c>
      <c r="BH434" s="3">
        <v>11.511427695999579</v>
      </c>
      <c r="BI434" s="3">
        <v>8.5247610293329146</v>
      </c>
      <c r="BJ434" s="3">
        <v>7.7180943626662497</v>
      </c>
      <c r="BK434" s="3">
        <v>11.891427695999575</v>
      </c>
      <c r="BL434" s="3">
        <v>11.064761029332914</v>
      </c>
      <c r="BM434" s="3">
        <v>11.298094362666248</v>
      </c>
      <c r="BN434" s="3">
        <v>10.381427695999577</v>
      </c>
      <c r="BO434" s="3">
        <v>10.648094362666249</v>
      </c>
      <c r="BP434" s="3">
        <v>10.764761029332917</v>
      </c>
      <c r="BQ434" s="3">
        <v>9.8814276959995695</v>
      </c>
      <c r="BR434" s="3">
        <v>8.6080943626662503</v>
      </c>
      <c r="BS434" s="3">
        <v>8.211427695999582</v>
      </c>
      <c r="BT434" s="3">
        <v>8.308094362666246</v>
      </c>
      <c r="BU434" s="3">
        <v>7.5747610293329188</v>
      </c>
      <c r="BV434" s="3">
        <v>6.8914276959995817</v>
      </c>
      <c r="BW434" s="3">
        <v>8.4247610293329132</v>
      </c>
      <c r="BX434" s="3">
        <v>7.1447610293329191</v>
      </c>
      <c r="BY434" s="3">
        <v>19.964761029332912</v>
      </c>
      <c r="BZ434" s="3">
        <v>27.694761029332916</v>
      </c>
      <c r="CA434" s="3">
        <v>8.7947610293329035</v>
      </c>
      <c r="CB434" s="3">
        <v>8.4314276959995738</v>
      </c>
      <c r="CC434" s="3">
        <v>9.144761029332912</v>
      </c>
      <c r="CD434" s="3">
        <v>8.6514276959995868</v>
      </c>
      <c r="CE434" s="3">
        <v>9.0447610293329106</v>
      </c>
      <c r="CF434" s="3">
        <v>-0.84190563733375257</v>
      </c>
      <c r="CG434" s="3">
        <v>-1.375238970667084</v>
      </c>
      <c r="CH434" s="3">
        <v>-2.451905637333752</v>
      </c>
      <c r="CI434" s="13">
        <f>[1]!dbasum(RecData[[#This Row],[20]:[2000]],RecData[[#Headers],[20]:[2000]])</f>
        <v>16.968425904022176</v>
      </c>
      <c r="CJ434" s="14">
        <v>4886</v>
      </c>
      <c r="CK434" s="15" t="s">
        <v>249</v>
      </c>
      <c r="CL434" s="15">
        <f>RecData[[#This Row],[Start Time]]</f>
        <v>43262.070138888892</v>
      </c>
      <c r="CM434" s="16">
        <f>RecData[[#This Row],[Wind Speed avg]]</f>
        <v>0.74</v>
      </c>
      <c r="CN434" s="16">
        <f>RecData[[#This Row],[Wind Dir. avg]]</f>
        <v>128</v>
      </c>
      <c r="CO434" s="16">
        <f>RecData[[#This Row],[Amb. Humidity]]</f>
        <v>88.7</v>
      </c>
      <c r="CP434" s="16">
        <f>RecData[[#This Row],[Amb. Temperature]]</f>
        <v>8.6999999999999993</v>
      </c>
      <c r="CQ434" s="17">
        <f>RecData[[#This Row],[Amb. Rain Gauge]]</f>
        <v>0</v>
      </c>
      <c r="CR434" s="4" t="s">
        <v>50</v>
      </c>
      <c r="CS434" s="4" t="s">
        <v>49</v>
      </c>
      <c r="CT434" s="70">
        <v>-11.62226295</v>
      </c>
      <c r="CU434" s="70">
        <v>104.69010160000001</v>
      </c>
      <c r="CV434" s="70">
        <v>1.8358713390000001</v>
      </c>
      <c r="CW434" s="70">
        <v>0</v>
      </c>
      <c r="CX434" s="4"/>
      <c r="CY434" s="69"/>
      <c r="CZ434" s="2" t="b">
        <f>IF($DP$1="YES",IF(RecData[[#This Row],[Power (kW)]]&gt;=$CR$3, TRUE,FALSE),TRUE)</f>
        <v>0</v>
      </c>
      <c r="DA434" s="16">
        <f>MIN(MOD(180-ABS(ABS($DA$1-RecData[Yaw Angle (°)])-180),360),MOD(180-ABS(ABS($DB$1-RecData[Yaw Angle (°)])-180),360))</f>
        <v>97.160174822312456</v>
      </c>
      <c r="DB434" s="2" t="str">
        <f>IF($DP$2="None","None",IF(RecData[[#This Row],[Relative Wind Direction]]&lt;=45,"DW",IF(RecData[[#This Row],[Relative Wind Direction]]&lt;=135,"CW","UW")))</f>
        <v>CW</v>
      </c>
      <c r="DC434" s="61">
        <f>IF($CL434-$CL430&gt;1/24,#REF!,IF(SUM($CQ430:$CQ434)&gt;$DS$1,$DS$5,DC435-1))</f>
        <v>-3</v>
      </c>
      <c r="DD434" s="61">
        <f>IF($CL435-$CL434&gt;1/24,#REF!,IF(SUM($CQ430:$CQ434)&gt;$DS$1,$DS$6,DD433-1))</f>
        <v>-8</v>
      </c>
      <c r="DE434" s="18" t="b">
        <v>0</v>
      </c>
      <c r="DF434" s="2" t="b">
        <f>IF(OR(RecData[[#This Row],[WSpd_Avg '[m/s']]]-RecData[[#This Row],[Wind Speed min]]&gt;=$DF$3,RecData[[#This Row],[Wind Speed max]]-RecData[[#This Row],[WSpd_Avg '[m/s']]]&gt;=$DF$2),TRUE,FALSE)</f>
        <v>0</v>
      </c>
      <c r="DG434" s="2" t="b">
        <f>RecData[[#This Row],[Temperature '[°C']]]&lt;=-20</f>
        <v>0</v>
      </c>
      <c r="DH434" s="18" t="b">
        <f>NOT(OR(MOD(RecData[[#This Row],[TIMESTAMP]],1)&gt;0.91632,MOD(RecData[[#This Row],[TIMESTAMP]],1)&lt;0.208681))</f>
        <v>0</v>
      </c>
      <c r="DI434" s="18" t="b">
        <f>RecData[[#This Row],[Overall (dBA)]]-RecData[[#This Row],[L90]]&gt;=$DS$4</f>
        <v>0</v>
      </c>
      <c r="DJ434" s="18" t="b">
        <f>RecData[[#This Row],[Overall (dBA)]]&gt;$DS$2</f>
        <v>0</v>
      </c>
      <c r="DK434" s="18" t="b">
        <f>RecData[[#This Row],[Overall (dBA)]]&lt;$DS$3</f>
        <v>0</v>
      </c>
      <c r="DL4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4" s="2">
        <f>IF(AND(RecData[[#This Row],[Turbines ON/OFF]] = "OFF", NOT(OR(RecData[[#This Row],[Junk?]]="YES",RecData[[#This Row],[Gust?]],RecData[[#This Row],[Rain?]:[Min SPL Threshold?]]))),1,0)</f>
        <v>1</v>
      </c>
      <c r="DN434" s="16">
        <f>RecData[[#This Row],[dBA Sum]]</f>
        <v>16.968425904022176</v>
      </c>
      <c r="DO434" s="16">
        <f>RecData[[#This Row],[LAF90.0]]</f>
        <v>24.1</v>
      </c>
      <c r="DP434" s="55" t="str">
        <f>IF(AND(RecData[[#This Row],[Useable TON Data?]],RecData[[#This Row],[Turbines ON/OFF]]="ON"),RecData[[#This Row],[dBA Sum]],"")</f>
        <v/>
      </c>
      <c r="DQ434" s="55">
        <f>IF(AND(RecData[[#This Row],[Useable Background Data?]],RecData[[#This Row],[Turbines ON/OFF]]="OFF"),RecData[[#This Row],[dBA Sum]],"")</f>
        <v>16.968425904022176</v>
      </c>
      <c r="DR434" s="3">
        <f>IF(OR(RecData[[#This Row],[Useable TON Data?]],RecData[[#This Row],[Useable Background Data?]]),ROUND(RecData[[#This Row],[WSpd_Avg '[m/s']]],0),"")</f>
        <v>1</v>
      </c>
      <c r="DS434" s="85">
        <f>(0.00002)^2*(10^(RecData[[#This Row],[Overall (dBA)]]/10))</f>
        <v>1.9902268534530535E-8</v>
      </c>
    </row>
    <row r="435" spans="1:123" ht="15" x14ac:dyDescent="0.25">
      <c r="A435" s="3" t="s">
        <v>249</v>
      </c>
      <c r="B435" s="12">
        <v>43262.070833333339</v>
      </c>
      <c r="C435" s="3"/>
      <c r="D435" s="3">
        <v>30.9</v>
      </c>
      <c r="E435" s="3"/>
      <c r="F435" s="3"/>
      <c r="G435" s="3"/>
      <c r="H435" s="3"/>
      <c r="I435" s="3"/>
      <c r="J435" s="3"/>
      <c r="K435" s="3">
        <v>26.3</v>
      </c>
      <c r="L435" s="3"/>
      <c r="M435" s="3"/>
      <c r="N435" s="3">
        <v>158.1</v>
      </c>
      <c r="O435" s="3"/>
      <c r="P435" s="3"/>
      <c r="Q435" s="3">
        <v>0.49</v>
      </c>
      <c r="R435" s="3">
        <v>0.1</v>
      </c>
      <c r="S435" s="3">
        <v>0.9</v>
      </c>
      <c r="T435" s="3">
        <v>8.6999999999999993</v>
      </c>
      <c r="U435" s="3">
        <v>88.8</v>
      </c>
      <c r="V435" s="3">
        <v>974.3</v>
      </c>
      <c r="W435" s="3">
        <v>0</v>
      </c>
      <c r="X435" s="3">
        <v>18.600000000000001</v>
      </c>
      <c r="Y435" s="3">
        <v>13</v>
      </c>
      <c r="Z435" s="3">
        <v>15.6</v>
      </c>
      <c r="AA435" s="3">
        <v>10.199999999999999</v>
      </c>
      <c r="AB435" s="3">
        <v>9</v>
      </c>
      <c r="AC435" s="3">
        <v>6.9</v>
      </c>
      <c r="AD435" s="3">
        <v>8.4</v>
      </c>
      <c r="AE435" s="3">
        <v>9.1999999999999993</v>
      </c>
      <c r="AF435" s="3">
        <v>10.9</v>
      </c>
      <c r="AG435" s="3">
        <v>10.3</v>
      </c>
      <c r="AH435" s="3">
        <v>10.1</v>
      </c>
      <c r="AI435" s="3">
        <v>10.7</v>
      </c>
      <c r="AJ435" s="3">
        <v>11.6</v>
      </c>
      <c r="AK435" s="3">
        <v>9.8000000000000007</v>
      </c>
      <c r="AL435" s="3">
        <v>8</v>
      </c>
      <c r="AM435" s="3">
        <v>7.9</v>
      </c>
      <c r="AN435" s="3">
        <v>9.6</v>
      </c>
      <c r="AO435" s="3">
        <v>7.6</v>
      </c>
      <c r="AP435" s="3">
        <v>6.8</v>
      </c>
      <c r="AQ435" s="3">
        <v>7.5</v>
      </c>
      <c r="AR435" s="3">
        <v>6.6</v>
      </c>
      <c r="AS435" s="3">
        <v>21.6</v>
      </c>
      <c r="AT435" s="3">
        <v>28.5</v>
      </c>
      <c r="AU435" s="3">
        <v>8.8000000000000007</v>
      </c>
      <c r="AV435" s="3">
        <v>8.6999999999999993</v>
      </c>
      <c r="AW435" s="3">
        <v>9.1999999999999993</v>
      </c>
      <c r="AX435" s="3">
        <v>9.4</v>
      </c>
      <c r="AY435" s="3">
        <v>9.6</v>
      </c>
      <c r="AZ435" s="3">
        <v>0</v>
      </c>
      <c r="BA435" s="3">
        <v>0</v>
      </c>
      <c r="BB435" s="3">
        <v>0</v>
      </c>
      <c r="BC435" s="3">
        <v>30.837106000866434</v>
      </c>
      <c r="BD435" s="3">
        <v>18.662893999133566</v>
      </c>
      <c r="BE435" s="3">
        <v>13.062893999133564</v>
      </c>
      <c r="BF435" s="3">
        <v>14.422893999133564</v>
      </c>
      <c r="BG435" s="3">
        <v>9.3495606658002259</v>
      </c>
      <c r="BH435" s="3">
        <v>8.2895606658002308</v>
      </c>
      <c r="BI435" s="3">
        <v>6.6028939991335633</v>
      </c>
      <c r="BJ435" s="3">
        <v>8.8962273324668999</v>
      </c>
      <c r="BK435" s="3">
        <v>9.5695606658002248</v>
      </c>
      <c r="BL435" s="3">
        <v>10.842893999133565</v>
      </c>
      <c r="BM435" s="3">
        <v>10.376227332466904</v>
      </c>
      <c r="BN435" s="3">
        <v>10.459560665800232</v>
      </c>
      <c r="BO435" s="3">
        <v>10.426227332466901</v>
      </c>
      <c r="BP435" s="3">
        <v>11.042893999133561</v>
      </c>
      <c r="BQ435" s="3">
        <v>9.6595606658002211</v>
      </c>
      <c r="BR435" s="3">
        <v>8.186227332466899</v>
      </c>
      <c r="BS435" s="3">
        <v>7.8895606658002322</v>
      </c>
      <c r="BT435" s="3">
        <v>9.7862273324669005</v>
      </c>
      <c r="BU435" s="3">
        <v>7.752893999133569</v>
      </c>
      <c r="BV435" s="3">
        <v>6.6695606658002333</v>
      </c>
      <c r="BW435" s="3">
        <v>7.9028939991335676</v>
      </c>
      <c r="BX435" s="3">
        <v>6.9228939991335707</v>
      </c>
      <c r="BY435" s="3">
        <v>21.742893999133564</v>
      </c>
      <c r="BZ435" s="3">
        <v>28.772893999133565</v>
      </c>
      <c r="CA435" s="3">
        <v>9.1728939991335565</v>
      </c>
      <c r="CB435" s="3">
        <v>8.5095606658002296</v>
      </c>
      <c r="CC435" s="3">
        <v>9.2228939991335608</v>
      </c>
      <c r="CD435" s="3">
        <v>8.7295606658002356</v>
      </c>
      <c r="CE435" s="3">
        <v>9.1228939991335594</v>
      </c>
      <c r="CF435" s="3">
        <v>-0.86377266753310167</v>
      </c>
      <c r="CG435" s="3">
        <v>-1.3971060008664331</v>
      </c>
      <c r="CH435" s="3">
        <v>-2.4737726675331011</v>
      </c>
      <c r="CI435" s="13">
        <f>[1]!dbasum(RecData[[#This Row],[20]:[2000]],RecData[[#Headers],[20]:[2000]])</f>
        <v>16.964140170295053</v>
      </c>
      <c r="CJ435" s="14">
        <v>4887</v>
      </c>
      <c r="CK435" s="15" t="s">
        <v>249</v>
      </c>
      <c r="CL435" s="15">
        <f>RecData[[#This Row],[Start Time]]</f>
        <v>43262.070833333339</v>
      </c>
      <c r="CM435" s="16">
        <f>RecData[[#This Row],[Wind Speed avg]]</f>
        <v>0.49</v>
      </c>
      <c r="CN435" s="16">
        <f>RecData[[#This Row],[Wind Dir. avg]]</f>
        <v>158.1</v>
      </c>
      <c r="CO435" s="16">
        <f>RecData[[#This Row],[Amb. Humidity]]</f>
        <v>88.8</v>
      </c>
      <c r="CP435" s="16">
        <f>RecData[[#This Row],[Amb. Temperature]]</f>
        <v>8.6999999999999993</v>
      </c>
      <c r="CQ435" s="17">
        <f>RecData[[#This Row],[Amb. Rain Gauge]]</f>
        <v>0</v>
      </c>
      <c r="CR435" s="4" t="s">
        <v>50</v>
      </c>
      <c r="CS435" s="4" t="s">
        <v>49</v>
      </c>
      <c r="CT435" s="70">
        <v>-11.62226295</v>
      </c>
      <c r="CU435" s="70">
        <v>104.69010160000001</v>
      </c>
      <c r="CV435" s="70">
        <v>1.8358713390000001</v>
      </c>
      <c r="CW435" s="70">
        <v>0</v>
      </c>
      <c r="CX435" s="4"/>
      <c r="CY435" s="69"/>
      <c r="CZ435" s="2" t="b">
        <f>IF($DP$1="YES",IF(RecData[[#This Row],[Power (kW)]]&gt;=$CR$3, TRUE,FALSE),TRUE)</f>
        <v>0</v>
      </c>
      <c r="DA435" s="16">
        <f>MIN(MOD(180-ABS(ABS($DA$1-RecData[Yaw Angle (°)])-180),360),MOD(180-ABS(ABS($DB$1-RecData[Yaw Angle (°)])-180),360))</f>
        <v>97.160174822312456</v>
      </c>
      <c r="DB435" s="2" t="str">
        <f>IF($DP$2="None","None",IF(RecData[[#This Row],[Relative Wind Direction]]&lt;=45,"DW",IF(RecData[[#This Row],[Relative Wind Direction]]&lt;=135,"CW","UW")))</f>
        <v>CW</v>
      </c>
      <c r="DC435" s="61">
        <f>IF($CL435-$CL431&gt;1/24,#REF!,IF(SUM($CQ431:$CQ435)&gt;$DS$1,$DS$5,DC436-1))</f>
        <v>-2</v>
      </c>
      <c r="DD435" s="61">
        <f>IF($CL436-$CL435&gt;1/24,#REF!,IF(SUM($CQ431:$CQ435)&gt;$DS$1,$DS$6,DD434-1))</f>
        <v>-9</v>
      </c>
      <c r="DE435" s="18" t="b">
        <v>0</v>
      </c>
      <c r="DF435" s="2" t="b">
        <f>IF(OR(RecData[[#This Row],[WSpd_Avg '[m/s']]]-RecData[[#This Row],[Wind Speed min]]&gt;=$DF$3,RecData[[#This Row],[Wind Speed max]]-RecData[[#This Row],[WSpd_Avg '[m/s']]]&gt;=$DF$2),TRUE,FALSE)</f>
        <v>0</v>
      </c>
      <c r="DG435" s="2" t="b">
        <f>RecData[[#This Row],[Temperature '[°C']]]&lt;=-20</f>
        <v>0</v>
      </c>
      <c r="DH435" s="18" t="b">
        <f>NOT(OR(MOD(RecData[[#This Row],[TIMESTAMP]],1)&gt;0.91632,MOD(RecData[[#This Row],[TIMESTAMP]],1)&lt;0.208681))</f>
        <v>0</v>
      </c>
      <c r="DI435" s="18" t="b">
        <f>RecData[[#This Row],[Overall (dBA)]]-RecData[[#This Row],[L90]]&gt;=$DS$4</f>
        <v>0</v>
      </c>
      <c r="DJ435" s="18" t="b">
        <f>RecData[[#This Row],[Overall (dBA)]]&gt;$DS$2</f>
        <v>0</v>
      </c>
      <c r="DK435" s="18" t="b">
        <f>RecData[[#This Row],[Overall (dBA)]]&lt;$DS$3</f>
        <v>0</v>
      </c>
      <c r="DL4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5" s="2">
        <f>IF(AND(RecData[[#This Row],[Turbines ON/OFF]] = "OFF", NOT(OR(RecData[[#This Row],[Junk?]]="YES",RecData[[#This Row],[Gust?]],RecData[[#This Row],[Rain?]:[Min SPL Threshold?]]))),1,0)</f>
        <v>1</v>
      </c>
      <c r="DN435" s="16">
        <f>RecData[[#This Row],[dBA Sum]]</f>
        <v>16.964140170295053</v>
      </c>
      <c r="DO435" s="16">
        <f>RecData[[#This Row],[LAF90.0]]</f>
        <v>26.3</v>
      </c>
      <c r="DP435" s="55" t="str">
        <f>IF(AND(RecData[[#This Row],[Useable TON Data?]],RecData[[#This Row],[Turbines ON/OFF]]="ON"),RecData[[#This Row],[dBA Sum]],"")</f>
        <v/>
      </c>
      <c r="DQ435" s="55">
        <f>IF(AND(RecData[[#This Row],[Useable Background Data?]],RecData[[#This Row],[Turbines ON/OFF]]="OFF"),RecData[[#This Row],[dBA Sum]],"")</f>
        <v>16.964140170295053</v>
      </c>
      <c r="DR435" s="3">
        <f>IF(OR(RecData[[#This Row],[Useable TON Data?]],RecData[[#This Row],[Useable Background Data?]]),ROUND(RecData[[#This Row],[WSpd_Avg '[m/s']]],0),"")</f>
        <v>0</v>
      </c>
      <c r="DS435" s="85">
        <f>(0.00002)^2*(10^(RecData[[#This Row],[Overall (dBA)]]/10))</f>
        <v>1.9882638132855788E-8</v>
      </c>
    </row>
    <row r="436" spans="1:123" ht="15" x14ac:dyDescent="0.25">
      <c r="A436" s="3" t="s">
        <v>249</v>
      </c>
      <c r="B436" s="12">
        <v>43262.071527777785</v>
      </c>
      <c r="C436" s="3"/>
      <c r="D436" s="3">
        <v>28.4</v>
      </c>
      <c r="E436" s="3"/>
      <c r="F436" s="3"/>
      <c r="G436" s="3"/>
      <c r="H436" s="3"/>
      <c r="I436" s="3"/>
      <c r="J436" s="3"/>
      <c r="K436" s="3">
        <v>24.4</v>
      </c>
      <c r="L436" s="3"/>
      <c r="M436" s="3"/>
      <c r="N436" s="3">
        <v>100.4</v>
      </c>
      <c r="O436" s="3"/>
      <c r="P436" s="3"/>
      <c r="Q436" s="3">
        <v>0.12</v>
      </c>
      <c r="R436" s="3">
        <v>0</v>
      </c>
      <c r="S436" s="3">
        <v>0.2</v>
      </c>
      <c r="T436" s="3">
        <v>8.6999999999999993</v>
      </c>
      <c r="U436" s="3">
        <v>88.9</v>
      </c>
      <c r="V436" s="3">
        <v>974.3</v>
      </c>
      <c r="W436" s="3">
        <v>0</v>
      </c>
      <c r="X436" s="3">
        <v>29.9</v>
      </c>
      <c r="Y436" s="3">
        <v>25.9</v>
      </c>
      <c r="Z436" s="3">
        <v>25.7</v>
      </c>
      <c r="AA436" s="3">
        <v>23</v>
      </c>
      <c r="AB436" s="3">
        <v>13.9</v>
      </c>
      <c r="AC436" s="3">
        <v>9.3000000000000007</v>
      </c>
      <c r="AD436" s="3">
        <v>11.5</v>
      </c>
      <c r="AE436" s="3">
        <v>15.2</v>
      </c>
      <c r="AF436" s="3">
        <v>16.5</v>
      </c>
      <c r="AG436" s="3">
        <v>15.6</v>
      </c>
      <c r="AH436" s="3">
        <v>19.399999999999999</v>
      </c>
      <c r="AI436" s="3">
        <v>15</v>
      </c>
      <c r="AJ436" s="3">
        <v>15.5</v>
      </c>
      <c r="AK436" s="3">
        <v>20.2</v>
      </c>
      <c r="AL436" s="3">
        <v>11.4</v>
      </c>
      <c r="AM436" s="3">
        <v>17.2</v>
      </c>
      <c r="AN436" s="3">
        <v>16.899999999999999</v>
      </c>
      <c r="AO436" s="3">
        <v>15.2</v>
      </c>
      <c r="AP436" s="3">
        <v>11</v>
      </c>
      <c r="AQ436" s="3">
        <v>7.3</v>
      </c>
      <c r="AR436" s="3">
        <v>6.7</v>
      </c>
      <c r="AS436" s="3">
        <v>16.5</v>
      </c>
      <c r="AT436" s="3">
        <v>24.7</v>
      </c>
      <c r="AU436" s="3">
        <v>8.1999999999999993</v>
      </c>
      <c r="AV436" s="3">
        <v>8.6</v>
      </c>
      <c r="AW436" s="3">
        <v>9.1</v>
      </c>
      <c r="AX436" s="3">
        <v>9.4</v>
      </c>
      <c r="AY436" s="3">
        <v>9.6</v>
      </c>
      <c r="AZ436" s="3">
        <v>0</v>
      </c>
      <c r="BA436" s="3">
        <v>0</v>
      </c>
      <c r="BB436" s="3">
        <v>0</v>
      </c>
      <c r="BC436" s="3">
        <v>28.348385336947057</v>
      </c>
      <c r="BD436" s="3">
        <v>29.95161466305294</v>
      </c>
      <c r="BE436" s="3">
        <v>25.95161466305294</v>
      </c>
      <c r="BF436" s="3">
        <v>24.511614663052942</v>
      </c>
      <c r="BG436" s="3">
        <v>22.138281329719607</v>
      </c>
      <c r="BH436" s="3">
        <v>13.178281329719614</v>
      </c>
      <c r="BI436" s="3">
        <v>8.9916146630529461</v>
      </c>
      <c r="BJ436" s="3">
        <v>11.984947996386271</v>
      </c>
      <c r="BK436" s="3">
        <v>15.558281329719602</v>
      </c>
      <c r="BL436" s="3">
        <v>16.431614663052944</v>
      </c>
      <c r="BM436" s="3">
        <v>15.664947996386278</v>
      </c>
      <c r="BN436" s="3">
        <v>19.748281329719607</v>
      </c>
      <c r="BO436" s="3">
        <v>14.714947996386275</v>
      </c>
      <c r="BP436" s="3">
        <v>14.931614663052944</v>
      </c>
      <c r="BQ436" s="3">
        <v>20.048281329719597</v>
      </c>
      <c r="BR436" s="3">
        <v>11.574947996386275</v>
      </c>
      <c r="BS436" s="3">
        <v>17.178281329719606</v>
      </c>
      <c r="BT436" s="3">
        <v>17.074947996386275</v>
      </c>
      <c r="BU436" s="3">
        <v>15.34161466305294</v>
      </c>
      <c r="BV436" s="3">
        <v>10.858281329719606</v>
      </c>
      <c r="BW436" s="3">
        <v>7.6916146630529418</v>
      </c>
      <c r="BX436" s="3">
        <v>7.0116146630529492</v>
      </c>
      <c r="BY436" s="3">
        <v>16.63161466305294</v>
      </c>
      <c r="BZ436" s="3">
        <v>24.961614663052945</v>
      </c>
      <c r="CA436" s="3">
        <v>8.5616146630529322</v>
      </c>
      <c r="CB436" s="3">
        <v>8.3982813297196053</v>
      </c>
      <c r="CC436" s="3">
        <v>9.1116146630529364</v>
      </c>
      <c r="CD436" s="3">
        <v>8.7182813297196127</v>
      </c>
      <c r="CE436" s="3">
        <v>9.1116146630529364</v>
      </c>
      <c r="CF436" s="3">
        <v>-0.87505200361372459</v>
      </c>
      <c r="CG436" s="3">
        <v>-1.408385336947056</v>
      </c>
      <c r="CH436" s="3">
        <v>-2.485052003613724</v>
      </c>
      <c r="CI436" s="13">
        <f>[1]!dbasum(RecData[[#This Row],[20]:[2000]],RecData[[#Headers],[20]:[2000]])</f>
        <v>23.022205241609353</v>
      </c>
      <c r="CJ436" s="14">
        <v>4888</v>
      </c>
      <c r="CK436" s="15" t="s">
        <v>249</v>
      </c>
      <c r="CL436" s="15">
        <f>RecData[[#This Row],[Start Time]]</f>
        <v>43262.071527777785</v>
      </c>
      <c r="CM436" s="16">
        <f>RecData[[#This Row],[Wind Speed avg]]</f>
        <v>0.12</v>
      </c>
      <c r="CN436" s="16">
        <f>RecData[[#This Row],[Wind Dir. avg]]</f>
        <v>100.4</v>
      </c>
      <c r="CO436" s="16">
        <f>RecData[[#This Row],[Amb. Humidity]]</f>
        <v>88.9</v>
      </c>
      <c r="CP436" s="16">
        <f>RecData[[#This Row],[Amb. Temperature]]</f>
        <v>8.6999999999999993</v>
      </c>
      <c r="CQ436" s="17">
        <f>RecData[[#This Row],[Amb. Rain Gauge]]</f>
        <v>0</v>
      </c>
      <c r="CR436" s="4" t="s">
        <v>50</v>
      </c>
      <c r="CS436" s="4" t="s">
        <v>49</v>
      </c>
      <c r="CT436" s="70">
        <v>-11.62226295</v>
      </c>
      <c r="CU436" s="70">
        <v>104.69010160000001</v>
      </c>
      <c r="CV436" s="70">
        <v>1.8358713390000001</v>
      </c>
      <c r="CW436" s="70">
        <v>0</v>
      </c>
      <c r="CX436" s="4"/>
      <c r="CY436" s="69"/>
      <c r="CZ436" s="2" t="b">
        <f>IF($DP$1="YES",IF(RecData[[#This Row],[Power (kW)]]&gt;=$CR$3, TRUE,FALSE),TRUE)</f>
        <v>0</v>
      </c>
      <c r="DA436" s="16">
        <f>MIN(MOD(180-ABS(ABS($DA$1-RecData[Yaw Angle (°)])-180),360),MOD(180-ABS(ABS($DB$1-RecData[Yaw Angle (°)])-180),360))</f>
        <v>97.160174822312456</v>
      </c>
      <c r="DB436" s="2" t="str">
        <f>IF($DP$2="None","None",IF(RecData[[#This Row],[Relative Wind Direction]]&lt;=45,"DW",IF(RecData[[#This Row],[Relative Wind Direction]]&lt;=135,"CW","UW")))</f>
        <v>CW</v>
      </c>
      <c r="DC436" s="61">
        <v>-1</v>
      </c>
      <c r="DD436" s="61">
        <v>-1</v>
      </c>
      <c r="DE436" s="18" t="b">
        <v>0</v>
      </c>
      <c r="DF436" s="2" t="b">
        <f>IF(OR(RecData[[#This Row],[WSpd_Avg '[m/s']]]-RecData[[#This Row],[Wind Speed min]]&gt;=$DF$3,RecData[[#This Row],[Wind Speed max]]-RecData[[#This Row],[WSpd_Avg '[m/s']]]&gt;=$DF$2),TRUE,FALSE)</f>
        <v>0</v>
      </c>
      <c r="DG436" s="2" t="b">
        <f>RecData[[#This Row],[Temperature '[°C']]]&lt;=-20</f>
        <v>0</v>
      </c>
      <c r="DH436" s="18" t="b">
        <f>NOT(OR(MOD(RecData[[#This Row],[TIMESTAMP]],1)&gt;0.91632,MOD(RecData[[#This Row],[TIMESTAMP]],1)&lt;0.208681))</f>
        <v>0</v>
      </c>
      <c r="DI436" s="18" t="b">
        <f>RecData[[#This Row],[Overall (dBA)]]-RecData[[#This Row],[L90]]&gt;=$DS$4</f>
        <v>0</v>
      </c>
      <c r="DJ436" s="18" t="b">
        <f>RecData[[#This Row],[Overall (dBA)]]&gt;$DS$2</f>
        <v>0</v>
      </c>
      <c r="DK436" s="18" t="b">
        <f>RecData[[#This Row],[Overall (dBA)]]&lt;$DS$3</f>
        <v>0</v>
      </c>
      <c r="DL4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6" s="2">
        <f>IF(AND(RecData[[#This Row],[Turbines ON/OFF]] = "OFF", NOT(OR(RecData[[#This Row],[Junk?]]="YES",RecData[[#This Row],[Gust?]],RecData[[#This Row],[Rain?]:[Min SPL Threshold?]]))),1,0)</f>
        <v>1</v>
      </c>
      <c r="DN436" s="16">
        <f>RecData[[#This Row],[dBA Sum]]</f>
        <v>23.022205241609353</v>
      </c>
      <c r="DO436" s="16">
        <f>RecData[[#This Row],[LAF90.0]]</f>
        <v>24.4</v>
      </c>
      <c r="DP436" s="55" t="str">
        <f>IF(AND(RecData[[#This Row],[Useable TON Data?]],RecData[[#This Row],[Turbines ON/OFF]]="ON"),RecData[[#This Row],[dBA Sum]],"")</f>
        <v/>
      </c>
      <c r="DQ436" s="55">
        <f>IF(AND(RecData[[#This Row],[Useable Background Data?]],RecData[[#This Row],[Turbines ON/OFF]]="OFF"),RecData[[#This Row],[dBA Sum]],"")</f>
        <v>23.022205241609353</v>
      </c>
      <c r="DR436" s="3">
        <f>IF(OR(RecData[[#This Row],[Useable TON Data?]],RecData[[#This Row],[Useable Background Data?]]),ROUND(RecData[[#This Row],[WSpd_Avg '[m/s']]],0),"")</f>
        <v>0</v>
      </c>
      <c r="DS436" s="85">
        <f>(0.00002)^2*(10^(RecData[[#This Row],[Overall (dBA)]]/10))</f>
        <v>8.0219604315973974E-8</v>
      </c>
    </row>
    <row r="437" spans="1:123" ht="15" x14ac:dyDescent="0.25">
      <c r="A437" s="3" t="s">
        <v>249</v>
      </c>
      <c r="B437" s="12">
        <v>43262.072222222225</v>
      </c>
      <c r="C437" s="3"/>
      <c r="D437" s="3">
        <v>29.3</v>
      </c>
      <c r="E437" s="3"/>
      <c r="F437" s="3"/>
      <c r="G437" s="3"/>
      <c r="H437" s="3"/>
      <c r="I437" s="3"/>
      <c r="J437" s="3"/>
      <c r="K437" s="3">
        <v>25.3</v>
      </c>
      <c r="L437" s="3"/>
      <c r="M437" s="3"/>
      <c r="N437" s="3">
        <v>89.8</v>
      </c>
      <c r="O437" s="3"/>
      <c r="P437" s="3"/>
      <c r="Q437" s="3">
        <v>0.2</v>
      </c>
      <c r="R437" s="3">
        <v>0</v>
      </c>
      <c r="S437" s="3">
        <v>0.4</v>
      </c>
      <c r="T437" s="3">
        <v>8.6999999999999993</v>
      </c>
      <c r="U437" s="3">
        <v>88.9</v>
      </c>
      <c r="V437" s="3">
        <v>974.3</v>
      </c>
      <c r="W437" s="3">
        <v>0</v>
      </c>
      <c r="X437" s="3">
        <v>22.8</v>
      </c>
      <c r="Y437" s="3">
        <v>18.3</v>
      </c>
      <c r="Z437" s="3">
        <v>21.4</v>
      </c>
      <c r="AA437" s="3">
        <v>14.8</v>
      </c>
      <c r="AB437" s="3">
        <v>12.2</v>
      </c>
      <c r="AC437" s="3">
        <v>8.4</v>
      </c>
      <c r="AD437" s="3">
        <v>11.3</v>
      </c>
      <c r="AE437" s="3">
        <v>12.6</v>
      </c>
      <c r="AF437" s="3">
        <v>15.2</v>
      </c>
      <c r="AG437" s="3">
        <v>15</v>
      </c>
      <c r="AH437" s="3">
        <v>17.600000000000001</v>
      </c>
      <c r="AI437" s="3">
        <v>14.4</v>
      </c>
      <c r="AJ437" s="3">
        <v>13.7</v>
      </c>
      <c r="AK437" s="3">
        <v>17.3</v>
      </c>
      <c r="AL437" s="3">
        <v>10.7</v>
      </c>
      <c r="AM437" s="3">
        <v>17.399999999999999</v>
      </c>
      <c r="AN437" s="3">
        <v>14.4</v>
      </c>
      <c r="AO437" s="3">
        <v>13.1</v>
      </c>
      <c r="AP437" s="3">
        <v>9.6</v>
      </c>
      <c r="AQ437" s="3">
        <v>7.4</v>
      </c>
      <c r="AR437" s="3">
        <v>6.8</v>
      </c>
      <c r="AS437" s="3">
        <v>17.5</v>
      </c>
      <c r="AT437" s="3">
        <v>26.6</v>
      </c>
      <c r="AU437" s="3">
        <v>8.5</v>
      </c>
      <c r="AV437" s="3">
        <v>9</v>
      </c>
      <c r="AW437" s="3">
        <v>9.5</v>
      </c>
      <c r="AX437" s="3">
        <v>9.5</v>
      </c>
      <c r="AY437" s="3">
        <v>9.6</v>
      </c>
      <c r="AZ437" s="3">
        <v>0</v>
      </c>
      <c r="BA437" s="3">
        <v>0</v>
      </c>
      <c r="BB437" s="3">
        <v>0</v>
      </c>
      <c r="BC437" s="3">
        <v>29.334485195596546</v>
      </c>
      <c r="BD437" s="3">
        <v>22.765514804403455</v>
      </c>
      <c r="BE437" s="3">
        <v>18.265514804403455</v>
      </c>
      <c r="BF437" s="3">
        <v>20.125514804403455</v>
      </c>
      <c r="BG437" s="3">
        <v>13.852181471070121</v>
      </c>
      <c r="BH437" s="3">
        <v>11.392181471070121</v>
      </c>
      <c r="BI437" s="3">
        <v>8.0055148044034574</v>
      </c>
      <c r="BJ437" s="3">
        <v>11.698848137736785</v>
      </c>
      <c r="BK437" s="3">
        <v>12.872181471070117</v>
      </c>
      <c r="BL437" s="3">
        <v>15.045514804403457</v>
      </c>
      <c r="BM437" s="3">
        <v>14.978848137736787</v>
      </c>
      <c r="BN437" s="3">
        <v>17.862181471070127</v>
      </c>
      <c r="BO437" s="3">
        <v>14.028848137736791</v>
      </c>
      <c r="BP437" s="3">
        <v>13.045514804403457</v>
      </c>
      <c r="BQ437" s="3">
        <v>17.062181471070115</v>
      </c>
      <c r="BR437" s="3">
        <v>10.788848137736789</v>
      </c>
      <c r="BS437" s="3">
        <v>17.292181471070119</v>
      </c>
      <c r="BT437" s="3">
        <v>14.488848137736792</v>
      </c>
      <c r="BU437" s="3">
        <v>13.155514804403456</v>
      </c>
      <c r="BV437" s="3">
        <v>9.3721814710701175</v>
      </c>
      <c r="BW437" s="3">
        <v>7.7055148044034603</v>
      </c>
      <c r="BX437" s="3">
        <v>7.0255148044034605</v>
      </c>
      <c r="BY437" s="3">
        <v>17.545514804403449</v>
      </c>
      <c r="BZ437" s="3">
        <v>26.775514804403461</v>
      </c>
      <c r="CA437" s="3">
        <v>8.7755148044034463</v>
      </c>
      <c r="CB437" s="3">
        <v>8.7121814710701209</v>
      </c>
      <c r="CC437" s="3">
        <v>9.425514804403452</v>
      </c>
      <c r="CD437" s="3">
        <v>8.732181471070124</v>
      </c>
      <c r="CE437" s="3">
        <v>9.0255148044034534</v>
      </c>
      <c r="CF437" s="3">
        <v>-0.96115186226321114</v>
      </c>
      <c r="CG437" s="3">
        <v>-1.4944851955965426</v>
      </c>
      <c r="CH437" s="3">
        <v>-2.5711518622632106</v>
      </c>
      <c r="CI437" s="13">
        <f>[1]!dbasum(RecData[[#This Row],[20]:[2000]],RecData[[#Headers],[20]:[2000]])</f>
        <v>21.47705673173876</v>
      </c>
      <c r="CJ437" s="14">
        <v>4889</v>
      </c>
      <c r="CK437" s="15" t="s">
        <v>249</v>
      </c>
      <c r="CL437" s="15">
        <f>RecData[[#This Row],[Start Time]]</f>
        <v>43262.072222222225</v>
      </c>
      <c r="CM437" s="16">
        <f>RecData[[#This Row],[Wind Speed avg]]</f>
        <v>0.2</v>
      </c>
      <c r="CN437" s="16">
        <f>RecData[[#This Row],[Wind Dir. avg]]</f>
        <v>89.8</v>
      </c>
      <c r="CO437" s="16">
        <f>RecData[[#This Row],[Amb. Humidity]]</f>
        <v>88.9</v>
      </c>
      <c r="CP437" s="16">
        <f>RecData[[#This Row],[Amb. Temperature]]</f>
        <v>8.6999999999999993</v>
      </c>
      <c r="CQ437" s="17">
        <f>RecData[[#This Row],[Amb. Rain Gauge]]</f>
        <v>0</v>
      </c>
      <c r="CR437" s="4" t="s">
        <v>50</v>
      </c>
      <c r="CS437" s="4" t="s">
        <v>49</v>
      </c>
      <c r="CT437" s="70">
        <v>-11.62226295</v>
      </c>
      <c r="CU437" s="70">
        <v>104.69010160000001</v>
      </c>
      <c r="CV437" s="70">
        <v>1.8358713390000001</v>
      </c>
      <c r="CW437" s="70">
        <v>0</v>
      </c>
      <c r="CX437" s="4"/>
      <c r="CY437" s="69"/>
      <c r="CZ437" s="2" t="b">
        <f>IF($DP$1="YES",IF(RecData[[#This Row],[Power (kW)]]&gt;=$CR$3, TRUE,FALSE),TRUE)</f>
        <v>0</v>
      </c>
      <c r="DA437" s="16">
        <f>MIN(MOD(180-ABS(ABS($DA$1-RecData[Yaw Angle (°)])-180),360),MOD(180-ABS(ABS($DB$1-RecData[Yaw Angle (°)])-180),360))</f>
        <v>97.160174822312456</v>
      </c>
      <c r="DB437" s="2" t="str">
        <f>IF($DP$2="None","None",IF(RecData[[#This Row],[Relative Wind Direction]]&lt;=45,"DW",IF(RecData[[#This Row],[Relative Wind Direction]]&lt;=135,"CW","UW")))</f>
        <v>CW</v>
      </c>
      <c r="DC437" s="61" t="e">
        <f>IF($CL437-$CL436&gt;1/24,#REF!,IF(SUM($CQ436:$CQ437)&gt;$DS$1,$DS$5,DC438-1))</f>
        <v>#REF!</v>
      </c>
      <c r="DD437" s="61">
        <f>IF($CL438-$CL437&gt;1/24,#REF!,IF(SUM($CQ436:$CQ437)&gt;$DS$1,$DS$6,DD436-1))</f>
        <v>-2</v>
      </c>
      <c r="DE437" s="18" t="b">
        <v>0</v>
      </c>
      <c r="DF437" s="2" t="b">
        <f>IF(OR(RecData[[#This Row],[WSpd_Avg '[m/s']]]-RecData[[#This Row],[Wind Speed min]]&gt;=$DF$3,RecData[[#This Row],[Wind Speed max]]-RecData[[#This Row],[WSpd_Avg '[m/s']]]&gt;=$DF$2),TRUE,FALSE)</f>
        <v>0</v>
      </c>
      <c r="DG437" s="2" t="b">
        <f>RecData[[#This Row],[Temperature '[°C']]]&lt;=-20</f>
        <v>0</v>
      </c>
      <c r="DH437" s="18" t="b">
        <f>NOT(OR(MOD(RecData[[#This Row],[TIMESTAMP]],1)&gt;0.91632,MOD(RecData[[#This Row],[TIMESTAMP]],1)&lt;0.208681))</f>
        <v>0</v>
      </c>
      <c r="DI437" s="18" t="b">
        <f>RecData[[#This Row],[Overall (dBA)]]-RecData[[#This Row],[L90]]&gt;=$DS$4</f>
        <v>0</v>
      </c>
      <c r="DJ437" s="18" t="b">
        <f>RecData[[#This Row],[Overall (dBA)]]&gt;$DS$2</f>
        <v>0</v>
      </c>
      <c r="DK437" s="18" t="b">
        <f>RecData[[#This Row],[Overall (dBA)]]&lt;$DS$3</f>
        <v>0</v>
      </c>
      <c r="DL4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7" s="2">
        <f>IF(AND(RecData[[#This Row],[Turbines ON/OFF]] = "OFF", NOT(OR(RecData[[#This Row],[Junk?]]="YES",RecData[[#This Row],[Gust?]],RecData[[#This Row],[Rain?]:[Min SPL Threshold?]]))),1,0)</f>
        <v>1</v>
      </c>
      <c r="DN437" s="16">
        <f>RecData[[#This Row],[dBA Sum]]</f>
        <v>21.47705673173876</v>
      </c>
      <c r="DO437" s="16">
        <f>RecData[[#This Row],[LAF90.0]]</f>
        <v>25.3</v>
      </c>
      <c r="DP437" s="55" t="str">
        <f>IF(AND(RecData[[#This Row],[Useable TON Data?]],RecData[[#This Row],[Turbines ON/OFF]]="ON"),RecData[[#This Row],[dBA Sum]],"")</f>
        <v/>
      </c>
      <c r="DQ437" s="55">
        <f>IF(AND(RecData[[#This Row],[Useable Background Data?]],RecData[[#This Row],[Turbines ON/OFF]]="OFF"),RecData[[#This Row],[dBA Sum]],"")</f>
        <v>21.47705673173876</v>
      </c>
      <c r="DR437" s="3">
        <f>IF(OR(RecData[[#This Row],[Useable TON Data?]],RecData[[#This Row],[Useable Background Data?]]),ROUND(RecData[[#This Row],[WSpd_Avg '[m/s']]],0),"")</f>
        <v>0</v>
      </c>
      <c r="DS437" s="85">
        <f>(0.00002)^2*(10^(RecData[[#This Row],[Overall (dBA)]]/10))</f>
        <v>5.6203798035260274E-8</v>
      </c>
    </row>
    <row r="438" spans="1:123" ht="15" x14ac:dyDescent="0.25">
      <c r="A438" s="3" t="s">
        <v>249</v>
      </c>
      <c r="B438" s="12">
        <v>43262.072916666672</v>
      </c>
      <c r="C438" s="3"/>
      <c r="D438" s="3">
        <v>31.5</v>
      </c>
      <c r="E438" s="3"/>
      <c r="F438" s="3"/>
      <c r="G438" s="3"/>
      <c r="H438" s="3"/>
      <c r="I438" s="3"/>
      <c r="J438" s="3"/>
      <c r="K438" s="3">
        <v>25.6</v>
      </c>
      <c r="L438" s="3"/>
      <c r="M438" s="3"/>
      <c r="N438" s="3">
        <v>126</v>
      </c>
      <c r="O438" s="3"/>
      <c r="P438" s="3"/>
      <c r="Q438" s="3">
        <v>0.66</v>
      </c>
      <c r="R438" s="3">
        <v>0.3</v>
      </c>
      <c r="S438" s="3">
        <v>0.9</v>
      </c>
      <c r="T438" s="3">
        <v>8.6999999999999993</v>
      </c>
      <c r="U438" s="3">
        <v>89.2</v>
      </c>
      <c r="V438" s="3">
        <v>974.4</v>
      </c>
      <c r="W438" s="3">
        <v>0</v>
      </c>
      <c r="X438" s="3">
        <v>24.3</v>
      </c>
      <c r="Y438" s="3">
        <v>24.8</v>
      </c>
      <c r="Z438" s="3">
        <v>26.7</v>
      </c>
      <c r="AA438" s="3">
        <v>20.100000000000001</v>
      </c>
      <c r="AB438" s="3">
        <v>11.3</v>
      </c>
      <c r="AC438" s="3">
        <v>7.9</v>
      </c>
      <c r="AD438" s="3">
        <v>8.8000000000000007</v>
      </c>
      <c r="AE438" s="3">
        <v>11.2</v>
      </c>
      <c r="AF438" s="3">
        <v>15.3</v>
      </c>
      <c r="AG438" s="3">
        <v>11.8</v>
      </c>
      <c r="AH438" s="3">
        <v>11.4</v>
      </c>
      <c r="AI438" s="3">
        <v>10.3</v>
      </c>
      <c r="AJ438" s="3">
        <v>12</v>
      </c>
      <c r="AK438" s="3">
        <v>9.9</v>
      </c>
      <c r="AL438" s="3">
        <v>8.3000000000000007</v>
      </c>
      <c r="AM438" s="3">
        <v>8.8000000000000007</v>
      </c>
      <c r="AN438" s="3">
        <v>9.6</v>
      </c>
      <c r="AO438" s="3">
        <v>7.9</v>
      </c>
      <c r="AP438" s="3">
        <v>6.8</v>
      </c>
      <c r="AQ438" s="3">
        <v>7.5</v>
      </c>
      <c r="AR438" s="3">
        <v>6.5</v>
      </c>
      <c r="AS438" s="3">
        <v>22.1</v>
      </c>
      <c r="AT438" s="3">
        <v>29.2</v>
      </c>
      <c r="AU438" s="3">
        <v>9</v>
      </c>
      <c r="AV438" s="3">
        <v>8.6</v>
      </c>
      <c r="AW438" s="3">
        <v>9.1</v>
      </c>
      <c r="AX438" s="3">
        <v>9.4</v>
      </c>
      <c r="AY438" s="3">
        <v>9.6</v>
      </c>
      <c r="AZ438" s="3">
        <v>0</v>
      </c>
      <c r="BA438" s="3">
        <v>0</v>
      </c>
      <c r="BB438" s="3">
        <v>0</v>
      </c>
      <c r="BC438" s="3">
        <v>31.468148858298864</v>
      </c>
      <c r="BD438" s="3">
        <v>24.331851141701133</v>
      </c>
      <c r="BE438" s="3">
        <v>24.831851141701133</v>
      </c>
      <c r="BF438" s="3">
        <v>25.491851141701137</v>
      </c>
      <c r="BG438" s="3">
        <v>19.218517808367803</v>
      </c>
      <c r="BH438" s="3">
        <v>10.558517808367807</v>
      </c>
      <c r="BI438" s="3">
        <v>7.5718511417011349</v>
      </c>
      <c r="BJ438" s="3">
        <v>9.2651844750344701</v>
      </c>
      <c r="BK438" s="3">
        <v>11.538517808367796</v>
      </c>
      <c r="BL438" s="3">
        <v>15.211851141701136</v>
      </c>
      <c r="BM438" s="3">
        <v>11.845184475034468</v>
      </c>
      <c r="BN438" s="3">
        <v>11.728517808367801</v>
      </c>
      <c r="BO438" s="3">
        <v>9.995184475034474</v>
      </c>
      <c r="BP438" s="3">
        <v>11.411851141701138</v>
      </c>
      <c r="BQ438" s="3">
        <v>9.7285178083677941</v>
      </c>
      <c r="BR438" s="3">
        <v>8.4551844750344678</v>
      </c>
      <c r="BS438" s="3">
        <v>8.7585178083678024</v>
      </c>
      <c r="BT438" s="3">
        <v>9.7551844750344721</v>
      </c>
      <c r="BU438" s="3">
        <v>8.0218511417011378</v>
      </c>
      <c r="BV438" s="3">
        <v>6.6385178083678049</v>
      </c>
      <c r="BW438" s="3">
        <v>7.8718511417011392</v>
      </c>
      <c r="BX438" s="3">
        <v>6.7918511417011409</v>
      </c>
      <c r="BY438" s="3">
        <v>22.211851141701136</v>
      </c>
      <c r="BZ438" s="3">
        <v>29.441851141701139</v>
      </c>
      <c r="CA438" s="3">
        <v>9.341851141701131</v>
      </c>
      <c r="CB438" s="3">
        <v>8.3785178083677998</v>
      </c>
      <c r="CC438" s="3">
        <v>9.0918511417011381</v>
      </c>
      <c r="CD438" s="3">
        <v>8.6985178083678072</v>
      </c>
      <c r="CE438" s="3">
        <v>9.0918511417011381</v>
      </c>
      <c r="CF438" s="3">
        <v>-0.89481552496553007</v>
      </c>
      <c r="CG438" s="3">
        <v>-1.4281488582988615</v>
      </c>
      <c r="CH438" s="3">
        <v>-2.5048155249655295</v>
      </c>
      <c r="CI438" s="13">
        <f>[1]!dbasum(RecData[[#This Row],[20]:[2000]],RecData[[#Headers],[20]:[2000]])</f>
        <v>17.172097153553288</v>
      </c>
      <c r="CJ438" s="14">
        <v>4890</v>
      </c>
      <c r="CK438" s="15" t="s">
        <v>249</v>
      </c>
      <c r="CL438" s="15">
        <f>RecData[[#This Row],[Start Time]]</f>
        <v>43262.072916666672</v>
      </c>
      <c r="CM438" s="16">
        <f>RecData[[#This Row],[Wind Speed avg]]</f>
        <v>0.66</v>
      </c>
      <c r="CN438" s="16">
        <f>RecData[[#This Row],[Wind Dir. avg]]</f>
        <v>126</v>
      </c>
      <c r="CO438" s="16">
        <f>RecData[[#This Row],[Amb. Humidity]]</f>
        <v>89.2</v>
      </c>
      <c r="CP438" s="16">
        <f>RecData[[#This Row],[Amb. Temperature]]</f>
        <v>8.6999999999999993</v>
      </c>
      <c r="CQ438" s="17">
        <f>RecData[[#This Row],[Amb. Rain Gauge]]</f>
        <v>0</v>
      </c>
      <c r="CR438" s="4" t="s">
        <v>50</v>
      </c>
      <c r="CS438" s="4" t="s">
        <v>49</v>
      </c>
      <c r="CT438" s="70">
        <v>-11.62226295</v>
      </c>
      <c r="CU438" s="70">
        <v>104.69010160000001</v>
      </c>
      <c r="CV438" s="70">
        <v>1.8358713390000001</v>
      </c>
      <c r="CW438" s="70">
        <v>0</v>
      </c>
      <c r="CX438" s="4"/>
      <c r="CY438" s="69"/>
      <c r="CZ438" s="2" t="b">
        <f>IF($DP$1="YES",IF(RecData[[#This Row],[Power (kW)]]&gt;=$CR$3, TRUE,FALSE),TRUE)</f>
        <v>0</v>
      </c>
      <c r="DA438" s="16">
        <f>MIN(MOD(180-ABS(ABS($DA$1-RecData[Yaw Angle (°)])-180),360),MOD(180-ABS(ABS($DB$1-RecData[Yaw Angle (°)])-180),360))</f>
        <v>97.160174822312456</v>
      </c>
      <c r="DB438" s="2" t="str">
        <f>IF($DP$2="None","None",IF(RecData[[#This Row],[Relative Wind Direction]]&lt;=45,"DW",IF(RecData[[#This Row],[Relative Wind Direction]]&lt;=135,"CW","UW")))</f>
        <v>CW</v>
      </c>
      <c r="DC438" s="61" t="e">
        <f>IF($CL438-$CL436&gt;1/24,#REF!,IF(SUM($CQ436:$CQ438)&gt;$DS$1,$DS$5,DC439-1))</f>
        <v>#REF!</v>
      </c>
      <c r="DD438" s="61">
        <f>IF($CL439-$CL438&gt;1/24,#REF!,IF(SUM($CQ436:$CQ438)&gt;$DS$1,$DS$6,DD437-1))</f>
        <v>-3</v>
      </c>
      <c r="DE438" s="18" t="b">
        <v>0</v>
      </c>
      <c r="DF438" s="2" t="b">
        <f>IF(OR(RecData[[#This Row],[WSpd_Avg '[m/s']]]-RecData[[#This Row],[Wind Speed min]]&gt;=$DF$3,RecData[[#This Row],[Wind Speed max]]-RecData[[#This Row],[WSpd_Avg '[m/s']]]&gt;=$DF$2),TRUE,FALSE)</f>
        <v>0</v>
      </c>
      <c r="DG438" s="2" t="b">
        <f>RecData[[#This Row],[Temperature '[°C']]]&lt;=-20</f>
        <v>0</v>
      </c>
      <c r="DH438" s="18" t="b">
        <f>NOT(OR(MOD(RecData[[#This Row],[TIMESTAMP]],1)&gt;0.91632,MOD(RecData[[#This Row],[TIMESTAMP]],1)&lt;0.208681))</f>
        <v>0</v>
      </c>
      <c r="DI438" s="18" t="b">
        <f>RecData[[#This Row],[Overall (dBA)]]-RecData[[#This Row],[L90]]&gt;=$DS$4</f>
        <v>0</v>
      </c>
      <c r="DJ438" s="18" t="b">
        <f>RecData[[#This Row],[Overall (dBA)]]&gt;$DS$2</f>
        <v>0</v>
      </c>
      <c r="DK438" s="18" t="b">
        <f>RecData[[#This Row],[Overall (dBA)]]&lt;$DS$3</f>
        <v>0</v>
      </c>
      <c r="DL4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8" s="2">
        <f>IF(AND(RecData[[#This Row],[Turbines ON/OFF]] = "OFF", NOT(OR(RecData[[#This Row],[Junk?]]="YES",RecData[[#This Row],[Gust?]],RecData[[#This Row],[Rain?]:[Min SPL Threshold?]]))),1,0)</f>
        <v>1</v>
      </c>
      <c r="DN438" s="16">
        <f>RecData[[#This Row],[dBA Sum]]</f>
        <v>17.172097153553288</v>
      </c>
      <c r="DO438" s="16">
        <f>RecData[[#This Row],[LAF90.0]]</f>
        <v>25.6</v>
      </c>
      <c r="DP438" s="55" t="str">
        <f>IF(AND(RecData[[#This Row],[Useable TON Data?]],RecData[[#This Row],[Turbines ON/OFF]]="ON"),RecData[[#This Row],[dBA Sum]],"")</f>
        <v/>
      </c>
      <c r="DQ438" s="55">
        <f>IF(AND(RecData[[#This Row],[Useable Background Data?]],RecData[[#This Row],[Turbines ON/OFF]]="OFF"),RecData[[#This Row],[dBA Sum]],"")</f>
        <v>17.172097153553288</v>
      </c>
      <c r="DR438" s="3">
        <f>IF(OR(RecData[[#This Row],[Useable TON Data?]],RecData[[#This Row],[Useable Background Data?]]),ROUND(RecData[[#This Row],[WSpd_Avg '[m/s']]],0),"")</f>
        <v>1</v>
      </c>
      <c r="DS438" s="85">
        <f>(0.00002)^2*(10^(RecData[[#This Row],[Overall (dBA)]]/10))</f>
        <v>2.0857858010661006E-8</v>
      </c>
    </row>
    <row r="439" spans="1:123" ht="15" x14ac:dyDescent="0.25">
      <c r="A439" s="3" t="s">
        <v>249</v>
      </c>
      <c r="B439" s="12">
        <v>43262.073611111118</v>
      </c>
      <c r="C439" s="3"/>
      <c r="D439" s="3">
        <v>32.299999999999997</v>
      </c>
      <c r="E439" s="3"/>
      <c r="F439" s="3"/>
      <c r="G439" s="3"/>
      <c r="H439" s="3"/>
      <c r="I439" s="3"/>
      <c r="J439" s="3"/>
      <c r="K439" s="3">
        <v>28</v>
      </c>
      <c r="L439" s="3"/>
      <c r="M439" s="3"/>
      <c r="N439" s="3">
        <v>123.8</v>
      </c>
      <c r="O439" s="3"/>
      <c r="P439" s="3"/>
      <c r="Q439" s="3">
        <v>0.51</v>
      </c>
      <c r="R439" s="3">
        <v>0.2</v>
      </c>
      <c r="S439" s="3">
        <v>0.8</v>
      </c>
      <c r="T439" s="3">
        <v>8.6999999999999993</v>
      </c>
      <c r="U439" s="3">
        <v>89.3</v>
      </c>
      <c r="V439" s="3">
        <v>974.4</v>
      </c>
      <c r="W439" s="3">
        <v>0</v>
      </c>
      <c r="X439" s="3">
        <v>23</v>
      </c>
      <c r="Y439" s="3">
        <v>17</v>
      </c>
      <c r="Z439" s="3">
        <v>20.9</v>
      </c>
      <c r="AA439" s="3">
        <v>14.2</v>
      </c>
      <c r="AB439" s="3">
        <v>9.1</v>
      </c>
      <c r="AC439" s="3">
        <v>6.9</v>
      </c>
      <c r="AD439" s="3">
        <v>9.4</v>
      </c>
      <c r="AE439" s="3">
        <v>8.8000000000000007</v>
      </c>
      <c r="AF439" s="3">
        <v>11.6</v>
      </c>
      <c r="AG439" s="3">
        <v>9.6999999999999993</v>
      </c>
      <c r="AH439" s="3">
        <v>9.8000000000000007</v>
      </c>
      <c r="AI439" s="3">
        <v>9.6</v>
      </c>
      <c r="AJ439" s="3">
        <v>10.7</v>
      </c>
      <c r="AK439" s="3">
        <v>12.5</v>
      </c>
      <c r="AL439" s="3">
        <v>8.3000000000000007</v>
      </c>
      <c r="AM439" s="3">
        <v>10.4</v>
      </c>
      <c r="AN439" s="3">
        <v>9.6</v>
      </c>
      <c r="AO439" s="3">
        <v>9</v>
      </c>
      <c r="AP439" s="3">
        <v>7.6</v>
      </c>
      <c r="AQ439" s="3">
        <v>7.6</v>
      </c>
      <c r="AR439" s="3">
        <v>6.6</v>
      </c>
      <c r="AS439" s="3">
        <v>23.7</v>
      </c>
      <c r="AT439" s="3">
        <v>29.8</v>
      </c>
      <c r="AU439" s="3">
        <v>8.9</v>
      </c>
      <c r="AV439" s="3">
        <v>8.6999999999999993</v>
      </c>
      <c r="AW439" s="3">
        <v>9.1</v>
      </c>
      <c r="AX439" s="3">
        <v>9.4</v>
      </c>
      <c r="AY439" s="3">
        <v>9.6</v>
      </c>
      <c r="AZ439" s="3">
        <v>0</v>
      </c>
      <c r="BA439" s="3">
        <v>0</v>
      </c>
      <c r="BB439" s="3">
        <v>0</v>
      </c>
      <c r="BC439" s="3">
        <v>32.219187640409352</v>
      </c>
      <c r="BD439" s="3">
        <v>23.080812359590645</v>
      </c>
      <c r="BE439" s="3">
        <v>17.080812359590645</v>
      </c>
      <c r="BF439" s="3">
        <v>19.740812359590642</v>
      </c>
      <c r="BG439" s="3">
        <v>13.367479026257307</v>
      </c>
      <c r="BH439" s="3">
        <v>8.4074790262573131</v>
      </c>
      <c r="BI439" s="3">
        <v>6.6208123595906443</v>
      </c>
      <c r="BJ439" s="3">
        <v>9.9141456929239737</v>
      </c>
      <c r="BK439" s="3">
        <v>9.1874790262573072</v>
      </c>
      <c r="BL439" s="3">
        <v>11.560812359590649</v>
      </c>
      <c r="BM439" s="3">
        <v>9.7941456929239834</v>
      </c>
      <c r="BN439" s="3">
        <v>10.177479026257309</v>
      </c>
      <c r="BO439" s="3">
        <v>9.3441456929239806</v>
      </c>
      <c r="BP439" s="3">
        <v>10.160812359590643</v>
      </c>
      <c r="BQ439" s="3">
        <v>12.377479026257305</v>
      </c>
      <c r="BR439" s="3">
        <v>8.5041456929239772</v>
      </c>
      <c r="BS439" s="3">
        <v>10.407479026257313</v>
      </c>
      <c r="BT439" s="3">
        <v>9.8041456929239814</v>
      </c>
      <c r="BU439" s="3">
        <v>9.1708123595906486</v>
      </c>
      <c r="BV439" s="3">
        <v>7.4874790262573114</v>
      </c>
      <c r="BW439" s="3">
        <v>8.02081235959065</v>
      </c>
      <c r="BX439" s="3">
        <v>6.9408123595906517</v>
      </c>
      <c r="BY439" s="3">
        <v>23.860812359590646</v>
      </c>
      <c r="BZ439" s="3">
        <v>30.09081235959065</v>
      </c>
      <c r="CA439" s="3">
        <v>9.2908123595906389</v>
      </c>
      <c r="CB439" s="3">
        <v>8.5274790262573106</v>
      </c>
      <c r="CC439" s="3">
        <v>9.1408123595906474</v>
      </c>
      <c r="CD439" s="3">
        <v>8.7474790262573165</v>
      </c>
      <c r="CE439" s="3">
        <v>9.1408123595906474</v>
      </c>
      <c r="CF439" s="3">
        <v>-0.84585430707602072</v>
      </c>
      <c r="CG439" s="3">
        <v>-1.3791876404093522</v>
      </c>
      <c r="CH439" s="3">
        <v>-2.4558543070760201</v>
      </c>
      <c r="CI439" s="13">
        <f>[1]!dbasum(RecData[[#This Row],[20]:[2000]],RecData[[#Headers],[20]:[2000]])</f>
        <v>17.672461103923979</v>
      </c>
      <c r="CJ439" s="14">
        <v>4891</v>
      </c>
      <c r="CK439" s="15" t="s">
        <v>249</v>
      </c>
      <c r="CL439" s="15">
        <f>RecData[[#This Row],[Start Time]]</f>
        <v>43262.073611111118</v>
      </c>
      <c r="CM439" s="16">
        <f>RecData[[#This Row],[Wind Speed avg]]</f>
        <v>0.51</v>
      </c>
      <c r="CN439" s="16">
        <f>RecData[[#This Row],[Wind Dir. avg]]</f>
        <v>123.8</v>
      </c>
      <c r="CO439" s="16">
        <f>RecData[[#This Row],[Amb. Humidity]]</f>
        <v>89.3</v>
      </c>
      <c r="CP439" s="16">
        <f>RecData[[#This Row],[Amb. Temperature]]</f>
        <v>8.6999999999999993</v>
      </c>
      <c r="CQ439" s="17">
        <f>RecData[[#This Row],[Amb. Rain Gauge]]</f>
        <v>0</v>
      </c>
      <c r="CR439" s="4" t="s">
        <v>50</v>
      </c>
      <c r="CS439" s="4" t="s">
        <v>49</v>
      </c>
      <c r="CT439" s="70">
        <v>-11.62226295</v>
      </c>
      <c r="CU439" s="70">
        <v>104.69010160000001</v>
      </c>
      <c r="CV439" s="70">
        <v>1.8358713390000001</v>
      </c>
      <c r="CW439" s="70">
        <v>0</v>
      </c>
      <c r="CX439" s="4"/>
      <c r="CY439" s="69"/>
      <c r="CZ439" s="2" t="b">
        <f>IF($DP$1="YES",IF(RecData[[#This Row],[Power (kW)]]&gt;=$CR$3, TRUE,FALSE),TRUE)</f>
        <v>0</v>
      </c>
      <c r="DA439" s="16">
        <f>MIN(MOD(180-ABS(ABS($DA$1-RecData[Yaw Angle (°)])-180),360),MOD(180-ABS(ABS($DB$1-RecData[Yaw Angle (°)])-180),360))</f>
        <v>97.160174822312456</v>
      </c>
      <c r="DB439" s="2" t="str">
        <f>IF($DP$2="None","None",IF(RecData[[#This Row],[Relative Wind Direction]]&lt;=45,"DW",IF(RecData[[#This Row],[Relative Wind Direction]]&lt;=135,"CW","UW")))</f>
        <v>CW</v>
      </c>
      <c r="DC439" s="61" t="e">
        <f>IF($CL439-$CL436&gt;1/24,#REF!,IF(SUM($CQ436:$CQ439)&gt;$DS$1,$DS$5,DC440-1))</f>
        <v>#REF!</v>
      </c>
      <c r="DD439" s="61">
        <f>IF($CL440-$CL439&gt;1/24,#REF!,IF(SUM($CQ436:$CQ439)&gt;$DS$1,$DS$6,DD438-1))</f>
        <v>-4</v>
      </c>
      <c r="DE439" s="18" t="b">
        <v>0</v>
      </c>
      <c r="DF439" s="2" t="b">
        <f>IF(OR(RecData[[#This Row],[WSpd_Avg '[m/s']]]-RecData[[#This Row],[Wind Speed min]]&gt;=$DF$3,RecData[[#This Row],[Wind Speed max]]-RecData[[#This Row],[WSpd_Avg '[m/s']]]&gt;=$DF$2),TRUE,FALSE)</f>
        <v>0</v>
      </c>
      <c r="DG439" s="2" t="b">
        <f>RecData[[#This Row],[Temperature '[°C']]]&lt;=-20</f>
        <v>0</v>
      </c>
      <c r="DH439" s="18" t="b">
        <f>NOT(OR(MOD(RecData[[#This Row],[TIMESTAMP]],1)&gt;0.91632,MOD(RecData[[#This Row],[TIMESTAMP]],1)&lt;0.208681))</f>
        <v>0</v>
      </c>
      <c r="DI439" s="18" t="b">
        <f>RecData[[#This Row],[Overall (dBA)]]-RecData[[#This Row],[L90]]&gt;=$DS$4</f>
        <v>0</v>
      </c>
      <c r="DJ439" s="18" t="b">
        <f>RecData[[#This Row],[Overall (dBA)]]&gt;$DS$2</f>
        <v>0</v>
      </c>
      <c r="DK439" s="18" t="b">
        <f>RecData[[#This Row],[Overall (dBA)]]&lt;$DS$3</f>
        <v>0</v>
      </c>
      <c r="DL4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39" s="2">
        <f>IF(AND(RecData[[#This Row],[Turbines ON/OFF]] = "OFF", NOT(OR(RecData[[#This Row],[Junk?]]="YES",RecData[[#This Row],[Gust?]],RecData[[#This Row],[Rain?]:[Min SPL Threshold?]]))),1,0)</f>
        <v>1</v>
      </c>
      <c r="DN439" s="16">
        <f>RecData[[#This Row],[dBA Sum]]</f>
        <v>17.672461103923979</v>
      </c>
      <c r="DO439" s="16">
        <f>RecData[[#This Row],[LAF90.0]]</f>
        <v>28</v>
      </c>
      <c r="DP439" s="55" t="str">
        <f>IF(AND(RecData[[#This Row],[Useable TON Data?]],RecData[[#This Row],[Turbines ON/OFF]]="ON"),RecData[[#This Row],[dBA Sum]],"")</f>
        <v/>
      </c>
      <c r="DQ439" s="55">
        <f>IF(AND(RecData[[#This Row],[Useable Background Data?]],RecData[[#This Row],[Turbines ON/OFF]]="OFF"),RecData[[#This Row],[dBA Sum]],"")</f>
        <v>17.672461103923979</v>
      </c>
      <c r="DR439" s="3">
        <f>IF(OR(RecData[[#This Row],[Useable TON Data?]],RecData[[#This Row],[Useable Background Data?]]),ROUND(RecData[[#This Row],[WSpd_Avg '[m/s']]],0),"")</f>
        <v>1</v>
      </c>
      <c r="DS439" s="85">
        <f>(0.00002)^2*(10^(RecData[[#This Row],[Overall (dBA)]]/10))</f>
        <v>2.3404862912987868E-8</v>
      </c>
    </row>
    <row r="440" spans="1:123" ht="15" x14ac:dyDescent="0.25">
      <c r="A440" s="3" t="s">
        <v>249</v>
      </c>
      <c r="B440" s="12">
        <v>43262.074305555558</v>
      </c>
      <c r="C440" s="3"/>
      <c r="D440" s="3">
        <v>31.4</v>
      </c>
      <c r="E440" s="3"/>
      <c r="F440" s="3"/>
      <c r="G440" s="3"/>
      <c r="H440" s="3"/>
      <c r="I440" s="3"/>
      <c r="J440" s="3"/>
      <c r="K440" s="3">
        <v>27.5</v>
      </c>
      <c r="L440" s="3"/>
      <c r="M440" s="3"/>
      <c r="N440" s="3">
        <v>167.3</v>
      </c>
      <c r="O440" s="3"/>
      <c r="P440" s="3"/>
      <c r="Q440" s="3">
        <v>0.41</v>
      </c>
      <c r="R440" s="3">
        <v>0.1</v>
      </c>
      <c r="S440" s="3">
        <v>0.7</v>
      </c>
      <c r="T440" s="3">
        <v>8.6999999999999993</v>
      </c>
      <c r="U440" s="3">
        <v>89.3</v>
      </c>
      <c r="V440" s="3">
        <v>974.3</v>
      </c>
      <c r="W440" s="3">
        <v>0</v>
      </c>
      <c r="X440" s="3">
        <v>17.8</v>
      </c>
      <c r="Y440" s="3">
        <v>16.3</v>
      </c>
      <c r="Z440" s="3">
        <v>18.899999999999999</v>
      </c>
      <c r="AA440" s="3">
        <v>13.2</v>
      </c>
      <c r="AB440" s="3">
        <v>8.6999999999999993</v>
      </c>
      <c r="AC440" s="3">
        <v>7.4</v>
      </c>
      <c r="AD440" s="3">
        <v>14</v>
      </c>
      <c r="AE440" s="3">
        <v>12.9</v>
      </c>
      <c r="AF440" s="3">
        <v>13.7</v>
      </c>
      <c r="AG440" s="3">
        <v>13.7</v>
      </c>
      <c r="AH440" s="3">
        <v>18.899999999999999</v>
      </c>
      <c r="AI440" s="3">
        <v>14.3</v>
      </c>
      <c r="AJ440" s="3">
        <v>13.8</v>
      </c>
      <c r="AK440" s="3">
        <v>17.399999999999999</v>
      </c>
      <c r="AL440" s="3">
        <v>11.5</v>
      </c>
      <c r="AM440" s="3">
        <v>17.600000000000001</v>
      </c>
      <c r="AN440" s="3">
        <v>16.5</v>
      </c>
      <c r="AO440" s="3">
        <v>14.8</v>
      </c>
      <c r="AP440" s="3">
        <v>9.9</v>
      </c>
      <c r="AQ440" s="3">
        <v>7.8</v>
      </c>
      <c r="AR440" s="3">
        <v>6.6</v>
      </c>
      <c r="AS440" s="3">
        <v>20.3</v>
      </c>
      <c r="AT440" s="3">
        <v>28.9</v>
      </c>
      <c r="AU440" s="3">
        <v>8.8000000000000007</v>
      </c>
      <c r="AV440" s="3">
        <v>8.6</v>
      </c>
      <c r="AW440" s="3">
        <v>9.1</v>
      </c>
      <c r="AX440" s="3">
        <v>9.4</v>
      </c>
      <c r="AY440" s="3">
        <v>9.6</v>
      </c>
      <c r="AZ440" s="3">
        <v>0</v>
      </c>
      <c r="BA440" s="3">
        <v>0</v>
      </c>
      <c r="BB440" s="3">
        <v>0</v>
      </c>
      <c r="BC440" s="3">
        <v>31.382977747952587</v>
      </c>
      <c r="BD440" s="3">
        <v>17.817022252047416</v>
      </c>
      <c r="BE440" s="3">
        <v>16.317022252047416</v>
      </c>
      <c r="BF440" s="3">
        <v>17.677022252047415</v>
      </c>
      <c r="BG440" s="3">
        <v>12.303688918714073</v>
      </c>
      <c r="BH440" s="3">
        <v>7.9436889187140807</v>
      </c>
      <c r="BI440" s="3">
        <v>7.0570222520474104</v>
      </c>
      <c r="BJ440" s="3">
        <v>14.450355585380741</v>
      </c>
      <c r="BK440" s="3">
        <v>13.223688918714075</v>
      </c>
      <c r="BL440" s="3">
        <v>13.59702225204741</v>
      </c>
      <c r="BM440" s="3">
        <v>13.730355585380742</v>
      </c>
      <c r="BN440" s="3">
        <v>19.213688918714077</v>
      </c>
      <c r="BO440" s="3">
        <v>13.98035558538075</v>
      </c>
      <c r="BP440" s="3">
        <v>13.197022252047411</v>
      </c>
      <c r="BQ440" s="3">
        <v>17.213688918714062</v>
      </c>
      <c r="BR440" s="3">
        <v>11.640355585380746</v>
      </c>
      <c r="BS440" s="3">
        <v>17.543688918714075</v>
      </c>
      <c r="BT440" s="3">
        <v>16.640355585380746</v>
      </c>
      <c r="BU440" s="3">
        <v>14.907022252047419</v>
      </c>
      <c r="BV440" s="3">
        <v>9.7236889187140818</v>
      </c>
      <c r="BW440" s="3">
        <v>8.1570222520474189</v>
      </c>
      <c r="BX440" s="3">
        <v>6.8770222520474178</v>
      </c>
      <c r="BY440" s="3">
        <v>20.397022252047414</v>
      </c>
      <c r="BZ440" s="3">
        <v>29.127022252047418</v>
      </c>
      <c r="CA440" s="3">
        <v>9.1270222520474036</v>
      </c>
      <c r="CB440" s="3">
        <v>8.3636889187140753</v>
      </c>
      <c r="CC440" s="3">
        <v>9.0770222520474064</v>
      </c>
      <c r="CD440" s="3">
        <v>8.6836889187140827</v>
      </c>
      <c r="CE440" s="3">
        <v>9.0770222520474064</v>
      </c>
      <c r="CF440" s="3">
        <v>-0.9096444146192546</v>
      </c>
      <c r="CG440" s="3">
        <v>-1.442977747952586</v>
      </c>
      <c r="CH440" s="3">
        <v>-2.519644414619254</v>
      </c>
      <c r="CI440" s="13">
        <f>[1]!dbasum(RecData[[#This Row],[20]:[2000]],RecData[[#Headers],[20]:[2000]])</f>
        <v>22.368172691628523</v>
      </c>
      <c r="CJ440" s="14">
        <v>4892</v>
      </c>
      <c r="CK440" s="15" t="s">
        <v>249</v>
      </c>
      <c r="CL440" s="15">
        <f>RecData[[#This Row],[Start Time]]</f>
        <v>43262.074305555558</v>
      </c>
      <c r="CM440" s="16">
        <f>RecData[[#This Row],[Wind Speed avg]]</f>
        <v>0.41</v>
      </c>
      <c r="CN440" s="16">
        <f>RecData[[#This Row],[Wind Dir. avg]]</f>
        <v>167.3</v>
      </c>
      <c r="CO440" s="16">
        <f>RecData[[#This Row],[Amb. Humidity]]</f>
        <v>89.3</v>
      </c>
      <c r="CP440" s="16">
        <f>RecData[[#This Row],[Amb. Temperature]]</f>
        <v>8.6999999999999993</v>
      </c>
      <c r="CQ440" s="17">
        <f>RecData[[#This Row],[Amb. Rain Gauge]]</f>
        <v>0</v>
      </c>
      <c r="CR440" s="4" t="s">
        <v>50</v>
      </c>
      <c r="CS440" s="4" t="s">
        <v>49</v>
      </c>
      <c r="CT440" s="70">
        <v>-11.62226295</v>
      </c>
      <c r="CU440" s="70">
        <v>104.69010160000001</v>
      </c>
      <c r="CV440" s="70">
        <v>1.8358713390000001</v>
      </c>
      <c r="CW440" s="70">
        <v>0</v>
      </c>
      <c r="CX440" s="4"/>
      <c r="CY440" s="69"/>
      <c r="CZ440" s="2" t="b">
        <f>IF($DP$1="YES",IF(RecData[[#This Row],[Power (kW)]]&gt;=$CR$3, TRUE,FALSE),TRUE)</f>
        <v>0</v>
      </c>
      <c r="DA440" s="16">
        <f>MIN(MOD(180-ABS(ABS($DA$1-RecData[Yaw Angle (°)])-180),360),MOD(180-ABS(ABS($DB$1-RecData[Yaw Angle (°)])-180),360))</f>
        <v>97.160174822312456</v>
      </c>
      <c r="DB440" s="2" t="str">
        <f>IF($DP$2="None","None",IF(RecData[[#This Row],[Relative Wind Direction]]&lt;=45,"DW",IF(RecData[[#This Row],[Relative Wind Direction]]&lt;=135,"CW","UW")))</f>
        <v>CW</v>
      </c>
      <c r="DC440" s="61" t="e">
        <f>IF($CL440-$CL436&gt;1/24,#REF!,IF(SUM($CQ436:$CQ440)&gt;$DS$1,$DS$5,DC441-1))</f>
        <v>#REF!</v>
      </c>
      <c r="DD440" s="61">
        <f>IF($CL441-$CL440&gt;1/24,#REF!,IF(SUM($CQ436:$CQ440)&gt;$DS$1,$DS$6,DD439-1))</f>
        <v>-5</v>
      </c>
      <c r="DE440" s="18" t="b">
        <v>0</v>
      </c>
      <c r="DF440" s="2" t="b">
        <f>IF(OR(RecData[[#This Row],[WSpd_Avg '[m/s']]]-RecData[[#This Row],[Wind Speed min]]&gt;=$DF$3,RecData[[#This Row],[Wind Speed max]]-RecData[[#This Row],[WSpd_Avg '[m/s']]]&gt;=$DF$2),TRUE,FALSE)</f>
        <v>0</v>
      </c>
      <c r="DG440" s="2" t="b">
        <f>RecData[[#This Row],[Temperature '[°C']]]&lt;=-20</f>
        <v>0</v>
      </c>
      <c r="DH440" s="18" t="b">
        <f>NOT(OR(MOD(RecData[[#This Row],[TIMESTAMP]],1)&gt;0.91632,MOD(RecData[[#This Row],[TIMESTAMP]],1)&lt;0.208681))</f>
        <v>0</v>
      </c>
      <c r="DI440" s="18" t="b">
        <f>RecData[[#This Row],[Overall (dBA)]]-RecData[[#This Row],[L90]]&gt;=$DS$4</f>
        <v>0</v>
      </c>
      <c r="DJ440" s="18" t="b">
        <f>RecData[[#This Row],[Overall (dBA)]]&gt;$DS$2</f>
        <v>0</v>
      </c>
      <c r="DK440" s="18" t="b">
        <f>RecData[[#This Row],[Overall (dBA)]]&lt;$DS$3</f>
        <v>0</v>
      </c>
      <c r="DL4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40" s="2">
        <f>IF(AND(RecData[[#This Row],[Turbines ON/OFF]] = "OFF", NOT(OR(RecData[[#This Row],[Junk?]]="YES",RecData[[#This Row],[Gust?]],RecData[[#This Row],[Rain?]:[Min SPL Threshold?]]))),1,0)</f>
        <v>1</v>
      </c>
      <c r="DN440" s="16">
        <f>RecData[[#This Row],[dBA Sum]]</f>
        <v>22.368172691628523</v>
      </c>
      <c r="DO440" s="16">
        <f>RecData[[#This Row],[LAF90.0]]</f>
        <v>27.5</v>
      </c>
      <c r="DP440" s="55" t="str">
        <f>IF(AND(RecData[[#This Row],[Useable TON Data?]],RecData[[#This Row],[Turbines ON/OFF]]="ON"),RecData[[#This Row],[dBA Sum]],"")</f>
        <v/>
      </c>
      <c r="DQ440" s="55">
        <f>IF(AND(RecData[[#This Row],[Useable Background Data?]],RecData[[#This Row],[Turbines ON/OFF]]="OFF"),RecData[[#This Row],[dBA Sum]],"")</f>
        <v>22.368172691628523</v>
      </c>
      <c r="DR440" s="3">
        <f>IF(OR(RecData[[#This Row],[Useable TON Data?]],RecData[[#This Row],[Useable Background Data?]]),ROUND(RecData[[#This Row],[WSpd_Avg '[m/s']]],0),"")</f>
        <v>0</v>
      </c>
      <c r="DS440" s="85">
        <f>(0.00002)^2*(10^(RecData[[#This Row],[Overall (dBA)]]/10))</f>
        <v>6.9004475709721723E-8</v>
      </c>
    </row>
    <row r="441" spans="1:123" ht="15" x14ac:dyDescent="0.25">
      <c r="A441" s="3" t="s">
        <v>249</v>
      </c>
      <c r="B441" s="12">
        <v>43262.075000000004</v>
      </c>
      <c r="C441" s="3"/>
      <c r="D441" s="3">
        <v>30</v>
      </c>
      <c r="E441" s="3"/>
      <c r="F441" s="3"/>
      <c r="G441" s="3"/>
      <c r="H441" s="3"/>
      <c r="I441" s="3"/>
      <c r="J441" s="3"/>
      <c r="K441" s="3">
        <v>25.7</v>
      </c>
      <c r="L441" s="3"/>
      <c r="M441" s="3"/>
      <c r="N441" s="3">
        <v>231</v>
      </c>
      <c r="O441" s="3"/>
      <c r="P441" s="3"/>
      <c r="Q441" s="3">
        <v>0.23</v>
      </c>
      <c r="R441" s="3">
        <v>0.1</v>
      </c>
      <c r="S441" s="3">
        <v>0.4</v>
      </c>
      <c r="T441" s="3">
        <v>8.6999999999999993</v>
      </c>
      <c r="U441" s="3">
        <v>89.4</v>
      </c>
      <c r="V441" s="3">
        <v>974.4</v>
      </c>
      <c r="W441" s="3">
        <v>0</v>
      </c>
      <c r="X441" s="3">
        <v>21.9</v>
      </c>
      <c r="Y441" s="3">
        <v>16.7</v>
      </c>
      <c r="Z441" s="3">
        <v>19.3</v>
      </c>
      <c r="AA441" s="3">
        <v>11.8</v>
      </c>
      <c r="AB441" s="3">
        <v>11.1</v>
      </c>
      <c r="AC441" s="3">
        <v>6.6</v>
      </c>
      <c r="AD441" s="3">
        <v>12.4</v>
      </c>
      <c r="AE441" s="3">
        <v>12.4</v>
      </c>
      <c r="AF441" s="3">
        <v>14.5</v>
      </c>
      <c r="AG441" s="3">
        <v>12.5</v>
      </c>
      <c r="AH441" s="3">
        <v>12.4</v>
      </c>
      <c r="AI441" s="3">
        <v>10.7</v>
      </c>
      <c r="AJ441" s="3">
        <v>11.1</v>
      </c>
      <c r="AK441" s="3">
        <v>9</v>
      </c>
      <c r="AL441" s="3">
        <v>7.8</v>
      </c>
      <c r="AM441" s="3">
        <v>8.1</v>
      </c>
      <c r="AN441" s="3">
        <v>8.5</v>
      </c>
      <c r="AO441" s="3">
        <v>7.6</v>
      </c>
      <c r="AP441" s="3">
        <v>6.8</v>
      </c>
      <c r="AQ441" s="3">
        <v>6.9</v>
      </c>
      <c r="AR441" s="3">
        <v>6.3</v>
      </c>
      <c r="AS441" s="3">
        <v>19.3</v>
      </c>
      <c r="AT441" s="3">
        <v>27.8</v>
      </c>
      <c r="AU441" s="3">
        <v>8.3000000000000007</v>
      </c>
      <c r="AV441" s="3">
        <v>8.5</v>
      </c>
      <c r="AW441" s="3">
        <v>9.1</v>
      </c>
      <c r="AX441" s="3">
        <v>9.4</v>
      </c>
      <c r="AY441" s="3">
        <v>9.5</v>
      </c>
      <c r="AZ441" s="3">
        <v>0</v>
      </c>
      <c r="BA441" s="3">
        <v>0</v>
      </c>
      <c r="BB441" s="3">
        <v>0</v>
      </c>
      <c r="BC441" s="3">
        <v>29.956858216099786</v>
      </c>
      <c r="BD441" s="3">
        <v>21.943141783900213</v>
      </c>
      <c r="BE441" s="3">
        <v>16.743141783900217</v>
      </c>
      <c r="BF441" s="3">
        <v>18.103141783900217</v>
      </c>
      <c r="BG441" s="3">
        <v>10.929808450566878</v>
      </c>
      <c r="BH441" s="3">
        <v>10.369808450566882</v>
      </c>
      <c r="BI441" s="3">
        <v>6.2831417839002164</v>
      </c>
      <c r="BJ441" s="3">
        <v>12.876475117233543</v>
      </c>
      <c r="BK441" s="3">
        <v>12.749808450566878</v>
      </c>
      <c r="BL441" s="3">
        <v>14.423141783900217</v>
      </c>
      <c r="BM441" s="3">
        <v>12.55647511723355</v>
      </c>
      <c r="BN441" s="3">
        <v>12.73980845056688</v>
      </c>
      <c r="BO441" s="3">
        <v>10.406475117233551</v>
      </c>
      <c r="BP441" s="3">
        <v>10.523141783900218</v>
      </c>
      <c r="BQ441" s="3">
        <v>8.8398084505668741</v>
      </c>
      <c r="BR441" s="3">
        <v>7.9664751172335464</v>
      </c>
      <c r="BS441" s="3">
        <v>8.0698084505668852</v>
      </c>
      <c r="BT441" s="3">
        <v>8.6664751172335492</v>
      </c>
      <c r="BU441" s="3">
        <v>7.7331417839002192</v>
      </c>
      <c r="BV441" s="3">
        <v>6.6498084505668835</v>
      </c>
      <c r="BW441" s="3">
        <v>7.2831417839002164</v>
      </c>
      <c r="BX441" s="3">
        <v>6.6031417839002167</v>
      </c>
      <c r="BY441" s="3">
        <v>19.42314178390021</v>
      </c>
      <c r="BZ441" s="3">
        <v>28.05314178390022</v>
      </c>
      <c r="CA441" s="3">
        <v>8.6531417839002067</v>
      </c>
      <c r="CB441" s="3">
        <v>8.289808450566877</v>
      </c>
      <c r="CC441" s="3">
        <v>9.1031417839002167</v>
      </c>
      <c r="CD441" s="3">
        <v>8.7098084505668858</v>
      </c>
      <c r="CE441" s="3">
        <v>9.0031417839002152</v>
      </c>
      <c r="CF441" s="3">
        <v>-0.88352488276645147</v>
      </c>
      <c r="CG441" s="3">
        <v>-1.4168582160997829</v>
      </c>
      <c r="CH441" s="3">
        <v>-2.4935248827664509</v>
      </c>
      <c r="CI441" s="13">
        <f>[1]!dbasum(RecData[[#This Row],[20]:[2000]],RecData[[#Headers],[20]:[2000]])</f>
        <v>16.727397052418162</v>
      </c>
      <c r="CJ441" s="14">
        <v>4893</v>
      </c>
      <c r="CK441" s="15" t="s">
        <v>249</v>
      </c>
      <c r="CL441" s="15">
        <f>RecData[[#This Row],[Start Time]]</f>
        <v>43262.075000000004</v>
      </c>
      <c r="CM441" s="16">
        <f>RecData[[#This Row],[Wind Speed avg]]</f>
        <v>0.23</v>
      </c>
      <c r="CN441" s="16">
        <f>RecData[[#This Row],[Wind Dir. avg]]</f>
        <v>231</v>
      </c>
      <c r="CO441" s="16">
        <f>RecData[[#This Row],[Amb. Humidity]]</f>
        <v>89.4</v>
      </c>
      <c r="CP441" s="16">
        <f>RecData[[#This Row],[Amb. Temperature]]</f>
        <v>8.6999999999999993</v>
      </c>
      <c r="CQ441" s="17">
        <f>RecData[[#This Row],[Amb. Rain Gauge]]</f>
        <v>0</v>
      </c>
      <c r="CR441" s="4" t="s">
        <v>50</v>
      </c>
      <c r="CS441" s="4" t="s">
        <v>49</v>
      </c>
      <c r="CT441" s="70">
        <v>-11.62226295</v>
      </c>
      <c r="CU441" s="70">
        <v>104.69010160000001</v>
      </c>
      <c r="CV441" s="70">
        <v>1.8358713390000001</v>
      </c>
      <c r="CW441" s="70">
        <v>0</v>
      </c>
      <c r="CX441" s="4"/>
      <c r="CY441" s="69"/>
      <c r="CZ441" s="2" t="b">
        <f>IF($DP$1="YES",IF(RecData[[#This Row],[Power (kW)]]&gt;=$CR$3, TRUE,FALSE),TRUE)</f>
        <v>0</v>
      </c>
      <c r="DA441" s="16">
        <f>MIN(MOD(180-ABS(ABS($DA$1-RecData[Yaw Angle (°)])-180),360),MOD(180-ABS(ABS($DB$1-RecData[Yaw Angle (°)])-180),360))</f>
        <v>97.160174822312456</v>
      </c>
      <c r="DB441" s="2" t="str">
        <f>IF($DP$2="None","None",IF(RecData[[#This Row],[Relative Wind Direction]]&lt;=45,"DW",IF(RecData[[#This Row],[Relative Wind Direction]]&lt;=135,"CW","UW")))</f>
        <v>CW</v>
      </c>
      <c r="DC441" s="61" t="e">
        <f>IF($CL441-$CL437&gt;1/24,#REF!,IF(SUM($CQ437:$CQ441)&gt;$DS$1,$DS$5,DC442-1))</f>
        <v>#REF!</v>
      </c>
      <c r="DD441" s="61">
        <f>IF($CL442-$CL441&gt;1/24,#REF!,IF(SUM($CQ437:$CQ441)&gt;$DS$1,$DS$6,DD440-1))</f>
        <v>-6</v>
      </c>
      <c r="DE441" s="18" t="b">
        <v>0</v>
      </c>
      <c r="DF441" s="2" t="b">
        <f>IF(OR(RecData[[#This Row],[WSpd_Avg '[m/s']]]-RecData[[#This Row],[Wind Speed min]]&gt;=$DF$3,RecData[[#This Row],[Wind Speed max]]-RecData[[#This Row],[WSpd_Avg '[m/s']]]&gt;=$DF$2),TRUE,FALSE)</f>
        <v>0</v>
      </c>
      <c r="DG441" s="2" t="b">
        <f>RecData[[#This Row],[Temperature '[°C']]]&lt;=-20</f>
        <v>0</v>
      </c>
      <c r="DH441" s="18" t="b">
        <f>NOT(OR(MOD(RecData[[#This Row],[TIMESTAMP]],1)&gt;0.91632,MOD(RecData[[#This Row],[TIMESTAMP]],1)&lt;0.208681))</f>
        <v>0</v>
      </c>
      <c r="DI441" s="18" t="b">
        <f>RecData[[#This Row],[Overall (dBA)]]-RecData[[#This Row],[L90]]&gt;=$DS$4</f>
        <v>0</v>
      </c>
      <c r="DJ441" s="18" t="b">
        <f>RecData[[#This Row],[Overall (dBA)]]&gt;$DS$2</f>
        <v>0</v>
      </c>
      <c r="DK441" s="18" t="b">
        <f>RecData[[#This Row],[Overall (dBA)]]&lt;$DS$3</f>
        <v>0</v>
      </c>
      <c r="DL4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41" s="2">
        <f>IF(AND(RecData[[#This Row],[Turbines ON/OFF]] = "OFF", NOT(OR(RecData[[#This Row],[Junk?]]="YES",RecData[[#This Row],[Gust?]],RecData[[#This Row],[Rain?]:[Min SPL Threshold?]]))),1,0)</f>
        <v>1</v>
      </c>
      <c r="DN441" s="16">
        <f>RecData[[#This Row],[dBA Sum]]</f>
        <v>16.727397052418162</v>
      </c>
      <c r="DO441" s="16">
        <f>RecData[[#This Row],[LAF90.0]]</f>
        <v>25.7</v>
      </c>
      <c r="DP441" s="55" t="str">
        <f>IF(AND(RecData[[#This Row],[Useable TON Data?]],RecData[[#This Row],[Turbines ON/OFF]]="ON"),RecData[[#This Row],[dBA Sum]],"")</f>
        <v/>
      </c>
      <c r="DQ441" s="55">
        <f>IF(AND(RecData[[#This Row],[Useable Background Data?]],RecData[[#This Row],[Turbines ON/OFF]]="OFF"),RecData[[#This Row],[dBA Sum]],"")</f>
        <v>16.727397052418162</v>
      </c>
      <c r="DR441" s="3">
        <f>IF(OR(RecData[[#This Row],[Useable TON Data?]],RecData[[#This Row],[Useable Background Data?]]),ROUND(RecData[[#This Row],[WSpd_Avg '[m/s']]],0),"")</f>
        <v>0</v>
      </c>
      <c r="DS441" s="85">
        <f>(0.00002)^2*(10^(RecData[[#This Row],[Overall (dBA)]]/10))</f>
        <v>1.8827805212845995E-8</v>
      </c>
    </row>
    <row r="442" spans="1:123" ht="15" x14ac:dyDescent="0.25">
      <c r="A442" s="3" t="s">
        <v>249</v>
      </c>
      <c r="B442" s="12">
        <v>43262.075694444451</v>
      </c>
      <c r="C442" s="3"/>
      <c r="D442" s="3">
        <v>31.9</v>
      </c>
      <c r="E442" s="3"/>
      <c r="F442" s="3"/>
      <c r="G442" s="3"/>
      <c r="H442" s="3"/>
      <c r="I442" s="3"/>
      <c r="J442" s="3"/>
      <c r="K442" s="3">
        <v>26.8</v>
      </c>
      <c r="L442" s="3"/>
      <c r="M442" s="3"/>
      <c r="N442" s="3">
        <v>189.6</v>
      </c>
      <c r="O442" s="3"/>
      <c r="P442" s="3"/>
      <c r="Q442" s="3">
        <v>0.25</v>
      </c>
      <c r="R442" s="3">
        <v>0.1</v>
      </c>
      <c r="S442" s="3">
        <v>0.5</v>
      </c>
      <c r="T442" s="3">
        <v>8.6999999999999993</v>
      </c>
      <c r="U442" s="3">
        <v>89.3</v>
      </c>
      <c r="V442" s="3">
        <v>974.4</v>
      </c>
      <c r="W442" s="3">
        <v>0</v>
      </c>
      <c r="X442" s="3">
        <v>21.9</v>
      </c>
      <c r="Y442" s="3">
        <v>20.6</v>
      </c>
      <c r="Z442" s="3">
        <v>18.899999999999999</v>
      </c>
      <c r="AA442" s="3">
        <v>12.2</v>
      </c>
      <c r="AB442" s="3">
        <v>10</v>
      </c>
      <c r="AC442" s="3">
        <v>7.2</v>
      </c>
      <c r="AD442" s="3">
        <v>12.9</v>
      </c>
      <c r="AE442" s="3">
        <v>12.3</v>
      </c>
      <c r="AF442" s="3">
        <v>14</v>
      </c>
      <c r="AG442" s="3">
        <v>13.1</v>
      </c>
      <c r="AH442" s="3">
        <v>17.399999999999999</v>
      </c>
      <c r="AI442" s="3">
        <v>13.9</v>
      </c>
      <c r="AJ442" s="3">
        <v>13.3</v>
      </c>
      <c r="AK442" s="3">
        <v>17.600000000000001</v>
      </c>
      <c r="AL442" s="3">
        <v>11</v>
      </c>
      <c r="AM442" s="3">
        <v>16</v>
      </c>
      <c r="AN442" s="3">
        <v>14.5</v>
      </c>
      <c r="AO442" s="3">
        <v>14.5</v>
      </c>
      <c r="AP442" s="3">
        <v>10.7</v>
      </c>
      <c r="AQ442" s="3">
        <v>7.7</v>
      </c>
      <c r="AR442" s="3">
        <v>6.7</v>
      </c>
      <c r="AS442" s="3">
        <v>23.6</v>
      </c>
      <c r="AT442" s="3">
        <v>29</v>
      </c>
      <c r="AU442" s="3">
        <v>8.5</v>
      </c>
      <c r="AV442" s="3">
        <v>8.6</v>
      </c>
      <c r="AW442" s="3">
        <v>9.1</v>
      </c>
      <c r="AX442" s="3">
        <v>9.3000000000000007</v>
      </c>
      <c r="AY442" s="3">
        <v>9.5</v>
      </c>
      <c r="AZ442" s="3">
        <v>0</v>
      </c>
      <c r="BA442" s="3">
        <v>0</v>
      </c>
      <c r="BB442" s="3">
        <v>0</v>
      </c>
      <c r="BC442" s="3">
        <v>31.856685445249756</v>
      </c>
      <c r="BD442" s="3">
        <v>21.943314554750241</v>
      </c>
      <c r="BE442" s="3">
        <v>20.643314554750244</v>
      </c>
      <c r="BF442" s="3">
        <v>17.703314554750246</v>
      </c>
      <c r="BG442" s="3">
        <v>11.329981221416904</v>
      </c>
      <c r="BH442" s="3">
        <v>9.2699812214169093</v>
      </c>
      <c r="BI442" s="3">
        <v>6.8833145547502461</v>
      </c>
      <c r="BJ442" s="3">
        <v>13.376647888083578</v>
      </c>
      <c r="BK442" s="3">
        <v>12.649981221416905</v>
      </c>
      <c r="BL442" s="3">
        <v>13.923314554750245</v>
      </c>
      <c r="BM442" s="3">
        <v>13.15664788808358</v>
      </c>
      <c r="BN442" s="3">
        <v>17.739981221416908</v>
      </c>
      <c r="BO442" s="3">
        <v>13.606647888083582</v>
      </c>
      <c r="BP442" s="3">
        <v>12.723314554750242</v>
      </c>
      <c r="BQ442" s="3">
        <v>17.439981221416897</v>
      </c>
      <c r="BR442" s="3">
        <v>11.166647888083578</v>
      </c>
      <c r="BS442" s="3">
        <v>15.969981221416912</v>
      </c>
      <c r="BT442" s="3">
        <v>14.666647888083578</v>
      </c>
      <c r="BU442" s="3">
        <v>14.633314554750246</v>
      </c>
      <c r="BV442" s="3">
        <v>10.54998122141691</v>
      </c>
      <c r="BW442" s="3">
        <v>8.0833145547502419</v>
      </c>
      <c r="BX442" s="3">
        <v>7.0033145547502507</v>
      </c>
      <c r="BY442" s="3">
        <v>23.723314554750242</v>
      </c>
      <c r="BZ442" s="3">
        <v>29.253314554750244</v>
      </c>
      <c r="CA442" s="3">
        <v>8.8533145547502379</v>
      </c>
      <c r="CB442" s="3">
        <v>8.3899812214169067</v>
      </c>
      <c r="CC442" s="3">
        <v>9.1033145547502379</v>
      </c>
      <c r="CD442" s="3">
        <v>8.6099812214169127</v>
      </c>
      <c r="CE442" s="3">
        <v>9.0033145547502436</v>
      </c>
      <c r="CF442" s="3">
        <v>-0.88335211191642315</v>
      </c>
      <c r="CG442" s="3">
        <v>-1.4166854452497546</v>
      </c>
      <c r="CH442" s="3">
        <v>-2.4933521119164226</v>
      </c>
      <c r="CI442" s="13">
        <f>[1]!dbasum(RecData[[#This Row],[20]:[2000]],RecData[[#Headers],[20]:[2000]])</f>
        <v>21.617567130921607</v>
      </c>
      <c r="CJ442" s="14">
        <v>4894</v>
      </c>
      <c r="CK442" s="15" t="s">
        <v>249</v>
      </c>
      <c r="CL442" s="15">
        <f>RecData[[#This Row],[Start Time]]</f>
        <v>43262.075694444451</v>
      </c>
      <c r="CM442" s="16">
        <f>RecData[[#This Row],[Wind Speed avg]]</f>
        <v>0.25</v>
      </c>
      <c r="CN442" s="16">
        <f>RecData[[#This Row],[Wind Dir. avg]]</f>
        <v>189.6</v>
      </c>
      <c r="CO442" s="16">
        <f>RecData[[#This Row],[Amb. Humidity]]</f>
        <v>89.3</v>
      </c>
      <c r="CP442" s="16">
        <f>RecData[[#This Row],[Amb. Temperature]]</f>
        <v>8.6999999999999993</v>
      </c>
      <c r="CQ442" s="17">
        <f>RecData[[#This Row],[Amb. Rain Gauge]]</f>
        <v>0</v>
      </c>
      <c r="CR442" s="4" t="s">
        <v>50</v>
      </c>
      <c r="CS442" s="4" t="s">
        <v>49</v>
      </c>
      <c r="CT442" s="70">
        <v>-11.62226295</v>
      </c>
      <c r="CU442" s="70">
        <v>104.69010160000001</v>
      </c>
      <c r="CV442" s="70">
        <v>1.8358713390000001</v>
      </c>
      <c r="CW442" s="70">
        <v>0</v>
      </c>
      <c r="CX442" s="4"/>
      <c r="CY442" s="69"/>
      <c r="CZ442" s="2" t="b">
        <f>IF($DP$1="YES",IF(RecData[[#This Row],[Power (kW)]]&gt;=$CR$3, TRUE,FALSE),TRUE)</f>
        <v>0</v>
      </c>
      <c r="DA442" s="16">
        <f>MIN(MOD(180-ABS(ABS($DA$1-RecData[Yaw Angle (°)])-180),360),MOD(180-ABS(ABS($DB$1-RecData[Yaw Angle (°)])-180),360))</f>
        <v>97.160174822312456</v>
      </c>
      <c r="DB442" s="2" t="str">
        <f>IF($DP$2="None","None",IF(RecData[[#This Row],[Relative Wind Direction]]&lt;=45,"DW",IF(RecData[[#This Row],[Relative Wind Direction]]&lt;=135,"CW","UW")))</f>
        <v>CW</v>
      </c>
      <c r="DC442" s="61" t="e">
        <f>IF($CL442-$CL438&gt;1/24,#REF!,IF(SUM($CQ438:$CQ442)&gt;$DS$1,$DS$5,DC443-1))</f>
        <v>#REF!</v>
      </c>
      <c r="DD442" s="61">
        <f>IF($CL443-$CL442&gt;1/24,#REF!,IF(SUM($CQ438:$CQ442)&gt;$DS$1,$DS$6,DD441-1))</f>
        <v>-7</v>
      </c>
      <c r="DE442" s="18" t="b">
        <v>0</v>
      </c>
      <c r="DF442" s="2" t="b">
        <f>IF(OR(RecData[[#This Row],[WSpd_Avg '[m/s']]]-RecData[[#This Row],[Wind Speed min]]&gt;=$DF$3,RecData[[#This Row],[Wind Speed max]]-RecData[[#This Row],[WSpd_Avg '[m/s']]]&gt;=$DF$2),TRUE,FALSE)</f>
        <v>0</v>
      </c>
      <c r="DG442" s="2" t="b">
        <f>RecData[[#This Row],[Temperature '[°C']]]&lt;=-20</f>
        <v>0</v>
      </c>
      <c r="DH442" s="18" t="b">
        <f>NOT(OR(MOD(RecData[[#This Row],[TIMESTAMP]],1)&gt;0.91632,MOD(RecData[[#This Row],[TIMESTAMP]],1)&lt;0.208681))</f>
        <v>0</v>
      </c>
      <c r="DI442" s="18" t="b">
        <f>RecData[[#This Row],[Overall (dBA)]]-RecData[[#This Row],[L90]]&gt;=$DS$4</f>
        <v>0</v>
      </c>
      <c r="DJ442" s="18" t="b">
        <f>RecData[[#This Row],[Overall (dBA)]]&gt;$DS$2</f>
        <v>0</v>
      </c>
      <c r="DK442" s="18" t="b">
        <f>RecData[[#This Row],[Overall (dBA)]]&lt;$DS$3</f>
        <v>0</v>
      </c>
      <c r="DL4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42" s="2">
        <f>IF(AND(RecData[[#This Row],[Turbines ON/OFF]] = "OFF", NOT(OR(RecData[[#This Row],[Junk?]]="YES",RecData[[#This Row],[Gust?]],RecData[[#This Row],[Rain?]:[Min SPL Threshold?]]))),1,0)</f>
        <v>1</v>
      </c>
      <c r="DN442" s="16">
        <f>RecData[[#This Row],[dBA Sum]]</f>
        <v>21.617567130921607</v>
      </c>
      <c r="DO442" s="16">
        <f>RecData[[#This Row],[LAF90.0]]</f>
        <v>26.8</v>
      </c>
      <c r="DP442" s="55" t="str">
        <f>IF(AND(RecData[[#This Row],[Useable TON Data?]],RecData[[#This Row],[Turbines ON/OFF]]="ON"),RecData[[#This Row],[dBA Sum]],"")</f>
        <v/>
      </c>
      <c r="DQ442" s="55">
        <f>IF(AND(RecData[[#This Row],[Useable Background Data?]],RecData[[#This Row],[Turbines ON/OFF]]="OFF"),RecData[[#This Row],[dBA Sum]],"")</f>
        <v>21.617567130921607</v>
      </c>
      <c r="DR442" s="3">
        <f>IF(OR(RecData[[#This Row],[Useable TON Data?]],RecData[[#This Row],[Useable Background Data?]]),ROUND(RecData[[#This Row],[WSpd_Avg '[m/s']]],0),"")</f>
        <v>0</v>
      </c>
      <c r="DS442" s="85">
        <f>(0.00002)^2*(10^(RecData[[#This Row],[Overall (dBA)]]/10))</f>
        <v>5.8051935548589059E-8</v>
      </c>
    </row>
    <row r="443" spans="1:123" ht="15" x14ac:dyDescent="0.25">
      <c r="A443" s="3" t="s">
        <v>249</v>
      </c>
      <c r="B443" s="12">
        <v>43262.076388888891</v>
      </c>
      <c r="C443" s="3"/>
      <c r="D443" s="3">
        <v>30.8</v>
      </c>
      <c r="E443" s="3"/>
      <c r="F443" s="3"/>
      <c r="G443" s="3"/>
      <c r="H443" s="3"/>
      <c r="I443" s="3"/>
      <c r="J443" s="3"/>
      <c r="K443" s="3">
        <v>23.6</v>
      </c>
      <c r="L443" s="3"/>
      <c r="M443" s="3"/>
      <c r="N443" s="3">
        <v>164.7</v>
      </c>
      <c r="O443" s="3"/>
      <c r="P443" s="3"/>
      <c r="Q443" s="3">
        <v>0.42</v>
      </c>
      <c r="R443" s="3">
        <v>0.3</v>
      </c>
      <c r="S443" s="3">
        <v>0.5</v>
      </c>
      <c r="T443" s="3">
        <v>8.6</v>
      </c>
      <c r="U443" s="3">
        <v>89.5</v>
      </c>
      <c r="V443" s="3">
        <v>974.4</v>
      </c>
      <c r="W443" s="3">
        <v>0</v>
      </c>
      <c r="X443" s="3">
        <v>19.5</v>
      </c>
      <c r="Y443" s="3">
        <v>16</v>
      </c>
      <c r="Z443" s="3">
        <v>16.899999999999999</v>
      </c>
      <c r="AA443" s="3">
        <v>11.2</v>
      </c>
      <c r="AB443" s="3">
        <v>7.6</v>
      </c>
      <c r="AC443" s="3">
        <v>6.5</v>
      </c>
      <c r="AD443" s="3">
        <v>9</v>
      </c>
      <c r="AE443" s="3">
        <v>8.8000000000000007</v>
      </c>
      <c r="AF443" s="3">
        <v>12.4</v>
      </c>
      <c r="AG443" s="3">
        <v>17.899999999999999</v>
      </c>
      <c r="AH443" s="3">
        <v>15.1</v>
      </c>
      <c r="AI443" s="3">
        <v>10.4</v>
      </c>
      <c r="AJ443" s="3">
        <v>11.1</v>
      </c>
      <c r="AK443" s="3">
        <v>10.4</v>
      </c>
      <c r="AL443" s="3">
        <v>8.1999999999999993</v>
      </c>
      <c r="AM443" s="3">
        <v>9.4</v>
      </c>
      <c r="AN443" s="3">
        <v>9.5</v>
      </c>
      <c r="AO443" s="3">
        <v>8.8000000000000007</v>
      </c>
      <c r="AP443" s="3">
        <v>8</v>
      </c>
      <c r="AQ443" s="3">
        <v>7.1</v>
      </c>
      <c r="AR443" s="3">
        <v>6.7</v>
      </c>
      <c r="AS443" s="3">
        <v>20.100000000000001</v>
      </c>
      <c r="AT443" s="3">
        <v>28.7</v>
      </c>
      <c r="AU443" s="3">
        <v>8.4</v>
      </c>
      <c r="AV443" s="3">
        <v>8.5</v>
      </c>
      <c r="AW443" s="3">
        <v>9</v>
      </c>
      <c r="AX443" s="3">
        <v>9.3000000000000007</v>
      </c>
      <c r="AY443" s="3">
        <v>9.5</v>
      </c>
      <c r="AZ443" s="3">
        <v>0</v>
      </c>
      <c r="BA443" s="3">
        <v>0</v>
      </c>
      <c r="BB443" s="3">
        <v>0</v>
      </c>
      <c r="BC443" s="3">
        <v>30.817955693690546</v>
      </c>
      <c r="BD443" s="3">
        <v>19.482044306309451</v>
      </c>
      <c r="BE443" s="3">
        <v>15.982044306309451</v>
      </c>
      <c r="BF443" s="3">
        <v>15.642044306309455</v>
      </c>
      <c r="BG443" s="3">
        <v>10.26871097297612</v>
      </c>
      <c r="BH443" s="3">
        <v>6.8087109729761259</v>
      </c>
      <c r="BI443" s="3">
        <v>6.1220443063094514</v>
      </c>
      <c r="BJ443" s="3">
        <v>9.415377639642788</v>
      </c>
      <c r="BK443" s="3">
        <v>9.08871097297612</v>
      </c>
      <c r="BL443" s="3">
        <v>12.262044306309452</v>
      </c>
      <c r="BM443" s="3">
        <v>17.895377639642792</v>
      </c>
      <c r="BN443" s="3">
        <v>15.378710972976119</v>
      </c>
      <c r="BO443" s="3">
        <v>10.045377639642791</v>
      </c>
      <c r="BP443" s="3">
        <v>10.462044306309455</v>
      </c>
      <c r="BQ443" s="3">
        <v>10.178710972976109</v>
      </c>
      <c r="BR443" s="3">
        <v>8.3053776396427885</v>
      </c>
      <c r="BS443" s="3">
        <v>9.3087109729761188</v>
      </c>
      <c r="BT443" s="3">
        <v>9.6053776396427857</v>
      </c>
      <c r="BU443" s="3">
        <v>8.8720443063094585</v>
      </c>
      <c r="BV443" s="3">
        <v>7.7887109729761228</v>
      </c>
      <c r="BW443" s="3">
        <v>7.4220443063094557</v>
      </c>
      <c r="BX443" s="3">
        <v>6.9420443063094588</v>
      </c>
      <c r="BY443" s="3">
        <v>20.162044306309458</v>
      </c>
      <c r="BZ443" s="3">
        <v>28.892044306309462</v>
      </c>
      <c r="CA443" s="3">
        <v>8.6920443063094446</v>
      </c>
      <c r="CB443" s="3">
        <v>8.2287109729761205</v>
      </c>
      <c r="CC443" s="3">
        <v>8.9420443063094517</v>
      </c>
      <c r="CD443" s="3">
        <v>8.5487109729761279</v>
      </c>
      <c r="CE443" s="3">
        <v>8.9420443063094517</v>
      </c>
      <c r="CF443" s="3">
        <v>-0.94462236035721148</v>
      </c>
      <c r="CG443" s="3">
        <v>-1.4779556936905429</v>
      </c>
      <c r="CH443" s="3">
        <v>-2.5546223603572109</v>
      </c>
      <c r="CI443" s="13">
        <f>[1]!dbasum(RecData[[#This Row],[20]:[2000]],RecData[[#Headers],[20]:[2000]])</f>
        <v>17.624811879550432</v>
      </c>
      <c r="CJ443" s="14">
        <v>4895</v>
      </c>
      <c r="CK443" s="15" t="s">
        <v>249</v>
      </c>
      <c r="CL443" s="15">
        <f>RecData[[#This Row],[Start Time]]</f>
        <v>43262.076388888891</v>
      </c>
      <c r="CM443" s="16">
        <f>RecData[[#This Row],[Wind Speed avg]]</f>
        <v>0.42</v>
      </c>
      <c r="CN443" s="16">
        <f>RecData[[#This Row],[Wind Dir. avg]]</f>
        <v>164.7</v>
      </c>
      <c r="CO443" s="16">
        <f>RecData[[#This Row],[Amb. Humidity]]</f>
        <v>89.5</v>
      </c>
      <c r="CP443" s="16">
        <f>RecData[[#This Row],[Amb. Temperature]]</f>
        <v>8.6</v>
      </c>
      <c r="CQ443" s="17">
        <f>RecData[[#This Row],[Amb. Rain Gauge]]</f>
        <v>0</v>
      </c>
      <c r="CR443" s="4" t="s">
        <v>50</v>
      </c>
      <c r="CS443" s="4" t="s">
        <v>49</v>
      </c>
      <c r="CT443" s="70">
        <v>-11.62226295</v>
      </c>
      <c r="CU443" s="70">
        <v>104.69010160000001</v>
      </c>
      <c r="CV443" s="70">
        <v>1.8358713390000001</v>
      </c>
      <c r="CW443" s="70">
        <v>0</v>
      </c>
      <c r="CX443" s="4"/>
      <c r="CY443" s="69"/>
      <c r="CZ443" s="2" t="b">
        <f>IF($DP$1="YES",IF(RecData[[#This Row],[Power (kW)]]&gt;=$CR$3, TRUE,FALSE),TRUE)</f>
        <v>0</v>
      </c>
      <c r="DA443" s="16">
        <f>MIN(MOD(180-ABS(ABS($DA$1-RecData[Yaw Angle (°)])-180),360),MOD(180-ABS(ABS($DB$1-RecData[Yaw Angle (°)])-180),360))</f>
        <v>97.160174822312456</v>
      </c>
      <c r="DB443" s="2" t="str">
        <f>IF($DP$2="None","None",IF(RecData[[#This Row],[Relative Wind Direction]]&lt;=45,"DW",IF(RecData[[#This Row],[Relative Wind Direction]]&lt;=135,"CW","UW")))</f>
        <v>CW</v>
      </c>
      <c r="DC443" s="61" t="e">
        <f>IF($CL443-$CL439&gt;1/24,#REF!,IF(SUM($CQ439:$CQ443)&gt;$DS$1,$DS$5,#REF!-1))</f>
        <v>#REF!</v>
      </c>
      <c r="DD443" s="61" t="e">
        <f>IF(#REF!-$CL443&gt;1/24,#REF!,IF(SUM($CQ439:$CQ443)&gt;$DS$1,$DS$6,DD442-1))</f>
        <v>#REF!</v>
      </c>
      <c r="DE443" s="18" t="b">
        <v>0</v>
      </c>
      <c r="DF443" s="2" t="b">
        <f>IF(OR(RecData[[#This Row],[WSpd_Avg '[m/s']]]-RecData[[#This Row],[Wind Speed min]]&gt;=$DF$3,RecData[[#This Row],[Wind Speed max]]-RecData[[#This Row],[WSpd_Avg '[m/s']]]&gt;=$DF$2),TRUE,FALSE)</f>
        <v>0</v>
      </c>
      <c r="DG443" s="2" t="b">
        <f>RecData[[#This Row],[Temperature '[°C']]]&lt;=-20</f>
        <v>0</v>
      </c>
      <c r="DH443" s="18" t="b">
        <f>NOT(OR(MOD(RecData[[#This Row],[TIMESTAMP]],1)&gt;0.91632,MOD(RecData[[#This Row],[TIMESTAMP]],1)&lt;0.208681))</f>
        <v>0</v>
      </c>
      <c r="DI443" s="18" t="b">
        <f>RecData[[#This Row],[Overall (dBA)]]-RecData[[#This Row],[L90]]&gt;=$DS$4</f>
        <v>0</v>
      </c>
      <c r="DJ443" s="18" t="b">
        <f>RecData[[#This Row],[Overall (dBA)]]&gt;$DS$2</f>
        <v>0</v>
      </c>
      <c r="DK443" s="18" t="b">
        <f>RecData[[#This Row],[Overall (dBA)]]&lt;$DS$3</f>
        <v>0</v>
      </c>
      <c r="DL4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443" s="2">
        <f>IF(AND(RecData[[#This Row],[Turbines ON/OFF]] = "OFF", NOT(OR(RecData[[#This Row],[Junk?]]="YES",RecData[[#This Row],[Gust?]],RecData[[#This Row],[Rain?]:[Min SPL Threshold?]]))),1,0)</f>
        <v>1</v>
      </c>
      <c r="DN443" s="16">
        <f>RecData[[#This Row],[dBA Sum]]</f>
        <v>17.624811879550432</v>
      </c>
      <c r="DO443" s="16">
        <f>RecData[[#This Row],[LAF90.0]]</f>
        <v>23.6</v>
      </c>
      <c r="DP443" s="55" t="str">
        <f>IF(AND(RecData[[#This Row],[Useable TON Data?]],RecData[[#This Row],[Turbines ON/OFF]]="ON"),RecData[[#This Row],[dBA Sum]],"")</f>
        <v/>
      </c>
      <c r="DQ443" s="55">
        <f>IF(AND(RecData[[#This Row],[Useable Background Data?]],RecData[[#This Row],[Turbines ON/OFF]]="OFF"),RecData[[#This Row],[dBA Sum]],"")</f>
        <v>17.624811879550432</v>
      </c>
      <c r="DR443" s="3">
        <f>IF(OR(RecData[[#This Row],[Useable TON Data?]],RecData[[#This Row],[Useable Background Data?]]),ROUND(RecData[[#This Row],[WSpd_Avg '[m/s']]],0),"")</f>
        <v>0</v>
      </c>
      <c r="DS443" s="85">
        <f>(0.00002)^2*(10^(RecData[[#This Row],[Overall (dBA)]]/10))</f>
        <v>2.3149476761772828E-8</v>
      </c>
    </row>
    <row r="444" spans="1:123" ht="15" x14ac:dyDescent="0.25">
      <c r="A444" s="3" t="s">
        <v>249</v>
      </c>
      <c r="B444" s="12">
        <v>43270.000694444447</v>
      </c>
      <c r="C444" s="3"/>
      <c r="D444" s="3">
        <v>39.299999999999997</v>
      </c>
      <c r="E444" s="3"/>
      <c r="F444" s="3"/>
      <c r="G444" s="3"/>
      <c r="H444" s="3"/>
      <c r="I444" s="3"/>
      <c r="J444" s="3"/>
      <c r="K444" s="3">
        <v>37.799999999999997</v>
      </c>
      <c r="L444" s="3"/>
      <c r="M444" s="3"/>
      <c r="N444" s="3">
        <v>126.8</v>
      </c>
      <c r="O444" s="3"/>
      <c r="P444" s="3"/>
      <c r="Q444" s="3">
        <v>0.88</v>
      </c>
      <c r="R444" s="3">
        <v>0.2</v>
      </c>
      <c r="S444" s="3">
        <v>1.8</v>
      </c>
      <c r="T444" s="3">
        <v>15.6</v>
      </c>
      <c r="U444" s="3">
        <v>73.7</v>
      </c>
      <c r="V444" s="3">
        <v>972.7</v>
      </c>
      <c r="W444" s="3">
        <v>0</v>
      </c>
      <c r="X444" s="3">
        <v>47.6</v>
      </c>
      <c r="Y444" s="3">
        <v>47.3</v>
      </c>
      <c r="Z444" s="3">
        <v>46.1</v>
      </c>
      <c r="AA444" s="3">
        <v>40.9</v>
      </c>
      <c r="AB444" s="3">
        <v>38.6</v>
      </c>
      <c r="AC444" s="3">
        <v>37.799999999999997</v>
      </c>
      <c r="AD444" s="3">
        <v>40.9</v>
      </c>
      <c r="AE444" s="3">
        <v>42.6</v>
      </c>
      <c r="AF444" s="3">
        <v>42.2</v>
      </c>
      <c r="AG444" s="3">
        <v>35.6</v>
      </c>
      <c r="AH444" s="3">
        <v>37.799999999999997</v>
      </c>
      <c r="AI444" s="3">
        <v>35.799999999999997</v>
      </c>
      <c r="AJ444" s="3">
        <v>35.4</v>
      </c>
      <c r="AK444" s="3">
        <v>33.200000000000003</v>
      </c>
      <c r="AL444" s="3">
        <v>30.9</v>
      </c>
      <c r="AM444" s="3">
        <v>30</v>
      </c>
      <c r="AN444" s="3">
        <v>28.8</v>
      </c>
      <c r="AO444" s="3">
        <v>26</v>
      </c>
      <c r="AP444" s="3">
        <v>24.2</v>
      </c>
      <c r="AQ444" s="3">
        <v>22.8</v>
      </c>
      <c r="AR444" s="3">
        <v>21</v>
      </c>
      <c r="AS444" s="3">
        <v>24.6</v>
      </c>
      <c r="AT444" s="3">
        <v>31</v>
      </c>
      <c r="AU444" s="3">
        <v>14.4</v>
      </c>
      <c r="AV444" s="3">
        <v>12.7</v>
      </c>
      <c r="AW444" s="3">
        <v>12</v>
      </c>
      <c r="AX444" s="3">
        <v>10.1</v>
      </c>
      <c r="AY444" s="3">
        <v>9.8000000000000007</v>
      </c>
      <c r="AZ444" s="3">
        <v>0</v>
      </c>
      <c r="BA444" s="3">
        <v>0</v>
      </c>
      <c r="BB444" s="3">
        <v>0</v>
      </c>
      <c r="BC444" s="3">
        <v>39.263175971130998</v>
      </c>
      <c r="BD444" s="3">
        <v>47.636824028869007</v>
      </c>
      <c r="BE444" s="3">
        <v>47.336824028868996</v>
      </c>
      <c r="BF444" s="3">
        <v>44.896824028868998</v>
      </c>
      <c r="BG444" s="3">
        <v>40.023490695535664</v>
      </c>
      <c r="BH444" s="3">
        <v>37.863490695535667</v>
      </c>
      <c r="BI444" s="3">
        <v>37.476824028868997</v>
      </c>
      <c r="BJ444" s="3">
        <v>41.370157362202328</v>
      </c>
      <c r="BK444" s="3">
        <v>42.943490695535665</v>
      </c>
      <c r="BL444" s="3">
        <v>42.116824028868997</v>
      </c>
      <c r="BM444" s="3">
        <v>35.650157362202329</v>
      </c>
      <c r="BN444" s="3">
        <v>38.133490695535663</v>
      </c>
      <c r="BO444" s="3">
        <v>35.500157362202323</v>
      </c>
      <c r="BP444" s="3">
        <v>34.816824028869</v>
      </c>
      <c r="BQ444" s="3">
        <v>33.033490695535654</v>
      </c>
      <c r="BR444" s="3">
        <v>31.060157362202325</v>
      </c>
      <c r="BS444" s="3">
        <v>29.963490695535661</v>
      </c>
      <c r="BT444" s="3">
        <v>28.960157362202331</v>
      </c>
      <c r="BU444" s="3">
        <v>26.126824028869002</v>
      </c>
      <c r="BV444" s="3">
        <v>24.043490695535667</v>
      </c>
      <c r="BW444" s="3">
        <v>23.176824028869</v>
      </c>
      <c r="BX444" s="3">
        <v>21.296824028869004</v>
      </c>
      <c r="BY444" s="3">
        <v>24.716824028868999</v>
      </c>
      <c r="BZ444" s="3">
        <v>31.246824028869007</v>
      </c>
      <c r="CA444" s="3">
        <v>14.746824028868993</v>
      </c>
      <c r="CB444" s="3">
        <v>12.483490695535664</v>
      </c>
      <c r="CC444" s="3">
        <v>11.996824028869</v>
      </c>
      <c r="CD444" s="3">
        <v>9.4034906955356732</v>
      </c>
      <c r="CE444" s="3">
        <v>9.2968240288689969</v>
      </c>
      <c r="CF444" s="3">
        <v>-0.88984263779767048</v>
      </c>
      <c r="CG444" s="3">
        <v>-1.4231759711310019</v>
      </c>
      <c r="CH444" s="3">
        <v>-2.4998426377976699</v>
      </c>
      <c r="CI444" s="13">
        <f>[1]!dbasum(RecData[[#This Row],[20]:[2000]],RecData[[#Headers],[20]:[2000]])</f>
        <v>37.984352329266557</v>
      </c>
      <c r="CJ444" s="14">
        <v>8178</v>
      </c>
      <c r="CK444" s="15" t="s">
        <v>249</v>
      </c>
      <c r="CL444" s="15">
        <f>RecData[[#This Row],[Start Time]]</f>
        <v>43270.000694444447</v>
      </c>
      <c r="CM444" s="16">
        <f>RecData[[#This Row],[Wind Speed avg]]</f>
        <v>0.88</v>
      </c>
      <c r="CN444" s="16">
        <f>RecData[[#This Row],[Wind Dir. avg]]</f>
        <v>126.8</v>
      </c>
      <c r="CO444" s="16">
        <f>RecData[[#This Row],[Amb. Humidity]]</f>
        <v>73.7</v>
      </c>
      <c r="CP444" s="16">
        <f>RecData[[#This Row],[Amb. Temperature]]</f>
        <v>15.6</v>
      </c>
      <c r="CQ444" s="17">
        <f>RecData[[#This Row],[Amb. Rain Gauge]]</f>
        <v>0</v>
      </c>
      <c r="CR444" s="4" t="s">
        <v>1</v>
      </c>
      <c r="CS444" s="4" t="s">
        <v>49</v>
      </c>
      <c r="CT444" s="70">
        <v>1462.91564941406</v>
      </c>
      <c r="CU444" s="70">
        <v>12.5980205535888</v>
      </c>
      <c r="CV444" s="70">
        <v>9.3845281600952095</v>
      </c>
      <c r="CW444" s="70">
        <v>15.1457462310791</v>
      </c>
      <c r="CX444" s="4"/>
      <c r="CY444" s="69"/>
      <c r="CZ444" s="2" t="b">
        <f>IF($DP$1="YES",IF(RecData[[#This Row],[Power (kW)]]&gt;=$CR$3, TRUE,FALSE),TRUE)</f>
        <v>1</v>
      </c>
      <c r="DA444" s="16">
        <f>MIN(MOD(180-ABS(ABS($DA$1-RecData[Yaw Angle (°)])-180),360),MOD(180-ABS(ABS($DB$1-RecData[Yaw Angle (°)])-180),360))</f>
        <v>5.0680937759012465</v>
      </c>
      <c r="DB444" s="2" t="str">
        <f>IF($DP$2="None","None",IF(RecData[[#This Row],[Relative Wind Direction]]&lt;=45,"DW",IF(RecData[[#This Row],[Relative Wind Direction]]&lt;=135,"CW","UW")))</f>
        <v>DW</v>
      </c>
      <c r="DC444" s="61" t="e">
        <f>IF($CL444-#REF!&gt;1/24,#REF!,IF(SUM($CQ444:$CQ444)&gt;$DS$1,$DS$5,DC445-1))</f>
        <v>#REF!</v>
      </c>
      <c r="DD444" s="61" t="e">
        <f>IF($CL445-$CL444&gt;1/24,#REF!,IF(SUM($CQ444:$CQ444)&gt;$DS$1,$DS$6,#REF!-1))</f>
        <v>#REF!</v>
      </c>
      <c r="DE444" s="18" t="b">
        <v>0</v>
      </c>
      <c r="DF444" s="2" t="b">
        <f>IF(OR(RecData[[#This Row],[WSpd_Avg '[m/s']]]-RecData[[#This Row],[Wind Speed min]]&gt;=$DF$3,RecData[[#This Row],[Wind Speed max]]-RecData[[#This Row],[WSpd_Avg '[m/s']]]&gt;=$DF$2),TRUE,FALSE)</f>
        <v>0</v>
      </c>
      <c r="DG444" s="2" t="b">
        <f>RecData[[#This Row],[Temperature '[°C']]]&lt;=-20</f>
        <v>0</v>
      </c>
      <c r="DH444" s="18" t="b">
        <f>NOT(OR(MOD(RecData[[#This Row],[TIMESTAMP]],1)&gt;0.91632,MOD(RecData[[#This Row],[TIMESTAMP]],1)&lt;0.208681))</f>
        <v>0</v>
      </c>
      <c r="DI444" s="18" t="b">
        <f>RecData[[#This Row],[Overall (dBA)]]-RecData[[#This Row],[L90]]&gt;=$DS$4</f>
        <v>0</v>
      </c>
      <c r="DJ444" s="18" t="b">
        <f>RecData[[#This Row],[Overall (dBA)]]&gt;$DS$2</f>
        <v>0</v>
      </c>
      <c r="DK444" s="18" t="b">
        <f>RecData[[#This Row],[Overall (dBA)]]&lt;$DS$3</f>
        <v>0</v>
      </c>
      <c r="DL4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4" s="2">
        <f>IF(AND(RecData[[#This Row],[Turbines ON/OFF]] = "OFF", NOT(OR(RecData[[#This Row],[Junk?]]="YES",RecData[[#This Row],[Gust?]],RecData[[#This Row],[Rain?]:[Min SPL Threshold?]]))),1,0)</f>
        <v>0</v>
      </c>
      <c r="DN444" s="16">
        <f>RecData[[#This Row],[dBA Sum]]</f>
        <v>37.984352329266557</v>
      </c>
      <c r="DO444" s="16">
        <f>RecData[[#This Row],[LAF90.0]]</f>
        <v>37.799999999999997</v>
      </c>
      <c r="DP444" s="55">
        <f>IF(AND(RecData[[#This Row],[Useable TON Data?]],RecData[[#This Row],[Turbines ON/OFF]]="ON"),RecData[[#This Row],[dBA Sum]],"")</f>
        <v>37.984352329266557</v>
      </c>
      <c r="DQ444" s="55" t="str">
        <f>IF(AND(RecData[[#This Row],[Useable Background Data?]],RecData[[#This Row],[Turbines ON/OFF]]="OFF"),RecData[[#This Row],[dBA Sum]],"")</f>
        <v/>
      </c>
      <c r="DR444" s="3">
        <f>IF(OR(RecData[[#This Row],[Useable TON Data?]],RecData[[#This Row],[Useable Background Data?]]),ROUND(RecData[[#This Row],[WSpd_Avg '[m/s']]],0),"")</f>
        <v>1</v>
      </c>
      <c r="DS444" s="85">
        <f>(0.00002)^2*(10^(RecData[[#This Row],[Overall (dBA)]]/10))</f>
        <v>2.5147523592180463E-6</v>
      </c>
    </row>
    <row r="445" spans="1:123" ht="15" x14ac:dyDescent="0.25">
      <c r="A445" s="3" t="s">
        <v>249</v>
      </c>
      <c r="B445" s="12">
        <v>43270.001388888886</v>
      </c>
      <c r="C445" s="3"/>
      <c r="D445" s="3">
        <v>40</v>
      </c>
      <c r="E445" s="3"/>
      <c r="F445" s="3"/>
      <c r="G445" s="3"/>
      <c r="H445" s="3"/>
      <c r="I445" s="3"/>
      <c r="J445" s="3"/>
      <c r="K445" s="3">
        <v>38.9</v>
      </c>
      <c r="L445" s="3"/>
      <c r="M445" s="3"/>
      <c r="N445" s="3">
        <v>129.80000000000001</v>
      </c>
      <c r="O445" s="3"/>
      <c r="P445" s="3"/>
      <c r="Q445" s="3">
        <v>0.69</v>
      </c>
      <c r="R445" s="3">
        <v>0.2</v>
      </c>
      <c r="S445" s="3">
        <v>1.8</v>
      </c>
      <c r="T445" s="3">
        <v>15.8</v>
      </c>
      <c r="U445" s="3">
        <v>68.5</v>
      </c>
      <c r="V445" s="3">
        <v>972.7</v>
      </c>
      <c r="W445" s="3">
        <v>0</v>
      </c>
      <c r="X445" s="3">
        <v>48.3</v>
      </c>
      <c r="Y445" s="3">
        <v>47.7</v>
      </c>
      <c r="Z445" s="3">
        <v>46.1</v>
      </c>
      <c r="AA445" s="3">
        <v>41.3</v>
      </c>
      <c r="AB445" s="3">
        <v>37.9</v>
      </c>
      <c r="AC445" s="3">
        <v>38.700000000000003</v>
      </c>
      <c r="AD445" s="3">
        <v>42.7</v>
      </c>
      <c r="AE445" s="3">
        <v>43.7</v>
      </c>
      <c r="AF445" s="3">
        <v>43.5</v>
      </c>
      <c r="AG445" s="3">
        <v>37.299999999999997</v>
      </c>
      <c r="AH445" s="3">
        <v>39.9</v>
      </c>
      <c r="AI445" s="3">
        <v>37.6</v>
      </c>
      <c r="AJ445" s="3">
        <v>37.4</v>
      </c>
      <c r="AK445" s="3">
        <v>34.9</v>
      </c>
      <c r="AL445" s="3">
        <v>31.8</v>
      </c>
      <c r="AM445" s="3">
        <v>30.5</v>
      </c>
      <c r="AN445" s="3">
        <v>29.2</v>
      </c>
      <c r="AO445" s="3">
        <v>26.3</v>
      </c>
      <c r="AP445" s="3">
        <v>24.2</v>
      </c>
      <c r="AQ445" s="3">
        <v>22.8</v>
      </c>
      <c r="AR445" s="3">
        <v>20.6</v>
      </c>
      <c r="AS445" s="3">
        <v>22.5</v>
      </c>
      <c r="AT445" s="3">
        <v>30.5</v>
      </c>
      <c r="AU445" s="3">
        <v>13.9</v>
      </c>
      <c r="AV445" s="3">
        <v>12.1</v>
      </c>
      <c r="AW445" s="3">
        <v>11.3</v>
      </c>
      <c r="AX445" s="3">
        <v>9.9</v>
      </c>
      <c r="AY445" s="3">
        <v>9.6999999999999993</v>
      </c>
      <c r="AZ445" s="3">
        <v>0</v>
      </c>
      <c r="BA445" s="3">
        <v>0</v>
      </c>
      <c r="BB445" s="3">
        <v>0</v>
      </c>
      <c r="BC445" s="3">
        <v>40.02521943310682</v>
      </c>
      <c r="BD445" s="3">
        <v>48.274780566893178</v>
      </c>
      <c r="BE445" s="3">
        <v>47.674780566893183</v>
      </c>
      <c r="BF445" s="3">
        <v>44.83478056689318</v>
      </c>
      <c r="BG445" s="3">
        <v>40.361447233559836</v>
      </c>
      <c r="BH445" s="3">
        <v>37.101447233559846</v>
      </c>
      <c r="BI445" s="3">
        <v>38.314780566893184</v>
      </c>
      <c r="BJ445" s="3">
        <v>43.108113900226506</v>
      </c>
      <c r="BK445" s="3">
        <v>43.981447233559841</v>
      </c>
      <c r="BL445" s="3">
        <v>43.354780566893176</v>
      </c>
      <c r="BM445" s="3">
        <v>37.288113900226513</v>
      </c>
      <c r="BN445" s="3">
        <v>40.171447233559839</v>
      </c>
      <c r="BO445" s="3">
        <v>37.238113900226516</v>
      </c>
      <c r="BP445" s="3">
        <v>36.754780566893182</v>
      </c>
      <c r="BQ445" s="3">
        <v>34.671447233559839</v>
      </c>
      <c r="BR445" s="3">
        <v>31.898113900226512</v>
      </c>
      <c r="BS445" s="3">
        <v>30.401447233559843</v>
      </c>
      <c r="BT445" s="3">
        <v>29.298113900226518</v>
      </c>
      <c r="BU445" s="3">
        <v>26.364780566893181</v>
      </c>
      <c r="BV445" s="3">
        <v>23.981447233559841</v>
      </c>
      <c r="BW445" s="3">
        <v>23.114780566893181</v>
      </c>
      <c r="BX445" s="3">
        <v>20.834780566893187</v>
      </c>
      <c r="BY445" s="3">
        <v>22.554780566893179</v>
      </c>
      <c r="BZ445" s="3">
        <v>30.684780566893188</v>
      </c>
      <c r="CA445" s="3">
        <v>14.184780566893174</v>
      </c>
      <c r="CB445" s="3">
        <v>11.821447233559844</v>
      </c>
      <c r="CC445" s="3">
        <v>11.234780566893178</v>
      </c>
      <c r="CD445" s="3">
        <v>9.1414472335598518</v>
      </c>
      <c r="CE445" s="3">
        <v>9.134780566893177</v>
      </c>
      <c r="CF445" s="3">
        <v>-0.95188609977348904</v>
      </c>
      <c r="CG445" s="3">
        <v>-1.4852194331068205</v>
      </c>
      <c r="CH445" s="3">
        <v>-2.5618860997734885</v>
      </c>
      <c r="CI445" s="13">
        <f>[1]!dbasum(RecData[[#This Row],[20]:[2000]],RecData[[#Headers],[20]:[2000]])</f>
        <v>39.07426633683464</v>
      </c>
      <c r="CJ445" s="14">
        <v>8179</v>
      </c>
      <c r="CK445" s="15" t="s">
        <v>249</v>
      </c>
      <c r="CL445" s="15">
        <f>RecData[[#This Row],[Start Time]]</f>
        <v>43270.001388888886</v>
      </c>
      <c r="CM445" s="16">
        <f>RecData[[#This Row],[Wind Speed avg]]</f>
        <v>0.69</v>
      </c>
      <c r="CN445" s="16">
        <f>RecData[[#This Row],[Wind Dir. avg]]</f>
        <v>129.80000000000001</v>
      </c>
      <c r="CO445" s="16">
        <f>RecData[[#This Row],[Amb. Humidity]]</f>
        <v>68.5</v>
      </c>
      <c r="CP445" s="16">
        <f>RecData[[#This Row],[Amb. Temperature]]</f>
        <v>15.8</v>
      </c>
      <c r="CQ445" s="17">
        <f>RecData[[#This Row],[Amb. Rain Gauge]]</f>
        <v>0</v>
      </c>
      <c r="CR445" s="4" t="s">
        <v>1</v>
      </c>
      <c r="CS445" s="4" t="s">
        <v>49</v>
      </c>
      <c r="CT445" s="70">
        <v>1462.91564941406</v>
      </c>
      <c r="CU445" s="70">
        <v>12.5980205535888</v>
      </c>
      <c r="CV445" s="70">
        <v>9.3845281600952095</v>
      </c>
      <c r="CW445" s="70">
        <v>15.1457462310791</v>
      </c>
      <c r="CX445" s="4"/>
      <c r="CY445" s="69"/>
      <c r="CZ445" s="2" t="b">
        <f>IF($DP$1="YES",IF(RecData[[#This Row],[Power (kW)]]&gt;=$CR$3, TRUE,FALSE),TRUE)</f>
        <v>1</v>
      </c>
      <c r="DA445" s="16">
        <f>MIN(MOD(180-ABS(ABS($DA$1-RecData[Yaw Angle (°)])-180),360),MOD(180-ABS(ABS($DB$1-RecData[Yaw Angle (°)])-180),360))</f>
        <v>5.0680937759012465</v>
      </c>
      <c r="DB445" s="2" t="str">
        <f>IF($DP$2="None","None",IF(RecData[[#This Row],[Relative Wind Direction]]&lt;=45,"DW",IF(RecData[[#This Row],[Relative Wind Direction]]&lt;=135,"CW","UW")))</f>
        <v>DW</v>
      </c>
      <c r="DC445" s="61" t="e">
        <f>IF($CL445-#REF!&gt;1/24,#REF!,IF(SUM($CQ444:$CQ445)&gt;$DS$1,$DS$5,DC446-1))</f>
        <v>#REF!</v>
      </c>
      <c r="DD445" s="61" t="e">
        <f>IF($CL446-$CL445&gt;1/24,#REF!,IF(SUM($CQ444:$CQ445)&gt;$DS$1,$DS$6,DD444-1))</f>
        <v>#REF!</v>
      </c>
      <c r="DE445" s="18" t="b">
        <v>0</v>
      </c>
      <c r="DF445" s="2" t="b">
        <f>IF(OR(RecData[[#This Row],[WSpd_Avg '[m/s']]]-RecData[[#This Row],[Wind Speed min]]&gt;=$DF$3,RecData[[#This Row],[Wind Speed max]]-RecData[[#This Row],[WSpd_Avg '[m/s']]]&gt;=$DF$2),TRUE,FALSE)</f>
        <v>0</v>
      </c>
      <c r="DG445" s="2" t="b">
        <f>RecData[[#This Row],[Temperature '[°C']]]&lt;=-20</f>
        <v>0</v>
      </c>
      <c r="DH445" s="18" t="b">
        <f>NOT(OR(MOD(RecData[[#This Row],[TIMESTAMP]],1)&gt;0.91632,MOD(RecData[[#This Row],[TIMESTAMP]],1)&lt;0.208681))</f>
        <v>0</v>
      </c>
      <c r="DI445" s="18" t="b">
        <f>RecData[[#This Row],[Overall (dBA)]]-RecData[[#This Row],[L90]]&gt;=$DS$4</f>
        <v>0</v>
      </c>
      <c r="DJ445" s="18" t="b">
        <f>RecData[[#This Row],[Overall (dBA)]]&gt;$DS$2</f>
        <v>0</v>
      </c>
      <c r="DK445" s="18" t="b">
        <f>RecData[[#This Row],[Overall (dBA)]]&lt;$DS$3</f>
        <v>0</v>
      </c>
      <c r="DL4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5" s="2">
        <f>IF(AND(RecData[[#This Row],[Turbines ON/OFF]] = "OFF", NOT(OR(RecData[[#This Row],[Junk?]]="YES",RecData[[#This Row],[Gust?]],RecData[[#This Row],[Rain?]:[Min SPL Threshold?]]))),1,0)</f>
        <v>0</v>
      </c>
      <c r="DN445" s="16">
        <f>RecData[[#This Row],[dBA Sum]]</f>
        <v>39.07426633683464</v>
      </c>
      <c r="DO445" s="16">
        <f>RecData[[#This Row],[LAF90.0]]</f>
        <v>38.9</v>
      </c>
      <c r="DP445" s="55">
        <f>IF(AND(RecData[[#This Row],[Useable TON Data?]],RecData[[#This Row],[Turbines ON/OFF]]="ON"),RecData[[#This Row],[dBA Sum]],"")</f>
        <v>39.07426633683464</v>
      </c>
      <c r="DQ445" s="55" t="str">
        <f>IF(AND(RecData[[#This Row],[Useable Background Data?]],RecData[[#This Row],[Turbines ON/OFF]]="OFF"),RecData[[#This Row],[dBA Sum]],"")</f>
        <v/>
      </c>
      <c r="DR445" s="3">
        <f>IF(OR(RecData[[#This Row],[Useable TON Data?]],RecData[[#This Row],[Useable Background Data?]]),ROUND(RecData[[#This Row],[WSpd_Avg '[m/s']]],0),"")</f>
        <v>1</v>
      </c>
      <c r="DS445" s="85">
        <f>(0.00002)^2*(10^(RecData[[#This Row],[Overall (dBA)]]/10))</f>
        <v>3.2321136622994826E-6</v>
      </c>
    </row>
    <row r="446" spans="1:123" ht="15" x14ac:dyDescent="0.25">
      <c r="A446" s="3" t="s">
        <v>249</v>
      </c>
      <c r="B446" s="12">
        <v>43270.002083333333</v>
      </c>
      <c r="C446" s="3"/>
      <c r="D446" s="3">
        <v>39.700000000000003</v>
      </c>
      <c r="E446" s="3"/>
      <c r="F446" s="3"/>
      <c r="G446" s="3"/>
      <c r="H446" s="3"/>
      <c r="I446" s="3"/>
      <c r="J446" s="3"/>
      <c r="K446" s="3">
        <v>38.299999999999997</v>
      </c>
      <c r="L446" s="3"/>
      <c r="M446" s="3"/>
      <c r="N446" s="3">
        <v>250.6</v>
      </c>
      <c r="O446" s="3"/>
      <c r="P446" s="3"/>
      <c r="Q446" s="3">
        <v>1.1299999999999999</v>
      </c>
      <c r="R446" s="3">
        <v>0.6</v>
      </c>
      <c r="S446" s="3">
        <v>1.9</v>
      </c>
      <c r="T446" s="3">
        <v>16.100000000000001</v>
      </c>
      <c r="U446" s="3">
        <v>68</v>
      </c>
      <c r="V446" s="3">
        <v>972.6</v>
      </c>
      <c r="W446" s="3">
        <v>0</v>
      </c>
      <c r="X446" s="3">
        <v>48.2</v>
      </c>
      <c r="Y446" s="3">
        <v>47.6</v>
      </c>
      <c r="Z446" s="3">
        <v>45.2</v>
      </c>
      <c r="AA446" s="3">
        <v>40.9</v>
      </c>
      <c r="AB446" s="3">
        <v>37.700000000000003</v>
      </c>
      <c r="AC446" s="3">
        <v>36.9</v>
      </c>
      <c r="AD446" s="3">
        <v>41.9</v>
      </c>
      <c r="AE446" s="3">
        <v>43.4</v>
      </c>
      <c r="AF446" s="3">
        <v>42.5</v>
      </c>
      <c r="AG446" s="3">
        <v>37.1</v>
      </c>
      <c r="AH446" s="3">
        <v>39.1</v>
      </c>
      <c r="AI446" s="3">
        <v>38</v>
      </c>
      <c r="AJ446" s="3">
        <v>37.1</v>
      </c>
      <c r="AK446" s="3">
        <v>34.799999999999997</v>
      </c>
      <c r="AL446" s="3">
        <v>31.9</v>
      </c>
      <c r="AM446" s="3">
        <v>30.5</v>
      </c>
      <c r="AN446" s="3">
        <v>28.5</v>
      </c>
      <c r="AO446" s="3">
        <v>25.7</v>
      </c>
      <c r="AP446" s="3">
        <v>23.9</v>
      </c>
      <c r="AQ446" s="3">
        <v>22.3</v>
      </c>
      <c r="AR446" s="3">
        <v>20.2</v>
      </c>
      <c r="AS446" s="3">
        <v>22.3</v>
      </c>
      <c r="AT446" s="3">
        <v>30</v>
      </c>
      <c r="AU446" s="3">
        <v>13.3</v>
      </c>
      <c r="AV446" s="3">
        <v>11.5</v>
      </c>
      <c r="AW446" s="3">
        <v>11.1</v>
      </c>
      <c r="AX446" s="3">
        <v>9.8000000000000007</v>
      </c>
      <c r="AY446" s="3">
        <v>9.6999999999999993</v>
      </c>
      <c r="AZ446" s="3">
        <v>0</v>
      </c>
      <c r="BA446" s="3">
        <v>0</v>
      </c>
      <c r="BB446" s="3">
        <v>0</v>
      </c>
      <c r="BC446" s="3">
        <v>39.707954904325447</v>
      </c>
      <c r="BD446" s="3">
        <v>48.192045095674558</v>
      </c>
      <c r="BE446" s="3">
        <v>47.592045095674564</v>
      </c>
      <c r="BF446" s="3">
        <v>43.952045095674549</v>
      </c>
      <c r="BG446" s="3">
        <v>39.97871176234122</v>
      </c>
      <c r="BH446" s="3">
        <v>36.918711762341218</v>
      </c>
      <c r="BI446" s="3">
        <v>36.532045095674562</v>
      </c>
      <c r="BJ446" s="3">
        <v>42.325378429007884</v>
      </c>
      <c r="BK446" s="3">
        <v>43.698711762341219</v>
      </c>
      <c r="BL446" s="3">
        <v>42.372045095674565</v>
      </c>
      <c r="BM446" s="3">
        <v>37.105378429007885</v>
      </c>
      <c r="BN446" s="3">
        <v>39.388711762341217</v>
      </c>
      <c r="BO446" s="3">
        <v>37.655378429007897</v>
      </c>
      <c r="BP446" s="3">
        <v>36.472045095674559</v>
      </c>
      <c r="BQ446" s="3">
        <v>34.588711762341205</v>
      </c>
      <c r="BR446" s="3">
        <v>32.015378429007882</v>
      </c>
      <c r="BS446" s="3">
        <v>30.418711762341218</v>
      </c>
      <c r="BT446" s="3">
        <v>28.61537842900789</v>
      </c>
      <c r="BU446" s="3">
        <v>25.782045095674562</v>
      </c>
      <c r="BV446" s="3">
        <v>23.698711762341219</v>
      </c>
      <c r="BW446" s="3">
        <v>22.632045095674556</v>
      </c>
      <c r="BX446" s="3">
        <v>20.452045095674563</v>
      </c>
      <c r="BY446" s="3">
        <v>22.372045095674551</v>
      </c>
      <c r="BZ446" s="3">
        <v>30.202045095674563</v>
      </c>
      <c r="CA446" s="3">
        <v>13.602045095674548</v>
      </c>
      <c r="CB446" s="3">
        <v>11.238711762341218</v>
      </c>
      <c r="CC446" s="3">
        <v>11.052045095674558</v>
      </c>
      <c r="CD446" s="3">
        <v>9.0587117623412254</v>
      </c>
      <c r="CE446" s="3">
        <v>9.152045095674552</v>
      </c>
      <c r="CF446" s="3">
        <v>-0.93462157099211396</v>
      </c>
      <c r="CG446" s="3">
        <v>-1.4679549043254454</v>
      </c>
      <c r="CH446" s="3">
        <v>-2.5446215709921134</v>
      </c>
      <c r="CI446" s="13">
        <f>[1]!dbasum(RecData[[#This Row],[20]:[2000]],RecData[[#Headers],[20]:[2000]])</f>
        <v>38.79365201037097</v>
      </c>
      <c r="CJ446" s="14">
        <v>8180</v>
      </c>
      <c r="CK446" s="15" t="s">
        <v>249</v>
      </c>
      <c r="CL446" s="15">
        <f>RecData[[#This Row],[Start Time]]</f>
        <v>43270.002083333333</v>
      </c>
      <c r="CM446" s="16">
        <f>RecData[[#This Row],[Wind Speed avg]]</f>
        <v>1.1299999999999999</v>
      </c>
      <c r="CN446" s="16">
        <f>RecData[[#This Row],[Wind Dir. avg]]</f>
        <v>250.6</v>
      </c>
      <c r="CO446" s="16">
        <f>RecData[[#This Row],[Amb. Humidity]]</f>
        <v>68</v>
      </c>
      <c r="CP446" s="16">
        <f>RecData[[#This Row],[Amb. Temperature]]</f>
        <v>16.100000000000001</v>
      </c>
      <c r="CQ446" s="17">
        <f>RecData[[#This Row],[Amb. Rain Gauge]]</f>
        <v>0</v>
      </c>
      <c r="CR446" s="4" t="s">
        <v>1</v>
      </c>
      <c r="CS446" s="4" t="s">
        <v>49</v>
      </c>
      <c r="CT446" s="70">
        <v>1462.91564941406</v>
      </c>
      <c r="CU446" s="70">
        <v>12.5980205535888</v>
      </c>
      <c r="CV446" s="70">
        <v>9.3845281600952095</v>
      </c>
      <c r="CW446" s="70">
        <v>15.1457462310791</v>
      </c>
      <c r="CX446" s="4"/>
      <c r="CY446" s="69"/>
      <c r="CZ446" s="2" t="b">
        <f>IF($DP$1="YES",IF(RecData[[#This Row],[Power (kW)]]&gt;=$CR$3, TRUE,FALSE),TRUE)</f>
        <v>1</v>
      </c>
      <c r="DA446" s="16">
        <f>MIN(MOD(180-ABS(ABS($DA$1-RecData[Yaw Angle (°)])-180),360),MOD(180-ABS(ABS($DB$1-RecData[Yaw Angle (°)])-180),360))</f>
        <v>5.0680937759012465</v>
      </c>
      <c r="DB446" s="2" t="str">
        <f>IF($DP$2="None","None",IF(RecData[[#This Row],[Relative Wind Direction]]&lt;=45,"DW",IF(RecData[[#This Row],[Relative Wind Direction]]&lt;=135,"CW","UW")))</f>
        <v>DW</v>
      </c>
      <c r="DC446" s="61" t="e">
        <f>IF($CL446-#REF!&gt;1/24,#REF!,IF(SUM($CQ444:$CQ446)&gt;$DS$1,$DS$5,DC447-1))</f>
        <v>#REF!</v>
      </c>
      <c r="DD446" s="61" t="e">
        <f>IF($CL447-$CL446&gt;1/24,#REF!,IF(SUM($CQ444:$CQ446)&gt;$DS$1,$DS$6,DD445-1))</f>
        <v>#REF!</v>
      </c>
      <c r="DE446" s="18" t="b">
        <v>0</v>
      </c>
      <c r="DF446" s="2" t="b">
        <f>IF(OR(RecData[[#This Row],[WSpd_Avg '[m/s']]]-RecData[[#This Row],[Wind Speed min]]&gt;=$DF$3,RecData[[#This Row],[Wind Speed max]]-RecData[[#This Row],[WSpd_Avg '[m/s']]]&gt;=$DF$2),TRUE,FALSE)</f>
        <v>0</v>
      </c>
      <c r="DG446" s="2" t="b">
        <f>RecData[[#This Row],[Temperature '[°C']]]&lt;=-20</f>
        <v>0</v>
      </c>
      <c r="DH446" s="18" t="b">
        <f>NOT(OR(MOD(RecData[[#This Row],[TIMESTAMP]],1)&gt;0.91632,MOD(RecData[[#This Row],[TIMESTAMP]],1)&lt;0.208681))</f>
        <v>0</v>
      </c>
      <c r="DI446" s="18" t="b">
        <f>RecData[[#This Row],[Overall (dBA)]]-RecData[[#This Row],[L90]]&gt;=$DS$4</f>
        <v>0</v>
      </c>
      <c r="DJ446" s="18" t="b">
        <f>RecData[[#This Row],[Overall (dBA)]]&gt;$DS$2</f>
        <v>0</v>
      </c>
      <c r="DK446" s="18" t="b">
        <f>RecData[[#This Row],[Overall (dBA)]]&lt;$DS$3</f>
        <v>0</v>
      </c>
      <c r="DL4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6" s="2">
        <f>IF(AND(RecData[[#This Row],[Turbines ON/OFF]] = "OFF", NOT(OR(RecData[[#This Row],[Junk?]]="YES",RecData[[#This Row],[Gust?]],RecData[[#This Row],[Rain?]:[Min SPL Threshold?]]))),1,0)</f>
        <v>0</v>
      </c>
      <c r="DN446" s="16">
        <f>RecData[[#This Row],[dBA Sum]]</f>
        <v>38.79365201037097</v>
      </c>
      <c r="DO446" s="16">
        <f>RecData[[#This Row],[LAF90.0]]</f>
        <v>38.299999999999997</v>
      </c>
      <c r="DP446" s="55">
        <f>IF(AND(RecData[[#This Row],[Useable TON Data?]],RecData[[#This Row],[Turbines ON/OFF]]="ON"),RecData[[#This Row],[dBA Sum]],"")</f>
        <v>38.79365201037097</v>
      </c>
      <c r="DQ446" s="55" t="str">
        <f>IF(AND(RecData[[#This Row],[Useable Background Data?]],RecData[[#This Row],[Turbines ON/OFF]]="OFF"),RecData[[#This Row],[dBA Sum]],"")</f>
        <v/>
      </c>
      <c r="DR446" s="3">
        <f>IF(OR(RecData[[#This Row],[Useable TON Data?]],RecData[[#This Row],[Useable Background Data?]]),ROUND(RecData[[#This Row],[WSpd_Avg '[m/s']]],0),"")</f>
        <v>1</v>
      </c>
      <c r="DS446" s="85">
        <f>(0.00002)^2*(10^(RecData[[#This Row],[Overall (dBA)]]/10))</f>
        <v>3.0298783534271711E-6</v>
      </c>
    </row>
    <row r="447" spans="1:123" ht="15" x14ac:dyDescent="0.25">
      <c r="A447" s="3" t="s">
        <v>249</v>
      </c>
      <c r="B447" s="12">
        <v>43270.00277777778</v>
      </c>
      <c r="C447" s="3"/>
      <c r="D447" s="3">
        <v>41.1</v>
      </c>
      <c r="E447" s="3"/>
      <c r="F447" s="3"/>
      <c r="G447" s="3"/>
      <c r="H447" s="3"/>
      <c r="I447" s="3"/>
      <c r="J447" s="3"/>
      <c r="K447" s="3">
        <v>39.6</v>
      </c>
      <c r="L447" s="3"/>
      <c r="M447" s="3"/>
      <c r="N447" s="3">
        <v>141.6</v>
      </c>
      <c r="O447" s="3"/>
      <c r="P447" s="3"/>
      <c r="Q447" s="3">
        <v>0.72</v>
      </c>
      <c r="R447" s="3">
        <v>0</v>
      </c>
      <c r="S447" s="3">
        <v>1.5</v>
      </c>
      <c r="T447" s="3">
        <v>16.3</v>
      </c>
      <c r="U447" s="3">
        <v>67.900000000000006</v>
      </c>
      <c r="V447" s="3">
        <v>972.6</v>
      </c>
      <c r="W447" s="3">
        <v>0</v>
      </c>
      <c r="X447" s="3">
        <v>48.6</v>
      </c>
      <c r="Y447" s="3">
        <v>48.6</v>
      </c>
      <c r="Z447" s="3">
        <v>47.1</v>
      </c>
      <c r="AA447" s="3">
        <v>42.3</v>
      </c>
      <c r="AB447" s="3">
        <v>38.799999999999997</v>
      </c>
      <c r="AC447" s="3">
        <v>39.299999999999997</v>
      </c>
      <c r="AD447" s="3">
        <v>43.5</v>
      </c>
      <c r="AE447" s="3">
        <v>44.9</v>
      </c>
      <c r="AF447" s="3">
        <v>44.6</v>
      </c>
      <c r="AG447" s="3">
        <v>38.799999999999997</v>
      </c>
      <c r="AH447" s="3">
        <v>40.700000000000003</v>
      </c>
      <c r="AI447" s="3">
        <v>39.1</v>
      </c>
      <c r="AJ447" s="3">
        <v>38.4</v>
      </c>
      <c r="AK447" s="3">
        <v>36</v>
      </c>
      <c r="AL447" s="3">
        <v>33</v>
      </c>
      <c r="AM447" s="3">
        <v>31.9</v>
      </c>
      <c r="AN447" s="3">
        <v>29.8</v>
      </c>
      <c r="AO447" s="3">
        <v>26.7</v>
      </c>
      <c r="AP447" s="3">
        <v>25.6</v>
      </c>
      <c r="AQ447" s="3">
        <v>24.4</v>
      </c>
      <c r="AR447" s="3">
        <v>23.5</v>
      </c>
      <c r="AS447" s="3">
        <v>25.2</v>
      </c>
      <c r="AT447" s="3">
        <v>30.7</v>
      </c>
      <c r="AU447" s="3">
        <v>19.3</v>
      </c>
      <c r="AV447" s="3">
        <v>17</v>
      </c>
      <c r="AW447" s="3">
        <v>15.6</v>
      </c>
      <c r="AX447" s="3">
        <v>12</v>
      </c>
      <c r="AY447" s="3">
        <v>10.7</v>
      </c>
      <c r="AZ447" s="3">
        <v>0</v>
      </c>
      <c r="BA447" s="3">
        <v>0</v>
      </c>
      <c r="BB447" s="3">
        <v>0</v>
      </c>
      <c r="BC447" s="3">
        <v>41.123926753131379</v>
      </c>
      <c r="BD447" s="3">
        <v>48.576073246868624</v>
      </c>
      <c r="BE447" s="3">
        <v>48.576073246868624</v>
      </c>
      <c r="BF447" s="3">
        <v>45.836073246868629</v>
      </c>
      <c r="BG447" s="3">
        <v>41.362739913535286</v>
      </c>
      <c r="BH447" s="3">
        <v>38.002739913535287</v>
      </c>
      <c r="BI447" s="3">
        <v>38.916073246868613</v>
      </c>
      <c r="BJ447" s="3">
        <v>43.909406580201953</v>
      </c>
      <c r="BK447" s="3">
        <v>45.182739913535293</v>
      </c>
      <c r="BL447" s="3">
        <v>44.456073246868634</v>
      </c>
      <c r="BM447" s="3">
        <v>38.789406580201948</v>
      </c>
      <c r="BN447" s="3">
        <v>40.972739913535285</v>
      </c>
      <c r="BO447" s="3">
        <v>38.739406580201965</v>
      </c>
      <c r="BP447" s="3">
        <v>37.756073246868617</v>
      </c>
      <c r="BQ447" s="3">
        <v>35.772739913535283</v>
      </c>
      <c r="BR447" s="3">
        <v>33.099406580201951</v>
      </c>
      <c r="BS447" s="3">
        <v>31.802739913535284</v>
      </c>
      <c r="BT447" s="3">
        <v>29.899406580201962</v>
      </c>
      <c r="BU447" s="3">
        <v>26.766073246868622</v>
      </c>
      <c r="BV447" s="3">
        <v>25.382739913535296</v>
      </c>
      <c r="BW447" s="3">
        <v>24.716073246868625</v>
      </c>
      <c r="BX447" s="3">
        <v>23.736073246868635</v>
      </c>
      <c r="BY447" s="3">
        <v>25.256073246868617</v>
      </c>
      <c r="BZ447" s="3">
        <v>30.886073246868627</v>
      </c>
      <c r="CA447" s="3">
        <v>19.586073246868615</v>
      </c>
      <c r="CB447" s="3">
        <v>16.722739913535285</v>
      </c>
      <c r="CC447" s="3">
        <v>15.536073246868618</v>
      </c>
      <c r="CD447" s="3">
        <v>11.242739913535296</v>
      </c>
      <c r="CE447" s="3">
        <v>10.136073246868619</v>
      </c>
      <c r="CF447" s="3">
        <v>-0.95059341979804657</v>
      </c>
      <c r="CG447" s="3">
        <v>-1.483926753131378</v>
      </c>
      <c r="CH447" s="3">
        <v>-2.560593419798046</v>
      </c>
      <c r="CI447" s="13">
        <f>[1]!dbasum(RecData[[#This Row],[20]:[2000]],RecData[[#Headers],[20]:[2000]])</f>
        <v>40.21311442602277</v>
      </c>
      <c r="CJ447" s="14">
        <v>8181</v>
      </c>
      <c r="CK447" s="15" t="s">
        <v>249</v>
      </c>
      <c r="CL447" s="15">
        <f>RecData[[#This Row],[Start Time]]</f>
        <v>43270.00277777778</v>
      </c>
      <c r="CM447" s="16">
        <f>RecData[[#This Row],[Wind Speed avg]]</f>
        <v>0.72</v>
      </c>
      <c r="CN447" s="16">
        <f>RecData[[#This Row],[Wind Dir. avg]]</f>
        <v>141.6</v>
      </c>
      <c r="CO447" s="16">
        <f>RecData[[#This Row],[Amb. Humidity]]</f>
        <v>67.900000000000006</v>
      </c>
      <c r="CP447" s="16">
        <f>RecData[[#This Row],[Amb. Temperature]]</f>
        <v>16.3</v>
      </c>
      <c r="CQ447" s="17">
        <f>RecData[[#This Row],[Amb. Rain Gauge]]</f>
        <v>0</v>
      </c>
      <c r="CR447" s="4" t="s">
        <v>1</v>
      </c>
      <c r="CS447" s="4" t="s">
        <v>49</v>
      </c>
      <c r="CT447" s="70">
        <v>1462.91564941406</v>
      </c>
      <c r="CU447" s="70">
        <v>12.5980205535888</v>
      </c>
      <c r="CV447" s="70">
        <v>9.3845281600952095</v>
      </c>
      <c r="CW447" s="70">
        <v>15.1457462310791</v>
      </c>
      <c r="CX447" s="4"/>
      <c r="CY447" s="69"/>
      <c r="CZ447" s="2" t="b">
        <f>IF($DP$1="YES",IF(RecData[[#This Row],[Power (kW)]]&gt;=$CR$3, TRUE,FALSE),TRUE)</f>
        <v>1</v>
      </c>
      <c r="DA447" s="16">
        <f>MIN(MOD(180-ABS(ABS($DA$1-RecData[Yaw Angle (°)])-180),360),MOD(180-ABS(ABS($DB$1-RecData[Yaw Angle (°)])-180),360))</f>
        <v>5.0680937759012465</v>
      </c>
      <c r="DB447" s="2" t="str">
        <f>IF($DP$2="None","None",IF(RecData[[#This Row],[Relative Wind Direction]]&lt;=45,"DW",IF(RecData[[#This Row],[Relative Wind Direction]]&lt;=135,"CW","UW")))</f>
        <v>DW</v>
      </c>
      <c r="DC447" s="61" t="e">
        <f>IF($CL447-#REF!&gt;1/24,#REF!,IF(SUM($CQ444:$CQ447)&gt;$DS$1,$DS$5,DC448-1))</f>
        <v>#REF!</v>
      </c>
      <c r="DD447" s="61" t="e">
        <f>IF($CL448-$CL447&gt;1/24,#REF!,IF(SUM($CQ444:$CQ447)&gt;$DS$1,$DS$6,DD446-1))</f>
        <v>#REF!</v>
      </c>
      <c r="DE447" s="18" t="b">
        <v>0</v>
      </c>
      <c r="DF447" s="2" t="b">
        <f>IF(OR(RecData[[#This Row],[WSpd_Avg '[m/s']]]-RecData[[#This Row],[Wind Speed min]]&gt;=$DF$3,RecData[[#This Row],[Wind Speed max]]-RecData[[#This Row],[WSpd_Avg '[m/s']]]&gt;=$DF$2),TRUE,FALSE)</f>
        <v>0</v>
      </c>
      <c r="DG447" s="2" t="b">
        <f>RecData[[#This Row],[Temperature '[°C']]]&lt;=-20</f>
        <v>0</v>
      </c>
      <c r="DH447" s="18" t="b">
        <f>NOT(OR(MOD(RecData[[#This Row],[TIMESTAMP]],1)&gt;0.91632,MOD(RecData[[#This Row],[TIMESTAMP]],1)&lt;0.208681))</f>
        <v>0</v>
      </c>
      <c r="DI447" s="18" t="b">
        <f>RecData[[#This Row],[Overall (dBA)]]-RecData[[#This Row],[L90]]&gt;=$DS$4</f>
        <v>0</v>
      </c>
      <c r="DJ447" s="18" t="b">
        <f>RecData[[#This Row],[Overall (dBA)]]&gt;$DS$2</f>
        <v>0</v>
      </c>
      <c r="DK447" s="18" t="b">
        <f>RecData[[#This Row],[Overall (dBA)]]&lt;$DS$3</f>
        <v>0</v>
      </c>
      <c r="DL4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7" s="2">
        <f>IF(AND(RecData[[#This Row],[Turbines ON/OFF]] = "OFF", NOT(OR(RecData[[#This Row],[Junk?]]="YES",RecData[[#This Row],[Gust?]],RecData[[#This Row],[Rain?]:[Min SPL Threshold?]]))),1,0)</f>
        <v>0</v>
      </c>
      <c r="DN447" s="16">
        <f>RecData[[#This Row],[dBA Sum]]</f>
        <v>40.21311442602277</v>
      </c>
      <c r="DO447" s="16">
        <f>RecData[[#This Row],[LAF90.0]]</f>
        <v>39.6</v>
      </c>
      <c r="DP447" s="55">
        <f>IF(AND(RecData[[#This Row],[Useable TON Data?]],RecData[[#This Row],[Turbines ON/OFF]]="ON"),RecData[[#This Row],[dBA Sum]],"")</f>
        <v>40.21311442602277</v>
      </c>
      <c r="DQ447" s="55" t="str">
        <f>IF(AND(RecData[[#This Row],[Useable Background Data?]],RecData[[#This Row],[Turbines ON/OFF]]="OFF"),RecData[[#This Row],[dBA Sum]],"")</f>
        <v/>
      </c>
      <c r="DR447" s="3">
        <f>IF(OR(RecData[[#This Row],[Useable TON Data?]],RecData[[#This Row],[Useable Background Data?]]),ROUND(RecData[[#This Row],[WSpd_Avg '[m/s']]],0),"")</f>
        <v>1</v>
      </c>
      <c r="DS447" s="85">
        <f>(0.00002)^2*(10^(RecData[[#This Row],[Overall (dBA)]]/10))</f>
        <v>4.2011813988064264E-6</v>
      </c>
    </row>
    <row r="448" spans="1:123" ht="15" x14ac:dyDescent="0.25">
      <c r="A448" s="3" t="s">
        <v>249</v>
      </c>
      <c r="B448" s="12">
        <v>43270.003472222219</v>
      </c>
      <c r="C448" s="3"/>
      <c r="D448" s="3">
        <v>39.700000000000003</v>
      </c>
      <c r="E448" s="3"/>
      <c r="F448" s="3"/>
      <c r="G448" s="3"/>
      <c r="H448" s="3"/>
      <c r="I448" s="3"/>
      <c r="J448" s="3"/>
      <c r="K448" s="3">
        <v>38.5</v>
      </c>
      <c r="L448" s="3"/>
      <c r="M448" s="3"/>
      <c r="N448" s="3">
        <v>223.5</v>
      </c>
      <c r="O448" s="3"/>
      <c r="P448" s="3"/>
      <c r="Q448" s="3">
        <v>0.83</v>
      </c>
      <c r="R448" s="3">
        <v>0.2</v>
      </c>
      <c r="S448" s="3">
        <v>2.1</v>
      </c>
      <c r="T448" s="3">
        <v>16.399999999999999</v>
      </c>
      <c r="U448" s="3">
        <v>66.400000000000006</v>
      </c>
      <c r="V448" s="3">
        <v>972.6</v>
      </c>
      <c r="W448" s="3">
        <v>0</v>
      </c>
      <c r="X448" s="3">
        <v>48.1</v>
      </c>
      <c r="Y448" s="3">
        <v>48</v>
      </c>
      <c r="Z448" s="3">
        <v>46</v>
      </c>
      <c r="AA448" s="3">
        <v>41.3</v>
      </c>
      <c r="AB448" s="3">
        <v>38.4</v>
      </c>
      <c r="AC448" s="3">
        <v>36.700000000000003</v>
      </c>
      <c r="AD448" s="3">
        <v>40.5</v>
      </c>
      <c r="AE448" s="3">
        <v>42.9</v>
      </c>
      <c r="AF448" s="3">
        <v>42.6</v>
      </c>
      <c r="AG448" s="3">
        <v>36.5</v>
      </c>
      <c r="AH448" s="3">
        <v>38.700000000000003</v>
      </c>
      <c r="AI448" s="3">
        <v>37.1</v>
      </c>
      <c r="AJ448" s="3">
        <v>36.799999999999997</v>
      </c>
      <c r="AK448" s="3">
        <v>34.200000000000003</v>
      </c>
      <c r="AL448" s="3">
        <v>31.5</v>
      </c>
      <c r="AM448" s="3">
        <v>30.2</v>
      </c>
      <c r="AN448" s="3">
        <v>28.5</v>
      </c>
      <c r="AO448" s="3">
        <v>25.5</v>
      </c>
      <c r="AP448" s="3">
        <v>23.9</v>
      </c>
      <c r="AQ448" s="3">
        <v>22.5</v>
      </c>
      <c r="AR448" s="3">
        <v>20.7</v>
      </c>
      <c r="AS448" s="3">
        <v>25.4</v>
      </c>
      <c r="AT448" s="3">
        <v>31.2</v>
      </c>
      <c r="AU448" s="3">
        <v>14</v>
      </c>
      <c r="AV448" s="3">
        <v>11.8</v>
      </c>
      <c r="AW448" s="3">
        <v>11.2</v>
      </c>
      <c r="AX448" s="3">
        <v>9.8000000000000007</v>
      </c>
      <c r="AY448" s="3">
        <v>9.6999999999999993</v>
      </c>
      <c r="AZ448" s="3">
        <v>0</v>
      </c>
      <c r="BA448" s="3">
        <v>0</v>
      </c>
      <c r="BB448" s="3">
        <v>0</v>
      </c>
      <c r="BC448" s="3">
        <v>39.737617555819654</v>
      </c>
      <c r="BD448" s="3">
        <v>48.062382444180358</v>
      </c>
      <c r="BE448" s="3">
        <v>47.962382444180349</v>
      </c>
      <c r="BF448" s="3">
        <v>44.722382444180354</v>
      </c>
      <c r="BG448" s="3">
        <v>40.34904911084702</v>
      </c>
      <c r="BH448" s="3">
        <v>37.589049110847014</v>
      </c>
      <c r="BI448" s="3">
        <v>36.302382444180353</v>
      </c>
      <c r="BJ448" s="3">
        <v>40.895715777513672</v>
      </c>
      <c r="BK448" s="3">
        <v>43.169049110847013</v>
      </c>
      <c r="BL448" s="3">
        <v>42.442382444180353</v>
      </c>
      <c r="BM448" s="3">
        <v>36.475715777513685</v>
      </c>
      <c r="BN448" s="3">
        <v>38.959049110847019</v>
      </c>
      <c r="BO448" s="3">
        <v>36.725715777513685</v>
      </c>
      <c r="BP448" s="3">
        <v>36.142382444180342</v>
      </c>
      <c r="BQ448" s="3">
        <v>33.959049110847005</v>
      </c>
      <c r="BR448" s="3">
        <v>31.585715777513684</v>
      </c>
      <c r="BS448" s="3">
        <v>30.089049110847014</v>
      </c>
      <c r="BT448" s="3">
        <v>28.585715777513684</v>
      </c>
      <c r="BU448" s="3">
        <v>25.552382444180353</v>
      </c>
      <c r="BV448" s="3">
        <v>23.669049110847013</v>
      </c>
      <c r="BW448" s="3">
        <v>22.802382444180353</v>
      </c>
      <c r="BX448" s="3">
        <v>20.922382444180357</v>
      </c>
      <c r="BY448" s="3">
        <v>25.442382444180353</v>
      </c>
      <c r="BZ448" s="3">
        <v>31.37238244418036</v>
      </c>
      <c r="CA448" s="3">
        <v>14.272382444180344</v>
      </c>
      <c r="CB448" s="3">
        <v>11.509049110847016</v>
      </c>
      <c r="CC448" s="3">
        <v>11.122382444180346</v>
      </c>
      <c r="CD448" s="3">
        <v>9.0290491108470192</v>
      </c>
      <c r="CE448" s="3">
        <v>9.1223824441803458</v>
      </c>
      <c r="CF448" s="3">
        <v>-0.96428422248632017</v>
      </c>
      <c r="CG448" s="3">
        <v>-1.4976175558196516</v>
      </c>
      <c r="CH448" s="3">
        <v>-2.5742842224863196</v>
      </c>
      <c r="CI448" s="13">
        <f>[1]!dbasum(RecData[[#This Row],[20]:[2000]],RecData[[#Headers],[20]:[2000]])</f>
        <v>38.418940317839471</v>
      </c>
      <c r="CJ448" s="14">
        <v>8182</v>
      </c>
      <c r="CK448" s="15" t="s">
        <v>249</v>
      </c>
      <c r="CL448" s="15">
        <f>RecData[[#This Row],[Start Time]]</f>
        <v>43270.003472222219</v>
      </c>
      <c r="CM448" s="16">
        <f>RecData[[#This Row],[Wind Speed avg]]</f>
        <v>0.83</v>
      </c>
      <c r="CN448" s="16">
        <f>RecData[[#This Row],[Wind Dir. avg]]</f>
        <v>223.5</v>
      </c>
      <c r="CO448" s="16">
        <f>RecData[[#This Row],[Amb. Humidity]]</f>
        <v>66.400000000000006</v>
      </c>
      <c r="CP448" s="16">
        <f>RecData[[#This Row],[Amb. Temperature]]</f>
        <v>16.399999999999999</v>
      </c>
      <c r="CQ448" s="17">
        <f>RecData[[#This Row],[Amb. Rain Gauge]]</f>
        <v>0</v>
      </c>
      <c r="CR448" s="4" t="s">
        <v>1</v>
      </c>
      <c r="CS448" s="4" t="s">
        <v>49</v>
      </c>
      <c r="CT448" s="70">
        <v>1462.91564941406</v>
      </c>
      <c r="CU448" s="70">
        <v>12.5980205535888</v>
      </c>
      <c r="CV448" s="70">
        <v>9.3845281600952095</v>
      </c>
      <c r="CW448" s="70">
        <v>15.1457462310791</v>
      </c>
      <c r="CX448" s="4"/>
      <c r="CY448" s="69"/>
      <c r="CZ448" s="2" t="b">
        <f>IF($DP$1="YES",IF(RecData[[#This Row],[Power (kW)]]&gt;=$CR$3, TRUE,FALSE),TRUE)</f>
        <v>1</v>
      </c>
      <c r="DA448" s="16">
        <f>MIN(MOD(180-ABS(ABS($DA$1-RecData[Yaw Angle (°)])-180),360),MOD(180-ABS(ABS($DB$1-RecData[Yaw Angle (°)])-180),360))</f>
        <v>5.0680937759012465</v>
      </c>
      <c r="DB448" s="2" t="str">
        <f>IF($DP$2="None","None",IF(RecData[[#This Row],[Relative Wind Direction]]&lt;=45,"DW",IF(RecData[[#This Row],[Relative Wind Direction]]&lt;=135,"CW","UW")))</f>
        <v>DW</v>
      </c>
      <c r="DC448" s="61">
        <v>-1</v>
      </c>
      <c r="DD448" s="61">
        <v>-1</v>
      </c>
      <c r="DE448" s="18" t="b">
        <v>0</v>
      </c>
      <c r="DF448" s="2" t="b">
        <f>IF(OR(RecData[[#This Row],[WSpd_Avg '[m/s']]]-RecData[[#This Row],[Wind Speed min]]&gt;=$DF$3,RecData[[#This Row],[Wind Speed max]]-RecData[[#This Row],[WSpd_Avg '[m/s']]]&gt;=$DF$2),TRUE,FALSE)</f>
        <v>0</v>
      </c>
      <c r="DG448" s="2" t="b">
        <f>RecData[[#This Row],[Temperature '[°C']]]&lt;=-20</f>
        <v>0</v>
      </c>
      <c r="DH448" s="18" t="b">
        <f>NOT(OR(MOD(RecData[[#This Row],[TIMESTAMP]],1)&gt;0.91632,MOD(RecData[[#This Row],[TIMESTAMP]],1)&lt;0.208681))</f>
        <v>0</v>
      </c>
      <c r="DI448" s="18" t="b">
        <f>RecData[[#This Row],[Overall (dBA)]]-RecData[[#This Row],[L90]]&gt;=$DS$4</f>
        <v>0</v>
      </c>
      <c r="DJ448" s="18" t="b">
        <f>RecData[[#This Row],[Overall (dBA)]]&gt;$DS$2</f>
        <v>0</v>
      </c>
      <c r="DK448" s="18" t="b">
        <f>RecData[[#This Row],[Overall (dBA)]]&lt;$DS$3</f>
        <v>0</v>
      </c>
      <c r="DL4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8" s="2">
        <f>IF(AND(RecData[[#This Row],[Turbines ON/OFF]] = "OFF", NOT(OR(RecData[[#This Row],[Junk?]]="YES",RecData[[#This Row],[Gust?]],RecData[[#This Row],[Rain?]:[Min SPL Threshold?]]))),1,0)</f>
        <v>0</v>
      </c>
      <c r="DN448" s="16">
        <f>RecData[[#This Row],[dBA Sum]]</f>
        <v>38.418940317839471</v>
      </c>
      <c r="DO448" s="16">
        <f>RecData[[#This Row],[LAF90.0]]</f>
        <v>38.5</v>
      </c>
      <c r="DP448" s="55">
        <f>IF(AND(RecData[[#This Row],[Useable TON Data?]],RecData[[#This Row],[Turbines ON/OFF]]="ON"),RecData[[#This Row],[dBA Sum]],"")</f>
        <v>38.418940317839471</v>
      </c>
      <c r="DQ448" s="55" t="str">
        <f>IF(AND(RecData[[#This Row],[Useable Background Data?]],RecData[[#This Row],[Turbines ON/OFF]]="OFF"),RecData[[#This Row],[dBA Sum]],"")</f>
        <v/>
      </c>
      <c r="DR448" s="3">
        <f>IF(OR(RecData[[#This Row],[Useable TON Data?]],RecData[[#This Row],[Useable Background Data?]]),ROUND(RecData[[#This Row],[WSpd_Avg '[m/s']]],0),"")</f>
        <v>1</v>
      </c>
      <c r="DS448" s="85">
        <f>(0.00002)^2*(10^(RecData[[#This Row],[Overall (dBA)]]/10))</f>
        <v>2.7794190070526834E-6</v>
      </c>
    </row>
    <row r="449" spans="1:123" ht="15" x14ac:dyDescent="0.25">
      <c r="A449" s="3" t="s">
        <v>249</v>
      </c>
      <c r="B449" s="12">
        <v>43270.004166666666</v>
      </c>
      <c r="C449" s="3"/>
      <c r="D449" s="3">
        <v>39.5</v>
      </c>
      <c r="E449" s="3"/>
      <c r="F449" s="3"/>
      <c r="G449" s="3"/>
      <c r="H449" s="3"/>
      <c r="I449" s="3"/>
      <c r="J449" s="3"/>
      <c r="K449" s="3">
        <v>37.799999999999997</v>
      </c>
      <c r="L449" s="3"/>
      <c r="M449" s="3"/>
      <c r="N449" s="3">
        <v>204.6</v>
      </c>
      <c r="O449" s="3"/>
      <c r="P449" s="3"/>
      <c r="Q449" s="3">
        <v>0.31</v>
      </c>
      <c r="R449" s="3">
        <v>0.1</v>
      </c>
      <c r="S449" s="3">
        <v>0.7</v>
      </c>
      <c r="T449" s="3">
        <v>16.5</v>
      </c>
      <c r="U449" s="3">
        <v>68.2</v>
      </c>
      <c r="V449" s="3">
        <v>972.6</v>
      </c>
      <c r="W449" s="3">
        <v>0</v>
      </c>
      <c r="X449" s="3">
        <v>48</v>
      </c>
      <c r="Y449" s="3">
        <v>48.2</v>
      </c>
      <c r="Z449" s="3">
        <v>46.6</v>
      </c>
      <c r="AA449" s="3">
        <v>41.3</v>
      </c>
      <c r="AB449" s="3">
        <v>38.4</v>
      </c>
      <c r="AC449" s="3">
        <v>36.4</v>
      </c>
      <c r="AD449" s="3">
        <v>41</v>
      </c>
      <c r="AE449" s="3">
        <v>43</v>
      </c>
      <c r="AF449" s="3">
        <v>42.6</v>
      </c>
      <c r="AG449" s="3">
        <v>36.5</v>
      </c>
      <c r="AH449" s="3">
        <v>38.200000000000003</v>
      </c>
      <c r="AI449" s="3">
        <v>36.9</v>
      </c>
      <c r="AJ449" s="3">
        <v>36.6</v>
      </c>
      <c r="AK449" s="3">
        <v>34.299999999999997</v>
      </c>
      <c r="AL449" s="3">
        <v>31.8</v>
      </c>
      <c r="AM449" s="3">
        <v>30.9</v>
      </c>
      <c r="AN449" s="3">
        <v>29.4</v>
      </c>
      <c r="AO449" s="3">
        <v>26</v>
      </c>
      <c r="AP449" s="3">
        <v>24</v>
      </c>
      <c r="AQ449" s="3">
        <v>22</v>
      </c>
      <c r="AR449" s="3">
        <v>19.100000000000001</v>
      </c>
      <c r="AS449" s="3">
        <v>22.8</v>
      </c>
      <c r="AT449" s="3">
        <v>29.8</v>
      </c>
      <c r="AU449" s="3">
        <v>10.5</v>
      </c>
      <c r="AV449" s="3">
        <v>9.3000000000000007</v>
      </c>
      <c r="AW449" s="3">
        <v>9.4</v>
      </c>
      <c r="AX449" s="3">
        <v>9.3000000000000007</v>
      </c>
      <c r="AY449" s="3">
        <v>9.5</v>
      </c>
      <c r="AZ449" s="3">
        <v>0</v>
      </c>
      <c r="BA449" s="3">
        <v>0</v>
      </c>
      <c r="BB449" s="3">
        <v>0</v>
      </c>
      <c r="BC449" s="3">
        <v>39.476537688106127</v>
      </c>
      <c r="BD449" s="3">
        <v>48.023462311893873</v>
      </c>
      <c r="BE449" s="3">
        <v>48.223462311893876</v>
      </c>
      <c r="BF449" s="3">
        <v>45.383462311893872</v>
      </c>
      <c r="BG449" s="3">
        <v>40.410128978560529</v>
      </c>
      <c r="BH449" s="3">
        <v>37.650128978560538</v>
      </c>
      <c r="BI449" s="3">
        <v>36.063462311893865</v>
      </c>
      <c r="BJ449" s="3">
        <v>41.45679564522721</v>
      </c>
      <c r="BK449" s="3">
        <v>43.330128978560545</v>
      </c>
      <c r="BL449" s="3">
        <v>42.503462311893877</v>
      </c>
      <c r="BM449" s="3">
        <v>36.536795645227208</v>
      </c>
      <c r="BN449" s="3">
        <v>38.520128978560543</v>
      </c>
      <c r="BO449" s="3">
        <v>36.586795645227205</v>
      </c>
      <c r="BP449" s="3">
        <v>36.003462311893877</v>
      </c>
      <c r="BQ449" s="3">
        <v>34.120128978560537</v>
      </c>
      <c r="BR449" s="3">
        <v>31.946795645227205</v>
      </c>
      <c r="BS449" s="3">
        <v>30.850128978560541</v>
      </c>
      <c r="BT449" s="3">
        <v>29.546795645227213</v>
      </c>
      <c r="BU449" s="3">
        <v>26.113462311893876</v>
      </c>
      <c r="BV449" s="3">
        <v>23.830128978560545</v>
      </c>
      <c r="BW449" s="3">
        <v>22.363462311893876</v>
      </c>
      <c r="BX449" s="3">
        <v>19.383462311893879</v>
      </c>
      <c r="BY449" s="3">
        <v>22.903462311893868</v>
      </c>
      <c r="BZ449" s="3">
        <v>30.033462311893878</v>
      </c>
      <c r="CA449" s="3">
        <v>10.833462311893868</v>
      </c>
      <c r="CB449" s="3">
        <v>9.0701289785605397</v>
      </c>
      <c r="CC449" s="3">
        <v>9.3834623118938723</v>
      </c>
      <c r="CD449" s="3">
        <v>8.5901289785605428</v>
      </c>
      <c r="CE449" s="3">
        <v>8.9834623118938737</v>
      </c>
      <c r="CF449" s="3">
        <v>-0.90320435477279659</v>
      </c>
      <c r="CG449" s="3">
        <v>-1.436537688106128</v>
      </c>
      <c r="CH449" s="3">
        <v>-2.513204354772796</v>
      </c>
      <c r="CI449" s="13">
        <f>[1]!dbasum(RecData[[#This Row],[20]:[2000]],RecData[[#Headers],[20]:[2000]])</f>
        <v>38.58516611335331</v>
      </c>
      <c r="CJ449" s="14">
        <v>8183</v>
      </c>
      <c r="CK449" s="15" t="s">
        <v>249</v>
      </c>
      <c r="CL449" s="15">
        <f>RecData[[#This Row],[Start Time]]</f>
        <v>43270.004166666666</v>
      </c>
      <c r="CM449" s="16">
        <f>RecData[[#This Row],[Wind Speed avg]]</f>
        <v>0.31</v>
      </c>
      <c r="CN449" s="16">
        <f>RecData[[#This Row],[Wind Dir. avg]]</f>
        <v>204.6</v>
      </c>
      <c r="CO449" s="16">
        <f>RecData[[#This Row],[Amb. Humidity]]</f>
        <v>68.2</v>
      </c>
      <c r="CP449" s="16">
        <f>RecData[[#This Row],[Amb. Temperature]]</f>
        <v>16.5</v>
      </c>
      <c r="CQ449" s="17">
        <f>RecData[[#This Row],[Amb. Rain Gauge]]</f>
        <v>0</v>
      </c>
      <c r="CR449" s="4" t="s">
        <v>1</v>
      </c>
      <c r="CS449" s="4" t="s">
        <v>49</v>
      </c>
      <c r="CT449" s="70">
        <v>1462.91564941406</v>
      </c>
      <c r="CU449" s="70">
        <v>12.5980205535888</v>
      </c>
      <c r="CV449" s="70">
        <v>9.3845281600952095</v>
      </c>
      <c r="CW449" s="70">
        <v>15.1457462310791</v>
      </c>
      <c r="CX449" s="4"/>
      <c r="CY449" s="69"/>
      <c r="CZ449" s="2" t="b">
        <f>IF($DP$1="YES",IF(RecData[[#This Row],[Power (kW)]]&gt;=$CR$3, TRUE,FALSE),TRUE)</f>
        <v>1</v>
      </c>
      <c r="DA449" s="16">
        <f>MIN(MOD(180-ABS(ABS($DA$1-RecData[Yaw Angle (°)])-180),360),MOD(180-ABS(ABS($DB$1-RecData[Yaw Angle (°)])-180),360))</f>
        <v>5.0680937759012465</v>
      </c>
      <c r="DB449" s="2" t="str">
        <f>IF($DP$2="None","None",IF(RecData[[#This Row],[Relative Wind Direction]]&lt;=45,"DW",IF(RecData[[#This Row],[Relative Wind Direction]]&lt;=135,"CW","UW")))</f>
        <v>DW</v>
      </c>
      <c r="DC449" s="61">
        <f>IF($CL449-$CL448&gt;1/24,#REF!,IF(SUM($CQ448:$CQ449)&gt;$DS$1,$DS$5,DC450-1))</f>
        <v>-9</v>
      </c>
      <c r="DD449" s="61">
        <f>IF($CL450-$CL449&gt;1/24,#REF!,IF(SUM($CQ448:$CQ449)&gt;$DS$1,$DS$6,DD448-1))</f>
        <v>-2</v>
      </c>
      <c r="DE449" s="18" t="b">
        <v>0</v>
      </c>
      <c r="DF449" s="2" t="b">
        <f>IF(OR(RecData[[#This Row],[WSpd_Avg '[m/s']]]-RecData[[#This Row],[Wind Speed min]]&gt;=$DF$3,RecData[[#This Row],[Wind Speed max]]-RecData[[#This Row],[WSpd_Avg '[m/s']]]&gt;=$DF$2),TRUE,FALSE)</f>
        <v>0</v>
      </c>
      <c r="DG449" s="2" t="b">
        <f>RecData[[#This Row],[Temperature '[°C']]]&lt;=-20</f>
        <v>0</v>
      </c>
      <c r="DH449" s="18" t="b">
        <f>NOT(OR(MOD(RecData[[#This Row],[TIMESTAMP]],1)&gt;0.91632,MOD(RecData[[#This Row],[TIMESTAMP]],1)&lt;0.208681))</f>
        <v>0</v>
      </c>
      <c r="DI449" s="18" t="b">
        <f>RecData[[#This Row],[Overall (dBA)]]-RecData[[#This Row],[L90]]&gt;=$DS$4</f>
        <v>0</v>
      </c>
      <c r="DJ449" s="18" t="b">
        <f>RecData[[#This Row],[Overall (dBA)]]&gt;$DS$2</f>
        <v>0</v>
      </c>
      <c r="DK449" s="18" t="b">
        <f>RecData[[#This Row],[Overall (dBA)]]&lt;$DS$3</f>
        <v>0</v>
      </c>
      <c r="DL4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49" s="2">
        <f>IF(AND(RecData[[#This Row],[Turbines ON/OFF]] = "OFF", NOT(OR(RecData[[#This Row],[Junk?]]="YES",RecData[[#This Row],[Gust?]],RecData[[#This Row],[Rain?]:[Min SPL Threshold?]]))),1,0)</f>
        <v>0</v>
      </c>
      <c r="DN449" s="16">
        <f>RecData[[#This Row],[dBA Sum]]</f>
        <v>38.58516611335331</v>
      </c>
      <c r="DO449" s="16">
        <f>RecData[[#This Row],[LAF90.0]]</f>
        <v>37.799999999999997</v>
      </c>
      <c r="DP449" s="55">
        <f>IF(AND(RecData[[#This Row],[Useable TON Data?]],RecData[[#This Row],[Turbines ON/OFF]]="ON"),RecData[[#This Row],[dBA Sum]],"")</f>
        <v>38.58516611335331</v>
      </c>
      <c r="DQ449" s="55" t="str">
        <f>IF(AND(RecData[[#This Row],[Useable Background Data?]],RecData[[#This Row],[Turbines ON/OFF]]="OFF"),RecData[[#This Row],[dBA Sum]],"")</f>
        <v/>
      </c>
      <c r="DR449" s="3">
        <f>IF(OR(RecData[[#This Row],[Useable TON Data?]],RecData[[#This Row],[Useable Background Data?]]),ROUND(RecData[[#This Row],[WSpd_Avg '[m/s']]],0),"")</f>
        <v>0</v>
      </c>
      <c r="DS449" s="85">
        <f>(0.00002)^2*(10^(RecData[[#This Row],[Overall (dBA)]]/10))</f>
        <v>2.887863107550067E-6</v>
      </c>
    </row>
    <row r="450" spans="1:123" ht="15" x14ac:dyDescent="0.25">
      <c r="A450" s="3" t="s">
        <v>249</v>
      </c>
      <c r="B450" s="12">
        <v>43270.004861111112</v>
      </c>
      <c r="C450" s="3"/>
      <c r="D450" s="3">
        <v>39.799999999999997</v>
      </c>
      <c r="E450" s="3"/>
      <c r="F450" s="3"/>
      <c r="G450" s="3"/>
      <c r="H450" s="3"/>
      <c r="I450" s="3"/>
      <c r="J450" s="3"/>
      <c r="K450" s="3">
        <v>37.799999999999997</v>
      </c>
      <c r="L450" s="3"/>
      <c r="M450" s="3"/>
      <c r="N450" s="3">
        <v>146.1</v>
      </c>
      <c r="O450" s="3"/>
      <c r="P450" s="3"/>
      <c r="Q450" s="3">
        <v>0.34</v>
      </c>
      <c r="R450" s="3">
        <v>0.2</v>
      </c>
      <c r="S450" s="3">
        <v>0.6</v>
      </c>
      <c r="T450" s="3">
        <v>16.600000000000001</v>
      </c>
      <c r="U450" s="3">
        <v>69.400000000000006</v>
      </c>
      <c r="V450" s="3">
        <v>972.6</v>
      </c>
      <c r="W450" s="3">
        <v>0</v>
      </c>
      <c r="X450" s="3">
        <v>47.5</v>
      </c>
      <c r="Y450" s="3">
        <v>47.8</v>
      </c>
      <c r="Z450" s="3">
        <v>46.3</v>
      </c>
      <c r="AA450" s="3">
        <v>40.6</v>
      </c>
      <c r="AB450" s="3">
        <v>38</v>
      </c>
      <c r="AC450" s="3">
        <v>36.799999999999997</v>
      </c>
      <c r="AD450" s="3">
        <v>40.299999999999997</v>
      </c>
      <c r="AE450" s="3">
        <v>42.3</v>
      </c>
      <c r="AF450" s="3">
        <v>43.8</v>
      </c>
      <c r="AG450" s="3">
        <v>37.200000000000003</v>
      </c>
      <c r="AH450" s="3">
        <v>38.6</v>
      </c>
      <c r="AI450" s="3">
        <v>37.6</v>
      </c>
      <c r="AJ450" s="3">
        <v>36.6</v>
      </c>
      <c r="AK450" s="3">
        <v>34.200000000000003</v>
      </c>
      <c r="AL450" s="3">
        <v>31.8</v>
      </c>
      <c r="AM450" s="3">
        <v>31</v>
      </c>
      <c r="AN450" s="3">
        <v>29</v>
      </c>
      <c r="AO450" s="3">
        <v>25.9</v>
      </c>
      <c r="AP450" s="3">
        <v>24.4</v>
      </c>
      <c r="AQ450" s="3">
        <v>22.6</v>
      </c>
      <c r="AR450" s="3">
        <v>20.6</v>
      </c>
      <c r="AS450" s="3">
        <v>24.2</v>
      </c>
      <c r="AT450" s="3">
        <v>30.6</v>
      </c>
      <c r="AU450" s="3">
        <v>13.3</v>
      </c>
      <c r="AV450" s="3">
        <v>11.7</v>
      </c>
      <c r="AW450" s="3">
        <v>11</v>
      </c>
      <c r="AX450" s="3">
        <v>9.6</v>
      </c>
      <c r="AY450" s="3">
        <v>9.5</v>
      </c>
      <c r="AZ450" s="3">
        <v>0</v>
      </c>
      <c r="BA450" s="3">
        <v>0</v>
      </c>
      <c r="BB450" s="3">
        <v>0</v>
      </c>
      <c r="BC450" s="3">
        <v>39.806140323873464</v>
      </c>
      <c r="BD450" s="3">
        <v>47.493859676126533</v>
      </c>
      <c r="BE450" s="3">
        <v>47.79385967612653</v>
      </c>
      <c r="BF450" s="3">
        <v>45.053859676126521</v>
      </c>
      <c r="BG450" s="3">
        <v>39.6805263427932</v>
      </c>
      <c r="BH450" s="3">
        <v>37.220526342793207</v>
      </c>
      <c r="BI450" s="3">
        <v>36.433859676126531</v>
      </c>
      <c r="BJ450" s="3">
        <v>40.727193009459867</v>
      </c>
      <c r="BK450" s="3">
        <v>42.600526342793202</v>
      </c>
      <c r="BL450" s="3">
        <v>43.673859676126526</v>
      </c>
      <c r="BM450" s="3">
        <v>37.207193009459871</v>
      </c>
      <c r="BN450" s="3">
        <v>38.890526342793194</v>
      </c>
      <c r="BO450" s="3">
        <v>37.257193009459868</v>
      </c>
      <c r="BP450" s="3">
        <v>35.973859676126537</v>
      </c>
      <c r="BQ450" s="3">
        <v>33.990526342793189</v>
      </c>
      <c r="BR450" s="3">
        <v>31.917193009459865</v>
      </c>
      <c r="BS450" s="3">
        <v>30.920526342793195</v>
      </c>
      <c r="BT450" s="3">
        <v>29.117193009459868</v>
      </c>
      <c r="BU450" s="3">
        <v>25.983859676126528</v>
      </c>
      <c r="BV450" s="3">
        <v>24.200526342793196</v>
      </c>
      <c r="BW450" s="3">
        <v>22.933859676126538</v>
      </c>
      <c r="BX450" s="3">
        <v>20.85385967612654</v>
      </c>
      <c r="BY450" s="3">
        <v>24.273859676126534</v>
      </c>
      <c r="BZ450" s="3">
        <v>30.803859676126535</v>
      </c>
      <c r="CA450" s="3">
        <v>13.603859676126525</v>
      </c>
      <c r="CB450" s="3">
        <v>11.440526342793198</v>
      </c>
      <c r="CC450" s="3">
        <v>10.953859676126534</v>
      </c>
      <c r="CD450" s="3">
        <v>8.8605263427932073</v>
      </c>
      <c r="CE450" s="3">
        <v>8.9538596761265339</v>
      </c>
      <c r="CF450" s="3">
        <v>-0.93280699054013638</v>
      </c>
      <c r="CG450" s="3">
        <v>-1.4661403238734678</v>
      </c>
      <c r="CH450" s="3">
        <v>-2.5428069905401358</v>
      </c>
      <c r="CI450" s="13">
        <f>[1]!dbasum(RecData[[#This Row],[20]:[2000]],RecData[[#Headers],[20]:[2000]])</f>
        <v>38.74127423411435</v>
      </c>
      <c r="CJ450" s="14">
        <v>8184</v>
      </c>
      <c r="CK450" s="15" t="s">
        <v>249</v>
      </c>
      <c r="CL450" s="15">
        <f>RecData[[#This Row],[Start Time]]</f>
        <v>43270.004861111112</v>
      </c>
      <c r="CM450" s="16">
        <f>RecData[[#This Row],[Wind Speed avg]]</f>
        <v>0.34</v>
      </c>
      <c r="CN450" s="16">
        <f>RecData[[#This Row],[Wind Dir. avg]]</f>
        <v>146.1</v>
      </c>
      <c r="CO450" s="16">
        <f>RecData[[#This Row],[Amb. Humidity]]</f>
        <v>69.400000000000006</v>
      </c>
      <c r="CP450" s="16">
        <f>RecData[[#This Row],[Amb. Temperature]]</f>
        <v>16.600000000000001</v>
      </c>
      <c r="CQ450" s="17">
        <f>RecData[[#This Row],[Amb. Rain Gauge]]</f>
        <v>0</v>
      </c>
      <c r="CR450" s="4" t="s">
        <v>1</v>
      </c>
      <c r="CS450" s="4" t="s">
        <v>49</v>
      </c>
      <c r="CT450" s="70">
        <v>1462.91564941406</v>
      </c>
      <c r="CU450" s="70">
        <v>12.5980205535888</v>
      </c>
      <c r="CV450" s="70">
        <v>9.3845281600952095</v>
      </c>
      <c r="CW450" s="70">
        <v>15.1457462310791</v>
      </c>
      <c r="CX450" s="4"/>
      <c r="CY450" s="69"/>
      <c r="CZ450" s="2" t="b">
        <f>IF($DP$1="YES",IF(RecData[[#This Row],[Power (kW)]]&gt;=$CR$3, TRUE,FALSE),TRUE)</f>
        <v>1</v>
      </c>
      <c r="DA450" s="16">
        <f>MIN(MOD(180-ABS(ABS($DA$1-RecData[Yaw Angle (°)])-180),360),MOD(180-ABS(ABS($DB$1-RecData[Yaw Angle (°)])-180),360))</f>
        <v>5.0680937759012465</v>
      </c>
      <c r="DB450" s="2" t="str">
        <f>IF($DP$2="None","None",IF(RecData[[#This Row],[Relative Wind Direction]]&lt;=45,"DW",IF(RecData[[#This Row],[Relative Wind Direction]]&lt;=135,"CW","UW")))</f>
        <v>DW</v>
      </c>
      <c r="DC450" s="61">
        <f>IF($CL450-$CL448&gt;1/24,#REF!,IF(SUM($CQ448:$CQ450)&gt;$DS$1,$DS$5,DC451-1))</f>
        <v>-8</v>
      </c>
      <c r="DD450" s="61">
        <f>IF($CL451-$CL450&gt;1/24,#REF!,IF(SUM($CQ448:$CQ450)&gt;$DS$1,$DS$6,DD449-1))</f>
        <v>-3</v>
      </c>
      <c r="DE450" s="18" t="b">
        <v>0</v>
      </c>
      <c r="DF450" s="2" t="b">
        <f>IF(OR(RecData[[#This Row],[WSpd_Avg '[m/s']]]-RecData[[#This Row],[Wind Speed min]]&gt;=$DF$3,RecData[[#This Row],[Wind Speed max]]-RecData[[#This Row],[WSpd_Avg '[m/s']]]&gt;=$DF$2),TRUE,FALSE)</f>
        <v>0</v>
      </c>
      <c r="DG450" s="2" t="b">
        <f>RecData[[#This Row],[Temperature '[°C']]]&lt;=-20</f>
        <v>0</v>
      </c>
      <c r="DH450" s="18" t="b">
        <f>NOT(OR(MOD(RecData[[#This Row],[TIMESTAMP]],1)&gt;0.91632,MOD(RecData[[#This Row],[TIMESTAMP]],1)&lt;0.208681))</f>
        <v>0</v>
      </c>
      <c r="DI450" s="18" t="b">
        <f>RecData[[#This Row],[Overall (dBA)]]-RecData[[#This Row],[L90]]&gt;=$DS$4</f>
        <v>0</v>
      </c>
      <c r="DJ450" s="18" t="b">
        <f>RecData[[#This Row],[Overall (dBA)]]&gt;$DS$2</f>
        <v>0</v>
      </c>
      <c r="DK450" s="18" t="b">
        <f>RecData[[#This Row],[Overall (dBA)]]&lt;$DS$3</f>
        <v>0</v>
      </c>
      <c r="DL4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0" s="2">
        <f>IF(AND(RecData[[#This Row],[Turbines ON/OFF]] = "OFF", NOT(OR(RecData[[#This Row],[Junk?]]="YES",RecData[[#This Row],[Gust?]],RecData[[#This Row],[Rain?]:[Min SPL Threshold?]]))),1,0)</f>
        <v>0</v>
      </c>
      <c r="DN450" s="16">
        <f>RecData[[#This Row],[dBA Sum]]</f>
        <v>38.74127423411435</v>
      </c>
      <c r="DO450" s="16">
        <f>RecData[[#This Row],[LAF90.0]]</f>
        <v>37.799999999999997</v>
      </c>
      <c r="DP450" s="55">
        <f>IF(AND(RecData[[#This Row],[Useable TON Data?]],RecData[[#This Row],[Turbines ON/OFF]]="ON"),RecData[[#This Row],[dBA Sum]],"")</f>
        <v>38.74127423411435</v>
      </c>
      <c r="DQ450" s="55" t="str">
        <f>IF(AND(RecData[[#This Row],[Useable Background Data?]],RecData[[#This Row],[Turbines ON/OFF]]="OFF"),RecData[[#This Row],[dBA Sum]],"")</f>
        <v/>
      </c>
      <c r="DR450" s="3">
        <f>IF(OR(RecData[[#This Row],[Useable TON Data?]],RecData[[#This Row],[Useable Background Data?]]),ROUND(RecData[[#This Row],[WSpd_Avg '[m/s']]],0),"")</f>
        <v>0</v>
      </c>
      <c r="DS450" s="85">
        <f>(0.00002)^2*(10^(RecData[[#This Row],[Overall (dBA)]]/10))</f>
        <v>2.9935561923152834E-6</v>
      </c>
    </row>
    <row r="451" spans="1:123" ht="15" x14ac:dyDescent="0.25">
      <c r="A451" s="3" t="s">
        <v>249</v>
      </c>
      <c r="B451" s="12">
        <v>43270.005555555559</v>
      </c>
      <c r="C451" s="3"/>
      <c r="D451" s="3">
        <v>40.1</v>
      </c>
      <c r="E451" s="3"/>
      <c r="F451" s="3"/>
      <c r="G451" s="3"/>
      <c r="H451" s="3"/>
      <c r="I451" s="3"/>
      <c r="J451" s="3"/>
      <c r="K451" s="3">
        <v>38.799999999999997</v>
      </c>
      <c r="L451" s="3"/>
      <c r="M451" s="3"/>
      <c r="N451" s="3">
        <v>217.8</v>
      </c>
      <c r="O451" s="3"/>
      <c r="P451" s="3"/>
      <c r="Q451" s="3">
        <v>0.78</v>
      </c>
      <c r="R451" s="3">
        <v>0.3</v>
      </c>
      <c r="S451" s="3">
        <v>1.2</v>
      </c>
      <c r="T451" s="3">
        <v>16.600000000000001</v>
      </c>
      <c r="U451" s="3">
        <v>65.5</v>
      </c>
      <c r="V451" s="3">
        <v>972.6</v>
      </c>
      <c r="W451" s="3">
        <v>0</v>
      </c>
      <c r="X451" s="3">
        <v>47.5</v>
      </c>
      <c r="Y451" s="3">
        <v>48</v>
      </c>
      <c r="Z451" s="3">
        <v>46.2</v>
      </c>
      <c r="AA451" s="3">
        <v>42.2</v>
      </c>
      <c r="AB451" s="3">
        <v>37.9</v>
      </c>
      <c r="AC451" s="3">
        <v>38</v>
      </c>
      <c r="AD451" s="3">
        <v>41.6</v>
      </c>
      <c r="AE451" s="3">
        <v>43.4</v>
      </c>
      <c r="AF451" s="3">
        <v>44.3</v>
      </c>
      <c r="AG451" s="3">
        <v>37.5</v>
      </c>
      <c r="AH451" s="3">
        <v>39.9</v>
      </c>
      <c r="AI451" s="3">
        <v>38.4</v>
      </c>
      <c r="AJ451" s="3">
        <v>37.799999999999997</v>
      </c>
      <c r="AK451" s="3">
        <v>35.1</v>
      </c>
      <c r="AL451" s="3">
        <v>31.9</v>
      </c>
      <c r="AM451" s="3">
        <v>30.2</v>
      </c>
      <c r="AN451" s="3">
        <v>28.4</v>
      </c>
      <c r="AO451" s="3">
        <v>25.3</v>
      </c>
      <c r="AP451" s="3">
        <v>23.7</v>
      </c>
      <c r="AQ451" s="3">
        <v>22</v>
      </c>
      <c r="AR451" s="3">
        <v>19.600000000000001</v>
      </c>
      <c r="AS451" s="3">
        <v>23.2</v>
      </c>
      <c r="AT451" s="3">
        <v>30.7</v>
      </c>
      <c r="AU451" s="3">
        <v>12.2</v>
      </c>
      <c r="AV451" s="3">
        <v>10.7</v>
      </c>
      <c r="AW451" s="3">
        <v>10.4</v>
      </c>
      <c r="AX451" s="3">
        <v>9.5</v>
      </c>
      <c r="AY451" s="3">
        <v>9.5</v>
      </c>
      <c r="AZ451" s="3">
        <v>0</v>
      </c>
      <c r="BA451" s="3">
        <v>0</v>
      </c>
      <c r="BB451" s="3">
        <v>0</v>
      </c>
      <c r="BC451" s="3">
        <v>40.08978607814791</v>
      </c>
      <c r="BD451" s="3">
        <v>47.510213921852085</v>
      </c>
      <c r="BE451" s="3">
        <v>48.010213921852085</v>
      </c>
      <c r="BF451" s="3">
        <v>44.970213921852093</v>
      </c>
      <c r="BG451" s="3">
        <v>41.296880588518761</v>
      </c>
      <c r="BH451" s="3">
        <v>37.13688058851875</v>
      </c>
      <c r="BI451" s="3">
        <v>37.650213921852099</v>
      </c>
      <c r="BJ451" s="3">
        <v>42.043547255185416</v>
      </c>
      <c r="BK451" s="3">
        <v>43.716880588518762</v>
      </c>
      <c r="BL451" s="3">
        <v>44.190213921852092</v>
      </c>
      <c r="BM451" s="3">
        <v>37.523547255185434</v>
      </c>
      <c r="BN451" s="3">
        <v>40.206880588518757</v>
      </c>
      <c r="BO451" s="3">
        <v>38.073547255185417</v>
      </c>
      <c r="BP451" s="3">
        <v>37.190213921852092</v>
      </c>
      <c r="BQ451" s="3">
        <v>34.90688058851876</v>
      </c>
      <c r="BR451" s="3">
        <v>32.033547255185425</v>
      </c>
      <c r="BS451" s="3">
        <v>30.13688058851875</v>
      </c>
      <c r="BT451" s="3">
        <v>28.533547255185425</v>
      </c>
      <c r="BU451" s="3">
        <v>25.400213921852099</v>
      </c>
      <c r="BV451" s="3">
        <v>23.51688058851876</v>
      </c>
      <c r="BW451" s="3">
        <v>22.350213921852095</v>
      </c>
      <c r="BX451" s="3">
        <v>19.870213921852098</v>
      </c>
      <c r="BY451" s="3">
        <v>23.290213921852086</v>
      </c>
      <c r="BZ451" s="3">
        <v>30.920213921852095</v>
      </c>
      <c r="CA451" s="3">
        <v>12.520213921852083</v>
      </c>
      <c r="CB451" s="3">
        <v>10.456880588518757</v>
      </c>
      <c r="CC451" s="3">
        <v>10.370213921852091</v>
      </c>
      <c r="CD451" s="3">
        <v>8.7768805885187646</v>
      </c>
      <c r="CE451" s="3">
        <v>8.9702139218520927</v>
      </c>
      <c r="CF451" s="3">
        <v>-0.91645274481457761</v>
      </c>
      <c r="CG451" s="3">
        <v>-1.4497860781479091</v>
      </c>
      <c r="CH451" s="3">
        <v>-2.526452744814577</v>
      </c>
      <c r="CI451" s="13">
        <f>[1]!dbasum(RecData[[#This Row],[20]:[2000]],RecData[[#Headers],[20]:[2000]])</f>
        <v>39.117126731562315</v>
      </c>
      <c r="CJ451" s="14">
        <v>8185</v>
      </c>
      <c r="CK451" s="15" t="s">
        <v>249</v>
      </c>
      <c r="CL451" s="15">
        <f>RecData[[#This Row],[Start Time]]</f>
        <v>43270.005555555559</v>
      </c>
      <c r="CM451" s="16">
        <f>RecData[[#This Row],[Wind Speed avg]]</f>
        <v>0.78</v>
      </c>
      <c r="CN451" s="16">
        <f>RecData[[#This Row],[Wind Dir. avg]]</f>
        <v>217.8</v>
      </c>
      <c r="CO451" s="16">
        <f>RecData[[#This Row],[Amb. Humidity]]</f>
        <v>65.5</v>
      </c>
      <c r="CP451" s="16">
        <f>RecData[[#This Row],[Amb. Temperature]]</f>
        <v>16.600000000000001</v>
      </c>
      <c r="CQ451" s="17">
        <f>RecData[[#This Row],[Amb. Rain Gauge]]</f>
        <v>0</v>
      </c>
      <c r="CR451" s="4" t="s">
        <v>1</v>
      </c>
      <c r="CS451" s="4" t="s">
        <v>49</v>
      </c>
      <c r="CT451" s="70">
        <v>1462.91564941406</v>
      </c>
      <c r="CU451" s="70">
        <v>12.5980205535888</v>
      </c>
      <c r="CV451" s="70">
        <v>9.3845281600952095</v>
      </c>
      <c r="CW451" s="70">
        <v>15.1457462310791</v>
      </c>
      <c r="CX451" s="4"/>
      <c r="CY451" s="69"/>
      <c r="CZ451" s="2" t="b">
        <f>IF($DP$1="YES",IF(RecData[[#This Row],[Power (kW)]]&gt;=$CR$3, TRUE,FALSE),TRUE)</f>
        <v>1</v>
      </c>
      <c r="DA451" s="16">
        <f>MIN(MOD(180-ABS(ABS($DA$1-RecData[Yaw Angle (°)])-180),360),MOD(180-ABS(ABS($DB$1-RecData[Yaw Angle (°)])-180),360))</f>
        <v>5.0680937759012465</v>
      </c>
      <c r="DB451" s="2" t="str">
        <f>IF($DP$2="None","None",IF(RecData[[#This Row],[Relative Wind Direction]]&lt;=45,"DW",IF(RecData[[#This Row],[Relative Wind Direction]]&lt;=135,"CW","UW")))</f>
        <v>DW</v>
      </c>
      <c r="DC451" s="61">
        <f>IF($CL451-$CL448&gt;1/24,#REF!,IF(SUM($CQ448:$CQ451)&gt;$DS$1,$DS$5,DC452-1))</f>
        <v>-7</v>
      </c>
      <c r="DD451" s="61">
        <f>IF($CL452-$CL451&gt;1/24,#REF!,IF(SUM($CQ448:$CQ451)&gt;$DS$1,$DS$6,DD450-1))</f>
        <v>-4</v>
      </c>
      <c r="DE451" s="18" t="b">
        <v>0</v>
      </c>
      <c r="DF451" s="2" t="b">
        <f>IF(OR(RecData[[#This Row],[WSpd_Avg '[m/s']]]-RecData[[#This Row],[Wind Speed min]]&gt;=$DF$3,RecData[[#This Row],[Wind Speed max]]-RecData[[#This Row],[WSpd_Avg '[m/s']]]&gt;=$DF$2),TRUE,FALSE)</f>
        <v>0</v>
      </c>
      <c r="DG451" s="2" t="b">
        <f>RecData[[#This Row],[Temperature '[°C']]]&lt;=-20</f>
        <v>0</v>
      </c>
      <c r="DH451" s="18" t="b">
        <f>NOT(OR(MOD(RecData[[#This Row],[TIMESTAMP]],1)&gt;0.91632,MOD(RecData[[#This Row],[TIMESTAMP]],1)&lt;0.208681))</f>
        <v>0</v>
      </c>
      <c r="DI451" s="18" t="b">
        <f>RecData[[#This Row],[Overall (dBA)]]-RecData[[#This Row],[L90]]&gt;=$DS$4</f>
        <v>0</v>
      </c>
      <c r="DJ451" s="18" t="b">
        <f>RecData[[#This Row],[Overall (dBA)]]&gt;$DS$2</f>
        <v>0</v>
      </c>
      <c r="DK451" s="18" t="b">
        <f>RecData[[#This Row],[Overall (dBA)]]&lt;$DS$3</f>
        <v>0</v>
      </c>
      <c r="DL4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1" s="2">
        <f>IF(AND(RecData[[#This Row],[Turbines ON/OFF]] = "OFF", NOT(OR(RecData[[#This Row],[Junk?]]="YES",RecData[[#This Row],[Gust?]],RecData[[#This Row],[Rain?]:[Min SPL Threshold?]]))),1,0)</f>
        <v>0</v>
      </c>
      <c r="DN451" s="16">
        <f>RecData[[#This Row],[dBA Sum]]</f>
        <v>39.117126731562315</v>
      </c>
      <c r="DO451" s="16">
        <f>RecData[[#This Row],[LAF90.0]]</f>
        <v>38.799999999999997</v>
      </c>
      <c r="DP451" s="55">
        <f>IF(AND(RecData[[#This Row],[Useable TON Data?]],RecData[[#This Row],[Turbines ON/OFF]]="ON"),RecData[[#This Row],[dBA Sum]],"")</f>
        <v>39.117126731562315</v>
      </c>
      <c r="DQ451" s="55" t="str">
        <f>IF(AND(RecData[[#This Row],[Useable Background Data?]],RecData[[#This Row],[Turbines ON/OFF]]="OFF"),RecData[[#This Row],[dBA Sum]],"")</f>
        <v/>
      </c>
      <c r="DR451" s="3">
        <f>IF(OR(RecData[[#This Row],[Useable TON Data?]],RecData[[#This Row],[Useable Background Data?]]),ROUND(RecData[[#This Row],[WSpd_Avg '[m/s']]],0),"")</f>
        <v>1</v>
      </c>
      <c r="DS451" s="85">
        <f>(0.00002)^2*(10^(RecData[[#This Row],[Overall (dBA)]]/10))</f>
        <v>3.2641692144783474E-6</v>
      </c>
    </row>
    <row r="452" spans="1:123" ht="15" x14ac:dyDescent="0.25">
      <c r="A452" s="3" t="s">
        <v>249</v>
      </c>
      <c r="B452" s="12">
        <v>43270.006249999999</v>
      </c>
      <c r="C452" s="3"/>
      <c r="D452" s="3">
        <v>40</v>
      </c>
      <c r="E452" s="3"/>
      <c r="F452" s="3"/>
      <c r="G452" s="3"/>
      <c r="H452" s="3"/>
      <c r="I452" s="3"/>
      <c r="J452" s="3"/>
      <c r="K452" s="3">
        <v>38.200000000000003</v>
      </c>
      <c r="L452" s="3"/>
      <c r="M452" s="3"/>
      <c r="N452" s="3">
        <v>208.9</v>
      </c>
      <c r="O452" s="3"/>
      <c r="P452" s="3"/>
      <c r="Q452" s="3">
        <v>0.45</v>
      </c>
      <c r="R452" s="3">
        <v>0.1</v>
      </c>
      <c r="S452" s="3">
        <v>1.5</v>
      </c>
      <c r="T452" s="3">
        <v>16.600000000000001</v>
      </c>
      <c r="U452" s="3">
        <v>65.099999999999994</v>
      </c>
      <c r="V452" s="3">
        <v>972.6</v>
      </c>
      <c r="W452" s="3">
        <v>0</v>
      </c>
      <c r="X452" s="3">
        <v>48</v>
      </c>
      <c r="Y452" s="3">
        <v>48.5</v>
      </c>
      <c r="Z452" s="3">
        <v>47.1</v>
      </c>
      <c r="AA452" s="3">
        <v>41.7</v>
      </c>
      <c r="AB452" s="3">
        <v>37.799999999999997</v>
      </c>
      <c r="AC452" s="3">
        <v>36.9</v>
      </c>
      <c r="AD452" s="3">
        <v>40.4</v>
      </c>
      <c r="AE452" s="3">
        <v>42.6</v>
      </c>
      <c r="AF452" s="3">
        <v>44.7</v>
      </c>
      <c r="AG452" s="3">
        <v>37.5</v>
      </c>
      <c r="AH452" s="3">
        <v>38.6</v>
      </c>
      <c r="AI452" s="3">
        <v>37.799999999999997</v>
      </c>
      <c r="AJ452" s="3">
        <v>37.1</v>
      </c>
      <c r="AK452" s="3">
        <v>34.700000000000003</v>
      </c>
      <c r="AL452" s="3">
        <v>32.1</v>
      </c>
      <c r="AM452" s="3">
        <v>31.1</v>
      </c>
      <c r="AN452" s="3">
        <v>29.4</v>
      </c>
      <c r="AO452" s="3">
        <v>26.2</v>
      </c>
      <c r="AP452" s="3">
        <v>24.8</v>
      </c>
      <c r="AQ452" s="3">
        <v>22.7</v>
      </c>
      <c r="AR452" s="3">
        <v>19.899999999999999</v>
      </c>
      <c r="AS452" s="3">
        <v>23.8</v>
      </c>
      <c r="AT452" s="3">
        <v>29.8</v>
      </c>
      <c r="AU452" s="3">
        <v>11.3</v>
      </c>
      <c r="AV452" s="3">
        <v>9.9</v>
      </c>
      <c r="AW452" s="3">
        <v>9.8000000000000007</v>
      </c>
      <c r="AX452" s="3">
        <v>9.3000000000000007</v>
      </c>
      <c r="AY452" s="3">
        <v>9.5</v>
      </c>
      <c r="AZ452" s="3">
        <v>0</v>
      </c>
      <c r="BA452" s="3">
        <v>0</v>
      </c>
      <c r="BB452" s="3">
        <v>0</v>
      </c>
      <c r="BC452" s="3">
        <v>39.941925954452486</v>
      </c>
      <c r="BD452" s="3">
        <v>48.058074045547514</v>
      </c>
      <c r="BE452" s="3">
        <v>48.558074045547514</v>
      </c>
      <c r="BF452" s="3">
        <v>45.918074045547513</v>
      </c>
      <c r="BG452" s="3">
        <v>40.844740712214175</v>
      </c>
      <c r="BH452" s="3">
        <v>37.084740712214185</v>
      </c>
      <c r="BI452" s="3">
        <v>36.598074045547506</v>
      </c>
      <c r="BJ452" s="3">
        <v>40.891407378880842</v>
      </c>
      <c r="BK452" s="3">
        <v>42.96474071221418</v>
      </c>
      <c r="BL452" s="3">
        <v>44.638074045547526</v>
      </c>
      <c r="BM452" s="3">
        <v>37.571407378880849</v>
      </c>
      <c r="BN452" s="3">
        <v>38.954740712214189</v>
      </c>
      <c r="BO452" s="3">
        <v>37.521407378880852</v>
      </c>
      <c r="BP452" s="3">
        <v>36.538074045547518</v>
      </c>
      <c r="BQ452" s="3">
        <v>34.554740712214183</v>
      </c>
      <c r="BR452" s="3">
        <v>32.281407378880843</v>
      </c>
      <c r="BS452" s="3">
        <v>31.084740712214185</v>
      </c>
      <c r="BT452" s="3">
        <v>29.581407378880854</v>
      </c>
      <c r="BU452" s="3">
        <v>26.34807404554752</v>
      </c>
      <c r="BV452" s="3">
        <v>24.664740712214183</v>
      </c>
      <c r="BW452" s="3">
        <v>23.09807404554752</v>
      </c>
      <c r="BX452" s="3">
        <v>20.218074045547517</v>
      </c>
      <c r="BY452" s="3">
        <v>23.938074045547509</v>
      </c>
      <c r="BZ452" s="3">
        <v>30.068074045547519</v>
      </c>
      <c r="CA452" s="3">
        <v>11.668074045547506</v>
      </c>
      <c r="CB452" s="3">
        <v>9.7047407122141749</v>
      </c>
      <c r="CC452" s="3">
        <v>9.8180740455475117</v>
      </c>
      <c r="CD452" s="3">
        <v>8.6247407122141837</v>
      </c>
      <c r="CE452" s="3">
        <v>9.0180740455475146</v>
      </c>
      <c r="CF452" s="3">
        <v>-0.86859262111915569</v>
      </c>
      <c r="CG452" s="3">
        <v>-1.4019259544524871</v>
      </c>
      <c r="CH452" s="3">
        <v>-2.4785926211191551</v>
      </c>
      <c r="CI452" s="13">
        <f>[1]!dbasum(RecData[[#This Row],[20]:[2000]],RecData[[#Headers],[20]:[2000]])</f>
        <v>39.130847232762754</v>
      </c>
      <c r="CJ452" s="14">
        <v>8186</v>
      </c>
      <c r="CK452" s="15" t="s">
        <v>249</v>
      </c>
      <c r="CL452" s="15">
        <f>RecData[[#This Row],[Start Time]]</f>
        <v>43270.006249999999</v>
      </c>
      <c r="CM452" s="16">
        <f>RecData[[#This Row],[Wind Speed avg]]</f>
        <v>0.45</v>
      </c>
      <c r="CN452" s="16">
        <f>RecData[[#This Row],[Wind Dir. avg]]</f>
        <v>208.9</v>
      </c>
      <c r="CO452" s="16">
        <f>RecData[[#This Row],[Amb. Humidity]]</f>
        <v>65.099999999999994</v>
      </c>
      <c r="CP452" s="16">
        <f>RecData[[#This Row],[Amb. Temperature]]</f>
        <v>16.600000000000001</v>
      </c>
      <c r="CQ452" s="17">
        <f>RecData[[#This Row],[Amb. Rain Gauge]]</f>
        <v>0</v>
      </c>
      <c r="CR452" s="4" t="s">
        <v>1</v>
      </c>
      <c r="CS452" s="4" t="s">
        <v>49</v>
      </c>
      <c r="CT452" s="70">
        <v>1462.91564941406</v>
      </c>
      <c r="CU452" s="70">
        <v>12.5980205535888</v>
      </c>
      <c r="CV452" s="70">
        <v>9.3845281600952095</v>
      </c>
      <c r="CW452" s="70">
        <v>15.1457462310791</v>
      </c>
      <c r="CX452" s="4"/>
      <c r="CY452" s="69"/>
      <c r="CZ452" s="2" t="b">
        <f>IF($DP$1="YES",IF(RecData[[#This Row],[Power (kW)]]&gt;=$CR$3, TRUE,FALSE),TRUE)</f>
        <v>1</v>
      </c>
      <c r="DA452" s="16">
        <f>MIN(MOD(180-ABS(ABS($DA$1-RecData[Yaw Angle (°)])-180),360),MOD(180-ABS(ABS($DB$1-RecData[Yaw Angle (°)])-180),360))</f>
        <v>5.0680937759012465</v>
      </c>
      <c r="DB452" s="2" t="str">
        <f>IF($DP$2="None","None",IF(RecData[[#This Row],[Relative Wind Direction]]&lt;=45,"DW",IF(RecData[[#This Row],[Relative Wind Direction]]&lt;=135,"CW","UW")))</f>
        <v>DW</v>
      </c>
      <c r="DC452" s="61">
        <f>IF($CL452-$CL448&gt;1/24,#REF!,IF(SUM($CQ448:$CQ452)&gt;$DS$1,$DS$5,DC453-1))</f>
        <v>-6</v>
      </c>
      <c r="DD452" s="61">
        <f>IF($CL453-$CL452&gt;1/24,#REF!,IF(SUM($CQ448:$CQ452)&gt;$DS$1,$DS$6,DD451-1))</f>
        <v>-5</v>
      </c>
      <c r="DE452" s="18" t="b">
        <v>0</v>
      </c>
      <c r="DF452" s="2" t="b">
        <f>IF(OR(RecData[[#This Row],[WSpd_Avg '[m/s']]]-RecData[[#This Row],[Wind Speed min]]&gt;=$DF$3,RecData[[#This Row],[Wind Speed max]]-RecData[[#This Row],[WSpd_Avg '[m/s']]]&gt;=$DF$2),TRUE,FALSE)</f>
        <v>0</v>
      </c>
      <c r="DG452" s="2" t="b">
        <f>RecData[[#This Row],[Temperature '[°C']]]&lt;=-20</f>
        <v>0</v>
      </c>
      <c r="DH452" s="18" t="b">
        <f>NOT(OR(MOD(RecData[[#This Row],[TIMESTAMP]],1)&gt;0.91632,MOD(RecData[[#This Row],[TIMESTAMP]],1)&lt;0.208681))</f>
        <v>0</v>
      </c>
      <c r="DI452" s="18" t="b">
        <f>RecData[[#This Row],[Overall (dBA)]]-RecData[[#This Row],[L90]]&gt;=$DS$4</f>
        <v>0</v>
      </c>
      <c r="DJ452" s="18" t="b">
        <f>RecData[[#This Row],[Overall (dBA)]]&gt;$DS$2</f>
        <v>0</v>
      </c>
      <c r="DK452" s="18" t="b">
        <f>RecData[[#This Row],[Overall (dBA)]]&lt;$DS$3</f>
        <v>0</v>
      </c>
      <c r="DL4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2" s="2">
        <f>IF(AND(RecData[[#This Row],[Turbines ON/OFF]] = "OFF", NOT(OR(RecData[[#This Row],[Junk?]]="YES",RecData[[#This Row],[Gust?]],RecData[[#This Row],[Rain?]:[Min SPL Threshold?]]))),1,0)</f>
        <v>0</v>
      </c>
      <c r="DN452" s="16">
        <f>RecData[[#This Row],[dBA Sum]]</f>
        <v>39.130847232762754</v>
      </c>
      <c r="DO452" s="16">
        <f>RecData[[#This Row],[LAF90.0]]</f>
        <v>38.200000000000003</v>
      </c>
      <c r="DP452" s="55">
        <f>IF(AND(RecData[[#This Row],[Useable TON Data?]],RecData[[#This Row],[Turbines ON/OFF]]="ON"),RecData[[#This Row],[dBA Sum]],"")</f>
        <v>39.130847232762754</v>
      </c>
      <c r="DQ452" s="55" t="str">
        <f>IF(AND(RecData[[#This Row],[Useable Background Data?]],RecData[[#This Row],[Turbines ON/OFF]]="OFF"),RecData[[#This Row],[dBA Sum]],"")</f>
        <v/>
      </c>
      <c r="DR452" s="3">
        <f>IF(OR(RecData[[#This Row],[Useable TON Data?]],RecData[[#This Row],[Useable Background Data?]]),ROUND(RecData[[#This Row],[WSpd_Avg '[m/s']]],0),"")</f>
        <v>0</v>
      </c>
      <c r="DS452" s="85">
        <f>(0.00002)^2*(10^(RecData[[#This Row],[Overall (dBA)]]/10))</f>
        <v>3.2744978876417501E-6</v>
      </c>
    </row>
    <row r="453" spans="1:123" ht="15" x14ac:dyDescent="0.25">
      <c r="A453" s="3" t="s">
        <v>249</v>
      </c>
      <c r="B453" s="12">
        <v>43270.006944444445</v>
      </c>
      <c r="C453" s="3"/>
      <c r="D453" s="3">
        <v>40</v>
      </c>
      <c r="E453" s="3"/>
      <c r="F453" s="3"/>
      <c r="G453" s="3"/>
      <c r="H453" s="3"/>
      <c r="I453" s="3"/>
      <c r="J453" s="3"/>
      <c r="K453" s="3">
        <v>38.9</v>
      </c>
      <c r="L453" s="3"/>
      <c r="M453" s="3"/>
      <c r="N453" s="3">
        <v>192.6</v>
      </c>
      <c r="O453" s="3"/>
      <c r="P453" s="3"/>
      <c r="Q453" s="3">
        <v>0.44</v>
      </c>
      <c r="R453" s="3">
        <v>0</v>
      </c>
      <c r="S453" s="3">
        <v>1</v>
      </c>
      <c r="T453" s="3">
        <v>16.7</v>
      </c>
      <c r="U453" s="3">
        <v>65.7</v>
      </c>
      <c r="V453" s="3">
        <v>972.6</v>
      </c>
      <c r="W453" s="3">
        <v>0</v>
      </c>
      <c r="X453" s="3">
        <v>47.6</v>
      </c>
      <c r="Y453" s="3">
        <v>48.3</v>
      </c>
      <c r="Z453" s="3">
        <v>47.2</v>
      </c>
      <c r="AA453" s="3">
        <v>42.2</v>
      </c>
      <c r="AB453" s="3">
        <v>38.4</v>
      </c>
      <c r="AC453" s="3">
        <v>36.700000000000003</v>
      </c>
      <c r="AD453" s="3">
        <v>40.5</v>
      </c>
      <c r="AE453" s="3">
        <v>42.8</v>
      </c>
      <c r="AF453" s="3">
        <v>44</v>
      </c>
      <c r="AG453" s="3">
        <v>38.4</v>
      </c>
      <c r="AH453" s="3">
        <v>38.799999999999997</v>
      </c>
      <c r="AI453" s="3">
        <v>38.1</v>
      </c>
      <c r="AJ453" s="3">
        <v>37.200000000000003</v>
      </c>
      <c r="AK453" s="3">
        <v>35.1</v>
      </c>
      <c r="AL453" s="3">
        <v>32.200000000000003</v>
      </c>
      <c r="AM453" s="3">
        <v>31.3</v>
      </c>
      <c r="AN453" s="3">
        <v>29.5</v>
      </c>
      <c r="AO453" s="3">
        <v>26.2</v>
      </c>
      <c r="AP453" s="3">
        <v>24.4</v>
      </c>
      <c r="AQ453" s="3">
        <v>22.7</v>
      </c>
      <c r="AR453" s="3">
        <v>20.100000000000001</v>
      </c>
      <c r="AS453" s="3">
        <v>23.5</v>
      </c>
      <c r="AT453" s="3">
        <v>29.8</v>
      </c>
      <c r="AU453" s="3">
        <v>12.3</v>
      </c>
      <c r="AV453" s="3">
        <v>10.6</v>
      </c>
      <c r="AW453" s="3">
        <v>10.3</v>
      </c>
      <c r="AX453" s="3">
        <v>9.4</v>
      </c>
      <c r="AY453" s="3">
        <v>9.5</v>
      </c>
      <c r="AZ453" s="3">
        <v>0</v>
      </c>
      <c r="BA453" s="3">
        <v>0</v>
      </c>
      <c r="BB453" s="3">
        <v>0</v>
      </c>
      <c r="BC453" s="3">
        <v>40.03398380183242</v>
      </c>
      <c r="BD453" s="3">
        <v>47.566016198167574</v>
      </c>
      <c r="BE453" s="3">
        <v>48.266016198167577</v>
      </c>
      <c r="BF453" s="3">
        <v>45.926016198167588</v>
      </c>
      <c r="BG453" s="3">
        <v>41.252682864834242</v>
      </c>
      <c r="BH453" s="3">
        <v>37.592682864834245</v>
      </c>
      <c r="BI453" s="3">
        <v>36.306016198167583</v>
      </c>
      <c r="BJ453" s="3">
        <v>40.899349531500917</v>
      </c>
      <c r="BK453" s="3">
        <v>43.072682864834235</v>
      </c>
      <c r="BL453" s="3">
        <v>43.846016198167575</v>
      </c>
      <c r="BM453" s="3">
        <v>38.379349531500907</v>
      </c>
      <c r="BN453" s="3">
        <v>39.062682864834244</v>
      </c>
      <c r="BO453" s="3">
        <v>37.729349531500915</v>
      </c>
      <c r="BP453" s="3">
        <v>36.546016198167592</v>
      </c>
      <c r="BQ453" s="3">
        <v>34.862682864834241</v>
      </c>
      <c r="BR453" s="3">
        <v>32.289349531500918</v>
      </c>
      <c r="BS453" s="3">
        <v>31.192682864834239</v>
      </c>
      <c r="BT453" s="3">
        <v>29.589349531500915</v>
      </c>
      <c r="BU453" s="3">
        <v>26.256016198167586</v>
      </c>
      <c r="BV453" s="3">
        <v>24.172682864834243</v>
      </c>
      <c r="BW453" s="3">
        <v>23.006016198167586</v>
      </c>
      <c r="BX453" s="3">
        <v>20.326016198167586</v>
      </c>
      <c r="BY453" s="3">
        <v>23.546016198167578</v>
      </c>
      <c r="BZ453" s="3">
        <v>29.976016198167585</v>
      </c>
      <c r="CA453" s="3">
        <v>12.576016198167572</v>
      </c>
      <c r="CB453" s="3">
        <v>10.312682864834244</v>
      </c>
      <c r="CC453" s="3">
        <v>10.226016198167578</v>
      </c>
      <c r="CD453" s="3">
        <v>8.6326828648342513</v>
      </c>
      <c r="CE453" s="3">
        <v>8.9260161981675807</v>
      </c>
      <c r="CF453" s="3">
        <v>-0.96065046849908953</v>
      </c>
      <c r="CG453" s="3">
        <v>-1.493983801832421</v>
      </c>
      <c r="CH453" s="3">
        <v>-2.570650468499089</v>
      </c>
      <c r="CI453" s="13">
        <f>[1]!dbasum(RecData[[#This Row],[20]:[2000]],RecData[[#Headers],[20]:[2000]])</f>
        <v>39.155946250049674</v>
      </c>
      <c r="CJ453" s="14">
        <v>8187</v>
      </c>
      <c r="CK453" s="15" t="s">
        <v>249</v>
      </c>
      <c r="CL453" s="15">
        <f>RecData[[#This Row],[Start Time]]</f>
        <v>43270.006944444445</v>
      </c>
      <c r="CM453" s="16">
        <f>RecData[[#This Row],[Wind Speed avg]]</f>
        <v>0.44</v>
      </c>
      <c r="CN453" s="16">
        <f>RecData[[#This Row],[Wind Dir. avg]]</f>
        <v>192.6</v>
      </c>
      <c r="CO453" s="16">
        <f>RecData[[#This Row],[Amb. Humidity]]</f>
        <v>65.7</v>
      </c>
      <c r="CP453" s="16">
        <f>RecData[[#This Row],[Amb. Temperature]]</f>
        <v>16.7</v>
      </c>
      <c r="CQ453" s="17">
        <f>RecData[[#This Row],[Amb. Rain Gauge]]</f>
        <v>0</v>
      </c>
      <c r="CR453" s="4" t="s">
        <v>1</v>
      </c>
      <c r="CS453" s="4" t="s">
        <v>49</v>
      </c>
      <c r="CT453" s="70">
        <v>1462.91564941406</v>
      </c>
      <c r="CU453" s="70">
        <v>12.5980205535888</v>
      </c>
      <c r="CV453" s="70">
        <v>9.3845281600952095</v>
      </c>
      <c r="CW453" s="70">
        <v>15.1457462310791</v>
      </c>
      <c r="CX453" s="4"/>
      <c r="CY453" s="69"/>
      <c r="CZ453" s="2" t="b">
        <f>IF($DP$1="YES",IF(RecData[[#This Row],[Power (kW)]]&gt;=$CR$3, TRUE,FALSE),TRUE)</f>
        <v>1</v>
      </c>
      <c r="DA453" s="16">
        <f>MIN(MOD(180-ABS(ABS($DA$1-RecData[Yaw Angle (°)])-180),360),MOD(180-ABS(ABS($DB$1-RecData[Yaw Angle (°)])-180),360))</f>
        <v>5.0680937759012465</v>
      </c>
      <c r="DB453" s="2" t="str">
        <f>IF($DP$2="None","None",IF(RecData[[#This Row],[Relative Wind Direction]]&lt;=45,"DW",IF(RecData[[#This Row],[Relative Wind Direction]]&lt;=135,"CW","UW")))</f>
        <v>DW</v>
      </c>
      <c r="DC453" s="61">
        <f>IF($CL453-$CL449&gt;1/24,#REF!,IF(SUM($CQ449:$CQ453)&gt;$DS$1,$DS$5,DC454-1))</f>
        <v>-5</v>
      </c>
      <c r="DD453" s="61">
        <f>IF($CL454-$CL453&gt;1/24,#REF!,IF(SUM($CQ449:$CQ453)&gt;$DS$1,$DS$6,DD452-1))</f>
        <v>-6</v>
      </c>
      <c r="DE453" s="18" t="b">
        <v>0</v>
      </c>
      <c r="DF453" s="2" t="b">
        <f>IF(OR(RecData[[#This Row],[WSpd_Avg '[m/s']]]-RecData[[#This Row],[Wind Speed min]]&gt;=$DF$3,RecData[[#This Row],[Wind Speed max]]-RecData[[#This Row],[WSpd_Avg '[m/s']]]&gt;=$DF$2),TRUE,FALSE)</f>
        <v>0</v>
      </c>
      <c r="DG453" s="2" t="b">
        <f>RecData[[#This Row],[Temperature '[°C']]]&lt;=-20</f>
        <v>0</v>
      </c>
      <c r="DH453" s="18" t="b">
        <f>NOT(OR(MOD(RecData[[#This Row],[TIMESTAMP]],1)&gt;0.91632,MOD(RecData[[#This Row],[TIMESTAMP]],1)&lt;0.208681))</f>
        <v>0</v>
      </c>
      <c r="DI453" s="18" t="b">
        <f>RecData[[#This Row],[Overall (dBA)]]-RecData[[#This Row],[L90]]&gt;=$DS$4</f>
        <v>0</v>
      </c>
      <c r="DJ453" s="18" t="b">
        <f>RecData[[#This Row],[Overall (dBA)]]&gt;$DS$2</f>
        <v>0</v>
      </c>
      <c r="DK453" s="18" t="b">
        <f>RecData[[#This Row],[Overall (dBA)]]&lt;$DS$3</f>
        <v>0</v>
      </c>
      <c r="DL4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3" s="2">
        <f>IF(AND(RecData[[#This Row],[Turbines ON/OFF]] = "OFF", NOT(OR(RecData[[#This Row],[Junk?]]="YES",RecData[[#This Row],[Gust?]],RecData[[#This Row],[Rain?]:[Min SPL Threshold?]]))),1,0)</f>
        <v>0</v>
      </c>
      <c r="DN453" s="16">
        <f>RecData[[#This Row],[dBA Sum]]</f>
        <v>39.155946250049674</v>
      </c>
      <c r="DO453" s="16">
        <f>RecData[[#This Row],[LAF90.0]]</f>
        <v>38.9</v>
      </c>
      <c r="DP453" s="55">
        <f>IF(AND(RecData[[#This Row],[Useable TON Data?]],RecData[[#This Row],[Turbines ON/OFF]]="ON"),RecData[[#This Row],[dBA Sum]],"")</f>
        <v>39.155946250049674</v>
      </c>
      <c r="DQ453" s="55" t="str">
        <f>IF(AND(RecData[[#This Row],[Useable Background Data?]],RecData[[#This Row],[Turbines ON/OFF]]="OFF"),RecData[[#This Row],[dBA Sum]],"")</f>
        <v/>
      </c>
      <c r="DR453" s="3">
        <f>IF(OR(RecData[[#This Row],[Useable TON Data?]],RecData[[#This Row],[Useable Background Data?]]),ROUND(RecData[[#This Row],[WSpd_Avg '[m/s']]],0),"")</f>
        <v>0</v>
      </c>
      <c r="DS453" s="85">
        <f>(0.00002)^2*(10^(RecData[[#This Row],[Overall (dBA)]]/10))</f>
        <v>3.2934768592558509E-6</v>
      </c>
    </row>
    <row r="454" spans="1:123" ht="15" x14ac:dyDescent="0.25">
      <c r="A454" s="3" t="s">
        <v>249</v>
      </c>
      <c r="B454" s="12">
        <v>43270.007638888892</v>
      </c>
      <c r="C454" s="3"/>
      <c r="D454" s="3">
        <v>39.5</v>
      </c>
      <c r="E454" s="3"/>
      <c r="F454" s="3"/>
      <c r="G454" s="3"/>
      <c r="H454" s="3"/>
      <c r="I454" s="3"/>
      <c r="J454" s="3"/>
      <c r="K454" s="3">
        <v>38</v>
      </c>
      <c r="L454" s="3"/>
      <c r="M454" s="3"/>
      <c r="N454" s="3">
        <v>169.8</v>
      </c>
      <c r="O454" s="3"/>
      <c r="P454" s="3"/>
      <c r="Q454" s="3">
        <v>0.56999999999999995</v>
      </c>
      <c r="R454" s="3">
        <v>0.3</v>
      </c>
      <c r="S454" s="3">
        <v>1</v>
      </c>
      <c r="T454" s="3">
        <v>16.7</v>
      </c>
      <c r="U454" s="3">
        <v>67.3</v>
      </c>
      <c r="V454" s="3">
        <v>972.6</v>
      </c>
      <c r="W454" s="3">
        <v>0</v>
      </c>
      <c r="X454" s="3">
        <v>46.7</v>
      </c>
      <c r="Y454" s="3">
        <v>47.1</v>
      </c>
      <c r="Z454" s="3">
        <v>46.2</v>
      </c>
      <c r="AA454" s="3">
        <v>41.7</v>
      </c>
      <c r="AB454" s="3">
        <v>37.299999999999997</v>
      </c>
      <c r="AC454" s="3">
        <v>35.9</v>
      </c>
      <c r="AD454" s="3">
        <v>39.5</v>
      </c>
      <c r="AE454" s="3">
        <v>41.7</v>
      </c>
      <c r="AF454" s="3">
        <v>43.4</v>
      </c>
      <c r="AG454" s="3">
        <v>37.1</v>
      </c>
      <c r="AH454" s="3">
        <v>37.6</v>
      </c>
      <c r="AI454" s="3">
        <v>37.1</v>
      </c>
      <c r="AJ454" s="3">
        <v>35.9</v>
      </c>
      <c r="AK454" s="3">
        <v>34</v>
      </c>
      <c r="AL454" s="3">
        <v>31.9</v>
      </c>
      <c r="AM454" s="3">
        <v>31.3</v>
      </c>
      <c r="AN454" s="3">
        <v>29.7</v>
      </c>
      <c r="AO454" s="3">
        <v>26.5</v>
      </c>
      <c r="AP454" s="3">
        <v>24.7</v>
      </c>
      <c r="AQ454" s="3">
        <v>22.6</v>
      </c>
      <c r="AR454" s="3">
        <v>20.100000000000001</v>
      </c>
      <c r="AS454" s="3">
        <v>22.3</v>
      </c>
      <c r="AT454" s="3">
        <v>30.1</v>
      </c>
      <c r="AU454" s="3">
        <v>11.7</v>
      </c>
      <c r="AV454" s="3">
        <v>10.4</v>
      </c>
      <c r="AW454" s="3">
        <v>10.199999999999999</v>
      </c>
      <c r="AX454" s="3">
        <v>9.4</v>
      </c>
      <c r="AY454" s="3">
        <v>9.5</v>
      </c>
      <c r="AZ454" s="3">
        <v>0</v>
      </c>
      <c r="BA454" s="3">
        <v>0</v>
      </c>
      <c r="BB454" s="3">
        <v>0</v>
      </c>
      <c r="BC454" s="3">
        <v>39.553705876319569</v>
      </c>
      <c r="BD454" s="3">
        <v>46.646294123680434</v>
      </c>
      <c r="BE454" s="3">
        <v>47.046294123680426</v>
      </c>
      <c r="BF454" s="3">
        <v>44.906294123680439</v>
      </c>
      <c r="BG454" s="3">
        <v>40.732960790347093</v>
      </c>
      <c r="BH454" s="3">
        <v>36.472960790347102</v>
      </c>
      <c r="BI454" s="3">
        <v>35.486294123680423</v>
      </c>
      <c r="BJ454" s="3">
        <v>39.879627457013768</v>
      </c>
      <c r="BK454" s="3">
        <v>41.952960790347092</v>
      </c>
      <c r="BL454" s="3">
        <v>43.226294123680432</v>
      </c>
      <c r="BM454" s="3">
        <v>37.059627457013775</v>
      </c>
      <c r="BN454" s="3">
        <v>37.842960790347107</v>
      </c>
      <c r="BO454" s="3">
        <v>36.709627457013767</v>
      </c>
      <c r="BP454" s="3">
        <v>35.226294123680432</v>
      </c>
      <c r="BQ454" s="3">
        <v>33.742960790347084</v>
      </c>
      <c r="BR454" s="3">
        <v>31.969627457013772</v>
      </c>
      <c r="BS454" s="3">
        <v>31.172960790347091</v>
      </c>
      <c r="BT454" s="3">
        <v>29.769627457013769</v>
      </c>
      <c r="BU454" s="3">
        <v>26.536294123680435</v>
      </c>
      <c r="BV454" s="3">
        <v>24.452960790347092</v>
      </c>
      <c r="BW454" s="3">
        <v>22.886294123680436</v>
      </c>
      <c r="BX454" s="3">
        <v>20.306294123680438</v>
      </c>
      <c r="BY454" s="3">
        <v>22.326294123680427</v>
      </c>
      <c r="BZ454" s="3">
        <v>30.256294123680433</v>
      </c>
      <c r="CA454" s="3">
        <v>11.956294123680422</v>
      </c>
      <c r="CB454" s="3">
        <v>10.092960790347092</v>
      </c>
      <c r="CC454" s="3">
        <v>10.106294123680428</v>
      </c>
      <c r="CD454" s="3">
        <v>8.6129607903471026</v>
      </c>
      <c r="CE454" s="3">
        <v>8.9062941236804321</v>
      </c>
      <c r="CF454" s="3">
        <v>-0.98037254298623822</v>
      </c>
      <c r="CG454" s="3">
        <v>-1.5137058763195697</v>
      </c>
      <c r="CH454" s="3">
        <v>-2.5903725429862376</v>
      </c>
      <c r="CI454" s="13">
        <f>[1]!dbasum(RecData[[#This Row],[20]:[2000]],RecData[[#Headers],[20]:[2000]])</f>
        <v>38.566546955251361</v>
      </c>
      <c r="CJ454" s="14">
        <v>8188</v>
      </c>
      <c r="CK454" s="15" t="s">
        <v>249</v>
      </c>
      <c r="CL454" s="15">
        <f>RecData[[#This Row],[Start Time]]</f>
        <v>43270.007638888892</v>
      </c>
      <c r="CM454" s="16">
        <f>RecData[[#This Row],[Wind Speed avg]]</f>
        <v>0.56999999999999995</v>
      </c>
      <c r="CN454" s="16">
        <f>RecData[[#This Row],[Wind Dir. avg]]</f>
        <v>169.8</v>
      </c>
      <c r="CO454" s="16">
        <f>RecData[[#This Row],[Amb. Humidity]]</f>
        <v>67.3</v>
      </c>
      <c r="CP454" s="16">
        <f>RecData[[#This Row],[Amb. Temperature]]</f>
        <v>16.7</v>
      </c>
      <c r="CQ454" s="17">
        <f>RecData[[#This Row],[Amb. Rain Gauge]]</f>
        <v>0</v>
      </c>
      <c r="CR454" s="4" t="s">
        <v>1</v>
      </c>
      <c r="CS454" s="4" t="s">
        <v>49</v>
      </c>
      <c r="CT454" s="70">
        <v>1550.81274414062</v>
      </c>
      <c r="CU454" s="70">
        <v>21.000177383422798</v>
      </c>
      <c r="CV454" s="70">
        <v>9.8331594467162997</v>
      </c>
      <c r="CW454" s="70">
        <v>15.209493637084901</v>
      </c>
      <c r="CX454" s="4"/>
      <c r="CY454" s="69"/>
      <c r="CZ454" s="2" t="b">
        <f>IF($DP$1="YES",IF(RecData[[#This Row],[Power (kW)]]&gt;=$CR$3, TRUE,FALSE),TRUE)</f>
        <v>1</v>
      </c>
      <c r="DA454" s="16">
        <f>MIN(MOD(180-ABS(ABS($DA$1-RecData[Yaw Angle (°)])-180),360),MOD(180-ABS(ABS($DB$1-RecData[Yaw Angle (°)])-180),360))</f>
        <v>13.470250605735259</v>
      </c>
      <c r="DB454" s="2" t="str">
        <f>IF($DP$2="None","None",IF(RecData[[#This Row],[Relative Wind Direction]]&lt;=45,"DW",IF(RecData[[#This Row],[Relative Wind Direction]]&lt;=135,"CW","UW")))</f>
        <v>DW</v>
      </c>
      <c r="DC454" s="61">
        <f>IF($CL454-$CL450&gt;1/24,#REF!,IF(SUM($CQ450:$CQ454)&gt;$DS$1,$DS$5,DC455-1))</f>
        <v>-4</v>
      </c>
      <c r="DD454" s="61">
        <f>IF($CL455-$CL454&gt;1/24,#REF!,IF(SUM($CQ450:$CQ454)&gt;$DS$1,$DS$6,DD453-1))</f>
        <v>-7</v>
      </c>
      <c r="DE454" s="18" t="b">
        <v>0</v>
      </c>
      <c r="DF454" s="2" t="b">
        <f>IF(OR(RecData[[#This Row],[WSpd_Avg '[m/s']]]-RecData[[#This Row],[Wind Speed min]]&gt;=$DF$3,RecData[[#This Row],[Wind Speed max]]-RecData[[#This Row],[WSpd_Avg '[m/s']]]&gt;=$DF$2),TRUE,FALSE)</f>
        <v>0</v>
      </c>
      <c r="DG454" s="2" t="b">
        <f>RecData[[#This Row],[Temperature '[°C']]]&lt;=-20</f>
        <v>0</v>
      </c>
      <c r="DH454" s="18" t="b">
        <f>NOT(OR(MOD(RecData[[#This Row],[TIMESTAMP]],1)&gt;0.91632,MOD(RecData[[#This Row],[TIMESTAMP]],1)&lt;0.208681))</f>
        <v>0</v>
      </c>
      <c r="DI454" s="18" t="b">
        <f>RecData[[#This Row],[Overall (dBA)]]-RecData[[#This Row],[L90]]&gt;=$DS$4</f>
        <v>0</v>
      </c>
      <c r="DJ454" s="18" t="b">
        <f>RecData[[#This Row],[Overall (dBA)]]&gt;$DS$2</f>
        <v>0</v>
      </c>
      <c r="DK454" s="18" t="b">
        <f>RecData[[#This Row],[Overall (dBA)]]&lt;$DS$3</f>
        <v>0</v>
      </c>
      <c r="DL4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4" s="2">
        <f>IF(AND(RecData[[#This Row],[Turbines ON/OFF]] = "OFF", NOT(OR(RecData[[#This Row],[Junk?]]="YES",RecData[[#This Row],[Gust?]],RecData[[#This Row],[Rain?]:[Min SPL Threshold?]]))),1,0)</f>
        <v>0</v>
      </c>
      <c r="DN454" s="16">
        <f>RecData[[#This Row],[dBA Sum]]</f>
        <v>38.566546955251361</v>
      </c>
      <c r="DO454" s="16">
        <f>RecData[[#This Row],[LAF90.0]]</f>
        <v>38</v>
      </c>
      <c r="DP454" s="55">
        <f>IF(AND(RecData[[#This Row],[Useable TON Data?]],RecData[[#This Row],[Turbines ON/OFF]]="ON"),RecData[[#This Row],[dBA Sum]],"")</f>
        <v>38.566546955251361</v>
      </c>
      <c r="DQ454" s="55" t="str">
        <f>IF(AND(RecData[[#This Row],[Useable Background Data?]],RecData[[#This Row],[Turbines ON/OFF]]="OFF"),RecData[[#This Row],[dBA Sum]],"")</f>
        <v/>
      </c>
      <c r="DR454" s="3">
        <f>IF(OR(RecData[[#This Row],[Useable TON Data?]],RecData[[#This Row],[Useable Background Data?]]),ROUND(RecData[[#This Row],[WSpd_Avg '[m/s']]],0),"")</f>
        <v>1</v>
      </c>
      <c r="DS454" s="85">
        <f>(0.00002)^2*(10^(RecData[[#This Row],[Overall (dBA)]]/10))</f>
        <v>2.8755087062039417E-6</v>
      </c>
    </row>
    <row r="455" spans="1:123" ht="15" x14ac:dyDescent="0.25">
      <c r="A455" s="3" t="s">
        <v>249</v>
      </c>
      <c r="B455" s="12">
        <v>43270.008333333331</v>
      </c>
      <c r="C455" s="3"/>
      <c r="D455" s="3">
        <v>40</v>
      </c>
      <c r="E455" s="3"/>
      <c r="F455" s="3"/>
      <c r="G455" s="3"/>
      <c r="H455" s="3"/>
      <c r="I455" s="3"/>
      <c r="J455" s="3"/>
      <c r="K455" s="3">
        <v>38.9</v>
      </c>
      <c r="L455" s="3"/>
      <c r="M455" s="3"/>
      <c r="N455" s="3">
        <v>168.3</v>
      </c>
      <c r="O455" s="3"/>
      <c r="P455" s="3"/>
      <c r="Q455" s="3">
        <v>0.53</v>
      </c>
      <c r="R455" s="3">
        <v>0</v>
      </c>
      <c r="S455" s="3">
        <v>1.8</v>
      </c>
      <c r="T455" s="3">
        <v>16.600000000000001</v>
      </c>
      <c r="U455" s="3">
        <v>65.400000000000006</v>
      </c>
      <c r="V455" s="3">
        <v>972.6</v>
      </c>
      <c r="W455" s="3">
        <v>0</v>
      </c>
      <c r="X455" s="3">
        <v>46.7</v>
      </c>
      <c r="Y455" s="3">
        <v>47</v>
      </c>
      <c r="Z455" s="3">
        <v>45.9</v>
      </c>
      <c r="AA455" s="3">
        <v>41.2</v>
      </c>
      <c r="AB455" s="3">
        <v>37.200000000000003</v>
      </c>
      <c r="AC455" s="3">
        <v>35.1</v>
      </c>
      <c r="AD455" s="3">
        <v>40</v>
      </c>
      <c r="AE455" s="3">
        <v>42.4</v>
      </c>
      <c r="AF455" s="3">
        <v>44.3</v>
      </c>
      <c r="AG455" s="3">
        <v>37.6</v>
      </c>
      <c r="AH455" s="3">
        <v>38.5</v>
      </c>
      <c r="AI455" s="3">
        <v>38.1</v>
      </c>
      <c r="AJ455" s="3">
        <v>36.9</v>
      </c>
      <c r="AK455" s="3">
        <v>34.799999999999997</v>
      </c>
      <c r="AL455" s="3">
        <v>32.1</v>
      </c>
      <c r="AM455" s="3">
        <v>31.4</v>
      </c>
      <c r="AN455" s="3">
        <v>29.6</v>
      </c>
      <c r="AO455" s="3">
        <v>26.3</v>
      </c>
      <c r="AP455" s="3">
        <v>25</v>
      </c>
      <c r="AQ455" s="3">
        <v>23.1</v>
      </c>
      <c r="AR455" s="3">
        <v>21.2</v>
      </c>
      <c r="AS455" s="3">
        <v>24.8</v>
      </c>
      <c r="AT455" s="3">
        <v>29.4</v>
      </c>
      <c r="AU455" s="3">
        <v>14.9</v>
      </c>
      <c r="AV455" s="3">
        <v>13</v>
      </c>
      <c r="AW455" s="3">
        <v>12.3</v>
      </c>
      <c r="AX455" s="3">
        <v>10.199999999999999</v>
      </c>
      <c r="AY455" s="3">
        <v>9.6999999999999993</v>
      </c>
      <c r="AZ455" s="3">
        <v>0</v>
      </c>
      <c r="BA455" s="3">
        <v>0</v>
      </c>
      <c r="BB455" s="3">
        <v>0</v>
      </c>
      <c r="BC455" s="3">
        <v>40.003208084962793</v>
      </c>
      <c r="BD455" s="3">
        <v>46.69679191503721</v>
      </c>
      <c r="BE455" s="3">
        <v>46.996791915037207</v>
      </c>
      <c r="BF455" s="3">
        <v>44.656791915037203</v>
      </c>
      <c r="BG455" s="3">
        <v>40.283458581703869</v>
      </c>
      <c r="BH455" s="3">
        <v>36.423458581703883</v>
      </c>
      <c r="BI455" s="3">
        <v>34.736791915037216</v>
      </c>
      <c r="BJ455" s="3">
        <v>40.430125248370544</v>
      </c>
      <c r="BK455" s="3">
        <v>42.70345858170387</v>
      </c>
      <c r="BL455" s="3">
        <v>44.176791915037214</v>
      </c>
      <c r="BM455" s="3">
        <v>37.610125248370551</v>
      </c>
      <c r="BN455" s="3">
        <v>38.793458581703874</v>
      </c>
      <c r="BO455" s="3">
        <v>37.760125248370542</v>
      </c>
      <c r="BP455" s="3">
        <v>36.276791915037208</v>
      </c>
      <c r="BQ455" s="3">
        <v>34.593458581703871</v>
      </c>
      <c r="BR455" s="3">
        <v>32.220125248370536</v>
      </c>
      <c r="BS455" s="3">
        <v>31.323458581703875</v>
      </c>
      <c r="BT455" s="3">
        <v>29.720125248370536</v>
      </c>
      <c r="BU455" s="3">
        <v>26.386791915037207</v>
      </c>
      <c r="BV455" s="3">
        <v>24.803458581703879</v>
      </c>
      <c r="BW455" s="3">
        <v>23.436791915037212</v>
      </c>
      <c r="BX455" s="3">
        <v>21.456791915037215</v>
      </c>
      <c r="BY455" s="3">
        <v>24.876791915037202</v>
      </c>
      <c r="BZ455" s="3">
        <v>29.606791915037206</v>
      </c>
      <c r="CA455" s="3">
        <v>15.206791915037201</v>
      </c>
      <c r="CB455" s="3">
        <v>12.743458581703869</v>
      </c>
      <c r="CC455" s="3">
        <v>12.256791915037205</v>
      </c>
      <c r="CD455" s="3">
        <v>9.4634585817038754</v>
      </c>
      <c r="CE455" s="3">
        <v>9.1567919150372035</v>
      </c>
      <c r="CF455" s="3">
        <v>-0.92987475162946254</v>
      </c>
      <c r="CG455" s="3">
        <v>-1.463208084962794</v>
      </c>
      <c r="CH455" s="3">
        <v>-2.539874751629462</v>
      </c>
      <c r="CI455" s="13">
        <f>[1]!dbasum(RecData[[#This Row],[20]:[2000]],RecData[[#Headers],[20]:[2000]])</f>
        <v>39.13953711975941</v>
      </c>
      <c r="CJ455" s="14">
        <v>8189</v>
      </c>
      <c r="CK455" s="15" t="s">
        <v>249</v>
      </c>
      <c r="CL455" s="15">
        <f>RecData[[#This Row],[Start Time]]</f>
        <v>43270.008333333331</v>
      </c>
      <c r="CM455" s="16">
        <f>RecData[[#This Row],[Wind Speed avg]]</f>
        <v>0.53</v>
      </c>
      <c r="CN455" s="16">
        <f>RecData[[#This Row],[Wind Dir. avg]]</f>
        <v>168.3</v>
      </c>
      <c r="CO455" s="16">
        <f>RecData[[#This Row],[Amb. Humidity]]</f>
        <v>65.400000000000006</v>
      </c>
      <c r="CP455" s="16">
        <f>RecData[[#This Row],[Amb. Temperature]]</f>
        <v>16.600000000000001</v>
      </c>
      <c r="CQ455" s="17">
        <f>RecData[[#This Row],[Amb. Rain Gauge]]</f>
        <v>0</v>
      </c>
      <c r="CR455" s="4" t="s">
        <v>1</v>
      </c>
      <c r="CS455" s="4" t="s">
        <v>49</v>
      </c>
      <c r="CT455" s="70">
        <v>1550.81274414062</v>
      </c>
      <c r="CU455" s="70">
        <v>21.000177383422798</v>
      </c>
      <c r="CV455" s="70">
        <v>9.8331594467162997</v>
      </c>
      <c r="CW455" s="70">
        <v>15.209493637084901</v>
      </c>
      <c r="CX455" s="4"/>
      <c r="CY455" s="69"/>
      <c r="CZ455" s="2" t="b">
        <f>IF($DP$1="YES",IF(RecData[[#This Row],[Power (kW)]]&gt;=$CR$3, TRUE,FALSE),TRUE)</f>
        <v>1</v>
      </c>
      <c r="DA455" s="16">
        <f>MIN(MOD(180-ABS(ABS($DA$1-RecData[Yaw Angle (°)])-180),360),MOD(180-ABS(ABS($DB$1-RecData[Yaw Angle (°)])-180),360))</f>
        <v>13.470250605735259</v>
      </c>
      <c r="DB455" s="2" t="str">
        <f>IF($DP$2="None","None",IF(RecData[[#This Row],[Relative Wind Direction]]&lt;=45,"DW",IF(RecData[[#This Row],[Relative Wind Direction]]&lt;=135,"CW","UW")))</f>
        <v>DW</v>
      </c>
      <c r="DC455" s="61">
        <f>IF($CL455-$CL451&gt;1/24,#REF!,IF(SUM($CQ451:$CQ455)&gt;$DS$1,$DS$5,DC456-1))</f>
        <v>-3</v>
      </c>
      <c r="DD455" s="61">
        <f>IF($CL456-$CL455&gt;1/24,#REF!,IF(SUM($CQ451:$CQ455)&gt;$DS$1,$DS$6,DD454-1))</f>
        <v>-8</v>
      </c>
      <c r="DE455" s="18" t="b">
        <v>0</v>
      </c>
      <c r="DF455" s="2" t="b">
        <f>IF(OR(RecData[[#This Row],[WSpd_Avg '[m/s']]]-RecData[[#This Row],[Wind Speed min]]&gt;=$DF$3,RecData[[#This Row],[Wind Speed max]]-RecData[[#This Row],[WSpd_Avg '[m/s']]]&gt;=$DF$2),TRUE,FALSE)</f>
        <v>0</v>
      </c>
      <c r="DG455" s="2" t="b">
        <f>RecData[[#This Row],[Temperature '[°C']]]&lt;=-20</f>
        <v>0</v>
      </c>
      <c r="DH455" s="18" t="b">
        <f>NOT(OR(MOD(RecData[[#This Row],[TIMESTAMP]],1)&gt;0.91632,MOD(RecData[[#This Row],[TIMESTAMP]],1)&lt;0.208681))</f>
        <v>0</v>
      </c>
      <c r="DI455" s="18" t="b">
        <f>RecData[[#This Row],[Overall (dBA)]]-RecData[[#This Row],[L90]]&gt;=$DS$4</f>
        <v>0</v>
      </c>
      <c r="DJ455" s="18" t="b">
        <f>RecData[[#This Row],[Overall (dBA)]]&gt;$DS$2</f>
        <v>0</v>
      </c>
      <c r="DK455" s="18" t="b">
        <f>RecData[[#This Row],[Overall (dBA)]]&lt;$DS$3</f>
        <v>0</v>
      </c>
      <c r="DL4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5" s="2">
        <f>IF(AND(RecData[[#This Row],[Turbines ON/OFF]] = "OFF", NOT(OR(RecData[[#This Row],[Junk?]]="YES",RecData[[#This Row],[Gust?]],RecData[[#This Row],[Rain?]:[Min SPL Threshold?]]))),1,0)</f>
        <v>0</v>
      </c>
      <c r="DN455" s="16">
        <f>RecData[[#This Row],[dBA Sum]]</f>
        <v>39.13953711975941</v>
      </c>
      <c r="DO455" s="16">
        <f>RecData[[#This Row],[LAF90.0]]</f>
        <v>38.9</v>
      </c>
      <c r="DP455" s="55">
        <f>IF(AND(RecData[[#This Row],[Useable TON Data?]],RecData[[#This Row],[Turbines ON/OFF]]="ON"),RecData[[#This Row],[dBA Sum]],"")</f>
        <v>39.13953711975941</v>
      </c>
      <c r="DQ455" s="55" t="str">
        <f>IF(AND(RecData[[#This Row],[Useable Background Data?]],RecData[[#This Row],[Turbines ON/OFF]]="OFF"),RecData[[#This Row],[dBA Sum]],"")</f>
        <v/>
      </c>
      <c r="DR455" s="3">
        <f>IF(OR(RecData[[#This Row],[Useable TON Data?]],RecData[[#This Row],[Useable Background Data?]]),ROUND(RecData[[#This Row],[WSpd_Avg '[m/s']]],0),"")</f>
        <v>1</v>
      </c>
      <c r="DS455" s="85">
        <f>(0.00002)^2*(10^(RecData[[#This Row],[Overall (dBA)]]/10))</f>
        <v>3.2810564567487198E-6</v>
      </c>
    </row>
    <row r="456" spans="1:123" ht="15" x14ac:dyDescent="0.25">
      <c r="A456" s="3" t="s">
        <v>249</v>
      </c>
      <c r="B456" s="12">
        <v>43270.009027777778</v>
      </c>
      <c r="C456" s="3"/>
      <c r="D456" s="3">
        <v>39.1</v>
      </c>
      <c r="E456" s="3"/>
      <c r="F456" s="3"/>
      <c r="G456" s="3"/>
      <c r="H456" s="3"/>
      <c r="I456" s="3"/>
      <c r="J456" s="3"/>
      <c r="K456" s="3">
        <v>37.4</v>
      </c>
      <c r="L456" s="3"/>
      <c r="M456" s="3"/>
      <c r="N456" s="3">
        <v>138.9</v>
      </c>
      <c r="O456" s="3"/>
      <c r="P456" s="3"/>
      <c r="Q456" s="3">
        <v>0.78</v>
      </c>
      <c r="R456" s="3">
        <v>0.1</v>
      </c>
      <c r="S456" s="3">
        <v>1.2</v>
      </c>
      <c r="T456" s="3">
        <v>16.7</v>
      </c>
      <c r="U456" s="3">
        <v>66.2</v>
      </c>
      <c r="V456" s="3">
        <v>972.6</v>
      </c>
      <c r="W456" s="3">
        <v>0</v>
      </c>
      <c r="X456" s="3">
        <v>46.2</v>
      </c>
      <c r="Y456" s="3">
        <v>46.8</v>
      </c>
      <c r="Z456" s="3">
        <v>45.9</v>
      </c>
      <c r="AA456" s="3">
        <v>40.5</v>
      </c>
      <c r="AB456" s="3">
        <v>37</v>
      </c>
      <c r="AC456" s="3">
        <v>35.4</v>
      </c>
      <c r="AD456" s="3">
        <v>39.1</v>
      </c>
      <c r="AE456" s="3">
        <v>41.9</v>
      </c>
      <c r="AF456" s="3">
        <v>43</v>
      </c>
      <c r="AG456" s="3">
        <v>36.700000000000003</v>
      </c>
      <c r="AH456" s="3">
        <v>38.1</v>
      </c>
      <c r="AI456" s="3">
        <v>37.700000000000003</v>
      </c>
      <c r="AJ456" s="3">
        <v>36.299999999999997</v>
      </c>
      <c r="AK456" s="3">
        <v>34.1</v>
      </c>
      <c r="AL456" s="3">
        <v>31.4</v>
      </c>
      <c r="AM456" s="3">
        <v>30.3</v>
      </c>
      <c r="AN456" s="3">
        <v>28.3</v>
      </c>
      <c r="AO456" s="3">
        <v>25.2</v>
      </c>
      <c r="AP456" s="3">
        <v>23.8</v>
      </c>
      <c r="AQ456" s="3">
        <v>21.8</v>
      </c>
      <c r="AR456" s="3">
        <v>19.2</v>
      </c>
      <c r="AS456" s="3">
        <v>22.6</v>
      </c>
      <c r="AT456" s="3">
        <v>28.6</v>
      </c>
      <c r="AU456" s="3">
        <v>10.7</v>
      </c>
      <c r="AV456" s="3">
        <v>9.6999999999999993</v>
      </c>
      <c r="AW456" s="3">
        <v>9.8000000000000007</v>
      </c>
      <c r="AX456" s="3">
        <v>9.3000000000000007</v>
      </c>
      <c r="AY456" s="3">
        <v>9.4</v>
      </c>
      <c r="AZ456" s="3">
        <v>0</v>
      </c>
      <c r="BA456" s="3">
        <v>0</v>
      </c>
      <c r="BB456" s="3">
        <v>0</v>
      </c>
      <c r="BC456" s="3">
        <v>39.095264296943441</v>
      </c>
      <c r="BD456" s="3">
        <v>46.204735703056571</v>
      </c>
      <c r="BE456" s="3">
        <v>46.804735703056565</v>
      </c>
      <c r="BF456" s="3">
        <v>44.66473570305655</v>
      </c>
      <c r="BG456" s="3">
        <v>39.591402369723227</v>
      </c>
      <c r="BH456" s="3">
        <v>36.231402369723227</v>
      </c>
      <c r="BI456" s="3">
        <v>35.04473570305656</v>
      </c>
      <c r="BJ456" s="3">
        <v>39.538069036389885</v>
      </c>
      <c r="BK456" s="3">
        <v>42.211402369723231</v>
      </c>
      <c r="BL456" s="3">
        <v>42.884735703056563</v>
      </c>
      <c r="BM456" s="3">
        <v>36.718069036389892</v>
      </c>
      <c r="BN456" s="3">
        <v>38.401402369723229</v>
      </c>
      <c r="BO456" s="3">
        <v>37.368069036389898</v>
      </c>
      <c r="BP456" s="3">
        <v>35.68473570305656</v>
      </c>
      <c r="BQ456" s="3">
        <v>33.901402369723229</v>
      </c>
      <c r="BR456" s="3">
        <v>31.528069036389894</v>
      </c>
      <c r="BS456" s="3">
        <v>30.231402369723227</v>
      </c>
      <c r="BT456" s="3">
        <v>28.4280690363899</v>
      </c>
      <c r="BU456" s="3">
        <v>25.29473570305656</v>
      </c>
      <c r="BV456" s="3">
        <v>23.61140236972323</v>
      </c>
      <c r="BW456" s="3">
        <v>22.144735703056568</v>
      </c>
      <c r="BX456" s="3">
        <v>19.464735703056562</v>
      </c>
      <c r="BY456" s="3">
        <v>22.68473570305656</v>
      </c>
      <c r="BZ456" s="3">
        <v>28.81473570305657</v>
      </c>
      <c r="CA456" s="3">
        <v>11.014735703056552</v>
      </c>
      <c r="CB456" s="3">
        <v>9.4514023697232261</v>
      </c>
      <c r="CC456" s="3">
        <v>9.7647357030565587</v>
      </c>
      <c r="CD456" s="3">
        <v>8.5714023697232307</v>
      </c>
      <c r="CE456" s="3">
        <v>8.8647357030565601</v>
      </c>
      <c r="CF456" s="3">
        <v>-0.92193096361010873</v>
      </c>
      <c r="CG456" s="3">
        <v>-1.4552642969434402</v>
      </c>
      <c r="CH456" s="3">
        <v>-2.5319309636101082</v>
      </c>
      <c r="CI456" s="13">
        <f>[1]!dbasum(RecData[[#This Row],[20]:[2000]],RecData[[#Headers],[20]:[2000]])</f>
        <v>38.288259917179786</v>
      </c>
      <c r="CJ456" s="14">
        <v>8190</v>
      </c>
      <c r="CK456" s="15" t="s">
        <v>249</v>
      </c>
      <c r="CL456" s="15">
        <f>RecData[[#This Row],[Start Time]]</f>
        <v>43270.009027777778</v>
      </c>
      <c r="CM456" s="16">
        <f>RecData[[#This Row],[Wind Speed avg]]</f>
        <v>0.78</v>
      </c>
      <c r="CN456" s="16">
        <f>RecData[[#This Row],[Wind Dir. avg]]</f>
        <v>138.9</v>
      </c>
      <c r="CO456" s="16">
        <f>RecData[[#This Row],[Amb. Humidity]]</f>
        <v>66.2</v>
      </c>
      <c r="CP456" s="16">
        <f>RecData[[#This Row],[Amb. Temperature]]</f>
        <v>16.7</v>
      </c>
      <c r="CQ456" s="17">
        <f>RecData[[#This Row],[Amb. Rain Gauge]]</f>
        <v>0</v>
      </c>
      <c r="CR456" s="4" t="s">
        <v>1</v>
      </c>
      <c r="CS456" s="4" t="s">
        <v>49</v>
      </c>
      <c r="CT456" s="70">
        <v>1550.81274414062</v>
      </c>
      <c r="CU456" s="70">
        <v>21.000177383422798</v>
      </c>
      <c r="CV456" s="70">
        <v>9.8331594467162997</v>
      </c>
      <c r="CW456" s="70">
        <v>15.209493637084901</v>
      </c>
      <c r="CX456" s="4"/>
      <c r="CY456" s="69"/>
      <c r="CZ456" s="2" t="b">
        <f>IF($DP$1="YES",IF(RecData[[#This Row],[Power (kW)]]&gt;=$CR$3, TRUE,FALSE),TRUE)</f>
        <v>1</v>
      </c>
      <c r="DA456" s="16">
        <f>MIN(MOD(180-ABS(ABS($DA$1-RecData[Yaw Angle (°)])-180),360),MOD(180-ABS(ABS($DB$1-RecData[Yaw Angle (°)])-180),360))</f>
        <v>13.470250605735259</v>
      </c>
      <c r="DB456" s="2" t="str">
        <f>IF($DP$2="None","None",IF(RecData[[#This Row],[Relative Wind Direction]]&lt;=45,"DW",IF(RecData[[#This Row],[Relative Wind Direction]]&lt;=135,"CW","UW")))</f>
        <v>DW</v>
      </c>
      <c r="DC456" s="61">
        <f>IF($CL456-$CL452&gt;1/24,#REF!,IF(SUM($CQ452:$CQ456)&gt;$DS$1,$DS$5,DC457-1))</f>
        <v>-2</v>
      </c>
      <c r="DD456" s="61">
        <f>IF($CL457-$CL456&gt;1/24,#REF!,IF(SUM($CQ452:$CQ456)&gt;$DS$1,$DS$6,DD455-1))</f>
        <v>-9</v>
      </c>
      <c r="DE456" s="18" t="b">
        <v>0</v>
      </c>
      <c r="DF456" s="2" t="b">
        <f>IF(OR(RecData[[#This Row],[WSpd_Avg '[m/s']]]-RecData[[#This Row],[Wind Speed min]]&gt;=$DF$3,RecData[[#This Row],[Wind Speed max]]-RecData[[#This Row],[WSpd_Avg '[m/s']]]&gt;=$DF$2),TRUE,FALSE)</f>
        <v>0</v>
      </c>
      <c r="DG456" s="2" t="b">
        <f>RecData[[#This Row],[Temperature '[°C']]]&lt;=-20</f>
        <v>0</v>
      </c>
      <c r="DH456" s="18" t="b">
        <f>NOT(OR(MOD(RecData[[#This Row],[TIMESTAMP]],1)&gt;0.91632,MOD(RecData[[#This Row],[TIMESTAMP]],1)&lt;0.208681))</f>
        <v>0</v>
      </c>
      <c r="DI456" s="18" t="b">
        <f>RecData[[#This Row],[Overall (dBA)]]-RecData[[#This Row],[L90]]&gt;=$DS$4</f>
        <v>0</v>
      </c>
      <c r="DJ456" s="18" t="b">
        <f>RecData[[#This Row],[Overall (dBA)]]&gt;$DS$2</f>
        <v>0</v>
      </c>
      <c r="DK456" s="18" t="b">
        <f>RecData[[#This Row],[Overall (dBA)]]&lt;$DS$3</f>
        <v>0</v>
      </c>
      <c r="DL4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6" s="2">
        <f>IF(AND(RecData[[#This Row],[Turbines ON/OFF]] = "OFF", NOT(OR(RecData[[#This Row],[Junk?]]="YES",RecData[[#This Row],[Gust?]],RecData[[#This Row],[Rain?]:[Min SPL Threshold?]]))),1,0)</f>
        <v>0</v>
      </c>
      <c r="DN456" s="16">
        <f>RecData[[#This Row],[dBA Sum]]</f>
        <v>38.288259917179786</v>
      </c>
      <c r="DO456" s="16">
        <f>RecData[[#This Row],[LAF90.0]]</f>
        <v>37.4</v>
      </c>
      <c r="DP456" s="55">
        <f>IF(AND(RecData[[#This Row],[Useable TON Data?]],RecData[[#This Row],[Turbines ON/OFF]]="ON"),RecData[[#This Row],[dBA Sum]],"")</f>
        <v>38.288259917179786</v>
      </c>
      <c r="DQ456" s="55" t="str">
        <f>IF(AND(RecData[[#This Row],[Useable Background Data?]],RecData[[#This Row],[Turbines ON/OFF]]="OFF"),RecData[[#This Row],[dBA Sum]],"")</f>
        <v/>
      </c>
      <c r="DR456" s="3">
        <f>IF(OR(RecData[[#This Row],[Useable TON Data?]],RecData[[#This Row],[Useable Background Data?]]),ROUND(RecData[[#This Row],[WSpd_Avg '[m/s']]],0),"")</f>
        <v>1</v>
      </c>
      <c r="DS456" s="85">
        <f>(0.00002)^2*(10^(RecData[[#This Row],[Overall (dBA)]]/10))</f>
        <v>2.6970312777868233E-6</v>
      </c>
    </row>
    <row r="457" spans="1:123" ht="15" x14ac:dyDescent="0.25">
      <c r="A457" s="3" t="s">
        <v>249</v>
      </c>
      <c r="B457" s="12">
        <v>43270.009722222225</v>
      </c>
      <c r="C457" s="3"/>
      <c r="D457" s="3">
        <v>39.4</v>
      </c>
      <c r="E457" s="3"/>
      <c r="F457" s="3"/>
      <c r="G457" s="3"/>
      <c r="H457" s="3"/>
      <c r="I457" s="3"/>
      <c r="J457" s="3"/>
      <c r="K457" s="3">
        <v>38</v>
      </c>
      <c r="L457" s="3"/>
      <c r="M457" s="3"/>
      <c r="N457" s="3">
        <v>168.4</v>
      </c>
      <c r="O457" s="3"/>
      <c r="P457" s="3"/>
      <c r="Q457" s="3">
        <v>0.54</v>
      </c>
      <c r="R457" s="3">
        <v>0.1</v>
      </c>
      <c r="S457" s="3">
        <v>1</v>
      </c>
      <c r="T457" s="3">
        <v>16.7</v>
      </c>
      <c r="U457" s="3">
        <v>67</v>
      </c>
      <c r="V457" s="3">
        <v>972.6</v>
      </c>
      <c r="W457" s="3">
        <v>0</v>
      </c>
      <c r="X457" s="3">
        <v>47</v>
      </c>
      <c r="Y457" s="3">
        <v>46.7</v>
      </c>
      <c r="Z457" s="3">
        <v>44.9</v>
      </c>
      <c r="AA457" s="3">
        <v>40.200000000000003</v>
      </c>
      <c r="AB457" s="3">
        <v>36.4</v>
      </c>
      <c r="AC457" s="3">
        <v>35.5</v>
      </c>
      <c r="AD457" s="3">
        <v>39.700000000000003</v>
      </c>
      <c r="AE457" s="3">
        <v>42.5</v>
      </c>
      <c r="AF457" s="3">
        <v>43.3</v>
      </c>
      <c r="AG457" s="3">
        <v>36.200000000000003</v>
      </c>
      <c r="AH457" s="3">
        <v>38.5</v>
      </c>
      <c r="AI457" s="3">
        <v>37.200000000000003</v>
      </c>
      <c r="AJ457" s="3">
        <v>36.700000000000003</v>
      </c>
      <c r="AK457" s="3">
        <v>34.299999999999997</v>
      </c>
      <c r="AL457" s="3">
        <v>31.9</v>
      </c>
      <c r="AM457" s="3">
        <v>31.1</v>
      </c>
      <c r="AN457" s="3">
        <v>29.7</v>
      </c>
      <c r="AO457" s="3">
        <v>26.5</v>
      </c>
      <c r="AP457" s="3">
        <v>24.7</v>
      </c>
      <c r="AQ457" s="3">
        <v>22.8</v>
      </c>
      <c r="AR457" s="3">
        <v>20</v>
      </c>
      <c r="AS457" s="3">
        <v>22.2</v>
      </c>
      <c r="AT457" s="3">
        <v>27.6</v>
      </c>
      <c r="AU457" s="3">
        <v>11</v>
      </c>
      <c r="AV457" s="3">
        <v>10</v>
      </c>
      <c r="AW457" s="3">
        <v>9.9</v>
      </c>
      <c r="AX457" s="3">
        <v>9.3000000000000007</v>
      </c>
      <c r="AY457" s="3">
        <v>9.5</v>
      </c>
      <c r="AZ457" s="3">
        <v>0</v>
      </c>
      <c r="BA457" s="3">
        <v>0</v>
      </c>
      <c r="BB457" s="3">
        <v>0</v>
      </c>
      <c r="BC457" s="3">
        <v>39.407198236757878</v>
      </c>
      <c r="BD457" s="3">
        <v>46.992801763242127</v>
      </c>
      <c r="BE457" s="3">
        <v>46.692801763242116</v>
      </c>
      <c r="BF457" s="3">
        <v>43.652801763242124</v>
      </c>
      <c r="BG457" s="3">
        <v>39.279468429908789</v>
      </c>
      <c r="BH457" s="3">
        <v>35.619468429908792</v>
      </c>
      <c r="BI457" s="3">
        <v>35.132801763242114</v>
      </c>
      <c r="BJ457" s="3">
        <v>40.126135096575453</v>
      </c>
      <c r="BK457" s="3">
        <v>42.799468429908785</v>
      </c>
      <c r="BL457" s="3">
        <v>43.17280176324212</v>
      </c>
      <c r="BM457" s="3">
        <v>36.206135096575466</v>
      </c>
      <c r="BN457" s="3">
        <v>38.78946842990878</v>
      </c>
      <c r="BO457" s="3">
        <v>36.856135096575457</v>
      </c>
      <c r="BP457" s="3">
        <v>36.072801763242126</v>
      </c>
      <c r="BQ457" s="3">
        <v>34.089468429908777</v>
      </c>
      <c r="BR457" s="3">
        <v>32.016135096575454</v>
      </c>
      <c r="BS457" s="3">
        <v>31.019468429908784</v>
      </c>
      <c r="BT457" s="3">
        <v>29.816135096575451</v>
      </c>
      <c r="BU457" s="3">
        <v>26.582801763242131</v>
      </c>
      <c r="BV457" s="3">
        <v>24.499468429908788</v>
      </c>
      <c r="BW457" s="3">
        <v>23.132801763242128</v>
      </c>
      <c r="BX457" s="3">
        <v>20.252801763242125</v>
      </c>
      <c r="BY457" s="3">
        <v>22.272801763242114</v>
      </c>
      <c r="BZ457" s="3">
        <v>27.80280176324213</v>
      </c>
      <c r="CA457" s="3">
        <v>11.302801763242115</v>
      </c>
      <c r="CB457" s="3">
        <v>9.7394684299087828</v>
      </c>
      <c r="CC457" s="3">
        <v>9.8528017632421196</v>
      </c>
      <c r="CD457" s="3">
        <v>8.5594684299087902</v>
      </c>
      <c r="CE457" s="3">
        <v>8.9528017632421211</v>
      </c>
      <c r="CF457" s="3">
        <v>-0.9338649034245492</v>
      </c>
      <c r="CG457" s="3">
        <v>-1.4671982367578806</v>
      </c>
      <c r="CH457" s="3">
        <v>-2.5438649034245486</v>
      </c>
      <c r="CI457" s="13">
        <f>[1]!dbasum(RecData[[#This Row],[20]:[2000]],RecData[[#Headers],[20]:[2000]])</f>
        <v>38.780983092801613</v>
      </c>
      <c r="CJ457" s="14">
        <v>8191</v>
      </c>
      <c r="CK457" s="15" t="s">
        <v>249</v>
      </c>
      <c r="CL457" s="15">
        <f>RecData[[#This Row],[Start Time]]</f>
        <v>43270.009722222225</v>
      </c>
      <c r="CM457" s="16">
        <f>RecData[[#This Row],[Wind Speed avg]]</f>
        <v>0.54</v>
      </c>
      <c r="CN457" s="16">
        <f>RecData[[#This Row],[Wind Dir. avg]]</f>
        <v>168.4</v>
      </c>
      <c r="CO457" s="16">
        <f>RecData[[#This Row],[Amb. Humidity]]</f>
        <v>67</v>
      </c>
      <c r="CP457" s="16">
        <f>RecData[[#This Row],[Amb. Temperature]]</f>
        <v>16.7</v>
      </c>
      <c r="CQ457" s="17">
        <f>RecData[[#This Row],[Amb. Rain Gauge]]</f>
        <v>0</v>
      </c>
      <c r="CR457" s="4" t="s">
        <v>1</v>
      </c>
      <c r="CS457" s="4" t="s">
        <v>49</v>
      </c>
      <c r="CT457" s="70">
        <v>1550.81274414062</v>
      </c>
      <c r="CU457" s="70">
        <v>21.000177383422798</v>
      </c>
      <c r="CV457" s="70">
        <v>9.8331594467162997</v>
      </c>
      <c r="CW457" s="70">
        <v>15.209493637084901</v>
      </c>
      <c r="CX457" s="4"/>
      <c r="CY457" s="69"/>
      <c r="CZ457" s="2" t="b">
        <f>IF($DP$1="YES",IF(RecData[[#This Row],[Power (kW)]]&gt;=$CR$3, TRUE,FALSE),TRUE)</f>
        <v>1</v>
      </c>
      <c r="DA457" s="16">
        <f>MIN(MOD(180-ABS(ABS($DA$1-RecData[Yaw Angle (°)])-180),360),MOD(180-ABS(ABS($DB$1-RecData[Yaw Angle (°)])-180),360))</f>
        <v>13.470250605735259</v>
      </c>
      <c r="DB457" s="2" t="str">
        <f>IF($DP$2="None","None",IF(RecData[[#This Row],[Relative Wind Direction]]&lt;=45,"DW",IF(RecData[[#This Row],[Relative Wind Direction]]&lt;=135,"CW","UW")))</f>
        <v>DW</v>
      </c>
      <c r="DC457" s="61">
        <v>-1</v>
      </c>
      <c r="DD457" s="61">
        <v>-1</v>
      </c>
      <c r="DE457" s="18" t="b">
        <v>0</v>
      </c>
      <c r="DF457" s="2" t="b">
        <f>IF(OR(RecData[[#This Row],[WSpd_Avg '[m/s']]]-RecData[[#This Row],[Wind Speed min]]&gt;=$DF$3,RecData[[#This Row],[Wind Speed max]]-RecData[[#This Row],[WSpd_Avg '[m/s']]]&gt;=$DF$2),TRUE,FALSE)</f>
        <v>0</v>
      </c>
      <c r="DG457" s="2" t="b">
        <f>RecData[[#This Row],[Temperature '[°C']]]&lt;=-20</f>
        <v>0</v>
      </c>
      <c r="DH457" s="18" t="b">
        <f>NOT(OR(MOD(RecData[[#This Row],[TIMESTAMP]],1)&gt;0.91632,MOD(RecData[[#This Row],[TIMESTAMP]],1)&lt;0.208681))</f>
        <v>0</v>
      </c>
      <c r="DI457" s="18" t="b">
        <f>RecData[[#This Row],[Overall (dBA)]]-RecData[[#This Row],[L90]]&gt;=$DS$4</f>
        <v>0</v>
      </c>
      <c r="DJ457" s="18" t="b">
        <f>RecData[[#This Row],[Overall (dBA)]]&gt;$DS$2</f>
        <v>0</v>
      </c>
      <c r="DK457" s="18" t="b">
        <f>RecData[[#This Row],[Overall (dBA)]]&lt;$DS$3</f>
        <v>0</v>
      </c>
      <c r="DL4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7" s="2">
        <f>IF(AND(RecData[[#This Row],[Turbines ON/OFF]] = "OFF", NOT(OR(RecData[[#This Row],[Junk?]]="YES",RecData[[#This Row],[Gust?]],RecData[[#This Row],[Rain?]:[Min SPL Threshold?]]))),1,0)</f>
        <v>0</v>
      </c>
      <c r="DN457" s="16">
        <f>RecData[[#This Row],[dBA Sum]]</f>
        <v>38.780983092801613</v>
      </c>
      <c r="DO457" s="16">
        <f>RecData[[#This Row],[LAF90.0]]</f>
        <v>38</v>
      </c>
      <c r="DP457" s="55">
        <f>IF(AND(RecData[[#This Row],[Useable TON Data?]],RecData[[#This Row],[Turbines ON/OFF]]="ON"),RecData[[#This Row],[dBA Sum]],"")</f>
        <v>38.780983092801613</v>
      </c>
      <c r="DQ457" s="55" t="str">
        <f>IF(AND(RecData[[#This Row],[Useable Background Data?]],RecData[[#This Row],[Turbines ON/OFF]]="OFF"),RecData[[#This Row],[dBA Sum]],"")</f>
        <v/>
      </c>
      <c r="DR457" s="3">
        <f>IF(OR(RecData[[#This Row],[Useable TON Data?]],RecData[[#This Row],[Useable Background Data?]]),ROUND(RecData[[#This Row],[WSpd_Avg '[m/s']]],0),"")</f>
        <v>1</v>
      </c>
      <c r="DS457" s="85">
        <f>(0.00002)^2*(10^(RecData[[#This Row],[Overall (dBA)]]/10))</f>
        <v>3.0210526953187455E-6</v>
      </c>
    </row>
    <row r="458" spans="1:123" ht="15" x14ac:dyDescent="0.25">
      <c r="A458" s="3" t="s">
        <v>249</v>
      </c>
      <c r="B458" s="12">
        <v>43270.010416666664</v>
      </c>
      <c r="C458" s="3"/>
      <c r="D458" s="3">
        <v>39.5</v>
      </c>
      <c r="E458" s="3"/>
      <c r="F458" s="3"/>
      <c r="G458" s="3"/>
      <c r="H458" s="3"/>
      <c r="I458" s="3"/>
      <c r="J458" s="3"/>
      <c r="K458" s="3">
        <v>37.9</v>
      </c>
      <c r="L458" s="3"/>
      <c r="M458" s="3"/>
      <c r="N458" s="3">
        <v>216.7</v>
      </c>
      <c r="O458" s="3"/>
      <c r="P458" s="3"/>
      <c r="Q458" s="3">
        <v>0.57999999999999996</v>
      </c>
      <c r="R458" s="3">
        <v>0.2</v>
      </c>
      <c r="S458" s="3">
        <v>1.1000000000000001</v>
      </c>
      <c r="T458" s="3">
        <v>16.600000000000001</v>
      </c>
      <c r="U458" s="3">
        <v>65.5</v>
      </c>
      <c r="V458" s="3">
        <v>972.6</v>
      </c>
      <c r="W458" s="3">
        <v>0</v>
      </c>
      <c r="X458" s="3">
        <v>46.2</v>
      </c>
      <c r="Y458" s="3">
        <v>46.3</v>
      </c>
      <c r="Z458" s="3">
        <v>44.9</v>
      </c>
      <c r="AA458" s="3">
        <v>41.2</v>
      </c>
      <c r="AB458" s="3">
        <v>36</v>
      </c>
      <c r="AC458" s="3">
        <v>34.799999999999997</v>
      </c>
      <c r="AD458" s="3">
        <v>39.4</v>
      </c>
      <c r="AE458" s="3">
        <v>42.2</v>
      </c>
      <c r="AF458" s="3">
        <v>43.7</v>
      </c>
      <c r="AG458" s="3">
        <v>36.9</v>
      </c>
      <c r="AH458" s="3">
        <v>39.1</v>
      </c>
      <c r="AI458" s="3">
        <v>38</v>
      </c>
      <c r="AJ458" s="3">
        <v>37</v>
      </c>
      <c r="AK458" s="3">
        <v>34.299999999999997</v>
      </c>
      <c r="AL458" s="3">
        <v>31.5</v>
      </c>
      <c r="AM458" s="3">
        <v>30.2</v>
      </c>
      <c r="AN458" s="3">
        <v>28.3</v>
      </c>
      <c r="AO458" s="3">
        <v>25.2</v>
      </c>
      <c r="AP458" s="3">
        <v>23.8</v>
      </c>
      <c r="AQ458" s="3">
        <v>22</v>
      </c>
      <c r="AR458" s="3">
        <v>19.399999999999999</v>
      </c>
      <c r="AS458" s="3">
        <v>23.3</v>
      </c>
      <c r="AT458" s="3">
        <v>29.3</v>
      </c>
      <c r="AU458" s="3">
        <v>11.3</v>
      </c>
      <c r="AV458" s="3">
        <v>9.9</v>
      </c>
      <c r="AW458" s="3">
        <v>9.6999999999999993</v>
      </c>
      <c r="AX458" s="3">
        <v>9.3000000000000007</v>
      </c>
      <c r="AY458" s="3">
        <v>9.4</v>
      </c>
      <c r="AZ458" s="3">
        <v>0</v>
      </c>
      <c r="BA458" s="3">
        <v>0</v>
      </c>
      <c r="BB458" s="3">
        <v>0</v>
      </c>
      <c r="BC458" s="3">
        <v>39.469420696906099</v>
      </c>
      <c r="BD458" s="3">
        <v>46.230579303093904</v>
      </c>
      <c r="BE458" s="3">
        <v>46.330579303093899</v>
      </c>
      <c r="BF458" s="3">
        <v>43.690579303093898</v>
      </c>
      <c r="BG458" s="3">
        <v>40.317245969760563</v>
      </c>
      <c r="BH458" s="3">
        <v>35.257245969760561</v>
      </c>
      <c r="BI458" s="3">
        <v>34.470579303093899</v>
      </c>
      <c r="BJ458" s="3">
        <v>39.86391263642723</v>
      </c>
      <c r="BK458" s="3">
        <v>42.537245969760562</v>
      </c>
      <c r="BL458" s="3">
        <v>43.610579303093914</v>
      </c>
      <c r="BM458" s="3">
        <v>36.943912636427228</v>
      </c>
      <c r="BN458" s="3">
        <v>39.427245969760577</v>
      </c>
      <c r="BO458" s="3">
        <v>37.693912636427228</v>
      </c>
      <c r="BP458" s="3">
        <v>36.410579303093897</v>
      </c>
      <c r="BQ458" s="3">
        <v>34.127245969760565</v>
      </c>
      <c r="BR458" s="3">
        <v>31.653912636427236</v>
      </c>
      <c r="BS458" s="3">
        <v>30.157245969760567</v>
      </c>
      <c r="BT458" s="3">
        <v>28.453912636427233</v>
      </c>
      <c r="BU458" s="3">
        <v>25.320579303093908</v>
      </c>
      <c r="BV458" s="3">
        <v>23.637245969760571</v>
      </c>
      <c r="BW458" s="3">
        <v>22.370579303093905</v>
      </c>
      <c r="BX458" s="3">
        <v>19.690579303093905</v>
      </c>
      <c r="BY458" s="3">
        <v>23.410579303093897</v>
      </c>
      <c r="BZ458" s="3">
        <v>29.540579303093907</v>
      </c>
      <c r="CA458" s="3">
        <v>11.640579303093894</v>
      </c>
      <c r="CB458" s="3">
        <v>9.6772459697605626</v>
      </c>
      <c r="CC458" s="3">
        <v>9.690579303093898</v>
      </c>
      <c r="CD458" s="3">
        <v>8.5972459697605714</v>
      </c>
      <c r="CE458" s="3">
        <v>8.8905793030939009</v>
      </c>
      <c r="CF458" s="3">
        <v>-0.89608736357276797</v>
      </c>
      <c r="CG458" s="3">
        <v>-1.4294206969060994</v>
      </c>
      <c r="CH458" s="3">
        <v>-2.5060873635727674</v>
      </c>
      <c r="CI458" s="13">
        <f>[1]!dbasum(RecData[[#This Row],[20]:[2000]],RecData[[#Headers],[20]:[2000]])</f>
        <v>38.626203365283061</v>
      </c>
      <c r="CJ458" s="14">
        <v>8192</v>
      </c>
      <c r="CK458" s="15" t="s">
        <v>249</v>
      </c>
      <c r="CL458" s="15">
        <f>RecData[[#This Row],[Start Time]]</f>
        <v>43270.010416666664</v>
      </c>
      <c r="CM458" s="16">
        <f>RecData[[#This Row],[Wind Speed avg]]</f>
        <v>0.57999999999999996</v>
      </c>
      <c r="CN458" s="16">
        <f>RecData[[#This Row],[Wind Dir. avg]]</f>
        <v>216.7</v>
      </c>
      <c r="CO458" s="16">
        <f>RecData[[#This Row],[Amb. Humidity]]</f>
        <v>65.5</v>
      </c>
      <c r="CP458" s="16">
        <f>RecData[[#This Row],[Amb. Temperature]]</f>
        <v>16.600000000000001</v>
      </c>
      <c r="CQ458" s="17">
        <f>RecData[[#This Row],[Amb. Rain Gauge]]</f>
        <v>0</v>
      </c>
      <c r="CR458" s="4" t="s">
        <v>1</v>
      </c>
      <c r="CS458" s="4" t="s">
        <v>49</v>
      </c>
      <c r="CT458" s="70">
        <v>1550.81274414062</v>
      </c>
      <c r="CU458" s="70">
        <v>21.000177383422798</v>
      </c>
      <c r="CV458" s="70">
        <v>9.8331594467162997</v>
      </c>
      <c r="CW458" s="70">
        <v>15.209493637084901</v>
      </c>
      <c r="CX458" s="4"/>
      <c r="CY458" s="69"/>
      <c r="CZ458" s="2" t="b">
        <f>IF($DP$1="YES",IF(RecData[[#This Row],[Power (kW)]]&gt;=$CR$3, TRUE,FALSE),TRUE)</f>
        <v>1</v>
      </c>
      <c r="DA458" s="16">
        <f>MIN(MOD(180-ABS(ABS($DA$1-RecData[Yaw Angle (°)])-180),360),MOD(180-ABS(ABS($DB$1-RecData[Yaw Angle (°)])-180),360))</f>
        <v>13.470250605735259</v>
      </c>
      <c r="DB458" s="2" t="str">
        <f>IF($DP$2="None","None",IF(RecData[[#This Row],[Relative Wind Direction]]&lt;=45,"DW",IF(RecData[[#This Row],[Relative Wind Direction]]&lt;=135,"CW","UW")))</f>
        <v>DW</v>
      </c>
      <c r="DC458" s="61">
        <f>IF($CL458-$CL457&gt;1/24,#REF!,IF(SUM($CQ457:$CQ458)&gt;$DS$1,$DS$5,DC459-1))</f>
        <v>-9</v>
      </c>
      <c r="DD458" s="61">
        <f>IF($CL459-$CL458&gt;1/24,#REF!,IF(SUM($CQ457:$CQ458)&gt;$DS$1,$DS$6,DD457-1))</f>
        <v>-2</v>
      </c>
      <c r="DE458" s="18" t="b">
        <v>0</v>
      </c>
      <c r="DF458" s="2" t="b">
        <f>IF(OR(RecData[[#This Row],[WSpd_Avg '[m/s']]]-RecData[[#This Row],[Wind Speed min]]&gt;=$DF$3,RecData[[#This Row],[Wind Speed max]]-RecData[[#This Row],[WSpd_Avg '[m/s']]]&gt;=$DF$2),TRUE,FALSE)</f>
        <v>0</v>
      </c>
      <c r="DG458" s="2" t="b">
        <f>RecData[[#This Row],[Temperature '[°C']]]&lt;=-20</f>
        <v>0</v>
      </c>
      <c r="DH458" s="18" t="b">
        <f>NOT(OR(MOD(RecData[[#This Row],[TIMESTAMP]],1)&gt;0.91632,MOD(RecData[[#This Row],[TIMESTAMP]],1)&lt;0.208681))</f>
        <v>0</v>
      </c>
      <c r="DI458" s="18" t="b">
        <f>RecData[[#This Row],[Overall (dBA)]]-RecData[[#This Row],[L90]]&gt;=$DS$4</f>
        <v>0</v>
      </c>
      <c r="DJ458" s="18" t="b">
        <f>RecData[[#This Row],[Overall (dBA)]]&gt;$DS$2</f>
        <v>0</v>
      </c>
      <c r="DK458" s="18" t="b">
        <f>RecData[[#This Row],[Overall (dBA)]]&lt;$DS$3</f>
        <v>0</v>
      </c>
      <c r="DL4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8" s="2">
        <f>IF(AND(RecData[[#This Row],[Turbines ON/OFF]] = "OFF", NOT(OR(RecData[[#This Row],[Junk?]]="YES",RecData[[#This Row],[Gust?]],RecData[[#This Row],[Rain?]:[Min SPL Threshold?]]))),1,0)</f>
        <v>0</v>
      </c>
      <c r="DN458" s="16">
        <f>RecData[[#This Row],[dBA Sum]]</f>
        <v>38.626203365283061</v>
      </c>
      <c r="DO458" s="16">
        <f>RecData[[#This Row],[LAF90.0]]</f>
        <v>37.9</v>
      </c>
      <c r="DP458" s="55">
        <f>IF(AND(RecData[[#This Row],[Useable TON Data?]],RecData[[#This Row],[Turbines ON/OFF]]="ON"),RecData[[#This Row],[dBA Sum]],"")</f>
        <v>38.626203365283061</v>
      </c>
      <c r="DQ458" s="55" t="str">
        <f>IF(AND(RecData[[#This Row],[Useable Background Data?]],RecData[[#This Row],[Turbines ON/OFF]]="OFF"),RecData[[#This Row],[dBA Sum]],"")</f>
        <v/>
      </c>
      <c r="DR458" s="3">
        <f>IF(OR(RecData[[#This Row],[Useable TON Data?]],RecData[[#This Row],[Useable Background Data?]]),ROUND(RecData[[#This Row],[WSpd_Avg '[m/s']]],0),"")</f>
        <v>1</v>
      </c>
      <c r="DS458" s="85">
        <f>(0.00002)^2*(10^(RecData[[#This Row],[Overall (dBA)]]/10))</f>
        <v>2.9152803668922158E-6</v>
      </c>
    </row>
    <row r="459" spans="1:123" ht="15" x14ac:dyDescent="0.25">
      <c r="A459" s="3" t="s">
        <v>249</v>
      </c>
      <c r="B459" s="12">
        <v>43270.011111111111</v>
      </c>
      <c r="C459" s="3"/>
      <c r="D459" s="3">
        <v>39.700000000000003</v>
      </c>
      <c r="E459" s="3"/>
      <c r="F459" s="3"/>
      <c r="G459" s="3"/>
      <c r="H459" s="3"/>
      <c r="I459" s="3"/>
      <c r="J459" s="3"/>
      <c r="K459" s="3">
        <v>37.799999999999997</v>
      </c>
      <c r="L459" s="3"/>
      <c r="M459" s="3"/>
      <c r="N459" s="3">
        <v>153.6</v>
      </c>
      <c r="O459" s="3"/>
      <c r="P459" s="3"/>
      <c r="Q459" s="3">
        <v>0.96</v>
      </c>
      <c r="R459" s="3">
        <v>0.2</v>
      </c>
      <c r="S459" s="3">
        <v>2.1</v>
      </c>
      <c r="T459" s="3">
        <v>16.600000000000001</v>
      </c>
      <c r="U459" s="3">
        <v>65.2</v>
      </c>
      <c r="V459" s="3">
        <v>972.6</v>
      </c>
      <c r="W459" s="3">
        <v>0</v>
      </c>
      <c r="X459" s="3">
        <v>47.5</v>
      </c>
      <c r="Y459" s="3">
        <v>47.4</v>
      </c>
      <c r="Z459" s="3">
        <v>45.8</v>
      </c>
      <c r="AA459" s="3">
        <v>41.8</v>
      </c>
      <c r="AB459" s="3">
        <v>37.5</v>
      </c>
      <c r="AC459" s="3">
        <v>35.6</v>
      </c>
      <c r="AD459" s="3">
        <v>40.799999999999997</v>
      </c>
      <c r="AE459" s="3">
        <v>42.8</v>
      </c>
      <c r="AF459" s="3">
        <v>44.2</v>
      </c>
      <c r="AG459" s="3">
        <v>37.299999999999997</v>
      </c>
      <c r="AH459" s="3">
        <v>38.700000000000003</v>
      </c>
      <c r="AI459" s="3">
        <v>37.299999999999997</v>
      </c>
      <c r="AJ459" s="3">
        <v>36.700000000000003</v>
      </c>
      <c r="AK459" s="3">
        <v>34.5</v>
      </c>
      <c r="AL459" s="3">
        <v>31.7</v>
      </c>
      <c r="AM459" s="3">
        <v>31.1</v>
      </c>
      <c r="AN459" s="3">
        <v>29.7</v>
      </c>
      <c r="AO459" s="3">
        <v>26.3</v>
      </c>
      <c r="AP459" s="3">
        <v>24.7</v>
      </c>
      <c r="AQ459" s="3">
        <v>23</v>
      </c>
      <c r="AR459" s="3">
        <v>21</v>
      </c>
      <c r="AS459" s="3">
        <v>23.9</v>
      </c>
      <c r="AT459" s="3">
        <v>27.9</v>
      </c>
      <c r="AU459" s="3">
        <v>16.2</v>
      </c>
      <c r="AV459" s="3">
        <v>15.2</v>
      </c>
      <c r="AW459" s="3">
        <v>14.5</v>
      </c>
      <c r="AX459" s="3">
        <v>11.7</v>
      </c>
      <c r="AY459" s="3">
        <v>11</v>
      </c>
      <c r="AZ459" s="3">
        <v>0</v>
      </c>
      <c r="BA459" s="3">
        <v>0</v>
      </c>
      <c r="BB459" s="3">
        <v>0</v>
      </c>
      <c r="BC459" s="3">
        <v>39.666508407720443</v>
      </c>
      <c r="BD459" s="3">
        <v>47.53349159227956</v>
      </c>
      <c r="BE459" s="3">
        <v>47.433491592279552</v>
      </c>
      <c r="BF459" s="3">
        <v>44.593491592279548</v>
      </c>
      <c r="BG459" s="3">
        <v>40.92015825894623</v>
      </c>
      <c r="BH459" s="3">
        <v>36.760158258946234</v>
      </c>
      <c r="BI459" s="3">
        <v>35.273491592279555</v>
      </c>
      <c r="BJ459" s="3">
        <v>41.266824925612895</v>
      </c>
      <c r="BK459" s="3">
        <v>43.140158258946229</v>
      </c>
      <c r="BL459" s="3">
        <v>44.113491592279559</v>
      </c>
      <c r="BM459" s="3">
        <v>37.346824925612893</v>
      </c>
      <c r="BN459" s="3">
        <v>39.03015825894623</v>
      </c>
      <c r="BO459" s="3">
        <v>36.996824925612884</v>
      </c>
      <c r="BP459" s="3">
        <v>36.113491592279559</v>
      </c>
      <c r="BQ459" s="3">
        <v>34.330158258946227</v>
      </c>
      <c r="BR459" s="3">
        <v>31.856824925612898</v>
      </c>
      <c r="BS459" s="3">
        <v>31.060158258946231</v>
      </c>
      <c r="BT459" s="3">
        <v>29.856824925612898</v>
      </c>
      <c r="BU459" s="3">
        <v>26.423491592279561</v>
      </c>
      <c r="BV459" s="3">
        <v>24.540158258946235</v>
      </c>
      <c r="BW459" s="3">
        <v>23.373491592279564</v>
      </c>
      <c r="BX459" s="3">
        <v>21.293491592279565</v>
      </c>
      <c r="BY459" s="3">
        <v>24.013491592279557</v>
      </c>
      <c r="BZ459" s="3">
        <v>28.14349159227956</v>
      </c>
      <c r="CA459" s="3">
        <v>16.543491592279551</v>
      </c>
      <c r="CB459" s="3">
        <v>14.980158258946226</v>
      </c>
      <c r="CC459" s="3">
        <v>14.493491592279561</v>
      </c>
      <c r="CD459" s="3">
        <v>11.000158258946229</v>
      </c>
      <c r="CE459" s="3">
        <v>10.493491592279561</v>
      </c>
      <c r="CF459" s="3">
        <v>-0.89317507438710919</v>
      </c>
      <c r="CG459" s="3">
        <v>-1.4265084077204406</v>
      </c>
      <c r="CH459" s="3">
        <v>-2.5031750743871086</v>
      </c>
      <c r="CI459" s="13">
        <f>[1]!dbasum(RecData[[#This Row],[20]:[2000]],RecData[[#Headers],[20]:[2000]])</f>
        <v>38.984029458202933</v>
      </c>
      <c r="CJ459" s="14">
        <v>8193</v>
      </c>
      <c r="CK459" s="15" t="s">
        <v>249</v>
      </c>
      <c r="CL459" s="15">
        <f>RecData[[#This Row],[Start Time]]</f>
        <v>43270.011111111111</v>
      </c>
      <c r="CM459" s="16">
        <f>RecData[[#This Row],[Wind Speed avg]]</f>
        <v>0.96</v>
      </c>
      <c r="CN459" s="16">
        <f>RecData[[#This Row],[Wind Dir. avg]]</f>
        <v>153.6</v>
      </c>
      <c r="CO459" s="16">
        <f>RecData[[#This Row],[Amb. Humidity]]</f>
        <v>65.2</v>
      </c>
      <c r="CP459" s="16">
        <f>RecData[[#This Row],[Amb. Temperature]]</f>
        <v>16.600000000000001</v>
      </c>
      <c r="CQ459" s="17">
        <f>RecData[[#This Row],[Amb. Rain Gauge]]</f>
        <v>0</v>
      </c>
      <c r="CR459" s="4" t="s">
        <v>1</v>
      </c>
      <c r="CS459" s="4" t="s">
        <v>49</v>
      </c>
      <c r="CT459" s="70">
        <v>1550.81274414062</v>
      </c>
      <c r="CU459" s="70">
        <v>21.000177383422798</v>
      </c>
      <c r="CV459" s="70">
        <v>9.8331594467162997</v>
      </c>
      <c r="CW459" s="70">
        <v>15.209493637084901</v>
      </c>
      <c r="CX459" s="4"/>
      <c r="CY459" s="69"/>
      <c r="CZ459" s="2" t="b">
        <f>IF($DP$1="YES",IF(RecData[[#This Row],[Power (kW)]]&gt;=$CR$3, TRUE,FALSE),TRUE)</f>
        <v>1</v>
      </c>
      <c r="DA459" s="16">
        <f>MIN(MOD(180-ABS(ABS($DA$1-RecData[Yaw Angle (°)])-180),360),MOD(180-ABS(ABS($DB$1-RecData[Yaw Angle (°)])-180),360))</f>
        <v>13.470250605735259</v>
      </c>
      <c r="DB459" s="2" t="str">
        <f>IF($DP$2="None","None",IF(RecData[[#This Row],[Relative Wind Direction]]&lt;=45,"DW",IF(RecData[[#This Row],[Relative Wind Direction]]&lt;=135,"CW","UW")))</f>
        <v>DW</v>
      </c>
      <c r="DC459" s="61">
        <f>IF($CL459-$CL457&gt;1/24,#REF!,IF(SUM($CQ457:$CQ459)&gt;$DS$1,$DS$5,DC460-1))</f>
        <v>-8</v>
      </c>
      <c r="DD459" s="61">
        <f>IF($CL460-$CL459&gt;1/24,#REF!,IF(SUM($CQ457:$CQ459)&gt;$DS$1,$DS$6,DD458-1))</f>
        <v>-3</v>
      </c>
      <c r="DE459" s="18" t="b">
        <v>0</v>
      </c>
      <c r="DF459" s="2" t="b">
        <f>IF(OR(RecData[[#This Row],[WSpd_Avg '[m/s']]]-RecData[[#This Row],[Wind Speed min]]&gt;=$DF$3,RecData[[#This Row],[Wind Speed max]]-RecData[[#This Row],[WSpd_Avg '[m/s']]]&gt;=$DF$2),TRUE,FALSE)</f>
        <v>0</v>
      </c>
      <c r="DG459" s="2" t="b">
        <f>RecData[[#This Row],[Temperature '[°C']]]&lt;=-20</f>
        <v>0</v>
      </c>
      <c r="DH459" s="18" t="b">
        <f>NOT(OR(MOD(RecData[[#This Row],[TIMESTAMP]],1)&gt;0.91632,MOD(RecData[[#This Row],[TIMESTAMP]],1)&lt;0.208681))</f>
        <v>0</v>
      </c>
      <c r="DI459" s="18" t="b">
        <f>RecData[[#This Row],[Overall (dBA)]]-RecData[[#This Row],[L90]]&gt;=$DS$4</f>
        <v>0</v>
      </c>
      <c r="DJ459" s="18" t="b">
        <f>RecData[[#This Row],[Overall (dBA)]]&gt;$DS$2</f>
        <v>0</v>
      </c>
      <c r="DK459" s="18" t="b">
        <f>RecData[[#This Row],[Overall (dBA)]]&lt;$DS$3</f>
        <v>0</v>
      </c>
      <c r="DL4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59" s="2">
        <f>IF(AND(RecData[[#This Row],[Turbines ON/OFF]] = "OFF", NOT(OR(RecData[[#This Row],[Junk?]]="YES",RecData[[#This Row],[Gust?]],RecData[[#This Row],[Rain?]:[Min SPL Threshold?]]))),1,0)</f>
        <v>0</v>
      </c>
      <c r="DN459" s="16">
        <f>RecData[[#This Row],[dBA Sum]]</f>
        <v>38.984029458202933</v>
      </c>
      <c r="DO459" s="16">
        <f>RecData[[#This Row],[LAF90.0]]</f>
        <v>37.799999999999997</v>
      </c>
      <c r="DP459" s="55">
        <f>IF(AND(RecData[[#This Row],[Useable TON Data?]],RecData[[#This Row],[Turbines ON/OFF]]="ON"),RecData[[#This Row],[dBA Sum]],"")</f>
        <v>38.984029458202933</v>
      </c>
      <c r="DQ459" s="55" t="str">
        <f>IF(AND(RecData[[#This Row],[Useable Background Data?]],RecData[[#This Row],[Turbines ON/OFF]]="OFF"),RecData[[#This Row],[dBA Sum]],"")</f>
        <v/>
      </c>
      <c r="DR459" s="3">
        <f>IF(OR(RecData[[#This Row],[Useable TON Data?]],RecData[[#This Row],[Useable Background Data?]]),ROUND(RecData[[#This Row],[WSpd_Avg '[m/s']]],0),"")</f>
        <v>1</v>
      </c>
      <c r="DS459" s="85">
        <f>(0.00002)^2*(10^(RecData[[#This Row],[Overall (dBA)]]/10))</f>
        <v>3.1656502941370575E-6</v>
      </c>
    </row>
    <row r="460" spans="1:123" ht="15" x14ac:dyDescent="0.25">
      <c r="A460" s="3" t="s">
        <v>249</v>
      </c>
      <c r="B460" s="12">
        <v>43270.011805555558</v>
      </c>
      <c r="C460" s="3"/>
      <c r="D460" s="3">
        <v>40</v>
      </c>
      <c r="E460" s="3"/>
      <c r="F460" s="3"/>
      <c r="G460" s="3"/>
      <c r="H460" s="3"/>
      <c r="I460" s="3"/>
      <c r="J460" s="3"/>
      <c r="K460" s="3">
        <v>38.9</v>
      </c>
      <c r="L460" s="3"/>
      <c r="M460" s="3"/>
      <c r="N460" s="3">
        <v>181.6</v>
      </c>
      <c r="O460" s="3"/>
      <c r="P460" s="3"/>
      <c r="Q460" s="3">
        <v>0.44</v>
      </c>
      <c r="R460" s="3">
        <v>0</v>
      </c>
      <c r="S460" s="3">
        <v>1.3</v>
      </c>
      <c r="T460" s="3">
        <v>16.600000000000001</v>
      </c>
      <c r="U460" s="3">
        <v>64</v>
      </c>
      <c r="V460" s="3">
        <v>972.6</v>
      </c>
      <c r="W460" s="3">
        <v>0</v>
      </c>
      <c r="X460" s="3">
        <v>46.8</v>
      </c>
      <c r="Y460" s="3">
        <v>46.6</v>
      </c>
      <c r="Z460" s="3">
        <v>45.2</v>
      </c>
      <c r="AA460" s="3">
        <v>40.5</v>
      </c>
      <c r="AB460" s="3">
        <v>37.200000000000003</v>
      </c>
      <c r="AC460" s="3">
        <v>35.1</v>
      </c>
      <c r="AD460" s="3">
        <v>39.700000000000003</v>
      </c>
      <c r="AE460" s="3">
        <v>42</v>
      </c>
      <c r="AF460" s="3">
        <v>43.6</v>
      </c>
      <c r="AG460" s="3">
        <v>37</v>
      </c>
      <c r="AH460" s="3">
        <v>38</v>
      </c>
      <c r="AI460" s="3">
        <v>37.4</v>
      </c>
      <c r="AJ460" s="3">
        <v>36.799999999999997</v>
      </c>
      <c r="AK460" s="3">
        <v>34.700000000000003</v>
      </c>
      <c r="AL460" s="3">
        <v>32.299999999999997</v>
      </c>
      <c r="AM460" s="3">
        <v>31.6</v>
      </c>
      <c r="AN460" s="3">
        <v>30.1</v>
      </c>
      <c r="AO460" s="3">
        <v>26.7</v>
      </c>
      <c r="AP460" s="3">
        <v>25</v>
      </c>
      <c r="AQ460" s="3">
        <v>23</v>
      </c>
      <c r="AR460" s="3">
        <v>20.5</v>
      </c>
      <c r="AS460" s="3">
        <v>26.2</v>
      </c>
      <c r="AT460" s="3">
        <v>29.8</v>
      </c>
      <c r="AU460" s="3">
        <v>12.6</v>
      </c>
      <c r="AV460" s="3">
        <v>11.1</v>
      </c>
      <c r="AW460" s="3">
        <v>10.7</v>
      </c>
      <c r="AX460" s="3">
        <v>9.6</v>
      </c>
      <c r="AY460" s="3">
        <v>9.6</v>
      </c>
      <c r="AZ460" s="3">
        <v>0</v>
      </c>
      <c r="BA460" s="3">
        <v>0</v>
      </c>
      <c r="BB460" s="3">
        <v>0</v>
      </c>
      <c r="BC460" s="3">
        <v>40.011251219645168</v>
      </c>
      <c r="BD460" s="3">
        <v>46.78874878035483</v>
      </c>
      <c r="BE460" s="3">
        <v>46.588748780354827</v>
      </c>
      <c r="BF460" s="3">
        <v>43.94874878035484</v>
      </c>
      <c r="BG460" s="3">
        <v>39.575415447021506</v>
      </c>
      <c r="BH460" s="3">
        <v>36.415415447021509</v>
      </c>
      <c r="BI460" s="3">
        <v>34.728748780354842</v>
      </c>
      <c r="BJ460" s="3">
        <v>40.122082113688158</v>
      </c>
      <c r="BK460" s="3">
        <v>42.295415447021504</v>
      </c>
      <c r="BL460" s="3">
        <v>43.468748780354836</v>
      </c>
      <c r="BM460" s="3">
        <v>37.002082113688168</v>
      </c>
      <c r="BN460" s="3">
        <v>38.285415447021499</v>
      </c>
      <c r="BO460" s="3">
        <v>37.052082113688165</v>
      </c>
      <c r="BP460" s="3">
        <v>36.168748780354839</v>
      </c>
      <c r="BQ460" s="3">
        <v>34.485415447021502</v>
      </c>
      <c r="BR460" s="3">
        <v>32.412082113688164</v>
      </c>
      <c r="BS460" s="3">
        <v>31.515415447021503</v>
      </c>
      <c r="BT460" s="3">
        <v>30.212082113688162</v>
      </c>
      <c r="BU460" s="3">
        <v>26.778748780354839</v>
      </c>
      <c r="BV460" s="3">
        <v>24.795415447021504</v>
      </c>
      <c r="BW460" s="3">
        <v>23.328748780354836</v>
      </c>
      <c r="BX460" s="3">
        <v>20.748748780354838</v>
      </c>
      <c r="BY460" s="3">
        <v>26.268748780354834</v>
      </c>
      <c r="BZ460" s="3">
        <v>29.998748780354838</v>
      </c>
      <c r="CA460" s="3">
        <v>12.898748780354829</v>
      </c>
      <c r="CB460" s="3">
        <v>10.835415447021497</v>
      </c>
      <c r="CC460" s="3">
        <v>10.648748780354829</v>
      </c>
      <c r="CD460" s="3">
        <v>8.8554154470215067</v>
      </c>
      <c r="CE460" s="3">
        <v>9.0487487803548348</v>
      </c>
      <c r="CF460" s="3">
        <v>-0.93791788631183692</v>
      </c>
      <c r="CG460" s="3">
        <v>-1.4712512196451684</v>
      </c>
      <c r="CH460" s="3">
        <v>-2.5479178863118364</v>
      </c>
      <c r="CI460" s="13">
        <f>[1]!dbasum(RecData[[#This Row],[20]:[2000]],RecData[[#Headers],[20]:[2000]])</f>
        <v>39.02248328969857</v>
      </c>
      <c r="CJ460" s="14">
        <v>8194</v>
      </c>
      <c r="CK460" s="15" t="s">
        <v>249</v>
      </c>
      <c r="CL460" s="15">
        <f>RecData[[#This Row],[Start Time]]</f>
        <v>43270.011805555558</v>
      </c>
      <c r="CM460" s="16">
        <f>RecData[[#This Row],[Wind Speed avg]]</f>
        <v>0.44</v>
      </c>
      <c r="CN460" s="16">
        <f>RecData[[#This Row],[Wind Dir. avg]]</f>
        <v>181.6</v>
      </c>
      <c r="CO460" s="16">
        <f>RecData[[#This Row],[Amb. Humidity]]</f>
        <v>64</v>
      </c>
      <c r="CP460" s="16">
        <f>RecData[[#This Row],[Amb. Temperature]]</f>
        <v>16.600000000000001</v>
      </c>
      <c r="CQ460" s="17">
        <f>RecData[[#This Row],[Amb. Rain Gauge]]</f>
        <v>0</v>
      </c>
      <c r="CR460" s="4" t="s">
        <v>1</v>
      </c>
      <c r="CS460" s="4" t="s">
        <v>49</v>
      </c>
      <c r="CT460" s="70">
        <v>1550.81274414062</v>
      </c>
      <c r="CU460" s="70">
        <v>21.000177383422798</v>
      </c>
      <c r="CV460" s="70">
        <v>9.8331594467162997</v>
      </c>
      <c r="CW460" s="70">
        <v>15.209493637084901</v>
      </c>
      <c r="CX460" s="4"/>
      <c r="CY460" s="69"/>
      <c r="CZ460" s="2" t="b">
        <f>IF($DP$1="YES",IF(RecData[[#This Row],[Power (kW)]]&gt;=$CR$3, TRUE,FALSE),TRUE)</f>
        <v>1</v>
      </c>
      <c r="DA460" s="16">
        <f>MIN(MOD(180-ABS(ABS($DA$1-RecData[Yaw Angle (°)])-180),360),MOD(180-ABS(ABS($DB$1-RecData[Yaw Angle (°)])-180),360))</f>
        <v>13.470250605735259</v>
      </c>
      <c r="DB460" s="2" t="str">
        <f>IF($DP$2="None","None",IF(RecData[[#This Row],[Relative Wind Direction]]&lt;=45,"DW",IF(RecData[[#This Row],[Relative Wind Direction]]&lt;=135,"CW","UW")))</f>
        <v>DW</v>
      </c>
      <c r="DC460" s="61">
        <f>IF($CL460-$CL457&gt;1/24,#REF!,IF(SUM($CQ457:$CQ460)&gt;$DS$1,$DS$5,DC461-1))</f>
        <v>-7</v>
      </c>
      <c r="DD460" s="61">
        <f>IF($CL461-$CL460&gt;1/24,#REF!,IF(SUM($CQ457:$CQ460)&gt;$DS$1,$DS$6,DD459-1))</f>
        <v>-4</v>
      </c>
      <c r="DE460" s="18" t="b">
        <v>0</v>
      </c>
      <c r="DF460" s="2" t="b">
        <f>IF(OR(RecData[[#This Row],[WSpd_Avg '[m/s']]]-RecData[[#This Row],[Wind Speed min]]&gt;=$DF$3,RecData[[#This Row],[Wind Speed max]]-RecData[[#This Row],[WSpd_Avg '[m/s']]]&gt;=$DF$2),TRUE,FALSE)</f>
        <v>0</v>
      </c>
      <c r="DG460" s="2" t="b">
        <f>RecData[[#This Row],[Temperature '[°C']]]&lt;=-20</f>
        <v>0</v>
      </c>
      <c r="DH460" s="18" t="b">
        <f>NOT(OR(MOD(RecData[[#This Row],[TIMESTAMP]],1)&gt;0.91632,MOD(RecData[[#This Row],[TIMESTAMP]],1)&lt;0.208681))</f>
        <v>0</v>
      </c>
      <c r="DI460" s="18" t="b">
        <f>RecData[[#This Row],[Overall (dBA)]]-RecData[[#This Row],[L90]]&gt;=$DS$4</f>
        <v>0</v>
      </c>
      <c r="DJ460" s="18" t="b">
        <f>RecData[[#This Row],[Overall (dBA)]]&gt;$DS$2</f>
        <v>0</v>
      </c>
      <c r="DK460" s="18" t="b">
        <f>RecData[[#This Row],[Overall (dBA)]]&lt;$DS$3</f>
        <v>0</v>
      </c>
      <c r="DL4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0" s="2">
        <f>IF(AND(RecData[[#This Row],[Turbines ON/OFF]] = "OFF", NOT(OR(RecData[[#This Row],[Junk?]]="YES",RecData[[#This Row],[Gust?]],RecData[[#This Row],[Rain?]:[Min SPL Threshold?]]))),1,0)</f>
        <v>0</v>
      </c>
      <c r="DN460" s="16">
        <f>RecData[[#This Row],[dBA Sum]]</f>
        <v>39.02248328969857</v>
      </c>
      <c r="DO460" s="16">
        <f>RecData[[#This Row],[LAF90.0]]</f>
        <v>38.9</v>
      </c>
      <c r="DP460" s="55">
        <f>IF(AND(RecData[[#This Row],[Useable TON Data?]],RecData[[#This Row],[Turbines ON/OFF]]="ON"),RecData[[#This Row],[dBA Sum]],"")</f>
        <v>39.02248328969857</v>
      </c>
      <c r="DQ460" s="55" t="str">
        <f>IF(AND(RecData[[#This Row],[Useable Background Data?]],RecData[[#This Row],[Turbines ON/OFF]]="OFF"),RecData[[#This Row],[dBA Sum]],"")</f>
        <v/>
      </c>
      <c r="DR460" s="3">
        <f>IF(OR(RecData[[#This Row],[Useable TON Data?]],RecData[[#This Row],[Useable Background Data?]]),ROUND(RecData[[#This Row],[WSpd_Avg '[m/s']]],0),"")</f>
        <v>0</v>
      </c>
      <c r="DS460" s="85">
        <f>(0.00002)^2*(10^(RecData[[#This Row],[Overall (dBA)]]/10))</f>
        <v>3.193804439915247E-6</v>
      </c>
    </row>
    <row r="461" spans="1:123" ht="15" x14ac:dyDescent="0.25">
      <c r="A461" s="3" t="s">
        <v>249</v>
      </c>
      <c r="B461" s="12">
        <v>43270.012499999997</v>
      </c>
      <c r="C461" s="3"/>
      <c r="D461" s="3">
        <v>38.9</v>
      </c>
      <c r="E461" s="3"/>
      <c r="F461" s="3"/>
      <c r="G461" s="3"/>
      <c r="H461" s="3"/>
      <c r="I461" s="3"/>
      <c r="J461" s="3"/>
      <c r="K461" s="3">
        <v>37.9</v>
      </c>
      <c r="L461" s="3"/>
      <c r="M461" s="3"/>
      <c r="N461" s="3">
        <v>112.5</v>
      </c>
      <c r="O461" s="3"/>
      <c r="P461" s="3"/>
      <c r="Q461" s="3">
        <v>0.34</v>
      </c>
      <c r="R461" s="3">
        <v>0.1</v>
      </c>
      <c r="S461" s="3">
        <v>0.6</v>
      </c>
      <c r="T461" s="3">
        <v>16.7</v>
      </c>
      <c r="U461" s="3">
        <v>67.400000000000006</v>
      </c>
      <c r="V461" s="3">
        <v>972.5</v>
      </c>
      <c r="W461" s="3">
        <v>0</v>
      </c>
      <c r="X461" s="3">
        <v>45.5</v>
      </c>
      <c r="Y461" s="3">
        <v>46.1</v>
      </c>
      <c r="Z461" s="3">
        <v>44.2</v>
      </c>
      <c r="AA461" s="3">
        <v>39.9</v>
      </c>
      <c r="AB461" s="3">
        <v>37.200000000000003</v>
      </c>
      <c r="AC461" s="3">
        <v>35.4</v>
      </c>
      <c r="AD461" s="3">
        <v>39.299999999999997</v>
      </c>
      <c r="AE461" s="3">
        <v>40.9</v>
      </c>
      <c r="AF461" s="3">
        <v>43.5</v>
      </c>
      <c r="AG461" s="3">
        <v>36.799999999999997</v>
      </c>
      <c r="AH461" s="3">
        <v>37.4</v>
      </c>
      <c r="AI461" s="3">
        <v>37</v>
      </c>
      <c r="AJ461" s="3">
        <v>36.1</v>
      </c>
      <c r="AK461" s="3">
        <v>34.1</v>
      </c>
      <c r="AL461" s="3">
        <v>31.3</v>
      </c>
      <c r="AM461" s="3">
        <v>30.3</v>
      </c>
      <c r="AN461" s="3">
        <v>28.3</v>
      </c>
      <c r="AO461" s="3">
        <v>25.3</v>
      </c>
      <c r="AP461" s="3">
        <v>24</v>
      </c>
      <c r="AQ461" s="3">
        <v>22.1</v>
      </c>
      <c r="AR461" s="3">
        <v>19.899999999999999</v>
      </c>
      <c r="AS461" s="3">
        <v>23.1</v>
      </c>
      <c r="AT461" s="3">
        <v>27.2</v>
      </c>
      <c r="AU461" s="3">
        <v>11.8</v>
      </c>
      <c r="AV461" s="3">
        <v>10.9</v>
      </c>
      <c r="AW461" s="3">
        <v>10.4</v>
      </c>
      <c r="AX461" s="3">
        <v>9.4</v>
      </c>
      <c r="AY461" s="3">
        <v>9.5</v>
      </c>
      <c r="AZ461" s="3">
        <v>0</v>
      </c>
      <c r="BA461" s="3">
        <v>0</v>
      </c>
      <c r="BB461" s="3">
        <v>0</v>
      </c>
      <c r="BC461" s="3">
        <v>38.875979377583967</v>
      </c>
      <c r="BD461" s="3">
        <v>45.524020622416039</v>
      </c>
      <c r="BE461" s="3">
        <v>46.124020622416033</v>
      </c>
      <c r="BF461" s="3">
        <v>42.984020622416033</v>
      </c>
      <c r="BG461" s="3">
        <v>39.010687289082689</v>
      </c>
      <c r="BH461" s="3">
        <v>36.450687289082701</v>
      </c>
      <c r="BI461" s="3">
        <v>35.064020622416031</v>
      </c>
      <c r="BJ461" s="3">
        <v>39.757353955749359</v>
      </c>
      <c r="BK461" s="3">
        <v>41.230687289082688</v>
      </c>
      <c r="BL461" s="3">
        <v>43.404020622416034</v>
      </c>
      <c r="BM461" s="3">
        <v>36.837353955749371</v>
      </c>
      <c r="BN461" s="3">
        <v>37.720687289082697</v>
      </c>
      <c r="BO461" s="3">
        <v>36.687353955749366</v>
      </c>
      <c r="BP461" s="3">
        <v>35.504020622416029</v>
      </c>
      <c r="BQ461" s="3">
        <v>33.920687289082686</v>
      </c>
      <c r="BR461" s="3">
        <v>31.447353955749371</v>
      </c>
      <c r="BS461" s="3">
        <v>30.250687289082698</v>
      </c>
      <c r="BT461" s="3">
        <v>28.447353955749371</v>
      </c>
      <c r="BU461" s="3">
        <v>25.414020622416039</v>
      </c>
      <c r="BV461" s="3">
        <v>23.830687289082697</v>
      </c>
      <c r="BW461" s="3">
        <v>22.464020622416037</v>
      </c>
      <c r="BX461" s="3">
        <v>20.184020622416035</v>
      </c>
      <c r="BY461" s="3">
        <v>23.204020622416031</v>
      </c>
      <c r="BZ461" s="3">
        <v>27.434020622416035</v>
      </c>
      <c r="CA461" s="3">
        <v>12.134020622416024</v>
      </c>
      <c r="CB461" s="3">
        <v>10.6706872890827</v>
      </c>
      <c r="CC461" s="3">
        <v>10.384020622416031</v>
      </c>
      <c r="CD461" s="3">
        <v>8.6906872890827032</v>
      </c>
      <c r="CE461" s="3">
        <v>8.9840206224160326</v>
      </c>
      <c r="CF461" s="3">
        <v>-0.90264604425063766</v>
      </c>
      <c r="CG461" s="3">
        <v>-1.4359793775839691</v>
      </c>
      <c r="CH461" s="3">
        <v>-2.5126460442506371</v>
      </c>
      <c r="CI461" s="13">
        <f>[1]!dbasum(RecData[[#This Row],[20]:[2000]],RecData[[#Headers],[20]:[2000]])</f>
        <v>38.197017398078124</v>
      </c>
      <c r="CJ461" s="14">
        <v>8195</v>
      </c>
      <c r="CK461" s="15" t="s">
        <v>249</v>
      </c>
      <c r="CL461" s="15">
        <f>RecData[[#This Row],[Start Time]]</f>
        <v>43270.012499999997</v>
      </c>
      <c r="CM461" s="16">
        <f>RecData[[#This Row],[Wind Speed avg]]</f>
        <v>0.34</v>
      </c>
      <c r="CN461" s="16">
        <f>RecData[[#This Row],[Wind Dir. avg]]</f>
        <v>112.5</v>
      </c>
      <c r="CO461" s="16">
        <f>RecData[[#This Row],[Amb. Humidity]]</f>
        <v>67.400000000000006</v>
      </c>
      <c r="CP461" s="16">
        <f>RecData[[#This Row],[Amb. Temperature]]</f>
        <v>16.7</v>
      </c>
      <c r="CQ461" s="17">
        <f>RecData[[#This Row],[Amb. Rain Gauge]]</f>
        <v>0</v>
      </c>
      <c r="CR461" s="4" t="s">
        <v>1</v>
      </c>
      <c r="CS461" s="4" t="s">
        <v>49</v>
      </c>
      <c r="CT461" s="70">
        <v>1550.81274414062</v>
      </c>
      <c r="CU461" s="70">
        <v>21.000177383422798</v>
      </c>
      <c r="CV461" s="70">
        <v>9.8331594467162997</v>
      </c>
      <c r="CW461" s="70">
        <v>15.209493637084901</v>
      </c>
      <c r="CX461" s="4"/>
      <c r="CY461" s="69"/>
      <c r="CZ461" s="2" t="b">
        <f>IF($DP$1="YES",IF(RecData[[#This Row],[Power (kW)]]&gt;=$CR$3, TRUE,FALSE),TRUE)</f>
        <v>1</v>
      </c>
      <c r="DA461" s="16">
        <f>MIN(MOD(180-ABS(ABS($DA$1-RecData[Yaw Angle (°)])-180),360),MOD(180-ABS(ABS($DB$1-RecData[Yaw Angle (°)])-180),360))</f>
        <v>13.470250605735259</v>
      </c>
      <c r="DB461" s="2" t="str">
        <f>IF($DP$2="None","None",IF(RecData[[#This Row],[Relative Wind Direction]]&lt;=45,"DW",IF(RecData[[#This Row],[Relative Wind Direction]]&lt;=135,"CW","UW")))</f>
        <v>DW</v>
      </c>
      <c r="DC461" s="61">
        <f>IF($CL461-$CL457&gt;1/24,#REF!,IF(SUM($CQ457:$CQ461)&gt;$DS$1,$DS$5,DC462-1))</f>
        <v>-6</v>
      </c>
      <c r="DD461" s="61">
        <f>IF($CL462-$CL461&gt;1/24,#REF!,IF(SUM($CQ457:$CQ461)&gt;$DS$1,$DS$6,DD460-1))</f>
        <v>-5</v>
      </c>
      <c r="DE461" s="18" t="b">
        <v>0</v>
      </c>
      <c r="DF461" s="2" t="b">
        <f>IF(OR(RecData[[#This Row],[WSpd_Avg '[m/s']]]-RecData[[#This Row],[Wind Speed min]]&gt;=$DF$3,RecData[[#This Row],[Wind Speed max]]-RecData[[#This Row],[WSpd_Avg '[m/s']]]&gt;=$DF$2),TRUE,FALSE)</f>
        <v>0</v>
      </c>
      <c r="DG461" s="2" t="b">
        <f>RecData[[#This Row],[Temperature '[°C']]]&lt;=-20</f>
        <v>0</v>
      </c>
      <c r="DH461" s="18" t="b">
        <f>NOT(OR(MOD(RecData[[#This Row],[TIMESTAMP]],1)&gt;0.91632,MOD(RecData[[#This Row],[TIMESTAMP]],1)&lt;0.208681))</f>
        <v>0</v>
      </c>
      <c r="DI461" s="18" t="b">
        <f>RecData[[#This Row],[Overall (dBA)]]-RecData[[#This Row],[L90]]&gt;=$DS$4</f>
        <v>0</v>
      </c>
      <c r="DJ461" s="18" t="b">
        <f>RecData[[#This Row],[Overall (dBA)]]&gt;$DS$2</f>
        <v>0</v>
      </c>
      <c r="DK461" s="18" t="b">
        <f>RecData[[#This Row],[Overall (dBA)]]&lt;$DS$3</f>
        <v>0</v>
      </c>
      <c r="DL4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1" s="2">
        <f>IF(AND(RecData[[#This Row],[Turbines ON/OFF]] = "OFF", NOT(OR(RecData[[#This Row],[Junk?]]="YES",RecData[[#This Row],[Gust?]],RecData[[#This Row],[Rain?]:[Min SPL Threshold?]]))),1,0)</f>
        <v>0</v>
      </c>
      <c r="DN461" s="16">
        <f>RecData[[#This Row],[dBA Sum]]</f>
        <v>38.197017398078124</v>
      </c>
      <c r="DO461" s="16">
        <f>RecData[[#This Row],[LAF90.0]]</f>
        <v>37.9</v>
      </c>
      <c r="DP461" s="55">
        <f>IF(AND(RecData[[#This Row],[Useable TON Data?]],RecData[[#This Row],[Turbines ON/OFF]]="ON"),RecData[[#This Row],[dBA Sum]],"")</f>
        <v>38.197017398078124</v>
      </c>
      <c r="DQ461" s="55" t="str">
        <f>IF(AND(RecData[[#This Row],[Useable Background Data?]],RecData[[#This Row],[Turbines ON/OFF]]="OFF"),RecData[[#This Row],[dBA Sum]],"")</f>
        <v/>
      </c>
      <c r="DR461" s="3">
        <f>IF(OR(RecData[[#This Row],[Useable TON Data?]],RecData[[#This Row],[Useable Background Data?]]),ROUND(RecData[[#This Row],[WSpd_Avg '[m/s']]],0),"")</f>
        <v>0</v>
      </c>
      <c r="DS461" s="85">
        <f>(0.00002)^2*(10^(RecData[[#This Row],[Overall (dBA)]]/10))</f>
        <v>2.6409594387601852E-6</v>
      </c>
    </row>
    <row r="462" spans="1:123" ht="15" x14ac:dyDescent="0.25">
      <c r="A462" s="3" t="s">
        <v>249</v>
      </c>
      <c r="B462" s="12">
        <v>43270.013194444444</v>
      </c>
      <c r="C462" s="3"/>
      <c r="D462" s="3">
        <v>40.5</v>
      </c>
      <c r="E462" s="3"/>
      <c r="F462" s="3"/>
      <c r="G462" s="3"/>
      <c r="H462" s="3"/>
      <c r="I462" s="3"/>
      <c r="J462" s="3"/>
      <c r="K462" s="3">
        <v>38.799999999999997</v>
      </c>
      <c r="L462" s="3"/>
      <c r="M462" s="3"/>
      <c r="N462" s="3">
        <v>170.4</v>
      </c>
      <c r="O462" s="3"/>
      <c r="P462" s="3"/>
      <c r="Q462" s="3">
        <v>0.43</v>
      </c>
      <c r="R462" s="3">
        <v>0.2</v>
      </c>
      <c r="S462" s="3">
        <v>1</v>
      </c>
      <c r="T462" s="3">
        <v>16.7</v>
      </c>
      <c r="U462" s="3">
        <v>65.099999999999994</v>
      </c>
      <c r="V462" s="3">
        <v>972.5</v>
      </c>
      <c r="W462" s="3">
        <v>0</v>
      </c>
      <c r="X462" s="3">
        <v>45.6</v>
      </c>
      <c r="Y462" s="3">
        <v>46.1</v>
      </c>
      <c r="Z462" s="3">
        <v>45</v>
      </c>
      <c r="AA462" s="3">
        <v>40.700000000000003</v>
      </c>
      <c r="AB462" s="3">
        <v>36.799999999999997</v>
      </c>
      <c r="AC462" s="3">
        <v>35.200000000000003</v>
      </c>
      <c r="AD462" s="3">
        <v>38.5</v>
      </c>
      <c r="AE462" s="3">
        <v>41.5</v>
      </c>
      <c r="AF462" s="3">
        <v>44.5</v>
      </c>
      <c r="AG462" s="3">
        <v>39.200000000000003</v>
      </c>
      <c r="AH462" s="3">
        <v>38.6</v>
      </c>
      <c r="AI462" s="3">
        <v>38.6</v>
      </c>
      <c r="AJ462" s="3">
        <v>37.1</v>
      </c>
      <c r="AK462" s="3">
        <v>35</v>
      </c>
      <c r="AL462" s="3">
        <v>32.299999999999997</v>
      </c>
      <c r="AM462" s="3">
        <v>31.7</v>
      </c>
      <c r="AN462" s="3">
        <v>29.7</v>
      </c>
      <c r="AO462" s="3">
        <v>26.3</v>
      </c>
      <c r="AP462" s="3">
        <v>24.9</v>
      </c>
      <c r="AQ462" s="3">
        <v>22.9</v>
      </c>
      <c r="AR462" s="3">
        <v>20.6</v>
      </c>
      <c r="AS462" s="3">
        <v>25.7</v>
      </c>
      <c r="AT462" s="3">
        <v>31.4</v>
      </c>
      <c r="AU462" s="3">
        <v>14.3</v>
      </c>
      <c r="AV462" s="3">
        <v>12.2</v>
      </c>
      <c r="AW462" s="3">
        <v>11.7</v>
      </c>
      <c r="AX462" s="3">
        <v>9.9</v>
      </c>
      <c r="AY462" s="3">
        <v>9.6</v>
      </c>
      <c r="AZ462" s="3">
        <v>0</v>
      </c>
      <c r="BA462" s="3">
        <v>0</v>
      </c>
      <c r="BB462" s="3">
        <v>0</v>
      </c>
      <c r="BC462" s="3">
        <v>40.471343966246138</v>
      </c>
      <c r="BD462" s="3">
        <v>45.628656033753856</v>
      </c>
      <c r="BE462" s="3">
        <v>46.128656033753856</v>
      </c>
      <c r="BF462" s="3">
        <v>43.788656033753853</v>
      </c>
      <c r="BG462" s="3">
        <v>39.815322700420523</v>
      </c>
      <c r="BH462" s="3">
        <v>36.055322700420533</v>
      </c>
      <c r="BI462" s="3">
        <v>34.868656033753865</v>
      </c>
      <c r="BJ462" s="3">
        <v>38.961989367087199</v>
      </c>
      <c r="BK462" s="3">
        <v>41.835322700420534</v>
      </c>
      <c r="BL462" s="3">
        <v>44.408656033753857</v>
      </c>
      <c r="BM462" s="3">
        <v>39.2419893670872</v>
      </c>
      <c r="BN462" s="3">
        <v>38.925322700420537</v>
      </c>
      <c r="BO462" s="3">
        <v>38.291989367087197</v>
      </c>
      <c r="BP462" s="3">
        <v>36.508656033753866</v>
      </c>
      <c r="BQ462" s="3">
        <v>34.825322700420514</v>
      </c>
      <c r="BR462" s="3">
        <v>32.451989367087194</v>
      </c>
      <c r="BS462" s="3">
        <v>31.655322700420527</v>
      </c>
      <c r="BT462" s="3">
        <v>29.851989367087199</v>
      </c>
      <c r="BU462" s="3">
        <v>26.418656033753862</v>
      </c>
      <c r="BV462" s="3">
        <v>24.735322700420525</v>
      </c>
      <c r="BW462" s="3">
        <v>23.268656033753864</v>
      </c>
      <c r="BX462" s="3">
        <v>20.888656033753868</v>
      </c>
      <c r="BY462" s="3">
        <v>25.808656033753863</v>
      </c>
      <c r="BZ462" s="3">
        <v>31.638656033753861</v>
      </c>
      <c r="CA462" s="3">
        <v>14.638656033753854</v>
      </c>
      <c r="CB462" s="3">
        <v>11.975322700420527</v>
      </c>
      <c r="CC462" s="3">
        <v>11.688656033753858</v>
      </c>
      <c r="CD462" s="3">
        <v>9.1953227004205331</v>
      </c>
      <c r="CE462" s="3">
        <v>9.088656033753864</v>
      </c>
      <c r="CF462" s="3">
        <v>-0.89801063291280769</v>
      </c>
      <c r="CG462" s="3">
        <v>-1.4313439662461391</v>
      </c>
      <c r="CH462" s="3">
        <v>-2.5080106329128071</v>
      </c>
      <c r="CI462" s="13">
        <f>[1]!dbasum(RecData[[#This Row],[20]:[2000]],RecData[[#Headers],[20]:[2000]])</f>
        <v>39.359961115638015</v>
      </c>
      <c r="CJ462" s="14">
        <v>8196</v>
      </c>
      <c r="CK462" s="15" t="s">
        <v>249</v>
      </c>
      <c r="CL462" s="15">
        <f>RecData[[#This Row],[Start Time]]</f>
        <v>43270.013194444444</v>
      </c>
      <c r="CM462" s="16">
        <f>RecData[[#This Row],[Wind Speed avg]]</f>
        <v>0.43</v>
      </c>
      <c r="CN462" s="16">
        <f>RecData[[#This Row],[Wind Dir. avg]]</f>
        <v>170.4</v>
      </c>
      <c r="CO462" s="16">
        <f>RecData[[#This Row],[Amb. Humidity]]</f>
        <v>65.099999999999994</v>
      </c>
      <c r="CP462" s="16">
        <f>RecData[[#This Row],[Amb. Temperature]]</f>
        <v>16.7</v>
      </c>
      <c r="CQ462" s="17">
        <f>RecData[[#This Row],[Amb. Rain Gauge]]</f>
        <v>0</v>
      </c>
      <c r="CR462" s="4" t="s">
        <v>1</v>
      </c>
      <c r="CS462" s="4" t="s">
        <v>49</v>
      </c>
      <c r="CT462" s="70">
        <v>1550.81274414062</v>
      </c>
      <c r="CU462" s="70">
        <v>21.000177383422798</v>
      </c>
      <c r="CV462" s="70">
        <v>9.8331594467162997</v>
      </c>
      <c r="CW462" s="70">
        <v>15.209493637084901</v>
      </c>
      <c r="CX462" s="4"/>
      <c r="CY462" s="69"/>
      <c r="CZ462" s="2" t="b">
        <f>IF($DP$1="YES",IF(RecData[[#This Row],[Power (kW)]]&gt;=$CR$3, TRUE,FALSE),TRUE)</f>
        <v>1</v>
      </c>
      <c r="DA462" s="16">
        <f>MIN(MOD(180-ABS(ABS($DA$1-RecData[Yaw Angle (°)])-180),360),MOD(180-ABS(ABS($DB$1-RecData[Yaw Angle (°)])-180),360))</f>
        <v>13.470250605735259</v>
      </c>
      <c r="DB462" s="2" t="str">
        <f>IF($DP$2="None","None",IF(RecData[[#This Row],[Relative Wind Direction]]&lt;=45,"DW",IF(RecData[[#This Row],[Relative Wind Direction]]&lt;=135,"CW","UW")))</f>
        <v>DW</v>
      </c>
      <c r="DC462" s="61">
        <f>IF($CL462-$CL458&gt;1/24,#REF!,IF(SUM($CQ458:$CQ462)&gt;$DS$1,$DS$5,DC463-1))</f>
        <v>-5</v>
      </c>
      <c r="DD462" s="61">
        <f>IF($CL463-$CL462&gt;1/24,#REF!,IF(SUM($CQ458:$CQ462)&gt;$DS$1,$DS$6,DD461-1))</f>
        <v>-6</v>
      </c>
      <c r="DE462" s="18" t="b">
        <v>0</v>
      </c>
      <c r="DF462" s="2" t="b">
        <f>IF(OR(RecData[[#This Row],[WSpd_Avg '[m/s']]]-RecData[[#This Row],[Wind Speed min]]&gt;=$DF$3,RecData[[#This Row],[Wind Speed max]]-RecData[[#This Row],[WSpd_Avg '[m/s']]]&gt;=$DF$2),TRUE,FALSE)</f>
        <v>0</v>
      </c>
      <c r="DG462" s="2" t="b">
        <f>RecData[[#This Row],[Temperature '[°C']]]&lt;=-20</f>
        <v>0</v>
      </c>
      <c r="DH462" s="18" t="b">
        <f>NOT(OR(MOD(RecData[[#This Row],[TIMESTAMP]],1)&gt;0.91632,MOD(RecData[[#This Row],[TIMESTAMP]],1)&lt;0.208681))</f>
        <v>0</v>
      </c>
      <c r="DI462" s="18" t="b">
        <f>RecData[[#This Row],[Overall (dBA)]]-RecData[[#This Row],[L90]]&gt;=$DS$4</f>
        <v>0</v>
      </c>
      <c r="DJ462" s="18" t="b">
        <f>RecData[[#This Row],[Overall (dBA)]]&gt;$DS$2</f>
        <v>0</v>
      </c>
      <c r="DK462" s="18" t="b">
        <f>RecData[[#This Row],[Overall (dBA)]]&lt;$DS$3</f>
        <v>0</v>
      </c>
      <c r="DL4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2" s="2">
        <f>IF(AND(RecData[[#This Row],[Turbines ON/OFF]] = "OFF", NOT(OR(RecData[[#This Row],[Junk?]]="YES",RecData[[#This Row],[Gust?]],RecData[[#This Row],[Rain?]:[Min SPL Threshold?]]))),1,0)</f>
        <v>0</v>
      </c>
      <c r="DN462" s="16">
        <f>RecData[[#This Row],[dBA Sum]]</f>
        <v>39.359961115638015</v>
      </c>
      <c r="DO462" s="16">
        <f>RecData[[#This Row],[LAF90.0]]</f>
        <v>38.799999999999997</v>
      </c>
      <c r="DP462" s="55">
        <f>IF(AND(RecData[[#This Row],[Useable TON Data?]],RecData[[#This Row],[Turbines ON/OFF]]="ON"),RecData[[#This Row],[dBA Sum]],"")</f>
        <v>39.359961115638015</v>
      </c>
      <c r="DQ462" s="55" t="str">
        <f>IF(AND(RecData[[#This Row],[Useable Background Data?]],RecData[[#This Row],[Turbines ON/OFF]]="OFF"),RecData[[#This Row],[dBA Sum]],"")</f>
        <v/>
      </c>
      <c r="DR462" s="3">
        <f>IF(OR(RecData[[#This Row],[Useable TON Data?]],RecData[[#This Row],[Useable Background Data?]]),ROUND(RecData[[#This Row],[WSpd_Avg '[m/s']]],0),"")</f>
        <v>0</v>
      </c>
      <c r="DS462" s="85">
        <f>(0.00002)^2*(10^(RecData[[#This Row],[Overall (dBA)]]/10))</f>
        <v>3.4518832846470919E-6</v>
      </c>
    </row>
    <row r="463" spans="1:123" ht="15" x14ac:dyDescent="0.25">
      <c r="A463" s="3" t="s">
        <v>249</v>
      </c>
      <c r="B463" s="12">
        <v>43270.013888888891</v>
      </c>
      <c r="C463" s="3"/>
      <c r="D463" s="3">
        <v>39.799999999999997</v>
      </c>
      <c r="E463" s="3"/>
      <c r="F463" s="3"/>
      <c r="G463" s="3"/>
      <c r="H463" s="3"/>
      <c r="I463" s="3"/>
      <c r="J463" s="3"/>
      <c r="K463" s="3">
        <v>38.1</v>
      </c>
      <c r="L463" s="3"/>
      <c r="M463" s="3"/>
      <c r="N463" s="3">
        <v>212.9</v>
      </c>
      <c r="O463" s="3"/>
      <c r="P463" s="3"/>
      <c r="Q463" s="3">
        <v>0.3</v>
      </c>
      <c r="R463" s="3">
        <v>0</v>
      </c>
      <c r="S463" s="3">
        <v>0.6</v>
      </c>
      <c r="T463" s="3">
        <v>16.7</v>
      </c>
      <c r="U463" s="3">
        <v>64.7</v>
      </c>
      <c r="V463" s="3">
        <v>972.5</v>
      </c>
      <c r="W463" s="3">
        <v>0</v>
      </c>
      <c r="X463" s="3">
        <v>46.5</v>
      </c>
      <c r="Y463" s="3">
        <v>46.2</v>
      </c>
      <c r="Z463" s="3">
        <v>45.5</v>
      </c>
      <c r="AA463" s="3">
        <v>40.9</v>
      </c>
      <c r="AB463" s="3">
        <v>36.9</v>
      </c>
      <c r="AC463" s="3">
        <v>36.200000000000003</v>
      </c>
      <c r="AD463" s="3">
        <v>38.700000000000003</v>
      </c>
      <c r="AE463" s="3">
        <v>40.5</v>
      </c>
      <c r="AF463" s="3">
        <v>42.3</v>
      </c>
      <c r="AG463" s="3">
        <v>36.799999999999997</v>
      </c>
      <c r="AH463" s="3">
        <v>36.6</v>
      </c>
      <c r="AI463" s="3">
        <v>36.5</v>
      </c>
      <c r="AJ463" s="3">
        <v>35.5</v>
      </c>
      <c r="AK463" s="3">
        <v>34.1</v>
      </c>
      <c r="AL463" s="3">
        <v>32</v>
      </c>
      <c r="AM463" s="3">
        <v>31.5</v>
      </c>
      <c r="AN463" s="3">
        <v>29.9</v>
      </c>
      <c r="AO463" s="3">
        <v>27.1</v>
      </c>
      <c r="AP463" s="3">
        <v>25.8</v>
      </c>
      <c r="AQ463" s="3">
        <v>24.3</v>
      </c>
      <c r="AR463" s="3">
        <v>22.7</v>
      </c>
      <c r="AS463" s="3">
        <v>25.9</v>
      </c>
      <c r="AT463" s="3">
        <v>30.5</v>
      </c>
      <c r="AU463" s="3">
        <v>16.7</v>
      </c>
      <c r="AV463" s="3">
        <v>14.4</v>
      </c>
      <c r="AW463" s="3">
        <v>13.4</v>
      </c>
      <c r="AX463" s="3">
        <v>10.5</v>
      </c>
      <c r="AY463" s="3">
        <v>9.8000000000000007</v>
      </c>
      <c r="AZ463" s="3">
        <v>0</v>
      </c>
      <c r="BA463" s="3">
        <v>0</v>
      </c>
      <c r="BB463" s="3">
        <v>0</v>
      </c>
      <c r="BC463" s="3">
        <v>39.808066674855979</v>
      </c>
      <c r="BD463" s="3">
        <v>46.491933325144018</v>
      </c>
      <c r="BE463" s="3">
        <v>46.191933325144021</v>
      </c>
      <c r="BF463" s="3">
        <v>44.251933325144023</v>
      </c>
      <c r="BG463" s="3">
        <v>39.978599991810682</v>
      </c>
      <c r="BH463" s="3">
        <v>36.118599991810683</v>
      </c>
      <c r="BI463" s="3">
        <v>35.831933325144021</v>
      </c>
      <c r="BJ463" s="3">
        <v>39.125266658477358</v>
      </c>
      <c r="BK463" s="3">
        <v>40.798599991810676</v>
      </c>
      <c r="BL463" s="3">
        <v>42.17193332514401</v>
      </c>
      <c r="BM463" s="3">
        <v>36.80526665847735</v>
      </c>
      <c r="BN463" s="3">
        <v>36.888599991810679</v>
      </c>
      <c r="BO463" s="3">
        <v>36.155266658477359</v>
      </c>
      <c r="BP463" s="3">
        <v>34.871933325144028</v>
      </c>
      <c r="BQ463" s="3">
        <v>33.888599991810679</v>
      </c>
      <c r="BR463" s="3">
        <v>32.115266658477353</v>
      </c>
      <c r="BS463" s="3">
        <v>31.41859999181068</v>
      </c>
      <c r="BT463" s="3">
        <v>30.015266658477344</v>
      </c>
      <c r="BU463" s="3">
        <v>27.18193332514403</v>
      </c>
      <c r="BV463" s="3">
        <v>25.598599991810687</v>
      </c>
      <c r="BW463" s="3">
        <v>24.631933325144018</v>
      </c>
      <c r="BX463" s="3">
        <v>22.951933325144026</v>
      </c>
      <c r="BY463" s="3">
        <v>25.971933325144022</v>
      </c>
      <c r="BZ463" s="3">
        <v>30.701933325144026</v>
      </c>
      <c r="CA463" s="3">
        <v>17.001933325144009</v>
      </c>
      <c r="CB463" s="3">
        <v>14.138599991810679</v>
      </c>
      <c r="CC463" s="3">
        <v>13.351933325144017</v>
      </c>
      <c r="CD463" s="3">
        <v>9.7585999918106907</v>
      </c>
      <c r="CE463" s="3">
        <v>9.2519333251440159</v>
      </c>
      <c r="CF463" s="3">
        <v>-0.93473334152265153</v>
      </c>
      <c r="CG463" s="3">
        <v>-1.468066674855983</v>
      </c>
      <c r="CH463" s="3">
        <v>-2.544733341522651</v>
      </c>
      <c r="CI463" s="13">
        <f>[1]!dbasum(RecData[[#This Row],[20]:[2000]],RecData[[#Headers],[20]:[2000]])</f>
        <v>38.65409797403386</v>
      </c>
      <c r="CJ463" s="14">
        <v>8197</v>
      </c>
      <c r="CK463" s="15" t="s">
        <v>249</v>
      </c>
      <c r="CL463" s="15">
        <f>RecData[[#This Row],[Start Time]]</f>
        <v>43270.013888888891</v>
      </c>
      <c r="CM463" s="16">
        <f>RecData[[#This Row],[Wind Speed avg]]</f>
        <v>0.3</v>
      </c>
      <c r="CN463" s="16">
        <f>RecData[[#This Row],[Wind Dir. avg]]</f>
        <v>212.9</v>
      </c>
      <c r="CO463" s="16">
        <f>RecData[[#This Row],[Amb. Humidity]]</f>
        <v>64.7</v>
      </c>
      <c r="CP463" s="16">
        <f>RecData[[#This Row],[Amb. Temperature]]</f>
        <v>16.7</v>
      </c>
      <c r="CQ463" s="17">
        <f>RecData[[#This Row],[Amb. Rain Gauge]]</f>
        <v>0</v>
      </c>
      <c r="CR463" s="4" t="s">
        <v>1</v>
      </c>
      <c r="CS463" s="4" t="s">
        <v>49</v>
      </c>
      <c r="CT463" s="70">
        <v>1550.81274414062</v>
      </c>
      <c r="CU463" s="70">
        <v>21.000177383422798</v>
      </c>
      <c r="CV463" s="70">
        <v>9.8331594467162997</v>
      </c>
      <c r="CW463" s="70">
        <v>15.209493637084901</v>
      </c>
      <c r="CX463" s="4"/>
      <c r="CY463" s="69"/>
      <c r="CZ463" s="2" t="b">
        <f>IF($DP$1="YES",IF(RecData[[#This Row],[Power (kW)]]&gt;=$CR$3, TRUE,FALSE),TRUE)</f>
        <v>1</v>
      </c>
      <c r="DA463" s="16">
        <f>MIN(MOD(180-ABS(ABS($DA$1-RecData[Yaw Angle (°)])-180),360),MOD(180-ABS(ABS($DB$1-RecData[Yaw Angle (°)])-180),360))</f>
        <v>13.470250605735259</v>
      </c>
      <c r="DB463" s="2" t="str">
        <f>IF($DP$2="None","None",IF(RecData[[#This Row],[Relative Wind Direction]]&lt;=45,"DW",IF(RecData[[#This Row],[Relative Wind Direction]]&lt;=135,"CW","UW")))</f>
        <v>DW</v>
      </c>
      <c r="DC463" s="61">
        <f>IF($CL463-$CL459&gt;1/24,#REF!,IF(SUM($CQ459:$CQ463)&gt;$DS$1,$DS$5,DC464-1))</f>
        <v>-4</v>
      </c>
      <c r="DD463" s="61">
        <f>IF($CL464-$CL463&gt;1/24,#REF!,IF(SUM($CQ459:$CQ463)&gt;$DS$1,$DS$6,DD462-1))</f>
        <v>-7</v>
      </c>
      <c r="DE463" s="18" t="b">
        <v>0</v>
      </c>
      <c r="DF463" s="2" t="b">
        <f>IF(OR(RecData[[#This Row],[WSpd_Avg '[m/s']]]-RecData[[#This Row],[Wind Speed min]]&gt;=$DF$3,RecData[[#This Row],[Wind Speed max]]-RecData[[#This Row],[WSpd_Avg '[m/s']]]&gt;=$DF$2),TRUE,FALSE)</f>
        <v>0</v>
      </c>
      <c r="DG463" s="2" t="b">
        <f>RecData[[#This Row],[Temperature '[°C']]]&lt;=-20</f>
        <v>0</v>
      </c>
      <c r="DH463" s="18" t="b">
        <f>NOT(OR(MOD(RecData[[#This Row],[TIMESTAMP]],1)&gt;0.91632,MOD(RecData[[#This Row],[TIMESTAMP]],1)&lt;0.208681))</f>
        <v>0</v>
      </c>
      <c r="DI463" s="18" t="b">
        <f>RecData[[#This Row],[Overall (dBA)]]-RecData[[#This Row],[L90]]&gt;=$DS$4</f>
        <v>0</v>
      </c>
      <c r="DJ463" s="18" t="b">
        <f>RecData[[#This Row],[Overall (dBA)]]&gt;$DS$2</f>
        <v>0</v>
      </c>
      <c r="DK463" s="18" t="b">
        <f>RecData[[#This Row],[Overall (dBA)]]&lt;$DS$3</f>
        <v>0</v>
      </c>
      <c r="DL4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3" s="2">
        <f>IF(AND(RecData[[#This Row],[Turbines ON/OFF]] = "OFF", NOT(OR(RecData[[#This Row],[Junk?]]="YES",RecData[[#This Row],[Gust?]],RecData[[#This Row],[Rain?]:[Min SPL Threshold?]]))),1,0)</f>
        <v>0</v>
      </c>
      <c r="DN463" s="16">
        <f>RecData[[#This Row],[dBA Sum]]</f>
        <v>38.65409797403386</v>
      </c>
      <c r="DO463" s="16">
        <f>RecData[[#This Row],[LAF90.0]]</f>
        <v>38.1</v>
      </c>
      <c r="DP463" s="55">
        <f>IF(AND(RecData[[#This Row],[Useable TON Data?]],RecData[[#This Row],[Turbines ON/OFF]]="ON"),RecData[[#This Row],[dBA Sum]],"")</f>
        <v>38.65409797403386</v>
      </c>
      <c r="DQ463" s="55" t="str">
        <f>IF(AND(RecData[[#This Row],[Useable Background Data?]],RecData[[#This Row],[Turbines ON/OFF]]="OFF"),RecData[[#This Row],[dBA Sum]],"")</f>
        <v/>
      </c>
      <c r="DR463" s="3">
        <f>IF(OR(RecData[[#This Row],[Useable TON Data?]],RecData[[#This Row],[Useable Background Data?]]),ROUND(RecData[[#This Row],[WSpd_Avg '[m/s']]],0),"")</f>
        <v>0</v>
      </c>
      <c r="DS463" s="85">
        <f>(0.00002)^2*(10^(RecData[[#This Row],[Overall (dBA)]]/10))</f>
        <v>2.9340653914823161E-6</v>
      </c>
    </row>
    <row r="464" spans="1:123" ht="15" x14ac:dyDescent="0.25">
      <c r="A464" s="3" t="s">
        <v>249</v>
      </c>
      <c r="B464" s="12">
        <v>43270.01458333333</v>
      </c>
      <c r="C464" s="3"/>
      <c r="D464" s="3">
        <v>39.1</v>
      </c>
      <c r="E464" s="3"/>
      <c r="F464" s="3"/>
      <c r="G464" s="3"/>
      <c r="H464" s="3"/>
      <c r="I464" s="3"/>
      <c r="J464" s="3"/>
      <c r="K464" s="3">
        <v>37.799999999999997</v>
      </c>
      <c r="L464" s="3"/>
      <c r="M464" s="3"/>
      <c r="N464" s="3">
        <v>163.4</v>
      </c>
      <c r="O464" s="3"/>
      <c r="P464" s="3"/>
      <c r="Q464" s="3">
        <v>0.49</v>
      </c>
      <c r="R464" s="3">
        <v>0.1</v>
      </c>
      <c r="S464" s="3">
        <v>1.3</v>
      </c>
      <c r="T464" s="3">
        <v>16.7</v>
      </c>
      <c r="U464" s="3">
        <v>66.900000000000006</v>
      </c>
      <c r="V464" s="3">
        <v>972.5</v>
      </c>
      <c r="W464" s="3">
        <v>0</v>
      </c>
      <c r="X464" s="3">
        <v>45.8</v>
      </c>
      <c r="Y464" s="3">
        <v>45.9</v>
      </c>
      <c r="Z464" s="3">
        <v>45.3</v>
      </c>
      <c r="AA464" s="3">
        <v>40.4</v>
      </c>
      <c r="AB464" s="3">
        <v>37.4</v>
      </c>
      <c r="AC464" s="3">
        <v>35.799999999999997</v>
      </c>
      <c r="AD464" s="3">
        <v>37.9</v>
      </c>
      <c r="AE464" s="3">
        <v>39.9</v>
      </c>
      <c r="AF464" s="3">
        <v>44.4</v>
      </c>
      <c r="AG464" s="3">
        <v>37</v>
      </c>
      <c r="AH464" s="3">
        <v>35.700000000000003</v>
      </c>
      <c r="AI464" s="3">
        <v>36.9</v>
      </c>
      <c r="AJ464" s="3">
        <v>34.799999999999997</v>
      </c>
      <c r="AK464" s="3">
        <v>33.4</v>
      </c>
      <c r="AL464" s="3">
        <v>31.2</v>
      </c>
      <c r="AM464" s="3">
        <v>30.7</v>
      </c>
      <c r="AN464" s="3">
        <v>29.1</v>
      </c>
      <c r="AO464" s="3">
        <v>26.1</v>
      </c>
      <c r="AP464" s="3">
        <v>24.4</v>
      </c>
      <c r="AQ464" s="3">
        <v>22.7</v>
      </c>
      <c r="AR464" s="3">
        <v>20.399999999999999</v>
      </c>
      <c r="AS464" s="3">
        <v>22.9</v>
      </c>
      <c r="AT464" s="3">
        <v>29.6</v>
      </c>
      <c r="AU464" s="3">
        <v>12.5</v>
      </c>
      <c r="AV464" s="3">
        <v>10.5</v>
      </c>
      <c r="AW464" s="3">
        <v>10.1</v>
      </c>
      <c r="AX464" s="3">
        <v>9.4</v>
      </c>
      <c r="AY464" s="3">
        <v>9.5</v>
      </c>
      <c r="AZ464" s="3">
        <v>0</v>
      </c>
      <c r="BA464" s="3">
        <v>0</v>
      </c>
      <c r="BB464" s="3">
        <v>0</v>
      </c>
      <c r="BC464" s="3">
        <v>39.085934636437536</v>
      </c>
      <c r="BD464" s="3">
        <v>45.81406536356247</v>
      </c>
      <c r="BE464" s="3">
        <v>45.914065363562464</v>
      </c>
      <c r="BF464" s="3">
        <v>44.074065363562461</v>
      </c>
      <c r="BG464" s="3">
        <v>39.500732030229138</v>
      </c>
      <c r="BH464" s="3">
        <v>36.640732030229124</v>
      </c>
      <c r="BI464" s="3">
        <v>35.454065363562457</v>
      </c>
      <c r="BJ464" s="3">
        <v>38.347398696895802</v>
      </c>
      <c r="BK464" s="3">
        <v>40.220732030229136</v>
      </c>
      <c r="BL464" s="3">
        <v>44.29406536356246</v>
      </c>
      <c r="BM464" s="3">
        <v>37.027398696895808</v>
      </c>
      <c r="BN464" s="3">
        <v>36.010732030229128</v>
      </c>
      <c r="BO464" s="3">
        <v>36.577398696895791</v>
      </c>
      <c r="BP464" s="3">
        <v>34.194065363562466</v>
      </c>
      <c r="BQ464" s="3">
        <v>33.210732030229117</v>
      </c>
      <c r="BR464" s="3">
        <v>31.337398696895796</v>
      </c>
      <c r="BS464" s="3">
        <v>30.640732030229124</v>
      </c>
      <c r="BT464" s="3">
        <v>29.237398696895802</v>
      </c>
      <c r="BU464" s="3">
        <v>26.204065363562471</v>
      </c>
      <c r="BV464" s="3">
        <v>24.220732030229136</v>
      </c>
      <c r="BW464" s="3">
        <v>23.054065363562465</v>
      </c>
      <c r="BX464" s="3">
        <v>20.67406536356247</v>
      </c>
      <c r="BY464" s="3">
        <v>22.994065363562463</v>
      </c>
      <c r="BZ464" s="3">
        <v>29.824065363562475</v>
      </c>
      <c r="CA464" s="3">
        <v>12.824065363562461</v>
      </c>
      <c r="CB464" s="3">
        <v>10.260732030229128</v>
      </c>
      <c r="CC464" s="3">
        <v>10.074065363562461</v>
      </c>
      <c r="CD464" s="3">
        <v>8.6807320302291373</v>
      </c>
      <c r="CE464" s="3">
        <v>8.9740653635624668</v>
      </c>
      <c r="CF464" s="3">
        <v>-0.91260130310420351</v>
      </c>
      <c r="CG464" s="3">
        <v>-1.4459346364375349</v>
      </c>
      <c r="CH464" s="3">
        <v>-2.5226013031042029</v>
      </c>
      <c r="CI464" s="13">
        <f>[1]!dbasum(RecData[[#This Row],[20]:[2000]],RecData[[#Headers],[20]:[2000]])</f>
        <v>38.125865991348896</v>
      </c>
      <c r="CJ464" s="14">
        <v>8198</v>
      </c>
      <c r="CK464" s="15" t="s">
        <v>249</v>
      </c>
      <c r="CL464" s="15">
        <f>RecData[[#This Row],[Start Time]]</f>
        <v>43270.01458333333</v>
      </c>
      <c r="CM464" s="16">
        <f>RecData[[#This Row],[Wind Speed avg]]</f>
        <v>0.49</v>
      </c>
      <c r="CN464" s="16">
        <f>RecData[[#This Row],[Wind Dir. avg]]</f>
        <v>163.4</v>
      </c>
      <c r="CO464" s="16">
        <f>RecData[[#This Row],[Amb. Humidity]]</f>
        <v>66.900000000000006</v>
      </c>
      <c r="CP464" s="16">
        <f>RecData[[#This Row],[Amb. Temperature]]</f>
        <v>16.7</v>
      </c>
      <c r="CQ464" s="17">
        <f>RecData[[#This Row],[Amb. Rain Gauge]]</f>
        <v>0</v>
      </c>
      <c r="CR464" s="4" t="s">
        <v>1</v>
      </c>
      <c r="CS464" s="4" t="s">
        <v>49</v>
      </c>
      <c r="CT464" s="70">
        <v>1585.61401367187</v>
      </c>
      <c r="CU464" s="70">
        <v>21.000177383422798</v>
      </c>
      <c r="CV464" s="70">
        <v>10.385210037231399</v>
      </c>
      <c r="CW464" s="70">
        <v>15.2064046859741</v>
      </c>
      <c r="CX464" s="4"/>
      <c r="CY464" s="69"/>
      <c r="CZ464" s="2" t="b">
        <f>IF($DP$1="YES",IF(RecData[[#This Row],[Power (kW)]]&gt;=$CR$3, TRUE,FALSE),TRUE)</f>
        <v>1</v>
      </c>
      <c r="DA464" s="16">
        <f>MIN(MOD(180-ABS(ABS($DA$1-RecData[Yaw Angle (°)])-180),360),MOD(180-ABS(ABS($DB$1-RecData[Yaw Angle (°)])-180),360))</f>
        <v>13.470250605735259</v>
      </c>
      <c r="DB464" s="2" t="str">
        <f>IF($DP$2="None","None",IF(RecData[[#This Row],[Relative Wind Direction]]&lt;=45,"DW",IF(RecData[[#This Row],[Relative Wind Direction]]&lt;=135,"CW","UW")))</f>
        <v>DW</v>
      </c>
      <c r="DC464" s="61">
        <f>IF($CL464-$CL460&gt;1/24,#REF!,IF(SUM($CQ460:$CQ464)&gt;$DS$1,$DS$5,DC465-1))</f>
        <v>-3</v>
      </c>
      <c r="DD464" s="61">
        <f>IF($CL465-$CL464&gt;1/24,#REF!,IF(SUM($CQ460:$CQ464)&gt;$DS$1,$DS$6,DD463-1))</f>
        <v>-8</v>
      </c>
      <c r="DE464" s="18" t="b">
        <v>0</v>
      </c>
      <c r="DF464" s="2" t="b">
        <f>IF(OR(RecData[[#This Row],[WSpd_Avg '[m/s']]]-RecData[[#This Row],[Wind Speed min]]&gt;=$DF$3,RecData[[#This Row],[Wind Speed max]]-RecData[[#This Row],[WSpd_Avg '[m/s']]]&gt;=$DF$2),TRUE,FALSE)</f>
        <v>0</v>
      </c>
      <c r="DG464" s="2" t="b">
        <f>RecData[[#This Row],[Temperature '[°C']]]&lt;=-20</f>
        <v>0</v>
      </c>
      <c r="DH464" s="18" t="b">
        <f>NOT(OR(MOD(RecData[[#This Row],[TIMESTAMP]],1)&gt;0.91632,MOD(RecData[[#This Row],[TIMESTAMP]],1)&lt;0.208681))</f>
        <v>0</v>
      </c>
      <c r="DI464" s="18" t="b">
        <f>RecData[[#This Row],[Overall (dBA)]]-RecData[[#This Row],[L90]]&gt;=$DS$4</f>
        <v>0</v>
      </c>
      <c r="DJ464" s="18" t="b">
        <f>RecData[[#This Row],[Overall (dBA)]]&gt;$DS$2</f>
        <v>0</v>
      </c>
      <c r="DK464" s="18" t="b">
        <f>RecData[[#This Row],[Overall (dBA)]]&lt;$DS$3</f>
        <v>0</v>
      </c>
      <c r="DL4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4" s="2">
        <f>IF(AND(RecData[[#This Row],[Turbines ON/OFF]] = "OFF", NOT(OR(RecData[[#This Row],[Junk?]]="YES",RecData[[#This Row],[Gust?]],RecData[[#This Row],[Rain?]:[Min SPL Threshold?]]))),1,0)</f>
        <v>0</v>
      </c>
      <c r="DN464" s="16">
        <f>RecData[[#This Row],[dBA Sum]]</f>
        <v>38.125865991348896</v>
      </c>
      <c r="DO464" s="16">
        <f>RecData[[#This Row],[LAF90.0]]</f>
        <v>37.799999999999997</v>
      </c>
      <c r="DP464" s="55">
        <f>IF(AND(RecData[[#This Row],[Useable TON Data?]],RecData[[#This Row],[Turbines ON/OFF]]="ON"),RecData[[#This Row],[dBA Sum]],"")</f>
        <v>38.125865991348896</v>
      </c>
      <c r="DQ464" s="55" t="str">
        <f>IF(AND(RecData[[#This Row],[Useable Background Data?]],RecData[[#This Row],[Turbines ON/OFF]]="OFF"),RecData[[#This Row],[dBA Sum]],"")</f>
        <v/>
      </c>
      <c r="DR464" s="3">
        <f>IF(OR(RecData[[#This Row],[Useable TON Data?]],RecData[[#This Row],[Useable Background Data?]]),ROUND(RecData[[#This Row],[WSpd_Avg '[m/s']]],0),"")</f>
        <v>0</v>
      </c>
      <c r="DS464" s="85">
        <f>(0.00002)^2*(10^(RecData[[#This Row],[Overall (dBA)]]/10))</f>
        <v>2.5980445296136148E-6</v>
      </c>
    </row>
    <row r="465" spans="1:123" ht="15" x14ac:dyDescent="0.25">
      <c r="A465" s="3" t="s">
        <v>249</v>
      </c>
      <c r="B465" s="12">
        <v>43270.015277777777</v>
      </c>
      <c r="C465" s="3"/>
      <c r="D465" s="3">
        <v>38.9</v>
      </c>
      <c r="E465" s="3"/>
      <c r="F465" s="3"/>
      <c r="G465" s="3"/>
      <c r="H465" s="3"/>
      <c r="I465" s="3"/>
      <c r="J465" s="3"/>
      <c r="K465" s="3">
        <v>37.200000000000003</v>
      </c>
      <c r="L465" s="3"/>
      <c r="M465" s="3"/>
      <c r="N465" s="3">
        <v>151.1</v>
      </c>
      <c r="O465" s="3"/>
      <c r="P465" s="3"/>
      <c r="Q465" s="3">
        <v>0.76</v>
      </c>
      <c r="R465" s="3">
        <v>0.1</v>
      </c>
      <c r="S465" s="3">
        <v>2.1</v>
      </c>
      <c r="T465" s="3">
        <v>16.600000000000001</v>
      </c>
      <c r="U465" s="3">
        <v>66.8</v>
      </c>
      <c r="V465" s="3">
        <v>972.5</v>
      </c>
      <c r="W465" s="3">
        <v>0</v>
      </c>
      <c r="X465" s="3">
        <v>46.6</v>
      </c>
      <c r="Y465" s="3">
        <v>46.1</v>
      </c>
      <c r="Z465" s="3">
        <v>45.3</v>
      </c>
      <c r="AA465" s="3">
        <v>40.4</v>
      </c>
      <c r="AB465" s="3">
        <v>37.299999999999997</v>
      </c>
      <c r="AC465" s="3">
        <v>35.9</v>
      </c>
      <c r="AD465" s="3">
        <v>38.9</v>
      </c>
      <c r="AE465" s="3">
        <v>41.1</v>
      </c>
      <c r="AF465" s="3">
        <v>43.7</v>
      </c>
      <c r="AG465" s="3">
        <v>36.200000000000003</v>
      </c>
      <c r="AH465" s="3">
        <v>36.700000000000003</v>
      </c>
      <c r="AI465" s="3">
        <v>36.4</v>
      </c>
      <c r="AJ465" s="3">
        <v>34.799999999999997</v>
      </c>
      <c r="AK465" s="3">
        <v>32.9</v>
      </c>
      <c r="AL465" s="3">
        <v>30.8</v>
      </c>
      <c r="AM465" s="3">
        <v>30</v>
      </c>
      <c r="AN465" s="3">
        <v>28.7</v>
      </c>
      <c r="AO465" s="3">
        <v>26.1</v>
      </c>
      <c r="AP465" s="3">
        <v>24.3</v>
      </c>
      <c r="AQ465" s="3">
        <v>23</v>
      </c>
      <c r="AR465" s="3">
        <v>21.4</v>
      </c>
      <c r="AS465" s="3">
        <v>23.3</v>
      </c>
      <c r="AT465" s="3">
        <v>28.9</v>
      </c>
      <c r="AU465" s="3">
        <v>15.8</v>
      </c>
      <c r="AV465" s="3">
        <v>14.7</v>
      </c>
      <c r="AW465" s="3">
        <v>13</v>
      </c>
      <c r="AX465" s="3">
        <v>10.8</v>
      </c>
      <c r="AY465" s="3">
        <v>9.9</v>
      </c>
      <c r="AZ465" s="3">
        <v>0</v>
      </c>
      <c r="BA465" s="3">
        <v>0</v>
      </c>
      <c r="BB465" s="3">
        <v>0</v>
      </c>
      <c r="BC465" s="3">
        <v>38.844217948874608</v>
      </c>
      <c r="BD465" s="3">
        <v>46.655782051125392</v>
      </c>
      <c r="BE465" s="3">
        <v>46.155782051125392</v>
      </c>
      <c r="BF465" s="3">
        <v>44.115782051125386</v>
      </c>
      <c r="BG465" s="3">
        <v>39.542448717792048</v>
      </c>
      <c r="BH465" s="3">
        <v>36.582448717792055</v>
      </c>
      <c r="BI465" s="3">
        <v>35.59578205112539</v>
      </c>
      <c r="BJ465" s="3">
        <v>39.389115384458712</v>
      </c>
      <c r="BK465" s="3">
        <v>41.462448717792064</v>
      </c>
      <c r="BL465" s="3">
        <v>43.635782051125396</v>
      </c>
      <c r="BM465" s="3">
        <v>36.269115384458736</v>
      </c>
      <c r="BN465" s="3">
        <v>37.052448717792068</v>
      </c>
      <c r="BO465" s="3">
        <v>36.11911538445873</v>
      </c>
      <c r="BP465" s="3">
        <v>34.235782051125391</v>
      </c>
      <c r="BQ465" s="3">
        <v>32.752448717792056</v>
      </c>
      <c r="BR465" s="3">
        <v>30.97911538445873</v>
      </c>
      <c r="BS465" s="3">
        <v>29.98244871779206</v>
      </c>
      <c r="BT465" s="3">
        <v>28.879115384458721</v>
      </c>
      <c r="BU465" s="3">
        <v>26.245782051125396</v>
      </c>
      <c r="BV465" s="3">
        <v>24.16244871779206</v>
      </c>
      <c r="BW465" s="3">
        <v>23.395782051125394</v>
      </c>
      <c r="BX465" s="3">
        <v>21.715782051125395</v>
      </c>
      <c r="BY465" s="3">
        <v>23.435782051125393</v>
      </c>
      <c r="BZ465" s="3">
        <v>29.165782051125397</v>
      </c>
      <c r="CA465" s="3">
        <v>16.165782051125383</v>
      </c>
      <c r="CB465" s="3">
        <v>14.502448717792056</v>
      </c>
      <c r="CC465" s="3">
        <v>13.015782051125392</v>
      </c>
      <c r="CD465" s="3">
        <v>10.122448717792061</v>
      </c>
      <c r="CE465" s="3">
        <v>9.4157820511253902</v>
      </c>
      <c r="CF465" s="3">
        <v>-0.87088461554127861</v>
      </c>
      <c r="CG465" s="3">
        <v>-1.40421794887461</v>
      </c>
      <c r="CH465" s="3">
        <v>-2.480884615541278</v>
      </c>
      <c r="CI465" s="13">
        <f>[1]!dbasum(RecData[[#This Row],[20]:[2000]],RecData[[#Headers],[20]:[2000]])</f>
        <v>37.947461619984779</v>
      </c>
      <c r="CJ465" s="14">
        <v>8199</v>
      </c>
      <c r="CK465" s="15" t="s">
        <v>249</v>
      </c>
      <c r="CL465" s="15">
        <f>RecData[[#This Row],[Start Time]]</f>
        <v>43270.015277777777</v>
      </c>
      <c r="CM465" s="16">
        <f>RecData[[#This Row],[Wind Speed avg]]</f>
        <v>0.76</v>
      </c>
      <c r="CN465" s="16">
        <f>RecData[[#This Row],[Wind Dir. avg]]</f>
        <v>151.1</v>
      </c>
      <c r="CO465" s="16">
        <f>RecData[[#This Row],[Amb. Humidity]]</f>
        <v>66.8</v>
      </c>
      <c r="CP465" s="16">
        <f>RecData[[#This Row],[Amb. Temperature]]</f>
        <v>16.600000000000001</v>
      </c>
      <c r="CQ465" s="17">
        <f>RecData[[#This Row],[Amb. Rain Gauge]]</f>
        <v>0</v>
      </c>
      <c r="CR465" s="4" t="s">
        <v>1</v>
      </c>
      <c r="CS465" s="4" t="s">
        <v>49</v>
      </c>
      <c r="CT465" s="70">
        <v>1585.61401367187</v>
      </c>
      <c r="CU465" s="70">
        <v>21.000177383422798</v>
      </c>
      <c r="CV465" s="70">
        <v>10.385210037231399</v>
      </c>
      <c r="CW465" s="70">
        <v>15.2064046859741</v>
      </c>
      <c r="CX465" s="4"/>
      <c r="CY465" s="69"/>
      <c r="CZ465" s="2" t="b">
        <f>IF($DP$1="YES",IF(RecData[[#This Row],[Power (kW)]]&gt;=$CR$3, TRUE,FALSE),TRUE)</f>
        <v>1</v>
      </c>
      <c r="DA465" s="16">
        <f>MIN(MOD(180-ABS(ABS($DA$1-RecData[Yaw Angle (°)])-180),360),MOD(180-ABS(ABS($DB$1-RecData[Yaw Angle (°)])-180),360))</f>
        <v>13.470250605735259</v>
      </c>
      <c r="DB465" s="2" t="str">
        <f>IF($DP$2="None","None",IF(RecData[[#This Row],[Relative Wind Direction]]&lt;=45,"DW",IF(RecData[[#This Row],[Relative Wind Direction]]&lt;=135,"CW","UW")))</f>
        <v>DW</v>
      </c>
      <c r="DC465" s="61">
        <f>IF($CL465-$CL461&gt;1/24,#REF!,IF(SUM($CQ461:$CQ465)&gt;$DS$1,$DS$5,DC466-1))</f>
        <v>-2</v>
      </c>
      <c r="DD465" s="61">
        <f>IF($CL466-$CL465&gt;1/24,#REF!,IF(SUM($CQ461:$CQ465)&gt;$DS$1,$DS$6,DD464-1))</f>
        <v>-9</v>
      </c>
      <c r="DE465" s="18" t="b">
        <v>0</v>
      </c>
      <c r="DF465" s="2" t="b">
        <f>IF(OR(RecData[[#This Row],[WSpd_Avg '[m/s']]]-RecData[[#This Row],[Wind Speed min]]&gt;=$DF$3,RecData[[#This Row],[Wind Speed max]]-RecData[[#This Row],[WSpd_Avg '[m/s']]]&gt;=$DF$2),TRUE,FALSE)</f>
        <v>0</v>
      </c>
      <c r="DG465" s="2" t="b">
        <f>RecData[[#This Row],[Temperature '[°C']]]&lt;=-20</f>
        <v>0</v>
      </c>
      <c r="DH465" s="18" t="b">
        <f>NOT(OR(MOD(RecData[[#This Row],[TIMESTAMP]],1)&gt;0.91632,MOD(RecData[[#This Row],[TIMESTAMP]],1)&lt;0.208681))</f>
        <v>0</v>
      </c>
      <c r="DI465" s="18" t="b">
        <f>RecData[[#This Row],[Overall (dBA)]]-RecData[[#This Row],[L90]]&gt;=$DS$4</f>
        <v>0</v>
      </c>
      <c r="DJ465" s="18" t="b">
        <f>RecData[[#This Row],[Overall (dBA)]]&gt;$DS$2</f>
        <v>0</v>
      </c>
      <c r="DK465" s="18" t="b">
        <f>RecData[[#This Row],[Overall (dBA)]]&lt;$DS$3</f>
        <v>0</v>
      </c>
      <c r="DL4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5" s="2">
        <f>IF(AND(RecData[[#This Row],[Turbines ON/OFF]] = "OFF", NOT(OR(RecData[[#This Row],[Junk?]]="YES",RecData[[#This Row],[Gust?]],RecData[[#This Row],[Rain?]:[Min SPL Threshold?]]))),1,0)</f>
        <v>0</v>
      </c>
      <c r="DN465" s="16">
        <f>RecData[[#This Row],[dBA Sum]]</f>
        <v>37.947461619984779</v>
      </c>
      <c r="DO465" s="16">
        <f>RecData[[#This Row],[LAF90.0]]</f>
        <v>37.200000000000003</v>
      </c>
      <c r="DP465" s="55">
        <f>IF(AND(RecData[[#This Row],[Useable TON Data?]],RecData[[#This Row],[Turbines ON/OFF]]="ON"),RecData[[#This Row],[dBA Sum]],"")</f>
        <v>37.947461619984779</v>
      </c>
      <c r="DQ465" s="55" t="str">
        <f>IF(AND(RecData[[#This Row],[Useable Background Data?]],RecData[[#This Row],[Turbines ON/OFF]]="OFF"),RecData[[#This Row],[dBA Sum]],"")</f>
        <v/>
      </c>
      <c r="DR465" s="3">
        <f>IF(OR(RecData[[#This Row],[Useable TON Data?]],RecData[[#This Row],[Useable Background Data?]]),ROUND(RecData[[#This Row],[WSpd_Avg '[m/s']]],0),"")</f>
        <v>1</v>
      </c>
      <c r="DS465" s="85">
        <f>(0.00002)^2*(10^(RecData[[#This Row],[Overall (dBA)]]/10))</f>
        <v>2.4934815168843805E-6</v>
      </c>
    </row>
    <row r="466" spans="1:123" ht="15" x14ac:dyDescent="0.25">
      <c r="A466" s="3" t="s">
        <v>249</v>
      </c>
      <c r="B466" s="12">
        <v>43270.015972222223</v>
      </c>
      <c r="C466" s="3"/>
      <c r="D466" s="3">
        <v>40</v>
      </c>
      <c r="E466" s="3"/>
      <c r="F466" s="3"/>
      <c r="G466" s="3"/>
      <c r="H466" s="3"/>
      <c r="I466" s="3"/>
      <c r="J466" s="3"/>
      <c r="K466" s="3">
        <v>38.9</v>
      </c>
      <c r="L466" s="3"/>
      <c r="M466" s="3"/>
      <c r="N466" s="3">
        <v>75.8</v>
      </c>
      <c r="O466" s="3"/>
      <c r="P466" s="3"/>
      <c r="Q466" s="3">
        <v>0.79</v>
      </c>
      <c r="R466" s="3">
        <v>0.1</v>
      </c>
      <c r="S466" s="3">
        <v>1.5</v>
      </c>
      <c r="T466" s="3">
        <v>16.600000000000001</v>
      </c>
      <c r="U466" s="3">
        <v>64.8</v>
      </c>
      <c r="V466" s="3">
        <v>972.5</v>
      </c>
      <c r="W466" s="3">
        <v>0</v>
      </c>
      <c r="X466" s="3">
        <v>47.5</v>
      </c>
      <c r="Y466" s="3">
        <v>47</v>
      </c>
      <c r="Z466" s="3">
        <v>45.3</v>
      </c>
      <c r="AA466" s="3">
        <v>39.700000000000003</v>
      </c>
      <c r="AB466" s="3">
        <v>36.9</v>
      </c>
      <c r="AC466" s="3">
        <v>36.6</v>
      </c>
      <c r="AD466" s="3">
        <v>40.4</v>
      </c>
      <c r="AE466" s="3">
        <v>42.2</v>
      </c>
      <c r="AF466" s="3">
        <v>42.3</v>
      </c>
      <c r="AG466" s="3">
        <v>35.6</v>
      </c>
      <c r="AH466" s="3">
        <v>38.1</v>
      </c>
      <c r="AI466" s="3">
        <v>36.200000000000003</v>
      </c>
      <c r="AJ466" s="3">
        <v>36.5</v>
      </c>
      <c r="AK466" s="3">
        <v>34.200000000000003</v>
      </c>
      <c r="AL466" s="3">
        <v>31.9</v>
      </c>
      <c r="AM466" s="3">
        <v>31.2</v>
      </c>
      <c r="AN466" s="3">
        <v>30</v>
      </c>
      <c r="AO466" s="3">
        <v>27.3</v>
      </c>
      <c r="AP466" s="3">
        <v>25.8</v>
      </c>
      <c r="AQ466" s="3">
        <v>24.1</v>
      </c>
      <c r="AR466" s="3">
        <v>22.7</v>
      </c>
      <c r="AS466" s="3">
        <v>25.9</v>
      </c>
      <c r="AT466" s="3">
        <v>30.6</v>
      </c>
      <c r="AU466" s="3">
        <v>18.5</v>
      </c>
      <c r="AV466" s="3">
        <v>17.2</v>
      </c>
      <c r="AW466" s="3">
        <v>16.2</v>
      </c>
      <c r="AX466" s="3">
        <v>12.7</v>
      </c>
      <c r="AY466" s="3">
        <v>11.4</v>
      </c>
      <c r="AZ466" s="3">
        <v>0</v>
      </c>
      <c r="BA466" s="3">
        <v>0</v>
      </c>
      <c r="BB466" s="3">
        <v>0</v>
      </c>
      <c r="BC466" s="3">
        <v>40.001040205540619</v>
      </c>
      <c r="BD466" s="3">
        <v>47.498959794459381</v>
      </c>
      <c r="BE466" s="3">
        <v>46.998959794459381</v>
      </c>
      <c r="BF466" s="3">
        <v>44.058959794459383</v>
      </c>
      <c r="BG466" s="3">
        <v>38.785626461126043</v>
      </c>
      <c r="BH466" s="3">
        <v>36.125626461126046</v>
      </c>
      <c r="BI466" s="3">
        <v>36.23895979445939</v>
      </c>
      <c r="BJ466" s="3">
        <v>40.83229312779271</v>
      </c>
      <c r="BK466" s="3">
        <v>42.505626461126042</v>
      </c>
      <c r="BL466" s="3">
        <v>42.178959794459388</v>
      </c>
      <c r="BM466" s="3">
        <v>35.612293127792725</v>
      </c>
      <c r="BN466" s="3">
        <v>38.395626461126056</v>
      </c>
      <c r="BO466" s="3">
        <v>35.862293127792725</v>
      </c>
      <c r="BP466" s="3">
        <v>35.878959794459377</v>
      </c>
      <c r="BQ466" s="3">
        <v>33.995626461126051</v>
      </c>
      <c r="BR466" s="3">
        <v>32.022293127792722</v>
      </c>
      <c r="BS466" s="3">
        <v>31.125626461126046</v>
      </c>
      <c r="BT466" s="3">
        <v>30.122293127792716</v>
      </c>
      <c r="BU466" s="3">
        <v>27.388959794459382</v>
      </c>
      <c r="BV466" s="3">
        <v>25.60562646112605</v>
      </c>
      <c r="BW466" s="3">
        <v>24.438959794459379</v>
      </c>
      <c r="BX466" s="3">
        <v>22.958959794459389</v>
      </c>
      <c r="BY466" s="3">
        <v>25.978959794459371</v>
      </c>
      <c r="BZ466" s="3">
        <v>30.808959794459383</v>
      </c>
      <c r="CA466" s="3">
        <v>18.808959794459369</v>
      </c>
      <c r="CB466" s="3">
        <v>16.945626461126047</v>
      </c>
      <c r="CC466" s="3">
        <v>16.158959794459378</v>
      </c>
      <c r="CD466" s="3">
        <v>11.96562646112605</v>
      </c>
      <c r="CE466" s="3">
        <v>10.858959794459381</v>
      </c>
      <c r="CF466" s="3">
        <v>-0.92770687220728831</v>
      </c>
      <c r="CG466" s="3">
        <v>-1.4610402055406198</v>
      </c>
      <c r="CH466" s="3">
        <v>-2.5377068722072877</v>
      </c>
      <c r="CI466" s="13">
        <f>[1]!dbasum(RecData[[#This Row],[20]:[2000]],RecData[[#Headers],[20]:[2000]])</f>
        <v>38.839732482053513</v>
      </c>
      <c r="CJ466" s="14">
        <v>8200</v>
      </c>
      <c r="CK466" s="15" t="s">
        <v>249</v>
      </c>
      <c r="CL466" s="15">
        <f>RecData[[#This Row],[Start Time]]</f>
        <v>43270.015972222223</v>
      </c>
      <c r="CM466" s="16">
        <f>RecData[[#This Row],[Wind Speed avg]]</f>
        <v>0.79</v>
      </c>
      <c r="CN466" s="16">
        <f>RecData[[#This Row],[Wind Dir. avg]]</f>
        <v>75.8</v>
      </c>
      <c r="CO466" s="16">
        <f>RecData[[#This Row],[Amb. Humidity]]</f>
        <v>64.8</v>
      </c>
      <c r="CP466" s="16">
        <f>RecData[[#This Row],[Amb. Temperature]]</f>
        <v>16.600000000000001</v>
      </c>
      <c r="CQ466" s="17">
        <f>RecData[[#This Row],[Amb. Rain Gauge]]</f>
        <v>0</v>
      </c>
      <c r="CR466" s="4" t="s">
        <v>1</v>
      </c>
      <c r="CS466" s="4" t="s">
        <v>49</v>
      </c>
      <c r="CT466" s="70">
        <v>1585.61401367187</v>
      </c>
      <c r="CU466" s="70">
        <v>21.000177383422798</v>
      </c>
      <c r="CV466" s="70">
        <v>10.385210037231399</v>
      </c>
      <c r="CW466" s="70">
        <v>15.2064046859741</v>
      </c>
      <c r="CX466" s="4"/>
      <c r="CY466" s="69"/>
      <c r="CZ466" s="2" t="b">
        <f>IF($DP$1="YES",IF(RecData[[#This Row],[Power (kW)]]&gt;=$CR$3, TRUE,FALSE),TRUE)</f>
        <v>1</v>
      </c>
      <c r="DA466" s="16">
        <f>MIN(MOD(180-ABS(ABS($DA$1-RecData[Yaw Angle (°)])-180),360),MOD(180-ABS(ABS($DB$1-RecData[Yaw Angle (°)])-180),360))</f>
        <v>13.470250605735259</v>
      </c>
      <c r="DB466" s="2" t="str">
        <f>IF($DP$2="None","None",IF(RecData[[#This Row],[Relative Wind Direction]]&lt;=45,"DW",IF(RecData[[#This Row],[Relative Wind Direction]]&lt;=135,"CW","UW")))</f>
        <v>DW</v>
      </c>
      <c r="DC466" s="61">
        <v>-1</v>
      </c>
      <c r="DD466" s="61">
        <v>-1</v>
      </c>
      <c r="DE466" s="18" t="b">
        <v>0</v>
      </c>
      <c r="DF466" s="2" t="b">
        <f>IF(OR(RecData[[#This Row],[WSpd_Avg '[m/s']]]-RecData[[#This Row],[Wind Speed min]]&gt;=$DF$3,RecData[[#This Row],[Wind Speed max]]-RecData[[#This Row],[WSpd_Avg '[m/s']]]&gt;=$DF$2),TRUE,FALSE)</f>
        <v>0</v>
      </c>
      <c r="DG466" s="2" t="b">
        <f>RecData[[#This Row],[Temperature '[°C']]]&lt;=-20</f>
        <v>0</v>
      </c>
      <c r="DH466" s="18" t="b">
        <f>NOT(OR(MOD(RecData[[#This Row],[TIMESTAMP]],1)&gt;0.91632,MOD(RecData[[#This Row],[TIMESTAMP]],1)&lt;0.208681))</f>
        <v>0</v>
      </c>
      <c r="DI466" s="18" t="b">
        <f>RecData[[#This Row],[Overall (dBA)]]-RecData[[#This Row],[L90]]&gt;=$DS$4</f>
        <v>0</v>
      </c>
      <c r="DJ466" s="18" t="b">
        <f>RecData[[#This Row],[Overall (dBA)]]&gt;$DS$2</f>
        <v>0</v>
      </c>
      <c r="DK466" s="18" t="b">
        <f>RecData[[#This Row],[Overall (dBA)]]&lt;$DS$3</f>
        <v>0</v>
      </c>
      <c r="DL4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6" s="2">
        <f>IF(AND(RecData[[#This Row],[Turbines ON/OFF]] = "OFF", NOT(OR(RecData[[#This Row],[Junk?]]="YES",RecData[[#This Row],[Gust?]],RecData[[#This Row],[Rain?]:[Min SPL Threshold?]]))),1,0)</f>
        <v>0</v>
      </c>
      <c r="DN466" s="16">
        <f>RecData[[#This Row],[dBA Sum]]</f>
        <v>38.839732482053513</v>
      </c>
      <c r="DO466" s="16">
        <f>RecData[[#This Row],[LAF90.0]]</f>
        <v>38.9</v>
      </c>
      <c r="DP466" s="55">
        <f>IF(AND(RecData[[#This Row],[Useable TON Data?]],RecData[[#This Row],[Turbines ON/OFF]]="ON"),RecData[[#This Row],[dBA Sum]],"")</f>
        <v>38.839732482053513</v>
      </c>
      <c r="DQ466" s="55" t="str">
        <f>IF(AND(RecData[[#This Row],[Useable Background Data?]],RecData[[#This Row],[Turbines ON/OFF]]="OFF"),RecData[[#This Row],[dBA Sum]],"")</f>
        <v/>
      </c>
      <c r="DR466" s="3">
        <f>IF(OR(RecData[[#This Row],[Useable TON Data?]],RecData[[#This Row],[Useable Background Data?]]),ROUND(RecData[[#This Row],[WSpd_Avg '[m/s']]],0),"")</f>
        <v>1</v>
      </c>
      <c r="DS466" s="85">
        <f>(0.00002)^2*(10^(RecData[[#This Row],[Overall (dBA)]]/10))</f>
        <v>3.0621977957072232E-6</v>
      </c>
    </row>
    <row r="467" spans="1:123" ht="15" x14ac:dyDescent="0.25">
      <c r="A467" s="3" t="s">
        <v>249</v>
      </c>
      <c r="B467" s="12">
        <v>43270.01666666667</v>
      </c>
      <c r="C467" s="3"/>
      <c r="D467" s="3">
        <v>39.299999999999997</v>
      </c>
      <c r="E467" s="3"/>
      <c r="F467" s="3"/>
      <c r="G467" s="3"/>
      <c r="H467" s="3"/>
      <c r="I467" s="3"/>
      <c r="J467" s="3"/>
      <c r="K467" s="3">
        <v>38</v>
      </c>
      <c r="L467" s="3"/>
      <c r="M467" s="3"/>
      <c r="N467" s="3">
        <v>130</v>
      </c>
      <c r="O467" s="3"/>
      <c r="P467" s="3"/>
      <c r="Q467" s="3">
        <v>0.72</v>
      </c>
      <c r="R467" s="3">
        <v>0.1</v>
      </c>
      <c r="S467" s="3">
        <v>1.8</v>
      </c>
      <c r="T467" s="3">
        <v>16.600000000000001</v>
      </c>
      <c r="U467" s="3">
        <v>63.5</v>
      </c>
      <c r="V467" s="3">
        <v>972.5</v>
      </c>
      <c r="W467" s="3">
        <v>0</v>
      </c>
      <c r="X467" s="3">
        <v>46.2</v>
      </c>
      <c r="Y467" s="3">
        <v>46.6</v>
      </c>
      <c r="Z467" s="3">
        <v>45</v>
      </c>
      <c r="AA467" s="3">
        <v>39.5</v>
      </c>
      <c r="AB467" s="3">
        <v>36.299999999999997</v>
      </c>
      <c r="AC467" s="3">
        <v>35</v>
      </c>
      <c r="AD467" s="3">
        <v>38.799999999999997</v>
      </c>
      <c r="AE467" s="3">
        <v>41</v>
      </c>
      <c r="AF467" s="3">
        <v>42.2</v>
      </c>
      <c r="AG467" s="3">
        <v>35.6</v>
      </c>
      <c r="AH467" s="3">
        <v>36.9</v>
      </c>
      <c r="AI467" s="3">
        <v>35.799999999999997</v>
      </c>
      <c r="AJ467" s="3">
        <v>35.700000000000003</v>
      </c>
      <c r="AK467" s="3">
        <v>33.5</v>
      </c>
      <c r="AL467" s="3">
        <v>31.5</v>
      </c>
      <c r="AM467" s="3">
        <v>31</v>
      </c>
      <c r="AN467" s="3">
        <v>29.9</v>
      </c>
      <c r="AO467" s="3">
        <v>27.2</v>
      </c>
      <c r="AP467" s="3">
        <v>25.1</v>
      </c>
      <c r="AQ467" s="3">
        <v>23.1</v>
      </c>
      <c r="AR467" s="3">
        <v>20.5</v>
      </c>
      <c r="AS467" s="3">
        <v>24</v>
      </c>
      <c r="AT467" s="3">
        <v>29.3</v>
      </c>
      <c r="AU467" s="3">
        <v>12.6</v>
      </c>
      <c r="AV467" s="3">
        <v>11</v>
      </c>
      <c r="AW467" s="3">
        <v>10.6</v>
      </c>
      <c r="AX467" s="3">
        <v>9.6</v>
      </c>
      <c r="AY467" s="3">
        <v>9.6</v>
      </c>
      <c r="AZ467" s="3">
        <v>0</v>
      </c>
      <c r="BA467" s="3">
        <v>0</v>
      </c>
      <c r="BB467" s="3">
        <v>0</v>
      </c>
      <c r="BC467" s="3">
        <v>39.222699192600231</v>
      </c>
      <c r="BD467" s="3">
        <v>46.277300807399769</v>
      </c>
      <c r="BE467" s="3">
        <v>46.677300807399774</v>
      </c>
      <c r="BF467" s="3">
        <v>43.837300807399771</v>
      </c>
      <c r="BG467" s="3">
        <v>38.663967474066425</v>
      </c>
      <c r="BH467" s="3">
        <v>35.603967474066422</v>
      </c>
      <c r="BI467" s="3">
        <v>34.717300807399766</v>
      </c>
      <c r="BJ467" s="3">
        <v>39.3106341407331</v>
      </c>
      <c r="BK467" s="3">
        <v>41.383967474066424</v>
      </c>
      <c r="BL467" s="3">
        <v>42.157300807399764</v>
      </c>
      <c r="BM467" s="3">
        <v>35.690634140733096</v>
      </c>
      <c r="BN467" s="3">
        <v>37.273967474066438</v>
      </c>
      <c r="BO467" s="3">
        <v>35.54063414073309</v>
      </c>
      <c r="BP467" s="3">
        <v>35.157300807399764</v>
      </c>
      <c r="BQ467" s="3">
        <v>33.373967474066433</v>
      </c>
      <c r="BR467" s="3">
        <v>31.700634140733101</v>
      </c>
      <c r="BS467" s="3">
        <v>31.003967474066428</v>
      </c>
      <c r="BT467" s="3">
        <v>30.100634140733092</v>
      </c>
      <c r="BU467" s="3">
        <v>27.367300807399772</v>
      </c>
      <c r="BV467" s="3">
        <v>24.983967474066432</v>
      </c>
      <c r="BW467" s="3">
        <v>23.517300807399771</v>
      </c>
      <c r="BX467" s="3">
        <v>20.837300807399771</v>
      </c>
      <c r="BY467" s="3">
        <v>24.157300807399764</v>
      </c>
      <c r="BZ467" s="3">
        <v>29.587300807399771</v>
      </c>
      <c r="CA467" s="3">
        <v>12.987300807399762</v>
      </c>
      <c r="CB467" s="3">
        <v>10.823967474066428</v>
      </c>
      <c r="CC467" s="3">
        <v>10.637300807399768</v>
      </c>
      <c r="CD467" s="3">
        <v>8.9439674740664401</v>
      </c>
      <c r="CE467" s="3">
        <v>9.1373008073997681</v>
      </c>
      <c r="CF467" s="3">
        <v>-0.84936585926690356</v>
      </c>
      <c r="CG467" s="3">
        <v>-1.382699192600235</v>
      </c>
      <c r="CH467" s="3">
        <v>-2.459365859266903</v>
      </c>
      <c r="CI467" s="13">
        <f>[1]!dbasum(RecData[[#This Row],[20]:[2000]],RecData[[#Headers],[20]:[2000]])</f>
        <v>38.369680177525957</v>
      </c>
      <c r="CJ467" s="14">
        <v>8201</v>
      </c>
      <c r="CK467" s="15" t="s">
        <v>249</v>
      </c>
      <c r="CL467" s="15">
        <f>RecData[[#This Row],[Start Time]]</f>
        <v>43270.01666666667</v>
      </c>
      <c r="CM467" s="16">
        <f>RecData[[#This Row],[Wind Speed avg]]</f>
        <v>0.72</v>
      </c>
      <c r="CN467" s="16">
        <f>RecData[[#This Row],[Wind Dir. avg]]</f>
        <v>130</v>
      </c>
      <c r="CO467" s="16">
        <f>RecData[[#This Row],[Amb. Humidity]]</f>
        <v>63.5</v>
      </c>
      <c r="CP467" s="16">
        <f>RecData[[#This Row],[Amb. Temperature]]</f>
        <v>16.600000000000001</v>
      </c>
      <c r="CQ467" s="17">
        <f>RecData[[#This Row],[Amb. Rain Gauge]]</f>
        <v>0</v>
      </c>
      <c r="CR467" s="4" t="s">
        <v>1</v>
      </c>
      <c r="CS467" s="4" t="s">
        <v>49</v>
      </c>
      <c r="CT467" s="70">
        <v>1585.61401367187</v>
      </c>
      <c r="CU467" s="70">
        <v>21.000177383422798</v>
      </c>
      <c r="CV467" s="70">
        <v>10.385210037231399</v>
      </c>
      <c r="CW467" s="70">
        <v>15.2064046859741</v>
      </c>
      <c r="CX467" s="4"/>
      <c r="CY467" s="69"/>
      <c r="CZ467" s="2" t="b">
        <f>IF($DP$1="YES",IF(RecData[[#This Row],[Power (kW)]]&gt;=$CR$3, TRUE,FALSE),TRUE)</f>
        <v>1</v>
      </c>
      <c r="DA467" s="16">
        <f>MIN(MOD(180-ABS(ABS($DA$1-RecData[Yaw Angle (°)])-180),360),MOD(180-ABS(ABS($DB$1-RecData[Yaw Angle (°)])-180),360))</f>
        <v>13.470250605735259</v>
      </c>
      <c r="DB467" s="2" t="str">
        <f>IF($DP$2="None","None",IF(RecData[[#This Row],[Relative Wind Direction]]&lt;=45,"DW",IF(RecData[[#This Row],[Relative Wind Direction]]&lt;=135,"CW","UW")))</f>
        <v>DW</v>
      </c>
      <c r="DC467" s="61">
        <f>IF($CL467-$CL466&gt;1/24,#REF!,IF(SUM($CQ466:$CQ467)&gt;$DS$1,$DS$5,DC468-1))</f>
        <v>-9</v>
      </c>
      <c r="DD467" s="61">
        <f>IF($CL468-$CL467&gt;1/24,#REF!,IF(SUM($CQ466:$CQ467)&gt;$DS$1,$DS$6,DD466-1))</f>
        <v>-2</v>
      </c>
      <c r="DE467" s="18" t="b">
        <v>0</v>
      </c>
      <c r="DF467" s="2" t="b">
        <f>IF(OR(RecData[[#This Row],[WSpd_Avg '[m/s']]]-RecData[[#This Row],[Wind Speed min]]&gt;=$DF$3,RecData[[#This Row],[Wind Speed max]]-RecData[[#This Row],[WSpd_Avg '[m/s']]]&gt;=$DF$2),TRUE,FALSE)</f>
        <v>0</v>
      </c>
      <c r="DG467" s="2" t="b">
        <f>RecData[[#This Row],[Temperature '[°C']]]&lt;=-20</f>
        <v>0</v>
      </c>
      <c r="DH467" s="18" t="b">
        <f>NOT(OR(MOD(RecData[[#This Row],[TIMESTAMP]],1)&gt;0.91632,MOD(RecData[[#This Row],[TIMESTAMP]],1)&lt;0.208681))</f>
        <v>0</v>
      </c>
      <c r="DI467" s="18" t="b">
        <f>RecData[[#This Row],[Overall (dBA)]]-RecData[[#This Row],[L90]]&gt;=$DS$4</f>
        <v>0</v>
      </c>
      <c r="DJ467" s="18" t="b">
        <f>RecData[[#This Row],[Overall (dBA)]]&gt;$DS$2</f>
        <v>0</v>
      </c>
      <c r="DK467" s="18" t="b">
        <f>RecData[[#This Row],[Overall (dBA)]]&lt;$DS$3</f>
        <v>0</v>
      </c>
      <c r="DL4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7" s="2">
        <f>IF(AND(RecData[[#This Row],[Turbines ON/OFF]] = "OFF", NOT(OR(RecData[[#This Row],[Junk?]]="YES",RecData[[#This Row],[Gust?]],RecData[[#This Row],[Rain?]:[Min SPL Threshold?]]))),1,0)</f>
        <v>0</v>
      </c>
      <c r="DN467" s="16">
        <f>RecData[[#This Row],[dBA Sum]]</f>
        <v>38.369680177525957</v>
      </c>
      <c r="DO467" s="16">
        <f>RecData[[#This Row],[LAF90.0]]</f>
        <v>38</v>
      </c>
      <c r="DP467" s="55">
        <f>IF(AND(RecData[[#This Row],[Useable TON Data?]],RecData[[#This Row],[Turbines ON/OFF]]="ON"),RecData[[#This Row],[dBA Sum]],"")</f>
        <v>38.369680177525957</v>
      </c>
      <c r="DQ467" s="55" t="str">
        <f>IF(AND(RecData[[#This Row],[Useable Background Data?]],RecData[[#This Row],[Turbines ON/OFF]]="OFF"),RecData[[#This Row],[dBA Sum]],"")</f>
        <v/>
      </c>
      <c r="DR467" s="3">
        <f>IF(OR(RecData[[#This Row],[Useable TON Data?]],RecData[[#This Row],[Useable Background Data?]]),ROUND(RecData[[#This Row],[WSpd_Avg '[m/s']]],0),"")</f>
        <v>1</v>
      </c>
      <c r="DS467" s="85">
        <f>(0.00002)^2*(10^(RecData[[#This Row],[Overall (dBA)]]/10))</f>
        <v>2.7480713795555448E-6</v>
      </c>
    </row>
    <row r="468" spans="1:123" ht="15" x14ac:dyDescent="0.25">
      <c r="A468" s="3" t="s">
        <v>249</v>
      </c>
      <c r="B468" s="12">
        <v>43270.017361111109</v>
      </c>
      <c r="C468" s="3"/>
      <c r="D468" s="3">
        <v>39.4</v>
      </c>
      <c r="E468" s="3"/>
      <c r="F468" s="3"/>
      <c r="G468" s="3"/>
      <c r="H468" s="3"/>
      <c r="I468" s="3"/>
      <c r="J468" s="3"/>
      <c r="K468" s="3">
        <v>38.1</v>
      </c>
      <c r="L468" s="3"/>
      <c r="M468" s="3"/>
      <c r="N468" s="3">
        <v>135.4</v>
      </c>
      <c r="O468" s="3"/>
      <c r="P468" s="3"/>
      <c r="Q468" s="3">
        <v>1</v>
      </c>
      <c r="R468" s="3">
        <v>0.1</v>
      </c>
      <c r="S468" s="3">
        <v>2</v>
      </c>
      <c r="T468" s="3">
        <v>16.7</v>
      </c>
      <c r="U468" s="3">
        <v>63.4</v>
      </c>
      <c r="V468" s="3">
        <v>972.5</v>
      </c>
      <c r="W468" s="3">
        <v>0</v>
      </c>
      <c r="X468" s="3">
        <v>46.5</v>
      </c>
      <c r="Y468" s="3">
        <v>46.3</v>
      </c>
      <c r="Z468" s="3">
        <v>44.4</v>
      </c>
      <c r="AA468" s="3">
        <v>39.299999999999997</v>
      </c>
      <c r="AB468" s="3">
        <v>36</v>
      </c>
      <c r="AC468" s="3">
        <v>34.4</v>
      </c>
      <c r="AD468" s="3">
        <v>38.299999999999997</v>
      </c>
      <c r="AE468" s="3">
        <v>41.2</v>
      </c>
      <c r="AF468" s="3">
        <v>44.3</v>
      </c>
      <c r="AG468" s="3">
        <v>36.799999999999997</v>
      </c>
      <c r="AH468" s="3">
        <v>37.6</v>
      </c>
      <c r="AI468" s="3">
        <v>37.299999999999997</v>
      </c>
      <c r="AJ468" s="3">
        <v>36.200000000000003</v>
      </c>
      <c r="AK468" s="3">
        <v>33.9</v>
      </c>
      <c r="AL468" s="3">
        <v>31.6</v>
      </c>
      <c r="AM468" s="3">
        <v>30.6</v>
      </c>
      <c r="AN468" s="3">
        <v>29</v>
      </c>
      <c r="AO468" s="3">
        <v>26.3</v>
      </c>
      <c r="AP468" s="3">
        <v>24.5</v>
      </c>
      <c r="AQ468" s="3">
        <v>23</v>
      </c>
      <c r="AR468" s="3">
        <v>21.4</v>
      </c>
      <c r="AS468" s="3">
        <v>23.1</v>
      </c>
      <c r="AT468" s="3">
        <v>28.8</v>
      </c>
      <c r="AU468" s="3">
        <v>16.7</v>
      </c>
      <c r="AV468" s="3">
        <v>15.5</v>
      </c>
      <c r="AW468" s="3">
        <v>14.9</v>
      </c>
      <c r="AX468" s="3">
        <v>11.8</v>
      </c>
      <c r="AY468" s="3">
        <v>11.1</v>
      </c>
      <c r="AZ468" s="3">
        <v>0</v>
      </c>
      <c r="BA468" s="3">
        <v>0</v>
      </c>
      <c r="BB468" s="3">
        <v>0</v>
      </c>
      <c r="BC468" s="3">
        <v>39.392310568372928</v>
      </c>
      <c r="BD468" s="3">
        <v>46.507689431627078</v>
      </c>
      <c r="BE468" s="3">
        <v>46.307689431627061</v>
      </c>
      <c r="BF468" s="3">
        <v>43.167689431627075</v>
      </c>
      <c r="BG468" s="3">
        <v>38.394356098293734</v>
      </c>
      <c r="BH468" s="3">
        <v>35.234356098293738</v>
      </c>
      <c r="BI468" s="3">
        <v>34.04768943162707</v>
      </c>
      <c r="BJ468" s="3">
        <v>38.741022764960398</v>
      </c>
      <c r="BK468" s="3">
        <v>41.514356098293739</v>
      </c>
      <c r="BL468" s="3">
        <v>44.187689431627071</v>
      </c>
      <c r="BM468" s="3">
        <v>36.821022764960411</v>
      </c>
      <c r="BN468" s="3">
        <v>37.904356098293739</v>
      </c>
      <c r="BO468" s="3">
        <v>36.971022764960402</v>
      </c>
      <c r="BP468" s="3">
        <v>35.587689431627076</v>
      </c>
      <c r="BQ468" s="3">
        <v>33.704356098293736</v>
      </c>
      <c r="BR468" s="3">
        <v>31.731022764960407</v>
      </c>
      <c r="BS468" s="3">
        <v>30.534356098293735</v>
      </c>
      <c r="BT468" s="3">
        <v>29.131022764960413</v>
      </c>
      <c r="BU468" s="3">
        <v>26.397689431627079</v>
      </c>
      <c r="BV468" s="3">
        <v>24.314356098293736</v>
      </c>
      <c r="BW468" s="3">
        <v>23.347689431627074</v>
      </c>
      <c r="BX468" s="3">
        <v>21.667689431627075</v>
      </c>
      <c r="BY468" s="3">
        <v>23.187689431627071</v>
      </c>
      <c r="BZ468" s="3">
        <v>29.017689431627069</v>
      </c>
      <c r="CA468" s="3">
        <v>17.017689431627062</v>
      </c>
      <c r="CB468" s="3">
        <v>15.254356098293734</v>
      </c>
      <c r="CC468" s="3">
        <v>14.86768943162707</v>
      </c>
      <c r="CD468" s="3">
        <v>11.074356098293741</v>
      </c>
      <c r="CE468" s="3">
        <v>10.567689431627066</v>
      </c>
      <c r="CF468" s="3">
        <v>-0.91897723503959838</v>
      </c>
      <c r="CG468" s="3">
        <v>-1.4523105683729298</v>
      </c>
      <c r="CH468" s="3">
        <v>-2.5289772350395978</v>
      </c>
      <c r="CI468" s="13">
        <f>[1]!dbasum(RecData[[#This Row],[20]:[2000]],RecData[[#Headers],[20]:[2000]])</f>
        <v>38.547703644409111</v>
      </c>
      <c r="CJ468" s="14">
        <v>8202</v>
      </c>
      <c r="CK468" s="15" t="s">
        <v>249</v>
      </c>
      <c r="CL468" s="15">
        <f>RecData[[#This Row],[Start Time]]</f>
        <v>43270.017361111109</v>
      </c>
      <c r="CM468" s="16">
        <f>RecData[[#This Row],[Wind Speed avg]]</f>
        <v>1</v>
      </c>
      <c r="CN468" s="16">
        <f>RecData[[#This Row],[Wind Dir. avg]]</f>
        <v>135.4</v>
      </c>
      <c r="CO468" s="16">
        <f>RecData[[#This Row],[Amb. Humidity]]</f>
        <v>63.4</v>
      </c>
      <c r="CP468" s="16">
        <f>RecData[[#This Row],[Amb. Temperature]]</f>
        <v>16.7</v>
      </c>
      <c r="CQ468" s="17">
        <f>RecData[[#This Row],[Amb. Rain Gauge]]</f>
        <v>0</v>
      </c>
      <c r="CR468" s="4" t="s">
        <v>1</v>
      </c>
      <c r="CS468" s="4" t="s">
        <v>49</v>
      </c>
      <c r="CT468" s="70">
        <v>1585.61401367187</v>
      </c>
      <c r="CU468" s="70">
        <v>21.000177383422798</v>
      </c>
      <c r="CV468" s="70">
        <v>10.385210037231399</v>
      </c>
      <c r="CW468" s="70">
        <v>15.2064046859741</v>
      </c>
      <c r="CX468" s="4"/>
      <c r="CY468" s="69"/>
      <c r="CZ468" s="2" t="b">
        <f>IF($DP$1="YES",IF(RecData[[#This Row],[Power (kW)]]&gt;=$CR$3, TRUE,FALSE),TRUE)</f>
        <v>1</v>
      </c>
      <c r="DA468" s="16">
        <f>MIN(MOD(180-ABS(ABS($DA$1-RecData[Yaw Angle (°)])-180),360),MOD(180-ABS(ABS($DB$1-RecData[Yaw Angle (°)])-180),360))</f>
        <v>13.470250605735259</v>
      </c>
      <c r="DB468" s="2" t="str">
        <f>IF($DP$2="None","None",IF(RecData[[#This Row],[Relative Wind Direction]]&lt;=45,"DW",IF(RecData[[#This Row],[Relative Wind Direction]]&lt;=135,"CW","UW")))</f>
        <v>DW</v>
      </c>
      <c r="DC468" s="61">
        <f>IF($CL468-$CL466&gt;1/24,#REF!,IF(SUM($CQ466:$CQ468)&gt;$DS$1,$DS$5,DC469-1))</f>
        <v>-8</v>
      </c>
      <c r="DD468" s="61">
        <f>IF($CL469-$CL468&gt;1/24,#REF!,IF(SUM($CQ466:$CQ468)&gt;$DS$1,$DS$6,DD467-1))</f>
        <v>-3</v>
      </c>
      <c r="DE468" s="18" t="b">
        <v>0</v>
      </c>
      <c r="DF468" s="2" t="b">
        <f>IF(OR(RecData[[#This Row],[WSpd_Avg '[m/s']]]-RecData[[#This Row],[Wind Speed min]]&gt;=$DF$3,RecData[[#This Row],[Wind Speed max]]-RecData[[#This Row],[WSpd_Avg '[m/s']]]&gt;=$DF$2),TRUE,FALSE)</f>
        <v>0</v>
      </c>
      <c r="DG468" s="2" t="b">
        <f>RecData[[#This Row],[Temperature '[°C']]]&lt;=-20</f>
        <v>0</v>
      </c>
      <c r="DH468" s="18" t="b">
        <f>NOT(OR(MOD(RecData[[#This Row],[TIMESTAMP]],1)&gt;0.91632,MOD(RecData[[#This Row],[TIMESTAMP]],1)&lt;0.208681))</f>
        <v>0</v>
      </c>
      <c r="DI468" s="18" t="b">
        <f>RecData[[#This Row],[Overall (dBA)]]-RecData[[#This Row],[L90]]&gt;=$DS$4</f>
        <v>0</v>
      </c>
      <c r="DJ468" s="18" t="b">
        <f>RecData[[#This Row],[Overall (dBA)]]&gt;$DS$2</f>
        <v>0</v>
      </c>
      <c r="DK468" s="18" t="b">
        <f>RecData[[#This Row],[Overall (dBA)]]&lt;$DS$3</f>
        <v>0</v>
      </c>
      <c r="DL4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8" s="2">
        <f>IF(AND(RecData[[#This Row],[Turbines ON/OFF]] = "OFF", NOT(OR(RecData[[#This Row],[Junk?]]="YES",RecData[[#This Row],[Gust?]],RecData[[#This Row],[Rain?]:[Min SPL Threshold?]]))),1,0)</f>
        <v>0</v>
      </c>
      <c r="DN468" s="16">
        <f>RecData[[#This Row],[dBA Sum]]</f>
        <v>38.547703644409111</v>
      </c>
      <c r="DO468" s="16">
        <f>RecData[[#This Row],[LAF90.0]]</f>
        <v>38.1</v>
      </c>
      <c r="DP468" s="55">
        <f>IF(AND(RecData[[#This Row],[Useable TON Data?]],RecData[[#This Row],[Turbines ON/OFF]]="ON"),RecData[[#This Row],[dBA Sum]],"")</f>
        <v>38.547703644409111</v>
      </c>
      <c r="DQ468" s="55" t="str">
        <f>IF(AND(RecData[[#This Row],[Useable Background Data?]],RecData[[#This Row],[Turbines ON/OFF]]="OFF"),RecData[[#This Row],[dBA Sum]],"")</f>
        <v/>
      </c>
      <c r="DR468" s="3">
        <f>IF(OR(RecData[[#This Row],[Useable TON Data?]],RecData[[#This Row],[Useable Background Data?]]),ROUND(RecData[[#This Row],[WSpd_Avg '[m/s']]],0),"")</f>
        <v>1</v>
      </c>
      <c r="DS468" s="85">
        <f>(0.00002)^2*(10^(RecData[[#This Row],[Overall (dBA)]]/10))</f>
        <v>2.8630593823982906E-6</v>
      </c>
    </row>
    <row r="469" spans="1:123" ht="15" x14ac:dyDescent="0.25">
      <c r="A469" s="3" t="s">
        <v>249</v>
      </c>
      <c r="B469" s="12">
        <v>43270.018055555556</v>
      </c>
      <c r="C469" s="3"/>
      <c r="D469" s="3">
        <v>38.6</v>
      </c>
      <c r="E469" s="3"/>
      <c r="F469" s="3"/>
      <c r="G469" s="3"/>
      <c r="H469" s="3"/>
      <c r="I469" s="3"/>
      <c r="J469" s="3"/>
      <c r="K469" s="3">
        <v>37.200000000000003</v>
      </c>
      <c r="L469" s="3"/>
      <c r="M469" s="3"/>
      <c r="N469" s="3">
        <v>113.7</v>
      </c>
      <c r="O469" s="3"/>
      <c r="P469" s="3"/>
      <c r="Q469" s="3">
        <v>0.51</v>
      </c>
      <c r="R469" s="3">
        <v>0.1</v>
      </c>
      <c r="S469" s="3">
        <v>0.9</v>
      </c>
      <c r="T469" s="3">
        <v>16.8</v>
      </c>
      <c r="U469" s="3">
        <v>63</v>
      </c>
      <c r="V469" s="3">
        <v>972.5</v>
      </c>
      <c r="W469" s="3">
        <v>0</v>
      </c>
      <c r="X469" s="3">
        <v>47.5</v>
      </c>
      <c r="Y469" s="3">
        <v>47.6</v>
      </c>
      <c r="Z469" s="3">
        <v>46.8</v>
      </c>
      <c r="AA469" s="3">
        <v>41.4</v>
      </c>
      <c r="AB469" s="3">
        <v>36.5</v>
      </c>
      <c r="AC469" s="3">
        <v>34.200000000000003</v>
      </c>
      <c r="AD469" s="3">
        <v>38.1</v>
      </c>
      <c r="AE469" s="3">
        <v>40.9</v>
      </c>
      <c r="AF469" s="3">
        <v>42</v>
      </c>
      <c r="AG469" s="3">
        <v>35.700000000000003</v>
      </c>
      <c r="AH469" s="3">
        <v>36.200000000000003</v>
      </c>
      <c r="AI469" s="3">
        <v>35.700000000000003</v>
      </c>
      <c r="AJ469" s="3">
        <v>35.4</v>
      </c>
      <c r="AK469" s="3">
        <v>33.200000000000003</v>
      </c>
      <c r="AL469" s="3">
        <v>31.2</v>
      </c>
      <c r="AM469" s="3">
        <v>30.9</v>
      </c>
      <c r="AN469" s="3">
        <v>29.7</v>
      </c>
      <c r="AO469" s="3">
        <v>27</v>
      </c>
      <c r="AP469" s="3">
        <v>25</v>
      </c>
      <c r="AQ469" s="3">
        <v>23.2</v>
      </c>
      <c r="AR469" s="3">
        <v>20.7</v>
      </c>
      <c r="AS469" s="3">
        <v>21.6</v>
      </c>
      <c r="AT469" s="3">
        <v>25.5</v>
      </c>
      <c r="AU469" s="3">
        <v>13.3</v>
      </c>
      <c r="AV469" s="3">
        <v>11.9</v>
      </c>
      <c r="AW469" s="3">
        <v>11.4</v>
      </c>
      <c r="AX469" s="3">
        <v>9.8000000000000007</v>
      </c>
      <c r="AY469" s="3">
        <v>9.6999999999999993</v>
      </c>
      <c r="AZ469" s="3">
        <v>0</v>
      </c>
      <c r="BA469" s="3">
        <v>0</v>
      </c>
      <c r="BB469" s="3">
        <v>0</v>
      </c>
      <c r="BC469" s="3">
        <v>38.609263147830745</v>
      </c>
      <c r="BD469" s="3">
        <v>47.490736852169249</v>
      </c>
      <c r="BE469" s="3">
        <v>47.590736852169258</v>
      </c>
      <c r="BF469" s="3">
        <v>45.550736852169251</v>
      </c>
      <c r="BG469" s="3">
        <v>40.477403518835928</v>
      </c>
      <c r="BH469" s="3">
        <v>35.717403518835923</v>
      </c>
      <c r="BI469" s="3">
        <v>33.830736852169252</v>
      </c>
      <c r="BJ469" s="3">
        <v>38.52407018550258</v>
      </c>
      <c r="BK469" s="3">
        <v>41.197403518835927</v>
      </c>
      <c r="BL469" s="3">
        <v>41.870736852169259</v>
      </c>
      <c r="BM469" s="3">
        <v>35.704070185502587</v>
      </c>
      <c r="BN469" s="3">
        <v>36.487403518835919</v>
      </c>
      <c r="BO469" s="3">
        <v>35.354070185502593</v>
      </c>
      <c r="BP469" s="3">
        <v>34.77073685216925</v>
      </c>
      <c r="BQ469" s="3">
        <v>32.987403518835919</v>
      </c>
      <c r="BR469" s="3">
        <v>31.314070185502587</v>
      </c>
      <c r="BS469" s="3">
        <v>30.817403518835917</v>
      </c>
      <c r="BT469" s="3">
        <v>29.814070185502587</v>
      </c>
      <c r="BU469" s="3">
        <v>27.080736852169252</v>
      </c>
      <c r="BV469" s="3">
        <v>24.797403518835921</v>
      </c>
      <c r="BW469" s="3">
        <v>23.530736852169255</v>
      </c>
      <c r="BX469" s="3">
        <v>20.950736852169257</v>
      </c>
      <c r="BY469" s="3">
        <v>21.670736852169256</v>
      </c>
      <c r="BZ469" s="3">
        <v>25.700736852169257</v>
      </c>
      <c r="CA469" s="3">
        <v>13.600736852169248</v>
      </c>
      <c r="CB469" s="3">
        <v>11.637403518835924</v>
      </c>
      <c r="CC469" s="3">
        <v>11.350736852169256</v>
      </c>
      <c r="CD469" s="3">
        <v>9.0574035188359261</v>
      </c>
      <c r="CE469" s="3">
        <v>9.1507368521692527</v>
      </c>
      <c r="CF469" s="3">
        <v>-0.9359298144974133</v>
      </c>
      <c r="CG469" s="3">
        <v>-1.4692631478307447</v>
      </c>
      <c r="CH469" s="3">
        <v>-2.5459298144974127</v>
      </c>
      <c r="CI469" s="13">
        <f>[1]!dbasum(RecData[[#This Row],[20]:[2000]],RecData[[#Headers],[20]:[2000]])</f>
        <v>38.078223070322281</v>
      </c>
      <c r="CJ469" s="14">
        <v>8203</v>
      </c>
      <c r="CK469" s="15" t="s">
        <v>249</v>
      </c>
      <c r="CL469" s="15">
        <f>RecData[[#This Row],[Start Time]]</f>
        <v>43270.018055555556</v>
      </c>
      <c r="CM469" s="16">
        <f>RecData[[#This Row],[Wind Speed avg]]</f>
        <v>0.51</v>
      </c>
      <c r="CN469" s="16">
        <f>RecData[[#This Row],[Wind Dir. avg]]</f>
        <v>113.7</v>
      </c>
      <c r="CO469" s="16">
        <f>RecData[[#This Row],[Amb. Humidity]]</f>
        <v>63</v>
      </c>
      <c r="CP469" s="16">
        <f>RecData[[#This Row],[Amb. Temperature]]</f>
        <v>16.8</v>
      </c>
      <c r="CQ469" s="17">
        <f>RecData[[#This Row],[Amb. Rain Gauge]]</f>
        <v>0</v>
      </c>
      <c r="CR469" s="4" t="s">
        <v>1</v>
      </c>
      <c r="CS469" s="4" t="s">
        <v>49</v>
      </c>
      <c r="CT469" s="70">
        <v>1585.61401367187</v>
      </c>
      <c r="CU469" s="70">
        <v>21.000177383422798</v>
      </c>
      <c r="CV469" s="70">
        <v>10.385210037231399</v>
      </c>
      <c r="CW469" s="70">
        <v>15.2064046859741</v>
      </c>
      <c r="CX469" s="4"/>
      <c r="CY469" s="69"/>
      <c r="CZ469" s="2" t="b">
        <f>IF($DP$1="YES",IF(RecData[[#This Row],[Power (kW)]]&gt;=$CR$3, TRUE,FALSE),TRUE)</f>
        <v>1</v>
      </c>
      <c r="DA469" s="16">
        <f>MIN(MOD(180-ABS(ABS($DA$1-RecData[Yaw Angle (°)])-180),360),MOD(180-ABS(ABS($DB$1-RecData[Yaw Angle (°)])-180),360))</f>
        <v>13.470250605735259</v>
      </c>
      <c r="DB469" s="2" t="str">
        <f>IF($DP$2="None","None",IF(RecData[[#This Row],[Relative Wind Direction]]&lt;=45,"DW",IF(RecData[[#This Row],[Relative Wind Direction]]&lt;=135,"CW","UW")))</f>
        <v>DW</v>
      </c>
      <c r="DC469" s="61">
        <f>IF($CL469-$CL466&gt;1/24,#REF!,IF(SUM($CQ466:$CQ469)&gt;$DS$1,$DS$5,DC470-1))</f>
        <v>-7</v>
      </c>
      <c r="DD469" s="61">
        <f>IF($CL470-$CL469&gt;1/24,#REF!,IF(SUM($CQ466:$CQ469)&gt;$DS$1,$DS$6,DD468-1))</f>
        <v>-4</v>
      </c>
      <c r="DE469" s="18" t="b">
        <v>0</v>
      </c>
      <c r="DF469" s="2" t="b">
        <f>IF(OR(RecData[[#This Row],[WSpd_Avg '[m/s']]]-RecData[[#This Row],[Wind Speed min]]&gt;=$DF$3,RecData[[#This Row],[Wind Speed max]]-RecData[[#This Row],[WSpd_Avg '[m/s']]]&gt;=$DF$2),TRUE,FALSE)</f>
        <v>0</v>
      </c>
      <c r="DG469" s="2" t="b">
        <f>RecData[[#This Row],[Temperature '[°C']]]&lt;=-20</f>
        <v>0</v>
      </c>
      <c r="DH469" s="18" t="b">
        <f>NOT(OR(MOD(RecData[[#This Row],[TIMESTAMP]],1)&gt;0.91632,MOD(RecData[[#This Row],[TIMESTAMP]],1)&lt;0.208681))</f>
        <v>0</v>
      </c>
      <c r="DI469" s="18" t="b">
        <f>RecData[[#This Row],[Overall (dBA)]]-RecData[[#This Row],[L90]]&gt;=$DS$4</f>
        <v>0</v>
      </c>
      <c r="DJ469" s="18" t="b">
        <f>RecData[[#This Row],[Overall (dBA)]]&gt;$DS$2</f>
        <v>0</v>
      </c>
      <c r="DK469" s="18" t="b">
        <f>RecData[[#This Row],[Overall (dBA)]]&lt;$DS$3</f>
        <v>0</v>
      </c>
      <c r="DL4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69" s="2">
        <f>IF(AND(RecData[[#This Row],[Turbines ON/OFF]] = "OFF", NOT(OR(RecData[[#This Row],[Junk?]]="YES",RecData[[#This Row],[Gust?]],RecData[[#This Row],[Rain?]:[Min SPL Threshold?]]))),1,0)</f>
        <v>0</v>
      </c>
      <c r="DN469" s="16">
        <f>RecData[[#This Row],[dBA Sum]]</f>
        <v>38.078223070322281</v>
      </c>
      <c r="DO469" s="16">
        <f>RecData[[#This Row],[LAF90.0]]</f>
        <v>37.200000000000003</v>
      </c>
      <c r="DP469" s="55">
        <f>IF(AND(RecData[[#This Row],[Useable TON Data?]],RecData[[#This Row],[Turbines ON/OFF]]="ON"),RecData[[#This Row],[dBA Sum]],"")</f>
        <v>38.078223070322281</v>
      </c>
      <c r="DQ469" s="55" t="str">
        <f>IF(AND(RecData[[#This Row],[Useable Background Data?]],RecData[[#This Row],[Turbines ON/OFF]]="OFF"),RecData[[#This Row],[dBA Sum]],"")</f>
        <v/>
      </c>
      <c r="DR469" s="3">
        <f>IF(OR(RecData[[#This Row],[Useable TON Data?]],RecData[[#This Row],[Useable Background Data?]]),ROUND(RecData[[#This Row],[WSpd_Avg '[m/s']]],0),"")</f>
        <v>1</v>
      </c>
      <c r="DS469" s="85">
        <f>(0.00002)^2*(10^(RecData[[#This Row],[Overall (dBA)]]/10))</f>
        <v>2.5696992535288496E-6</v>
      </c>
    </row>
    <row r="470" spans="1:123" ht="15" x14ac:dyDescent="0.25">
      <c r="A470" s="3" t="s">
        <v>249</v>
      </c>
      <c r="B470" s="12">
        <v>43270.018750000003</v>
      </c>
      <c r="C470" s="3"/>
      <c r="D470" s="3">
        <v>39.6</v>
      </c>
      <c r="E470" s="3"/>
      <c r="F470" s="3"/>
      <c r="G470" s="3"/>
      <c r="H470" s="3"/>
      <c r="I470" s="3"/>
      <c r="J470" s="3"/>
      <c r="K470" s="3">
        <v>38.200000000000003</v>
      </c>
      <c r="L470" s="3"/>
      <c r="M470" s="3"/>
      <c r="N470" s="3">
        <v>195.7</v>
      </c>
      <c r="O470" s="3"/>
      <c r="P470" s="3"/>
      <c r="Q470" s="3">
        <v>0.16</v>
      </c>
      <c r="R470" s="3">
        <v>0</v>
      </c>
      <c r="S470" s="3">
        <v>0.5</v>
      </c>
      <c r="T470" s="3">
        <v>16.899999999999999</v>
      </c>
      <c r="U470" s="3">
        <v>63.4</v>
      </c>
      <c r="V470" s="3">
        <v>972.6</v>
      </c>
      <c r="W470" s="3">
        <v>0</v>
      </c>
      <c r="X470" s="3">
        <v>47.2</v>
      </c>
      <c r="Y470" s="3">
        <v>47.5</v>
      </c>
      <c r="Z470" s="3">
        <v>46</v>
      </c>
      <c r="AA470" s="3">
        <v>41.1</v>
      </c>
      <c r="AB470" s="3">
        <v>37.9</v>
      </c>
      <c r="AC470" s="3">
        <v>35.9</v>
      </c>
      <c r="AD470" s="3">
        <v>39.299999999999997</v>
      </c>
      <c r="AE470" s="3">
        <v>41.4</v>
      </c>
      <c r="AF470" s="3">
        <v>43.1</v>
      </c>
      <c r="AG470" s="3">
        <v>36.700000000000003</v>
      </c>
      <c r="AH470" s="3">
        <v>36.9</v>
      </c>
      <c r="AI470" s="3">
        <v>36.700000000000003</v>
      </c>
      <c r="AJ470" s="3">
        <v>35.9</v>
      </c>
      <c r="AK470" s="3">
        <v>33.700000000000003</v>
      </c>
      <c r="AL470" s="3">
        <v>31.6</v>
      </c>
      <c r="AM470" s="3">
        <v>31.5</v>
      </c>
      <c r="AN470" s="3">
        <v>29.9</v>
      </c>
      <c r="AO470" s="3">
        <v>26.9</v>
      </c>
      <c r="AP470" s="3">
        <v>24.9</v>
      </c>
      <c r="AQ470" s="3">
        <v>22.6</v>
      </c>
      <c r="AR470" s="3">
        <v>19.8</v>
      </c>
      <c r="AS470" s="3">
        <v>23.2</v>
      </c>
      <c r="AT470" s="3">
        <v>30.5</v>
      </c>
      <c r="AU470" s="3">
        <v>11.4</v>
      </c>
      <c r="AV470" s="3">
        <v>9.5</v>
      </c>
      <c r="AW470" s="3">
        <v>9.4</v>
      </c>
      <c r="AX470" s="3">
        <v>9.1999999999999993</v>
      </c>
      <c r="AY470" s="3">
        <v>9.4</v>
      </c>
      <c r="AZ470" s="3">
        <v>0</v>
      </c>
      <c r="BA470" s="3">
        <v>0</v>
      </c>
      <c r="BB470" s="3">
        <v>0</v>
      </c>
      <c r="BC470" s="3">
        <v>39.552379691394535</v>
      </c>
      <c r="BD470" s="3">
        <v>47.247620308605477</v>
      </c>
      <c r="BE470" s="3">
        <v>47.54762030860546</v>
      </c>
      <c r="BF470" s="3">
        <v>44.807620308605465</v>
      </c>
      <c r="BG470" s="3">
        <v>40.234286975272127</v>
      </c>
      <c r="BH470" s="3">
        <v>37.174286975272125</v>
      </c>
      <c r="BI470" s="3">
        <v>35.587620308605466</v>
      </c>
      <c r="BJ470" s="3">
        <v>39.780953641938794</v>
      </c>
      <c r="BK470" s="3">
        <v>41.754286975272137</v>
      </c>
      <c r="BL470" s="3">
        <v>43.027620308605478</v>
      </c>
      <c r="BM470" s="3">
        <v>36.760953641938798</v>
      </c>
      <c r="BN470" s="3">
        <v>37.244286975272132</v>
      </c>
      <c r="BO470" s="3">
        <v>36.410953641938804</v>
      </c>
      <c r="BP470" s="3">
        <v>35.327620308605461</v>
      </c>
      <c r="BQ470" s="3">
        <v>33.544286975272129</v>
      </c>
      <c r="BR470" s="3">
        <v>31.770953641938803</v>
      </c>
      <c r="BS470" s="3">
        <v>31.474286975272136</v>
      </c>
      <c r="BT470" s="3">
        <v>30.0709536419388</v>
      </c>
      <c r="BU470" s="3">
        <v>27.037620308605469</v>
      </c>
      <c r="BV470" s="3">
        <v>24.754286975272137</v>
      </c>
      <c r="BW470" s="3">
        <v>22.987620308605472</v>
      </c>
      <c r="BX470" s="3">
        <v>20.107620308605476</v>
      </c>
      <c r="BY470" s="3">
        <v>23.327620308605461</v>
      </c>
      <c r="BZ470" s="3">
        <v>30.757620308605468</v>
      </c>
      <c r="CA470" s="3">
        <v>11.75762030860546</v>
      </c>
      <c r="CB470" s="3">
        <v>9.2942869752721293</v>
      </c>
      <c r="CC470" s="3">
        <v>9.4076203086054662</v>
      </c>
      <c r="CD470" s="3">
        <v>8.5142869752721353</v>
      </c>
      <c r="CE470" s="3">
        <v>8.9076203086054662</v>
      </c>
      <c r="CF470" s="3">
        <v>-0.87904635806120268</v>
      </c>
      <c r="CG470" s="3">
        <v>-1.4123796913945341</v>
      </c>
      <c r="CH470" s="3">
        <v>-2.4890463580612021</v>
      </c>
      <c r="CI470" s="13">
        <f>[1]!dbasum(RecData[[#This Row],[20]:[2000]],RecData[[#Headers],[20]:[2000]])</f>
        <v>38.559783633137911</v>
      </c>
      <c r="CJ470" s="14">
        <v>8204</v>
      </c>
      <c r="CK470" s="15" t="s">
        <v>249</v>
      </c>
      <c r="CL470" s="15">
        <f>RecData[[#This Row],[Start Time]]</f>
        <v>43270.018750000003</v>
      </c>
      <c r="CM470" s="16">
        <f>RecData[[#This Row],[Wind Speed avg]]</f>
        <v>0.16</v>
      </c>
      <c r="CN470" s="16">
        <f>RecData[[#This Row],[Wind Dir. avg]]</f>
        <v>195.7</v>
      </c>
      <c r="CO470" s="16">
        <f>RecData[[#This Row],[Amb. Humidity]]</f>
        <v>63.4</v>
      </c>
      <c r="CP470" s="16">
        <f>RecData[[#This Row],[Amb. Temperature]]</f>
        <v>16.899999999999999</v>
      </c>
      <c r="CQ470" s="17">
        <f>RecData[[#This Row],[Amb. Rain Gauge]]</f>
        <v>0</v>
      </c>
      <c r="CR470" s="4" t="s">
        <v>1</v>
      </c>
      <c r="CS470" s="4" t="s">
        <v>49</v>
      </c>
      <c r="CT470" s="70">
        <v>1585.61401367187</v>
      </c>
      <c r="CU470" s="70">
        <v>21.000177383422798</v>
      </c>
      <c r="CV470" s="70">
        <v>10.385210037231399</v>
      </c>
      <c r="CW470" s="70">
        <v>15.2064046859741</v>
      </c>
      <c r="CX470" s="4"/>
      <c r="CY470" s="69"/>
      <c r="CZ470" s="2" t="b">
        <f>IF($DP$1="YES",IF(RecData[[#This Row],[Power (kW)]]&gt;=$CR$3, TRUE,FALSE),TRUE)</f>
        <v>1</v>
      </c>
      <c r="DA470" s="16">
        <f>MIN(MOD(180-ABS(ABS($DA$1-RecData[Yaw Angle (°)])-180),360),MOD(180-ABS(ABS($DB$1-RecData[Yaw Angle (°)])-180),360))</f>
        <v>13.470250605735259</v>
      </c>
      <c r="DB470" s="2" t="str">
        <f>IF($DP$2="None","None",IF(RecData[[#This Row],[Relative Wind Direction]]&lt;=45,"DW",IF(RecData[[#This Row],[Relative Wind Direction]]&lt;=135,"CW","UW")))</f>
        <v>DW</v>
      </c>
      <c r="DC470" s="61">
        <f>IF($CL470-$CL466&gt;1/24,#REF!,IF(SUM($CQ466:$CQ470)&gt;$DS$1,$DS$5,DC471-1))</f>
        <v>-6</v>
      </c>
      <c r="DD470" s="61">
        <f>IF($CL471-$CL470&gt;1/24,#REF!,IF(SUM($CQ466:$CQ470)&gt;$DS$1,$DS$6,DD469-1))</f>
        <v>-5</v>
      </c>
      <c r="DE470" s="18" t="b">
        <v>0</v>
      </c>
      <c r="DF470" s="2" t="b">
        <f>IF(OR(RecData[[#This Row],[WSpd_Avg '[m/s']]]-RecData[[#This Row],[Wind Speed min]]&gt;=$DF$3,RecData[[#This Row],[Wind Speed max]]-RecData[[#This Row],[WSpd_Avg '[m/s']]]&gt;=$DF$2),TRUE,FALSE)</f>
        <v>0</v>
      </c>
      <c r="DG470" s="2" t="b">
        <f>RecData[[#This Row],[Temperature '[°C']]]&lt;=-20</f>
        <v>0</v>
      </c>
      <c r="DH470" s="18" t="b">
        <f>NOT(OR(MOD(RecData[[#This Row],[TIMESTAMP]],1)&gt;0.91632,MOD(RecData[[#This Row],[TIMESTAMP]],1)&lt;0.208681))</f>
        <v>0</v>
      </c>
      <c r="DI470" s="18" t="b">
        <f>RecData[[#This Row],[Overall (dBA)]]-RecData[[#This Row],[L90]]&gt;=$DS$4</f>
        <v>0</v>
      </c>
      <c r="DJ470" s="18" t="b">
        <f>RecData[[#This Row],[Overall (dBA)]]&gt;$DS$2</f>
        <v>0</v>
      </c>
      <c r="DK470" s="18" t="b">
        <f>RecData[[#This Row],[Overall (dBA)]]&lt;$DS$3</f>
        <v>0</v>
      </c>
      <c r="DL4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0" s="2">
        <f>IF(AND(RecData[[#This Row],[Turbines ON/OFF]] = "OFF", NOT(OR(RecData[[#This Row],[Junk?]]="YES",RecData[[#This Row],[Gust?]],RecData[[#This Row],[Rain?]:[Min SPL Threshold?]]))),1,0)</f>
        <v>0</v>
      </c>
      <c r="DN470" s="16">
        <f>RecData[[#This Row],[dBA Sum]]</f>
        <v>38.559783633137911</v>
      </c>
      <c r="DO470" s="16">
        <f>RecData[[#This Row],[LAF90.0]]</f>
        <v>38.200000000000003</v>
      </c>
      <c r="DP470" s="55">
        <f>IF(AND(RecData[[#This Row],[Useable TON Data?]],RecData[[#This Row],[Turbines ON/OFF]]="ON"),RecData[[#This Row],[dBA Sum]],"")</f>
        <v>38.559783633137911</v>
      </c>
      <c r="DQ470" s="55" t="str">
        <f>IF(AND(RecData[[#This Row],[Useable Background Data?]],RecData[[#This Row],[Turbines ON/OFF]]="OFF"),RecData[[#This Row],[dBA Sum]],"")</f>
        <v/>
      </c>
      <c r="DR470" s="3">
        <f>IF(OR(RecData[[#This Row],[Useable TON Data?]],RecData[[#This Row],[Useable Background Data?]]),ROUND(RecData[[#This Row],[WSpd_Avg '[m/s']]],0),"")</f>
        <v>0</v>
      </c>
      <c r="DS470" s="85">
        <f>(0.00002)^2*(10^(RecData[[#This Row],[Overall (dBA)]]/10))</f>
        <v>2.8710341257089502E-6</v>
      </c>
    </row>
    <row r="471" spans="1:123" ht="15" x14ac:dyDescent="0.25">
      <c r="A471" s="3" t="s">
        <v>249</v>
      </c>
      <c r="B471" s="12">
        <v>43270.019444444442</v>
      </c>
      <c r="C471" s="3"/>
      <c r="D471" s="3">
        <v>39.299999999999997</v>
      </c>
      <c r="E471" s="3"/>
      <c r="F471" s="3"/>
      <c r="G471" s="3"/>
      <c r="H471" s="3"/>
      <c r="I471" s="3"/>
      <c r="J471" s="3"/>
      <c r="K471" s="3">
        <v>37.700000000000003</v>
      </c>
      <c r="L471" s="3"/>
      <c r="M471" s="3"/>
      <c r="N471" s="3">
        <v>237.1</v>
      </c>
      <c r="O471" s="3"/>
      <c r="P471" s="3"/>
      <c r="Q471" s="3">
        <v>0.26</v>
      </c>
      <c r="R471" s="3">
        <v>0</v>
      </c>
      <c r="S471" s="3">
        <v>0.6</v>
      </c>
      <c r="T471" s="3">
        <v>16.899999999999999</v>
      </c>
      <c r="U471" s="3">
        <v>65.7</v>
      </c>
      <c r="V471" s="3">
        <v>972.6</v>
      </c>
      <c r="W471" s="3">
        <v>0</v>
      </c>
      <c r="X471" s="3">
        <v>47</v>
      </c>
      <c r="Y471" s="3">
        <v>46.8</v>
      </c>
      <c r="Z471" s="3">
        <v>45.3</v>
      </c>
      <c r="AA471" s="3">
        <v>39.9</v>
      </c>
      <c r="AB471" s="3">
        <v>36.700000000000003</v>
      </c>
      <c r="AC471" s="3">
        <v>35.799999999999997</v>
      </c>
      <c r="AD471" s="3">
        <v>39.1</v>
      </c>
      <c r="AE471" s="3">
        <v>40.9</v>
      </c>
      <c r="AF471" s="3">
        <v>43.5</v>
      </c>
      <c r="AG471" s="3">
        <v>37.5</v>
      </c>
      <c r="AH471" s="3">
        <v>36.799999999999997</v>
      </c>
      <c r="AI471" s="3">
        <v>36.700000000000003</v>
      </c>
      <c r="AJ471" s="3">
        <v>35.9</v>
      </c>
      <c r="AK471" s="3">
        <v>33.9</v>
      </c>
      <c r="AL471" s="3">
        <v>31.7</v>
      </c>
      <c r="AM471" s="3">
        <v>30.9</v>
      </c>
      <c r="AN471" s="3">
        <v>29.5</v>
      </c>
      <c r="AO471" s="3">
        <v>26.7</v>
      </c>
      <c r="AP471" s="3">
        <v>24.7</v>
      </c>
      <c r="AQ471" s="3">
        <v>22.6</v>
      </c>
      <c r="AR471" s="3">
        <v>20</v>
      </c>
      <c r="AS471" s="3">
        <v>23.1</v>
      </c>
      <c r="AT471" s="3">
        <v>29</v>
      </c>
      <c r="AU471" s="3">
        <v>10.9</v>
      </c>
      <c r="AV471" s="3">
        <v>9.6</v>
      </c>
      <c r="AW471" s="3">
        <v>9.5</v>
      </c>
      <c r="AX471" s="3">
        <v>9.1999999999999993</v>
      </c>
      <c r="AY471" s="3">
        <v>9.4</v>
      </c>
      <c r="AZ471" s="3">
        <v>0</v>
      </c>
      <c r="BA471" s="3">
        <v>0</v>
      </c>
      <c r="BB471" s="3">
        <v>0</v>
      </c>
      <c r="BC471" s="3">
        <v>39.279743930116702</v>
      </c>
      <c r="BD471" s="3">
        <v>47.020256069883295</v>
      </c>
      <c r="BE471" s="3">
        <v>46.820256069883293</v>
      </c>
      <c r="BF471" s="3">
        <v>44.080256069883283</v>
      </c>
      <c r="BG471" s="3">
        <v>39.00692273654996</v>
      </c>
      <c r="BH471" s="3">
        <v>35.946922736549958</v>
      </c>
      <c r="BI471" s="3">
        <v>35.460256069883293</v>
      </c>
      <c r="BJ471" s="3">
        <v>39.553589403216627</v>
      </c>
      <c r="BK471" s="3">
        <v>41.226922736549959</v>
      </c>
      <c r="BL471" s="3">
        <v>43.400256069883305</v>
      </c>
      <c r="BM471" s="3">
        <v>37.533589403216631</v>
      </c>
      <c r="BN471" s="3">
        <v>37.116922736549959</v>
      </c>
      <c r="BO471" s="3">
        <v>36.383589403216625</v>
      </c>
      <c r="BP471" s="3">
        <v>35.300256069883297</v>
      </c>
      <c r="BQ471" s="3">
        <v>33.716922736549954</v>
      </c>
      <c r="BR471" s="3">
        <v>31.843589403216633</v>
      </c>
      <c r="BS471" s="3">
        <v>30.846922736549963</v>
      </c>
      <c r="BT471" s="3">
        <v>29.64358940321663</v>
      </c>
      <c r="BU471" s="3">
        <v>26.810256069883302</v>
      </c>
      <c r="BV471" s="3">
        <v>24.526922736549963</v>
      </c>
      <c r="BW471" s="3">
        <v>22.9602560698833</v>
      </c>
      <c r="BX471" s="3">
        <v>20.280256069883301</v>
      </c>
      <c r="BY471" s="3">
        <v>23.200256069883295</v>
      </c>
      <c r="BZ471" s="3">
        <v>29.230256069883303</v>
      </c>
      <c r="CA471" s="3">
        <v>11.230256069883289</v>
      </c>
      <c r="CB471" s="3">
        <v>9.3669227365499594</v>
      </c>
      <c r="CC471" s="3">
        <v>9.4802560698832963</v>
      </c>
      <c r="CD471" s="3">
        <v>8.486922736549964</v>
      </c>
      <c r="CE471" s="3">
        <v>8.8802560698832949</v>
      </c>
      <c r="CF471" s="3">
        <v>-0.90641059678337399</v>
      </c>
      <c r="CG471" s="3">
        <v>-1.4397439301167054</v>
      </c>
      <c r="CH471" s="3">
        <v>-2.5164105967833734</v>
      </c>
      <c r="CI471" s="13">
        <f>[1]!dbasum(RecData[[#This Row],[20]:[2000]],RecData[[#Headers],[20]:[2000]])</f>
        <v>38.462856438787846</v>
      </c>
      <c r="CJ471" s="14">
        <v>8205</v>
      </c>
      <c r="CK471" s="15" t="s">
        <v>249</v>
      </c>
      <c r="CL471" s="15">
        <f>RecData[[#This Row],[Start Time]]</f>
        <v>43270.019444444442</v>
      </c>
      <c r="CM471" s="16">
        <f>RecData[[#This Row],[Wind Speed avg]]</f>
        <v>0.26</v>
      </c>
      <c r="CN471" s="16">
        <f>RecData[[#This Row],[Wind Dir. avg]]</f>
        <v>237.1</v>
      </c>
      <c r="CO471" s="16">
        <f>RecData[[#This Row],[Amb. Humidity]]</f>
        <v>65.7</v>
      </c>
      <c r="CP471" s="16">
        <f>RecData[[#This Row],[Amb. Temperature]]</f>
        <v>16.899999999999999</v>
      </c>
      <c r="CQ471" s="17">
        <f>RecData[[#This Row],[Amb. Rain Gauge]]</f>
        <v>0</v>
      </c>
      <c r="CR471" s="4" t="s">
        <v>1</v>
      </c>
      <c r="CS471" s="4" t="s">
        <v>49</v>
      </c>
      <c r="CT471" s="70">
        <v>1585.61401367187</v>
      </c>
      <c r="CU471" s="70">
        <v>21.000177383422798</v>
      </c>
      <c r="CV471" s="70">
        <v>10.385210037231399</v>
      </c>
      <c r="CW471" s="70">
        <v>15.2064046859741</v>
      </c>
      <c r="CX471" s="4"/>
      <c r="CY471" s="69"/>
      <c r="CZ471" s="2" t="b">
        <f>IF($DP$1="YES",IF(RecData[[#This Row],[Power (kW)]]&gt;=$CR$3, TRUE,FALSE),TRUE)</f>
        <v>1</v>
      </c>
      <c r="DA471" s="16">
        <f>MIN(MOD(180-ABS(ABS($DA$1-RecData[Yaw Angle (°)])-180),360),MOD(180-ABS(ABS($DB$1-RecData[Yaw Angle (°)])-180),360))</f>
        <v>13.470250605735259</v>
      </c>
      <c r="DB471" s="2" t="str">
        <f>IF($DP$2="None","None",IF(RecData[[#This Row],[Relative Wind Direction]]&lt;=45,"DW",IF(RecData[[#This Row],[Relative Wind Direction]]&lt;=135,"CW","UW")))</f>
        <v>DW</v>
      </c>
      <c r="DC471" s="61">
        <f>IF($CL471-$CL467&gt;1/24,#REF!,IF(SUM($CQ467:$CQ471)&gt;$DS$1,$DS$5,DC472-1))</f>
        <v>-5</v>
      </c>
      <c r="DD471" s="61">
        <f>IF($CL472-$CL471&gt;1/24,#REF!,IF(SUM($CQ467:$CQ471)&gt;$DS$1,$DS$6,DD470-1))</f>
        <v>-6</v>
      </c>
      <c r="DE471" s="18" t="b">
        <v>0</v>
      </c>
      <c r="DF471" s="2" t="b">
        <f>IF(OR(RecData[[#This Row],[WSpd_Avg '[m/s']]]-RecData[[#This Row],[Wind Speed min]]&gt;=$DF$3,RecData[[#This Row],[Wind Speed max]]-RecData[[#This Row],[WSpd_Avg '[m/s']]]&gt;=$DF$2),TRUE,FALSE)</f>
        <v>0</v>
      </c>
      <c r="DG471" s="2" t="b">
        <f>RecData[[#This Row],[Temperature '[°C']]]&lt;=-20</f>
        <v>0</v>
      </c>
      <c r="DH471" s="18" t="b">
        <f>NOT(OR(MOD(RecData[[#This Row],[TIMESTAMP]],1)&gt;0.91632,MOD(RecData[[#This Row],[TIMESTAMP]],1)&lt;0.208681))</f>
        <v>0</v>
      </c>
      <c r="DI471" s="18" t="b">
        <f>RecData[[#This Row],[Overall (dBA)]]-RecData[[#This Row],[L90]]&gt;=$DS$4</f>
        <v>0</v>
      </c>
      <c r="DJ471" s="18" t="b">
        <f>RecData[[#This Row],[Overall (dBA)]]&gt;$DS$2</f>
        <v>0</v>
      </c>
      <c r="DK471" s="18" t="b">
        <f>RecData[[#This Row],[Overall (dBA)]]&lt;$DS$3</f>
        <v>0</v>
      </c>
      <c r="DL4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1" s="2">
        <f>IF(AND(RecData[[#This Row],[Turbines ON/OFF]] = "OFF", NOT(OR(RecData[[#This Row],[Junk?]]="YES",RecData[[#This Row],[Gust?]],RecData[[#This Row],[Rain?]:[Min SPL Threshold?]]))),1,0)</f>
        <v>0</v>
      </c>
      <c r="DN471" s="16">
        <f>RecData[[#This Row],[dBA Sum]]</f>
        <v>38.462856438787846</v>
      </c>
      <c r="DO471" s="16">
        <f>RecData[[#This Row],[LAF90.0]]</f>
        <v>37.700000000000003</v>
      </c>
      <c r="DP471" s="55">
        <f>IF(AND(RecData[[#This Row],[Useable TON Data?]],RecData[[#This Row],[Turbines ON/OFF]]="ON"),RecData[[#This Row],[dBA Sum]],"")</f>
        <v>38.462856438787846</v>
      </c>
      <c r="DQ471" s="55" t="str">
        <f>IF(AND(RecData[[#This Row],[Useable Background Data?]],RecData[[#This Row],[Turbines ON/OFF]]="OFF"),RecData[[#This Row],[dBA Sum]],"")</f>
        <v/>
      </c>
      <c r="DR471" s="3">
        <f>IF(OR(RecData[[#This Row],[Useable TON Data?]],RecData[[#This Row],[Useable Background Data?]]),ROUND(RecData[[#This Row],[WSpd_Avg '[m/s']]],0),"")</f>
        <v>0</v>
      </c>
      <c r="DS471" s="85">
        <f>(0.00002)^2*(10^(RecData[[#This Row],[Overall (dBA)]]/10))</f>
        <v>2.8076672435604805E-6</v>
      </c>
    </row>
    <row r="472" spans="1:123" ht="15" x14ac:dyDescent="0.25">
      <c r="A472" s="3" t="s">
        <v>249</v>
      </c>
      <c r="B472" s="12">
        <v>43270.020138888889</v>
      </c>
      <c r="C472" s="3"/>
      <c r="D472" s="3">
        <v>38.799999999999997</v>
      </c>
      <c r="E472" s="3"/>
      <c r="F472" s="3"/>
      <c r="G472" s="3"/>
      <c r="H472" s="3"/>
      <c r="I472" s="3"/>
      <c r="J472" s="3"/>
      <c r="K472" s="3">
        <v>37.5</v>
      </c>
      <c r="L472" s="3"/>
      <c r="M472" s="3"/>
      <c r="N472" s="3">
        <v>149.9</v>
      </c>
      <c r="O472" s="3"/>
      <c r="P472" s="3"/>
      <c r="Q472" s="3">
        <v>0.93</v>
      </c>
      <c r="R472" s="3">
        <v>0.3</v>
      </c>
      <c r="S472" s="3">
        <v>2</v>
      </c>
      <c r="T472" s="3">
        <v>16.8</v>
      </c>
      <c r="U472" s="3">
        <v>63.1</v>
      </c>
      <c r="V472" s="3">
        <v>972.6</v>
      </c>
      <c r="W472" s="3">
        <v>0</v>
      </c>
      <c r="X472" s="3">
        <v>47.2</v>
      </c>
      <c r="Y472" s="3">
        <v>47.2</v>
      </c>
      <c r="Z472" s="3">
        <v>45.7</v>
      </c>
      <c r="AA472" s="3">
        <v>39.700000000000003</v>
      </c>
      <c r="AB472" s="3">
        <v>36.200000000000003</v>
      </c>
      <c r="AC472" s="3">
        <v>35.299999999999997</v>
      </c>
      <c r="AD472" s="3">
        <v>39.299999999999997</v>
      </c>
      <c r="AE472" s="3">
        <v>41.5</v>
      </c>
      <c r="AF472" s="3">
        <v>41.7</v>
      </c>
      <c r="AG472" s="3">
        <v>35.4</v>
      </c>
      <c r="AH472" s="3">
        <v>36.9</v>
      </c>
      <c r="AI472" s="3">
        <v>35.6</v>
      </c>
      <c r="AJ472" s="3">
        <v>35.200000000000003</v>
      </c>
      <c r="AK472" s="3">
        <v>33.1</v>
      </c>
      <c r="AL472" s="3">
        <v>31</v>
      </c>
      <c r="AM472" s="3">
        <v>30.8</v>
      </c>
      <c r="AN472" s="3">
        <v>29.6</v>
      </c>
      <c r="AO472" s="3">
        <v>26.9</v>
      </c>
      <c r="AP472" s="3">
        <v>25.1</v>
      </c>
      <c r="AQ472" s="3">
        <v>23.3</v>
      </c>
      <c r="AR472" s="3">
        <v>21.2</v>
      </c>
      <c r="AS472" s="3">
        <v>23</v>
      </c>
      <c r="AT472" s="3">
        <v>27.6</v>
      </c>
      <c r="AU472" s="3">
        <v>14.9</v>
      </c>
      <c r="AV472" s="3">
        <v>13.6</v>
      </c>
      <c r="AW472" s="3">
        <v>13.1</v>
      </c>
      <c r="AX472" s="3">
        <v>10.6</v>
      </c>
      <c r="AY472" s="3">
        <v>10.1</v>
      </c>
      <c r="AZ472" s="3">
        <v>0</v>
      </c>
      <c r="BA472" s="3">
        <v>0</v>
      </c>
      <c r="BB472" s="3">
        <v>0</v>
      </c>
      <c r="BC472" s="3">
        <v>38.811202382766126</v>
      </c>
      <c r="BD472" s="3">
        <v>47.188797617233874</v>
      </c>
      <c r="BE472" s="3">
        <v>47.188797617233874</v>
      </c>
      <c r="BF472" s="3">
        <v>44.448797617233865</v>
      </c>
      <c r="BG472" s="3">
        <v>38.775464283900547</v>
      </c>
      <c r="BH472" s="3">
        <v>35.415464283900533</v>
      </c>
      <c r="BI472" s="3">
        <v>34.928797617233869</v>
      </c>
      <c r="BJ472" s="3">
        <v>39.722130950567205</v>
      </c>
      <c r="BK472" s="3">
        <v>41.795464283900529</v>
      </c>
      <c r="BL472" s="3">
        <v>41.568797617233869</v>
      </c>
      <c r="BM472" s="3">
        <v>35.402130950567212</v>
      </c>
      <c r="BN472" s="3">
        <v>37.185464283900544</v>
      </c>
      <c r="BO472" s="3">
        <v>35.252130950567206</v>
      </c>
      <c r="BP472" s="3">
        <v>34.568797617233869</v>
      </c>
      <c r="BQ472" s="3">
        <v>32.885464283900532</v>
      </c>
      <c r="BR472" s="3">
        <v>31.112130950567206</v>
      </c>
      <c r="BS472" s="3">
        <v>30.715464283900545</v>
      </c>
      <c r="BT472" s="3">
        <v>29.712130950567214</v>
      </c>
      <c r="BU472" s="3">
        <v>26.978797617233866</v>
      </c>
      <c r="BV472" s="3">
        <v>24.895464283900537</v>
      </c>
      <c r="BW472" s="3">
        <v>23.628797617233872</v>
      </c>
      <c r="BX472" s="3">
        <v>21.448797617233879</v>
      </c>
      <c r="BY472" s="3">
        <v>23.068797617233869</v>
      </c>
      <c r="BZ472" s="3">
        <v>27.798797617233873</v>
      </c>
      <c r="CA472" s="3">
        <v>15.198797617233865</v>
      </c>
      <c r="CB472" s="3">
        <v>13.335464283900535</v>
      </c>
      <c r="CC472" s="3">
        <v>13.048797617233873</v>
      </c>
      <c r="CD472" s="3">
        <v>9.8554642839005453</v>
      </c>
      <c r="CE472" s="3">
        <v>9.5487976172338733</v>
      </c>
      <c r="CF472" s="3">
        <v>-0.93786904943279836</v>
      </c>
      <c r="CG472" s="3">
        <v>-1.4712023827661298</v>
      </c>
      <c r="CH472" s="3">
        <v>-2.5478690494327978</v>
      </c>
      <c r="CI472" s="13">
        <f>[1]!dbasum(RecData[[#This Row],[20]:[2000]],RecData[[#Headers],[20]:[2000]])</f>
        <v>38.053889867158553</v>
      </c>
      <c r="CJ472" s="14">
        <v>8206</v>
      </c>
      <c r="CK472" s="15" t="s">
        <v>249</v>
      </c>
      <c r="CL472" s="15">
        <f>RecData[[#This Row],[Start Time]]</f>
        <v>43270.020138888889</v>
      </c>
      <c r="CM472" s="16">
        <f>RecData[[#This Row],[Wind Speed avg]]</f>
        <v>0.93</v>
      </c>
      <c r="CN472" s="16">
        <f>RecData[[#This Row],[Wind Dir. avg]]</f>
        <v>149.9</v>
      </c>
      <c r="CO472" s="16">
        <f>RecData[[#This Row],[Amb. Humidity]]</f>
        <v>63.1</v>
      </c>
      <c r="CP472" s="16">
        <f>RecData[[#This Row],[Amb. Temperature]]</f>
        <v>16.8</v>
      </c>
      <c r="CQ472" s="17">
        <f>RecData[[#This Row],[Amb. Rain Gauge]]</f>
        <v>0</v>
      </c>
      <c r="CR472" s="4" t="s">
        <v>1</v>
      </c>
      <c r="CS472" s="4" t="s">
        <v>49</v>
      </c>
      <c r="CT472" s="70">
        <v>1585.61401367187</v>
      </c>
      <c r="CU472" s="70">
        <v>21.000177383422798</v>
      </c>
      <c r="CV472" s="70">
        <v>10.385210037231399</v>
      </c>
      <c r="CW472" s="70">
        <v>15.2064046859741</v>
      </c>
      <c r="CX472" s="4"/>
      <c r="CY472" s="69"/>
      <c r="CZ472" s="2" t="b">
        <f>IF($DP$1="YES",IF(RecData[[#This Row],[Power (kW)]]&gt;=$CR$3, TRUE,FALSE),TRUE)</f>
        <v>1</v>
      </c>
      <c r="DA472" s="16">
        <f>MIN(MOD(180-ABS(ABS($DA$1-RecData[Yaw Angle (°)])-180),360),MOD(180-ABS(ABS($DB$1-RecData[Yaw Angle (°)])-180),360))</f>
        <v>13.470250605735259</v>
      </c>
      <c r="DB472" s="2" t="str">
        <f>IF($DP$2="None","None",IF(RecData[[#This Row],[Relative Wind Direction]]&lt;=45,"DW",IF(RecData[[#This Row],[Relative Wind Direction]]&lt;=135,"CW","UW")))</f>
        <v>DW</v>
      </c>
      <c r="DC472" s="61">
        <f>IF($CL472-$CL468&gt;1/24,#REF!,IF(SUM($CQ468:$CQ472)&gt;$DS$1,$DS$5,DC473-1))</f>
        <v>-4</v>
      </c>
      <c r="DD472" s="61">
        <f>IF($CL473-$CL472&gt;1/24,#REF!,IF(SUM($CQ468:$CQ472)&gt;$DS$1,$DS$6,DD471-1))</f>
        <v>-7</v>
      </c>
      <c r="DE472" s="18" t="b">
        <v>0</v>
      </c>
      <c r="DF472" s="2" t="b">
        <f>IF(OR(RecData[[#This Row],[WSpd_Avg '[m/s']]]-RecData[[#This Row],[Wind Speed min]]&gt;=$DF$3,RecData[[#This Row],[Wind Speed max]]-RecData[[#This Row],[WSpd_Avg '[m/s']]]&gt;=$DF$2),TRUE,FALSE)</f>
        <v>0</v>
      </c>
      <c r="DG472" s="2" t="b">
        <f>RecData[[#This Row],[Temperature '[°C']]]&lt;=-20</f>
        <v>0</v>
      </c>
      <c r="DH472" s="18" t="b">
        <f>NOT(OR(MOD(RecData[[#This Row],[TIMESTAMP]],1)&gt;0.91632,MOD(RecData[[#This Row],[TIMESTAMP]],1)&lt;0.208681))</f>
        <v>0</v>
      </c>
      <c r="DI472" s="18" t="b">
        <f>RecData[[#This Row],[Overall (dBA)]]-RecData[[#This Row],[L90]]&gt;=$DS$4</f>
        <v>0</v>
      </c>
      <c r="DJ472" s="18" t="b">
        <f>RecData[[#This Row],[Overall (dBA)]]&gt;$DS$2</f>
        <v>0</v>
      </c>
      <c r="DK472" s="18" t="b">
        <f>RecData[[#This Row],[Overall (dBA)]]&lt;$DS$3</f>
        <v>0</v>
      </c>
      <c r="DL4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2" s="2">
        <f>IF(AND(RecData[[#This Row],[Turbines ON/OFF]] = "OFF", NOT(OR(RecData[[#This Row],[Junk?]]="YES",RecData[[#This Row],[Gust?]],RecData[[#This Row],[Rain?]:[Min SPL Threshold?]]))),1,0)</f>
        <v>0</v>
      </c>
      <c r="DN472" s="16">
        <f>RecData[[#This Row],[dBA Sum]]</f>
        <v>38.053889867158553</v>
      </c>
      <c r="DO472" s="16">
        <f>RecData[[#This Row],[LAF90.0]]</f>
        <v>37.5</v>
      </c>
      <c r="DP472" s="55">
        <f>IF(AND(RecData[[#This Row],[Useable TON Data?]],RecData[[#This Row],[Turbines ON/OFF]]="ON"),RecData[[#This Row],[dBA Sum]],"")</f>
        <v>38.053889867158553</v>
      </c>
      <c r="DQ472" s="55" t="str">
        <f>IF(AND(RecData[[#This Row],[Useable Background Data?]],RecData[[#This Row],[Turbines ON/OFF]]="OFF"),RecData[[#This Row],[dBA Sum]],"")</f>
        <v/>
      </c>
      <c r="DR472" s="3">
        <f>IF(OR(RecData[[#This Row],[Useable TON Data?]],RecData[[#This Row],[Useable Background Data?]]),ROUND(RecData[[#This Row],[WSpd_Avg '[m/s']]],0),"")</f>
        <v>1</v>
      </c>
      <c r="DS472" s="85">
        <f>(0.00002)^2*(10^(RecData[[#This Row],[Overall (dBA)]]/10))</f>
        <v>2.5553416757669409E-6</v>
      </c>
    </row>
    <row r="473" spans="1:123" ht="15" x14ac:dyDescent="0.25">
      <c r="A473" s="3" t="s">
        <v>249</v>
      </c>
      <c r="B473" s="12">
        <v>43270.020833333336</v>
      </c>
      <c r="C473" s="3"/>
      <c r="D473" s="3">
        <v>39</v>
      </c>
      <c r="E473" s="3"/>
      <c r="F473" s="3"/>
      <c r="G473" s="3"/>
      <c r="H473" s="3"/>
      <c r="I473" s="3"/>
      <c r="J473" s="3"/>
      <c r="K473" s="3">
        <v>37.9</v>
      </c>
      <c r="L473" s="3"/>
      <c r="M473" s="3"/>
      <c r="N473" s="3">
        <v>141.4</v>
      </c>
      <c r="O473" s="3"/>
      <c r="P473" s="3"/>
      <c r="Q473" s="3">
        <v>0.75</v>
      </c>
      <c r="R473" s="3">
        <v>0.2</v>
      </c>
      <c r="S473" s="3">
        <v>1.6</v>
      </c>
      <c r="T473" s="3">
        <v>16.899999999999999</v>
      </c>
      <c r="U473" s="3">
        <v>62.7</v>
      </c>
      <c r="V473" s="3">
        <v>972.6</v>
      </c>
      <c r="W473" s="3">
        <v>0</v>
      </c>
      <c r="X473" s="3">
        <v>46.8</v>
      </c>
      <c r="Y473" s="3">
        <v>46.9</v>
      </c>
      <c r="Z473" s="3">
        <v>45.4</v>
      </c>
      <c r="AA473" s="3">
        <v>40.200000000000003</v>
      </c>
      <c r="AB473" s="3">
        <v>36.9</v>
      </c>
      <c r="AC473" s="3">
        <v>35</v>
      </c>
      <c r="AD473" s="3">
        <v>39.5</v>
      </c>
      <c r="AE473" s="3">
        <v>41.9</v>
      </c>
      <c r="AF473" s="3">
        <v>43.4</v>
      </c>
      <c r="AG473" s="3">
        <v>36.700000000000003</v>
      </c>
      <c r="AH473" s="3">
        <v>36.799999999999997</v>
      </c>
      <c r="AI473" s="3">
        <v>35.799999999999997</v>
      </c>
      <c r="AJ473" s="3">
        <v>35.200000000000003</v>
      </c>
      <c r="AK473" s="3">
        <v>32.9</v>
      </c>
      <c r="AL473" s="3">
        <v>31</v>
      </c>
      <c r="AM473" s="3">
        <v>30.6</v>
      </c>
      <c r="AN473" s="3">
        <v>29.6</v>
      </c>
      <c r="AO473" s="3">
        <v>26.9</v>
      </c>
      <c r="AP473" s="3">
        <v>24.9</v>
      </c>
      <c r="AQ473" s="3">
        <v>23.2</v>
      </c>
      <c r="AR473" s="3">
        <v>20.6</v>
      </c>
      <c r="AS473" s="3">
        <v>22.6</v>
      </c>
      <c r="AT473" s="3">
        <v>28.5</v>
      </c>
      <c r="AU473" s="3">
        <v>11.9</v>
      </c>
      <c r="AV473" s="3">
        <v>10.5</v>
      </c>
      <c r="AW473" s="3">
        <v>10.1</v>
      </c>
      <c r="AX473" s="3">
        <v>9.5</v>
      </c>
      <c r="AY473" s="3">
        <v>9.5</v>
      </c>
      <c r="AZ473" s="3">
        <v>0</v>
      </c>
      <c r="BA473" s="3">
        <v>0</v>
      </c>
      <c r="BB473" s="3">
        <v>0</v>
      </c>
      <c r="BC473" s="3">
        <v>38.954936187927458</v>
      </c>
      <c r="BD473" s="3">
        <v>46.845063812072539</v>
      </c>
      <c r="BE473" s="3">
        <v>46.945063812072547</v>
      </c>
      <c r="BF473" s="3">
        <v>44.205063812072538</v>
      </c>
      <c r="BG473" s="3">
        <v>39.331730478739203</v>
      </c>
      <c r="BH473" s="3">
        <v>36.171730478739207</v>
      </c>
      <c r="BI473" s="3">
        <v>34.685063812072542</v>
      </c>
      <c r="BJ473" s="3">
        <v>39.978397145405879</v>
      </c>
      <c r="BK473" s="3">
        <v>42.251730478739205</v>
      </c>
      <c r="BL473" s="3">
        <v>43.325063812072543</v>
      </c>
      <c r="BM473" s="3">
        <v>36.75839714540588</v>
      </c>
      <c r="BN473" s="3">
        <v>37.141730478739206</v>
      </c>
      <c r="BO473" s="3">
        <v>35.50839714540588</v>
      </c>
      <c r="BP473" s="3">
        <v>34.625063812072554</v>
      </c>
      <c r="BQ473" s="3">
        <v>32.7417304787392</v>
      </c>
      <c r="BR473" s="3">
        <v>31.168397145405876</v>
      </c>
      <c r="BS473" s="3">
        <v>30.571730478739212</v>
      </c>
      <c r="BT473" s="3">
        <v>29.768397145405871</v>
      </c>
      <c r="BU473" s="3">
        <v>27.035063812072551</v>
      </c>
      <c r="BV473" s="3">
        <v>24.751730478739205</v>
      </c>
      <c r="BW473" s="3">
        <v>23.585063812072548</v>
      </c>
      <c r="BX473" s="3">
        <v>20.905063812072548</v>
      </c>
      <c r="BY473" s="3">
        <v>22.725063812072541</v>
      </c>
      <c r="BZ473" s="3">
        <v>28.755063812072549</v>
      </c>
      <c r="CA473" s="3">
        <v>12.255063812072535</v>
      </c>
      <c r="CB473" s="3">
        <v>10.291730478739204</v>
      </c>
      <c r="CC473" s="3">
        <v>10.105063812072544</v>
      </c>
      <c r="CD473" s="3">
        <v>8.8117304787392143</v>
      </c>
      <c r="CE473" s="3">
        <v>9.0050638120725424</v>
      </c>
      <c r="CF473" s="3">
        <v>-0.8816028545941279</v>
      </c>
      <c r="CG473" s="3">
        <v>-1.4149361879274593</v>
      </c>
      <c r="CH473" s="3">
        <v>-2.4916028545941273</v>
      </c>
      <c r="CI473" s="13">
        <f>[1]!dbasum(RecData[[#This Row],[20]:[2000]],RecData[[#Headers],[20]:[2000]])</f>
        <v>38.207598897118579</v>
      </c>
      <c r="CJ473" s="14">
        <v>8207</v>
      </c>
      <c r="CK473" s="15" t="s">
        <v>249</v>
      </c>
      <c r="CL473" s="15">
        <f>RecData[[#This Row],[Start Time]]</f>
        <v>43270.020833333336</v>
      </c>
      <c r="CM473" s="16">
        <f>RecData[[#This Row],[Wind Speed avg]]</f>
        <v>0.75</v>
      </c>
      <c r="CN473" s="16">
        <f>RecData[[#This Row],[Wind Dir. avg]]</f>
        <v>141.4</v>
      </c>
      <c r="CO473" s="16">
        <f>RecData[[#This Row],[Amb. Humidity]]</f>
        <v>62.7</v>
      </c>
      <c r="CP473" s="16">
        <f>RecData[[#This Row],[Amb. Temperature]]</f>
        <v>16.899999999999999</v>
      </c>
      <c r="CQ473" s="17">
        <f>RecData[[#This Row],[Amb. Rain Gauge]]</f>
        <v>0</v>
      </c>
      <c r="CR473" s="4" t="s">
        <v>1</v>
      </c>
      <c r="CS473" s="4" t="s">
        <v>49</v>
      </c>
      <c r="CT473" s="70">
        <v>1585.61401367187</v>
      </c>
      <c r="CU473" s="70">
        <v>21.000177383422798</v>
      </c>
      <c r="CV473" s="70">
        <v>10.385210037231399</v>
      </c>
      <c r="CW473" s="70">
        <v>15.2064046859741</v>
      </c>
      <c r="CX473" s="4"/>
      <c r="CY473" s="69"/>
      <c r="CZ473" s="2" t="b">
        <f>IF($DP$1="YES",IF(RecData[[#This Row],[Power (kW)]]&gt;=$CR$3, TRUE,FALSE),TRUE)</f>
        <v>1</v>
      </c>
      <c r="DA473" s="16">
        <f>MIN(MOD(180-ABS(ABS($DA$1-RecData[Yaw Angle (°)])-180),360),MOD(180-ABS(ABS($DB$1-RecData[Yaw Angle (°)])-180),360))</f>
        <v>13.470250605735259</v>
      </c>
      <c r="DB473" s="2" t="str">
        <f>IF($DP$2="None","None",IF(RecData[[#This Row],[Relative Wind Direction]]&lt;=45,"DW",IF(RecData[[#This Row],[Relative Wind Direction]]&lt;=135,"CW","UW")))</f>
        <v>DW</v>
      </c>
      <c r="DC473" s="61">
        <f>IF($CL473-$CL469&gt;1/24,#REF!,IF(SUM($CQ469:$CQ473)&gt;$DS$1,$DS$5,DC474-1))</f>
        <v>-3</v>
      </c>
      <c r="DD473" s="61">
        <f>IF($CL474-$CL473&gt;1/24,#REF!,IF(SUM($CQ469:$CQ473)&gt;$DS$1,$DS$6,DD472-1))</f>
        <v>-8</v>
      </c>
      <c r="DE473" s="18" t="b">
        <v>0</v>
      </c>
      <c r="DF473" s="2" t="b">
        <f>IF(OR(RecData[[#This Row],[WSpd_Avg '[m/s']]]-RecData[[#This Row],[Wind Speed min]]&gt;=$DF$3,RecData[[#This Row],[Wind Speed max]]-RecData[[#This Row],[WSpd_Avg '[m/s']]]&gt;=$DF$2),TRUE,FALSE)</f>
        <v>0</v>
      </c>
      <c r="DG473" s="2" t="b">
        <f>RecData[[#This Row],[Temperature '[°C']]]&lt;=-20</f>
        <v>0</v>
      </c>
      <c r="DH473" s="18" t="b">
        <f>NOT(OR(MOD(RecData[[#This Row],[TIMESTAMP]],1)&gt;0.91632,MOD(RecData[[#This Row],[TIMESTAMP]],1)&lt;0.208681))</f>
        <v>0</v>
      </c>
      <c r="DI473" s="18" t="b">
        <f>RecData[[#This Row],[Overall (dBA)]]-RecData[[#This Row],[L90]]&gt;=$DS$4</f>
        <v>0</v>
      </c>
      <c r="DJ473" s="18" t="b">
        <f>RecData[[#This Row],[Overall (dBA)]]&gt;$DS$2</f>
        <v>0</v>
      </c>
      <c r="DK473" s="18" t="b">
        <f>RecData[[#This Row],[Overall (dBA)]]&lt;$DS$3</f>
        <v>0</v>
      </c>
      <c r="DL4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3" s="2">
        <f>IF(AND(RecData[[#This Row],[Turbines ON/OFF]] = "OFF", NOT(OR(RecData[[#This Row],[Junk?]]="YES",RecData[[#This Row],[Gust?]],RecData[[#This Row],[Rain?]:[Min SPL Threshold?]]))),1,0)</f>
        <v>0</v>
      </c>
      <c r="DN473" s="16">
        <f>RecData[[#This Row],[dBA Sum]]</f>
        <v>38.207598897118579</v>
      </c>
      <c r="DO473" s="16">
        <f>RecData[[#This Row],[LAF90.0]]</f>
        <v>37.9</v>
      </c>
      <c r="DP473" s="55">
        <f>IF(AND(RecData[[#This Row],[Useable TON Data?]],RecData[[#This Row],[Turbines ON/OFF]]="ON"),RecData[[#This Row],[dBA Sum]],"")</f>
        <v>38.207598897118579</v>
      </c>
      <c r="DQ473" s="55" t="str">
        <f>IF(AND(RecData[[#This Row],[Useable Background Data?]],RecData[[#This Row],[Turbines ON/OFF]]="OFF"),RecData[[#This Row],[dBA Sum]],"")</f>
        <v/>
      </c>
      <c r="DR473" s="3">
        <f>IF(OR(RecData[[#This Row],[Useable TON Data?]],RecData[[#This Row],[Useable Background Data?]]),ROUND(RecData[[#This Row],[WSpd_Avg '[m/s']]],0),"")</f>
        <v>1</v>
      </c>
      <c r="DS473" s="85">
        <f>(0.00002)^2*(10^(RecData[[#This Row],[Overall (dBA)]]/10))</f>
        <v>2.6474019294424294E-6</v>
      </c>
    </row>
    <row r="474" spans="1:123" ht="15" x14ac:dyDescent="0.25">
      <c r="A474" s="3" t="s">
        <v>249</v>
      </c>
      <c r="B474" s="12">
        <v>43270.021527777775</v>
      </c>
      <c r="C474" s="3"/>
      <c r="D474" s="3">
        <v>39.6</v>
      </c>
      <c r="E474" s="3"/>
      <c r="F474" s="3"/>
      <c r="G474" s="3"/>
      <c r="H474" s="3"/>
      <c r="I474" s="3"/>
      <c r="J474" s="3"/>
      <c r="K474" s="3">
        <v>38.5</v>
      </c>
      <c r="L474" s="3"/>
      <c r="M474" s="3"/>
      <c r="N474" s="3">
        <v>229.9</v>
      </c>
      <c r="O474" s="3"/>
      <c r="P474" s="3"/>
      <c r="Q474" s="3">
        <v>0.43</v>
      </c>
      <c r="R474" s="3">
        <v>0.1</v>
      </c>
      <c r="S474" s="3">
        <v>1</v>
      </c>
      <c r="T474" s="3">
        <v>16.899999999999999</v>
      </c>
      <c r="U474" s="3">
        <v>62.8</v>
      </c>
      <c r="V474" s="3">
        <v>972.6</v>
      </c>
      <c r="W474" s="3">
        <v>0</v>
      </c>
      <c r="X474" s="3">
        <v>47.2</v>
      </c>
      <c r="Y474" s="3">
        <v>46.4</v>
      </c>
      <c r="Z474" s="3">
        <v>45</v>
      </c>
      <c r="AA474" s="3">
        <v>39.9</v>
      </c>
      <c r="AB474" s="3">
        <v>35.9</v>
      </c>
      <c r="AC474" s="3">
        <v>35.299999999999997</v>
      </c>
      <c r="AD474" s="3">
        <v>40.200000000000003</v>
      </c>
      <c r="AE474" s="3">
        <v>41.8</v>
      </c>
      <c r="AF474" s="3">
        <v>43.4</v>
      </c>
      <c r="AG474" s="3">
        <v>36</v>
      </c>
      <c r="AH474" s="3">
        <v>37.4</v>
      </c>
      <c r="AI474" s="3">
        <v>36</v>
      </c>
      <c r="AJ474" s="3">
        <v>35.799999999999997</v>
      </c>
      <c r="AK474" s="3">
        <v>33.799999999999997</v>
      </c>
      <c r="AL474" s="3">
        <v>32.1</v>
      </c>
      <c r="AM474" s="3">
        <v>32.200000000000003</v>
      </c>
      <c r="AN474" s="3">
        <v>31.2</v>
      </c>
      <c r="AO474" s="3">
        <v>28.5</v>
      </c>
      <c r="AP474" s="3">
        <v>26.4</v>
      </c>
      <c r="AQ474" s="3">
        <v>24.5</v>
      </c>
      <c r="AR474" s="3">
        <v>21.7</v>
      </c>
      <c r="AS474" s="3">
        <v>21.6</v>
      </c>
      <c r="AT474" s="3">
        <v>27.1</v>
      </c>
      <c r="AU474" s="3">
        <v>12.1</v>
      </c>
      <c r="AV474" s="3">
        <v>10.5</v>
      </c>
      <c r="AW474" s="3">
        <v>10.1</v>
      </c>
      <c r="AX474" s="3">
        <v>9.3000000000000007</v>
      </c>
      <c r="AY474" s="3">
        <v>9.4</v>
      </c>
      <c r="AZ474" s="3">
        <v>0</v>
      </c>
      <c r="BA474" s="3">
        <v>0</v>
      </c>
      <c r="BB474" s="3">
        <v>0</v>
      </c>
      <c r="BC474" s="3">
        <v>39.638233718439871</v>
      </c>
      <c r="BD474" s="3">
        <v>47.161766281560141</v>
      </c>
      <c r="BE474" s="3">
        <v>46.361766281560129</v>
      </c>
      <c r="BF474" s="3">
        <v>43.721766281560129</v>
      </c>
      <c r="BG474" s="3">
        <v>38.948432948226802</v>
      </c>
      <c r="BH474" s="3">
        <v>35.088432948226789</v>
      </c>
      <c r="BI474" s="3">
        <v>34.901766281560121</v>
      </c>
      <c r="BJ474" s="3">
        <v>40.595099614893464</v>
      </c>
      <c r="BK474" s="3">
        <v>42.068432948226793</v>
      </c>
      <c r="BL474" s="3">
        <v>43.241766281560125</v>
      </c>
      <c r="BM474" s="3">
        <v>35.975099614893473</v>
      </c>
      <c r="BN474" s="3">
        <v>37.658432948226796</v>
      </c>
      <c r="BO474" s="3">
        <v>35.625099614893465</v>
      </c>
      <c r="BP474" s="3">
        <v>35.14176628156013</v>
      </c>
      <c r="BQ474" s="3">
        <v>33.558432948226788</v>
      </c>
      <c r="BR474" s="3">
        <v>32.185099614893467</v>
      </c>
      <c r="BS474" s="3">
        <v>32.088432948226803</v>
      </c>
      <c r="BT474" s="3">
        <v>31.285099614893461</v>
      </c>
      <c r="BU474" s="3">
        <v>28.551766281560127</v>
      </c>
      <c r="BV474" s="3">
        <v>26.168432948226801</v>
      </c>
      <c r="BW474" s="3">
        <v>24.801766281560127</v>
      </c>
      <c r="BX474" s="3">
        <v>21.921766281560132</v>
      </c>
      <c r="BY474" s="3">
        <v>21.64176628156013</v>
      </c>
      <c r="BZ474" s="3">
        <v>27.27176628156014</v>
      </c>
      <c r="CA474" s="3">
        <v>12.37176628156012</v>
      </c>
      <c r="CB474" s="3">
        <v>10.208432948226793</v>
      </c>
      <c r="CC474" s="3">
        <v>10.021766281560126</v>
      </c>
      <c r="CD474" s="3">
        <v>8.5284329482268006</v>
      </c>
      <c r="CE474" s="3">
        <v>8.8217662815601301</v>
      </c>
      <c r="CF474" s="3">
        <v>-0.96490038510653875</v>
      </c>
      <c r="CG474" s="3">
        <v>-1.4982337184398702</v>
      </c>
      <c r="CH474" s="3">
        <v>-2.5749003851065382</v>
      </c>
      <c r="CI474" s="13">
        <f>[1]!dbasum(RecData[[#This Row],[20]:[2000]],RecData[[#Headers],[20]:[2000]])</f>
        <v>39.09776407554962</v>
      </c>
      <c r="CJ474" s="14">
        <v>8208</v>
      </c>
      <c r="CK474" s="15" t="s">
        <v>249</v>
      </c>
      <c r="CL474" s="15">
        <f>RecData[[#This Row],[Start Time]]</f>
        <v>43270.021527777775</v>
      </c>
      <c r="CM474" s="16">
        <f>RecData[[#This Row],[Wind Speed avg]]</f>
        <v>0.43</v>
      </c>
      <c r="CN474" s="16">
        <f>RecData[[#This Row],[Wind Dir. avg]]</f>
        <v>229.9</v>
      </c>
      <c r="CO474" s="16">
        <f>RecData[[#This Row],[Amb. Humidity]]</f>
        <v>62.8</v>
      </c>
      <c r="CP474" s="16">
        <f>RecData[[#This Row],[Amb. Temperature]]</f>
        <v>16.899999999999999</v>
      </c>
      <c r="CQ474" s="17">
        <f>RecData[[#This Row],[Amb. Rain Gauge]]</f>
        <v>0</v>
      </c>
      <c r="CR474" s="4" t="s">
        <v>1</v>
      </c>
      <c r="CS474" s="4" t="s">
        <v>49</v>
      </c>
      <c r="CT474" s="70">
        <v>1613.3720703125</v>
      </c>
      <c r="CU474" s="70">
        <v>21.000179290771399</v>
      </c>
      <c r="CV474" s="70">
        <v>11.108592987060501</v>
      </c>
      <c r="CW474" s="70">
        <v>15.2813158035278</v>
      </c>
      <c r="CX474" s="4"/>
      <c r="CY474" s="69"/>
      <c r="CZ474" s="2" t="b">
        <f>IF($DP$1="YES",IF(RecData[[#This Row],[Power (kW)]]&gt;=$CR$3, TRUE,FALSE),TRUE)</f>
        <v>1</v>
      </c>
      <c r="DA474" s="16">
        <f>MIN(MOD(180-ABS(ABS($DA$1-RecData[Yaw Angle (°)])-180),360),MOD(180-ABS(ABS($DB$1-RecData[Yaw Angle (°)])-180),360))</f>
        <v>13.470252513083835</v>
      </c>
      <c r="DB474" s="2" t="str">
        <f>IF($DP$2="None","None",IF(RecData[[#This Row],[Relative Wind Direction]]&lt;=45,"DW",IF(RecData[[#This Row],[Relative Wind Direction]]&lt;=135,"CW","UW")))</f>
        <v>DW</v>
      </c>
      <c r="DC474" s="61">
        <f>IF($CL474-$CL470&gt;1/24,#REF!,IF(SUM($CQ470:$CQ474)&gt;$DS$1,$DS$5,DC475-1))</f>
        <v>-2</v>
      </c>
      <c r="DD474" s="61">
        <f>IF($CL475-$CL474&gt;1/24,#REF!,IF(SUM($CQ470:$CQ474)&gt;$DS$1,$DS$6,DD473-1))</f>
        <v>-9</v>
      </c>
      <c r="DE474" s="18" t="b">
        <v>0</v>
      </c>
      <c r="DF474" s="2" t="b">
        <f>IF(OR(RecData[[#This Row],[WSpd_Avg '[m/s']]]-RecData[[#This Row],[Wind Speed min]]&gt;=$DF$3,RecData[[#This Row],[Wind Speed max]]-RecData[[#This Row],[WSpd_Avg '[m/s']]]&gt;=$DF$2),TRUE,FALSE)</f>
        <v>0</v>
      </c>
      <c r="DG474" s="2" t="b">
        <f>RecData[[#This Row],[Temperature '[°C']]]&lt;=-20</f>
        <v>0</v>
      </c>
      <c r="DH474" s="18" t="b">
        <f>NOT(OR(MOD(RecData[[#This Row],[TIMESTAMP]],1)&gt;0.91632,MOD(RecData[[#This Row],[TIMESTAMP]],1)&lt;0.208681))</f>
        <v>0</v>
      </c>
      <c r="DI474" s="18" t="b">
        <f>RecData[[#This Row],[Overall (dBA)]]-RecData[[#This Row],[L90]]&gt;=$DS$4</f>
        <v>0</v>
      </c>
      <c r="DJ474" s="18" t="b">
        <f>RecData[[#This Row],[Overall (dBA)]]&gt;$DS$2</f>
        <v>0</v>
      </c>
      <c r="DK474" s="18" t="b">
        <f>RecData[[#This Row],[Overall (dBA)]]&lt;$DS$3</f>
        <v>0</v>
      </c>
      <c r="DL4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4" s="2">
        <f>IF(AND(RecData[[#This Row],[Turbines ON/OFF]] = "OFF", NOT(OR(RecData[[#This Row],[Junk?]]="YES",RecData[[#This Row],[Gust?]],RecData[[#This Row],[Rain?]:[Min SPL Threshold?]]))),1,0)</f>
        <v>0</v>
      </c>
      <c r="DN474" s="16">
        <f>RecData[[#This Row],[dBA Sum]]</f>
        <v>39.09776407554962</v>
      </c>
      <c r="DO474" s="16">
        <f>RecData[[#This Row],[LAF90.0]]</f>
        <v>38.5</v>
      </c>
      <c r="DP474" s="55">
        <f>IF(AND(RecData[[#This Row],[Useable TON Data?]],RecData[[#This Row],[Turbines ON/OFF]]="ON"),RecData[[#This Row],[dBA Sum]],"")</f>
        <v>39.09776407554962</v>
      </c>
      <c r="DQ474" s="55" t="str">
        <f>IF(AND(RecData[[#This Row],[Useable Background Data?]],RecData[[#This Row],[Turbines ON/OFF]]="OFF"),RecData[[#This Row],[dBA Sum]],"")</f>
        <v/>
      </c>
      <c r="DR474" s="3">
        <f>IF(OR(RecData[[#This Row],[Useable TON Data?]],RecData[[#This Row],[Useable Background Data?]]),ROUND(RecData[[#This Row],[WSpd_Avg '[m/s']]],0),"")</f>
        <v>0</v>
      </c>
      <c r="DS474" s="85">
        <f>(0.00002)^2*(10^(RecData[[#This Row],[Overall (dBA)]]/10))</f>
        <v>3.2496485827787329E-6</v>
      </c>
    </row>
    <row r="475" spans="1:123" ht="15" x14ac:dyDescent="0.25">
      <c r="A475" s="3" t="s">
        <v>249</v>
      </c>
      <c r="B475" s="12">
        <v>43270.022222222222</v>
      </c>
      <c r="C475" s="3"/>
      <c r="D475" s="3">
        <v>40.1</v>
      </c>
      <c r="E475" s="3"/>
      <c r="F475" s="3"/>
      <c r="G475" s="3"/>
      <c r="H475" s="3"/>
      <c r="I475" s="3"/>
      <c r="J475" s="3"/>
      <c r="K475" s="3">
        <v>38.5</v>
      </c>
      <c r="L475" s="3"/>
      <c r="M475" s="3"/>
      <c r="N475" s="3">
        <v>166.6</v>
      </c>
      <c r="O475" s="3"/>
      <c r="P475" s="3"/>
      <c r="Q475" s="3">
        <v>0.69</v>
      </c>
      <c r="R475" s="3">
        <v>0.1</v>
      </c>
      <c r="S475" s="3">
        <v>2.1</v>
      </c>
      <c r="T475" s="3">
        <v>16.899999999999999</v>
      </c>
      <c r="U475" s="3">
        <v>62.8</v>
      </c>
      <c r="V475" s="3">
        <v>972.6</v>
      </c>
      <c r="W475" s="3">
        <v>0</v>
      </c>
      <c r="X475" s="3">
        <v>47.6</v>
      </c>
      <c r="Y475" s="3">
        <v>47.1</v>
      </c>
      <c r="Z475" s="3">
        <v>46.4</v>
      </c>
      <c r="AA475" s="3">
        <v>40.9</v>
      </c>
      <c r="AB475" s="3">
        <v>37.299999999999997</v>
      </c>
      <c r="AC475" s="3">
        <v>37.1</v>
      </c>
      <c r="AD475" s="3">
        <v>41</v>
      </c>
      <c r="AE475" s="3">
        <v>42.7</v>
      </c>
      <c r="AF475" s="3">
        <v>42.8</v>
      </c>
      <c r="AG475" s="3">
        <v>36.5</v>
      </c>
      <c r="AH475" s="3">
        <v>37.799999999999997</v>
      </c>
      <c r="AI475" s="3">
        <v>36.700000000000003</v>
      </c>
      <c r="AJ475" s="3">
        <v>35.9</v>
      </c>
      <c r="AK475" s="3">
        <v>34.4</v>
      </c>
      <c r="AL475" s="3">
        <v>32.700000000000003</v>
      </c>
      <c r="AM475" s="3">
        <v>32.9</v>
      </c>
      <c r="AN475" s="3">
        <v>31.4</v>
      </c>
      <c r="AO475" s="3">
        <v>28.5</v>
      </c>
      <c r="AP475" s="3">
        <v>26.5</v>
      </c>
      <c r="AQ475" s="3">
        <v>24.3</v>
      </c>
      <c r="AR475" s="3">
        <v>21.7</v>
      </c>
      <c r="AS475" s="3">
        <v>22.1</v>
      </c>
      <c r="AT475" s="3">
        <v>28.5</v>
      </c>
      <c r="AU475" s="3">
        <v>13.3</v>
      </c>
      <c r="AV475" s="3">
        <v>11.9</v>
      </c>
      <c r="AW475" s="3">
        <v>11.4</v>
      </c>
      <c r="AX475" s="3">
        <v>10</v>
      </c>
      <c r="AY475" s="3">
        <v>9.9</v>
      </c>
      <c r="AZ475" s="3">
        <v>0</v>
      </c>
      <c r="BA475" s="3">
        <v>0</v>
      </c>
      <c r="BB475" s="3">
        <v>0</v>
      </c>
      <c r="BC475" s="3">
        <v>40.059925578395912</v>
      </c>
      <c r="BD475" s="3">
        <v>47.640074421604091</v>
      </c>
      <c r="BE475" s="3">
        <v>47.140074421604091</v>
      </c>
      <c r="BF475" s="3">
        <v>45.200074421604079</v>
      </c>
      <c r="BG475" s="3">
        <v>40.026741088270761</v>
      </c>
      <c r="BH475" s="3">
        <v>36.566741088270753</v>
      </c>
      <c r="BI475" s="3">
        <v>36.780074421604091</v>
      </c>
      <c r="BJ475" s="3">
        <v>41.473407754937419</v>
      </c>
      <c r="BK475" s="3">
        <v>43.046741088270757</v>
      </c>
      <c r="BL475" s="3">
        <v>42.720074421604089</v>
      </c>
      <c r="BM475" s="3">
        <v>36.553407754937432</v>
      </c>
      <c r="BN475" s="3">
        <v>38.136741088270746</v>
      </c>
      <c r="BO475" s="3">
        <v>36.403407754937426</v>
      </c>
      <c r="BP475" s="3">
        <v>35.320074421604083</v>
      </c>
      <c r="BQ475" s="3">
        <v>34.23674108827074</v>
      </c>
      <c r="BR475" s="3">
        <v>32.863407754937434</v>
      </c>
      <c r="BS475" s="3">
        <v>32.866741088270764</v>
      </c>
      <c r="BT475" s="3">
        <v>31.563407754937423</v>
      </c>
      <c r="BU475" s="3">
        <v>28.630074421604085</v>
      </c>
      <c r="BV475" s="3">
        <v>26.346741088270754</v>
      </c>
      <c r="BW475" s="3">
        <v>24.680074421604097</v>
      </c>
      <c r="BX475" s="3">
        <v>22.00007442160409</v>
      </c>
      <c r="BY475" s="3">
        <v>22.220074421604089</v>
      </c>
      <c r="BZ475" s="3">
        <v>28.75007442160409</v>
      </c>
      <c r="CA475" s="3">
        <v>13.650074421604081</v>
      </c>
      <c r="CB475" s="3">
        <v>11.686741088270757</v>
      </c>
      <c r="CC475" s="3">
        <v>11.400074421604089</v>
      </c>
      <c r="CD475" s="3">
        <v>9.306741088270762</v>
      </c>
      <c r="CE475" s="3">
        <v>9.4000744216040886</v>
      </c>
      <c r="CF475" s="3">
        <v>-0.88659224506258028</v>
      </c>
      <c r="CG475" s="3">
        <v>-1.4199255783959117</v>
      </c>
      <c r="CH475" s="3">
        <v>-2.4965922450625797</v>
      </c>
      <c r="CI475" s="13">
        <f>[1]!dbasum(RecData[[#This Row],[20]:[2000]],RecData[[#Headers],[20]:[2000]])</f>
        <v>39.499760615692864</v>
      </c>
      <c r="CJ475" s="14">
        <v>8209</v>
      </c>
      <c r="CK475" s="15" t="s">
        <v>249</v>
      </c>
      <c r="CL475" s="15">
        <f>RecData[[#This Row],[Start Time]]</f>
        <v>43270.022222222222</v>
      </c>
      <c r="CM475" s="16">
        <f>RecData[[#This Row],[Wind Speed avg]]</f>
        <v>0.69</v>
      </c>
      <c r="CN475" s="16">
        <f>RecData[[#This Row],[Wind Dir. avg]]</f>
        <v>166.6</v>
      </c>
      <c r="CO475" s="16">
        <f>RecData[[#This Row],[Amb. Humidity]]</f>
        <v>62.8</v>
      </c>
      <c r="CP475" s="16">
        <f>RecData[[#This Row],[Amb. Temperature]]</f>
        <v>16.899999999999999</v>
      </c>
      <c r="CQ475" s="17">
        <f>RecData[[#This Row],[Amb. Rain Gauge]]</f>
        <v>0</v>
      </c>
      <c r="CR475" s="4" t="s">
        <v>1</v>
      </c>
      <c r="CS475" s="4" t="s">
        <v>49</v>
      </c>
      <c r="CT475" s="70">
        <v>1613.3720703125</v>
      </c>
      <c r="CU475" s="70">
        <v>21.000179290771399</v>
      </c>
      <c r="CV475" s="70">
        <v>11.108592987060501</v>
      </c>
      <c r="CW475" s="70">
        <v>15.2813158035278</v>
      </c>
      <c r="CX475" s="4"/>
      <c r="CY475" s="69"/>
      <c r="CZ475" s="2" t="b">
        <f>IF($DP$1="YES",IF(RecData[[#This Row],[Power (kW)]]&gt;=$CR$3, TRUE,FALSE),TRUE)</f>
        <v>1</v>
      </c>
      <c r="DA475" s="16">
        <f>MIN(MOD(180-ABS(ABS($DA$1-RecData[Yaw Angle (°)])-180),360),MOD(180-ABS(ABS($DB$1-RecData[Yaw Angle (°)])-180),360))</f>
        <v>13.470252513083835</v>
      </c>
      <c r="DB475" s="2" t="str">
        <f>IF($DP$2="None","None",IF(RecData[[#This Row],[Relative Wind Direction]]&lt;=45,"DW",IF(RecData[[#This Row],[Relative Wind Direction]]&lt;=135,"CW","UW")))</f>
        <v>DW</v>
      </c>
      <c r="DC475" s="61">
        <v>-1</v>
      </c>
      <c r="DD475" s="61">
        <v>-1</v>
      </c>
      <c r="DE475" s="18" t="b">
        <v>0</v>
      </c>
      <c r="DF475" s="2" t="b">
        <f>IF(OR(RecData[[#This Row],[WSpd_Avg '[m/s']]]-RecData[[#This Row],[Wind Speed min]]&gt;=$DF$3,RecData[[#This Row],[Wind Speed max]]-RecData[[#This Row],[WSpd_Avg '[m/s']]]&gt;=$DF$2),TRUE,FALSE)</f>
        <v>0</v>
      </c>
      <c r="DG475" s="2" t="b">
        <f>RecData[[#This Row],[Temperature '[°C']]]&lt;=-20</f>
        <v>0</v>
      </c>
      <c r="DH475" s="18" t="b">
        <f>NOT(OR(MOD(RecData[[#This Row],[TIMESTAMP]],1)&gt;0.91632,MOD(RecData[[#This Row],[TIMESTAMP]],1)&lt;0.208681))</f>
        <v>0</v>
      </c>
      <c r="DI475" s="18" t="b">
        <f>RecData[[#This Row],[Overall (dBA)]]-RecData[[#This Row],[L90]]&gt;=$DS$4</f>
        <v>0</v>
      </c>
      <c r="DJ475" s="18" t="b">
        <f>RecData[[#This Row],[Overall (dBA)]]&gt;$DS$2</f>
        <v>0</v>
      </c>
      <c r="DK475" s="18" t="b">
        <f>RecData[[#This Row],[Overall (dBA)]]&lt;$DS$3</f>
        <v>0</v>
      </c>
      <c r="DL4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5" s="2">
        <f>IF(AND(RecData[[#This Row],[Turbines ON/OFF]] = "OFF", NOT(OR(RecData[[#This Row],[Junk?]]="YES",RecData[[#This Row],[Gust?]],RecData[[#This Row],[Rain?]:[Min SPL Threshold?]]))),1,0)</f>
        <v>0</v>
      </c>
      <c r="DN475" s="16">
        <f>RecData[[#This Row],[dBA Sum]]</f>
        <v>39.499760615692864</v>
      </c>
      <c r="DO475" s="16">
        <f>RecData[[#This Row],[LAF90.0]]</f>
        <v>38.5</v>
      </c>
      <c r="DP475" s="55">
        <f>IF(AND(RecData[[#This Row],[Useable TON Data?]],RecData[[#This Row],[Turbines ON/OFF]]="ON"),RecData[[#This Row],[dBA Sum]],"")</f>
        <v>39.499760615692864</v>
      </c>
      <c r="DQ475" s="55" t="str">
        <f>IF(AND(RecData[[#This Row],[Useable Background Data?]],RecData[[#This Row],[Turbines ON/OFF]]="OFF"),RecData[[#This Row],[dBA Sum]],"")</f>
        <v/>
      </c>
      <c r="DR475" s="3">
        <f>IF(OR(RecData[[#This Row],[Useable TON Data?]],RecData[[#This Row],[Useable Background Data?]]),ROUND(RecData[[#This Row],[WSpd_Avg '[m/s']]],0),"")</f>
        <v>1</v>
      </c>
      <c r="DS475" s="85">
        <f>(0.00002)^2*(10^(RecData[[#This Row],[Overall (dBA)]]/10))</f>
        <v>3.5648072539679449E-6</v>
      </c>
    </row>
    <row r="476" spans="1:123" ht="15" x14ac:dyDescent="0.25">
      <c r="A476" s="3" t="s">
        <v>249</v>
      </c>
      <c r="B476" s="12">
        <v>43270.022916666669</v>
      </c>
      <c r="C476" s="3"/>
      <c r="D476" s="3">
        <v>39.299999999999997</v>
      </c>
      <c r="E476" s="3"/>
      <c r="F476" s="3"/>
      <c r="G476" s="3"/>
      <c r="H476" s="3"/>
      <c r="I476" s="3"/>
      <c r="J476" s="3"/>
      <c r="K476" s="3">
        <v>38.200000000000003</v>
      </c>
      <c r="L476" s="3"/>
      <c r="M476" s="3"/>
      <c r="N476" s="3">
        <v>301.2</v>
      </c>
      <c r="O476" s="3"/>
      <c r="P476" s="3"/>
      <c r="Q476" s="3">
        <v>1.1399999999999999</v>
      </c>
      <c r="R476" s="3">
        <v>0.5</v>
      </c>
      <c r="S476" s="3">
        <v>1.7</v>
      </c>
      <c r="T476" s="3">
        <v>16.899999999999999</v>
      </c>
      <c r="U476" s="3">
        <v>62.1</v>
      </c>
      <c r="V476" s="3">
        <v>972.6</v>
      </c>
      <c r="W476" s="3">
        <v>0</v>
      </c>
      <c r="X476" s="3">
        <v>48.2</v>
      </c>
      <c r="Y476" s="3">
        <v>48.2</v>
      </c>
      <c r="Z476" s="3">
        <v>46.7</v>
      </c>
      <c r="AA476" s="3">
        <v>41.5</v>
      </c>
      <c r="AB476" s="3">
        <v>37.1</v>
      </c>
      <c r="AC476" s="3">
        <v>37.1</v>
      </c>
      <c r="AD476" s="3">
        <v>40.4</v>
      </c>
      <c r="AE476" s="3">
        <v>42</v>
      </c>
      <c r="AF476" s="3">
        <v>42.4</v>
      </c>
      <c r="AG476" s="3">
        <v>36.1</v>
      </c>
      <c r="AH476" s="3">
        <v>36.9</v>
      </c>
      <c r="AI476" s="3">
        <v>35.799999999999997</v>
      </c>
      <c r="AJ476" s="3">
        <v>35.4</v>
      </c>
      <c r="AK476" s="3">
        <v>33.5</v>
      </c>
      <c r="AL476" s="3">
        <v>31.9</v>
      </c>
      <c r="AM476" s="3">
        <v>31.7</v>
      </c>
      <c r="AN476" s="3">
        <v>30.8</v>
      </c>
      <c r="AO476" s="3">
        <v>28.1</v>
      </c>
      <c r="AP476" s="3">
        <v>25.8</v>
      </c>
      <c r="AQ476" s="3">
        <v>24</v>
      </c>
      <c r="AR476" s="3">
        <v>21.6</v>
      </c>
      <c r="AS476" s="3">
        <v>22</v>
      </c>
      <c r="AT476" s="3">
        <v>27.1</v>
      </c>
      <c r="AU476" s="3">
        <v>15.6</v>
      </c>
      <c r="AV476" s="3">
        <v>12.8</v>
      </c>
      <c r="AW476" s="3">
        <v>12</v>
      </c>
      <c r="AX476" s="3">
        <v>10.1</v>
      </c>
      <c r="AY476" s="3">
        <v>9.8000000000000007</v>
      </c>
      <c r="AZ476" s="3">
        <v>0</v>
      </c>
      <c r="BA476" s="3">
        <v>0</v>
      </c>
      <c r="BB476" s="3">
        <v>0</v>
      </c>
      <c r="BC476" s="3">
        <v>39.325831306236239</v>
      </c>
      <c r="BD476" s="3">
        <v>48.174168693763761</v>
      </c>
      <c r="BE476" s="3">
        <v>48.174168693763761</v>
      </c>
      <c r="BF476" s="3">
        <v>45.434168693763752</v>
      </c>
      <c r="BG476" s="3">
        <v>40.560835360430417</v>
      </c>
      <c r="BH476" s="3">
        <v>36.300835360430426</v>
      </c>
      <c r="BI476" s="3">
        <v>36.714168693763753</v>
      </c>
      <c r="BJ476" s="3">
        <v>40.807502027097087</v>
      </c>
      <c r="BK476" s="3">
        <v>42.280835360430416</v>
      </c>
      <c r="BL476" s="3">
        <v>42.254168693763759</v>
      </c>
      <c r="BM476" s="3">
        <v>36.087502027097088</v>
      </c>
      <c r="BN476" s="3">
        <v>37.170835360430431</v>
      </c>
      <c r="BO476" s="3">
        <v>35.437502027097082</v>
      </c>
      <c r="BP476" s="3">
        <v>34.754168693763759</v>
      </c>
      <c r="BQ476" s="3">
        <v>33.270835360430425</v>
      </c>
      <c r="BR476" s="3">
        <v>31.997502027097084</v>
      </c>
      <c r="BS476" s="3">
        <v>31.600835360430423</v>
      </c>
      <c r="BT476" s="3">
        <v>30.89750202709709</v>
      </c>
      <c r="BU476" s="3">
        <v>28.16416869376377</v>
      </c>
      <c r="BV476" s="3">
        <v>25.580835360430427</v>
      </c>
      <c r="BW476" s="3">
        <v>24.314168693763762</v>
      </c>
      <c r="BX476" s="3">
        <v>21.834168693763765</v>
      </c>
      <c r="BY476" s="3">
        <v>22.054168693763756</v>
      </c>
      <c r="BZ476" s="3">
        <v>27.28416869376376</v>
      </c>
      <c r="CA476" s="3">
        <v>15.884168693763755</v>
      </c>
      <c r="CB476" s="3">
        <v>12.520835360430425</v>
      </c>
      <c r="CC476" s="3">
        <v>11.934168693763759</v>
      </c>
      <c r="CD476" s="3">
        <v>9.3408353604304324</v>
      </c>
      <c r="CE476" s="3">
        <v>9.2341686937637562</v>
      </c>
      <c r="CF476" s="3">
        <v>-0.95249797290291127</v>
      </c>
      <c r="CG476" s="3">
        <v>-1.4858313062362427</v>
      </c>
      <c r="CH476" s="3">
        <v>-2.5624979729029107</v>
      </c>
      <c r="CI476" s="13">
        <f>[1]!dbasum(RecData[[#This Row],[20]:[2000]],RecData[[#Headers],[20]:[2000]])</f>
        <v>38.728719996117633</v>
      </c>
      <c r="CJ476" s="14">
        <v>8210</v>
      </c>
      <c r="CK476" s="15" t="s">
        <v>249</v>
      </c>
      <c r="CL476" s="15">
        <f>RecData[[#This Row],[Start Time]]</f>
        <v>43270.022916666669</v>
      </c>
      <c r="CM476" s="16">
        <f>RecData[[#This Row],[Wind Speed avg]]</f>
        <v>1.1399999999999999</v>
      </c>
      <c r="CN476" s="16">
        <f>RecData[[#This Row],[Wind Dir. avg]]</f>
        <v>301.2</v>
      </c>
      <c r="CO476" s="16">
        <f>RecData[[#This Row],[Amb. Humidity]]</f>
        <v>62.1</v>
      </c>
      <c r="CP476" s="16">
        <f>RecData[[#This Row],[Amb. Temperature]]</f>
        <v>16.899999999999999</v>
      </c>
      <c r="CQ476" s="17">
        <f>RecData[[#This Row],[Amb. Rain Gauge]]</f>
        <v>0</v>
      </c>
      <c r="CR476" s="4" t="s">
        <v>1</v>
      </c>
      <c r="CS476" s="4" t="s">
        <v>49</v>
      </c>
      <c r="CT476" s="70">
        <v>1613.3720703125</v>
      </c>
      <c r="CU476" s="70">
        <v>21.000179290771399</v>
      </c>
      <c r="CV476" s="70">
        <v>11.108592987060501</v>
      </c>
      <c r="CW476" s="70">
        <v>15.2813158035278</v>
      </c>
      <c r="CX476" s="4"/>
      <c r="CY476" s="69"/>
      <c r="CZ476" s="2" t="b">
        <f>IF($DP$1="YES",IF(RecData[[#This Row],[Power (kW)]]&gt;=$CR$3, TRUE,FALSE),TRUE)</f>
        <v>1</v>
      </c>
      <c r="DA476" s="16">
        <f>MIN(MOD(180-ABS(ABS($DA$1-RecData[Yaw Angle (°)])-180),360),MOD(180-ABS(ABS($DB$1-RecData[Yaw Angle (°)])-180),360))</f>
        <v>13.470252513083835</v>
      </c>
      <c r="DB476" s="2" t="str">
        <f>IF($DP$2="None","None",IF(RecData[[#This Row],[Relative Wind Direction]]&lt;=45,"DW",IF(RecData[[#This Row],[Relative Wind Direction]]&lt;=135,"CW","UW")))</f>
        <v>DW</v>
      </c>
      <c r="DC476" s="61">
        <f>IF($CL476-$CL475&gt;1/24,#REF!,IF(SUM($CQ475:$CQ476)&gt;$DS$1,$DS$5,DC477-1))</f>
        <v>-9</v>
      </c>
      <c r="DD476" s="61">
        <f>IF($CL477-$CL476&gt;1/24,#REF!,IF(SUM($CQ475:$CQ476)&gt;$DS$1,$DS$6,DD475-1))</f>
        <v>-2</v>
      </c>
      <c r="DE476" s="18" t="b">
        <v>0</v>
      </c>
      <c r="DF476" s="2" t="b">
        <f>IF(OR(RecData[[#This Row],[WSpd_Avg '[m/s']]]-RecData[[#This Row],[Wind Speed min]]&gt;=$DF$3,RecData[[#This Row],[Wind Speed max]]-RecData[[#This Row],[WSpd_Avg '[m/s']]]&gt;=$DF$2),TRUE,FALSE)</f>
        <v>0</v>
      </c>
      <c r="DG476" s="2" t="b">
        <f>RecData[[#This Row],[Temperature '[°C']]]&lt;=-20</f>
        <v>0</v>
      </c>
      <c r="DH476" s="18" t="b">
        <f>NOT(OR(MOD(RecData[[#This Row],[TIMESTAMP]],1)&gt;0.91632,MOD(RecData[[#This Row],[TIMESTAMP]],1)&lt;0.208681))</f>
        <v>0</v>
      </c>
      <c r="DI476" s="18" t="b">
        <f>RecData[[#This Row],[Overall (dBA)]]-RecData[[#This Row],[L90]]&gt;=$DS$4</f>
        <v>0</v>
      </c>
      <c r="DJ476" s="18" t="b">
        <f>RecData[[#This Row],[Overall (dBA)]]&gt;$DS$2</f>
        <v>0</v>
      </c>
      <c r="DK476" s="18" t="b">
        <f>RecData[[#This Row],[Overall (dBA)]]&lt;$DS$3</f>
        <v>0</v>
      </c>
      <c r="DL4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6" s="2">
        <f>IF(AND(RecData[[#This Row],[Turbines ON/OFF]] = "OFF", NOT(OR(RecData[[#This Row],[Junk?]]="YES",RecData[[#This Row],[Gust?]],RecData[[#This Row],[Rain?]:[Min SPL Threshold?]]))),1,0)</f>
        <v>0</v>
      </c>
      <c r="DN476" s="16">
        <f>RecData[[#This Row],[dBA Sum]]</f>
        <v>38.728719996117633</v>
      </c>
      <c r="DO476" s="16">
        <f>RecData[[#This Row],[LAF90.0]]</f>
        <v>38.200000000000003</v>
      </c>
      <c r="DP476" s="55">
        <f>IF(AND(RecData[[#This Row],[Useable TON Data?]],RecData[[#This Row],[Turbines ON/OFF]]="ON"),RecData[[#This Row],[dBA Sum]],"")</f>
        <v>38.728719996117633</v>
      </c>
      <c r="DQ476" s="55" t="str">
        <f>IF(AND(RecData[[#This Row],[Useable Background Data?]],RecData[[#This Row],[Turbines ON/OFF]]="OFF"),RecData[[#This Row],[dBA Sum]],"")</f>
        <v/>
      </c>
      <c r="DR476" s="3">
        <f>IF(OR(RecData[[#This Row],[Useable TON Data?]],RecData[[#This Row],[Useable Background Data?]]),ROUND(RecData[[#This Row],[WSpd_Avg '[m/s']]],0),"")</f>
        <v>1</v>
      </c>
      <c r="DS476" s="85">
        <f>(0.00002)^2*(10^(RecData[[#This Row],[Overall (dBA)]]/10))</f>
        <v>2.9849151546083451E-6</v>
      </c>
    </row>
    <row r="477" spans="1:123" ht="15" x14ac:dyDescent="0.25">
      <c r="A477" s="3" t="s">
        <v>249</v>
      </c>
      <c r="B477" s="12">
        <v>43270.023611111108</v>
      </c>
      <c r="C477" s="3"/>
      <c r="D477" s="3">
        <v>39.200000000000003</v>
      </c>
      <c r="E477" s="3"/>
      <c r="F477" s="3"/>
      <c r="G477" s="3"/>
      <c r="H477" s="3"/>
      <c r="I477" s="3"/>
      <c r="J477" s="3"/>
      <c r="K477" s="3">
        <v>38.5</v>
      </c>
      <c r="L477" s="3"/>
      <c r="M477" s="3"/>
      <c r="N477" s="3">
        <v>211.6</v>
      </c>
      <c r="O477" s="3"/>
      <c r="P477" s="3"/>
      <c r="Q477" s="3">
        <v>0.73</v>
      </c>
      <c r="R477" s="3">
        <v>0.1</v>
      </c>
      <c r="S477" s="3">
        <v>1.4</v>
      </c>
      <c r="T477" s="3">
        <v>16.899999999999999</v>
      </c>
      <c r="U477" s="3">
        <v>61.9</v>
      </c>
      <c r="V477" s="3">
        <v>972.6</v>
      </c>
      <c r="W477" s="3">
        <v>0</v>
      </c>
      <c r="X477" s="3">
        <v>46.8</v>
      </c>
      <c r="Y477" s="3">
        <v>46.5</v>
      </c>
      <c r="Z477" s="3">
        <v>45.8</v>
      </c>
      <c r="AA477" s="3">
        <v>40.5</v>
      </c>
      <c r="AB477" s="3">
        <v>36.299999999999997</v>
      </c>
      <c r="AC477" s="3">
        <v>35.6</v>
      </c>
      <c r="AD477" s="3">
        <v>38.799999999999997</v>
      </c>
      <c r="AE477" s="3">
        <v>40.700000000000003</v>
      </c>
      <c r="AF477" s="3">
        <v>43</v>
      </c>
      <c r="AG477" s="3">
        <v>35.6</v>
      </c>
      <c r="AH477" s="3">
        <v>36.299999999999997</v>
      </c>
      <c r="AI477" s="3">
        <v>35.6</v>
      </c>
      <c r="AJ477" s="3">
        <v>35.200000000000003</v>
      </c>
      <c r="AK477" s="3">
        <v>33.200000000000003</v>
      </c>
      <c r="AL477" s="3">
        <v>31.6</v>
      </c>
      <c r="AM477" s="3">
        <v>31.3</v>
      </c>
      <c r="AN477" s="3">
        <v>29.9</v>
      </c>
      <c r="AO477" s="3">
        <v>27.5</v>
      </c>
      <c r="AP477" s="3">
        <v>25.7</v>
      </c>
      <c r="AQ477" s="3">
        <v>24</v>
      </c>
      <c r="AR477" s="3">
        <v>21.9</v>
      </c>
      <c r="AS477" s="3">
        <v>21.8</v>
      </c>
      <c r="AT477" s="3">
        <v>28.6</v>
      </c>
      <c r="AU477" s="3">
        <v>13.8</v>
      </c>
      <c r="AV477" s="3">
        <v>12</v>
      </c>
      <c r="AW477" s="3">
        <v>11.5</v>
      </c>
      <c r="AX477" s="3">
        <v>9.9</v>
      </c>
      <c r="AY477" s="3">
        <v>9.6999999999999993</v>
      </c>
      <c r="AZ477" s="3">
        <v>0</v>
      </c>
      <c r="BA477" s="3">
        <v>0</v>
      </c>
      <c r="BB477" s="3">
        <v>0</v>
      </c>
      <c r="BC477" s="3">
        <v>39.146881908584618</v>
      </c>
      <c r="BD477" s="3">
        <v>46.853118091415382</v>
      </c>
      <c r="BE477" s="3">
        <v>46.553118091415385</v>
      </c>
      <c r="BF477" s="3">
        <v>44.613118091415373</v>
      </c>
      <c r="BG477" s="3">
        <v>39.639784758082044</v>
      </c>
      <c r="BH477" s="3">
        <v>35.579784758082042</v>
      </c>
      <c r="BI477" s="3">
        <v>35.29311809141538</v>
      </c>
      <c r="BJ477" s="3">
        <v>39.286451424748719</v>
      </c>
      <c r="BK477" s="3">
        <v>41.05978475808206</v>
      </c>
      <c r="BL477" s="3">
        <v>42.933118091415395</v>
      </c>
      <c r="BM477" s="3">
        <v>35.666451424748715</v>
      </c>
      <c r="BN477" s="3">
        <v>36.649784758082049</v>
      </c>
      <c r="BO477" s="3">
        <v>35.31645142474872</v>
      </c>
      <c r="BP477" s="3">
        <v>34.633118091415383</v>
      </c>
      <c r="BQ477" s="3">
        <v>33.049784758082041</v>
      </c>
      <c r="BR477" s="3">
        <v>31.776451424748728</v>
      </c>
      <c r="BS477" s="3">
        <v>31.279784758082059</v>
      </c>
      <c r="BT477" s="3">
        <v>30.076451424748711</v>
      </c>
      <c r="BU477" s="3">
        <v>27.643118091415388</v>
      </c>
      <c r="BV477" s="3">
        <v>25.55978475808206</v>
      </c>
      <c r="BW477" s="3">
        <v>24.393118091415388</v>
      </c>
      <c r="BX477" s="3">
        <v>22.213118091415389</v>
      </c>
      <c r="BY477" s="3">
        <v>21.93311809141538</v>
      </c>
      <c r="BZ477" s="3">
        <v>28.863118091415387</v>
      </c>
      <c r="CA477" s="3">
        <v>14.163118091415377</v>
      </c>
      <c r="CB477" s="3">
        <v>11.799784758082048</v>
      </c>
      <c r="CC477" s="3">
        <v>11.513118091415386</v>
      </c>
      <c r="CD477" s="3">
        <v>9.2197847580820564</v>
      </c>
      <c r="CE477" s="3">
        <v>9.2131180914153816</v>
      </c>
      <c r="CF477" s="3">
        <v>-0.87354857525128438</v>
      </c>
      <c r="CG477" s="3">
        <v>-1.4068819085846158</v>
      </c>
      <c r="CH477" s="3">
        <v>-2.4835485752512838</v>
      </c>
      <c r="CI477" s="13">
        <f>[1]!dbasum(RecData[[#This Row],[20]:[2000]],RecData[[#Headers],[20]:[2000]])</f>
        <v>38.445066734479305</v>
      </c>
      <c r="CJ477" s="14">
        <v>8211</v>
      </c>
      <c r="CK477" s="15" t="s">
        <v>249</v>
      </c>
      <c r="CL477" s="15">
        <f>RecData[[#This Row],[Start Time]]</f>
        <v>43270.023611111108</v>
      </c>
      <c r="CM477" s="16">
        <f>RecData[[#This Row],[Wind Speed avg]]</f>
        <v>0.73</v>
      </c>
      <c r="CN477" s="16">
        <f>RecData[[#This Row],[Wind Dir. avg]]</f>
        <v>211.6</v>
      </c>
      <c r="CO477" s="16">
        <f>RecData[[#This Row],[Amb. Humidity]]</f>
        <v>61.9</v>
      </c>
      <c r="CP477" s="16">
        <f>RecData[[#This Row],[Amb. Temperature]]</f>
        <v>16.899999999999999</v>
      </c>
      <c r="CQ477" s="17">
        <f>RecData[[#This Row],[Amb. Rain Gauge]]</f>
        <v>0</v>
      </c>
      <c r="CR477" s="4" t="s">
        <v>1</v>
      </c>
      <c r="CS477" s="4" t="s">
        <v>49</v>
      </c>
      <c r="CT477" s="70">
        <v>1613.3720703125</v>
      </c>
      <c r="CU477" s="70">
        <v>21.000179290771399</v>
      </c>
      <c r="CV477" s="70">
        <v>11.108592987060501</v>
      </c>
      <c r="CW477" s="70">
        <v>15.2813158035278</v>
      </c>
      <c r="CX477" s="4"/>
      <c r="CY477" s="69"/>
      <c r="CZ477" s="2" t="b">
        <f>IF($DP$1="YES",IF(RecData[[#This Row],[Power (kW)]]&gt;=$CR$3, TRUE,FALSE),TRUE)</f>
        <v>1</v>
      </c>
      <c r="DA477" s="16">
        <f>MIN(MOD(180-ABS(ABS($DA$1-RecData[Yaw Angle (°)])-180),360),MOD(180-ABS(ABS($DB$1-RecData[Yaw Angle (°)])-180),360))</f>
        <v>13.470252513083835</v>
      </c>
      <c r="DB477" s="2" t="str">
        <f>IF($DP$2="None","None",IF(RecData[[#This Row],[Relative Wind Direction]]&lt;=45,"DW",IF(RecData[[#This Row],[Relative Wind Direction]]&lt;=135,"CW","UW")))</f>
        <v>DW</v>
      </c>
      <c r="DC477" s="61">
        <f>IF($CL477-$CL475&gt;1/24,#REF!,IF(SUM($CQ475:$CQ477)&gt;$DS$1,$DS$5,DC478-1))</f>
        <v>-8</v>
      </c>
      <c r="DD477" s="61">
        <f>IF($CL478-$CL477&gt;1/24,#REF!,IF(SUM($CQ475:$CQ477)&gt;$DS$1,$DS$6,DD476-1))</f>
        <v>-3</v>
      </c>
      <c r="DE477" s="18" t="b">
        <v>0</v>
      </c>
      <c r="DF477" s="2" t="b">
        <f>IF(OR(RecData[[#This Row],[WSpd_Avg '[m/s']]]-RecData[[#This Row],[Wind Speed min]]&gt;=$DF$3,RecData[[#This Row],[Wind Speed max]]-RecData[[#This Row],[WSpd_Avg '[m/s']]]&gt;=$DF$2),TRUE,FALSE)</f>
        <v>0</v>
      </c>
      <c r="DG477" s="2" t="b">
        <f>RecData[[#This Row],[Temperature '[°C']]]&lt;=-20</f>
        <v>0</v>
      </c>
      <c r="DH477" s="18" t="b">
        <f>NOT(OR(MOD(RecData[[#This Row],[TIMESTAMP]],1)&gt;0.91632,MOD(RecData[[#This Row],[TIMESTAMP]],1)&lt;0.208681))</f>
        <v>0</v>
      </c>
      <c r="DI477" s="18" t="b">
        <f>RecData[[#This Row],[Overall (dBA)]]-RecData[[#This Row],[L90]]&gt;=$DS$4</f>
        <v>0</v>
      </c>
      <c r="DJ477" s="18" t="b">
        <f>RecData[[#This Row],[Overall (dBA)]]&gt;$DS$2</f>
        <v>0</v>
      </c>
      <c r="DK477" s="18" t="b">
        <f>RecData[[#This Row],[Overall (dBA)]]&lt;$DS$3</f>
        <v>0</v>
      </c>
      <c r="DL4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7" s="2">
        <f>IF(AND(RecData[[#This Row],[Turbines ON/OFF]] = "OFF", NOT(OR(RecData[[#This Row],[Junk?]]="YES",RecData[[#This Row],[Gust?]],RecData[[#This Row],[Rain?]:[Min SPL Threshold?]]))),1,0)</f>
        <v>0</v>
      </c>
      <c r="DN477" s="16">
        <f>RecData[[#This Row],[dBA Sum]]</f>
        <v>38.445066734479305</v>
      </c>
      <c r="DO477" s="16">
        <f>RecData[[#This Row],[LAF90.0]]</f>
        <v>38.5</v>
      </c>
      <c r="DP477" s="55">
        <f>IF(AND(RecData[[#This Row],[Useable TON Data?]],RecData[[#This Row],[Turbines ON/OFF]]="ON"),RecData[[#This Row],[dBA Sum]],"")</f>
        <v>38.445066734479305</v>
      </c>
      <c r="DQ477" s="55" t="str">
        <f>IF(AND(RecData[[#This Row],[Useable Background Data?]],RecData[[#This Row],[Turbines ON/OFF]]="OFF"),RecData[[#This Row],[dBA Sum]],"")</f>
        <v/>
      </c>
      <c r="DR477" s="3">
        <f>IF(OR(RecData[[#This Row],[Useable TON Data?]],RecData[[#This Row],[Useable Background Data?]]),ROUND(RecData[[#This Row],[WSpd_Avg '[m/s']]],0),"")</f>
        <v>1</v>
      </c>
      <c r="DS477" s="85">
        <f>(0.00002)^2*(10^(RecData[[#This Row],[Overall (dBA)]]/10))</f>
        <v>2.7961899134801399E-6</v>
      </c>
    </row>
    <row r="478" spans="1:123" ht="15" x14ac:dyDescent="0.25">
      <c r="A478" s="3" t="s">
        <v>249</v>
      </c>
      <c r="B478" s="12">
        <v>43270.024305555555</v>
      </c>
      <c r="C478" s="3"/>
      <c r="D478" s="3">
        <v>39.799999999999997</v>
      </c>
      <c r="E478" s="3"/>
      <c r="F478" s="3"/>
      <c r="G478" s="3"/>
      <c r="H478" s="3"/>
      <c r="I478" s="3"/>
      <c r="J478" s="3"/>
      <c r="K478" s="3">
        <v>38.799999999999997</v>
      </c>
      <c r="L478" s="3"/>
      <c r="M478" s="3"/>
      <c r="N478" s="3">
        <v>171.4</v>
      </c>
      <c r="O478" s="3"/>
      <c r="P478" s="3"/>
      <c r="Q478" s="3">
        <v>0.71</v>
      </c>
      <c r="R478" s="3">
        <v>0.1</v>
      </c>
      <c r="S478" s="3">
        <v>1.7</v>
      </c>
      <c r="T478" s="3">
        <v>16.899999999999999</v>
      </c>
      <c r="U478" s="3">
        <v>61.9</v>
      </c>
      <c r="V478" s="3">
        <v>972.6</v>
      </c>
      <c r="W478" s="3">
        <v>0</v>
      </c>
      <c r="X478" s="3">
        <v>48</v>
      </c>
      <c r="Y478" s="3">
        <v>47.6</v>
      </c>
      <c r="Z478" s="3">
        <v>46.4</v>
      </c>
      <c r="AA478" s="3">
        <v>42</v>
      </c>
      <c r="AB478" s="3">
        <v>37.799999999999997</v>
      </c>
      <c r="AC478" s="3">
        <v>38.6</v>
      </c>
      <c r="AD478" s="3">
        <v>41.7</v>
      </c>
      <c r="AE478" s="3">
        <v>42.4</v>
      </c>
      <c r="AF478" s="3">
        <v>43.1</v>
      </c>
      <c r="AG478" s="3">
        <v>37.5</v>
      </c>
      <c r="AH478" s="3">
        <v>37.700000000000003</v>
      </c>
      <c r="AI478" s="3">
        <v>36.700000000000003</v>
      </c>
      <c r="AJ478" s="3">
        <v>36.200000000000003</v>
      </c>
      <c r="AK478" s="3">
        <v>34.4</v>
      </c>
      <c r="AL478" s="3">
        <v>32.5</v>
      </c>
      <c r="AM478" s="3">
        <v>32.200000000000003</v>
      </c>
      <c r="AN478" s="3">
        <v>30.9</v>
      </c>
      <c r="AO478" s="3">
        <v>28.2</v>
      </c>
      <c r="AP478" s="3">
        <v>26.1</v>
      </c>
      <c r="AQ478" s="3">
        <v>24.3</v>
      </c>
      <c r="AR478" s="3">
        <v>21.7</v>
      </c>
      <c r="AS478" s="3">
        <v>21.4</v>
      </c>
      <c r="AT478" s="3">
        <v>27.1</v>
      </c>
      <c r="AU478" s="3">
        <v>12.8</v>
      </c>
      <c r="AV478" s="3">
        <v>11.2</v>
      </c>
      <c r="AW478" s="3">
        <v>10.5</v>
      </c>
      <c r="AX478" s="3">
        <v>9.6</v>
      </c>
      <c r="AY478" s="3">
        <v>9.5</v>
      </c>
      <c r="AZ478" s="3">
        <v>0</v>
      </c>
      <c r="BA478" s="3">
        <v>0</v>
      </c>
      <c r="BB478" s="3">
        <v>0</v>
      </c>
      <c r="BC478" s="3">
        <v>39.794613440583412</v>
      </c>
      <c r="BD478" s="3">
        <v>48.005386559416586</v>
      </c>
      <c r="BE478" s="3">
        <v>47.605386559416594</v>
      </c>
      <c r="BF478" s="3">
        <v>45.165386559416582</v>
      </c>
      <c r="BG478" s="3">
        <v>41.092053226083245</v>
      </c>
      <c r="BH478" s="3">
        <v>37.032053226083242</v>
      </c>
      <c r="BI478" s="3">
        <v>38.24538655941658</v>
      </c>
      <c r="BJ478" s="3">
        <v>42.138719892749926</v>
      </c>
      <c r="BK478" s="3">
        <v>42.712053226083249</v>
      </c>
      <c r="BL478" s="3">
        <v>42.98538655941659</v>
      </c>
      <c r="BM478" s="3">
        <v>37.518719892749921</v>
      </c>
      <c r="BN478" s="3">
        <v>38.002053226083255</v>
      </c>
      <c r="BO478" s="3">
        <v>36.368719892749915</v>
      </c>
      <c r="BP478" s="3">
        <v>35.585386559416584</v>
      </c>
      <c r="BQ478" s="3">
        <v>34.202053226083244</v>
      </c>
      <c r="BR478" s="3">
        <v>32.62871989274992</v>
      </c>
      <c r="BS478" s="3">
        <v>32.132053226083265</v>
      </c>
      <c r="BT478" s="3">
        <v>31.028719892749912</v>
      </c>
      <c r="BU478" s="3">
        <v>28.295386559416592</v>
      </c>
      <c r="BV478" s="3">
        <v>25.912053226083252</v>
      </c>
      <c r="BW478" s="3">
        <v>24.645386559416586</v>
      </c>
      <c r="BX478" s="3">
        <v>21.965386559416594</v>
      </c>
      <c r="BY478" s="3">
        <v>21.485386559416582</v>
      </c>
      <c r="BZ478" s="3">
        <v>27.315386559416588</v>
      </c>
      <c r="CA478" s="3">
        <v>13.115386559416578</v>
      </c>
      <c r="CB478" s="3">
        <v>10.952053226083251</v>
      </c>
      <c r="CC478" s="3">
        <v>10.465386559416586</v>
      </c>
      <c r="CD478" s="3">
        <v>8.8720532260832599</v>
      </c>
      <c r="CE478" s="3">
        <v>8.9653865594165865</v>
      </c>
      <c r="CF478" s="3">
        <v>-0.9212801072500838</v>
      </c>
      <c r="CG478" s="3">
        <v>-1.4546134405834152</v>
      </c>
      <c r="CH478" s="3">
        <v>-2.5312801072500832</v>
      </c>
      <c r="CI478" s="13">
        <f>[1]!dbasum(RecData[[#This Row],[20]:[2000]],RecData[[#Headers],[20]:[2000]])</f>
        <v>39.308333616453474</v>
      </c>
      <c r="CJ478" s="14">
        <v>8212</v>
      </c>
      <c r="CK478" s="15" t="s">
        <v>249</v>
      </c>
      <c r="CL478" s="15">
        <f>RecData[[#This Row],[Start Time]]</f>
        <v>43270.024305555555</v>
      </c>
      <c r="CM478" s="16">
        <f>RecData[[#This Row],[Wind Speed avg]]</f>
        <v>0.71</v>
      </c>
      <c r="CN478" s="16">
        <f>RecData[[#This Row],[Wind Dir. avg]]</f>
        <v>171.4</v>
      </c>
      <c r="CO478" s="16">
        <f>RecData[[#This Row],[Amb. Humidity]]</f>
        <v>61.9</v>
      </c>
      <c r="CP478" s="16">
        <f>RecData[[#This Row],[Amb. Temperature]]</f>
        <v>16.899999999999999</v>
      </c>
      <c r="CQ478" s="17">
        <f>RecData[[#This Row],[Amb. Rain Gauge]]</f>
        <v>0</v>
      </c>
      <c r="CR478" s="4" t="s">
        <v>1</v>
      </c>
      <c r="CS478" s="4" t="s">
        <v>49</v>
      </c>
      <c r="CT478" s="70">
        <v>1613.3720703125</v>
      </c>
      <c r="CU478" s="70">
        <v>21.000179290771399</v>
      </c>
      <c r="CV478" s="70">
        <v>11.108592987060501</v>
      </c>
      <c r="CW478" s="70">
        <v>15.2813158035278</v>
      </c>
      <c r="CX478" s="4"/>
      <c r="CY478" s="69"/>
      <c r="CZ478" s="2" t="b">
        <f>IF($DP$1="YES",IF(RecData[[#This Row],[Power (kW)]]&gt;=$CR$3, TRUE,FALSE),TRUE)</f>
        <v>1</v>
      </c>
      <c r="DA478" s="16">
        <f>MIN(MOD(180-ABS(ABS($DA$1-RecData[Yaw Angle (°)])-180),360),MOD(180-ABS(ABS($DB$1-RecData[Yaw Angle (°)])-180),360))</f>
        <v>13.470252513083835</v>
      </c>
      <c r="DB478" s="2" t="str">
        <f>IF($DP$2="None","None",IF(RecData[[#This Row],[Relative Wind Direction]]&lt;=45,"DW",IF(RecData[[#This Row],[Relative Wind Direction]]&lt;=135,"CW","UW")))</f>
        <v>DW</v>
      </c>
      <c r="DC478" s="61">
        <f>IF($CL478-$CL475&gt;1/24,#REF!,IF(SUM($CQ475:$CQ478)&gt;$DS$1,$DS$5,DC479-1))</f>
        <v>-7</v>
      </c>
      <c r="DD478" s="61">
        <f>IF($CL479-$CL478&gt;1/24,#REF!,IF(SUM($CQ475:$CQ478)&gt;$DS$1,$DS$6,DD477-1))</f>
        <v>-4</v>
      </c>
      <c r="DE478" s="18" t="b">
        <v>0</v>
      </c>
      <c r="DF478" s="2" t="b">
        <f>IF(OR(RecData[[#This Row],[WSpd_Avg '[m/s']]]-RecData[[#This Row],[Wind Speed min]]&gt;=$DF$3,RecData[[#This Row],[Wind Speed max]]-RecData[[#This Row],[WSpd_Avg '[m/s']]]&gt;=$DF$2),TRUE,FALSE)</f>
        <v>0</v>
      </c>
      <c r="DG478" s="2" t="b">
        <f>RecData[[#This Row],[Temperature '[°C']]]&lt;=-20</f>
        <v>0</v>
      </c>
      <c r="DH478" s="18" t="b">
        <f>NOT(OR(MOD(RecData[[#This Row],[TIMESTAMP]],1)&gt;0.91632,MOD(RecData[[#This Row],[TIMESTAMP]],1)&lt;0.208681))</f>
        <v>0</v>
      </c>
      <c r="DI478" s="18" t="b">
        <f>RecData[[#This Row],[Overall (dBA)]]-RecData[[#This Row],[L90]]&gt;=$DS$4</f>
        <v>0</v>
      </c>
      <c r="DJ478" s="18" t="b">
        <f>RecData[[#This Row],[Overall (dBA)]]&gt;$DS$2</f>
        <v>0</v>
      </c>
      <c r="DK478" s="18" t="b">
        <f>RecData[[#This Row],[Overall (dBA)]]&lt;$DS$3</f>
        <v>0</v>
      </c>
      <c r="DL4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8" s="2">
        <f>IF(AND(RecData[[#This Row],[Turbines ON/OFF]] = "OFF", NOT(OR(RecData[[#This Row],[Junk?]]="YES",RecData[[#This Row],[Gust?]],RecData[[#This Row],[Rain?]:[Min SPL Threshold?]]))),1,0)</f>
        <v>0</v>
      </c>
      <c r="DN478" s="16">
        <f>RecData[[#This Row],[dBA Sum]]</f>
        <v>39.308333616453474</v>
      </c>
      <c r="DO478" s="16">
        <f>RecData[[#This Row],[LAF90.0]]</f>
        <v>38.799999999999997</v>
      </c>
      <c r="DP478" s="55">
        <f>IF(AND(RecData[[#This Row],[Useable TON Data?]],RecData[[#This Row],[Turbines ON/OFF]]="ON"),RecData[[#This Row],[dBA Sum]],"")</f>
        <v>39.308333616453474</v>
      </c>
      <c r="DQ478" s="55" t="str">
        <f>IF(AND(RecData[[#This Row],[Useable Background Data?]],RecData[[#This Row],[Turbines ON/OFF]]="OFF"),RecData[[#This Row],[dBA Sum]],"")</f>
        <v/>
      </c>
      <c r="DR478" s="3">
        <f>IF(OR(RecData[[#This Row],[Useable TON Data?]],RecData[[#This Row],[Useable Background Data?]]),ROUND(RecData[[#This Row],[WSpd_Avg '[m/s']]],0),"")</f>
        <v>1</v>
      </c>
      <c r="DS478" s="85">
        <f>(0.00002)^2*(10^(RecData[[#This Row],[Overall (dBA)]]/10))</f>
        <v>3.4110913726203638E-6</v>
      </c>
    </row>
    <row r="479" spans="1:123" ht="15" x14ac:dyDescent="0.25">
      <c r="A479" s="3" t="s">
        <v>249</v>
      </c>
      <c r="B479" s="12">
        <v>43270.025000000001</v>
      </c>
      <c r="C479" s="3"/>
      <c r="D479" s="3">
        <v>40.700000000000003</v>
      </c>
      <c r="E479" s="3"/>
      <c r="F479" s="3"/>
      <c r="G479" s="3"/>
      <c r="H479" s="3"/>
      <c r="I479" s="3"/>
      <c r="J479" s="3"/>
      <c r="K479" s="3">
        <v>38.9</v>
      </c>
      <c r="L479" s="3"/>
      <c r="M479" s="3"/>
      <c r="N479" s="3">
        <v>82.3</v>
      </c>
      <c r="O479" s="3"/>
      <c r="P479" s="3"/>
      <c r="Q479" s="3">
        <v>1.51</v>
      </c>
      <c r="R479" s="3">
        <v>0.5</v>
      </c>
      <c r="S479" s="3">
        <v>2.5</v>
      </c>
      <c r="T479" s="3">
        <v>16.899999999999999</v>
      </c>
      <c r="U479" s="3">
        <v>61.3</v>
      </c>
      <c r="V479" s="3">
        <v>972.6</v>
      </c>
      <c r="W479" s="3">
        <v>0</v>
      </c>
      <c r="X479" s="3">
        <v>48</v>
      </c>
      <c r="Y479" s="3">
        <v>47.6</v>
      </c>
      <c r="Z479" s="3">
        <v>46.2</v>
      </c>
      <c r="AA479" s="3">
        <v>40.700000000000003</v>
      </c>
      <c r="AB479" s="3">
        <v>38</v>
      </c>
      <c r="AC479" s="3">
        <v>38.200000000000003</v>
      </c>
      <c r="AD479" s="3">
        <v>41.3</v>
      </c>
      <c r="AE479" s="3">
        <v>42</v>
      </c>
      <c r="AF479" s="3">
        <v>42.8</v>
      </c>
      <c r="AG479" s="3">
        <v>36.700000000000003</v>
      </c>
      <c r="AH479" s="3">
        <v>37.6</v>
      </c>
      <c r="AI479" s="3">
        <v>36.4</v>
      </c>
      <c r="AJ479" s="3">
        <v>35.9</v>
      </c>
      <c r="AK479" s="3">
        <v>34.1</v>
      </c>
      <c r="AL479" s="3">
        <v>32.1</v>
      </c>
      <c r="AM479" s="3">
        <v>31.6</v>
      </c>
      <c r="AN479" s="3">
        <v>30.6</v>
      </c>
      <c r="AO479" s="3">
        <v>28.3</v>
      </c>
      <c r="AP479" s="3">
        <v>26.9</v>
      </c>
      <c r="AQ479" s="3">
        <v>26.3</v>
      </c>
      <c r="AR479" s="3">
        <v>26.1</v>
      </c>
      <c r="AS479" s="3">
        <v>26.7</v>
      </c>
      <c r="AT479" s="3">
        <v>30.8</v>
      </c>
      <c r="AU479" s="3">
        <v>24.3</v>
      </c>
      <c r="AV479" s="3">
        <v>23</v>
      </c>
      <c r="AW479" s="3">
        <v>21.9</v>
      </c>
      <c r="AX479" s="3">
        <v>17.600000000000001</v>
      </c>
      <c r="AY479" s="3">
        <v>15.2</v>
      </c>
      <c r="AZ479" s="3">
        <v>0</v>
      </c>
      <c r="BA479" s="3">
        <v>0</v>
      </c>
      <c r="BB479" s="3">
        <v>0</v>
      </c>
      <c r="BC479" s="3">
        <v>40.677930878211882</v>
      </c>
      <c r="BD479" s="3">
        <v>48.022069121788121</v>
      </c>
      <c r="BE479" s="3">
        <v>47.62206912178813</v>
      </c>
      <c r="BF479" s="3">
        <v>44.982069121788115</v>
      </c>
      <c r="BG479" s="3">
        <v>39.808735788454797</v>
      </c>
      <c r="BH479" s="3">
        <v>37.248735788454795</v>
      </c>
      <c r="BI479" s="3">
        <v>37.862069121788124</v>
      </c>
      <c r="BJ479" s="3">
        <v>41.755402455121455</v>
      </c>
      <c r="BK479" s="3">
        <v>42.328735788454779</v>
      </c>
      <c r="BL479" s="3">
        <v>42.702069121788114</v>
      </c>
      <c r="BM479" s="3">
        <v>36.735402455121459</v>
      </c>
      <c r="BN479" s="3">
        <v>37.918735788454782</v>
      </c>
      <c r="BO479" s="3">
        <v>36.085402455121454</v>
      </c>
      <c r="BP479" s="3">
        <v>35.302069121788122</v>
      </c>
      <c r="BQ479" s="3">
        <v>33.918735788454782</v>
      </c>
      <c r="BR479" s="3">
        <v>32.245402455121464</v>
      </c>
      <c r="BS479" s="3">
        <v>31.548735788454792</v>
      </c>
      <c r="BT479" s="3">
        <v>30.745402455121464</v>
      </c>
      <c r="BU479" s="3">
        <v>28.412069121788122</v>
      </c>
      <c r="BV479" s="3">
        <v>26.728735788454784</v>
      </c>
      <c r="BW479" s="3">
        <v>26.662069121788122</v>
      </c>
      <c r="BX479" s="3">
        <v>26.38206912178812</v>
      </c>
      <c r="BY479" s="3">
        <v>26.802069121788122</v>
      </c>
      <c r="BZ479" s="3">
        <v>31.032069121788126</v>
      </c>
      <c r="CA479" s="3">
        <v>24.63206912178812</v>
      </c>
      <c r="CB479" s="3">
        <v>22.768735788454791</v>
      </c>
      <c r="CC479" s="3">
        <v>21.88206912178812</v>
      </c>
      <c r="CD479" s="3">
        <v>16.888735788454795</v>
      </c>
      <c r="CE479" s="3">
        <v>14.682069121788118</v>
      </c>
      <c r="CF479" s="3">
        <v>-0.90459754487854838</v>
      </c>
      <c r="CG479" s="3">
        <v>-1.4379308782118798</v>
      </c>
      <c r="CH479" s="3">
        <v>-2.5145975448785478</v>
      </c>
      <c r="CI479" s="13">
        <f>[1]!dbasum(RecData[[#This Row],[20]:[2000]],RecData[[#Headers],[20]:[2000]])</f>
        <v>39.391474969851998</v>
      </c>
      <c r="CJ479" s="14">
        <v>8213</v>
      </c>
      <c r="CK479" s="15" t="s">
        <v>249</v>
      </c>
      <c r="CL479" s="15">
        <f>RecData[[#This Row],[Start Time]]</f>
        <v>43270.025000000001</v>
      </c>
      <c r="CM479" s="16">
        <f>RecData[[#This Row],[Wind Speed avg]]</f>
        <v>1.51</v>
      </c>
      <c r="CN479" s="16">
        <f>RecData[[#This Row],[Wind Dir. avg]]</f>
        <v>82.3</v>
      </c>
      <c r="CO479" s="16">
        <f>RecData[[#This Row],[Amb. Humidity]]</f>
        <v>61.3</v>
      </c>
      <c r="CP479" s="16">
        <f>RecData[[#This Row],[Amb. Temperature]]</f>
        <v>16.899999999999999</v>
      </c>
      <c r="CQ479" s="17">
        <f>RecData[[#This Row],[Amb. Rain Gauge]]</f>
        <v>0</v>
      </c>
      <c r="CR479" s="4" t="s">
        <v>1</v>
      </c>
      <c r="CS479" s="4" t="s">
        <v>49</v>
      </c>
      <c r="CT479" s="70">
        <v>1613.3720703125</v>
      </c>
      <c r="CU479" s="70">
        <v>21.000179290771399</v>
      </c>
      <c r="CV479" s="70">
        <v>11.108592987060501</v>
      </c>
      <c r="CW479" s="70">
        <v>15.2813158035278</v>
      </c>
      <c r="CX479" s="4"/>
      <c r="CY479" s="69"/>
      <c r="CZ479" s="2" t="b">
        <f>IF($DP$1="YES",IF(RecData[[#This Row],[Power (kW)]]&gt;=$CR$3, TRUE,FALSE),TRUE)</f>
        <v>1</v>
      </c>
      <c r="DA479" s="16">
        <f>MIN(MOD(180-ABS(ABS($DA$1-RecData[Yaw Angle (°)])-180),360),MOD(180-ABS(ABS($DB$1-RecData[Yaw Angle (°)])-180),360))</f>
        <v>13.470252513083835</v>
      </c>
      <c r="DB479" s="2" t="str">
        <f>IF($DP$2="None","None",IF(RecData[[#This Row],[Relative Wind Direction]]&lt;=45,"DW",IF(RecData[[#This Row],[Relative Wind Direction]]&lt;=135,"CW","UW")))</f>
        <v>DW</v>
      </c>
      <c r="DC479" s="61">
        <f>IF($CL479-$CL475&gt;1/24,#REF!,IF(SUM($CQ475:$CQ479)&gt;$DS$1,$DS$5,DC480-1))</f>
        <v>-6</v>
      </c>
      <c r="DD479" s="61">
        <f>IF($CL480-$CL479&gt;1/24,#REF!,IF(SUM($CQ475:$CQ479)&gt;$DS$1,$DS$6,DD478-1))</f>
        <v>-5</v>
      </c>
      <c r="DE479" s="18" t="b">
        <v>0</v>
      </c>
      <c r="DF479" s="2" t="b">
        <f>IF(OR(RecData[[#This Row],[WSpd_Avg '[m/s']]]-RecData[[#This Row],[Wind Speed min]]&gt;=$DF$3,RecData[[#This Row],[Wind Speed max]]-RecData[[#This Row],[WSpd_Avg '[m/s']]]&gt;=$DF$2),TRUE,FALSE)</f>
        <v>0</v>
      </c>
      <c r="DG479" s="2" t="b">
        <f>RecData[[#This Row],[Temperature '[°C']]]&lt;=-20</f>
        <v>0</v>
      </c>
      <c r="DH479" s="18" t="b">
        <f>NOT(OR(MOD(RecData[[#This Row],[TIMESTAMP]],1)&gt;0.91632,MOD(RecData[[#This Row],[TIMESTAMP]],1)&lt;0.208681))</f>
        <v>0</v>
      </c>
      <c r="DI479" s="18" t="b">
        <f>RecData[[#This Row],[Overall (dBA)]]-RecData[[#This Row],[L90]]&gt;=$DS$4</f>
        <v>0</v>
      </c>
      <c r="DJ479" s="18" t="b">
        <f>RecData[[#This Row],[Overall (dBA)]]&gt;$DS$2</f>
        <v>0</v>
      </c>
      <c r="DK479" s="18" t="b">
        <f>RecData[[#This Row],[Overall (dBA)]]&lt;$DS$3</f>
        <v>0</v>
      </c>
      <c r="DL4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79" s="2">
        <f>IF(AND(RecData[[#This Row],[Turbines ON/OFF]] = "OFF", NOT(OR(RecData[[#This Row],[Junk?]]="YES",RecData[[#This Row],[Gust?]],RecData[[#This Row],[Rain?]:[Min SPL Threshold?]]))),1,0)</f>
        <v>0</v>
      </c>
      <c r="DN479" s="16">
        <f>RecData[[#This Row],[dBA Sum]]</f>
        <v>39.391474969851998</v>
      </c>
      <c r="DO479" s="16">
        <f>RecData[[#This Row],[LAF90.0]]</f>
        <v>38.9</v>
      </c>
      <c r="DP479" s="55">
        <f>IF(AND(RecData[[#This Row],[Useable TON Data?]],RecData[[#This Row],[Turbines ON/OFF]]="ON"),RecData[[#This Row],[dBA Sum]],"")</f>
        <v>39.391474969851998</v>
      </c>
      <c r="DQ479" s="55" t="str">
        <f>IF(AND(RecData[[#This Row],[Useable Background Data?]],RecData[[#This Row],[Turbines ON/OFF]]="OFF"),RecData[[#This Row],[dBA Sum]],"")</f>
        <v/>
      </c>
      <c r="DR479" s="3">
        <f>IF(OR(RecData[[#This Row],[Useable TON Data?]],RecData[[#This Row],[Useable Background Data?]]),ROUND(RecData[[#This Row],[WSpd_Avg '[m/s']]],0),"")</f>
        <v>2</v>
      </c>
      <c r="DS479" s="85">
        <f>(0.00002)^2*(10^(RecData[[#This Row],[Overall (dBA)]]/10))</f>
        <v>3.4770223981443756E-6</v>
      </c>
    </row>
    <row r="480" spans="1:123" ht="15" x14ac:dyDescent="0.25">
      <c r="A480" s="3" t="s">
        <v>249</v>
      </c>
      <c r="B480" s="12">
        <v>43270.025694444441</v>
      </c>
      <c r="C480" s="3"/>
      <c r="D480" s="3">
        <v>39.799999999999997</v>
      </c>
      <c r="E480" s="3"/>
      <c r="F480" s="3"/>
      <c r="G480" s="3"/>
      <c r="H480" s="3"/>
      <c r="I480" s="3"/>
      <c r="J480" s="3"/>
      <c r="K480" s="3">
        <v>38.700000000000003</v>
      </c>
      <c r="L480" s="3"/>
      <c r="M480" s="3"/>
      <c r="N480" s="3">
        <v>172.5</v>
      </c>
      <c r="O480" s="3"/>
      <c r="P480" s="3"/>
      <c r="Q480" s="3">
        <v>1.19</v>
      </c>
      <c r="R480" s="3">
        <v>0.1</v>
      </c>
      <c r="S480" s="3">
        <v>2.6</v>
      </c>
      <c r="T480" s="3">
        <v>17</v>
      </c>
      <c r="U480" s="3">
        <v>61.3</v>
      </c>
      <c r="V480" s="3">
        <v>972.6</v>
      </c>
      <c r="W480" s="3">
        <v>0</v>
      </c>
      <c r="X480" s="3">
        <v>48</v>
      </c>
      <c r="Y480" s="3">
        <v>47.8</v>
      </c>
      <c r="Z480" s="3">
        <v>46.9</v>
      </c>
      <c r="AA480" s="3">
        <v>42.1</v>
      </c>
      <c r="AB480" s="3">
        <v>37.700000000000003</v>
      </c>
      <c r="AC480" s="3">
        <v>36.6</v>
      </c>
      <c r="AD480" s="3">
        <v>39.200000000000003</v>
      </c>
      <c r="AE480" s="3">
        <v>41.2</v>
      </c>
      <c r="AF480" s="3">
        <v>43.5</v>
      </c>
      <c r="AG480" s="3">
        <v>36.9</v>
      </c>
      <c r="AH480" s="3">
        <v>36.700000000000003</v>
      </c>
      <c r="AI480" s="3">
        <v>36.5</v>
      </c>
      <c r="AJ480" s="3">
        <v>35.6</v>
      </c>
      <c r="AK480" s="3">
        <v>33.799999999999997</v>
      </c>
      <c r="AL480" s="3">
        <v>31.9</v>
      </c>
      <c r="AM480" s="3">
        <v>31.5</v>
      </c>
      <c r="AN480" s="3">
        <v>30.4</v>
      </c>
      <c r="AO480" s="3">
        <v>27.9</v>
      </c>
      <c r="AP480" s="3">
        <v>26</v>
      </c>
      <c r="AQ480" s="3">
        <v>24.6</v>
      </c>
      <c r="AR480" s="3">
        <v>22.9</v>
      </c>
      <c r="AS480" s="3">
        <v>22.2</v>
      </c>
      <c r="AT480" s="3">
        <v>30.2</v>
      </c>
      <c r="AU480" s="3">
        <v>18</v>
      </c>
      <c r="AV480" s="3">
        <v>15.8</v>
      </c>
      <c r="AW480" s="3">
        <v>14.8</v>
      </c>
      <c r="AX480" s="3">
        <v>11.6</v>
      </c>
      <c r="AY480" s="3">
        <v>10.7</v>
      </c>
      <c r="AZ480" s="3">
        <v>0</v>
      </c>
      <c r="BA480" s="3">
        <v>0</v>
      </c>
      <c r="BB480" s="3">
        <v>0</v>
      </c>
      <c r="BC480" s="3">
        <v>39.820742887584963</v>
      </c>
      <c r="BD480" s="3">
        <v>47.979257112415034</v>
      </c>
      <c r="BE480" s="3">
        <v>47.779257112415031</v>
      </c>
      <c r="BF480" s="3">
        <v>45.639257112415031</v>
      </c>
      <c r="BG480" s="3">
        <v>41.165923779081702</v>
      </c>
      <c r="BH480" s="3">
        <v>36.905923779081697</v>
      </c>
      <c r="BI480" s="3">
        <v>36.219257112415029</v>
      </c>
      <c r="BJ480" s="3">
        <v>39.612590445748374</v>
      </c>
      <c r="BK480" s="3">
        <v>41.485923779081709</v>
      </c>
      <c r="BL480" s="3">
        <v>43.359257112415044</v>
      </c>
      <c r="BM480" s="3">
        <v>36.892590445748375</v>
      </c>
      <c r="BN480" s="3">
        <v>36.975923779081704</v>
      </c>
      <c r="BO480" s="3">
        <v>36.142590445748375</v>
      </c>
      <c r="BP480" s="3">
        <v>34.959257112415038</v>
      </c>
      <c r="BQ480" s="3">
        <v>33.575923779081684</v>
      </c>
      <c r="BR480" s="3">
        <v>32.002590445748361</v>
      </c>
      <c r="BS480" s="3">
        <v>31.405923779081697</v>
      </c>
      <c r="BT480" s="3">
        <v>30.502590445748361</v>
      </c>
      <c r="BU480" s="3">
        <v>27.969257112415029</v>
      </c>
      <c r="BV480" s="3">
        <v>25.785923779081706</v>
      </c>
      <c r="BW480" s="3">
        <v>24.919257112415046</v>
      </c>
      <c r="BX480" s="3">
        <v>23.139257112415038</v>
      </c>
      <c r="BY480" s="3">
        <v>22.259257112415035</v>
      </c>
      <c r="BZ480" s="3">
        <v>30.389257112415045</v>
      </c>
      <c r="CA480" s="3">
        <v>18.289257112415022</v>
      </c>
      <c r="CB480" s="3">
        <v>15.525923779081701</v>
      </c>
      <c r="CC480" s="3">
        <v>14.739257112415032</v>
      </c>
      <c r="CD480" s="3">
        <v>10.845923779081708</v>
      </c>
      <c r="CE480" s="3">
        <v>10.139257112415031</v>
      </c>
      <c r="CF480" s="3">
        <v>-0.9474095542516352</v>
      </c>
      <c r="CG480" s="3">
        <v>-1.4807428875849666</v>
      </c>
      <c r="CH480" s="3">
        <v>-2.5574095542516346</v>
      </c>
      <c r="CI480" s="13">
        <f>[1]!dbasum(RecData[[#This Row],[20]:[2000]],RecData[[#Headers],[20]:[2000]])</f>
        <v>38.863917014636741</v>
      </c>
      <c r="CJ480" s="14">
        <v>8214</v>
      </c>
      <c r="CK480" s="15" t="s">
        <v>249</v>
      </c>
      <c r="CL480" s="15">
        <f>RecData[[#This Row],[Start Time]]</f>
        <v>43270.025694444441</v>
      </c>
      <c r="CM480" s="16">
        <f>RecData[[#This Row],[Wind Speed avg]]</f>
        <v>1.19</v>
      </c>
      <c r="CN480" s="16">
        <f>RecData[[#This Row],[Wind Dir. avg]]</f>
        <v>172.5</v>
      </c>
      <c r="CO480" s="16">
        <f>RecData[[#This Row],[Amb. Humidity]]</f>
        <v>61.3</v>
      </c>
      <c r="CP480" s="16">
        <f>RecData[[#This Row],[Amb. Temperature]]</f>
        <v>17</v>
      </c>
      <c r="CQ480" s="17">
        <f>RecData[[#This Row],[Amb. Rain Gauge]]</f>
        <v>0</v>
      </c>
      <c r="CR480" s="4" t="s">
        <v>1</v>
      </c>
      <c r="CS480" s="4" t="s">
        <v>49</v>
      </c>
      <c r="CT480" s="70">
        <v>1613.3720703125</v>
      </c>
      <c r="CU480" s="70">
        <v>21.000179290771399</v>
      </c>
      <c r="CV480" s="70">
        <v>11.108592987060501</v>
      </c>
      <c r="CW480" s="70">
        <v>15.2813158035278</v>
      </c>
      <c r="CX480" s="4"/>
      <c r="CY480" s="69"/>
      <c r="CZ480" s="2" t="b">
        <f>IF($DP$1="YES",IF(RecData[[#This Row],[Power (kW)]]&gt;=$CR$3, TRUE,FALSE),TRUE)</f>
        <v>1</v>
      </c>
      <c r="DA480" s="16">
        <f>MIN(MOD(180-ABS(ABS($DA$1-RecData[Yaw Angle (°)])-180),360),MOD(180-ABS(ABS($DB$1-RecData[Yaw Angle (°)])-180),360))</f>
        <v>13.470252513083835</v>
      </c>
      <c r="DB480" s="2" t="str">
        <f>IF($DP$2="None","None",IF(RecData[[#This Row],[Relative Wind Direction]]&lt;=45,"DW",IF(RecData[[#This Row],[Relative Wind Direction]]&lt;=135,"CW","UW")))</f>
        <v>DW</v>
      </c>
      <c r="DC480" s="61">
        <f>IF($CL480-$CL476&gt;1/24,#REF!,IF(SUM($CQ476:$CQ480)&gt;$DS$1,$DS$5,DC481-1))</f>
        <v>-5</v>
      </c>
      <c r="DD480" s="61">
        <f>IF($CL481-$CL480&gt;1/24,#REF!,IF(SUM($CQ476:$CQ480)&gt;$DS$1,$DS$6,DD479-1))</f>
        <v>-6</v>
      </c>
      <c r="DE480" s="18" t="b">
        <v>0</v>
      </c>
      <c r="DF480" s="2" t="b">
        <f>IF(OR(RecData[[#This Row],[WSpd_Avg '[m/s']]]-RecData[[#This Row],[Wind Speed min]]&gt;=$DF$3,RecData[[#This Row],[Wind Speed max]]-RecData[[#This Row],[WSpd_Avg '[m/s']]]&gt;=$DF$2),TRUE,FALSE)</f>
        <v>0</v>
      </c>
      <c r="DG480" s="2" t="b">
        <f>RecData[[#This Row],[Temperature '[°C']]]&lt;=-20</f>
        <v>0</v>
      </c>
      <c r="DH480" s="18" t="b">
        <f>NOT(OR(MOD(RecData[[#This Row],[TIMESTAMP]],1)&gt;0.91632,MOD(RecData[[#This Row],[TIMESTAMP]],1)&lt;0.208681))</f>
        <v>0</v>
      </c>
      <c r="DI480" s="18" t="b">
        <f>RecData[[#This Row],[Overall (dBA)]]-RecData[[#This Row],[L90]]&gt;=$DS$4</f>
        <v>0</v>
      </c>
      <c r="DJ480" s="18" t="b">
        <f>RecData[[#This Row],[Overall (dBA)]]&gt;$DS$2</f>
        <v>0</v>
      </c>
      <c r="DK480" s="18" t="b">
        <f>RecData[[#This Row],[Overall (dBA)]]&lt;$DS$3</f>
        <v>0</v>
      </c>
      <c r="DL4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0" s="2">
        <f>IF(AND(RecData[[#This Row],[Turbines ON/OFF]] = "OFF", NOT(OR(RecData[[#This Row],[Junk?]]="YES",RecData[[#This Row],[Gust?]],RecData[[#This Row],[Rain?]:[Min SPL Threshold?]]))),1,0)</f>
        <v>0</v>
      </c>
      <c r="DN480" s="16">
        <f>RecData[[#This Row],[dBA Sum]]</f>
        <v>38.863917014636741</v>
      </c>
      <c r="DO480" s="16">
        <f>RecData[[#This Row],[LAF90.0]]</f>
        <v>38.700000000000003</v>
      </c>
      <c r="DP480" s="55">
        <f>IF(AND(RecData[[#This Row],[Useable TON Data?]],RecData[[#This Row],[Turbines ON/OFF]]="ON"),RecData[[#This Row],[dBA Sum]],"")</f>
        <v>38.863917014636741</v>
      </c>
      <c r="DQ480" s="55" t="str">
        <f>IF(AND(RecData[[#This Row],[Useable Background Data?]],RecData[[#This Row],[Turbines ON/OFF]]="OFF"),RecData[[#This Row],[dBA Sum]],"")</f>
        <v/>
      </c>
      <c r="DR480" s="3">
        <f>IF(OR(RecData[[#This Row],[Useable TON Data?]],RecData[[#This Row],[Useable Background Data?]]),ROUND(RecData[[#This Row],[WSpd_Avg '[m/s']]],0),"")</f>
        <v>1</v>
      </c>
      <c r="DS480" s="85">
        <f>(0.00002)^2*(10^(RecData[[#This Row],[Overall (dBA)]]/10))</f>
        <v>3.0792978076681418E-6</v>
      </c>
    </row>
    <row r="481" spans="1:123" ht="15" x14ac:dyDescent="0.25">
      <c r="A481" s="3" t="s">
        <v>249</v>
      </c>
      <c r="B481" s="12">
        <v>43270.026388888888</v>
      </c>
      <c r="C481" s="3"/>
      <c r="D481" s="3">
        <v>39.299999999999997</v>
      </c>
      <c r="E481" s="3"/>
      <c r="F481" s="3"/>
      <c r="G481" s="3"/>
      <c r="H481" s="3"/>
      <c r="I481" s="3"/>
      <c r="J481" s="3"/>
      <c r="K481" s="3">
        <v>37.5</v>
      </c>
      <c r="L481" s="3"/>
      <c r="M481" s="3"/>
      <c r="N481" s="3">
        <v>96.3</v>
      </c>
      <c r="O481" s="3"/>
      <c r="P481" s="3"/>
      <c r="Q481" s="3">
        <v>0.69</v>
      </c>
      <c r="R481" s="3">
        <v>0.1</v>
      </c>
      <c r="S481" s="3">
        <v>1.6</v>
      </c>
      <c r="T481" s="3">
        <v>17.100000000000001</v>
      </c>
      <c r="U481" s="3">
        <v>61.5</v>
      </c>
      <c r="V481" s="3">
        <v>972.6</v>
      </c>
      <c r="W481" s="3">
        <v>0</v>
      </c>
      <c r="X481" s="3">
        <v>47.2</v>
      </c>
      <c r="Y481" s="3">
        <v>46.9</v>
      </c>
      <c r="Z481" s="3">
        <v>46.4</v>
      </c>
      <c r="AA481" s="3">
        <v>41</v>
      </c>
      <c r="AB481" s="3">
        <v>37</v>
      </c>
      <c r="AC481" s="3">
        <v>35.6</v>
      </c>
      <c r="AD481" s="3">
        <v>37.9</v>
      </c>
      <c r="AE481" s="3">
        <v>40</v>
      </c>
      <c r="AF481" s="3">
        <v>43</v>
      </c>
      <c r="AG481" s="3">
        <v>36.700000000000003</v>
      </c>
      <c r="AH481" s="3">
        <v>36</v>
      </c>
      <c r="AI481" s="3">
        <v>36.1</v>
      </c>
      <c r="AJ481" s="3">
        <v>35.1</v>
      </c>
      <c r="AK481" s="3">
        <v>33.5</v>
      </c>
      <c r="AL481" s="3">
        <v>31.7</v>
      </c>
      <c r="AM481" s="3">
        <v>31.2</v>
      </c>
      <c r="AN481" s="3">
        <v>29.8</v>
      </c>
      <c r="AO481" s="3">
        <v>27.2</v>
      </c>
      <c r="AP481" s="3">
        <v>25.5</v>
      </c>
      <c r="AQ481" s="3">
        <v>24.2</v>
      </c>
      <c r="AR481" s="3">
        <v>22.8</v>
      </c>
      <c r="AS481" s="3">
        <v>22.3</v>
      </c>
      <c r="AT481" s="3">
        <v>28.9</v>
      </c>
      <c r="AU481" s="3">
        <v>17.899999999999999</v>
      </c>
      <c r="AV481" s="3">
        <v>16</v>
      </c>
      <c r="AW481" s="3">
        <v>15.1</v>
      </c>
      <c r="AX481" s="3">
        <v>11.7</v>
      </c>
      <c r="AY481" s="3">
        <v>10.4</v>
      </c>
      <c r="AZ481" s="3">
        <v>0</v>
      </c>
      <c r="BA481" s="3">
        <v>0</v>
      </c>
      <c r="BB481" s="3">
        <v>0</v>
      </c>
      <c r="BC481" s="3">
        <v>39.284624653322417</v>
      </c>
      <c r="BD481" s="3">
        <v>47.215375346677583</v>
      </c>
      <c r="BE481" s="3">
        <v>46.915375346677571</v>
      </c>
      <c r="BF481" s="3">
        <v>45.175375346677576</v>
      </c>
      <c r="BG481" s="3">
        <v>40.102042013344239</v>
      </c>
      <c r="BH481" s="3">
        <v>36.242042013344253</v>
      </c>
      <c r="BI481" s="3">
        <v>35.255375346677575</v>
      </c>
      <c r="BJ481" s="3">
        <v>38.348708680010908</v>
      </c>
      <c r="BK481" s="3">
        <v>40.322042013344237</v>
      </c>
      <c r="BL481" s="3">
        <v>42.895375346677589</v>
      </c>
      <c r="BM481" s="3">
        <v>36.728708680010918</v>
      </c>
      <c r="BN481" s="3">
        <v>36.312042013344247</v>
      </c>
      <c r="BO481" s="3">
        <v>35.778708680010915</v>
      </c>
      <c r="BP481" s="3">
        <v>34.495375346677584</v>
      </c>
      <c r="BQ481" s="3">
        <v>33.312042013344247</v>
      </c>
      <c r="BR481" s="3">
        <v>31.838708680010917</v>
      </c>
      <c r="BS481" s="3">
        <v>31.142042013344245</v>
      </c>
      <c r="BT481" s="3">
        <v>29.938708680010912</v>
      </c>
      <c r="BU481" s="3">
        <v>27.305375346677586</v>
      </c>
      <c r="BV481" s="3">
        <v>25.322042013344252</v>
      </c>
      <c r="BW481" s="3">
        <v>24.555375346677586</v>
      </c>
      <c r="BX481" s="3">
        <v>23.075375346677582</v>
      </c>
      <c r="BY481" s="3">
        <v>22.395375346677575</v>
      </c>
      <c r="BZ481" s="3">
        <v>29.125375346677579</v>
      </c>
      <c r="CA481" s="3">
        <v>18.225375346677573</v>
      </c>
      <c r="CB481" s="3">
        <v>15.762042013344242</v>
      </c>
      <c r="CC481" s="3">
        <v>15.075375346677582</v>
      </c>
      <c r="CD481" s="3">
        <v>10.982042013344248</v>
      </c>
      <c r="CE481" s="3">
        <v>9.8753753466775791</v>
      </c>
      <c r="CF481" s="3">
        <v>-0.91129131998908974</v>
      </c>
      <c r="CG481" s="3">
        <v>-1.4446246533224212</v>
      </c>
      <c r="CH481" s="3">
        <v>-2.5212913199890892</v>
      </c>
      <c r="CI481" s="13">
        <f>[1]!dbasum(RecData[[#This Row],[20]:[2000]],RecData[[#Headers],[20]:[2000]])</f>
        <v>38.451517037781386</v>
      </c>
      <c r="CJ481" s="14">
        <v>8215</v>
      </c>
      <c r="CK481" s="15" t="s">
        <v>249</v>
      </c>
      <c r="CL481" s="15">
        <f>RecData[[#This Row],[Start Time]]</f>
        <v>43270.026388888888</v>
      </c>
      <c r="CM481" s="16">
        <f>RecData[[#This Row],[Wind Speed avg]]</f>
        <v>0.69</v>
      </c>
      <c r="CN481" s="16">
        <f>RecData[[#This Row],[Wind Dir. avg]]</f>
        <v>96.3</v>
      </c>
      <c r="CO481" s="16">
        <f>RecData[[#This Row],[Amb. Humidity]]</f>
        <v>61.5</v>
      </c>
      <c r="CP481" s="16">
        <f>RecData[[#This Row],[Amb. Temperature]]</f>
        <v>17.100000000000001</v>
      </c>
      <c r="CQ481" s="17">
        <f>RecData[[#This Row],[Amb. Rain Gauge]]</f>
        <v>0</v>
      </c>
      <c r="CR481" s="4" t="s">
        <v>1</v>
      </c>
      <c r="CS481" s="4" t="s">
        <v>49</v>
      </c>
      <c r="CT481" s="70">
        <v>1613.3720703125</v>
      </c>
      <c r="CU481" s="70">
        <v>21.000179290771399</v>
      </c>
      <c r="CV481" s="70">
        <v>11.108592987060501</v>
      </c>
      <c r="CW481" s="70">
        <v>15.2813158035278</v>
      </c>
      <c r="CX481" s="4"/>
      <c r="CY481" s="69"/>
      <c r="CZ481" s="2" t="b">
        <f>IF($DP$1="YES",IF(RecData[[#This Row],[Power (kW)]]&gt;=$CR$3, TRUE,FALSE),TRUE)</f>
        <v>1</v>
      </c>
      <c r="DA481" s="16">
        <f>MIN(MOD(180-ABS(ABS($DA$1-RecData[Yaw Angle (°)])-180),360),MOD(180-ABS(ABS($DB$1-RecData[Yaw Angle (°)])-180),360))</f>
        <v>13.470252513083835</v>
      </c>
      <c r="DB481" s="2" t="str">
        <f>IF($DP$2="None","None",IF(RecData[[#This Row],[Relative Wind Direction]]&lt;=45,"DW",IF(RecData[[#This Row],[Relative Wind Direction]]&lt;=135,"CW","UW")))</f>
        <v>DW</v>
      </c>
      <c r="DC481" s="61">
        <f>IF($CL481-$CL477&gt;1/24,#REF!,IF(SUM($CQ477:$CQ481)&gt;$DS$1,$DS$5,DC482-1))</f>
        <v>-4</v>
      </c>
      <c r="DD481" s="61">
        <f>IF($CL482-$CL481&gt;1/24,#REF!,IF(SUM($CQ477:$CQ481)&gt;$DS$1,$DS$6,DD480-1))</f>
        <v>-7</v>
      </c>
      <c r="DE481" s="18" t="b">
        <v>0</v>
      </c>
      <c r="DF481" s="2" t="b">
        <f>IF(OR(RecData[[#This Row],[WSpd_Avg '[m/s']]]-RecData[[#This Row],[Wind Speed min]]&gt;=$DF$3,RecData[[#This Row],[Wind Speed max]]-RecData[[#This Row],[WSpd_Avg '[m/s']]]&gt;=$DF$2),TRUE,FALSE)</f>
        <v>0</v>
      </c>
      <c r="DG481" s="2" t="b">
        <f>RecData[[#This Row],[Temperature '[°C']]]&lt;=-20</f>
        <v>0</v>
      </c>
      <c r="DH481" s="18" t="b">
        <f>NOT(OR(MOD(RecData[[#This Row],[TIMESTAMP]],1)&gt;0.91632,MOD(RecData[[#This Row],[TIMESTAMP]],1)&lt;0.208681))</f>
        <v>0</v>
      </c>
      <c r="DI481" s="18" t="b">
        <f>RecData[[#This Row],[Overall (dBA)]]-RecData[[#This Row],[L90]]&gt;=$DS$4</f>
        <v>0</v>
      </c>
      <c r="DJ481" s="18" t="b">
        <f>RecData[[#This Row],[Overall (dBA)]]&gt;$DS$2</f>
        <v>0</v>
      </c>
      <c r="DK481" s="18" t="b">
        <f>RecData[[#This Row],[Overall (dBA)]]&lt;$DS$3</f>
        <v>0</v>
      </c>
      <c r="DL4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1" s="2">
        <f>IF(AND(RecData[[#This Row],[Turbines ON/OFF]] = "OFF", NOT(OR(RecData[[#This Row],[Junk?]]="YES",RecData[[#This Row],[Gust?]],RecData[[#This Row],[Rain?]:[Min SPL Threshold?]]))),1,0)</f>
        <v>0</v>
      </c>
      <c r="DN481" s="16">
        <f>RecData[[#This Row],[dBA Sum]]</f>
        <v>38.451517037781386</v>
      </c>
      <c r="DO481" s="16">
        <f>RecData[[#This Row],[LAF90.0]]</f>
        <v>37.5</v>
      </c>
      <c r="DP481" s="55">
        <f>IF(AND(RecData[[#This Row],[Useable TON Data?]],RecData[[#This Row],[Turbines ON/OFF]]="ON"),RecData[[#This Row],[dBA Sum]],"")</f>
        <v>38.451517037781386</v>
      </c>
      <c r="DQ481" s="55" t="str">
        <f>IF(AND(RecData[[#This Row],[Useable Background Data?]],RecData[[#This Row],[Turbines ON/OFF]]="OFF"),RecData[[#This Row],[dBA Sum]],"")</f>
        <v/>
      </c>
      <c r="DR481" s="3">
        <f>IF(OR(RecData[[#This Row],[Useable TON Data?]],RecData[[#This Row],[Useable Background Data?]]),ROUND(RecData[[#This Row],[WSpd_Avg '[m/s']]],0),"")</f>
        <v>1</v>
      </c>
      <c r="DS481" s="85">
        <f>(0.00002)^2*(10^(RecData[[#This Row],[Overall (dBA)]]/10))</f>
        <v>2.8003460044483431E-6</v>
      </c>
    </row>
    <row r="482" spans="1:123" ht="15" x14ac:dyDescent="0.25">
      <c r="A482" s="3" t="s">
        <v>249</v>
      </c>
      <c r="B482" s="12">
        <v>43270.027083333334</v>
      </c>
      <c r="C482" s="3"/>
      <c r="D482" s="3">
        <v>40.200000000000003</v>
      </c>
      <c r="E482" s="3"/>
      <c r="F482" s="3"/>
      <c r="G482" s="3"/>
      <c r="H482" s="3"/>
      <c r="I482" s="3"/>
      <c r="J482" s="3"/>
      <c r="K482" s="3">
        <v>38.700000000000003</v>
      </c>
      <c r="L482" s="3"/>
      <c r="M482" s="3"/>
      <c r="N482" s="3">
        <v>168.4</v>
      </c>
      <c r="O482" s="3"/>
      <c r="P482" s="3"/>
      <c r="Q482" s="3">
        <v>1.02</v>
      </c>
      <c r="R482" s="3">
        <v>0.3</v>
      </c>
      <c r="S482" s="3">
        <v>2.2000000000000002</v>
      </c>
      <c r="T482" s="3">
        <v>17.100000000000001</v>
      </c>
      <c r="U482" s="3">
        <v>61.8</v>
      </c>
      <c r="V482" s="3">
        <v>972.6</v>
      </c>
      <c r="W482" s="3">
        <v>0</v>
      </c>
      <c r="X482" s="3">
        <v>46.8</v>
      </c>
      <c r="Y482" s="3">
        <v>48</v>
      </c>
      <c r="Z482" s="3">
        <v>46.4</v>
      </c>
      <c r="AA482" s="3">
        <v>41</v>
      </c>
      <c r="AB482" s="3">
        <v>37.799999999999997</v>
      </c>
      <c r="AC482" s="3">
        <v>37.299999999999997</v>
      </c>
      <c r="AD482" s="3">
        <v>40.200000000000003</v>
      </c>
      <c r="AE482" s="3">
        <v>42.1</v>
      </c>
      <c r="AF482" s="3">
        <v>43.8</v>
      </c>
      <c r="AG482" s="3">
        <v>37.4</v>
      </c>
      <c r="AH482" s="3">
        <v>37.700000000000003</v>
      </c>
      <c r="AI482" s="3">
        <v>36.4</v>
      </c>
      <c r="AJ482" s="3">
        <v>35.9</v>
      </c>
      <c r="AK482" s="3">
        <v>34</v>
      </c>
      <c r="AL482" s="3">
        <v>32.200000000000003</v>
      </c>
      <c r="AM482" s="3">
        <v>32.200000000000003</v>
      </c>
      <c r="AN482" s="3">
        <v>31.1</v>
      </c>
      <c r="AO482" s="3">
        <v>28.5</v>
      </c>
      <c r="AP482" s="3">
        <v>26.8</v>
      </c>
      <c r="AQ482" s="3">
        <v>24.9</v>
      </c>
      <c r="AR482" s="3">
        <v>23</v>
      </c>
      <c r="AS482" s="3">
        <v>23.5</v>
      </c>
      <c r="AT482" s="3">
        <v>30</v>
      </c>
      <c r="AU482" s="3">
        <v>19.100000000000001</v>
      </c>
      <c r="AV482" s="3">
        <v>17.8</v>
      </c>
      <c r="AW482" s="3">
        <v>17</v>
      </c>
      <c r="AX482" s="3">
        <v>13.5</v>
      </c>
      <c r="AY482" s="3">
        <v>12.1</v>
      </c>
      <c r="AZ482" s="3">
        <v>0</v>
      </c>
      <c r="BA482" s="3">
        <v>0</v>
      </c>
      <c r="BB482" s="3">
        <v>0</v>
      </c>
      <c r="BC482" s="3">
        <v>40.240229497723206</v>
      </c>
      <c r="BD482" s="3">
        <v>46.759770502276794</v>
      </c>
      <c r="BE482" s="3">
        <v>47.959770502276797</v>
      </c>
      <c r="BF482" s="3">
        <v>45.119770502276793</v>
      </c>
      <c r="BG482" s="3">
        <v>40.046437168943456</v>
      </c>
      <c r="BH482" s="3">
        <v>36.986437168943453</v>
      </c>
      <c r="BI482" s="3">
        <v>36.899770502276795</v>
      </c>
      <c r="BJ482" s="3">
        <v>40.593103835610137</v>
      </c>
      <c r="BK482" s="3">
        <v>42.366437168943463</v>
      </c>
      <c r="BL482" s="3">
        <v>43.639770502276789</v>
      </c>
      <c r="BM482" s="3">
        <v>37.373103835610138</v>
      </c>
      <c r="BN482" s="3">
        <v>37.956437168943467</v>
      </c>
      <c r="BO482" s="3">
        <v>36.023103835610129</v>
      </c>
      <c r="BP482" s="3">
        <v>35.239770502276798</v>
      </c>
      <c r="BQ482" s="3">
        <v>33.756437168943464</v>
      </c>
      <c r="BR482" s="3">
        <v>32.283103835610135</v>
      </c>
      <c r="BS482" s="3">
        <v>32.086437168943476</v>
      </c>
      <c r="BT482" s="3">
        <v>31.18310383561014</v>
      </c>
      <c r="BU482" s="3">
        <v>28.5497705022768</v>
      </c>
      <c r="BV482" s="3">
        <v>26.566437168943466</v>
      </c>
      <c r="BW482" s="3">
        <v>25.199770502276792</v>
      </c>
      <c r="BX482" s="3">
        <v>23.219770502276802</v>
      </c>
      <c r="BY482" s="3">
        <v>23.539770502276795</v>
      </c>
      <c r="BZ482" s="3">
        <v>30.169770502276805</v>
      </c>
      <c r="CA482" s="3">
        <v>19.369770502276793</v>
      </c>
      <c r="CB482" s="3">
        <v>17.506437168943464</v>
      </c>
      <c r="CC482" s="3">
        <v>16.919770502276791</v>
      </c>
      <c r="CD482" s="3">
        <v>12.72643716894347</v>
      </c>
      <c r="CE482" s="3">
        <v>11.519770502276799</v>
      </c>
      <c r="CF482" s="3">
        <v>-0.96689616438987258</v>
      </c>
      <c r="CG482" s="3">
        <v>-1.500229497723204</v>
      </c>
      <c r="CH482" s="3">
        <v>-2.576896164389872</v>
      </c>
      <c r="CI482" s="13">
        <f>[1]!dbasum(RecData[[#This Row],[20]:[2000]],RecData[[#Headers],[20]:[2000]])</f>
        <v>39.31624550969299</v>
      </c>
      <c r="CJ482" s="14">
        <v>8216</v>
      </c>
      <c r="CK482" s="15" t="s">
        <v>249</v>
      </c>
      <c r="CL482" s="15">
        <f>RecData[[#This Row],[Start Time]]</f>
        <v>43270.027083333334</v>
      </c>
      <c r="CM482" s="16">
        <f>RecData[[#This Row],[Wind Speed avg]]</f>
        <v>1.02</v>
      </c>
      <c r="CN482" s="16">
        <f>RecData[[#This Row],[Wind Dir. avg]]</f>
        <v>168.4</v>
      </c>
      <c r="CO482" s="16">
        <f>RecData[[#This Row],[Amb. Humidity]]</f>
        <v>61.8</v>
      </c>
      <c r="CP482" s="16">
        <f>RecData[[#This Row],[Amb. Temperature]]</f>
        <v>17.100000000000001</v>
      </c>
      <c r="CQ482" s="17">
        <f>RecData[[#This Row],[Amb. Rain Gauge]]</f>
        <v>0</v>
      </c>
      <c r="CR482" s="4" t="s">
        <v>1</v>
      </c>
      <c r="CS482" s="4" t="s">
        <v>49</v>
      </c>
      <c r="CT482" s="70">
        <v>1613.3720703125</v>
      </c>
      <c r="CU482" s="70">
        <v>21.000179290771399</v>
      </c>
      <c r="CV482" s="70">
        <v>11.108592987060501</v>
      </c>
      <c r="CW482" s="70">
        <v>15.2813158035278</v>
      </c>
      <c r="CX482" s="4"/>
      <c r="CY482" s="69"/>
      <c r="CZ482" s="2" t="b">
        <f>IF($DP$1="YES",IF(RecData[[#This Row],[Power (kW)]]&gt;=$CR$3, TRUE,FALSE),TRUE)</f>
        <v>1</v>
      </c>
      <c r="DA482" s="16">
        <f>MIN(MOD(180-ABS(ABS($DA$1-RecData[Yaw Angle (°)])-180),360),MOD(180-ABS(ABS($DB$1-RecData[Yaw Angle (°)])-180),360))</f>
        <v>13.470252513083835</v>
      </c>
      <c r="DB482" s="2" t="str">
        <f>IF($DP$2="None","None",IF(RecData[[#This Row],[Relative Wind Direction]]&lt;=45,"DW",IF(RecData[[#This Row],[Relative Wind Direction]]&lt;=135,"CW","UW")))</f>
        <v>DW</v>
      </c>
      <c r="DC482" s="61">
        <f>IF($CL482-$CL478&gt;1/24,#REF!,IF(SUM($CQ478:$CQ482)&gt;$DS$1,$DS$5,DC483-1))</f>
        <v>-3</v>
      </c>
      <c r="DD482" s="61">
        <f>IF($CL483-$CL482&gt;1/24,#REF!,IF(SUM($CQ478:$CQ482)&gt;$DS$1,$DS$6,DD481-1))</f>
        <v>-8</v>
      </c>
      <c r="DE482" s="18" t="b">
        <v>0</v>
      </c>
      <c r="DF482" s="2" t="b">
        <f>IF(OR(RecData[[#This Row],[WSpd_Avg '[m/s']]]-RecData[[#This Row],[Wind Speed min]]&gt;=$DF$3,RecData[[#This Row],[Wind Speed max]]-RecData[[#This Row],[WSpd_Avg '[m/s']]]&gt;=$DF$2),TRUE,FALSE)</f>
        <v>0</v>
      </c>
      <c r="DG482" s="2" t="b">
        <f>RecData[[#This Row],[Temperature '[°C']]]&lt;=-20</f>
        <v>0</v>
      </c>
      <c r="DH482" s="18" t="b">
        <f>NOT(OR(MOD(RecData[[#This Row],[TIMESTAMP]],1)&gt;0.91632,MOD(RecData[[#This Row],[TIMESTAMP]],1)&lt;0.208681))</f>
        <v>0</v>
      </c>
      <c r="DI482" s="18" t="b">
        <f>RecData[[#This Row],[Overall (dBA)]]-RecData[[#This Row],[L90]]&gt;=$DS$4</f>
        <v>0</v>
      </c>
      <c r="DJ482" s="18" t="b">
        <f>RecData[[#This Row],[Overall (dBA)]]&gt;$DS$2</f>
        <v>0</v>
      </c>
      <c r="DK482" s="18" t="b">
        <f>RecData[[#This Row],[Overall (dBA)]]&lt;$DS$3</f>
        <v>0</v>
      </c>
      <c r="DL4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2" s="2">
        <f>IF(AND(RecData[[#This Row],[Turbines ON/OFF]] = "OFF", NOT(OR(RecData[[#This Row],[Junk?]]="YES",RecData[[#This Row],[Gust?]],RecData[[#This Row],[Rain?]:[Min SPL Threshold?]]))),1,0)</f>
        <v>0</v>
      </c>
      <c r="DN482" s="16">
        <f>RecData[[#This Row],[dBA Sum]]</f>
        <v>39.31624550969299</v>
      </c>
      <c r="DO482" s="16">
        <f>RecData[[#This Row],[LAF90.0]]</f>
        <v>38.700000000000003</v>
      </c>
      <c r="DP482" s="55">
        <f>IF(AND(RecData[[#This Row],[Useable TON Data?]],RecData[[#This Row],[Turbines ON/OFF]]="ON"),RecData[[#This Row],[dBA Sum]],"")</f>
        <v>39.31624550969299</v>
      </c>
      <c r="DQ482" s="55" t="str">
        <f>IF(AND(RecData[[#This Row],[Useable Background Data?]],RecData[[#This Row],[Turbines ON/OFF]]="OFF"),RecData[[#This Row],[dBA Sum]],"")</f>
        <v/>
      </c>
      <c r="DR482" s="3">
        <f>IF(OR(RecData[[#This Row],[Useable TON Data?]],RecData[[#This Row],[Useable Background Data?]]),ROUND(RecData[[#This Row],[WSpd_Avg '[m/s']]],0),"")</f>
        <v>1</v>
      </c>
      <c r="DS482" s="85">
        <f>(0.00002)^2*(10^(RecData[[#This Row],[Overall (dBA)]]/10))</f>
        <v>3.4173112971449363E-6</v>
      </c>
    </row>
    <row r="483" spans="1:123" ht="15" x14ac:dyDescent="0.25">
      <c r="A483" s="3" t="s">
        <v>249</v>
      </c>
      <c r="B483" s="12">
        <v>43270.027777777781</v>
      </c>
      <c r="C483" s="3"/>
      <c r="D483" s="3">
        <v>38.700000000000003</v>
      </c>
      <c r="E483" s="3"/>
      <c r="F483" s="3"/>
      <c r="G483" s="3"/>
      <c r="H483" s="3"/>
      <c r="I483" s="3"/>
      <c r="J483" s="3"/>
      <c r="K483" s="3">
        <v>37.5</v>
      </c>
      <c r="L483" s="3"/>
      <c r="M483" s="3"/>
      <c r="N483" s="3">
        <v>179</v>
      </c>
      <c r="O483" s="3"/>
      <c r="P483" s="3"/>
      <c r="Q483" s="3">
        <v>0.96</v>
      </c>
      <c r="R483" s="3">
        <v>0.2</v>
      </c>
      <c r="S483" s="3">
        <v>2.2999999999999998</v>
      </c>
      <c r="T483" s="3">
        <v>17.100000000000001</v>
      </c>
      <c r="U483" s="3">
        <v>61.2</v>
      </c>
      <c r="V483" s="3">
        <v>972.6</v>
      </c>
      <c r="W483" s="3">
        <v>0</v>
      </c>
      <c r="X483" s="3">
        <v>46.4</v>
      </c>
      <c r="Y483" s="3">
        <v>47.7</v>
      </c>
      <c r="Z483" s="3">
        <v>46.2</v>
      </c>
      <c r="AA483" s="3">
        <v>40.299999999999997</v>
      </c>
      <c r="AB483" s="3">
        <v>36.5</v>
      </c>
      <c r="AC483" s="3">
        <v>35.6</v>
      </c>
      <c r="AD483" s="3">
        <v>38.700000000000003</v>
      </c>
      <c r="AE483" s="3">
        <v>40.6</v>
      </c>
      <c r="AF483" s="3">
        <v>42.3</v>
      </c>
      <c r="AG483" s="3">
        <v>35.700000000000003</v>
      </c>
      <c r="AH483" s="3">
        <v>35.9</v>
      </c>
      <c r="AI483" s="3">
        <v>35</v>
      </c>
      <c r="AJ483" s="3">
        <v>34.5</v>
      </c>
      <c r="AK483" s="3">
        <v>32.6</v>
      </c>
      <c r="AL483" s="3">
        <v>31</v>
      </c>
      <c r="AM483" s="3">
        <v>30.9</v>
      </c>
      <c r="AN483" s="3">
        <v>29.8</v>
      </c>
      <c r="AO483" s="3">
        <v>27.2</v>
      </c>
      <c r="AP483" s="3">
        <v>25.2</v>
      </c>
      <c r="AQ483" s="3">
        <v>23.7</v>
      </c>
      <c r="AR483" s="3">
        <v>21.5</v>
      </c>
      <c r="AS483" s="3">
        <v>20</v>
      </c>
      <c r="AT483" s="3">
        <v>28.2</v>
      </c>
      <c r="AU483" s="3">
        <v>15.7</v>
      </c>
      <c r="AV483" s="3">
        <v>14</v>
      </c>
      <c r="AW483" s="3">
        <v>13.3</v>
      </c>
      <c r="AX483" s="3">
        <v>10.9</v>
      </c>
      <c r="AY483" s="3">
        <v>10.3</v>
      </c>
      <c r="AZ483" s="3">
        <v>0</v>
      </c>
      <c r="BA483" s="3">
        <v>0</v>
      </c>
      <c r="BB483" s="3">
        <v>0</v>
      </c>
      <c r="BC483" s="3">
        <v>38.711835875724823</v>
      </c>
      <c r="BD483" s="3">
        <v>46.388164124275171</v>
      </c>
      <c r="BE483" s="3">
        <v>47.688164124275183</v>
      </c>
      <c r="BF483" s="3">
        <v>44.948164124275173</v>
      </c>
      <c r="BG483" s="3">
        <v>39.37483079094185</v>
      </c>
      <c r="BH483" s="3">
        <v>35.714830790941853</v>
      </c>
      <c r="BI483" s="3">
        <v>35.228164124275175</v>
      </c>
      <c r="BJ483" s="3">
        <v>39.12149745760852</v>
      </c>
      <c r="BK483" s="3">
        <v>40.894830790941846</v>
      </c>
      <c r="BL483" s="3">
        <v>42.168164124275172</v>
      </c>
      <c r="BM483" s="3">
        <v>35.701497457608518</v>
      </c>
      <c r="BN483" s="3">
        <v>36.184830790941852</v>
      </c>
      <c r="BO483" s="3">
        <v>34.651497457608521</v>
      </c>
      <c r="BP483" s="3">
        <v>33.868164124275189</v>
      </c>
      <c r="BQ483" s="3">
        <v>32.384830790941841</v>
      </c>
      <c r="BR483" s="3">
        <v>31.111497457608515</v>
      </c>
      <c r="BS483" s="3">
        <v>30.814830790941848</v>
      </c>
      <c r="BT483" s="3">
        <v>29.911497457608512</v>
      </c>
      <c r="BU483" s="3">
        <v>27.278164124275186</v>
      </c>
      <c r="BV483" s="3">
        <v>24.994830790941847</v>
      </c>
      <c r="BW483" s="3">
        <v>24.028164124275186</v>
      </c>
      <c r="BX483" s="3">
        <v>21.748164124275185</v>
      </c>
      <c r="BY483" s="3">
        <v>20.068164124275178</v>
      </c>
      <c r="BZ483" s="3">
        <v>28.398164124275191</v>
      </c>
      <c r="CA483" s="3">
        <v>15.998164124275171</v>
      </c>
      <c r="CB483" s="3">
        <v>13.734830790941842</v>
      </c>
      <c r="CC483" s="3">
        <v>13.248164124275178</v>
      </c>
      <c r="CD483" s="3">
        <v>10.154830790941851</v>
      </c>
      <c r="CE483" s="3">
        <v>9.7481641242751778</v>
      </c>
      <c r="CF483" s="3">
        <v>-0.93850254239148967</v>
      </c>
      <c r="CG483" s="3">
        <v>-1.4718358757248211</v>
      </c>
      <c r="CH483" s="3">
        <v>-2.5485025423914891</v>
      </c>
      <c r="CI483" s="13">
        <f>[1]!dbasum(RecData[[#This Row],[20]:[2000]],RecData[[#Headers],[20]:[2000]])</f>
        <v>37.952019481007888</v>
      </c>
      <c r="CJ483" s="14">
        <v>8217</v>
      </c>
      <c r="CK483" s="15" t="s">
        <v>249</v>
      </c>
      <c r="CL483" s="15">
        <f>RecData[[#This Row],[Start Time]]</f>
        <v>43270.027777777781</v>
      </c>
      <c r="CM483" s="16">
        <f>RecData[[#This Row],[Wind Speed avg]]</f>
        <v>0.96</v>
      </c>
      <c r="CN483" s="16">
        <f>RecData[[#This Row],[Wind Dir. avg]]</f>
        <v>179</v>
      </c>
      <c r="CO483" s="16">
        <f>RecData[[#This Row],[Amb. Humidity]]</f>
        <v>61.2</v>
      </c>
      <c r="CP483" s="16">
        <f>RecData[[#This Row],[Amb. Temperature]]</f>
        <v>17.100000000000001</v>
      </c>
      <c r="CQ483" s="17">
        <f>RecData[[#This Row],[Amb. Rain Gauge]]</f>
        <v>0</v>
      </c>
      <c r="CR483" s="4" t="s">
        <v>1</v>
      </c>
      <c r="CS483" s="4" t="s">
        <v>49</v>
      </c>
      <c r="CT483" s="70">
        <v>1613.3720703125</v>
      </c>
      <c r="CU483" s="70">
        <v>21.000179290771399</v>
      </c>
      <c r="CV483" s="70">
        <v>11.108592987060501</v>
      </c>
      <c r="CW483" s="70">
        <v>15.2813158035278</v>
      </c>
      <c r="CX483" s="4"/>
      <c r="CY483" s="69"/>
      <c r="CZ483" s="2" t="b">
        <f>IF($DP$1="YES",IF(RecData[[#This Row],[Power (kW)]]&gt;=$CR$3, TRUE,FALSE),TRUE)</f>
        <v>1</v>
      </c>
      <c r="DA483" s="16">
        <f>MIN(MOD(180-ABS(ABS($DA$1-RecData[Yaw Angle (°)])-180),360),MOD(180-ABS(ABS($DB$1-RecData[Yaw Angle (°)])-180),360))</f>
        <v>13.470252513083835</v>
      </c>
      <c r="DB483" s="2" t="str">
        <f>IF($DP$2="None","None",IF(RecData[[#This Row],[Relative Wind Direction]]&lt;=45,"DW",IF(RecData[[#This Row],[Relative Wind Direction]]&lt;=135,"CW","UW")))</f>
        <v>DW</v>
      </c>
      <c r="DC483" s="61">
        <f>IF($CL483-$CL479&gt;1/24,#REF!,IF(SUM($CQ479:$CQ483)&gt;$DS$1,$DS$5,DC484-1))</f>
        <v>-2</v>
      </c>
      <c r="DD483" s="61">
        <f>IF($CL484-$CL483&gt;1/24,#REF!,IF(SUM($CQ479:$CQ483)&gt;$DS$1,$DS$6,DD482-1))</f>
        <v>-9</v>
      </c>
      <c r="DE483" s="18" t="b">
        <v>0</v>
      </c>
      <c r="DF483" s="2" t="b">
        <f>IF(OR(RecData[[#This Row],[WSpd_Avg '[m/s']]]-RecData[[#This Row],[Wind Speed min]]&gt;=$DF$3,RecData[[#This Row],[Wind Speed max]]-RecData[[#This Row],[WSpd_Avg '[m/s']]]&gt;=$DF$2),TRUE,FALSE)</f>
        <v>0</v>
      </c>
      <c r="DG483" s="2" t="b">
        <f>RecData[[#This Row],[Temperature '[°C']]]&lt;=-20</f>
        <v>0</v>
      </c>
      <c r="DH483" s="18" t="b">
        <f>NOT(OR(MOD(RecData[[#This Row],[TIMESTAMP]],1)&gt;0.91632,MOD(RecData[[#This Row],[TIMESTAMP]],1)&lt;0.208681))</f>
        <v>0</v>
      </c>
      <c r="DI483" s="18" t="b">
        <f>RecData[[#This Row],[Overall (dBA)]]-RecData[[#This Row],[L90]]&gt;=$DS$4</f>
        <v>0</v>
      </c>
      <c r="DJ483" s="18" t="b">
        <f>RecData[[#This Row],[Overall (dBA)]]&gt;$DS$2</f>
        <v>0</v>
      </c>
      <c r="DK483" s="18" t="b">
        <f>RecData[[#This Row],[Overall (dBA)]]&lt;$DS$3</f>
        <v>0</v>
      </c>
      <c r="DL4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3" s="2">
        <f>IF(AND(RecData[[#This Row],[Turbines ON/OFF]] = "OFF", NOT(OR(RecData[[#This Row],[Junk?]]="YES",RecData[[#This Row],[Gust?]],RecData[[#This Row],[Rain?]:[Min SPL Threshold?]]))),1,0)</f>
        <v>0</v>
      </c>
      <c r="DN483" s="16">
        <f>RecData[[#This Row],[dBA Sum]]</f>
        <v>37.952019481007888</v>
      </c>
      <c r="DO483" s="16">
        <f>RecData[[#This Row],[LAF90.0]]</f>
        <v>37.5</v>
      </c>
      <c r="DP483" s="55">
        <f>IF(AND(RecData[[#This Row],[Useable TON Data?]],RecData[[#This Row],[Turbines ON/OFF]]="ON"),RecData[[#This Row],[dBA Sum]],"")</f>
        <v>37.952019481007888</v>
      </c>
      <c r="DQ483" s="55" t="str">
        <f>IF(AND(RecData[[#This Row],[Useable Background Data?]],RecData[[#This Row],[Turbines ON/OFF]]="OFF"),RecData[[#This Row],[dBA Sum]],"")</f>
        <v/>
      </c>
      <c r="DR483" s="3">
        <f>IF(OR(RecData[[#This Row],[Useable TON Data?]],RecData[[#This Row],[Useable Background Data?]]),ROUND(RecData[[#This Row],[WSpd_Avg '[m/s']]],0),"")</f>
        <v>1</v>
      </c>
      <c r="DS483" s="85">
        <f>(0.00002)^2*(10^(RecData[[#This Row],[Overall (dBA)]]/10))</f>
        <v>2.4960997652052289E-6</v>
      </c>
    </row>
    <row r="484" spans="1:123" ht="15" x14ac:dyDescent="0.25">
      <c r="A484" s="3" t="s">
        <v>249</v>
      </c>
      <c r="B484" s="12">
        <v>43270.02847222222</v>
      </c>
      <c r="C484" s="3"/>
      <c r="D484" s="3">
        <v>39.299999999999997</v>
      </c>
      <c r="E484" s="3"/>
      <c r="F484" s="3"/>
      <c r="G484" s="3"/>
      <c r="H484" s="3"/>
      <c r="I484" s="3"/>
      <c r="J484" s="3"/>
      <c r="K484" s="3">
        <v>38.299999999999997</v>
      </c>
      <c r="L484" s="3"/>
      <c r="M484" s="3"/>
      <c r="N484" s="3">
        <v>107.2</v>
      </c>
      <c r="O484" s="3"/>
      <c r="P484" s="3"/>
      <c r="Q484" s="3">
        <v>0.62</v>
      </c>
      <c r="R484" s="3">
        <v>0</v>
      </c>
      <c r="S484" s="3">
        <v>1.5</v>
      </c>
      <c r="T484" s="3">
        <v>17.100000000000001</v>
      </c>
      <c r="U484" s="3">
        <v>61</v>
      </c>
      <c r="V484" s="3">
        <v>972.6</v>
      </c>
      <c r="W484" s="3">
        <v>0</v>
      </c>
      <c r="X484" s="3">
        <v>47.5</v>
      </c>
      <c r="Y484" s="3">
        <v>47.9</v>
      </c>
      <c r="Z484" s="3">
        <v>46.6</v>
      </c>
      <c r="AA484" s="3">
        <v>41.3</v>
      </c>
      <c r="AB484" s="3">
        <v>37.200000000000003</v>
      </c>
      <c r="AC484" s="3">
        <v>35.6</v>
      </c>
      <c r="AD484" s="3">
        <v>38.6</v>
      </c>
      <c r="AE484" s="3">
        <v>40.200000000000003</v>
      </c>
      <c r="AF484" s="3">
        <v>43.9</v>
      </c>
      <c r="AG484" s="3">
        <v>37.5</v>
      </c>
      <c r="AH484" s="3">
        <v>36</v>
      </c>
      <c r="AI484" s="3">
        <v>36.4</v>
      </c>
      <c r="AJ484" s="3">
        <v>35.1</v>
      </c>
      <c r="AK484" s="3">
        <v>33.700000000000003</v>
      </c>
      <c r="AL484" s="3">
        <v>32</v>
      </c>
      <c r="AM484" s="3">
        <v>31.9</v>
      </c>
      <c r="AN484" s="3">
        <v>30.5</v>
      </c>
      <c r="AO484" s="3">
        <v>28.2</v>
      </c>
      <c r="AP484" s="3">
        <v>26</v>
      </c>
      <c r="AQ484" s="3">
        <v>24.4</v>
      </c>
      <c r="AR484" s="3">
        <v>22.2</v>
      </c>
      <c r="AS484" s="3">
        <v>21.1</v>
      </c>
      <c r="AT484" s="3">
        <v>24</v>
      </c>
      <c r="AU484" s="3">
        <v>15</v>
      </c>
      <c r="AV484" s="3">
        <v>13.8</v>
      </c>
      <c r="AW484" s="3">
        <v>13</v>
      </c>
      <c r="AX484" s="3">
        <v>10.3</v>
      </c>
      <c r="AY484" s="3">
        <v>9.9</v>
      </c>
      <c r="AZ484" s="3">
        <v>0</v>
      </c>
      <c r="BA484" s="3">
        <v>0</v>
      </c>
      <c r="BB484" s="3">
        <v>0</v>
      </c>
      <c r="BC484" s="3">
        <v>39.248968741578082</v>
      </c>
      <c r="BD484" s="3">
        <v>47.551031258421915</v>
      </c>
      <c r="BE484" s="3">
        <v>47.951031258421907</v>
      </c>
      <c r="BF484" s="3">
        <v>45.411031258421914</v>
      </c>
      <c r="BG484" s="3">
        <v>40.437697925088585</v>
      </c>
      <c r="BH484" s="3">
        <v>36.477697925088577</v>
      </c>
      <c r="BI484" s="3">
        <v>35.29103125842191</v>
      </c>
      <c r="BJ484" s="3">
        <v>39.084364591755246</v>
      </c>
      <c r="BK484" s="3">
        <v>40.55769792508859</v>
      </c>
      <c r="BL484" s="3">
        <v>43.831031258421916</v>
      </c>
      <c r="BM484" s="3">
        <v>37.56436459175525</v>
      </c>
      <c r="BN484" s="3">
        <v>36.347697925088582</v>
      </c>
      <c r="BO484" s="3">
        <v>36.114364591755248</v>
      </c>
      <c r="BP484" s="3">
        <v>34.531031258421919</v>
      </c>
      <c r="BQ484" s="3">
        <v>33.547697925088571</v>
      </c>
      <c r="BR484" s="3">
        <v>32.17436459175525</v>
      </c>
      <c r="BS484" s="3">
        <v>31.877697925088583</v>
      </c>
      <c r="BT484" s="3">
        <v>30.67436459175525</v>
      </c>
      <c r="BU484" s="3">
        <v>28.341031258421921</v>
      </c>
      <c r="BV484" s="3">
        <v>25.857697925088587</v>
      </c>
      <c r="BW484" s="3">
        <v>24.79103125842191</v>
      </c>
      <c r="BX484" s="3">
        <v>22.511031258421923</v>
      </c>
      <c r="BY484" s="3">
        <v>21.231031258421915</v>
      </c>
      <c r="BZ484" s="3">
        <v>24.261031258421923</v>
      </c>
      <c r="CA484" s="3">
        <v>15.36103125842191</v>
      </c>
      <c r="CB484" s="3">
        <v>13.597697925088582</v>
      </c>
      <c r="CC484" s="3">
        <v>13.011031258421916</v>
      </c>
      <c r="CD484" s="3">
        <v>9.617697925088585</v>
      </c>
      <c r="CE484" s="3">
        <v>9.4110312584219145</v>
      </c>
      <c r="CF484" s="3">
        <v>-0.87563540824475439</v>
      </c>
      <c r="CG484" s="3">
        <v>-1.4089687415780858</v>
      </c>
      <c r="CH484" s="3">
        <v>-2.4856354082447538</v>
      </c>
      <c r="CI484" s="13">
        <f>[1]!dbasum(RecData[[#This Row],[20]:[2000]],RecData[[#Headers],[20]:[2000]])</f>
        <v>38.927857728680408</v>
      </c>
      <c r="CJ484" s="14">
        <v>8218</v>
      </c>
      <c r="CK484" s="15" t="s">
        <v>249</v>
      </c>
      <c r="CL484" s="15">
        <f>RecData[[#This Row],[Start Time]]</f>
        <v>43270.02847222222</v>
      </c>
      <c r="CM484" s="16">
        <f>RecData[[#This Row],[Wind Speed avg]]</f>
        <v>0.62</v>
      </c>
      <c r="CN484" s="16">
        <f>RecData[[#This Row],[Wind Dir. avg]]</f>
        <v>107.2</v>
      </c>
      <c r="CO484" s="16">
        <f>RecData[[#This Row],[Amb. Humidity]]</f>
        <v>61</v>
      </c>
      <c r="CP484" s="16">
        <f>RecData[[#This Row],[Amb. Temperature]]</f>
        <v>17.100000000000001</v>
      </c>
      <c r="CQ484" s="17">
        <f>RecData[[#This Row],[Amb. Rain Gauge]]</f>
        <v>0</v>
      </c>
      <c r="CR484" s="4" t="s">
        <v>1</v>
      </c>
      <c r="CS484" s="4" t="s">
        <v>49</v>
      </c>
      <c r="CT484" s="70">
        <v>1619.11010742187</v>
      </c>
      <c r="CU484" s="70">
        <v>21.000186920166001</v>
      </c>
      <c r="CV484" s="70">
        <v>11.278901100158601</v>
      </c>
      <c r="CW484" s="70">
        <v>15.2868385314941</v>
      </c>
      <c r="CX484" s="4"/>
      <c r="CY484" s="69"/>
      <c r="CZ484" s="2" t="b">
        <f>IF($DP$1="YES",IF(RecData[[#This Row],[Power (kW)]]&gt;=$CR$3, TRUE,FALSE),TRUE)</f>
        <v>1</v>
      </c>
      <c r="DA484" s="16">
        <f>MIN(MOD(180-ABS(ABS($DA$1-RecData[Yaw Angle (°)])-180),360),MOD(180-ABS(ABS($DB$1-RecData[Yaw Angle (°)])-180),360))</f>
        <v>13.470260142478452</v>
      </c>
      <c r="DB484" s="2" t="str">
        <f>IF($DP$2="None","None",IF(RecData[[#This Row],[Relative Wind Direction]]&lt;=45,"DW",IF(RecData[[#This Row],[Relative Wind Direction]]&lt;=135,"CW","UW")))</f>
        <v>DW</v>
      </c>
      <c r="DC484" s="61">
        <v>-1</v>
      </c>
      <c r="DD484" s="61">
        <v>-1</v>
      </c>
      <c r="DE484" s="18" t="b">
        <v>0</v>
      </c>
      <c r="DF484" s="2" t="b">
        <f>IF(OR(RecData[[#This Row],[WSpd_Avg '[m/s']]]-RecData[[#This Row],[Wind Speed min]]&gt;=$DF$3,RecData[[#This Row],[Wind Speed max]]-RecData[[#This Row],[WSpd_Avg '[m/s']]]&gt;=$DF$2),TRUE,FALSE)</f>
        <v>0</v>
      </c>
      <c r="DG484" s="2" t="b">
        <f>RecData[[#This Row],[Temperature '[°C']]]&lt;=-20</f>
        <v>0</v>
      </c>
      <c r="DH484" s="18" t="b">
        <f>NOT(OR(MOD(RecData[[#This Row],[TIMESTAMP]],1)&gt;0.91632,MOD(RecData[[#This Row],[TIMESTAMP]],1)&lt;0.208681))</f>
        <v>0</v>
      </c>
      <c r="DI484" s="18" t="b">
        <f>RecData[[#This Row],[Overall (dBA)]]-RecData[[#This Row],[L90]]&gt;=$DS$4</f>
        <v>0</v>
      </c>
      <c r="DJ484" s="18" t="b">
        <f>RecData[[#This Row],[Overall (dBA)]]&gt;$DS$2</f>
        <v>0</v>
      </c>
      <c r="DK484" s="18" t="b">
        <f>RecData[[#This Row],[Overall (dBA)]]&lt;$DS$3</f>
        <v>0</v>
      </c>
      <c r="DL4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4" s="2">
        <f>IF(AND(RecData[[#This Row],[Turbines ON/OFF]] = "OFF", NOT(OR(RecData[[#This Row],[Junk?]]="YES",RecData[[#This Row],[Gust?]],RecData[[#This Row],[Rain?]:[Min SPL Threshold?]]))),1,0)</f>
        <v>0</v>
      </c>
      <c r="DN484" s="16">
        <f>RecData[[#This Row],[dBA Sum]]</f>
        <v>38.927857728680408</v>
      </c>
      <c r="DO484" s="16">
        <f>RecData[[#This Row],[LAF90.0]]</f>
        <v>38.299999999999997</v>
      </c>
      <c r="DP484" s="55">
        <f>IF(AND(RecData[[#This Row],[Useable TON Data?]],RecData[[#This Row],[Turbines ON/OFF]]="ON"),RecData[[#This Row],[dBA Sum]],"")</f>
        <v>38.927857728680408</v>
      </c>
      <c r="DQ484" s="55" t="str">
        <f>IF(AND(RecData[[#This Row],[Useable Background Data?]],RecData[[#This Row],[Turbines ON/OFF]]="OFF"),RecData[[#This Row],[dBA Sum]],"")</f>
        <v/>
      </c>
      <c r="DR484" s="3">
        <f>IF(OR(RecData[[#This Row],[Useable TON Data?]],RecData[[#This Row],[Useable Background Data?]]),ROUND(RecData[[#This Row],[WSpd_Avg '[m/s']]],0),"")</f>
        <v>1</v>
      </c>
      <c r="DS484" s="85">
        <f>(0.00002)^2*(10^(RecData[[#This Row],[Overall (dBA)]]/10))</f>
        <v>3.1249693650895359E-6</v>
      </c>
    </row>
    <row r="485" spans="1:123" ht="15" x14ac:dyDescent="0.25">
      <c r="A485" s="3" t="s">
        <v>249</v>
      </c>
      <c r="B485" s="12">
        <v>43270.029166666667</v>
      </c>
      <c r="C485" s="3"/>
      <c r="D485" s="3">
        <v>40.1</v>
      </c>
      <c r="E485" s="3"/>
      <c r="F485" s="3"/>
      <c r="G485" s="3"/>
      <c r="H485" s="3"/>
      <c r="I485" s="3"/>
      <c r="J485" s="3"/>
      <c r="K485" s="3">
        <v>39</v>
      </c>
      <c r="L485" s="3"/>
      <c r="M485" s="3"/>
      <c r="N485" s="3">
        <v>267.8</v>
      </c>
      <c r="O485" s="3"/>
      <c r="P485" s="3"/>
      <c r="Q485" s="3">
        <v>0.45</v>
      </c>
      <c r="R485" s="3">
        <v>0.1</v>
      </c>
      <c r="S485" s="3">
        <v>0.7</v>
      </c>
      <c r="T485" s="3">
        <v>17.100000000000001</v>
      </c>
      <c r="U485" s="3">
        <v>61.2</v>
      </c>
      <c r="V485" s="3">
        <v>972.6</v>
      </c>
      <c r="W485" s="3">
        <v>0</v>
      </c>
      <c r="X485" s="3">
        <v>47.3</v>
      </c>
      <c r="Y485" s="3">
        <v>47.2</v>
      </c>
      <c r="Z485" s="3">
        <v>45.8</v>
      </c>
      <c r="AA485" s="3">
        <v>40.9</v>
      </c>
      <c r="AB485" s="3">
        <v>37.299999999999997</v>
      </c>
      <c r="AC485" s="3">
        <v>35.799999999999997</v>
      </c>
      <c r="AD485" s="3">
        <v>38.799999999999997</v>
      </c>
      <c r="AE485" s="3">
        <v>40.9</v>
      </c>
      <c r="AF485" s="3">
        <v>44.6</v>
      </c>
      <c r="AG485" s="3">
        <v>38.200000000000003</v>
      </c>
      <c r="AH485" s="3">
        <v>37</v>
      </c>
      <c r="AI485" s="3">
        <v>37.5</v>
      </c>
      <c r="AJ485" s="3">
        <v>36</v>
      </c>
      <c r="AK485" s="3">
        <v>34.6</v>
      </c>
      <c r="AL485" s="3">
        <v>32.700000000000003</v>
      </c>
      <c r="AM485" s="3">
        <v>32.1</v>
      </c>
      <c r="AN485" s="3">
        <v>30.7</v>
      </c>
      <c r="AO485" s="3">
        <v>28.2</v>
      </c>
      <c r="AP485" s="3">
        <v>26.1</v>
      </c>
      <c r="AQ485" s="3">
        <v>24.2</v>
      </c>
      <c r="AR485" s="3">
        <v>21.7</v>
      </c>
      <c r="AS485" s="3">
        <v>21.6</v>
      </c>
      <c r="AT485" s="3">
        <v>29.1</v>
      </c>
      <c r="AU485" s="3">
        <v>13.3</v>
      </c>
      <c r="AV485" s="3">
        <v>11.6</v>
      </c>
      <c r="AW485" s="3">
        <v>11.1</v>
      </c>
      <c r="AX485" s="3">
        <v>9.6</v>
      </c>
      <c r="AY485" s="3">
        <v>9.6</v>
      </c>
      <c r="AZ485" s="3">
        <v>0</v>
      </c>
      <c r="BA485" s="3">
        <v>0</v>
      </c>
      <c r="BB485" s="3">
        <v>0</v>
      </c>
      <c r="BC485" s="3">
        <v>40.044584088493416</v>
      </c>
      <c r="BD485" s="3">
        <v>47.35541591150659</v>
      </c>
      <c r="BE485" s="3">
        <v>47.255415911506596</v>
      </c>
      <c r="BF485" s="3">
        <v>44.615415911506581</v>
      </c>
      <c r="BG485" s="3">
        <v>40.042082578173257</v>
      </c>
      <c r="BH485" s="3">
        <v>36.582082578173249</v>
      </c>
      <c r="BI485" s="3">
        <v>35.495415911506576</v>
      </c>
      <c r="BJ485" s="3">
        <v>39.288749244839913</v>
      </c>
      <c r="BK485" s="3">
        <v>41.262082578173256</v>
      </c>
      <c r="BL485" s="3">
        <v>44.535415911506597</v>
      </c>
      <c r="BM485" s="3">
        <v>38.268749244839917</v>
      </c>
      <c r="BN485" s="3">
        <v>37.35208257817326</v>
      </c>
      <c r="BO485" s="3">
        <v>37.21874924483992</v>
      </c>
      <c r="BP485" s="3">
        <v>35.435415911506588</v>
      </c>
      <c r="BQ485" s="3">
        <v>34.452082578173254</v>
      </c>
      <c r="BR485" s="3">
        <v>32.878749244839931</v>
      </c>
      <c r="BS485" s="3">
        <v>32.082082578173249</v>
      </c>
      <c r="BT485" s="3">
        <v>30.878749244839916</v>
      </c>
      <c r="BU485" s="3">
        <v>28.345415911506585</v>
      </c>
      <c r="BV485" s="3">
        <v>25.962082578173259</v>
      </c>
      <c r="BW485" s="3">
        <v>24.595415911506585</v>
      </c>
      <c r="BX485" s="3">
        <v>22.015415911506587</v>
      </c>
      <c r="BY485" s="3">
        <v>21.735415911506585</v>
      </c>
      <c r="BZ485" s="3">
        <v>29.365415911506595</v>
      </c>
      <c r="CA485" s="3">
        <v>13.665415911506578</v>
      </c>
      <c r="CB485" s="3">
        <v>11.40208257817325</v>
      </c>
      <c r="CC485" s="3">
        <v>11.115415911506581</v>
      </c>
      <c r="CD485" s="3">
        <v>8.9220825781732529</v>
      </c>
      <c r="CE485" s="3">
        <v>9.1154159115065809</v>
      </c>
      <c r="CF485" s="3">
        <v>-0.87125075516008366</v>
      </c>
      <c r="CG485" s="3">
        <v>-1.4045840884934151</v>
      </c>
      <c r="CH485" s="3">
        <v>-2.4812507551600831</v>
      </c>
      <c r="CI485" s="13">
        <f>[1]!dbasum(RecData[[#This Row],[20]:[2000]],RecData[[#Headers],[20]:[2000]])</f>
        <v>39.424332991572847</v>
      </c>
      <c r="CJ485" s="14">
        <v>8219</v>
      </c>
      <c r="CK485" s="15" t="s">
        <v>249</v>
      </c>
      <c r="CL485" s="15">
        <f>RecData[[#This Row],[Start Time]]</f>
        <v>43270.029166666667</v>
      </c>
      <c r="CM485" s="16">
        <f>RecData[[#This Row],[Wind Speed avg]]</f>
        <v>0.45</v>
      </c>
      <c r="CN485" s="16">
        <f>RecData[[#This Row],[Wind Dir. avg]]</f>
        <v>267.8</v>
      </c>
      <c r="CO485" s="16">
        <f>RecData[[#This Row],[Amb. Humidity]]</f>
        <v>61.2</v>
      </c>
      <c r="CP485" s="16">
        <f>RecData[[#This Row],[Amb. Temperature]]</f>
        <v>17.100000000000001</v>
      </c>
      <c r="CQ485" s="17">
        <f>RecData[[#This Row],[Amb. Rain Gauge]]</f>
        <v>0</v>
      </c>
      <c r="CR485" s="4" t="s">
        <v>1</v>
      </c>
      <c r="CS485" s="4" t="s">
        <v>49</v>
      </c>
      <c r="CT485" s="70">
        <v>1619.11010742187</v>
      </c>
      <c r="CU485" s="70">
        <v>21.000186920166001</v>
      </c>
      <c r="CV485" s="70">
        <v>11.278901100158601</v>
      </c>
      <c r="CW485" s="70">
        <v>15.2868385314941</v>
      </c>
      <c r="CX485" s="4"/>
      <c r="CY485" s="69"/>
      <c r="CZ485" s="2" t="b">
        <f>IF($DP$1="YES",IF(RecData[[#This Row],[Power (kW)]]&gt;=$CR$3, TRUE,FALSE),TRUE)</f>
        <v>1</v>
      </c>
      <c r="DA485" s="16">
        <f>MIN(MOD(180-ABS(ABS($DA$1-RecData[Yaw Angle (°)])-180),360),MOD(180-ABS(ABS($DB$1-RecData[Yaw Angle (°)])-180),360))</f>
        <v>13.470260142478452</v>
      </c>
      <c r="DB485" s="2" t="str">
        <f>IF($DP$2="None","None",IF(RecData[[#This Row],[Relative Wind Direction]]&lt;=45,"DW",IF(RecData[[#This Row],[Relative Wind Direction]]&lt;=135,"CW","UW")))</f>
        <v>DW</v>
      </c>
      <c r="DC485" s="61" t="e">
        <f>IF($CL485-$CL484&gt;1/24,#REF!,IF(SUM($CQ484:$CQ485)&gt;$DS$1,$DS$5,DC486-1))</f>
        <v>#REF!</v>
      </c>
      <c r="DD485" s="61">
        <f>IF($CL486-$CL485&gt;1/24,#REF!,IF(SUM($CQ484:$CQ485)&gt;$DS$1,$DS$6,DD484-1))</f>
        <v>-2</v>
      </c>
      <c r="DE485" s="18" t="b">
        <v>0</v>
      </c>
      <c r="DF485" s="2" t="b">
        <f>IF(OR(RecData[[#This Row],[WSpd_Avg '[m/s']]]-RecData[[#This Row],[Wind Speed min]]&gt;=$DF$3,RecData[[#This Row],[Wind Speed max]]-RecData[[#This Row],[WSpd_Avg '[m/s']]]&gt;=$DF$2),TRUE,FALSE)</f>
        <v>0</v>
      </c>
      <c r="DG485" s="2" t="b">
        <f>RecData[[#This Row],[Temperature '[°C']]]&lt;=-20</f>
        <v>0</v>
      </c>
      <c r="DH485" s="18" t="b">
        <f>NOT(OR(MOD(RecData[[#This Row],[TIMESTAMP]],1)&gt;0.91632,MOD(RecData[[#This Row],[TIMESTAMP]],1)&lt;0.208681))</f>
        <v>0</v>
      </c>
      <c r="DI485" s="18" t="b">
        <f>RecData[[#This Row],[Overall (dBA)]]-RecData[[#This Row],[L90]]&gt;=$DS$4</f>
        <v>0</v>
      </c>
      <c r="DJ485" s="18" t="b">
        <f>RecData[[#This Row],[Overall (dBA)]]&gt;$DS$2</f>
        <v>0</v>
      </c>
      <c r="DK485" s="18" t="b">
        <f>RecData[[#This Row],[Overall (dBA)]]&lt;$DS$3</f>
        <v>0</v>
      </c>
      <c r="DL4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5" s="2">
        <f>IF(AND(RecData[[#This Row],[Turbines ON/OFF]] = "OFF", NOT(OR(RecData[[#This Row],[Junk?]]="YES",RecData[[#This Row],[Gust?]],RecData[[#This Row],[Rain?]:[Min SPL Threshold?]]))),1,0)</f>
        <v>0</v>
      </c>
      <c r="DN485" s="16">
        <f>RecData[[#This Row],[dBA Sum]]</f>
        <v>39.424332991572847</v>
      </c>
      <c r="DO485" s="16">
        <f>RecData[[#This Row],[LAF90.0]]</f>
        <v>39</v>
      </c>
      <c r="DP485" s="55">
        <f>IF(AND(RecData[[#This Row],[Useable TON Data?]],RecData[[#This Row],[Turbines ON/OFF]]="ON"),RecData[[#This Row],[dBA Sum]],"")</f>
        <v>39.424332991572847</v>
      </c>
      <c r="DQ485" s="55" t="str">
        <f>IF(AND(RecData[[#This Row],[Useable Background Data?]],RecData[[#This Row],[Turbines ON/OFF]]="OFF"),RecData[[#This Row],[dBA Sum]],"")</f>
        <v/>
      </c>
      <c r="DR485" s="3">
        <f>IF(OR(RecData[[#This Row],[Useable TON Data?]],RecData[[#This Row],[Useable Background Data?]]),ROUND(RecData[[#This Row],[WSpd_Avg '[m/s']]],0),"")</f>
        <v>0</v>
      </c>
      <c r="DS485" s="85">
        <f>(0.00002)^2*(10^(RecData[[#This Row],[Overall (dBA)]]/10))</f>
        <v>3.5034287573256759E-6</v>
      </c>
    </row>
    <row r="486" spans="1:123" ht="15" x14ac:dyDescent="0.25">
      <c r="A486" s="3" t="s">
        <v>249</v>
      </c>
      <c r="B486" s="12">
        <v>43270.029861111114</v>
      </c>
      <c r="C486" s="3"/>
      <c r="D486" s="3">
        <v>39.9</v>
      </c>
      <c r="E486" s="3"/>
      <c r="F486" s="3"/>
      <c r="G486" s="3"/>
      <c r="H486" s="3"/>
      <c r="I486" s="3"/>
      <c r="J486" s="3"/>
      <c r="K486" s="3">
        <v>38.9</v>
      </c>
      <c r="L486" s="3"/>
      <c r="M486" s="3"/>
      <c r="N486" s="3">
        <v>208.7</v>
      </c>
      <c r="O486" s="3"/>
      <c r="P486" s="3"/>
      <c r="Q486" s="3">
        <v>0.34</v>
      </c>
      <c r="R486" s="3">
        <v>0.1</v>
      </c>
      <c r="S486" s="3">
        <v>0.6</v>
      </c>
      <c r="T486" s="3">
        <v>17.100000000000001</v>
      </c>
      <c r="U486" s="3">
        <v>62.1</v>
      </c>
      <c r="V486" s="3">
        <v>972.6</v>
      </c>
      <c r="W486" s="3">
        <v>0</v>
      </c>
      <c r="X486" s="3">
        <v>47.2</v>
      </c>
      <c r="Y486" s="3">
        <v>47.9</v>
      </c>
      <c r="Z486" s="3">
        <v>46.6</v>
      </c>
      <c r="AA486" s="3">
        <v>41.8</v>
      </c>
      <c r="AB486" s="3">
        <v>37.799999999999997</v>
      </c>
      <c r="AC486" s="3">
        <v>35.700000000000003</v>
      </c>
      <c r="AD486" s="3">
        <v>39.4</v>
      </c>
      <c r="AE486" s="3">
        <v>41.6</v>
      </c>
      <c r="AF486" s="3">
        <v>44</v>
      </c>
      <c r="AG486" s="3">
        <v>37.5</v>
      </c>
      <c r="AH486" s="3">
        <v>36.799999999999997</v>
      </c>
      <c r="AI486" s="3">
        <v>36.5</v>
      </c>
      <c r="AJ486" s="3">
        <v>35.6</v>
      </c>
      <c r="AK486" s="3">
        <v>34.200000000000003</v>
      </c>
      <c r="AL486" s="3">
        <v>32.4</v>
      </c>
      <c r="AM486" s="3">
        <v>32.1</v>
      </c>
      <c r="AN486" s="3">
        <v>31</v>
      </c>
      <c r="AO486" s="3">
        <v>28.6</v>
      </c>
      <c r="AP486" s="3">
        <v>26.7</v>
      </c>
      <c r="AQ486" s="3">
        <v>25.1</v>
      </c>
      <c r="AR486" s="3">
        <v>23.3</v>
      </c>
      <c r="AS486" s="3">
        <v>22.3</v>
      </c>
      <c r="AT486" s="3">
        <v>27.9</v>
      </c>
      <c r="AU486" s="3">
        <v>15.5</v>
      </c>
      <c r="AV486" s="3">
        <v>12.8</v>
      </c>
      <c r="AW486" s="3">
        <v>11.4</v>
      </c>
      <c r="AX486" s="3">
        <v>9.6999999999999993</v>
      </c>
      <c r="AY486" s="3">
        <v>9.5</v>
      </c>
      <c r="AZ486" s="3">
        <v>0</v>
      </c>
      <c r="BA486" s="3">
        <v>0</v>
      </c>
      <c r="BB486" s="3">
        <v>0</v>
      </c>
      <c r="BC486" s="3">
        <v>39.900038817450422</v>
      </c>
      <c r="BD486" s="3">
        <v>47.199961182549572</v>
      </c>
      <c r="BE486" s="3">
        <v>47.899961182549575</v>
      </c>
      <c r="BF486" s="3">
        <v>45.359961182549569</v>
      </c>
      <c r="BG486" s="3">
        <v>40.886627849216239</v>
      </c>
      <c r="BH486" s="3">
        <v>37.02662784921624</v>
      </c>
      <c r="BI486" s="3">
        <v>35.339961182549587</v>
      </c>
      <c r="BJ486" s="3">
        <v>39.833294515882898</v>
      </c>
      <c r="BK486" s="3">
        <v>41.90662784921625</v>
      </c>
      <c r="BL486" s="3">
        <v>43.879961182549579</v>
      </c>
      <c r="BM486" s="3">
        <v>37.513294515882905</v>
      </c>
      <c r="BN486" s="3">
        <v>37.096627849216247</v>
      </c>
      <c r="BO486" s="3">
        <v>36.16329451588291</v>
      </c>
      <c r="BP486" s="3">
        <v>34.979961182549573</v>
      </c>
      <c r="BQ486" s="3">
        <v>33.996627849216239</v>
      </c>
      <c r="BR486" s="3">
        <v>32.52329451588291</v>
      </c>
      <c r="BS486" s="3">
        <v>32.026627849216254</v>
      </c>
      <c r="BT486" s="3">
        <v>31.123294515882918</v>
      </c>
      <c r="BU486" s="3">
        <v>28.689961182549581</v>
      </c>
      <c r="BV486" s="3">
        <v>26.506627849216244</v>
      </c>
      <c r="BW486" s="3">
        <v>25.439961182549581</v>
      </c>
      <c r="BX486" s="3">
        <v>23.559961182549586</v>
      </c>
      <c r="BY486" s="3">
        <v>22.379961182549579</v>
      </c>
      <c r="BZ486" s="3">
        <v>28.109961182549583</v>
      </c>
      <c r="CA486" s="3">
        <v>15.809961182549571</v>
      </c>
      <c r="CB486" s="3">
        <v>12.546627849216243</v>
      </c>
      <c r="CC486" s="3">
        <v>11.359961182549576</v>
      </c>
      <c r="CD486" s="3">
        <v>8.9666278492162448</v>
      </c>
      <c r="CE486" s="3">
        <v>8.9599611825495771</v>
      </c>
      <c r="CF486" s="3">
        <v>-0.92670548411709319</v>
      </c>
      <c r="CG486" s="3">
        <v>-1.4600388174504246</v>
      </c>
      <c r="CH486" s="3">
        <v>-2.5367054841170926</v>
      </c>
      <c r="CI486" s="13">
        <f>[1]!dbasum(RecData[[#This Row],[20]:[2000]],RecData[[#Headers],[20]:[2000]])</f>
        <v>39.323011605966201</v>
      </c>
      <c r="CJ486" s="14">
        <v>8220</v>
      </c>
      <c r="CK486" s="15" t="s">
        <v>249</v>
      </c>
      <c r="CL486" s="15">
        <f>RecData[[#This Row],[Start Time]]</f>
        <v>43270.029861111114</v>
      </c>
      <c r="CM486" s="16">
        <f>RecData[[#This Row],[Wind Speed avg]]</f>
        <v>0.34</v>
      </c>
      <c r="CN486" s="16">
        <f>RecData[[#This Row],[Wind Dir. avg]]</f>
        <v>208.7</v>
      </c>
      <c r="CO486" s="16">
        <f>RecData[[#This Row],[Amb. Humidity]]</f>
        <v>62.1</v>
      </c>
      <c r="CP486" s="16">
        <f>RecData[[#This Row],[Amb. Temperature]]</f>
        <v>17.100000000000001</v>
      </c>
      <c r="CQ486" s="17">
        <f>RecData[[#This Row],[Amb. Rain Gauge]]</f>
        <v>0</v>
      </c>
      <c r="CR486" s="4" t="s">
        <v>1</v>
      </c>
      <c r="CS486" s="4" t="s">
        <v>49</v>
      </c>
      <c r="CT486" s="70">
        <v>1619.11010742187</v>
      </c>
      <c r="CU486" s="70">
        <v>21.000186920166001</v>
      </c>
      <c r="CV486" s="70">
        <v>11.278901100158601</v>
      </c>
      <c r="CW486" s="70">
        <v>15.2868385314941</v>
      </c>
      <c r="CX486" s="4"/>
      <c r="CY486" s="69"/>
      <c r="CZ486" s="2" t="b">
        <f>IF($DP$1="YES",IF(RecData[[#This Row],[Power (kW)]]&gt;=$CR$3, TRUE,FALSE),TRUE)</f>
        <v>1</v>
      </c>
      <c r="DA486" s="16">
        <f>MIN(MOD(180-ABS(ABS($DA$1-RecData[Yaw Angle (°)])-180),360),MOD(180-ABS(ABS($DB$1-RecData[Yaw Angle (°)])-180),360))</f>
        <v>13.470260142478452</v>
      </c>
      <c r="DB486" s="2" t="str">
        <f>IF($DP$2="None","None",IF(RecData[[#This Row],[Relative Wind Direction]]&lt;=45,"DW",IF(RecData[[#This Row],[Relative Wind Direction]]&lt;=135,"CW","UW")))</f>
        <v>DW</v>
      </c>
      <c r="DC486" s="61" t="e">
        <f>IF($CL486-$CL484&gt;1/24,#REF!,IF(SUM($CQ484:$CQ486)&gt;$DS$1,$DS$5,DC487-1))</f>
        <v>#REF!</v>
      </c>
      <c r="DD486" s="61">
        <f>IF($CL487-$CL486&gt;1/24,#REF!,IF(SUM($CQ484:$CQ486)&gt;$DS$1,$DS$6,DD485-1))</f>
        <v>-3</v>
      </c>
      <c r="DE486" s="18" t="b">
        <v>0</v>
      </c>
      <c r="DF486" s="2" t="b">
        <f>IF(OR(RecData[[#This Row],[WSpd_Avg '[m/s']]]-RecData[[#This Row],[Wind Speed min]]&gt;=$DF$3,RecData[[#This Row],[Wind Speed max]]-RecData[[#This Row],[WSpd_Avg '[m/s']]]&gt;=$DF$2),TRUE,FALSE)</f>
        <v>0</v>
      </c>
      <c r="DG486" s="2" t="b">
        <f>RecData[[#This Row],[Temperature '[°C']]]&lt;=-20</f>
        <v>0</v>
      </c>
      <c r="DH486" s="18" t="b">
        <f>NOT(OR(MOD(RecData[[#This Row],[TIMESTAMP]],1)&gt;0.91632,MOD(RecData[[#This Row],[TIMESTAMP]],1)&lt;0.208681))</f>
        <v>0</v>
      </c>
      <c r="DI486" s="18" t="b">
        <f>RecData[[#This Row],[Overall (dBA)]]-RecData[[#This Row],[L90]]&gt;=$DS$4</f>
        <v>0</v>
      </c>
      <c r="DJ486" s="18" t="b">
        <f>RecData[[#This Row],[Overall (dBA)]]&gt;$DS$2</f>
        <v>0</v>
      </c>
      <c r="DK486" s="18" t="b">
        <f>RecData[[#This Row],[Overall (dBA)]]&lt;$DS$3</f>
        <v>0</v>
      </c>
      <c r="DL4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6" s="2">
        <f>IF(AND(RecData[[#This Row],[Turbines ON/OFF]] = "OFF", NOT(OR(RecData[[#This Row],[Junk?]]="YES",RecData[[#This Row],[Gust?]],RecData[[#This Row],[Rain?]:[Min SPL Threshold?]]))),1,0)</f>
        <v>0</v>
      </c>
      <c r="DN486" s="16">
        <f>RecData[[#This Row],[dBA Sum]]</f>
        <v>39.323011605966201</v>
      </c>
      <c r="DO486" s="16">
        <f>RecData[[#This Row],[LAF90.0]]</f>
        <v>38.9</v>
      </c>
      <c r="DP486" s="55">
        <f>IF(AND(RecData[[#This Row],[Useable TON Data?]],RecData[[#This Row],[Turbines ON/OFF]]="ON"),RecData[[#This Row],[dBA Sum]],"")</f>
        <v>39.323011605966201</v>
      </c>
      <c r="DQ486" s="55" t="str">
        <f>IF(AND(RecData[[#This Row],[Useable Background Data?]],RecData[[#This Row],[Turbines ON/OFF]]="OFF"),RecData[[#This Row],[dBA Sum]],"")</f>
        <v/>
      </c>
      <c r="DR486" s="3">
        <f>IF(OR(RecData[[#This Row],[Useable TON Data?]],RecData[[#This Row],[Useable Background Data?]]),ROUND(RecData[[#This Row],[WSpd_Avg '[m/s']]],0),"")</f>
        <v>0</v>
      </c>
      <c r="DS486" s="85">
        <f>(0.00002)^2*(10^(RecData[[#This Row],[Overall (dBA)]]/10))</f>
        <v>3.4226394509476213E-6</v>
      </c>
    </row>
    <row r="487" spans="1:123" ht="15" x14ac:dyDescent="0.25">
      <c r="A487" s="3" t="s">
        <v>249</v>
      </c>
      <c r="B487" s="12">
        <v>43270.030555555553</v>
      </c>
      <c r="C487" s="3"/>
      <c r="D487" s="3">
        <v>40.700000000000003</v>
      </c>
      <c r="E487" s="3"/>
      <c r="F487" s="3"/>
      <c r="G487" s="3"/>
      <c r="H487" s="3"/>
      <c r="I487" s="3"/>
      <c r="J487" s="3"/>
      <c r="K487" s="3">
        <v>39.5</v>
      </c>
      <c r="L487" s="3"/>
      <c r="M487" s="3"/>
      <c r="N487" s="3">
        <v>232.2</v>
      </c>
      <c r="O487" s="3"/>
      <c r="P487" s="3"/>
      <c r="Q487" s="3">
        <v>0.56000000000000005</v>
      </c>
      <c r="R487" s="3">
        <v>0.2</v>
      </c>
      <c r="S487" s="3">
        <v>1.1000000000000001</v>
      </c>
      <c r="T487" s="3">
        <v>17</v>
      </c>
      <c r="U487" s="3">
        <v>61.9</v>
      </c>
      <c r="V487" s="3">
        <v>972.7</v>
      </c>
      <c r="W487" s="3">
        <v>0</v>
      </c>
      <c r="X487" s="3">
        <v>48.9</v>
      </c>
      <c r="Y487" s="3">
        <v>48.4</v>
      </c>
      <c r="Z487" s="3">
        <v>47.4</v>
      </c>
      <c r="AA487" s="3">
        <v>42.9</v>
      </c>
      <c r="AB487" s="3">
        <v>37.6</v>
      </c>
      <c r="AC487" s="3">
        <v>37.700000000000003</v>
      </c>
      <c r="AD487" s="3">
        <v>41.4</v>
      </c>
      <c r="AE487" s="3">
        <v>43.3</v>
      </c>
      <c r="AF487" s="3">
        <v>45</v>
      </c>
      <c r="AG487" s="3">
        <v>38.299999999999997</v>
      </c>
      <c r="AH487" s="3">
        <v>38.200000000000003</v>
      </c>
      <c r="AI487" s="3">
        <v>37.299999999999997</v>
      </c>
      <c r="AJ487" s="3">
        <v>36.6</v>
      </c>
      <c r="AK487" s="3">
        <v>34.9</v>
      </c>
      <c r="AL487" s="3">
        <v>33.200000000000003</v>
      </c>
      <c r="AM487" s="3">
        <v>33.1</v>
      </c>
      <c r="AN487" s="3">
        <v>31.9</v>
      </c>
      <c r="AO487" s="3">
        <v>29</v>
      </c>
      <c r="AP487" s="3">
        <v>27</v>
      </c>
      <c r="AQ487" s="3">
        <v>25</v>
      </c>
      <c r="AR487" s="3">
        <v>22.6</v>
      </c>
      <c r="AS487" s="3">
        <v>22.6</v>
      </c>
      <c r="AT487" s="3">
        <v>28.5</v>
      </c>
      <c r="AU487" s="3">
        <v>15.5</v>
      </c>
      <c r="AV487" s="3">
        <v>13.6</v>
      </c>
      <c r="AW487" s="3">
        <v>12.8</v>
      </c>
      <c r="AX487" s="3">
        <v>10.4</v>
      </c>
      <c r="AY487" s="3">
        <v>9.8000000000000007</v>
      </c>
      <c r="AZ487" s="3">
        <v>0</v>
      </c>
      <c r="BA487" s="3">
        <v>0</v>
      </c>
      <c r="BB487" s="3">
        <v>0</v>
      </c>
      <c r="BC487" s="3">
        <v>40.650150398418567</v>
      </c>
      <c r="BD487" s="3">
        <v>48.949849601581427</v>
      </c>
      <c r="BE487" s="3">
        <v>48.449849601581427</v>
      </c>
      <c r="BF487" s="3">
        <v>46.209849601581432</v>
      </c>
      <c r="BG487" s="3">
        <v>42.0365162682481</v>
      </c>
      <c r="BH487" s="3">
        <v>36.876516268248103</v>
      </c>
      <c r="BI487" s="3">
        <v>37.389849601581439</v>
      </c>
      <c r="BJ487" s="3">
        <v>41.883182934914764</v>
      </c>
      <c r="BK487" s="3">
        <v>43.656516268248104</v>
      </c>
      <c r="BL487" s="3">
        <v>44.929849601581445</v>
      </c>
      <c r="BM487" s="3">
        <v>38.363182934914768</v>
      </c>
      <c r="BN487" s="3">
        <v>38.546516268248105</v>
      </c>
      <c r="BO487" s="3">
        <v>37.013182934914759</v>
      </c>
      <c r="BP487" s="3">
        <v>36.029849601581439</v>
      </c>
      <c r="BQ487" s="3">
        <v>34.746516268248094</v>
      </c>
      <c r="BR487" s="3">
        <v>33.373182934914773</v>
      </c>
      <c r="BS487" s="3">
        <v>33.076516268248106</v>
      </c>
      <c r="BT487" s="3">
        <v>32.073182934914762</v>
      </c>
      <c r="BU487" s="3">
        <v>29.139849601581439</v>
      </c>
      <c r="BV487" s="3">
        <v>26.856516268248107</v>
      </c>
      <c r="BW487" s="3">
        <v>25.389849601581439</v>
      </c>
      <c r="BX487" s="3">
        <v>22.909849601581442</v>
      </c>
      <c r="BY487" s="3">
        <v>22.729849601581435</v>
      </c>
      <c r="BZ487" s="3">
        <v>28.759849601581443</v>
      </c>
      <c r="CA487" s="3">
        <v>15.859849601581431</v>
      </c>
      <c r="CB487" s="3">
        <v>13.396516268248099</v>
      </c>
      <c r="CC487" s="3">
        <v>12.809849601581433</v>
      </c>
      <c r="CD487" s="3">
        <v>9.7165162682481068</v>
      </c>
      <c r="CE487" s="3">
        <v>9.3098496015814334</v>
      </c>
      <c r="CF487" s="3">
        <v>-0.87681706508523405</v>
      </c>
      <c r="CG487" s="3">
        <v>-1.4101503984185655</v>
      </c>
      <c r="CH487" s="3">
        <v>-2.4868170650852335</v>
      </c>
      <c r="CI487" s="13">
        <f>[1]!dbasum(RecData[[#This Row],[20]:[2000]],RecData[[#Headers],[20]:[2000]])</f>
        <v>40.147192042456766</v>
      </c>
      <c r="CJ487" s="14">
        <v>8221</v>
      </c>
      <c r="CK487" s="15" t="s">
        <v>249</v>
      </c>
      <c r="CL487" s="15">
        <f>RecData[[#This Row],[Start Time]]</f>
        <v>43270.030555555553</v>
      </c>
      <c r="CM487" s="16">
        <f>RecData[[#This Row],[Wind Speed avg]]</f>
        <v>0.56000000000000005</v>
      </c>
      <c r="CN487" s="16">
        <f>RecData[[#This Row],[Wind Dir. avg]]</f>
        <v>232.2</v>
      </c>
      <c r="CO487" s="16">
        <f>RecData[[#This Row],[Amb. Humidity]]</f>
        <v>61.9</v>
      </c>
      <c r="CP487" s="16">
        <f>RecData[[#This Row],[Amb. Temperature]]</f>
        <v>17</v>
      </c>
      <c r="CQ487" s="17">
        <f>RecData[[#This Row],[Amb. Rain Gauge]]</f>
        <v>0</v>
      </c>
      <c r="CR487" s="4" t="s">
        <v>1</v>
      </c>
      <c r="CS487" s="4" t="s">
        <v>49</v>
      </c>
      <c r="CT487" s="70">
        <v>1619.11010742187</v>
      </c>
      <c r="CU487" s="70">
        <v>21.000186920166001</v>
      </c>
      <c r="CV487" s="70">
        <v>11.278901100158601</v>
      </c>
      <c r="CW487" s="70">
        <v>15.2868385314941</v>
      </c>
      <c r="CX487" s="4"/>
      <c r="CY487" s="69"/>
      <c r="CZ487" s="2" t="b">
        <f>IF($DP$1="YES",IF(RecData[[#This Row],[Power (kW)]]&gt;=$CR$3, TRUE,FALSE),TRUE)</f>
        <v>1</v>
      </c>
      <c r="DA487" s="16">
        <f>MIN(MOD(180-ABS(ABS($DA$1-RecData[Yaw Angle (°)])-180),360),MOD(180-ABS(ABS($DB$1-RecData[Yaw Angle (°)])-180),360))</f>
        <v>13.470260142478452</v>
      </c>
      <c r="DB487" s="2" t="str">
        <f>IF($DP$2="None","None",IF(RecData[[#This Row],[Relative Wind Direction]]&lt;=45,"DW",IF(RecData[[#This Row],[Relative Wind Direction]]&lt;=135,"CW","UW")))</f>
        <v>DW</v>
      </c>
      <c r="DC487" s="61" t="e">
        <f>IF($CL487-$CL484&gt;1/24,#REF!,IF(SUM($CQ484:$CQ487)&gt;$DS$1,$DS$5,#REF!-1))</f>
        <v>#REF!</v>
      </c>
      <c r="DD487" s="61" t="e">
        <f>IF(#REF!-$CL487&gt;1/24,#REF!,IF(SUM($CQ484:$CQ487)&gt;$DS$1,$DS$6,DD486-1))</f>
        <v>#REF!</v>
      </c>
      <c r="DE487" s="18" t="b">
        <v>0</v>
      </c>
      <c r="DF487" s="2" t="b">
        <f>IF(OR(RecData[[#This Row],[WSpd_Avg '[m/s']]]-RecData[[#This Row],[Wind Speed min]]&gt;=$DF$3,RecData[[#This Row],[Wind Speed max]]-RecData[[#This Row],[WSpd_Avg '[m/s']]]&gt;=$DF$2),TRUE,FALSE)</f>
        <v>0</v>
      </c>
      <c r="DG487" s="2" t="b">
        <f>RecData[[#This Row],[Temperature '[°C']]]&lt;=-20</f>
        <v>0</v>
      </c>
      <c r="DH487" s="18" t="b">
        <f>NOT(OR(MOD(RecData[[#This Row],[TIMESTAMP]],1)&gt;0.91632,MOD(RecData[[#This Row],[TIMESTAMP]],1)&lt;0.208681))</f>
        <v>0</v>
      </c>
      <c r="DI487" s="18" t="b">
        <f>RecData[[#This Row],[Overall (dBA)]]-RecData[[#This Row],[L90]]&gt;=$DS$4</f>
        <v>0</v>
      </c>
      <c r="DJ487" s="18" t="b">
        <f>RecData[[#This Row],[Overall (dBA)]]&gt;$DS$2</f>
        <v>0</v>
      </c>
      <c r="DK487" s="18" t="b">
        <f>RecData[[#This Row],[Overall (dBA)]]&lt;$DS$3</f>
        <v>0</v>
      </c>
      <c r="DL4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7" s="2">
        <f>IF(AND(RecData[[#This Row],[Turbines ON/OFF]] = "OFF", NOT(OR(RecData[[#This Row],[Junk?]]="YES",RecData[[#This Row],[Gust?]],RecData[[#This Row],[Rain?]:[Min SPL Threshold?]]))),1,0)</f>
        <v>0</v>
      </c>
      <c r="DN487" s="16">
        <f>RecData[[#This Row],[dBA Sum]]</f>
        <v>40.147192042456766</v>
      </c>
      <c r="DO487" s="16">
        <f>RecData[[#This Row],[LAF90.0]]</f>
        <v>39.5</v>
      </c>
      <c r="DP487" s="55">
        <f>IF(AND(RecData[[#This Row],[Useable TON Data?]],RecData[[#This Row],[Turbines ON/OFF]]="ON"),RecData[[#This Row],[dBA Sum]],"")</f>
        <v>40.147192042456766</v>
      </c>
      <c r="DQ487" s="55" t="str">
        <f>IF(AND(RecData[[#This Row],[Useable Background Data?]],RecData[[#This Row],[Turbines ON/OFF]]="OFF"),RecData[[#This Row],[dBA Sum]],"")</f>
        <v/>
      </c>
      <c r="DR487" s="3">
        <f>IF(OR(RecData[[#This Row],[Useable TON Data?]],RecData[[#This Row],[Useable Background Data?]]),ROUND(RecData[[#This Row],[WSpd_Avg '[m/s']]],0),"")</f>
        <v>1</v>
      </c>
      <c r="DS487" s="85">
        <f>(0.00002)^2*(10^(RecData[[#This Row],[Overall (dBA)]]/10))</f>
        <v>4.1378924219780132E-6</v>
      </c>
    </row>
    <row r="488" spans="1:123" ht="15" x14ac:dyDescent="0.25">
      <c r="A488" s="3" t="s">
        <v>249</v>
      </c>
      <c r="B488" s="12">
        <v>43270.032638888886</v>
      </c>
      <c r="C488" s="3"/>
      <c r="D488" s="3">
        <v>40.1</v>
      </c>
      <c r="E488" s="3"/>
      <c r="F488" s="3"/>
      <c r="G488" s="3"/>
      <c r="H488" s="3"/>
      <c r="I488" s="3"/>
      <c r="J488" s="3"/>
      <c r="K488" s="3">
        <v>38.6</v>
      </c>
      <c r="L488" s="3"/>
      <c r="M488" s="3"/>
      <c r="N488" s="3">
        <v>138.80000000000001</v>
      </c>
      <c r="O488" s="3"/>
      <c r="P488" s="3"/>
      <c r="Q488" s="3">
        <v>1.1100000000000001</v>
      </c>
      <c r="R488" s="3">
        <v>0.1</v>
      </c>
      <c r="S488" s="3">
        <v>2.2000000000000002</v>
      </c>
      <c r="T488" s="3">
        <v>17</v>
      </c>
      <c r="U488" s="3">
        <v>62</v>
      </c>
      <c r="V488" s="3">
        <v>972.6</v>
      </c>
      <c r="W488" s="3">
        <v>0</v>
      </c>
      <c r="X488" s="3">
        <v>45.9</v>
      </c>
      <c r="Y488" s="3">
        <v>46.1</v>
      </c>
      <c r="Z488" s="3">
        <v>46</v>
      </c>
      <c r="AA488" s="3">
        <v>40.9</v>
      </c>
      <c r="AB488" s="3">
        <v>37.799999999999997</v>
      </c>
      <c r="AC488" s="3">
        <v>38.1</v>
      </c>
      <c r="AD488" s="3">
        <v>40.299999999999997</v>
      </c>
      <c r="AE488" s="3">
        <v>41.9</v>
      </c>
      <c r="AF488" s="3">
        <v>44.2</v>
      </c>
      <c r="AG488" s="3">
        <v>37.200000000000003</v>
      </c>
      <c r="AH488" s="3">
        <v>37.799999999999997</v>
      </c>
      <c r="AI488" s="3">
        <v>36.4</v>
      </c>
      <c r="AJ488" s="3">
        <v>36.1</v>
      </c>
      <c r="AK488" s="3">
        <v>34</v>
      </c>
      <c r="AL488" s="3">
        <v>32.299999999999997</v>
      </c>
      <c r="AM488" s="3">
        <v>32.5</v>
      </c>
      <c r="AN488" s="3">
        <v>31.4</v>
      </c>
      <c r="AO488" s="3">
        <v>28.8</v>
      </c>
      <c r="AP488" s="3">
        <v>27.3</v>
      </c>
      <c r="AQ488" s="3">
        <v>25</v>
      </c>
      <c r="AR488" s="3">
        <v>23</v>
      </c>
      <c r="AS488" s="3">
        <v>22.2</v>
      </c>
      <c r="AT488" s="3">
        <v>26.9</v>
      </c>
      <c r="AU488" s="3">
        <v>17.3</v>
      </c>
      <c r="AV488" s="3">
        <v>15.8</v>
      </c>
      <c r="AW488" s="3">
        <v>14.7</v>
      </c>
      <c r="AX488" s="3">
        <v>11.8</v>
      </c>
      <c r="AY488" s="3">
        <v>10.8</v>
      </c>
      <c r="AZ488" s="3">
        <v>0</v>
      </c>
      <c r="BA488" s="3">
        <v>0</v>
      </c>
      <c r="BB488" s="3">
        <v>0</v>
      </c>
      <c r="BC488" s="3">
        <v>40.05074433127394</v>
      </c>
      <c r="BD488" s="3">
        <v>45.94925566872606</v>
      </c>
      <c r="BE488" s="3">
        <v>46.149255668726063</v>
      </c>
      <c r="BF488" s="3">
        <v>44.80925566872606</v>
      </c>
      <c r="BG488" s="3">
        <v>40.035922335392733</v>
      </c>
      <c r="BH488" s="3">
        <v>37.075922335392725</v>
      </c>
      <c r="BI488" s="3">
        <v>37.789255668726064</v>
      </c>
      <c r="BJ488" s="3">
        <v>40.782589002059389</v>
      </c>
      <c r="BK488" s="3">
        <v>42.255922335392732</v>
      </c>
      <c r="BL488" s="3">
        <v>44.129255668726067</v>
      </c>
      <c r="BM488" s="3">
        <v>37.262589002059393</v>
      </c>
      <c r="BN488" s="3">
        <v>38.145922335392719</v>
      </c>
      <c r="BO488" s="3">
        <v>36.112589002059387</v>
      </c>
      <c r="BP488" s="3">
        <v>35.529255668726073</v>
      </c>
      <c r="BQ488" s="3">
        <v>33.845922335392721</v>
      </c>
      <c r="BR488" s="3">
        <v>32.472589002059401</v>
      </c>
      <c r="BS488" s="3">
        <v>32.475922335392731</v>
      </c>
      <c r="BT488" s="3">
        <v>31.572589002059395</v>
      </c>
      <c r="BU488" s="3">
        <v>28.939255668726069</v>
      </c>
      <c r="BV488" s="3">
        <v>27.155922335392738</v>
      </c>
      <c r="BW488" s="3">
        <v>25.389255668726058</v>
      </c>
      <c r="BX488" s="3">
        <v>23.309255668726067</v>
      </c>
      <c r="BY488" s="3">
        <v>22.329255668726056</v>
      </c>
      <c r="BZ488" s="3">
        <v>27.159255668726068</v>
      </c>
      <c r="CA488" s="3">
        <v>17.659255668726054</v>
      </c>
      <c r="CB488" s="3">
        <v>15.595922335392729</v>
      </c>
      <c r="CC488" s="3">
        <v>14.709255668726058</v>
      </c>
      <c r="CD488" s="3">
        <v>11.115922335392732</v>
      </c>
      <c r="CE488" s="3">
        <v>10.30925566872606</v>
      </c>
      <c r="CF488" s="3">
        <v>-0.87741099794060773</v>
      </c>
      <c r="CG488" s="3">
        <v>-1.4107443312739392</v>
      </c>
      <c r="CH488" s="3">
        <v>-2.4874109979406072</v>
      </c>
      <c r="CI488" s="13">
        <f>[1]!dbasum(RecData[[#This Row],[20]:[2000]],RecData[[#Headers],[20]:[2000]])</f>
        <v>39.592986015409963</v>
      </c>
      <c r="CJ488" s="14">
        <v>8224</v>
      </c>
      <c r="CK488" s="15" t="s">
        <v>249</v>
      </c>
      <c r="CL488" s="15">
        <f>RecData[[#This Row],[Start Time]]</f>
        <v>43270.032638888886</v>
      </c>
      <c r="CM488" s="16">
        <f>RecData[[#This Row],[Wind Speed avg]]</f>
        <v>1.1100000000000001</v>
      </c>
      <c r="CN488" s="16">
        <f>RecData[[#This Row],[Wind Dir. avg]]</f>
        <v>138.80000000000001</v>
      </c>
      <c r="CO488" s="16">
        <f>RecData[[#This Row],[Amb. Humidity]]</f>
        <v>62</v>
      </c>
      <c r="CP488" s="16">
        <f>RecData[[#This Row],[Amb. Temperature]]</f>
        <v>17</v>
      </c>
      <c r="CQ488" s="17">
        <f>RecData[[#This Row],[Amb. Rain Gauge]]</f>
        <v>0</v>
      </c>
      <c r="CR488" s="4" t="s">
        <v>1</v>
      </c>
      <c r="CS488" s="4" t="s">
        <v>49</v>
      </c>
      <c r="CT488" s="70">
        <v>1619.11010742187</v>
      </c>
      <c r="CU488" s="70">
        <v>21.000186920166001</v>
      </c>
      <c r="CV488" s="70">
        <v>11.278901100158601</v>
      </c>
      <c r="CW488" s="70">
        <v>15.2868385314941</v>
      </c>
      <c r="CX488" s="4"/>
      <c r="CY488" s="69"/>
      <c r="CZ488" s="2" t="b">
        <f>IF($DP$1="YES",IF(RecData[[#This Row],[Power (kW)]]&gt;=$CR$3, TRUE,FALSE),TRUE)</f>
        <v>1</v>
      </c>
      <c r="DA488" s="16">
        <f>MIN(MOD(180-ABS(ABS($DA$1-RecData[Yaw Angle (°)])-180),360),MOD(180-ABS(ABS($DB$1-RecData[Yaw Angle (°)])-180),360))</f>
        <v>13.470260142478452</v>
      </c>
      <c r="DB488" s="2" t="str">
        <f>IF($DP$2="None","None",IF(RecData[[#This Row],[Relative Wind Direction]]&lt;=45,"DW",IF(RecData[[#This Row],[Relative Wind Direction]]&lt;=135,"CW","UW")))</f>
        <v>DW</v>
      </c>
      <c r="DC488" s="61" t="e">
        <f>IF($CL488-$CL486&gt;1/24,#REF!,IF(SUM($CQ486:$CQ488)&gt;$DS$1,$DS$5,DC489-1))</f>
        <v>#REF!</v>
      </c>
      <c r="DD488" s="61" t="e">
        <f>IF($CL489-$CL488&gt;1/24,#REF!,IF(SUM($CQ486:$CQ488)&gt;$DS$1,$DS$6,#REF!-1))</f>
        <v>#REF!</v>
      </c>
      <c r="DE488" s="18" t="b">
        <v>0</v>
      </c>
      <c r="DF488" s="2" t="b">
        <f>IF(OR(RecData[[#This Row],[WSpd_Avg '[m/s']]]-RecData[[#This Row],[Wind Speed min]]&gt;=$DF$3,RecData[[#This Row],[Wind Speed max]]-RecData[[#This Row],[WSpd_Avg '[m/s']]]&gt;=$DF$2),TRUE,FALSE)</f>
        <v>0</v>
      </c>
      <c r="DG488" s="2" t="b">
        <f>RecData[[#This Row],[Temperature '[°C']]]&lt;=-20</f>
        <v>0</v>
      </c>
      <c r="DH488" s="18" t="b">
        <f>NOT(OR(MOD(RecData[[#This Row],[TIMESTAMP]],1)&gt;0.91632,MOD(RecData[[#This Row],[TIMESTAMP]],1)&lt;0.208681))</f>
        <v>0</v>
      </c>
      <c r="DI488" s="18" t="b">
        <f>RecData[[#This Row],[Overall (dBA)]]-RecData[[#This Row],[L90]]&gt;=$DS$4</f>
        <v>0</v>
      </c>
      <c r="DJ488" s="18" t="b">
        <f>RecData[[#This Row],[Overall (dBA)]]&gt;$DS$2</f>
        <v>0</v>
      </c>
      <c r="DK488" s="18" t="b">
        <f>RecData[[#This Row],[Overall (dBA)]]&lt;$DS$3</f>
        <v>0</v>
      </c>
      <c r="DL4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8" s="2">
        <f>IF(AND(RecData[[#This Row],[Turbines ON/OFF]] = "OFF", NOT(OR(RecData[[#This Row],[Junk?]]="YES",RecData[[#This Row],[Gust?]],RecData[[#This Row],[Rain?]:[Min SPL Threshold?]]))),1,0)</f>
        <v>0</v>
      </c>
      <c r="DN488" s="16">
        <f>RecData[[#This Row],[dBA Sum]]</f>
        <v>39.592986015409963</v>
      </c>
      <c r="DO488" s="16">
        <f>RecData[[#This Row],[LAF90.0]]</f>
        <v>38.6</v>
      </c>
      <c r="DP488" s="55">
        <f>IF(AND(RecData[[#This Row],[Useable TON Data?]],RecData[[#This Row],[Turbines ON/OFF]]="ON"),RecData[[#This Row],[dBA Sum]],"")</f>
        <v>39.592986015409963</v>
      </c>
      <c r="DQ488" s="55" t="str">
        <f>IF(AND(RecData[[#This Row],[Useable Background Data?]],RecData[[#This Row],[Turbines ON/OFF]]="OFF"),RecData[[#This Row],[dBA Sum]],"")</f>
        <v/>
      </c>
      <c r="DR488" s="3">
        <f>IF(OR(RecData[[#This Row],[Useable TON Data?]],RecData[[#This Row],[Useable Background Data?]]),ROUND(RecData[[#This Row],[WSpd_Avg '[m/s']]],0),"")</f>
        <v>1</v>
      </c>
      <c r="DS488" s="85">
        <f>(0.00002)^2*(10^(RecData[[#This Row],[Overall (dBA)]]/10))</f>
        <v>3.6421564143615095E-6</v>
      </c>
    </row>
    <row r="489" spans="1:123" ht="15" x14ac:dyDescent="0.25">
      <c r="A489" s="3" t="s">
        <v>249</v>
      </c>
      <c r="B489" s="12">
        <v>43270.033333333333</v>
      </c>
      <c r="C489" s="3"/>
      <c r="D489" s="3">
        <v>40.200000000000003</v>
      </c>
      <c r="E489" s="3"/>
      <c r="F489" s="3"/>
      <c r="G489" s="3"/>
      <c r="H489" s="3"/>
      <c r="I489" s="3"/>
      <c r="J489" s="3"/>
      <c r="K489" s="3">
        <v>39</v>
      </c>
      <c r="L489" s="3"/>
      <c r="M489" s="3"/>
      <c r="N489" s="3">
        <v>99.8</v>
      </c>
      <c r="O489" s="3"/>
      <c r="P489" s="3"/>
      <c r="Q489" s="3">
        <v>0.93</v>
      </c>
      <c r="R489" s="3">
        <v>0.5</v>
      </c>
      <c r="S489" s="3">
        <v>1.4</v>
      </c>
      <c r="T489" s="3">
        <v>16.899999999999999</v>
      </c>
      <c r="U489" s="3">
        <v>61.3</v>
      </c>
      <c r="V489" s="3">
        <v>972.6</v>
      </c>
      <c r="W489" s="3">
        <v>0</v>
      </c>
      <c r="X489" s="3">
        <v>47.6</v>
      </c>
      <c r="Y489" s="3">
        <v>48</v>
      </c>
      <c r="Z489" s="3">
        <v>46.8</v>
      </c>
      <c r="AA489" s="3">
        <v>40.700000000000003</v>
      </c>
      <c r="AB489" s="3">
        <v>37.799999999999997</v>
      </c>
      <c r="AC489" s="3">
        <v>36.4</v>
      </c>
      <c r="AD489" s="3">
        <v>39.1</v>
      </c>
      <c r="AE489" s="3">
        <v>41.2</v>
      </c>
      <c r="AF489" s="3">
        <v>44.5</v>
      </c>
      <c r="AG489" s="3">
        <v>37.9</v>
      </c>
      <c r="AH489" s="3">
        <v>37</v>
      </c>
      <c r="AI489" s="3">
        <v>36.799999999999997</v>
      </c>
      <c r="AJ489" s="3">
        <v>36</v>
      </c>
      <c r="AK489" s="3">
        <v>34.1</v>
      </c>
      <c r="AL489" s="3">
        <v>32.6</v>
      </c>
      <c r="AM489" s="3">
        <v>32.4</v>
      </c>
      <c r="AN489" s="3">
        <v>31.2</v>
      </c>
      <c r="AO489" s="3">
        <v>28.8</v>
      </c>
      <c r="AP489" s="3">
        <v>27</v>
      </c>
      <c r="AQ489" s="3">
        <v>25.7</v>
      </c>
      <c r="AR489" s="3">
        <v>24.1</v>
      </c>
      <c r="AS489" s="3">
        <v>24.1</v>
      </c>
      <c r="AT489" s="3">
        <v>28.1</v>
      </c>
      <c r="AU489" s="3">
        <v>17.899999999999999</v>
      </c>
      <c r="AV489" s="3">
        <v>15.5</v>
      </c>
      <c r="AW489" s="3">
        <v>14.2</v>
      </c>
      <c r="AX489" s="3">
        <v>10.9</v>
      </c>
      <c r="AY489" s="3">
        <v>9.9</v>
      </c>
      <c r="AZ489" s="3">
        <v>0</v>
      </c>
      <c r="BA489" s="3">
        <v>0</v>
      </c>
      <c r="BB489" s="3">
        <v>0</v>
      </c>
      <c r="BC489" s="3">
        <v>40.230395707980577</v>
      </c>
      <c r="BD489" s="3">
        <v>47.569604292019434</v>
      </c>
      <c r="BE489" s="3">
        <v>47.969604292019426</v>
      </c>
      <c r="BF489" s="3">
        <v>45.529604292019414</v>
      </c>
      <c r="BG489" s="3">
        <v>39.756270958686102</v>
      </c>
      <c r="BH489" s="3">
        <v>36.996270958686083</v>
      </c>
      <c r="BI489" s="3">
        <v>36.009604292019432</v>
      </c>
      <c r="BJ489" s="3">
        <v>39.502937625352757</v>
      </c>
      <c r="BK489" s="3">
        <v>41.476270958686101</v>
      </c>
      <c r="BL489" s="3">
        <v>44.349604292019436</v>
      </c>
      <c r="BM489" s="3">
        <v>37.882937625352767</v>
      </c>
      <c r="BN489" s="3">
        <v>37.266270958686093</v>
      </c>
      <c r="BO489" s="3">
        <v>36.43293762535275</v>
      </c>
      <c r="BP489" s="3">
        <v>35.349604292019436</v>
      </c>
      <c r="BQ489" s="3">
        <v>33.866270958686087</v>
      </c>
      <c r="BR489" s="3">
        <v>32.692937625352769</v>
      </c>
      <c r="BS489" s="3">
        <v>32.296270958686094</v>
      </c>
      <c r="BT489" s="3">
        <v>31.292937625352764</v>
      </c>
      <c r="BU489" s="3">
        <v>28.859604292019426</v>
      </c>
      <c r="BV489" s="3">
        <v>26.776270958686098</v>
      </c>
      <c r="BW489" s="3">
        <v>26.009604292019432</v>
      </c>
      <c r="BX489" s="3">
        <v>24.329604292019425</v>
      </c>
      <c r="BY489" s="3">
        <v>24.149604292019418</v>
      </c>
      <c r="BZ489" s="3">
        <v>28.279604292019428</v>
      </c>
      <c r="CA489" s="3">
        <v>18.17960429201942</v>
      </c>
      <c r="CB489" s="3">
        <v>15.216270958686088</v>
      </c>
      <c r="CC489" s="3">
        <v>14.129604292019422</v>
      </c>
      <c r="CD489" s="3">
        <v>10.136270958686097</v>
      </c>
      <c r="CE489" s="3">
        <v>9.3296042920194253</v>
      </c>
      <c r="CF489" s="3">
        <v>-0.95706237464724353</v>
      </c>
      <c r="CG489" s="3">
        <v>-1.490395707980575</v>
      </c>
      <c r="CH489" s="3">
        <v>-2.567062374647243</v>
      </c>
      <c r="CI489" s="13">
        <f>[1]!dbasum(RecData[[#This Row],[20]:[2000]],RecData[[#Headers],[20]:[2000]])</f>
        <v>39.561005585546468</v>
      </c>
      <c r="CJ489" s="14">
        <v>8225</v>
      </c>
      <c r="CK489" s="15" t="s">
        <v>249</v>
      </c>
      <c r="CL489" s="15">
        <f>RecData[[#This Row],[Start Time]]</f>
        <v>43270.033333333333</v>
      </c>
      <c r="CM489" s="16">
        <f>RecData[[#This Row],[Wind Speed avg]]</f>
        <v>0.93</v>
      </c>
      <c r="CN489" s="16">
        <f>RecData[[#This Row],[Wind Dir. avg]]</f>
        <v>99.8</v>
      </c>
      <c r="CO489" s="16">
        <f>RecData[[#This Row],[Amb. Humidity]]</f>
        <v>61.3</v>
      </c>
      <c r="CP489" s="16">
        <f>RecData[[#This Row],[Amb. Temperature]]</f>
        <v>16.899999999999999</v>
      </c>
      <c r="CQ489" s="17">
        <f>RecData[[#This Row],[Amb. Rain Gauge]]</f>
        <v>0</v>
      </c>
      <c r="CR489" s="4" t="s">
        <v>1</v>
      </c>
      <c r="CS489" s="4" t="s">
        <v>49</v>
      </c>
      <c r="CT489" s="70">
        <v>1619.11010742187</v>
      </c>
      <c r="CU489" s="70">
        <v>21.000186920166001</v>
      </c>
      <c r="CV489" s="70">
        <v>11.278901100158601</v>
      </c>
      <c r="CW489" s="70">
        <v>15.2868385314941</v>
      </c>
      <c r="CX489" s="4"/>
      <c r="CY489" s="69"/>
      <c r="CZ489" s="2" t="b">
        <f>IF($DP$1="YES",IF(RecData[[#This Row],[Power (kW)]]&gt;=$CR$3, TRUE,FALSE),TRUE)</f>
        <v>1</v>
      </c>
      <c r="DA489" s="16">
        <f>MIN(MOD(180-ABS(ABS($DA$1-RecData[Yaw Angle (°)])-180),360),MOD(180-ABS(ABS($DB$1-RecData[Yaw Angle (°)])-180),360))</f>
        <v>13.470260142478452</v>
      </c>
      <c r="DB489" s="2" t="str">
        <f>IF($DP$2="None","None",IF(RecData[[#This Row],[Relative Wind Direction]]&lt;=45,"DW",IF(RecData[[#This Row],[Relative Wind Direction]]&lt;=135,"CW","UW")))</f>
        <v>DW</v>
      </c>
      <c r="DC489" s="61" t="e">
        <f>IF($CL489-$CL487&gt;1/24,#REF!,IF(SUM($CQ487:$CQ489)&gt;$DS$1,$DS$5,DC490-1))</f>
        <v>#REF!</v>
      </c>
      <c r="DD489" s="61" t="e">
        <f>IF($CL490-$CL489&gt;1/24,#REF!,IF(SUM($CQ487:$CQ489)&gt;$DS$1,$DS$6,DD488-1))</f>
        <v>#REF!</v>
      </c>
      <c r="DE489" s="18" t="b">
        <v>0</v>
      </c>
      <c r="DF489" s="2" t="b">
        <f>IF(OR(RecData[[#This Row],[WSpd_Avg '[m/s']]]-RecData[[#This Row],[Wind Speed min]]&gt;=$DF$3,RecData[[#This Row],[Wind Speed max]]-RecData[[#This Row],[WSpd_Avg '[m/s']]]&gt;=$DF$2),TRUE,FALSE)</f>
        <v>0</v>
      </c>
      <c r="DG489" s="2" t="b">
        <f>RecData[[#This Row],[Temperature '[°C']]]&lt;=-20</f>
        <v>0</v>
      </c>
      <c r="DH489" s="18" t="b">
        <f>NOT(OR(MOD(RecData[[#This Row],[TIMESTAMP]],1)&gt;0.91632,MOD(RecData[[#This Row],[TIMESTAMP]],1)&lt;0.208681))</f>
        <v>0</v>
      </c>
      <c r="DI489" s="18" t="b">
        <f>RecData[[#This Row],[Overall (dBA)]]-RecData[[#This Row],[L90]]&gt;=$DS$4</f>
        <v>0</v>
      </c>
      <c r="DJ489" s="18" t="b">
        <f>RecData[[#This Row],[Overall (dBA)]]&gt;$DS$2</f>
        <v>0</v>
      </c>
      <c r="DK489" s="18" t="b">
        <f>RecData[[#This Row],[Overall (dBA)]]&lt;$DS$3</f>
        <v>0</v>
      </c>
      <c r="DL4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89" s="2">
        <f>IF(AND(RecData[[#This Row],[Turbines ON/OFF]] = "OFF", NOT(OR(RecData[[#This Row],[Junk?]]="YES",RecData[[#This Row],[Gust?]],RecData[[#This Row],[Rain?]:[Min SPL Threshold?]]))),1,0)</f>
        <v>0</v>
      </c>
      <c r="DN489" s="16">
        <f>RecData[[#This Row],[dBA Sum]]</f>
        <v>39.561005585546468</v>
      </c>
      <c r="DO489" s="16">
        <f>RecData[[#This Row],[LAF90.0]]</f>
        <v>39</v>
      </c>
      <c r="DP489" s="55">
        <f>IF(AND(RecData[[#This Row],[Useable TON Data?]],RecData[[#This Row],[Turbines ON/OFF]]="ON"),RecData[[#This Row],[dBA Sum]],"")</f>
        <v>39.561005585546468</v>
      </c>
      <c r="DQ489" s="55" t="str">
        <f>IF(AND(RecData[[#This Row],[Useable Background Data?]],RecData[[#This Row],[Turbines ON/OFF]]="OFF"),RecData[[#This Row],[dBA Sum]],"")</f>
        <v/>
      </c>
      <c r="DR489" s="3">
        <f>IF(OR(RecData[[#This Row],[Useable TON Data?]],RecData[[#This Row],[Useable Background Data?]]),ROUND(RecData[[#This Row],[WSpd_Avg '[m/s']]],0),"")</f>
        <v>1</v>
      </c>
      <c r="DS489" s="85">
        <f>(0.00002)^2*(10^(RecData[[#This Row],[Overall (dBA)]]/10))</f>
        <v>3.6154349325194576E-6</v>
      </c>
    </row>
    <row r="490" spans="1:123" ht="15" x14ac:dyDescent="0.25">
      <c r="A490" s="3" t="s">
        <v>249</v>
      </c>
      <c r="B490" s="12">
        <v>43270.03402777778</v>
      </c>
      <c r="C490" s="3"/>
      <c r="D490" s="3">
        <v>39.5</v>
      </c>
      <c r="E490" s="3"/>
      <c r="F490" s="3"/>
      <c r="G490" s="3"/>
      <c r="H490" s="3"/>
      <c r="I490" s="3"/>
      <c r="J490" s="3"/>
      <c r="K490" s="3">
        <v>37.799999999999997</v>
      </c>
      <c r="L490" s="3"/>
      <c r="M490" s="3"/>
      <c r="N490" s="3">
        <v>130.1</v>
      </c>
      <c r="O490" s="3"/>
      <c r="P490" s="3"/>
      <c r="Q490" s="3">
        <v>0.45</v>
      </c>
      <c r="R490" s="3">
        <v>0.1</v>
      </c>
      <c r="S490" s="3">
        <v>1.2</v>
      </c>
      <c r="T490" s="3">
        <v>16.899999999999999</v>
      </c>
      <c r="U490" s="3">
        <v>62</v>
      </c>
      <c r="V490" s="3">
        <v>972.6</v>
      </c>
      <c r="W490" s="3">
        <v>0</v>
      </c>
      <c r="X490" s="3">
        <v>47.8</v>
      </c>
      <c r="Y490" s="3">
        <v>47.6</v>
      </c>
      <c r="Z490" s="3">
        <v>47</v>
      </c>
      <c r="AA490" s="3">
        <v>41.6</v>
      </c>
      <c r="AB490" s="3">
        <v>37.200000000000003</v>
      </c>
      <c r="AC490" s="3">
        <v>36</v>
      </c>
      <c r="AD490" s="3">
        <v>39.799999999999997</v>
      </c>
      <c r="AE490" s="3">
        <v>41.7</v>
      </c>
      <c r="AF490" s="3">
        <v>44.3</v>
      </c>
      <c r="AG490" s="3">
        <v>37</v>
      </c>
      <c r="AH490" s="3">
        <v>36.700000000000003</v>
      </c>
      <c r="AI490" s="3">
        <v>36</v>
      </c>
      <c r="AJ490" s="3">
        <v>35.4</v>
      </c>
      <c r="AK490" s="3">
        <v>33.5</v>
      </c>
      <c r="AL490" s="3">
        <v>31.8</v>
      </c>
      <c r="AM490" s="3">
        <v>31.6</v>
      </c>
      <c r="AN490" s="3">
        <v>30.6</v>
      </c>
      <c r="AO490" s="3">
        <v>28.1</v>
      </c>
      <c r="AP490" s="3">
        <v>26.4</v>
      </c>
      <c r="AQ490" s="3">
        <v>24.4</v>
      </c>
      <c r="AR490" s="3">
        <v>22.2</v>
      </c>
      <c r="AS490" s="3">
        <v>22.2</v>
      </c>
      <c r="AT490" s="3">
        <v>26.9</v>
      </c>
      <c r="AU490" s="3">
        <v>15.1</v>
      </c>
      <c r="AV490" s="3">
        <v>13.6</v>
      </c>
      <c r="AW490" s="3">
        <v>12.9</v>
      </c>
      <c r="AX490" s="3">
        <v>10.199999999999999</v>
      </c>
      <c r="AY490" s="3">
        <v>9.6999999999999993</v>
      </c>
      <c r="AZ490" s="3">
        <v>0</v>
      </c>
      <c r="BA490" s="3">
        <v>0</v>
      </c>
      <c r="BB490" s="3">
        <v>0</v>
      </c>
      <c r="BC490" s="3">
        <v>39.464783506568139</v>
      </c>
      <c r="BD490" s="3">
        <v>47.835216493431858</v>
      </c>
      <c r="BE490" s="3">
        <v>47.635216493431855</v>
      </c>
      <c r="BF490" s="3">
        <v>45.795216493431852</v>
      </c>
      <c r="BG490" s="3">
        <v>40.721883160098528</v>
      </c>
      <c r="BH490" s="3">
        <v>36.461883160098537</v>
      </c>
      <c r="BI490" s="3">
        <v>35.675216493431861</v>
      </c>
      <c r="BJ490" s="3">
        <v>40.268549826765181</v>
      </c>
      <c r="BK490" s="3">
        <v>42.041883160098521</v>
      </c>
      <c r="BL490" s="3">
        <v>44.215216493431868</v>
      </c>
      <c r="BM490" s="3">
        <v>37.048549826765196</v>
      </c>
      <c r="BN490" s="3">
        <v>37.031883160098531</v>
      </c>
      <c r="BO490" s="3">
        <v>35.698549826765188</v>
      </c>
      <c r="BP490" s="3">
        <v>34.815216493431862</v>
      </c>
      <c r="BQ490" s="3">
        <v>33.331883160098513</v>
      </c>
      <c r="BR490" s="3">
        <v>31.958549826765193</v>
      </c>
      <c r="BS490" s="3">
        <v>31.561883160098532</v>
      </c>
      <c r="BT490" s="3">
        <v>30.75854982676519</v>
      </c>
      <c r="BU490" s="3">
        <v>28.225216493431859</v>
      </c>
      <c r="BV490" s="3">
        <v>26.241883160098524</v>
      </c>
      <c r="BW490" s="3">
        <v>24.77521649343187</v>
      </c>
      <c r="BX490" s="3">
        <v>22.495216493431869</v>
      </c>
      <c r="BY490" s="3">
        <v>22.315216493431862</v>
      </c>
      <c r="BZ490" s="3">
        <v>27.14521649343186</v>
      </c>
      <c r="CA490" s="3">
        <v>15.445216493431857</v>
      </c>
      <c r="CB490" s="3">
        <v>13.381883160098525</v>
      </c>
      <c r="CC490" s="3">
        <v>12.89521649343186</v>
      </c>
      <c r="CD490" s="3">
        <v>9.5018831600985294</v>
      </c>
      <c r="CE490" s="3">
        <v>9.1952164934318574</v>
      </c>
      <c r="CF490" s="3">
        <v>-0.89145017323480857</v>
      </c>
      <c r="CG490" s="3">
        <v>-1.42478350656814</v>
      </c>
      <c r="CH490" s="3">
        <v>-2.501450173234808</v>
      </c>
      <c r="CI490" s="13">
        <f>[1]!dbasum(RecData[[#This Row],[20]:[2000]],RecData[[#Headers],[20]:[2000]])</f>
        <v>38.951497968800226</v>
      </c>
      <c r="CJ490" s="14">
        <v>8226</v>
      </c>
      <c r="CK490" s="15" t="s">
        <v>249</v>
      </c>
      <c r="CL490" s="15">
        <f>RecData[[#This Row],[Start Time]]</f>
        <v>43270.03402777778</v>
      </c>
      <c r="CM490" s="16">
        <f>RecData[[#This Row],[Wind Speed avg]]</f>
        <v>0.45</v>
      </c>
      <c r="CN490" s="16">
        <f>RecData[[#This Row],[Wind Dir. avg]]</f>
        <v>130.1</v>
      </c>
      <c r="CO490" s="16">
        <f>RecData[[#This Row],[Amb. Humidity]]</f>
        <v>62</v>
      </c>
      <c r="CP490" s="16">
        <f>RecData[[#This Row],[Amb. Temperature]]</f>
        <v>16.899999999999999</v>
      </c>
      <c r="CQ490" s="17">
        <f>RecData[[#This Row],[Amb. Rain Gauge]]</f>
        <v>0</v>
      </c>
      <c r="CR490" s="4" t="s">
        <v>1</v>
      </c>
      <c r="CS490" s="4" t="s">
        <v>49</v>
      </c>
      <c r="CT490" s="70">
        <v>1619.11010742187</v>
      </c>
      <c r="CU490" s="70">
        <v>21.000186920166001</v>
      </c>
      <c r="CV490" s="70">
        <v>11.278901100158601</v>
      </c>
      <c r="CW490" s="70">
        <v>15.2868385314941</v>
      </c>
      <c r="CX490" s="4"/>
      <c r="CY490" s="69"/>
      <c r="CZ490" s="2" t="b">
        <f>IF($DP$1="YES",IF(RecData[[#This Row],[Power (kW)]]&gt;=$CR$3, TRUE,FALSE),TRUE)</f>
        <v>1</v>
      </c>
      <c r="DA490" s="16">
        <f>MIN(MOD(180-ABS(ABS($DA$1-RecData[Yaw Angle (°)])-180),360),MOD(180-ABS(ABS($DB$1-RecData[Yaw Angle (°)])-180),360))</f>
        <v>13.470260142478452</v>
      </c>
      <c r="DB490" s="2" t="str">
        <f>IF($DP$2="None","None",IF(RecData[[#This Row],[Relative Wind Direction]]&lt;=45,"DW",IF(RecData[[#This Row],[Relative Wind Direction]]&lt;=135,"CW","UW")))</f>
        <v>DW</v>
      </c>
      <c r="DC490" s="61" t="e">
        <f>IF($CL490-#REF!&gt;1/24,#REF!,IF(SUM($CQ488:$CQ490)&gt;$DS$1,$DS$5,DC491-1))</f>
        <v>#REF!</v>
      </c>
      <c r="DD490" s="61" t="e">
        <f>IF($CL491-$CL490&gt;1/24,#REF!,IF(SUM($CQ488:$CQ490)&gt;$DS$1,$DS$6,DD489-1))</f>
        <v>#REF!</v>
      </c>
      <c r="DE490" s="18" t="b">
        <v>0</v>
      </c>
      <c r="DF490" s="2" t="b">
        <f>IF(OR(RecData[[#This Row],[WSpd_Avg '[m/s']]]-RecData[[#This Row],[Wind Speed min]]&gt;=$DF$3,RecData[[#This Row],[Wind Speed max]]-RecData[[#This Row],[WSpd_Avg '[m/s']]]&gt;=$DF$2),TRUE,FALSE)</f>
        <v>0</v>
      </c>
      <c r="DG490" s="2" t="b">
        <f>RecData[[#This Row],[Temperature '[°C']]]&lt;=-20</f>
        <v>0</v>
      </c>
      <c r="DH490" s="18" t="b">
        <f>NOT(OR(MOD(RecData[[#This Row],[TIMESTAMP]],1)&gt;0.91632,MOD(RecData[[#This Row],[TIMESTAMP]],1)&lt;0.208681))</f>
        <v>0</v>
      </c>
      <c r="DI490" s="18" t="b">
        <f>RecData[[#This Row],[Overall (dBA)]]-RecData[[#This Row],[L90]]&gt;=$DS$4</f>
        <v>0</v>
      </c>
      <c r="DJ490" s="18" t="b">
        <f>RecData[[#This Row],[Overall (dBA)]]&gt;$DS$2</f>
        <v>0</v>
      </c>
      <c r="DK490" s="18" t="b">
        <f>RecData[[#This Row],[Overall (dBA)]]&lt;$DS$3</f>
        <v>0</v>
      </c>
      <c r="DL4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0" s="2">
        <f>IF(AND(RecData[[#This Row],[Turbines ON/OFF]] = "OFF", NOT(OR(RecData[[#This Row],[Junk?]]="YES",RecData[[#This Row],[Gust?]],RecData[[#This Row],[Rain?]:[Min SPL Threshold?]]))),1,0)</f>
        <v>0</v>
      </c>
      <c r="DN490" s="16">
        <f>RecData[[#This Row],[dBA Sum]]</f>
        <v>38.951497968800226</v>
      </c>
      <c r="DO490" s="16">
        <f>RecData[[#This Row],[LAF90.0]]</f>
        <v>37.799999999999997</v>
      </c>
      <c r="DP490" s="55">
        <f>IF(AND(RecData[[#This Row],[Useable TON Data?]],RecData[[#This Row],[Turbines ON/OFF]]="ON"),RecData[[#This Row],[dBA Sum]],"")</f>
        <v>38.951497968800226</v>
      </c>
      <c r="DQ490" s="55" t="str">
        <f>IF(AND(RecData[[#This Row],[Useable Background Data?]],RecData[[#This Row],[Turbines ON/OFF]]="OFF"),RecData[[#This Row],[dBA Sum]],"")</f>
        <v/>
      </c>
      <c r="DR490" s="3">
        <f>IF(OR(RecData[[#This Row],[Useable TON Data?]],RecData[[#This Row],[Useable Background Data?]]),ROUND(RecData[[#This Row],[WSpd_Avg '[m/s']]],0),"")</f>
        <v>0</v>
      </c>
      <c r="DS490" s="85">
        <f>(0.00002)^2*(10^(RecData[[#This Row],[Overall (dBA)]]/10))</f>
        <v>3.1420260993984787E-6</v>
      </c>
    </row>
    <row r="491" spans="1:123" ht="15" x14ac:dyDescent="0.25">
      <c r="A491" s="3" t="s">
        <v>249</v>
      </c>
      <c r="B491" s="12">
        <v>43270.034722222219</v>
      </c>
      <c r="C491" s="3"/>
      <c r="D491" s="3">
        <v>39.799999999999997</v>
      </c>
      <c r="E491" s="3"/>
      <c r="F491" s="3"/>
      <c r="G491" s="3"/>
      <c r="H491" s="3"/>
      <c r="I491" s="3"/>
      <c r="J491" s="3"/>
      <c r="K491" s="3">
        <v>38.6</v>
      </c>
      <c r="L491" s="3"/>
      <c r="M491" s="3"/>
      <c r="N491" s="3">
        <v>167.7</v>
      </c>
      <c r="O491" s="3"/>
      <c r="P491" s="3"/>
      <c r="Q491" s="3">
        <v>0.88</v>
      </c>
      <c r="R491" s="3">
        <v>0.1</v>
      </c>
      <c r="S491" s="3">
        <v>1.8</v>
      </c>
      <c r="T491" s="3">
        <v>16.899999999999999</v>
      </c>
      <c r="U491" s="3">
        <v>62</v>
      </c>
      <c r="V491" s="3">
        <v>972.6</v>
      </c>
      <c r="W491" s="3">
        <v>0</v>
      </c>
      <c r="X491" s="3">
        <v>47.1</v>
      </c>
      <c r="Y491" s="3">
        <v>47</v>
      </c>
      <c r="Z491" s="3">
        <v>46.1</v>
      </c>
      <c r="AA491" s="3">
        <v>40.299999999999997</v>
      </c>
      <c r="AB491" s="3">
        <v>36.700000000000003</v>
      </c>
      <c r="AC491" s="3">
        <v>35.4</v>
      </c>
      <c r="AD491" s="3">
        <v>39</v>
      </c>
      <c r="AE491" s="3">
        <v>41.1</v>
      </c>
      <c r="AF491" s="3">
        <v>43.5</v>
      </c>
      <c r="AG491" s="3">
        <v>36.9</v>
      </c>
      <c r="AH491" s="3">
        <v>37</v>
      </c>
      <c r="AI491" s="3">
        <v>36.700000000000003</v>
      </c>
      <c r="AJ491" s="3">
        <v>36</v>
      </c>
      <c r="AK491" s="3">
        <v>34.299999999999997</v>
      </c>
      <c r="AL491" s="3">
        <v>32.799999999999997</v>
      </c>
      <c r="AM491" s="3">
        <v>32.4</v>
      </c>
      <c r="AN491" s="3">
        <v>31.2</v>
      </c>
      <c r="AO491" s="3">
        <v>28.7</v>
      </c>
      <c r="AP491" s="3">
        <v>26.7</v>
      </c>
      <c r="AQ491" s="3">
        <v>24.9</v>
      </c>
      <c r="AR491" s="3">
        <v>22.7</v>
      </c>
      <c r="AS491" s="3">
        <v>21.3</v>
      </c>
      <c r="AT491" s="3">
        <v>24.8</v>
      </c>
      <c r="AU491" s="3">
        <v>16.7</v>
      </c>
      <c r="AV491" s="3">
        <v>15.8</v>
      </c>
      <c r="AW491" s="3">
        <v>15.3</v>
      </c>
      <c r="AX491" s="3">
        <v>12.2</v>
      </c>
      <c r="AY491" s="3">
        <v>11.2</v>
      </c>
      <c r="AZ491" s="3">
        <v>0</v>
      </c>
      <c r="BA491" s="3">
        <v>0</v>
      </c>
      <c r="BB491" s="3">
        <v>0</v>
      </c>
      <c r="BC491" s="3">
        <v>39.802444302272939</v>
      </c>
      <c r="BD491" s="3">
        <v>47.097555697727067</v>
      </c>
      <c r="BE491" s="3">
        <v>46.997555697727059</v>
      </c>
      <c r="BF491" s="3">
        <v>44.857555697727058</v>
      </c>
      <c r="BG491" s="3">
        <v>39.384222364393729</v>
      </c>
      <c r="BH491" s="3">
        <v>35.924222364393721</v>
      </c>
      <c r="BI491" s="3">
        <v>35.037555697727065</v>
      </c>
      <c r="BJ491" s="3">
        <v>39.430889031060381</v>
      </c>
      <c r="BK491" s="3">
        <v>41.404222364393725</v>
      </c>
      <c r="BL491" s="3">
        <v>43.377555697727068</v>
      </c>
      <c r="BM491" s="3">
        <v>36.9108890310604</v>
      </c>
      <c r="BN491" s="3">
        <v>37.294222364393725</v>
      </c>
      <c r="BO491" s="3">
        <v>36.360889031060388</v>
      </c>
      <c r="BP491" s="3">
        <v>35.377555697727068</v>
      </c>
      <c r="BQ491" s="3">
        <v>34.094222364393708</v>
      </c>
      <c r="BR491" s="3">
        <v>32.920889031060391</v>
      </c>
      <c r="BS491" s="3">
        <v>32.324222364393727</v>
      </c>
      <c r="BT491" s="3">
        <v>31.320889031060396</v>
      </c>
      <c r="BU491" s="3">
        <v>28.787555697727065</v>
      </c>
      <c r="BV491" s="3">
        <v>26.504222364393733</v>
      </c>
      <c r="BW491" s="3">
        <v>25.237555697727053</v>
      </c>
      <c r="BX491" s="3">
        <v>22.957555697727067</v>
      </c>
      <c r="BY491" s="3">
        <v>21.377555697727054</v>
      </c>
      <c r="BZ491" s="3">
        <v>25.007555697727064</v>
      </c>
      <c r="CA491" s="3">
        <v>17.007555697727049</v>
      </c>
      <c r="CB491" s="3">
        <v>15.544222364393725</v>
      </c>
      <c r="CC491" s="3">
        <v>15.257555697727057</v>
      </c>
      <c r="CD491" s="3">
        <v>11.464222364393727</v>
      </c>
      <c r="CE491" s="3">
        <v>10.657555697727055</v>
      </c>
      <c r="CF491" s="3">
        <v>-0.92911096893961087</v>
      </c>
      <c r="CG491" s="3">
        <v>-1.4624443022729423</v>
      </c>
      <c r="CH491" s="3">
        <v>-2.5391109689396103</v>
      </c>
      <c r="CI491" s="13">
        <f>[1]!dbasum(RecData[[#This Row],[20]:[2000]],RecData[[#Headers],[20]:[2000]])</f>
        <v>39.405399619389961</v>
      </c>
      <c r="CJ491" s="14">
        <v>8227</v>
      </c>
      <c r="CK491" s="15" t="s">
        <v>249</v>
      </c>
      <c r="CL491" s="15">
        <f>RecData[[#This Row],[Start Time]]</f>
        <v>43270.034722222219</v>
      </c>
      <c r="CM491" s="16">
        <f>RecData[[#This Row],[Wind Speed avg]]</f>
        <v>0.88</v>
      </c>
      <c r="CN491" s="16">
        <f>RecData[[#This Row],[Wind Dir. avg]]</f>
        <v>167.7</v>
      </c>
      <c r="CO491" s="16">
        <f>RecData[[#This Row],[Amb. Humidity]]</f>
        <v>62</v>
      </c>
      <c r="CP491" s="16">
        <f>RecData[[#This Row],[Amb. Temperature]]</f>
        <v>16.899999999999999</v>
      </c>
      <c r="CQ491" s="17">
        <f>RecData[[#This Row],[Amb. Rain Gauge]]</f>
        <v>0</v>
      </c>
      <c r="CR491" s="4" t="s">
        <v>1</v>
      </c>
      <c r="CS491" s="4" t="s">
        <v>49</v>
      </c>
      <c r="CT491" s="70">
        <v>1619.11010742187</v>
      </c>
      <c r="CU491" s="70">
        <v>21.000186920166001</v>
      </c>
      <c r="CV491" s="70">
        <v>11.278901100158601</v>
      </c>
      <c r="CW491" s="70">
        <v>15.2868385314941</v>
      </c>
      <c r="CX491" s="4"/>
      <c r="CY491" s="69"/>
      <c r="CZ491" s="2" t="b">
        <f>IF($DP$1="YES",IF(RecData[[#This Row],[Power (kW)]]&gt;=$CR$3, TRUE,FALSE),TRUE)</f>
        <v>1</v>
      </c>
      <c r="DA491" s="16">
        <f>MIN(MOD(180-ABS(ABS($DA$1-RecData[Yaw Angle (°)])-180),360),MOD(180-ABS(ABS($DB$1-RecData[Yaw Angle (°)])-180),360))</f>
        <v>13.470260142478452</v>
      </c>
      <c r="DB491" s="2" t="str">
        <f>IF($DP$2="None","None",IF(RecData[[#This Row],[Relative Wind Direction]]&lt;=45,"DW",IF(RecData[[#This Row],[Relative Wind Direction]]&lt;=135,"CW","UW")))</f>
        <v>DW</v>
      </c>
      <c r="DC491" s="61">
        <v>-1</v>
      </c>
      <c r="DD491" s="61">
        <v>-1</v>
      </c>
      <c r="DE491" s="18" t="b">
        <v>0</v>
      </c>
      <c r="DF491" s="2" t="b">
        <f>IF(OR(RecData[[#This Row],[WSpd_Avg '[m/s']]]-RecData[[#This Row],[Wind Speed min]]&gt;=$DF$3,RecData[[#This Row],[Wind Speed max]]-RecData[[#This Row],[WSpd_Avg '[m/s']]]&gt;=$DF$2),TRUE,FALSE)</f>
        <v>0</v>
      </c>
      <c r="DG491" s="2" t="b">
        <f>RecData[[#This Row],[Temperature '[°C']]]&lt;=-20</f>
        <v>0</v>
      </c>
      <c r="DH491" s="18" t="b">
        <f>NOT(OR(MOD(RecData[[#This Row],[TIMESTAMP]],1)&gt;0.91632,MOD(RecData[[#This Row],[TIMESTAMP]],1)&lt;0.208681))</f>
        <v>0</v>
      </c>
      <c r="DI491" s="18" t="b">
        <f>RecData[[#This Row],[Overall (dBA)]]-RecData[[#This Row],[L90]]&gt;=$DS$4</f>
        <v>0</v>
      </c>
      <c r="DJ491" s="18" t="b">
        <f>RecData[[#This Row],[Overall (dBA)]]&gt;$DS$2</f>
        <v>0</v>
      </c>
      <c r="DK491" s="18" t="b">
        <f>RecData[[#This Row],[Overall (dBA)]]&lt;$DS$3</f>
        <v>0</v>
      </c>
      <c r="DL4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1" s="2">
        <f>IF(AND(RecData[[#This Row],[Turbines ON/OFF]] = "OFF", NOT(OR(RecData[[#This Row],[Junk?]]="YES",RecData[[#This Row],[Gust?]],RecData[[#This Row],[Rain?]:[Min SPL Threshold?]]))),1,0)</f>
        <v>0</v>
      </c>
      <c r="DN491" s="16">
        <f>RecData[[#This Row],[dBA Sum]]</f>
        <v>39.405399619389961</v>
      </c>
      <c r="DO491" s="16">
        <f>RecData[[#This Row],[LAF90.0]]</f>
        <v>38.6</v>
      </c>
      <c r="DP491" s="55">
        <f>IF(AND(RecData[[#This Row],[Useable TON Data?]],RecData[[#This Row],[Turbines ON/OFF]]="ON"),RecData[[#This Row],[dBA Sum]],"")</f>
        <v>39.405399619389961</v>
      </c>
      <c r="DQ491" s="55" t="str">
        <f>IF(AND(RecData[[#This Row],[Useable Background Data?]],RecData[[#This Row],[Turbines ON/OFF]]="OFF"),RecData[[#This Row],[dBA Sum]],"")</f>
        <v/>
      </c>
      <c r="DR491" s="3">
        <f>IF(OR(RecData[[#This Row],[Useable TON Data?]],RecData[[#This Row],[Useable Background Data?]]),ROUND(RecData[[#This Row],[WSpd_Avg '[m/s']]],0),"")</f>
        <v>1</v>
      </c>
      <c r="DS491" s="85">
        <f>(0.00002)^2*(10^(RecData[[#This Row],[Overall (dBA)]]/10))</f>
        <v>3.4881885587204406E-6</v>
      </c>
    </row>
    <row r="492" spans="1:123" ht="15" x14ac:dyDescent="0.25">
      <c r="A492" s="3" t="s">
        <v>249</v>
      </c>
      <c r="B492" s="12">
        <v>43270.035416666666</v>
      </c>
      <c r="C492" s="3"/>
      <c r="D492" s="3">
        <v>40.4</v>
      </c>
      <c r="E492" s="3"/>
      <c r="F492" s="3"/>
      <c r="G492" s="3"/>
      <c r="H492" s="3"/>
      <c r="I492" s="3"/>
      <c r="J492" s="3"/>
      <c r="K492" s="3">
        <v>39.4</v>
      </c>
      <c r="L492" s="3"/>
      <c r="M492" s="3"/>
      <c r="N492" s="3">
        <v>191.4</v>
      </c>
      <c r="O492" s="3"/>
      <c r="P492" s="3"/>
      <c r="Q492" s="3">
        <v>0.6</v>
      </c>
      <c r="R492" s="3">
        <v>0</v>
      </c>
      <c r="S492" s="3">
        <v>1.6</v>
      </c>
      <c r="T492" s="3">
        <v>16.8</v>
      </c>
      <c r="U492" s="3">
        <v>61.6</v>
      </c>
      <c r="V492" s="3">
        <v>972.6</v>
      </c>
      <c r="W492" s="3">
        <v>0</v>
      </c>
      <c r="X492" s="3">
        <v>47.4</v>
      </c>
      <c r="Y492" s="3">
        <v>47.8</v>
      </c>
      <c r="Z492" s="3">
        <v>46.6</v>
      </c>
      <c r="AA492" s="3">
        <v>41.8</v>
      </c>
      <c r="AB492" s="3">
        <v>37.200000000000003</v>
      </c>
      <c r="AC492" s="3">
        <v>36.799999999999997</v>
      </c>
      <c r="AD492" s="3">
        <v>40.4</v>
      </c>
      <c r="AE492" s="3">
        <v>42.5</v>
      </c>
      <c r="AF492" s="3">
        <v>43.4</v>
      </c>
      <c r="AG492" s="3">
        <v>37</v>
      </c>
      <c r="AH492" s="3">
        <v>37.5</v>
      </c>
      <c r="AI492" s="3">
        <v>36.5</v>
      </c>
      <c r="AJ492" s="3">
        <v>36.299999999999997</v>
      </c>
      <c r="AK492" s="3">
        <v>34.4</v>
      </c>
      <c r="AL492" s="3">
        <v>32.799999999999997</v>
      </c>
      <c r="AM492" s="3">
        <v>33</v>
      </c>
      <c r="AN492" s="3">
        <v>31.8</v>
      </c>
      <c r="AO492" s="3">
        <v>29.3</v>
      </c>
      <c r="AP492" s="3">
        <v>27.6</v>
      </c>
      <c r="AQ492" s="3">
        <v>25.7</v>
      </c>
      <c r="AR492" s="3">
        <v>23.8</v>
      </c>
      <c r="AS492" s="3">
        <v>23.4</v>
      </c>
      <c r="AT492" s="3">
        <v>26.6</v>
      </c>
      <c r="AU492" s="3">
        <v>20.5</v>
      </c>
      <c r="AV492" s="3">
        <v>19.7</v>
      </c>
      <c r="AW492" s="3">
        <v>19.5</v>
      </c>
      <c r="AX492" s="3">
        <v>15.7</v>
      </c>
      <c r="AY492" s="3">
        <v>14.1</v>
      </c>
      <c r="AZ492" s="3">
        <v>0</v>
      </c>
      <c r="BA492" s="3">
        <v>0</v>
      </c>
      <c r="BB492" s="3">
        <v>0</v>
      </c>
      <c r="BC492" s="3">
        <v>40.407386922075339</v>
      </c>
      <c r="BD492" s="3">
        <v>47.392613077924658</v>
      </c>
      <c r="BE492" s="3">
        <v>47.792613077924649</v>
      </c>
      <c r="BF492" s="3">
        <v>45.352613077924651</v>
      </c>
      <c r="BG492" s="3">
        <v>40.879279744591322</v>
      </c>
      <c r="BH492" s="3">
        <v>36.419279744591329</v>
      </c>
      <c r="BI492" s="3">
        <v>36.432613077924664</v>
      </c>
      <c r="BJ492" s="3">
        <v>40.825946411257981</v>
      </c>
      <c r="BK492" s="3">
        <v>42.799279744591324</v>
      </c>
      <c r="BL492" s="3">
        <v>43.272613077924667</v>
      </c>
      <c r="BM492" s="3">
        <v>37.005946411257987</v>
      </c>
      <c r="BN492" s="3">
        <v>37.789279744591319</v>
      </c>
      <c r="BO492" s="3">
        <v>36.155946411257993</v>
      </c>
      <c r="BP492" s="3">
        <v>35.672613077924659</v>
      </c>
      <c r="BQ492" s="3">
        <v>34.189279744591325</v>
      </c>
      <c r="BR492" s="3">
        <v>32.915946411257984</v>
      </c>
      <c r="BS492" s="3">
        <v>32.919279744591329</v>
      </c>
      <c r="BT492" s="3">
        <v>31.915946411257998</v>
      </c>
      <c r="BU492" s="3">
        <v>29.382613077924667</v>
      </c>
      <c r="BV492" s="3">
        <v>27.399279744591333</v>
      </c>
      <c r="BW492" s="3">
        <v>26.032613077924658</v>
      </c>
      <c r="BX492" s="3">
        <v>24.052613077924669</v>
      </c>
      <c r="BY492" s="3">
        <v>23.472613077924656</v>
      </c>
      <c r="BZ492" s="3">
        <v>26.802613077924669</v>
      </c>
      <c r="CA492" s="3">
        <v>20.802613077924654</v>
      </c>
      <c r="CB492" s="3">
        <v>19.439279744591325</v>
      </c>
      <c r="CC492" s="3">
        <v>19.45261307792466</v>
      </c>
      <c r="CD492" s="3">
        <v>14.959279744591328</v>
      </c>
      <c r="CE492" s="3">
        <v>13.552613077924654</v>
      </c>
      <c r="CF492" s="3">
        <v>-0.93405358874201028</v>
      </c>
      <c r="CG492" s="3">
        <v>-1.4673869220753417</v>
      </c>
      <c r="CH492" s="3">
        <v>-2.5440535887420097</v>
      </c>
      <c r="CI492" s="13">
        <f>[1]!dbasum(RecData[[#This Row],[20]:[2000]],RecData[[#Headers],[20]:[2000]])</f>
        <v>39.827884942809419</v>
      </c>
      <c r="CJ492" s="14">
        <v>8228</v>
      </c>
      <c r="CK492" s="15" t="s">
        <v>249</v>
      </c>
      <c r="CL492" s="15">
        <f>RecData[[#This Row],[Start Time]]</f>
        <v>43270.035416666666</v>
      </c>
      <c r="CM492" s="16">
        <f>RecData[[#This Row],[Wind Speed avg]]</f>
        <v>0.6</v>
      </c>
      <c r="CN492" s="16">
        <f>RecData[[#This Row],[Wind Dir. avg]]</f>
        <v>191.4</v>
      </c>
      <c r="CO492" s="16">
        <f>RecData[[#This Row],[Amb. Humidity]]</f>
        <v>61.6</v>
      </c>
      <c r="CP492" s="16">
        <f>RecData[[#This Row],[Amb. Temperature]]</f>
        <v>16.8</v>
      </c>
      <c r="CQ492" s="17">
        <f>RecData[[#This Row],[Amb. Rain Gauge]]</f>
        <v>0</v>
      </c>
      <c r="CR492" s="4" t="s">
        <v>1</v>
      </c>
      <c r="CS492" s="4" t="s">
        <v>49</v>
      </c>
      <c r="CT492" s="70">
        <v>1620.13830566406</v>
      </c>
      <c r="CU492" s="70">
        <v>21.000179290771399</v>
      </c>
      <c r="CV492" s="70">
        <v>11.9555597305297</v>
      </c>
      <c r="CW492" s="70">
        <v>15.3126001358032</v>
      </c>
      <c r="CX492" s="4"/>
      <c r="CY492" s="69"/>
      <c r="CZ492" s="2" t="b">
        <f>IF($DP$1="YES",IF(RecData[[#This Row],[Power (kW)]]&gt;=$CR$3, TRUE,FALSE),TRUE)</f>
        <v>1</v>
      </c>
      <c r="DA492" s="16">
        <f>MIN(MOD(180-ABS(ABS($DA$1-RecData[Yaw Angle (°)])-180),360),MOD(180-ABS(ABS($DB$1-RecData[Yaw Angle (°)])-180),360))</f>
        <v>13.470252513083835</v>
      </c>
      <c r="DB492" s="2" t="str">
        <f>IF($DP$2="None","None",IF(RecData[[#This Row],[Relative Wind Direction]]&lt;=45,"DW",IF(RecData[[#This Row],[Relative Wind Direction]]&lt;=135,"CW","UW")))</f>
        <v>DW</v>
      </c>
      <c r="DC492" s="61" t="e">
        <f>IF($CL492-$CL491&gt;1/24,#REF!,IF(SUM($CQ491:$CQ492)&gt;$DS$1,$DS$5,DC493-1))</f>
        <v>#REF!</v>
      </c>
      <c r="DD492" s="61">
        <f>IF($CL493-$CL492&gt;1/24,#REF!,IF(SUM($CQ491:$CQ492)&gt;$DS$1,$DS$6,DD491-1))</f>
        <v>-2</v>
      </c>
      <c r="DE492" s="18" t="b">
        <v>0</v>
      </c>
      <c r="DF492" s="2" t="b">
        <f>IF(OR(RecData[[#This Row],[WSpd_Avg '[m/s']]]-RecData[[#This Row],[Wind Speed min]]&gt;=$DF$3,RecData[[#This Row],[Wind Speed max]]-RecData[[#This Row],[WSpd_Avg '[m/s']]]&gt;=$DF$2),TRUE,FALSE)</f>
        <v>0</v>
      </c>
      <c r="DG492" s="2" t="b">
        <f>RecData[[#This Row],[Temperature '[°C']]]&lt;=-20</f>
        <v>0</v>
      </c>
      <c r="DH492" s="18" t="b">
        <f>NOT(OR(MOD(RecData[[#This Row],[TIMESTAMP]],1)&gt;0.91632,MOD(RecData[[#This Row],[TIMESTAMP]],1)&lt;0.208681))</f>
        <v>0</v>
      </c>
      <c r="DI492" s="18" t="b">
        <f>RecData[[#This Row],[Overall (dBA)]]-RecData[[#This Row],[L90]]&gt;=$DS$4</f>
        <v>0</v>
      </c>
      <c r="DJ492" s="18" t="b">
        <f>RecData[[#This Row],[Overall (dBA)]]&gt;$DS$2</f>
        <v>0</v>
      </c>
      <c r="DK492" s="18" t="b">
        <f>RecData[[#This Row],[Overall (dBA)]]&lt;$DS$3</f>
        <v>0</v>
      </c>
      <c r="DL4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2" s="2">
        <f>IF(AND(RecData[[#This Row],[Turbines ON/OFF]] = "OFF", NOT(OR(RecData[[#This Row],[Junk?]]="YES",RecData[[#This Row],[Gust?]],RecData[[#This Row],[Rain?]:[Min SPL Threshold?]]))),1,0)</f>
        <v>0</v>
      </c>
      <c r="DN492" s="16">
        <f>RecData[[#This Row],[dBA Sum]]</f>
        <v>39.827884942809419</v>
      </c>
      <c r="DO492" s="16">
        <f>RecData[[#This Row],[LAF90.0]]</f>
        <v>39.4</v>
      </c>
      <c r="DP492" s="55">
        <f>IF(AND(RecData[[#This Row],[Useable TON Data?]],RecData[[#This Row],[Turbines ON/OFF]]="ON"),RecData[[#This Row],[dBA Sum]],"")</f>
        <v>39.827884942809419</v>
      </c>
      <c r="DQ492" s="55" t="str">
        <f>IF(AND(RecData[[#This Row],[Useable Background Data?]],RecData[[#This Row],[Turbines ON/OFF]]="OFF"),RecData[[#This Row],[dBA Sum]],"")</f>
        <v/>
      </c>
      <c r="DR492" s="3">
        <f>IF(OR(RecData[[#This Row],[Useable TON Data?]],RecData[[#This Row],[Useable Background Data?]]),ROUND(RecData[[#This Row],[WSpd_Avg '[m/s']]],0),"")</f>
        <v>1</v>
      </c>
      <c r="DS492" s="85">
        <f>(0.00002)^2*(10^(RecData[[#This Row],[Overall (dBA)]]/10))</f>
        <v>3.8445763107495829E-6</v>
      </c>
    </row>
    <row r="493" spans="1:123" ht="15" x14ac:dyDescent="0.25">
      <c r="A493" s="3" t="s">
        <v>249</v>
      </c>
      <c r="B493" s="12">
        <v>43270.036111111112</v>
      </c>
      <c r="C493" s="3"/>
      <c r="D493" s="3">
        <v>39.299999999999997</v>
      </c>
      <c r="E493" s="3"/>
      <c r="F493" s="3"/>
      <c r="G493" s="3"/>
      <c r="H493" s="3"/>
      <c r="I493" s="3"/>
      <c r="J493" s="3"/>
      <c r="K493" s="3">
        <v>38.299999999999997</v>
      </c>
      <c r="L493" s="3"/>
      <c r="M493" s="3"/>
      <c r="N493" s="3">
        <v>200.8</v>
      </c>
      <c r="O493" s="3"/>
      <c r="P493" s="3"/>
      <c r="Q493" s="3">
        <v>0.74</v>
      </c>
      <c r="R493" s="3">
        <v>0.1</v>
      </c>
      <c r="S493" s="3">
        <v>1.3</v>
      </c>
      <c r="T493" s="3">
        <v>16.8</v>
      </c>
      <c r="U493" s="3">
        <v>61.4</v>
      </c>
      <c r="V493" s="3">
        <v>972.7</v>
      </c>
      <c r="W493" s="3">
        <v>0</v>
      </c>
      <c r="X493" s="3">
        <v>47.4</v>
      </c>
      <c r="Y493" s="3">
        <v>46.9</v>
      </c>
      <c r="Z493" s="3">
        <v>45.6</v>
      </c>
      <c r="AA493" s="3">
        <v>40.299999999999997</v>
      </c>
      <c r="AB493" s="3">
        <v>36.6</v>
      </c>
      <c r="AC493" s="3">
        <v>35.5</v>
      </c>
      <c r="AD493" s="3">
        <v>39.1</v>
      </c>
      <c r="AE493" s="3">
        <v>41.1</v>
      </c>
      <c r="AF493" s="3">
        <v>43.3</v>
      </c>
      <c r="AG493" s="3">
        <v>36.200000000000003</v>
      </c>
      <c r="AH493" s="3">
        <v>36.6</v>
      </c>
      <c r="AI493" s="3">
        <v>35.700000000000003</v>
      </c>
      <c r="AJ493" s="3">
        <v>35.299999999999997</v>
      </c>
      <c r="AK493" s="3">
        <v>33.6</v>
      </c>
      <c r="AL493" s="3">
        <v>32</v>
      </c>
      <c r="AM493" s="3">
        <v>31.9</v>
      </c>
      <c r="AN493" s="3">
        <v>30.8</v>
      </c>
      <c r="AO493" s="3">
        <v>28.5</v>
      </c>
      <c r="AP493" s="3">
        <v>26.6</v>
      </c>
      <c r="AQ493" s="3">
        <v>24.9</v>
      </c>
      <c r="AR493" s="3">
        <v>22.8</v>
      </c>
      <c r="AS493" s="3">
        <v>20.8</v>
      </c>
      <c r="AT493" s="3">
        <v>23.7</v>
      </c>
      <c r="AU493" s="3">
        <v>15.2</v>
      </c>
      <c r="AV493" s="3">
        <v>13.6</v>
      </c>
      <c r="AW493" s="3">
        <v>12.3</v>
      </c>
      <c r="AX493" s="3">
        <v>10.199999999999999</v>
      </c>
      <c r="AY493" s="3">
        <v>9.6999999999999993</v>
      </c>
      <c r="AZ493" s="3">
        <v>0</v>
      </c>
      <c r="BA493" s="3">
        <v>0</v>
      </c>
      <c r="BB493" s="3">
        <v>0</v>
      </c>
      <c r="BC493" s="3">
        <v>39.290786772287817</v>
      </c>
      <c r="BD493" s="3">
        <v>47.409213227712172</v>
      </c>
      <c r="BE493" s="3">
        <v>46.909213227712172</v>
      </c>
      <c r="BF493" s="3">
        <v>44.36921322771218</v>
      </c>
      <c r="BG493" s="3">
        <v>39.395879894378851</v>
      </c>
      <c r="BH493" s="3">
        <v>35.835879894378849</v>
      </c>
      <c r="BI493" s="3">
        <v>35.149213227712181</v>
      </c>
      <c r="BJ493" s="3">
        <v>39.542546561045512</v>
      </c>
      <c r="BK493" s="3">
        <v>41.415879894378847</v>
      </c>
      <c r="BL493" s="3">
        <v>43.189213227712173</v>
      </c>
      <c r="BM493" s="3">
        <v>36.222546561045519</v>
      </c>
      <c r="BN493" s="3">
        <v>36.905879894378842</v>
      </c>
      <c r="BO493" s="3">
        <v>35.37254656104551</v>
      </c>
      <c r="BP493" s="3">
        <v>34.689213227712173</v>
      </c>
      <c r="BQ493" s="3">
        <v>33.405879894378842</v>
      </c>
      <c r="BR493" s="3">
        <v>32.132546561045515</v>
      </c>
      <c r="BS493" s="3">
        <v>31.835879894378849</v>
      </c>
      <c r="BT493" s="3">
        <v>30.932546561045513</v>
      </c>
      <c r="BU493" s="3">
        <v>28.599213227712184</v>
      </c>
      <c r="BV493" s="3">
        <v>26.415879894378847</v>
      </c>
      <c r="BW493" s="3">
        <v>25.249213227712175</v>
      </c>
      <c r="BX493" s="3">
        <v>23.069213227712183</v>
      </c>
      <c r="BY493" s="3">
        <v>20.889213227712176</v>
      </c>
      <c r="BZ493" s="3">
        <v>23.919213227712184</v>
      </c>
      <c r="CA493" s="3">
        <v>15.519213227712171</v>
      </c>
      <c r="CB493" s="3">
        <v>13.355879894378845</v>
      </c>
      <c r="CC493" s="3">
        <v>12.269213227712179</v>
      </c>
      <c r="CD493" s="3">
        <v>9.4758798943788491</v>
      </c>
      <c r="CE493" s="3">
        <v>9.1692132277121772</v>
      </c>
      <c r="CF493" s="3">
        <v>-0.91745343895448883</v>
      </c>
      <c r="CG493" s="3">
        <v>-1.4507867722878203</v>
      </c>
      <c r="CH493" s="3">
        <v>-2.5274534389544883</v>
      </c>
      <c r="CI493" s="13">
        <f>[1]!dbasum(RecData[[#This Row],[20]:[2000]],RecData[[#Headers],[20]:[2000]])</f>
        <v>38.961109624969382</v>
      </c>
      <c r="CJ493" s="14">
        <v>8229</v>
      </c>
      <c r="CK493" s="15" t="s">
        <v>249</v>
      </c>
      <c r="CL493" s="15">
        <f>RecData[[#This Row],[Start Time]]</f>
        <v>43270.036111111112</v>
      </c>
      <c r="CM493" s="16">
        <f>RecData[[#This Row],[Wind Speed avg]]</f>
        <v>0.74</v>
      </c>
      <c r="CN493" s="16">
        <f>RecData[[#This Row],[Wind Dir. avg]]</f>
        <v>200.8</v>
      </c>
      <c r="CO493" s="16">
        <f>RecData[[#This Row],[Amb. Humidity]]</f>
        <v>61.4</v>
      </c>
      <c r="CP493" s="16">
        <f>RecData[[#This Row],[Amb. Temperature]]</f>
        <v>16.8</v>
      </c>
      <c r="CQ493" s="17">
        <f>RecData[[#This Row],[Amb. Rain Gauge]]</f>
        <v>0</v>
      </c>
      <c r="CR493" s="4" t="s">
        <v>1</v>
      </c>
      <c r="CS493" s="4" t="s">
        <v>49</v>
      </c>
      <c r="CT493" s="70">
        <v>1620.13830566406</v>
      </c>
      <c r="CU493" s="70">
        <v>21.000179290771399</v>
      </c>
      <c r="CV493" s="70">
        <v>11.9555597305297</v>
      </c>
      <c r="CW493" s="70">
        <v>15.3126001358032</v>
      </c>
      <c r="CX493" s="4"/>
      <c r="CY493" s="69"/>
      <c r="CZ493" s="2" t="b">
        <f>IF($DP$1="YES",IF(RecData[[#This Row],[Power (kW)]]&gt;=$CR$3, TRUE,FALSE),TRUE)</f>
        <v>1</v>
      </c>
      <c r="DA493" s="16">
        <f>MIN(MOD(180-ABS(ABS($DA$1-RecData[Yaw Angle (°)])-180),360),MOD(180-ABS(ABS($DB$1-RecData[Yaw Angle (°)])-180),360))</f>
        <v>13.470252513083835</v>
      </c>
      <c r="DB493" s="2" t="str">
        <f>IF($DP$2="None","None",IF(RecData[[#This Row],[Relative Wind Direction]]&lt;=45,"DW",IF(RecData[[#This Row],[Relative Wind Direction]]&lt;=135,"CW","UW")))</f>
        <v>DW</v>
      </c>
      <c r="DC493" s="61" t="e">
        <f>IF($CL493-$CL491&gt;1/24,#REF!,IF(SUM($CQ491:$CQ493)&gt;$DS$1,$DS$5,#REF!-1))</f>
        <v>#REF!</v>
      </c>
      <c r="DD493" s="61" t="e">
        <f>IF(#REF!-$CL493&gt;1/24,#REF!,IF(SUM($CQ491:$CQ493)&gt;$DS$1,$DS$6,DD492-1))</f>
        <v>#REF!</v>
      </c>
      <c r="DE493" s="18" t="b">
        <v>0</v>
      </c>
      <c r="DF493" s="2" t="b">
        <f>IF(OR(RecData[[#This Row],[WSpd_Avg '[m/s']]]-RecData[[#This Row],[Wind Speed min]]&gt;=$DF$3,RecData[[#This Row],[Wind Speed max]]-RecData[[#This Row],[WSpd_Avg '[m/s']]]&gt;=$DF$2),TRUE,FALSE)</f>
        <v>0</v>
      </c>
      <c r="DG493" s="2" t="b">
        <f>RecData[[#This Row],[Temperature '[°C']]]&lt;=-20</f>
        <v>0</v>
      </c>
      <c r="DH493" s="18" t="b">
        <f>NOT(OR(MOD(RecData[[#This Row],[TIMESTAMP]],1)&gt;0.91632,MOD(RecData[[#This Row],[TIMESTAMP]],1)&lt;0.208681))</f>
        <v>0</v>
      </c>
      <c r="DI493" s="18" t="b">
        <f>RecData[[#This Row],[Overall (dBA)]]-RecData[[#This Row],[L90]]&gt;=$DS$4</f>
        <v>0</v>
      </c>
      <c r="DJ493" s="18" t="b">
        <f>RecData[[#This Row],[Overall (dBA)]]&gt;$DS$2</f>
        <v>0</v>
      </c>
      <c r="DK493" s="18" t="b">
        <f>RecData[[#This Row],[Overall (dBA)]]&lt;$DS$3</f>
        <v>0</v>
      </c>
      <c r="DL4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3" s="2">
        <f>IF(AND(RecData[[#This Row],[Turbines ON/OFF]] = "OFF", NOT(OR(RecData[[#This Row],[Junk?]]="YES",RecData[[#This Row],[Gust?]],RecData[[#This Row],[Rain?]:[Min SPL Threshold?]]))),1,0)</f>
        <v>0</v>
      </c>
      <c r="DN493" s="16">
        <f>RecData[[#This Row],[dBA Sum]]</f>
        <v>38.961109624969382</v>
      </c>
      <c r="DO493" s="16">
        <f>RecData[[#This Row],[LAF90.0]]</f>
        <v>38.299999999999997</v>
      </c>
      <c r="DP493" s="55">
        <f>IF(AND(RecData[[#This Row],[Useable TON Data?]],RecData[[#This Row],[Turbines ON/OFF]]="ON"),RecData[[#This Row],[dBA Sum]],"")</f>
        <v>38.961109624969382</v>
      </c>
      <c r="DQ493" s="55" t="str">
        <f>IF(AND(RecData[[#This Row],[Useable Background Data?]],RecData[[#This Row],[Turbines ON/OFF]]="OFF"),RecData[[#This Row],[dBA Sum]],"")</f>
        <v/>
      </c>
      <c r="DR493" s="3">
        <f>IF(OR(RecData[[#This Row],[Useable TON Data?]],RecData[[#This Row],[Useable Background Data?]]),ROUND(RecData[[#This Row],[WSpd_Avg '[m/s']]],0),"")</f>
        <v>1</v>
      </c>
      <c r="DS493" s="85">
        <f>(0.00002)^2*(10^(RecData[[#This Row],[Overall (dBA)]]/10))</f>
        <v>3.1489876242054041E-6</v>
      </c>
    </row>
    <row r="494" spans="1:123" ht="15" x14ac:dyDescent="0.25">
      <c r="A494" s="3" t="s">
        <v>249</v>
      </c>
      <c r="B494" s="12">
        <v>43270.038194444445</v>
      </c>
      <c r="C494" s="3"/>
      <c r="D494" s="3">
        <v>39.5</v>
      </c>
      <c r="E494" s="3"/>
      <c r="F494" s="3"/>
      <c r="G494" s="3"/>
      <c r="H494" s="3"/>
      <c r="I494" s="3"/>
      <c r="J494" s="3"/>
      <c r="K494" s="3">
        <v>38</v>
      </c>
      <c r="L494" s="3"/>
      <c r="M494" s="3"/>
      <c r="N494" s="3">
        <v>207.4</v>
      </c>
      <c r="O494" s="3"/>
      <c r="P494" s="3"/>
      <c r="Q494" s="3">
        <v>0.52</v>
      </c>
      <c r="R494" s="3">
        <v>0.1</v>
      </c>
      <c r="S494" s="3">
        <v>0.9</v>
      </c>
      <c r="T494" s="3">
        <v>16.899999999999999</v>
      </c>
      <c r="U494" s="3">
        <v>61.5</v>
      </c>
      <c r="V494" s="3">
        <v>972.7</v>
      </c>
      <c r="W494" s="3">
        <v>0</v>
      </c>
      <c r="X494" s="3">
        <v>47.2</v>
      </c>
      <c r="Y494" s="3">
        <v>47.2</v>
      </c>
      <c r="Z494" s="3">
        <v>46.3</v>
      </c>
      <c r="AA494" s="3">
        <v>41.6</v>
      </c>
      <c r="AB494" s="3">
        <v>37</v>
      </c>
      <c r="AC494" s="3">
        <v>35.799999999999997</v>
      </c>
      <c r="AD494" s="3">
        <v>39.1</v>
      </c>
      <c r="AE494" s="3">
        <v>40.9</v>
      </c>
      <c r="AF494" s="3">
        <v>43.9</v>
      </c>
      <c r="AG494" s="3">
        <v>37.299999999999997</v>
      </c>
      <c r="AH494" s="3">
        <v>36.4</v>
      </c>
      <c r="AI494" s="3">
        <v>36.299999999999997</v>
      </c>
      <c r="AJ494" s="3">
        <v>35.200000000000003</v>
      </c>
      <c r="AK494" s="3">
        <v>33.700000000000003</v>
      </c>
      <c r="AL494" s="3">
        <v>32.200000000000003</v>
      </c>
      <c r="AM494" s="3">
        <v>32.200000000000003</v>
      </c>
      <c r="AN494" s="3">
        <v>31</v>
      </c>
      <c r="AO494" s="3">
        <v>28.3</v>
      </c>
      <c r="AP494" s="3">
        <v>26.3</v>
      </c>
      <c r="AQ494" s="3">
        <v>24.4</v>
      </c>
      <c r="AR494" s="3">
        <v>21.8</v>
      </c>
      <c r="AS494" s="3">
        <v>22.9</v>
      </c>
      <c r="AT494" s="3">
        <v>25.7</v>
      </c>
      <c r="AU494" s="3">
        <v>13</v>
      </c>
      <c r="AV494" s="3">
        <v>11.2</v>
      </c>
      <c r="AW494" s="3">
        <v>10.7</v>
      </c>
      <c r="AX494" s="3">
        <v>9.5</v>
      </c>
      <c r="AY494" s="3">
        <v>9.5</v>
      </c>
      <c r="AZ494" s="3">
        <v>0</v>
      </c>
      <c r="BA494" s="3">
        <v>0</v>
      </c>
      <c r="BB494" s="3">
        <v>0</v>
      </c>
      <c r="BC494" s="3">
        <v>39.504231495678546</v>
      </c>
      <c r="BD494" s="3">
        <v>47.195768504321457</v>
      </c>
      <c r="BE494" s="3">
        <v>47.195768504321457</v>
      </c>
      <c r="BF494" s="3">
        <v>45.055768504321456</v>
      </c>
      <c r="BG494" s="3">
        <v>40.682435170988121</v>
      </c>
      <c r="BH494" s="3">
        <v>36.222435170988113</v>
      </c>
      <c r="BI494" s="3">
        <v>35.435768504321452</v>
      </c>
      <c r="BJ494" s="3">
        <v>39.529101837654785</v>
      </c>
      <c r="BK494" s="3">
        <v>41.202435170988117</v>
      </c>
      <c r="BL494" s="3">
        <v>43.775768504321455</v>
      </c>
      <c r="BM494" s="3">
        <v>37.309101837654786</v>
      </c>
      <c r="BN494" s="3">
        <v>36.692435170988112</v>
      </c>
      <c r="BO494" s="3">
        <v>35.959101837654792</v>
      </c>
      <c r="BP494" s="3">
        <v>34.575768504321466</v>
      </c>
      <c r="BQ494" s="3">
        <v>33.492435170988124</v>
      </c>
      <c r="BR494" s="3">
        <v>32.319101837654792</v>
      </c>
      <c r="BS494" s="3">
        <v>32.122435170988119</v>
      </c>
      <c r="BT494" s="3">
        <v>31.119101837654789</v>
      </c>
      <c r="BU494" s="3">
        <v>28.385768504321454</v>
      </c>
      <c r="BV494" s="3">
        <v>26.102435170988123</v>
      </c>
      <c r="BW494" s="3">
        <v>24.735768504321463</v>
      </c>
      <c r="BX494" s="3">
        <v>22.055768504321456</v>
      </c>
      <c r="BY494" s="3">
        <v>22.975768504321451</v>
      </c>
      <c r="BZ494" s="3">
        <v>25.905768504321451</v>
      </c>
      <c r="CA494" s="3">
        <v>13.305768504321449</v>
      </c>
      <c r="CB494" s="3">
        <v>10.942435170988119</v>
      </c>
      <c r="CC494" s="3">
        <v>10.655768504321451</v>
      </c>
      <c r="CD494" s="3">
        <v>8.7624351709881267</v>
      </c>
      <c r="CE494" s="3">
        <v>8.9557685043214548</v>
      </c>
      <c r="CF494" s="3">
        <v>-0.9308981623452155</v>
      </c>
      <c r="CG494" s="3">
        <v>-1.4642314956785469</v>
      </c>
      <c r="CH494" s="3">
        <v>-2.5408981623452149</v>
      </c>
      <c r="CI494" s="13">
        <f>[1]!dbasum(RecData[[#This Row],[20]:[2000]],RecData[[#Headers],[20]:[2000]])</f>
        <v>39.039675634633426</v>
      </c>
      <c r="CJ494" s="14">
        <v>8232</v>
      </c>
      <c r="CK494" s="15" t="s">
        <v>249</v>
      </c>
      <c r="CL494" s="15">
        <f>RecData[[#This Row],[Start Time]]</f>
        <v>43270.038194444445</v>
      </c>
      <c r="CM494" s="16">
        <f>RecData[[#This Row],[Wind Speed avg]]</f>
        <v>0.52</v>
      </c>
      <c r="CN494" s="16">
        <f>RecData[[#This Row],[Wind Dir. avg]]</f>
        <v>207.4</v>
      </c>
      <c r="CO494" s="16">
        <f>RecData[[#This Row],[Amb. Humidity]]</f>
        <v>61.5</v>
      </c>
      <c r="CP494" s="16">
        <f>RecData[[#This Row],[Amb. Temperature]]</f>
        <v>16.899999999999999</v>
      </c>
      <c r="CQ494" s="17">
        <f>RecData[[#This Row],[Amb. Rain Gauge]]</f>
        <v>0</v>
      </c>
      <c r="CR494" s="4" t="s">
        <v>1</v>
      </c>
      <c r="CS494" s="4" t="s">
        <v>49</v>
      </c>
      <c r="CT494" s="70">
        <v>1620.13830566406</v>
      </c>
      <c r="CU494" s="70">
        <v>21.000179290771399</v>
      </c>
      <c r="CV494" s="70">
        <v>11.9555597305297</v>
      </c>
      <c r="CW494" s="70">
        <v>15.3126001358032</v>
      </c>
      <c r="CX494" s="4"/>
      <c r="CY494" s="69"/>
      <c r="CZ494" s="2" t="b">
        <f>IF($DP$1="YES",IF(RecData[[#This Row],[Power (kW)]]&gt;=$CR$3, TRUE,FALSE),TRUE)</f>
        <v>1</v>
      </c>
      <c r="DA494" s="16">
        <f>MIN(MOD(180-ABS(ABS($DA$1-RecData[Yaw Angle (°)])-180),360),MOD(180-ABS(ABS($DB$1-RecData[Yaw Angle (°)])-180),360))</f>
        <v>13.470252513083835</v>
      </c>
      <c r="DB494" s="2" t="str">
        <f>IF($DP$2="None","None",IF(RecData[[#This Row],[Relative Wind Direction]]&lt;=45,"DW",IF(RecData[[#This Row],[Relative Wind Direction]]&lt;=135,"CW","UW")))</f>
        <v>DW</v>
      </c>
      <c r="DC494" s="61" t="e">
        <f>IF($CL494-$CL492&gt;1/24,#REF!,IF(SUM($CQ492:$CQ494)&gt;$DS$1,$DS$5,DC495-1))</f>
        <v>#REF!</v>
      </c>
      <c r="DD494" s="61" t="e">
        <f>IF($CL495-$CL494&gt;1/24,#REF!,IF(SUM($CQ492:$CQ494)&gt;$DS$1,$DS$6,#REF!-1))</f>
        <v>#REF!</v>
      </c>
      <c r="DE494" s="18" t="b">
        <v>0</v>
      </c>
      <c r="DF494" s="2" t="b">
        <f>IF(OR(RecData[[#This Row],[WSpd_Avg '[m/s']]]-RecData[[#This Row],[Wind Speed min]]&gt;=$DF$3,RecData[[#This Row],[Wind Speed max]]-RecData[[#This Row],[WSpd_Avg '[m/s']]]&gt;=$DF$2),TRUE,FALSE)</f>
        <v>0</v>
      </c>
      <c r="DG494" s="2" t="b">
        <f>RecData[[#This Row],[Temperature '[°C']]]&lt;=-20</f>
        <v>0</v>
      </c>
      <c r="DH494" s="18" t="b">
        <f>NOT(OR(MOD(RecData[[#This Row],[TIMESTAMP]],1)&gt;0.91632,MOD(RecData[[#This Row],[TIMESTAMP]],1)&lt;0.208681))</f>
        <v>0</v>
      </c>
      <c r="DI494" s="18" t="b">
        <f>RecData[[#This Row],[Overall (dBA)]]-RecData[[#This Row],[L90]]&gt;=$DS$4</f>
        <v>0</v>
      </c>
      <c r="DJ494" s="18" t="b">
        <f>RecData[[#This Row],[Overall (dBA)]]&gt;$DS$2</f>
        <v>0</v>
      </c>
      <c r="DK494" s="18" t="b">
        <f>RecData[[#This Row],[Overall (dBA)]]&lt;$DS$3</f>
        <v>0</v>
      </c>
      <c r="DL4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4" s="2">
        <f>IF(AND(RecData[[#This Row],[Turbines ON/OFF]] = "OFF", NOT(OR(RecData[[#This Row],[Junk?]]="YES",RecData[[#This Row],[Gust?]],RecData[[#This Row],[Rain?]:[Min SPL Threshold?]]))),1,0)</f>
        <v>0</v>
      </c>
      <c r="DN494" s="16">
        <f>RecData[[#This Row],[dBA Sum]]</f>
        <v>39.039675634633426</v>
      </c>
      <c r="DO494" s="16">
        <f>RecData[[#This Row],[LAF90.0]]</f>
        <v>38</v>
      </c>
      <c r="DP494" s="55">
        <f>IF(AND(RecData[[#This Row],[Useable TON Data?]],RecData[[#This Row],[Turbines ON/OFF]]="ON"),RecData[[#This Row],[dBA Sum]],"")</f>
        <v>39.039675634633426</v>
      </c>
      <c r="DQ494" s="55" t="str">
        <f>IF(AND(RecData[[#This Row],[Useable Background Data?]],RecData[[#This Row],[Turbines ON/OFF]]="OFF"),RecData[[#This Row],[dBA Sum]],"")</f>
        <v/>
      </c>
      <c r="DR494" s="3">
        <f>IF(OR(RecData[[#This Row],[Useable TON Data?]],RecData[[#This Row],[Useable Background Data?]]),ROUND(RecData[[#This Row],[WSpd_Avg '[m/s']]],0),"")</f>
        <v>1</v>
      </c>
      <c r="DS494" s="85">
        <f>(0.00002)^2*(10^(RecData[[#This Row],[Overall (dBA)]]/10))</f>
        <v>3.2064727599359563E-6</v>
      </c>
    </row>
    <row r="495" spans="1:123" ht="15" x14ac:dyDescent="0.25">
      <c r="A495" s="3" t="s">
        <v>249</v>
      </c>
      <c r="B495" s="12">
        <v>43270.038888888892</v>
      </c>
      <c r="C495" s="3"/>
      <c r="D495" s="3">
        <v>39.9</v>
      </c>
      <c r="E495" s="3"/>
      <c r="F495" s="3"/>
      <c r="G495" s="3"/>
      <c r="H495" s="3"/>
      <c r="I495" s="3"/>
      <c r="J495" s="3"/>
      <c r="K495" s="3">
        <v>38.799999999999997</v>
      </c>
      <c r="L495" s="3"/>
      <c r="M495" s="3"/>
      <c r="N495" s="3">
        <v>204.6</v>
      </c>
      <c r="O495" s="3"/>
      <c r="P495" s="3"/>
      <c r="Q495" s="3">
        <v>0.56000000000000005</v>
      </c>
      <c r="R495" s="3">
        <v>0.1</v>
      </c>
      <c r="S495" s="3">
        <v>1.1000000000000001</v>
      </c>
      <c r="T495" s="3">
        <v>16.899999999999999</v>
      </c>
      <c r="U495" s="3">
        <v>62.2</v>
      </c>
      <c r="V495" s="3">
        <v>972.7</v>
      </c>
      <c r="W495" s="3">
        <v>0</v>
      </c>
      <c r="X495" s="3">
        <v>48.1</v>
      </c>
      <c r="Y495" s="3">
        <v>47.7</v>
      </c>
      <c r="Z495" s="3">
        <v>47.4</v>
      </c>
      <c r="AA495" s="3">
        <v>43.1</v>
      </c>
      <c r="AB495" s="3">
        <v>37.4</v>
      </c>
      <c r="AC495" s="3">
        <v>36.200000000000003</v>
      </c>
      <c r="AD495" s="3">
        <v>39.700000000000003</v>
      </c>
      <c r="AE495" s="3">
        <v>42</v>
      </c>
      <c r="AF495" s="3">
        <v>44.6</v>
      </c>
      <c r="AG495" s="3">
        <v>37.700000000000003</v>
      </c>
      <c r="AH495" s="3">
        <v>37.6</v>
      </c>
      <c r="AI495" s="3">
        <v>36.799999999999997</v>
      </c>
      <c r="AJ495" s="3">
        <v>36.200000000000003</v>
      </c>
      <c r="AK495" s="3">
        <v>34.299999999999997</v>
      </c>
      <c r="AL495" s="3">
        <v>32.700000000000003</v>
      </c>
      <c r="AM495" s="3">
        <v>32.6</v>
      </c>
      <c r="AN495" s="3">
        <v>31.4</v>
      </c>
      <c r="AO495" s="3">
        <v>28.7</v>
      </c>
      <c r="AP495" s="3">
        <v>26.8</v>
      </c>
      <c r="AQ495" s="3">
        <v>24.9</v>
      </c>
      <c r="AR495" s="3">
        <v>22.5</v>
      </c>
      <c r="AS495" s="3">
        <v>20.399999999999999</v>
      </c>
      <c r="AT495" s="3">
        <v>23.1</v>
      </c>
      <c r="AU495" s="3">
        <v>13.5</v>
      </c>
      <c r="AV495" s="3">
        <v>11.4</v>
      </c>
      <c r="AW495" s="3">
        <v>10.7</v>
      </c>
      <c r="AX495" s="3">
        <v>9.6</v>
      </c>
      <c r="AY495" s="3">
        <v>9.5</v>
      </c>
      <c r="AZ495" s="3">
        <v>0</v>
      </c>
      <c r="BA495" s="3">
        <v>0</v>
      </c>
      <c r="BB495" s="3">
        <v>0</v>
      </c>
      <c r="BC495" s="3">
        <v>39.894727388890168</v>
      </c>
      <c r="BD495" s="3">
        <v>48.105272611109832</v>
      </c>
      <c r="BE495" s="3">
        <v>47.705272611109827</v>
      </c>
      <c r="BF495" s="3">
        <v>46.165272611109835</v>
      </c>
      <c r="BG495" s="3">
        <v>42.191939277776505</v>
      </c>
      <c r="BH495" s="3">
        <v>36.631939277776503</v>
      </c>
      <c r="BI495" s="3">
        <v>35.845272611109841</v>
      </c>
      <c r="BJ495" s="3">
        <v>40.138605944443164</v>
      </c>
      <c r="BK495" s="3">
        <v>42.311939277776496</v>
      </c>
      <c r="BL495" s="3">
        <v>44.485272611109828</v>
      </c>
      <c r="BM495" s="3">
        <v>37.718605944443176</v>
      </c>
      <c r="BN495" s="3">
        <v>37.901939277776499</v>
      </c>
      <c r="BO495" s="3">
        <v>36.468605944443162</v>
      </c>
      <c r="BP495" s="3">
        <v>35.585272611109836</v>
      </c>
      <c r="BQ495" s="3">
        <v>34.101939277776488</v>
      </c>
      <c r="BR495" s="3">
        <v>32.828605944443161</v>
      </c>
      <c r="BS495" s="3">
        <v>32.531939277776509</v>
      </c>
      <c r="BT495" s="3">
        <v>31.528605944443164</v>
      </c>
      <c r="BU495" s="3">
        <v>28.79527261110983</v>
      </c>
      <c r="BV495" s="3">
        <v>26.611939277776493</v>
      </c>
      <c r="BW495" s="3">
        <v>25.245272611109833</v>
      </c>
      <c r="BX495" s="3">
        <v>22.765272611109836</v>
      </c>
      <c r="BY495" s="3">
        <v>20.485272611109828</v>
      </c>
      <c r="BZ495" s="3">
        <v>23.31527261110984</v>
      </c>
      <c r="CA495" s="3">
        <v>13.815272611109826</v>
      </c>
      <c r="CB495" s="3">
        <v>11.151939277776499</v>
      </c>
      <c r="CC495" s="3">
        <v>10.665272611109827</v>
      </c>
      <c r="CD495" s="3">
        <v>8.871939277776498</v>
      </c>
      <c r="CE495" s="3">
        <v>8.9652726111098318</v>
      </c>
      <c r="CF495" s="3">
        <v>-0.92139405555683851</v>
      </c>
      <c r="CG495" s="3">
        <v>-1.4547273888901699</v>
      </c>
      <c r="CH495" s="3">
        <v>-2.5313940555568379</v>
      </c>
      <c r="CI495" s="13">
        <f>[1]!dbasum(RecData[[#This Row],[20]:[2000]],RecData[[#Headers],[20]:[2000]])</f>
        <v>39.631607569796103</v>
      </c>
      <c r="CJ495" s="14">
        <v>8233</v>
      </c>
      <c r="CK495" s="15" t="s">
        <v>249</v>
      </c>
      <c r="CL495" s="15">
        <f>RecData[[#This Row],[Start Time]]</f>
        <v>43270.038888888892</v>
      </c>
      <c r="CM495" s="16">
        <f>RecData[[#This Row],[Wind Speed avg]]</f>
        <v>0.56000000000000005</v>
      </c>
      <c r="CN495" s="16">
        <f>RecData[[#This Row],[Wind Dir. avg]]</f>
        <v>204.6</v>
      </c>
      <c r="CO495" s="16">
        <f>RecData[[#This Row],[Amb. Humidity]]</f>
        <v>62.2</v>
      </c>
      <c r="CP495" s="16">
        <f>RecData[[#This Row],[Amb. Temperature]]</f>
        <v>16.899999999999999</v>
      </c>
      <c r="CQ495" s="17">
        <f>RecData[[#This Row],[Amb. Rain Gauge]]</f>
        <v>0</v>
      </c>
      <c r="CR495" s="4" t="s">
        <v>1</v>
      </c>
      <c r="CS495" s="4" t="s">
        <v>49</v>
      </c>
      <c r="CT495" s="70">
        <v>1620.13830566406</v>
      </c>
      <c r="CU495" s="70">
        <v>21.000179290771399</v>
      </c>
      <c r="CV495" s="70">
        <v>11.9555597305297</v>
      </c>
      <c r="CW495" s="70">
        <v>15.3126001358032</v>
      </c>
      <c r="CX495" s="4"/>
      <c r="CY495" s="69"/>
      <c r="CZ495" s="2" t="b">
        <f>IF($DP$1="YES",IF(RecData[[#This Row],[Power (kW)]]&gt;=$CR$3, TRUE,FALSE),TRUE)</f>
        <v>1</v>
      </c>
      <c r="DA495" s="16">
        <f>MIN(MOD(180-ABS(ABS($DA$1-RecData[Yaw Angle (°)])-180),360),MOD(180-ABS(ABS($DB$1-RecData[Yaw Angle (°)])-180),360))</f>
        <v>13.470252513083835</v>
      </c>
      <c r="DB495" s="2" t="str">
        <f>IF($DP$2="None","None",IF(RecData[[#This Row],[Relative Wind Direction]]&lt;=45,"DW",IF(RecData[[#This Row],[Relative Wind Direction]]&lt;=135,"CW","UW")))</f>
        <v>DW</v>
      </c>
      <c r="DC495" s="61" t="e">
        <f>IF($CL495-$CL493&gt;1/24,#REF!,IF(SUM($CQ493:$CQ495)&gt;$DS$1,$DS$5,DC496-1))</f>
        <v>#REF!</v>
      </c>
      <c r="DD495" s="61" t="e">
        <f>IF($CL496-$CL495&gt;1/24,#REF!,IF(SUM($CQ493:$CQ495)&gt;$DS$1,$DS$6,DD494-1))</f>
        <v>#REF!</v>
      </c>
      <c r="DE495" s="18" t="b">
        <v>0</v>
      </c>
      <c r="DF495" s="2" t="b">
        <f>IF(OR(RecData[[#This Row],[WSpd_Avg '[m/s']]]-RecData[[#This Row],[Wind Speed min]]&gt;=$DF$3,RecData[[#This Row],[Wind Speed max]]-RecData[[#This Row],[WSpd_Avg '[m/s']]]&gt;=$DF$2),TRUE,FALSE)</f>
        <v>0</v>
      </c>
      <c r="DG495" s="2" t="b">
        <f>RecData[[#This Row],[Temperature '[°C']]]&lt;=-20</f>
        <v>0</v>
      </c>
      <c r="DH495" s="18" t="b">
        <f>NOT(OR(MOD(RecData[[#This Row],[TIMESTAMP]],1)&gt;0.91632,MOD(RecData[[#This Row],[TIMESTAMP]],1)&lt;0.208681))</f>
        <v>0</v>
      </c>
      <c r="DI495" s="18" t="b">
        <f>RecData[[#This Row],[Overall (dBA)]]-RecData[[#This Row],[L90]]&gt;=$DS$4</f>
        <v>0</v>
      </c>
      <c r="DJ495" s="18" t="b">
        <f>RecData[[#This Row],[Overall (dBA)]]&gt;$DS$2</f>
        <v>0</v>
      </c>
      <c r="DK495" s="18" t="b">
        <f>RecData[[#This Row],[Overall (dBA)]]&lt;$DS$3</f>
        <v>0</v>
      </c>
      <c r="DL4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5" s="2">
        <f>IF(AND(RecData[[#This Row],[Turbines ON/OFF]] = "OFF", NOT(OR(RecData[[#This Row],[Junk?]]="YES",RecData[[#This Row],[Gust?]],RecData[[#This Row],[Rain?]:[Min SPL Threshold?]]))),1,0)</f>
        <v>0</v>
      </c>
      <c r="DN495" s="16">
        <f>RecData[[#This Row],[dBA Sum]]</f>
        <v>39.631607569796103</v>
      </c>
      <c r="DO495" s="16">
        <f>RecData[[#This Row],[LAF90.0]]</f>
        <v>38.799999999999997</v>
      </c>
      <c r="DP495" s="55">
        <f>IF(AND(RecData[[#This Row],[Useable TON Data?]],RecData[[#This Row],[Turbines ON/OFF]]="ON"),RecData[[#This Row],[dBA Sum]],"")</f>
        <v>39.631607569796103</v>
      </c>
      <c r="DQ495" s="55" t="str">
        <f>IF(AND(RecData[[#This Row],[Useable Background Data?]],RecData[[#This Row],[Turbines ON/OFF]]="OFF"),RecData[[#This Row],[dBA Sum]],"")</f>
        <v/>
      </c>
      <c r="DR495" s="3">
        <f>IF(OR(RecData[[#This Row],[Useable TON Data?]],RecData[[#This Row],[Useable Background Data?]]),ROUND(RecData[[#This Row],[WSpd_Avg '[m/s']]],0),"")</f>
        <v>1</v>
      </c>
      <c r="DS495" s="85">
        <f>(0.00002)^2*(10^(RecData[[#This Row],[Overall (dBA)]]/10))</f>
        <v>3.6746903451953641E-6</v>
      </c>
    </row>
    <row r="496" spans="1:123" ht="15" x14ac:dyDescent="0.25">
      <c r="A496" s="3" t="s">
        <v>249</v>
      </c>
      <c r="B496" s="12">
        <v>43270.039583333331</v>
      </c>
      <c r="C496" s="3"/>
      <c r="D496" s="3">
        <v>39.5</v>
      </c>
      <c r="E496" s="3"/>
      <c r="F496" s="3"/>
      <c r="G496" s="3"/>
      <c r="H496" s="3"/>
      <c r="I496" s="3"/>
      <c r="J496" s="3"/>
      <c r="K496" s="3">
        <v>38.4</v>
      </c>
      <c r="L496" s="3"/>
      <c r="M496" s="3"/>
      <c r="N496" s="3">
        <v>200</v>
      </c>
      <c r="O496" s="3"/>
      <c r="P496" s="3"/>
      <c r="Q496" s="3">
        <v>0.81</v>
      </c>
      <c r="R496" s="3">
        <v>0.2</v>
      </c>
      <c r="S496" s="3">
        <v>1.3</v>
      </c>
      <c r="T496" s="3">
        <v>16.8</v>
      </c>
      <c r="U496" s="3">
        <v>62.1</v>
      </c>
      <c r="V496" s="3">
        <v>972.7</v>
      </c>
      <c r="W496" s="3">
        <v>0</v>
      </c>
      <c r="X496" s="3">
        <v>47.1</v>
      </c>
      <c r="Y496" s="3">
        <v>46.8</v>
      </c>
      <c r="Z496" s="3">
        <v>46.2</v>
      </c>
      <c r="AA496" s="3">
        <v>41.4</v>
      </c>
      <c r="AB496" s="3">
        <v>36.5</v>
      </c>
      <c r="AC496" s="3">
        <v>35.799999999999997</v>
      </c>
      <c r="AD496" s="3">
        <v>39.200000000000003</v>
      </c>
      <c r="AE496" s="3">
        <v>41.4</v>
      </c>
      <c r="AF496" s="3">
        <v>43.2</v>
      </c>
      <c r="AG496" s="3">
        <v>36.700000000000003</v>
      </c>
      <c r="AH496" s="3">
        <v>37.1</v>
      </c>
      <c r="AI496" s="3">
        <v>35.9</v>
      </c>
      <c r="AJ496" s="3">
        <v>35.9</v>
      </c>
      <c r="AK496" s="3">
        <v>33.799999999999997</v>
      </c>
      <c r="AL496" s="3">
        <v>32.1</v>
      </c>
      <c r="AM496" s="3">
        <v>32.200000000000003</v>
      </c>
      <c r="AN496" s="3">
        <v>31.1</v>
      </c>
      <c r="AO496" s="3">
        <v>28.5</v>
      </c>
      <c r="AP496" s="3">
        <v>26.5</v>
      </c>
      <c r="AQ496" s="3">
        <v>24.6</v>
      </c>
      <c r="AR496" s="3">
        <v>22.2</v>
      </c>
      <c r="AS496" s="3">
        <v>20.8</v>
      </c>
      <c r="AT496" s="3">
        <v>24.6</v>
      </c>
      <c r="AU496" s="3">
        <v>12.9</v>
      </c>
      <c r="AV496" s="3">
        <v>11</v>
      </c>
      <c r="AW496" s="3">
        <v>10.4</v>
      </c>
      <c r="AX496" s="3">
        <v>9.5</v>
      </c>
      <c r="AY496" s="3">
        <v>9.5</v>
      </c>
      <c r="AZ496" s="3">
        <v>0</v>
      </c>
      <c r="BA496" s="3">
        <v>0</v>
      </c>
      <c r="BB496" s="3">
        <v>0</v>
      </c>
      <c r="BC496" s="3">
        <v>39.474111720342094</v>
      </c>
      <c r="BD496" s="3">
        <v>47.1258882796579</v>
      </c>
      <c r="BE496" s="3">
        <v>46.825888279657903</v>
      </c>
      <c r="BF496" s="3">
        <v>44.985888279657914</v>
      </c>
      <c r="BG496" s="3">
        <v>40.51255494632457</v>
      </c>
      <c r="BH496" s="3">
        <v>35.752554946324565</v>
      </c>
      <c r="BI496" s="3">
        <v>35.465888279657904</v>
      </c>
      <c r="BJ496" s="3">
        <v>39.659221612991232</v>
      </c>
      <c r="BK496" s="3">
        <v>41.732554946324569</v>
      </c>
      <c r="BL496" s="3">
        <v>43.105888279657918</v>
      </c>
      <c r="BM496" s="3">
        <v>36.739221612991244</v>
      </c>
      <c r="BN496" s="3">
        <v>37.422554946324581</v>
      </c>
      <c r="BO496" s="3">
        <v>35.589221612991238</v>
      </c>
      <c r="BP496" s="3">
        <v>35.305888279657907</v>
      </c>
      <c r="BQ496" s="3">
        <v>33.62255494632457</v>
      </c>
      <c r="BR496" s="3">
        <v>32.249221612991235</v>
      </c>
      <c r="BS496" s="3">
        <v>32.152554946324571</v>
      </c>
      <c r="BT496" s="3">
        <v>31.249221612991235</v>
      </c>
      <c r="BU496" s="3">
        <v>28.615888279657909</v>
      </c>
      <c r="BV496" s="3">
        <v>26.332554946324578</v>
      </c>
      <c r="BW496" s="3">
        <v>24.965888279657904</v>
      </c>
      <c r="BX496" s="3">
        <v>22.485888279657914</v>
      </c>
      <c r="BY496" s="3">
        <v>20.905888279657901</v>
      </c>
      <c r="BZ496" s="3">
        <v>24.835888279657908</v>
      </c>
      <c r="CA496" s="3">
        <v>13.2358882796579</v>
      </c>
      <c r="CB496" s="3">
        <v>10.772554946324568</v>
      </c>
      <c r="CC496" s="3">
        <v>10.385888279657905</v>
      </c>
      <c r="CD496" s="3">
        <v>8.7925549463245787</v>
      </c>
      <c r="CE496" s="3">
        <v>8.9858882796579067</v>
      </c>
      <c r="CF496" s="3">
        <v>-0.90077838700876356</v>
      </c>
      <c r="CG496" s="3">
        <v>-1.434111720342095</v>
      </c>
      <c r="CH496" s="3">
        <v>-2.510778387008763</v>
      </c>
      <c r="CI496" s="13">
        <f>[1]!dbasum(RecData[[#This Row],[20]:[2000]],RecData[[#Headers],[20]:[2000]])</f>
        <v>39.148611842901914</v>
      </c>
      <c r="CJ496" s="14">
        <v>8234</v>
      </c>
      <c r="CK496" s="15" t="s">
        <v>249</v>
      </c>
      <c r="CL496" s="15">
        <f>RecData[[#This Row],[Start Time]]</f>
        <v>43270.039583333331</v>
      </c>
      <c r="CM496" s="16">
        <f>RecData[[#This Row],[Wind Speed avg]]</f>
        <v>0.81</v>
      </c>
      <c r="CN496" s="16">
        <f>RecData[[#This Row],[Wind Dir. avg]]</f>
        <v>200</v>
      </c>
      <c r="CO496" s="16">
        <f>RecData[[#This Row],[Amb. Humidity]]</f>
        <v>62.1</v>
      </c>
      <c r="CP496" s="16">
        <f>RecData[[#This Row],[Amb. Temperature]]</f>
        <v>16.8</v>
      </c>
      <c r="CQ496" s="17">
        <f>RecData[[#This Row],[Amb. Rain Gauge]]</f>
        <v>0</v>
      </c>
      <c r="CR496" s="4" t="s">
        <v>1</v>
      </c>
      <c r="CS496" s="4" t="s">
        <v>49</v>
      </c>
      <c r="CT496" s="70">
        <v>1620.13830566406</v>
      </c>
      <c r="CU496" s="70">
        <v>21.000179290771399</v>
      </c>
      <c r="CV496" s="70">
        <v>11.9555597305297</v>
      </c>
      <c r="CW496" s="70">
        <v>15.3126001358032</v>
      </c>
      <c r="CX496" s="4"/>
      <c r="CY496" s="69"/>
      <c r="CZ496" s="2" t="b">
        <f>IF($DP$1="YES",IF(RecData[[#This Row],[Power (kW)]]&gt;=$CR$3, TRUE,FALSE),TRUE)</f>
        <v>1</v>
      </c>
      <c r="DA496" s="16">
        <f>MIN(MOD(180-ABS(ABS($DA$1-RecData[Yaw Angle (°)])-180),360),MOD(180-ABS(ABS($DB$1-RecData[Yaw Angle (°)])-180),360))</f>
        <v>13.470252513083835</v>
      </c>
      <c r="DB496" s="2" t="str">
        <f>IF($DP$2="None","None",IF(RecData[[#This Row],[Relative Wind Direction]]&lt;=45,"DW",IF(RecData[[#This Row],[Relative Wind Direction]]&lt;=135,"CW","UW")))</f>
        <v>DW</v>
      </c>
      <c r="DC496" s="61" t="e">
        <f>IF($CL496-#REF!&gt;1/24,#REF!,IF(SUM($CQ494:$CQ496)&gt;$DS$1,$DS$5,DC497-1))</f>
        <v>#REF!</v>
      </c>
      <c r="DD496" s="61" t="e">
        <f>IF($CL497-$CL496&gt;1/24,#REF!,IF(SUM($CQ494:$CQ496)&gt;$DS$1,$DS$6,DD495-1))</f>
        <v>#REF!</v>
      </c>
      <c r="DE496" s="18" t="b">
        <v>0</v>
      </c>
      <c r="DF496" s="2" t="b">
        <f>IF(OR(RecData[[#This Row],[WSpd_Avg '[m/s']]]-RecData[[#This Row],[Wind Speed min]]&gt;=$DF$3,RecData[[#This Row],[Wind Speed max]]-RecData[[#This Row],[WSpd_Avg '[m/s']]]&gt;=$DF$2),TRUE,FALSE)</f>
        <v>0</v>
      </c>
      <c r="DG496" s="2" t="b">
        <f>RecData[[#This Row],[Temperature '[°C']]]&lt;=-20</f>
        <v>0</v>
      </c>
      <c r="DH496" s="18" t="b">
        <f>NOT(OR(MOD(RecData[[#This Row],[TIMESTAMP]],1)&gt;0.91632,MOD(RecData[[#This Row],[TIMESTAMP]],1)&lt;0.208681))</f>
        <v>0</v>
      </c>
      <c r="DI496" s="18" t="b">
        <f>RecData[[#This Row],[Overall (dBA)]]-RecData[[#This Row],[L90]]&gt;=$DS$4</f>
        <v>0</v>
      </c>
      <c r="DJ496" s="18" t="b">
        <f>RecData[[#This Row],[Overall (dBA)]]&gt;$DS$2</f>
        <v>0</v>
      </c>
      <c r="DK496" s="18" t="b">
        <f>RecData[[#This Row],[Overall (dBA)]]&lt;$DS$3</f>
        <v>0</v>
      </c>
      <c r="DL4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6" s="2">
        <f>IF(AND(RecData[[#This Row],[Turbines ON/OFF]] = "OFF", NOT(OR(RecData[[#This Row],[Junk?]]="YES",RecData[[#This Row],[Gust?]],RecData[[#This Row],[Rain?]:[Min SPL Threshold?]]))),1,0)</f>
        <v>0</v>
      </c>
      <c r="DN496" s="16">
        <f>RecData[[#This Row],[dBA Sum]]</f>
        <v>39.148611842901914</v>
      </c>
      <c r="DO496" s="16">
        <f>RecData[[#This Row],[LAF90.0]]</f>
        <v>38.4</v>
      </c>
      <c r="DP496" s="55">
        <f>IF(AND(RecData[[#This Row],[Useable TON Data?]],RecData[[#This Row],[Turbines ON/OFF]]="ON"),RecData[[#This Row],[dBA Sum]],"")</f>
        <v>39.148611842901914</v>
      </c>
      <c r="DQ496" s="55" t="str">
        <f>IF(AND(RecData[[#This Row],[Useable Background Data?]],RecData[[#This Row],[Turbines ON/OFF]]="OFF"),RecData[[#This Row],[dBA Sum]],"")</f>
        <v/>
      </c>
      <c r="DR496" s="3">
        <f>IF(OR(RecData[[#This Row],[Useable TON Data?]],RecData[[#This Row],[Useable Background Data?]]),ROUND(RecData[[#This Row],[WSpd_Avg '[m/s']]],0),"")</f>
        <v>1</v>
      </c>
      <c r="DS496" s="85">
        <f>(0.00002)^2*(10^(RecData[[#This Row],[Overall (dBA)]]/10))</f>
        <v>3.2879194977164317E-6</v>
      </c>
    </row>
    <row r="497" spans="1:123" ht="15" x14ac:dyDescent="0.25">
      <c r="A497" s="3" t="s">
        <v>249</v>
      </c>
      <c r="B497" s="12">
        <v>43270.040277777778</v>
      </c>
      <c r="C497" s="3"/>
      <c r="D497" s="3">
        <v>38.700000000000003</v>
      </c>
      <c r="E497" s="3"/>
      <c r="F497" s="3"/>
      <c r="G497" s="3"/>
      <c r="H497" s="3"/>
      <c r="I497" s="3"/>
      <c r="J497" s="3"/>
      <c r="K497" s="3">
        <v>37.799999999999997</v>
      </c>
      <c r="L497" s="3"/>
      <c r="M497" s="3"/>
      <c r="N497" s="3">
        <v>162.6</v>
      </c>
      <c r="O497" s="3"/>
      <c r="P497" s="3"/>
      <c r="Q497" s="3">
        <v>0.51</v>
      </c>
      <c r="R497" s="3">
        <v>0.1</v>
      </c>
      <c r="S497" s="3">
        <v>1</v>
      </c>
      <c r="T497" s="3">
        <v>16.8</v>
      </c>
      <c r="U497" s="3">
        <v>62.3</v>
      </c>
      <c r="V497" s="3">
        <v>972.7</v>
      </c>
      <c r="W497" s="3">
        <v>0</v>
      </c>
      <c r="X497" s="3">
        <v>47</v>
      </c>
      <c r="Y497" s="3">
        <v>46.7</v>
      </c>
      <c r="Z497" s="3">
        <v>45.4</v>
      </c>
      <c r="AA497" s="3">
        <v>41.1</v>
      </c>
      <c r="AB497" s="3">
        <v>37.1</v>
      </c>
      <c r="AC497" s="3">
        <v>36.5</v>
      </c>
      <c r="AD497" s="3">
        <v>39.200000000000003</v>
      </c>
      <c r="AE497" s="3">
        <v>40.299999999999997</v>
      </c>
      <c r="AF497" s="3">
        <v>42.9</v>
      </c>
      <c r="AG497" s="3">
        <v>35.799999999999997</v>
      </c>
      <c r="AH497" s="3">
        <v>36.200000000000003</v>
      </c>
      <c r="AI497" s="3">
        <v>35.700000000000003</v>
      </c>
      <c r="AJ497" s="3">
        <v>35.1</v>
      </c>
      <c r="AK497" s="3">
        <v>33.5</v>
      </c>
      <c r="AL497" s="3">
        <v>31.7</v>
      </c>
      <c r="AM497" s="3">
        <v>31.3</v>
      </c>
      <c r="AN497" s="3">
        <v>30</v>
      </c>
      <c r="AO497" s="3">
        <v>27.3</v>
      </c>
      <c r="AP497" s="3">
        <v>25.2</v>
      </c>
      <c r="AQ497" s="3">
        <v>23.1</v>
      </c>
      <c r="AR497" s="3">
        <v>20.5</v>
      </c>
      <c r="AS497" s="3">
        <v>19.2</v>
      </c>
      <c r="AT497" s="3">
        <v>25.3</v>
      </c>
      <c r="AU497" s="3">
        <v>12.4</v>
      </c>
      <c r="AV497" s="3">
        <v>11.2</v>
      </c>
      <c r="AW497" s="3">
        <v>10.4</v>
      </c>
      <c r="AX497" s="3">
        <v>9.6</v>
      </c>
      <c r="AY497" s="3">
        <v>9.5</v>
      </c>
      <c r="AZ497" s="3">
        <v>0</v>
      </c>
      <c r="BA497" s="3">
        <v>0</v>
      </c>
      <c r="BB497" s="3">
        <v>0</v>
      </c>
      <c r="BC497" s="3">
        <v>38.73854105325016</v>
      </c>
      <c r="BD497" s="3">
        <v>46.961458946749843</v>
      </c>
      <c r="BE497" s="3">
        <v>46.661458946749846</v>
      </c>
      <c r="BF497" s="3">
        <v>44.12145894674984</v>
      </c>
      <c r="BG497" s="3">
        <v>40.148125613416511</v>
      </c>
      <c r="BH497" s="3">
        <v>36.288125613416511</v>
      </c>
      <c r="BI497" s="3">
        <v>36.101458946749844</v>
      </c>
      <c r="BJ497" s="3">
        <v>39.594792280083183</v>
      </c>
      <c r="BK497" s="3">
        <v>40.568125613416512</v>
      </c>
      <c r="BL497" s="3">
        <v>42.741458946749844</v>
      </c>
      <c r="BM497" s="3">
        <v>35.774792280083176</v>
      </c>
      <c r="BN497" s="3">
        <v>36.458125613416513</v>
      </c>
      <c r="BO497" s="3">
        <v>35.324792280083173</v>
      </c>
      <c r="BP497" s="3">
        <v>34.441458946749847</v>
      </c>
      <c r="BQ497" s="3">
        <v>33.25812561341651</v>
      </c>
      <c r="BR497" s="3">
        <v>31.784792280083181</v>
      </c>
      <c r="BS497" s="3">
        <v>31.188125613416517</v>
      </c>
      <c r="BT497" s="3">
        <v>30.084792280083178</v>
      </c>
      <c r="BU497" s="3">
        <v>27.351458946749844</v>
      </c>
      <c r="BV497" s="3">
        <v>24.968125613416511</v>
      </c>
      <c r="BW497" s="3">
        <v>23.401458946749848</v>
      </c>
      <c r="BX497" s="3">
        <v>20.721458946749848</v>
      </c>
      <c r="BY497" s="3">
        <v>19.241458946749844</v>
      </c>
      <c r="BZ497" s="3">
        <v>25.471458946749848</v>
      </c>
      <c r="CA497" s="3">
        <v>12.671458946749837</v>
      </c>
      <c r="CB497" s="3">
        <v>10.908125613416509</v>
      </c>
      <c r="CC497" s="3">
        <v>10.321458946749843</v>
      </c>
      <c r="CD497" s="3">
        <v>8.8281256134165176</v>
      </c>
      <c r="CE497" s="3">
        <v>8.9214589467498442</v>
      </c>
      <c r="CF497" s="3">
        <v>-0.96520771991682608</v>
      </c>
      <c r="CG497" s="3">
        <v>-1.4985410532501575</v>
      </c>
      <c r="CH497" s="3">
        <v>-2.5752077199168255</v>
      </c>
      <c r="CI497" s="13">
        <f>[1]!dbasum(RecData[[#This Row],[20]:[2000]],RecData[[#Headers],[20]:[2000]])</f>
        <v>38.270394698314945</v>
      </c>
      <c r="CJ497" s="14">
        <v>8235</v>
      </c>
      <c r="CK497" s="15" t="s">
        <v>249</v>
      </c>
      <c r="CL497" s="15">
        <f>RecData[[#This Row],[Start Time]]</f>
        <v>43270.040277777778</v>
      </c>
      <c r="CM497" s="16">
        <f>RecData[[#This Row],[Wind Speed avg]]</f>
        <v>0.51</v>
      </c>
      <c r="CN497" s="16">
        <f>RecData[[#This Row],[Wind Dir. avg]]</f>
        <v>162.6</v>
      </c>
      <c r="CO497" s="16">
        <f>RecData[[#This Row],[Amb. Humidity]]</f>
        <v>62.3</v>
      </c>
      <c r="CP497" s="16">
        <f>RecData[[#This Row],[Amb. Temperature]]</f>
        <v>16.8</v>
      </c>
      <c r="CQ497" s="17">
        <f>RecData[[#This Row],[Amb. Rain Gauge]]</f>
        <v>0</v>
      </c>
      <c r="CR497" s="4" t="s">
        <v>1</v>
      </c>
      <c r="CS497" s="4" t="s">
        <v>49</v>
      </c>
      <c r="CT497" s="70">
        <v>1620.13830566406</v>
      </c>
      <c r="CU497" s="70">
        <v>21.000179290771399</v>
      </c>
      <c r="CV497" s="70">
        <v>11.9555597305297</v>
      </c>
      <c r="CW497" s="70">
        <v>15.3126001358032</v>
      </c>
      <c r="CX497" s="4"/>
      <c r="CY497" s="69"/>
      <c r="CZ497" s="2" t="b">
        <f>IF($DP$1="YES",IF(RecData[[#This Row],[Power (kW)]]&gt;=$CR$3, TRUE,FALSE),TRUE)</f>
        <v>1</v>
      </c>
      <c r="DA497" s="16">
        <f>MIN(MOD(180-ABS(ABS($DA$1-RecData[Yaw Angle (°)])-180),360),MOD(180-ABS(ABS($DB$1-RecData[Yaw Angle (°)])-180),360))</f>
        <v>13.470252513083835</v>
      </c>
      <c r="DB497" s="2" t="str">
        <f>IF($DP$2="None","None",IF(RecData[[#This Row],[Relative Wind Direction]]&lt;=45,"DW",IF(RecData[[#This Row],[Relative Wind Direction]]&lt;=135,"CW","UW")))</f>
        <v>DW</v>
      </c>
      <c r="DC497" s="61" t="e">
        <f>IF($CL497-#REF!&gt;1/24,#REF!,IF(SUM($CQ494:$CQ497)&gt;$DS$1,$DS$5,DC498-1))</f>
        <v>#REF!</v>
      </c>
      <c r="DD497" s="61" t="e">
        <f>IF($CL498-$CL497&gt;1/24,#REF!,IF(SUM($CQ494:$CQ497)&gt;$DS$1,$DS$6,DD496-1))</f>
        <v>#REF!</v>
      </c>
      <c r="DE497" s="18" t="b">
        <v>0</v>
      </c>
      <c r="DF497" s="2" t="b">
        <f>IF(OR(RecData[[#This Row],[WSpd_Avg '[m/s']]]-RecData[[#This Row],[Wind Speed min]]&gt;=$DF$3,RecData[[#This Row],[Wind Speed max]]-RecData[[#This Row],[WSpd_Avg '[m/s']]]&gt;=$DF$2),TRUE,FALSE)</f>
        <v>0</v>
      </c>
      <c r="DG497" s="2" t="b">
        <f>RecData[[#This Row],[Temperature '[°C']]]&lt;=-20</f>
        <v>0</v>
      </c>
      <c r="DH497" s="18" t="b">
        <f>NOT(OR(MOD(RecData[[#This Row],[TIMESTAMP]],1)&gt;0.91632,MOD(RecData[[#This Row],[TIMESTAMP]],1)&lt;0.208681))</f>
        <v>0</v>
      </c>
      <c r="DI497" s="18" t="b">
        <f>RecData[[#This Row],[Overall (dBA)]]-RecData[[#This Row],[L90]]&gt;=$DS$4</f>
        <v>0</v>
      </c>
      <c r="DJ497" s="18" t="b">
        <f>RecData[[#This Row],[Overall (dBA)]]&gt;$DS$2</f>
        <v>0</v>
      </c>
      <c r="DK497" s="18" t="b">
        <f>RecData[[#This Row],[Overall (dBA)]]&lt;$DS$3</f>
        <v>0</v>
      </c>
      <c r="DL4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7" s="2">
        <f>IF(AND(RecData[[#This Row],[Turbines ON/OFF]] = "OFF", NOT(OR(RecData[[#This Row],[Junk?]]="YES",RecData[[#This Row],[Gust?]],RecData[[#This Row],[Rain?]:[Min SPL Threshold?]]))),1,0)</f>
        <v>0</v>
      </c>
      <c r="DN497" s="16">
        <f>RecData[[#This Row],[dBA Sum]]</f>
        <v>38.270394698314945</v>
      </c>
      <c r="DO497" s="16">
        <f>RecData[[#This Row],[LAF90.0]]</f>
        <v>37.799999999999997</v>
      </c>
      <c r="DP497" s="55">
        <f>IF(AND(RecData[[#This Row],[Useable TON Data?]],RecData[[#This Row],[Turbines ON/OFF]]="ON"),RecData[[#This Row],[dBA Sum]],"")</f>
        <v>38.270394698314945</v>
      </c>
      <c r="DQ497" s="55" t="str">
        <f>IF(AND(RecData[[#This Row],[Useable Background Data?]],RecData[[#This Row],[Turbines ON/OFF]]="OFF"),RecData[[#This Row],[dBA Sum]],"")</f>
        <v/>
      </c>
      <c r="DR497" s="3">
        <f>IF(OR(RecData[[#This Row],[Useable TON Data?]],RecData[[#This Row],[Useable Background Data?]]),ROUND(RecData[[#This Row],[WSpd_Avg '[m/s']]],0),"")</f>
        <v>1</v>
      </c>
      <c r="DS497" s="85">
        <f>(0.00002)^2*(10^(RecData[[#This Row],[Overall (dBA)]]/10))</f>
        <v>2.6859595077176935E-6</v>
      </c>
    </row>
    <row r="498" spans="1:123" ht="15" x14ac:dyDescent="0.25">
      <c r="A498" s="3" t="s">
        <v>249</v>
      </c>
      <c r="B498" s="12">
        <v>43270.040972222225</v>
      </c>
      <c r="C498" s="3"/>
      <c r="D498" s="3">
        <v>39.4</v>
      </c>
      <c r="E498" s="3"/>
      <c r="F498" s="3"/>
      <c r="G498" s="3"/>
      <c r="H498" s="3"/>
      <c r="I498" s="3"/>
      <c r="J498" s="3"/>
      <c r="K498" s="3">
        <v>38.200000000000003</v>
      </c>
      <c r="L498" s="3"/>
      <c r="M498" s="3"/>
      <c r="N498" s="3">
        <v>165.8</v>
      </c>
      <c r="O498" s="3"/>
      <c r="P498" s="3"/>
      <c r="Q498" s="3">
        <v>0.87</v>
      </c>
      <c r="R498" s="3">
        <v>0.2</v>
      </c>
      <c r="S498" s="3">
        <v>1.9</v>
      </c>
      <c r="T498" s="3">
        <v>16.7</v>
      </c>
      <c r="U498" s="3">
        <v>62.4</v>
      </c>
      <c r="V498" s="3">
        <v>972.7</v>
      </c>
      <c r="W498" s="3">
        <v>0</v>
      </c>
      <c r="X498" s="3">
        <v>46.8</v>
      </c>
      <c r="Y498" s="3">
        <v>46</v>
      </c>
      <c r="Z498" s="3">
        <v>45.9</v>
      </c>
      <c r="AA498" s="3">
        <v>40.700000000000003</v>
      </c>
      <c r="AB498" s="3">
        <v>36.6</v>
      </c>
      <c r="AC498" s="3">
        <v>35.700000000000003</v>
      </c>
      <c r="AD498" s="3">
        <v>38.9</v>
      </c>
      <c r="AE498" s="3">
        <v>40.9</v>
      </c>
      <c r="AF498" s="3">
        <v>43.1</v>
      </c>
      <c r="AG498" s="3">
        <v>36.299999999999997</v>
      </c>
      <c r="AH498" s="3">
        <v>36.700000000000003</v>
      </c>
      <c r="AI498" s="3">
        <v>35.9</v>
      </c>
      <c r="AJ498" s="3">
        <v>35.6</v>
      </c>
      <c r="AK498" s="3">
        <v>33.799999999999997</v>
      </c>
      <c r="AL498" s="3">
        <v>32.1</v>
      </c>
      <c r="AM498" s="3">
        <v>32</v>
      </c>
      <c r="AN498" s="3">
        <v>30.9</v>
      </c>
      <c r="AO498" s="3">
        <v>28.1</v>
      </c>
      <c r="AP498" s="3">
        <v>26.3</v>
      </c>
      <c r="AQ498" s="3">
        <v>24.4</v>
      </c>
      <c r="AR498" s="3">
        <v>22.5</v>
      </c>
      <c r="AS498" s="3">
        <v>21.7</v>
      </c>
      <c r="AT498" s="3">
        <v>24.7</v>
      </c>
      <c r="AU498" s="3">
        <v>17.3</v>
      </c>
      <c r="AV498" s="3">
        <v>15.8</v>
      </c>
      <c r="AW498" s="3">
        <v>14.6</v>
      </c>
      <c r="AX498" s="3">
        <v>11.7</v>
      </c>
      <c r="AY498" s="3">
        <v>10.6</v>
      </c>
      <c r="AZ498" s="3">
        <v>0</v>
      </c>
      <c r="BA498" s="3">
        <v>0</v>
      </c>
      <c r="BB498" s="3">
        <v>0</v>
      </c>
      <c r="BC498" s="3">
        <v>39.380756473269884</v>
      </c>
      <c r="BD498" s="3">
        <v>46.819243526730105</v>
      </c>
      <c r="BE498" s="3">
        <v>46.019243526730122</v>
      </c>
      <c r="BF498" s="3">
        <v>44.679243526730119</v>
      </c>
      <c r="BG498" s="3">
        <v>39.805910193396784</v>
      </c>
      <c r="BH498" s="3">
        <v>35.845910193396776</v>
      </c>
      <c r="BI498" s="3">
        <v>35.359243526730125</v>
      </c>
      <c r="BJ498" s="3">
        <v>39.352576860063436</v>
      </c>
      <c r="BK498" s="3">
        <v>41.225910193396771</v>
      </c>
      <c r="BL498" s="3">
        <v>42.999243526730112</v>
      </c>
      <c r="BM498" s="3">
        <v>36.332576860063455</v>
      </c>
      <c r="BN498" s="3">
        <v>37.015910193396792</v>
      </c>
      <c r="BO498" s="3">
        <v>35.582576860063455</v>
      </c>
      <c r="BP498" s="3">
        <v>34.999243526730112</v>
      </c>
      <c r="BQ498" s="3">
        <v>33.615910193396772</v>
      </c>
      <c r="BR498" s="3">
        <v>32.242576860063451</v>
      </c>
      <c r="BS498" s="3">
        <v>31.945910193396784</v>
      </c>
      <c r="BT498" s="3">
        <v>31.042576860063448</v>
      </c>
      <c r="BU498" s="3">
        <v>28.20924352673012</v>
      </c>
      <c r="BV498" s="3">
        <v>26.125910193396777</v>
      </c>
      <c r="BW498" s="3">
        <v>24.759243526730117</v>
      </c>
      <c r="BX498" s="3">
        <v>22.77924352673012</v>
      </c>
      <c r="BY498" s="3">
        <v>21.799243526730109</v>
      </c>
      <c r="BZ498" s="3">
        <v>24.929243526730119</v>
      </c>
      <c r="CA498" s="3">
        <v>17.629243526730107</v>
      </c>
      <c r="CB498" s="3">
        <v>15.565910193396782</v>
      </c>
      <c r="CC498" s="3">
        <v>14.57924352673011</v>
      </c>
      <c r="CD498" s="3">
        <v>10.985910193396784</v>
      </c>
      <c r="CE498" s="3">
        <v>10.07924352673011</v>
      </c>
      <c r="CF498" s="3">
        <v>-0.90742313993655443</v>
      </c>
      <c r="CG498" s="3">
        <v>-1.4407564732698859</v>
      </c>
      <c r="CH498" s="3">
        <v>-2.5174231399365539</v>
      </c>
      <c r="CI498" s="13">
        <f>[1]!dbasum(RecData[[#This Row],[20]:[2000]],RecData[[#Headers],[20]:[2000]])</f>
        <v>38.964688449897864</v>
      </c>
      <c r="CJ498" s="14">
        <v>8236</v>
      </c>
      <c r="CK498" s="15" t="s">
        <v>249</v>
      </c>
      <c r="CL498" s="15">
        <f>RecData[[#This Row],[Start Time]]</f>
        <v>43270.040972222225</v>
      </c>
      <c r="CM498" s="16">
        <f>RecData[[#This Row],[Wind Speed avg]]</f>
        <v>0.87</v>
      </c>
      <c r="CN498" s="16">
        <f>RecData[[#This Row],[Wind Dir. avg]]</f>
        <v>165.8</v>
      </c>
      <c r="CO498" s="16">
        <f>RecData[[#This Row],[Amb. Humidity]]</f>
        <v>62.4</v>
      </c>
      <c r="CP498" s="16">
        <f>RecData[[#This Row],[Amb. Temperature]]</f>
        <v>16.7</v>
      </c>
      <c r="CQ498" s="17">
        <f>RecData[[#This Row],[Amb. Rain Gauge]]</f>
        <v>0</v>
      </c>
      <c r="CR498" s="4" t="s">
        <v>1</v>
      </c>
      <c r="CS498" s="4" t="s">
        <v>49</v>
      </c>
      <c r="CT498" s="70">
        <v>1620.13830566406</v>
      </c>
      <c r="CU498" s="70">
        <v>21.000179290771399</v>
      </c>
      <c r="CV498" s="70">
        <v>11.9555597305297</v>
      </c>
      <c r="CW498" s="70">
        <v>15.3126001358032</v>
      </c>
      <c r="CX498" s="4"/>
      <c r="CY498" s="69"/>
      <c r="CZ498" s="2" t="b">
        <f>IF($DP$1="YES",IF(RecData[[#This Row],[Power (kW)]]&gt;=$CR$3, TRUE,FALSE),TRUE)</f>
        <v>1</v>
      </c>
      <c r="DA498" s="16">
        <f>MIN(MOD(180-ABS(ABS($DA$1-RecData[Yaw Angle (°)])-180),360),MOD(180-ABS(ABS($DB$1-RecData[Yaw Angle (°)])-180),360))</f>
        <v>13.470252513083835</v>
      </c>
      <c r="DB498" s="2" t="str">
        <f>IF($DP$2="None","None",IF(RecData[[#This Row],[Relative Wind Direction]]&lt;=45,"DW",IF(RecData[[#This Row],[Relative Wind Direction]]&lt;=135,"CW","UW")))</f>
        <v>DW</v>
      </c>
      <c r="DC498" s="61">
        <v>-1</v>
      </c>
      <c r="DD498" s="61">
        <v>-1</v>
      </c>
      <c r="DE498" s="18" t="b">
        <v>0</v>
      </c>
      <c r="DF498" s="2" t="b">
        <f>IF(OR(RecData[[#This Row],[WSpd_Avg '[m/s']]]-RecData[[#This Row],[Wind Speed min]]&gt;=$DF$3,RecData[[#This Row],[Wind Speed max]]-RecData[[#This Row],[WSpd_Avg '[m/s']]]&gt;=$DF$2),TRUE,FALSE)</f>
        <v>0</v>
      </c>
      <c r="DG498" s="2" t="b">
        <f>RecData[[#This Row],[Temperature '[°C']]]&lt;=-20</f>
        <v>0</v>
      </c>
      <c r="DH498" s="18" t="b">
        <f>NOT(OR(MOD(RecData[[#This Row],[TIMESTAMP]],1)&gt;0.91632,MOD(RecData[[#This Row],[TIMESTAMP]],1)&lt;0.208681))</f>
        <v>0</v>
      </c>
      <c r="DI498" s="18" t="b">
        <f>RecData[[#This Row],[Overall (dBA)]]-RecData[[#This Row],[L90]]&gt;=$DS$4</f>
        <v>0</v>
      </c>
      <c r="DJ498" s="18" t="b">
        <f>RecData[[#This Row],[Overall (dBA)]]&gt;$DS$2</f>
        <v>0</v>
      </c>
      <c r="DK498" s="18" t="b">
        <f>RecData[[#This Row],[Overall (dBA)]]&lt;$DS$3</f>
        <v>0</v>
      </c>
      <c r="DL4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8" s="2">
        <f>IF(AND(RecData[[#This Row],[Turbines ON/OFF]] = "OFF", NOT(OR(RecData[[#This Row],[Junk?]]="YES",RecData[[#This Row],[Gust?]],RecData[[#This Row],[Rain?]:[Min SPL Threshold?]]))),1,0)</f>
        <v>0</v>
      </c>
      <c r="DN498" s="16">
        <f>RecData[[#This Row],[dBA Sum]]</f>
        <v>38.964688449897864</v>
      </c>
      <c r="DO498" s="16">
        <f>RecData[[#This Row],[LAF90.0]]</f>
        <v>38.200000000000003</v>
      </c>
      <c r="DP498" s="55">
        <f>IF(AND(RecData[[#This Row],[Useable TON Data?]],RecData[[#This Row],[Turbines ON/OFF]]="ON"),RecData[[#This Row],[dBA Sum]],"")</f>
        <v>38.964688449897864</v>
      </c>
      <c r="DQ498" s="55" t="str">
        <f>IF(AND(RecData[[#This Row],[Useable Background Data?]],RecData[[#This Row],[Turbines ON/OFF]]="OFF"),RecData[[#This Row],[dBA Sum]],"")</f>
        <v/>
      </c>
      <c r="DR498" s="3">
        <f>IF(OR(RecData[[#This Row],[Useable TON Data?]],RecData[[#This Row],[Useable Background Data?]]),ROUND(RecData[[#This Row],[WSpd_Avg '[m/s']]],0),"")</f>
        <v>1</v>
      </c>
      <c r="DS498" s="85">
        <f>(0.00002)^2*(10^(RecData[[#This Row],[Overall (dBA)]]/10))</f>
        <v>3.1515836323450621E-6</v>
      </c>
    </row>
    <row r="499" spans="1:123" ht="15" x14ac:dyDescent="0.25">
      <c r="A499" s="3" t="s">
        <v>249</v>
      </c>
      <c r="B499" s="12">
        <v>43270.041666666672</v>
      </c>
      <c r="C499" s="3"/>
      <c r="D499" s="3">
        <v>39.299999999999997</v>
      </c>
      <c r="E499" s="3"/>
      <c r="F499" s="3"/>
      <c r="G499" s="3"/>
      <c r="H499" s="3"/>
      <c r="I499" s="3"/>
      <c r="J499" s="3"/>
      <c r="K499" s="3">
        <v>38</v>
      </c>
      <c r="L499" s="3"/>
      <c r="M499" s="3"/>
      <c r="N499" s="3">
        <v>150.4</v>
      </c>
      <c r="O499" s="3"/>
      <c r="P499" s="3"/>
      <c r="Q499" s="3">
        <v>0.56999999999999995</v>
      </c>
      <c r="R499" s="3">
        <v>0.2</v>
      </c>
      <c r="S499" s="3">
        <v>1.3</v>
      </c>
      <c r="T499" s="3">
        <v>16.7</v>
      </c>
      <c r="U499" s="3">
        <v>62.1</v>
      </c>
      <c r="V499" s="3">
        <v>972.7</v>
      </c>
      <c r="W499" s="3">
        <v>0</v>
      </c>
      <c r="X499" s="3">
        <v>46.2</v>
      </c>
      <c r="Y499" s="3">
        <v>46.6</v>
      </c>
      <c r="Z499" s="3">
        <v>45.4</v>
      </c>
      <c r="AA499" s="3">
        <v>40.799999999999997</v>
      </c>
      <c r="AB499" s="3">
        <v>36.700000000000003</v>
      </c>
      <c r="AC499" s="3">
        <v>35.1</v>
      </c>
      <c r="AD499" s="3">
        <v>38.1</v>
      </c>
      <c r="AE499" s="3">
        <v>40.700000000000003</v>
      </c>
      <c r="AF499" s="3">
        <v>44.1</v>
      </c>
      <c r="AG499" s="3">
        <v>36.799999999999997</v>
      </c>
      <c r="AH499" s="3">
        <v>36.299999999999997</v>
      </c>
      <c r="AI499" s="3">
        <v>36.200000000000003</v>
      </c>
      <c r="AJ499" s="3">
        <v>35.299999999999997</v>
      </c>
      <c r="AK499" s="3">
        <v>33.700000000000003</v>
      </c>
      <c r="AL499" s="3">
        <v>32</v>
      </c>
      <c r="AM499" s="3">
        <v>31.9</v>
      </c>
      <c r="AN499" s="3">
        <v>30.9</v>
      </c>
      <c r="AO499" s="3">
        <v>28.3</v>
      </c>
      <c r="AP499" s="3">
        <v>26.3</v>
      </c>
      <c r="AQ499" s="3">
        <v>24.6</v>
      </c>
      <c r="AR499" s="3">
        <v>22.6</v>
      </c>
      <c r="AS499" s="3">
        <v>20.9</v>
      </c>
      <c r="AT499" s="3">
        <v>22.2</v>
      </c>
      <c r="AU499" s="3">
        <v>15.8</v>
      </c>
      <c r="AV499" s="3">
        <v>13.7</v>
      </c>
      <c r="AW499" s="3">
        <v>12.6</v>
      </c>
      <c r="AX499" s="3">
        <v>10.3</v>
      </c>
      <c r="AY499" s="3">
        <v>9.8000000000000007</v>
      </c>
      <c r="AZ499" s="3">
        <v>0</v>
      </c>
      <c r="BA499" s="3">
        <v>0</v>
      </c>
      <c r="BB499" s="3">
        <v>0</v>
      </c>
      <c r="BC499" s="3">
        <v>39.293067957613268</v>
      </c>
      <c r="BD499" s="3">
        <v>46.206932042386732</v>
      </c>
      <c r="BE499" s="3">
        <v>46.606932042386738</v>
      </c>
      <c r="BF499" s="3">
        <v>44.166932042386726</v>
      </c>
      <c r="BG499" s="3">
        <v>39.8935987090534</v>
      </c>
      <c r="BH499" s="3">
        <v>35.933598709053392</v>
      </c>
      <c r="BI499" s="3">
        <v>34.746932042386725</v>
      </c>
      <c r="BJ499" s="3">
        <v>38.540265375720061</v>
      </c>
      <c r="BK499" s="3">
        <v>41.013598709053404</v>
      </c>
      <c r="BL499" s="3">
        <v>43.986932042386734</v>
      </c>
      <c r="BM499" s="3">
        <v>36.820265375720062</v>
      </c>
      <c r="BN499" s="3">
        <v>36.603598709053394</v>
      </c>
      <c r="BO499" s="3">
        <v>35.870265375720059</v>
      </c>
      <c r="BP499" s="3">
        <v>34.686932042386722</v>
      </c>
      <c r="BQ499" s="3">
        <v>33.503598709053385</v>
      </c>
      <c r="BR499" s="3">
        <v>32.130265375720064</v>
      </c>
      <c r="BS499" s="3">
        <v>31.833598709053398</v>
      </c>
      <c r="BT499" s="3">
        <v>31.030265375720056</v>
      </c>
      <c r="BU499" s="3">
        <v>28.39693204238673</v>
      </c>
      <c r="BV499" s="3">
        <v>26.113598709053399</v>
      </c>
      <c r="BW499" s="3">
        <v>24.946932042386742</v>
      </c>
      <c r="BX499" s="3">
        <v>22.866932042386736</v>
      </c>
      <c r="BY499" s="3">
        <v>20.986932042386726</v>
      </c>
      <c r="BZ499" s="3">
        <v>22.416932042386733</v>
      </c>
      <c r="CA499" s="3">
        <v>16.116932042386722</v>
      </c>
      <c r="CB499" s="3">
        <v>13.453598709053395</v>
      </c>
      <c r="CC499" s="3">
        <v>12.566932042386732</v>
      </c>
      <c r="CD499" s="3">
        <v>9.5735987090533996</v>
      </c>
      <c r="CE499" s="3">
        <v>9.2669320423867276</v>
      </c>
      <c r="CF499" s="3">
        <v>-0.91973462427993979</v>
      </c>
      <c r="CG499" s="3">
        <v>-1.4530679576132712</v>
      </c>
      <c r="CH499" s="3">
        <v>-2.5297346242799392</v>
      </c>
      <c r="CI499" s="13">
        <f>[1]!dbasum(RecData[[#This Row],[20]:[2000]],RecData[[#Headers],[20]:[2000]])</f>
        <v>38.997074281731848</v>
      </c>
      <c r="CJ499" s="14">
        <v>8237</v>
      </c>
      <c r="CK499" s="15" t="s">
        <v>249</v>
      </c>
      <c r="CL499" s="15">
        <f>RecData[[#This Row],[Start Time]]</f>
        <v>43270.041666666672</v>
      </c>
      <c r="CM499" s="16">
        <f>RecData[[#This Row],[Wind Speed avg]]</f>
        <v>0.56999999999999995</v>
      </c>
      <c r="CN499" s="16">
        <f>RecData[[#This Row],[Wind Dir. avg]]</f>
        <v>150.4</v>
      </c>
      <c r="CO499" s="16">
        <f>RecData[[#This Row],[Amb. Humidity]]</f>
        <v>62.1</v>
      </c>
      <c r="CP499" s="16">
        <f>RecData[[#This Row],[Amb. Temperature]]</f>
        <v>16.7</v>
      </c>
      <c r="CQ499" s="17">
        <f>RecData[[#This Row],[Amb. Rain Gauge]]</f>
        <v>0</v>
      </c>
      <c r="CR499" s="4" t="s">
        <v>1</v>
      </c>
      <c r="CS499" s="4" t="s">
        <v>49</v>
      </c>
      <c r="CT499" s="70">
        <v>1620.13830566406</v>
      </c>
      <c r="CU499" s="70">
        <v>21.000179290771399</v>
      </c>
      <c r="CV499" s="70">
        <v>11.9555597305297</v>
      </c>
      <c r="CW499" s="70">
        <v>15.3126001358032</v>
      </c>
      <c r="CX499" s="4"/>
      <c r="CY499" s="69"/>
      <c r="CZ499" s="2" t="b">
        <f>IF($DP$1="YES",IF(RecData[[#This Row],[Power (kW)]]&gt;=$CR$3, TRUE,FALSE),TRUE)</f>
        <v>1</v>
      </c>
      <c r="DA499" s="16">
        <f>MIN(MOD(180-ABS(ABS($DA$1-RecData[Yaw Angle (°)])-180),360),MOD(180-ABS(ABS($DB$1-RecData[Yaw Angle (°)])-180),360))</f>
        <v>13.470252513083835</v>
      </c>
      <c r="DB499" s="2" t="str">
        <f>IF($DP$2="None","None",IF(RecData[[#This Row],[Relative Wind Direction]]&lt;=45,"DW",IF(RecData[[#This Row],[Relative Wind Direction]]&lt;=135,"CW","UW")))</f>
        <v>DW</v>
      </c>
      <c r="DC499" s="61">
        <f>IF($CL499-$CL498&gt;1/24,#REF!,IF(SUM($CQ498:$CQ499)&gt;$DS$1,$DS$5,DC500-1))</f>
        <v>-9</v>
      </c>
      <c r="DD499" s="61">
        <f>IF($CL500-$CL499&gt;1/24,#REF!,IF(SUM($CQ498:$CQ499)&gt;$DS$1,$DS$6,DD498-1))</f>
        <v>-2</v>
      </c>
      <c r="DE499" s="18" t="b">
        <v>0</v>
      </c>
      <c r="DF499" s="2" t="b">
        <f>IF(OR(RecData[[#This Row],[WSpd_Avg '[m/s']]]-RecData[[#This Row],[Wind Speed min]]&gt;=$DF$3,RecData[[#This Row],[Wind Speed max]]-RecData[[#This Row],[WSpd_Avg '[m/s']]]&gt;=$DF$2),TRUE,FALSE)</f>
        <v>0</v>
      </c>
      <c r="DG499" s="2" t="b">
        <f>RecData[[#This Row],[Temperature '[°C']]]&lt;=-20</f>
        <v>0</v>
      </c>
      <c r="DH499" s="18" t="b">
        <f>NOT(OR(MOD(RecData[[#This Row],[TIMESTAMP]],1)&gt;0.91632,MOD(RecData[[#This Row],[TIMESTAMP]],1)&lt;0.208681))</f>
        <v>0</v>
      </c>
      <c r="DI499" s="18" t="b">
        <f>RecData[[#This Row],[Overall (dBA)]]-RecData[[#This Row],[L90]]&gt;=$DS$4</f>
        <v>0</v>
      </c>
      <c r="DJ499" s="18" t="b">
        <f>RecData[[#This Row],[Overall (dBA)]]&gt;$DS$2</f>
        <v>0</v>
      </c>
      <c r="DK499" s="18" t="b">
        <f>RecData[[#This Row],[Overall (dBA)]]&lt;$DS$3</f>
        <v>0</v>
      </c>
      <c r="DL4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499" s="2">
        <f>IF(AND(RecData[[#This Row],[Turbines ON/OFF]] = "OFF", NOT(OR(RecData[[#This Row],[Junk?]]="YES",RecData[[#This Row],[Gust?]],RecData[[#This Row],[Rain?]:[Min SPL Threshold?]]))),1,0)</f>
        <v>0</v>
      </c>
      <c r="DN499" s="16">
        <f>RecData[[#This Row],[dBA Sum]]</f>
        <v>38.997074281731848</v>
      </c>
      <c r="DO499" s="16">
        <f>RecData[[#This Row],[LAF90.0]]</f>
        <v>38</v>
      </c>
      <c r="DP499" s="55">
        <f>IF(AND(RecData[[#This Row],[Useable TON Data?]],RecData[[#This Row],[Turbines ON/OFF]]="ON"),RecData[[#This Row],[dBA Sum]],"")</f>
        <v>38.997074281731848</v>
      </c>
      <c r="DQ499" s="55" t="str">
        <f>IF(AND(RecData[[#This Row],[Useable Background Data?]],RecData[[#This Row],[Turbines ON/OFF]]="OFF"),RecData[[#This Row],[dBA Sum]],"")</f>
        <v/>
      </c>
      <c r="DR499" s="3">
        <f>IF(OR(RecData[[#This Row],[Useable TON Data?]],RecData[[#This Row],[Useable Background Data?]]),ROUND(RecData[[#This Row],[WSpd_Avg '[m/s']]],0),"")</f>
        <v>1</v>
      </c>
      <c r="DS499" s="85">
        <f>(0.00002)^2*(10^(RecData[[#This Row],[Overall (dBA)]]/10))</f>
        <v>3.1751731944610278E-6</v>
      </c>
    </row>
    <row r="500" spans="1:123" ht="15" x14ac:dyDescent="0.25">
      <c r="A500" s="3" t="s">
        <v>249</v>
      </c>
      <c r="B500" s="12">
        <v>43270.042361111118</v>
      </c>
      <c r="C500" s="3"/>
      <c r="D500" s="3">
        <v>39.799999999999997</v>
      </c>
      <c r="E500" s="3"/>
      <c r="F500" s="3"/>
      <c r="G500" s="3"/>
      <c r="H500" s="3"/>
      <c r="I500" s="3"/>
      <c r="J500" s="3"/>
      <c r="K500" s="3">
        <v>38.6</v>
      </c>
      <c r="L500" s="3"/>
      <c r="M500" s="3"/>
      <c r="N500" s="3">
        <v>195</v>
      </c>
      <c r="O500" s="3"/>
      <c r="P500" s="3"/>
      <c r="Q500" s="3">
        <v>0.89</v>
      </c>
      <c r="R500" s="3">
        <v>0.1</v>
      </c>
      <c r="S500" s="3">
        <v>2.2000000000000002</v>
      </c>
      <c r="T500" s="3">
        <v>16.7</v>
      </c>
      <c r="U500" s="3">
        <v>62.8</v>
      </c>
      <c r="V500" s="3">
        <v>972.7</v>
      </c>
      <c r="W500" s="3">
        <v>0</v>
      </c>
      <c r="X500" s="3">
        <v>46.9</v>
      </c>
      <c r="Y500" s="3">
        <v>47.2</v>
      </c>
      <c r="Z500" s="3">
        <v>46.7</v>
      </c>
      <c r="AA500" s="3">
        <v>42.3</v>
      </c>
      <c r="AB500" s="3">
        <v>37.9</v>
      </c>
      <c r="AC500" s="3">
        <v>35.6</v>
      </c>
      <c r="AD500" s="3">
        <v>38.700000000000003</v>
      </c>
      <c r="AE500" s="3">
        <v>40.5</v>
      </c>
      <c r="AF500" s="3">
        <v>44.8</v>
      </c>
      <c r="AG500" s="3">
        <v>38.799999999999997</v>
      </c>
      <c r="AH500" s="3">
        <v>36.1</v>
      </c>
      <c r="AI500" s="3">
        <v>36.799999999999997</v>
      </c>
      <c r="AJ500" s="3">
        <v>35.5</v>
      </c>
      <c r="AK500" s="3">
        <v>34.1</v>
      </c>
      <c r="AL500" s="3">
        <v>32.299999999999997</v>
      </c>
      <c r="AM500" s="3">
        <v>32.299999999999997</v>
      </c>
      <c r="AN500" s="3">
        <v>30.9</v>
      </c>
      <c r="AO500" s="3">
        <v>28.3</v>
      </c>
      <c r="AP500" s="3">
        <v>26.3</v>
      </c>
      <c r="AQ500" s="3">
        <v>24.9</v>
      </c>
      <c r="AR500" s="3">
        <v>23</v>
      </c>
      <c r="AS500" s="3">
        <v>22.7</v>
      </c>
      <c r="AT500" s="3">
        <v>24.3</v>
      </c>
      <c r="AU500" s="3">
        <v>17.600000000000001</v>
      </c>
      <c r="AV500" s="3">
        <v>16.2</v>
      </c>
      <c r="AW500" s="3">
        <v>15.7</v>
      </c>
      <c r="AX500" s="3">
        <v>12.2</v>
      </c>
      <c r="AY500" s="3">
        <v>11.3</v>
      </c>
      <c r="AZ500" s="3">
        <v>0</v>
      </c>
      <c r="BA500" s="3">
        <v>0</v>
      </c>
      <c r="BB500" s="3">
        <v>0</v>
      </c>
      <c r="BC500" s="3">
        <v>39.736104449790396</v>
      </c>
      <c r="BD500" s="3">
        <v>46.963895550209592</v>
      </c>
      <c r="BE500" s="3">
        <v>47.263895550209604</v>
      </c>
      <c r="BF500" s="3">
        <v>45.523895550209595</v>
      </c>
      <c r="BG500" s="3">
        <v>41.450562216876271</v>
      </c>
      <c r="BH500" s="3">
        <v>37.190562216876266</v>
      </c>
      <c r="BI500" s="3">
        <v>35.303895550209596</v>
      </c>
      <c r="BJ500" s="3">
        <v>39.197228883542941</v>
      </c>
      <c r="BK500" s="3">
        <v>40.870562216876259</v>
      </c>
      <c r="BL500" s="3">
        <v>44.743895550209594</v>
      </c>
      <c r="BM500" s="3">
        <v>38.877228883542934</v>
      </c>
      <c r="BN500" s="3">
        <v>36.460562216876262</v>
      </c>
      <c r="BO500" s="3">
        <v>36.527228883542925</v>
      </c>
      <c r="BP500" s="3">
        <v>34.943895550209611</v>
      </c>
      <c r="BQ500" s="3">
        <v>33.960562216876262</v>
      </c>
      <c r="BR500" s="3">
        <v>32.487228883542933</v>
      </c>
      <c r="BS500" s="3">
        <v>32.290562216876275</v>
      </c>
      <c r="BT500" s="3">
        <v>31.087228883542927</v>
      </c>
      <c r="BU500" s="3">
        <v>28.453895550209602</v>
      </c>
      <c r="BV500" s="3">
        <v>26.17056221687627</v>
      </c>
      <c r="BW500" s="3">
        <v>25.303895550209596</v>
      </c>
      <c r="BX500" s="3">
        <v>23.323895550209606</v>
      </c>
      <c r="BY500" s="3">
        <v>22.843895550209602</v>
      </c>
      <c r="BZ500" s="3">
        <v>24.573895550209606</v>
      </c>
      <c r="CA500" s="3">
        <v>17.973895550209598</v>
      </c>
      <c r="CB500" s="3">
        <v>16.010562216876266</v>
      </c>
      <c r="CC500" s="3">
        <v>15.723895550209598</v>
      </c>
      <c r="CD500" s="3">
        <v>11.53056221687627</v>
      </c>
      <c r="CE500" s="3">
        <v>10.823895550209599</v>
      </c>
      <c r="CF500" s="3">
        <v>-0.86277111645706839</v>
      </c>
      <c r="CG500" s="3">
        <v>-1.3961044497903998</v>
      </c>
      <c r="CH500" s="3">
        <v>-2.4727711164570678</v>
      </c>
      <c r="CI500" s="13">
        <f>[1]!dbasum(RecData[[#This Row],[20]:[2000]],RecData[[#Headers],[20]:[2000]])</f>
        <v>39.374300772231592</v>
      </c>
      <c r="CJ500" s="14">
        <v>8238</v>
      </c>
      <c r="CK500" s="15" t="s">
        <v>249</v>
      </c>
      <c r="CL500" s="15">
        <f>RecData[[#This Row],[Start Time]]</f>
        <v>43270.042361111118</v>
      </c>
      <c r="CM500" s="16">
        <f>RecData[[#This Row],[Wind Speed avg]]</f>
        <v>0.89</v>
      </c>
      <c r="CN500" s="16">
        <f>RecData[[#This Row],[Wind Dir. avg]]</f>
        <v>195</v>
      </c>
      <c r="CO500" s="16">
        <f>RecData[[#This Row],[Amb. Humidity]]</f>
        <v>62.8</v>
      </c>
      <c r="CP500" s="16">
        <f>RecData[[#This Row],[Amb. Temperature]]</f>
        <v>16.7</v>
      </c>
      <c r="CQ500" s="17">
        <f>RecData[[#This Row],[Amb. Rain Gauge]]</f>
        <v>0</v>
      </c>
      <c r="CR500" s="4" t="s">
        <v>1</v>
      </c>
      <c r="CS500" s="4" t="s">
        <v>49</v>
      </c>
      <c r="CT500" s="70">
        <v>1619.04968261718</v>
      </c>
      <c r="CU500" s="70">
        <v>21.000177383422798</v>
      </c>
      <c r="CV500" s="70">
        <v>11.795585632324199</v>
      </c>
      <c r="CW500" s="70">
        <v>15.295961380004799</v>
      </c>
      <c r="CX500" s="4"/>
      <c r="CY500" s="69"/>
      <c r="CZ500" s="2" t="b">
        <f>IF($DP$1="YES",IF(RecData[[#This Row],[Power (kW)]]&gt;=$CR$3, TRUE,FALSE),TRUE)</f>
        <v>1</v>
      </c>
      <c r="DA500" s="16">
        <f>MIN(MOD(180-ABS(ABS($DA$1-RecData[Yaw Angle (°)])-180),360),MOD(180-ABS(ABS($DB$1-RecData[Yaw Angle (°)])-180),360))</f>
        <v>13.470250605735259</v>
      </c>
      <c r="DB500" s="2" t="str">
        <f>IF($DP$2="None","None",IF(RecData[[#This Row],[Relative Wind Direction]]&lt;=45,"DW",IF(RecData[[#This Row],[Relative Wind Direction]]&lt;=135,"CW","UW")))</f>
        <v>DW</v>
      </c>
      <c r="DC500" s="61">
        <f>IF($CL500-$CL498&gt;1/24,#REF!,IF(SUM($CQ498:$CQ500)&gt;$DS$1,$DS$5,DC501-1))</f>
        <v>-8</v>
      </c>
      <c r="DD500" s="61">
        <f>IF($CL501-$CL500&gt;1/24,#REF!,IF(SUM($CQ498:$CQ500)&gt;$DS$1,$DS$6,DD499-1))</f>
        <v>-3</v>
      </c>
      <c r="DE500" s="18" t="b">
        <v>0</v>
      </c>
      <c r="DF500" s="2" t="b">
        <f>IF(OR(RecData[[#This Row],[WSpd_Avg '[m/s']]]-RecData[[#This Row],[Wind Speed min]]&gt;=$DF$3,RecData[[#This Row],[Wind Speed max]]-RecData[[#This Row],[WSpd_Avg '[m/s']]]&gt;=$DF$2),TRUE,FALSE)</f>
        <v>0</v>
      </c>
      <c r="DG500" s="2" t="b">
        <f>RecData[[#This Row],[Temperature '[°C']]]&lt;=-20</f>
        <v>0</v>
      </c>
      <c r="DH500" s="18" t="b">
        <f>NOT(OR(MOD(RecData[[#This Row],[TIMESTAMP]],1)&gt;0.91632,MOD(RecData[[#This Row],[TIMESTAMP]],1)&lt;0.208681))</f>
        <v>0</v>
      </c>
      <c r="DI500" s="18" t="b">
        <f>RecData[[#This Row],[Overall (dBA)]]-RecData[[#This Row],[L90]]&gt;=$DS$4</f>
        <v>0</v>
      </c>
      <c r="DJ500" s="18" t="b">
        <f>RecData[[#This Row],[Overall (dBA)]]&gt;$DS$2</f>
        <v>0</v>
      </c>
      <c r="DK500" s="18" t="b">
        <f>RecData[[#This Row],[Overall (dBA)]]&lt;$DS$3</f>
        <v>0</v>
      </c>
      <c r="DL5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0" s="2">
        <f>IF(AND(RecData[[#This Row],[Turbines ON/OFF]] = "OFF", NOT(OR(RecData[[#This Row],[Junk?]]="YES",RecData[[#This Row],[Gust?]],RecData[[#This Row],[Rain?]:[Min SPL Threshold?]]))),1,0)</f>
        <v>0</v>
      </c>
      <c r="DN500" s="16">
        <f>RecData[[#This Row],[dBA Sum]]</f>
        <v>39.374300772231592</v>
      </c>
      <c r="DO500" s="16">
        <f>RecData[[#This Row],[LAF90.0]]</f>
        <v>38.6</v>
      </c>
      <c r="DP500" s="55">
        <f>IF(AND(RecData[[#This Row],[Useable TON Data?]],RecData[[#This Row],[Turbines ON/OFF]]="ON"),RecData[[#This Row],[dBA Sum]],"")</f>
        <v>39.374300772231592</v>
      </c>
      <c r="DQ500" s="55" t="str">
        <f>IF(AND(RecData[[#This Row],[Useable Background Data?]],RecData[[#This Row],[Turbines ON/OFF]]="OFF"),RecData[[#This Row],[dBA Sum]],"")</f>
        <v/>
      </c>
      <c r="DR500" s="3">
        <f>IF(OR(RecData[[#This Row],[Useable TON Data?]],RecData[[#This Row],[Useable Background Data?]]),ROUND(RecData[[#This Row],[WSpd_Avg '[m/s']]],0),"")</f>
        <v>1</v>
      </c>
      <c r="DS500" s="85">
        <f>(0.00002)^2*(10^(RecData[[#This Row],[Overall (dBA)]]/10))</f>
        <v>3.4632996464196605E-6</v>
      </c>
    </row>
    <row r="501" spans="1:123" ht="15" x14ac:dyDescent="0.25">
      <c r="A501" s="3" t="s">
        <v>249</v>
      </c>
      <c r="B501" s="12">
        <v>43270.043055555558</v>
      </c>
      <c r="C501" s="3"/>
      <c r="D501" s="3">
        <v>40</v>
      </c>
      <c r="E501" s="3"/>
      <c r="F501" s="3"/>
      <c r="G501" s="3"/>
      <c r="H501" s="3"/>
      <c r="I501" s="3"/>
      <c r="J501" s="3"/>
      <c r="K501" s="3">
        <v>39.200000000000003</v>
      </c>
      <c r="L501" s="3"/>
      <c r="M501" s="3"/>
      <c r="N501" s="3">
        <v>113.7</v>
      </c>
      <c r="O501" s="3"/>
      <c r="P501" s="3"/>
      <c r="Q501" s="3">
        <v>1.41</v>
      </c>
      <c r="R501" s="3">
        <v>0.1</v>
      </c>
      <c r="S501" s="3">
        <v>2.5</v>
      </c>
      <c r="T501" s="3">
        <v>16.600000000000001</v>
      </c>
      <c r="U501" s="3">
        <v>62.8</v>
      </c>
      <c r="V501" s="3">
        <v>972.7</v>
      </c>
      <c r="W501" s="3">
        <v>0</v>
      </c>
      <c r="X501" s="3">
        <v>47</v>
      </c>
      <c r="Y501" s="3">
        <v>47</v>
      </c>
      <c r="Z501" s="3">
        <v>47</v>
      </c>
      <c r="AA501" s="3">
        <v>43.1</v>
      </c>
      <c r="AB501" s="3">
        <v>36.9</v>
      </c>
      <c r="AC501" s="3">
        <v>36.1</v>
      </c>
      <c r="AD501" s="3">
        <v>39.299999999999997</v>
      </c>
      <c r="AE501" s="3">
        <v>40.9</v>
      </c>
      <c r="AF501" s="3">
        <v>44.6</v>
      </c>
      <c r="AG501" s="3">
        <v>38.6</v>
      </c>
      <c r="AH501" s="3">
        <v>37.1</v>
      </c>
      <c r="AI501" s="3">
        <v>37.1</v>
      </c>
      <c r="AJ501" s="3">
        <v>36</v>
      </c>
      <c r="AK501" s="3">
        <v>34.299999999999997</v>
      </c>
      <c r="AL501" s="3">
        <v>32.6</v>
      </c>
      <c r="AM501" s="3">
        <v>32.6</v>
      </c>
      <c r="AN501" s="3">
        <v>31.3</v>
      </c>
      <c r="AO501" s="3">
        <v>28.9</v>
      </c>
      <c r="AP501" s="3">
        <v>26.9</v>
      </c>
      <c r="AQ501" s="3">
        <v>25.2</v>
      </c>
      <c r="AR501" s="3">
        <v>22.9</v>
      </c>
      <c r="AS501" s="3">
        <v>21.5</v>
      </c>
      <c r="AT501" s="3">
        <v>23.4</v>
      </c>
      <c r="AU501" s="3">
        <v>19</v>
      </c>
      <c r="AV501" s="3">
        <v>17.899999999999999</v>
      </c>
      <c r="AW501" s="3">
        <v>17.600000000000001</v>
      </c>
      <c r="AX501" s="3">
        <v>14</v>
      </c>
      <c r="AY501" s="3">
        <v>12.6</v>
      </c>
      <c r="AZ501" s="3">
        <v>0</v>
      </c>
      <c r="BA501" s="3">
        <v>0</v>
      </c>
      <c r="BB501" s="3">
        <v>0</v>
      </c>
      <c r="BC501" s="3">
        <v>40.013165933862226</v>
      </c>
      <c r="BD501" s="3">
        <v>46.986834066137774</v>
      </c>
      <c r="BE501" s="3">
        <v>46.986834066137774</v>
      </c>
      <c r="BF501" s="3">
        <v>45.746834066137765</v>
      </c>
      <c r="BG501" s="3">
        <v>42.173500732804442</v>
      </c>
      <c r="BH501" s="3">
        <v>36.11350073280444</v>
      </c>
      <c r="BI501" s="3">
        <v>35.726834066137783</v>
      </c>
      <c r="BJ501" s="3">
        <v>39.720167399471094</v>
      </c>
      <c r="BK501" s="3">
        <v>41.193500732804438</v>
      </c>
      <c r="BL501" s="3">
        <v>44.466834066137778</v>
      </c>
      <c r="BM501" s="3">
        <v>38.600167399471118</v>
      </c>
      <c r="BN501" s="3">
        <v>37.38350073280445</v>
      </c>
      <c r="BO501" s="3">
        <v>36.75016739947111</v>
      </c>
      <c r="BP501" s="3">
        <v>35.36683406613777</v>
      </c>
      <c r="BQ501" s="3">
        <v>34.083500732804438</v>
      </c>
      <c r="BR501" s="3">
        <v>32.710167399471104</v>
      </c>
      <c r="BS501" s="3">
        <v>32.513500732804445</v>
      </c>
      <c r="BT501" s="3">
        <v>31.410167399471106</v>
      </c>
      <c r="BU501" s="3">
        <v>28.976834066137783</v>
      </c>
      <c r="BV501" s="3">
        <v>26.693500732804438</v>
      </c>
      <c r="BW501" s="3">
        <v>25.526834066137781</v>
      </c>
      <c r="BX501" s="3">
        <v>23.146834066137778</v>
      </c>
      <c r="BY501" s="3">
        <v>21.566834066137773</v>
      </c>
      <c r="BZ501" s="3">
        <v>23.596834066137774</v>
      </c>
      <c r="CA501" s="3">
        <v>19.296834066137762</v>
      </c>
      <c r="CB501" s="3">
        <v>17.633500732804436</v>
      </c>
      <c r="CC501" s="3">
        <v>17.546834066137777</v>
      </c>
      <c r="CD501" s="3">
        <v>13.253500732804447</v>
      </c>
      <c r="CE501" s="3">
        <v>12.046834066137777</v>
      </c>
      <c r="CF501" s="3">
        <v>-0.93983260052889506</v>
      </c>
      <c r="CG501" s="3">
        <v>-1.4731659338622265</v>
      </c>
      <c r="CH501" s="3">
        <v>-2.5498326005288945</v>
      </c>
      <c r="CI501" s="13">
        <f>[1]!dbasum(RecData[[#This Row],[20]:[2000]],RecData[[#Headers],[20]:[2000]])</f>
        <v>39.621832399674254</v>
      </c>
      <c r="CJ501" s="14">
        <v>8239</v>
      </c>
      <c r="CK501" s="15" t="s">
        <v>249</v>
      </c>
      <c r="CL501" s="15">
        <f>RecData[[#This Row],[Start Time]]</f>
        <v>43270.043055555558</v>
      </c>
      <c r="CM501" s="16">
        <f>RecData[[#This Row],[Wind Speed avg]]</f>
        <v>1.41</v>
      </c>
      <c r="CN501" s="16">
        <f>RecData[[#This Row],[Wind Dir. avg]]</f>
        <v>113.7</v>
      </c>
      <c r="CO501" s="16">
        <f>RecData[[#This Row],[Amb. Humidity]]</f>
        <v>62.8</v>
      </c>
      <c r="CP501" s="16">
        <f>RecData[[#This Row],[Amb. Temperature]]</f>
        <v>16.600000000000001</v>
      </c>
      <c r="CQ501" s="17">
        <f>RecData[[#This Row],[Amb. Rain Gauge]]</f>
        <v>0</v>
      </c>
      <c r="CR501" s="4" t="s">
        <v>1</v>
      </c>
      <c r="CS501" s="4" t="s">
        <v>49</v>
      </c>
      <c r="CT501" s="70">
        <v>1619.04968261718</v>
      </c>
      <c r="CU501" s="70">
        <v>21.000177383422798</v>
      </c>
      <c r="CV501" s="70">
        <v>11.795585632324199</v>
      </c>
      <c r="CW501" s="70">
        <v>15.295961380004799</v>
      </c>
      <c r="CX501" s="4"/>
      <c r="CY501" s="69"/>
      <c r="CZ501" s="2" t="b">
        <f>IF($DP$1="YES",IF(RecData[[#This Row],[Power (kW)]]&gt;=$CR$3, TRUE,FALSE),TRUE)</f>
        <v>1</v>
      </c>
      <c r="DA501" s="16">
        <f>MIN(MOD(180-ABS(ABS($DA$1-RecData[Yaw Angle (°)])-180),360),MOD(180-ABS(ABS($DB$1-RecData[Yaw Angle (°)])-180),360))</f>
        <v>13.470250605735259</v>
      </c>
      <c r="DB501" s="2" t="str">
        <f>IF($DP$2="None","None",IF(RecData[[#This Row],[Relative Wind Direction]]&lt;=45,"DW",IF(RecData[[#This Row],[Relative Wind Direction]]&lt;=135,"CW","UW")))</f>
        <v>DW</v>
      </c>
      <c r="DC501" s="61">
        <f>IF($CL501-$CL498&gt;1/24,#REF!,IF(SUM($CQ498:$CQ501)&gt;$DS$1,$DS$5,DC502-1))</f>
        <v>-7</v>
      </c>
      <c r="DD501" s="61">
        <f>IF($CL502-$CL501&gt;1/24,#REF!,IF(SUM($CQ498:$CQ501)&gt;$DS$1,$DS$6,DD500-1))</f>
        <v>-4</v>
      </c>
      <c r="DE501" s="18" t="b">
        <v>0</v>
      </c>
      <c r="DF501" s="2" t="b">
        <f>IF(OR(RecData[[#This Row],[WSpd_Avg '[m/s']]]-RecData[[#This Row],[Wind Speed min]]&gt;=$DF$3,RecData[[#This Row],[Wind Speed max]]-RecData[[#This Row],[WSpd_Avg '[m/s']]]&gt;=$DF$2),TRUE,FALSE)</f>
        <v>0</v>
      </c>
      <c r="DG501" s="2" t="b">
        <f>RecData[[#This Row],[Temperature '[°C']]]&lt;=-20</f>
        <v>0</v>
      </c>
      <c r="DH501" s="18" t="b">
        <f>NOT(OR(MOD(RecData[[#This Row],[TIMESTAMP]],1)&gt;0.91632,MOD(RecData[[#This Row],[TIMESTAMP]],1)&lt;0.208681))</f>
        <v>0</v>
      </c>
      <c r="DI501" s="18" t="b">
        <f>RecData[[#This Row],[Overall (dBA)]]-RecData[[#This Row],[L90]]&gt;=$DS$4</f>
        <v>0</v>
      </c>
      <c r="DJ501" s="18" t="b">
        <f>RecData[[#This Row],[Overall (dBA)]]&gt;$DS$2</f>
        <v>0</v>
      </c>
      <c r="DK501" s="18" t="b">
        <f>RecData[[#This Row],[Overall (dBA)]]&lt;$DS$3</f>
        <v>0</v>
      </c>
      <c r="DL5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1" s="2">
        <f>IF(AND(RecData[[#This Row],[Turbines ON/OFF]] = "OFF", NOT(OR(RecData[[#This Row],[Junk?]]="YES",RecData[[#This Row],[Gust?]],RecData[[#This Row],[Rain?]:[Min SPL Threshold?]]))),1,0)</f>
        <v>0</v>
      </c>
      <c r="DN501" s="16">
        <f>RecData[[#This Row],[dBA Sum]]</f>
        <v>39.621832399674254</v>
      </c>
      <c r="DO501" s="16">
        <f>RecData[[#This Row],[LAF90.0]]</f>
        <v>39.200000000000003</v>
      </c>
      <c r="DP501" s="55">
        <f>IF(AND(RecData[[#This Row],[Useable TON Data?]],RecData[[#This Row],[Turbines ON/OFF]]="ON"),RecData[[#This Row],[dBA Sum]],"")</f>
        <v>39.621832399674254</v>
      </c>
      <c r="DQ501" s="55" t="str">
        <f>IF(AND(RecData[[#This Row],[Useable Background Data?]],RecData[[#This Row],[Turbines ON/OFF]]="OFF"),RecData[[#This Row],[dBA Sum]],"")</f>
        <v/>
      </c>
      <c r="DR501" s="3">
        <f>IF(OR(RecData[[#This Row],[Useable TON Data?]],RecData[[#This Row],[Useable Background Data?]]),ROUND(RecData[[#This Row],[WSpd_Avg '[m/s']]],0),"")</f>
        <v>1</v>
      </c>
      <c r="DS501" s="85">
        <f>(0.00002)^2*(10^(RecData[[#This Row],[Overall (dBA)]]/10))</f>
        <v>3.6664285943312817E-6</v>
      </c>
    </row>
    <row r="502" spans="1:123" ht="15" x14ac:dyDescent="0.25">
      <c r="A502" s="3" t="s">
        <v>249</v>
      </c>
      <c r="B502" s="12">
        <v>43270.043750000004</v>
      </c>
      <c r="C502" s="3"/>
      <c r="D502" s="3">
        <v>40</v>
      </c>
      <c r="E502" s="3"/>
      <c r="F502" s="3"/>
      <c r="G502" s="3"/>
      <c r="H502" s="3"/>
      <c r="I502" s="3"/>
      <c r="J502" s="3"/>
      <c r="K502" s="3">
        <v>38.700000000000003</v>
      </c>
      <c r="L502" s="3"/>
      <c r="M502" s="3"/>
      <c r="N502" s="3">
        <v>122.1</v>
      </c>
      <c r="O502" s="3"/>
      <c r="P502" s="3"/>
      <c r="Q502" s="3">
        <v>1.28</v>
      </c>
      <c r="R502" s="3">
        <v>0.7</v>
      </c>
      <c r="S502" s="3">
        <v>2</v>
      </c>
      <c r="T502" s="3">
        <v>16.600000000000001</v>
      </c>
      <c r="U502" s="3">
        <v>63.1</v>
      </c>
      <c r="V502" s="3">
        <v>972.7</v>
      </c>
      <c r="W502" s="3">
        <v>0</v>
      </c>
      <c r="X502" s="3">
        <v>47.9</v>
      </c>
      <c r="Y502" s="3">
        <v>47.3</v>
      </c>
      <c r="Z502" s="3">
        <v>46.6</v>
      </c>
      <c r="AA502" s="3">
        <v>42.7</v>
      </c>
      <c r="AB502" s="3">
        <v>37</v>
      </c>
      <c r="AC502" s="3">
        <v>36.299999999999997</v>
      </c>
      <c r="AD502" s="3">
        <v>40.4</v>
      </c>
      <c r="AE502" s="3">
        <v>42</v>
      </c>
      <c r="AF502" s="3">
        <v>44.6</v>
      </c>
      <c r="AG502" s="3">
        <v>38.200000000000003</v>
      </c>
      <c r="AH502" s="3">
        <v>37.799999999999997</v>
      </c>
      <c r="AI502" s="3">
        <v>37.200000000000003</v>
      </c>
      <c r="AJ502" s="3">
        <v>36.4</v>
      </c>
      <c r="AK502" s="3">
        <v>34.6</v>
      </c>
      <c r="AL502" s="3">
        <v>32.799999999999997</v>
      </c>
      <c r="AM502" s="3">
        <v>32.700000000000003</v>
      </c>
      <c r="AN502" s="3">
        <v>31.6</v>
      </c>
      <c r="AO502" s="3">
        <v>28.7</v>
      </c>
      <c r="AP502" s="3">
        <v>26.5</v>
      </c>
      <c r="AQ502" s="3">
        <v>24.5</v>
      </c>
      <c r="AR502" s="3">
        <v>21.6</v>
      </c>
      <c r="AS502" s="3">
        <v>19.2</v>
      </c>
      <c r="AT502" s="3">
        <v>22.3</v>
      </c>
      <c r="AU502" s="3">
        <v>14.2</v>
      </c>
      <c r="AV502" s="3">
        <v>12.9</v>
      </c>
      <c r="AW502" s="3">
        <v>12.4</v>
      </c>
      <c r="AX502" s="3">
        <v>10.4</v>
      </c>
      <c r="AY502" s="3">
        <v>10</v>
      </c>
      <c r="AZ502" s="3">
        <v>0</v>
      </c>
      <c r="BA502" s="3">
        <v>0</v>
      </c>
      <c r="BB502" s="3">
        <v>0</v>
      </c>
      <c r="BC502" s="3">
        <v>39.964645901822372</v>
      </c>
      <c r="BD502" s="3">
        <v>47.935354098177633</v>
      </c>
      <c r="BE502" s="3">
        <v>47.335354098177625</v>
      </c>
      <c r="BF502" s="3">
        <v>45.395354098177627</v>
      </c>
      <c r="BG502" s="3">
        <v>41.822020764844289</v>
      </c>
      <c r="BH502" s="3">
        <v>36.262020764844287</v>
      </c>
      <c r="BI502" s="3">
        <v>35.975354098177625</v>
      </c>
      <c r="BJ502" s="3">
        <v>40.868687431510956</v>
      </c>
      <c r="BK502" s="3">
        <v>42.3420207648443</v>
      </c>
      <c r="BL502" s="3">
        <v>44.515354098177632</v>
      </c>
      <c r="BM502" s="3">
        <v>38.248687431510966</v>
      </c>
      <c r="BN502" s="3">
        <v>38.132020764844292</v>
      </c>
      <c r="BO502" s="3">
        <v>36.898687431510972</v>
      </c>
      <c r="BP502" s="3">
        <v>35.815354098177629</v>
      </c>
      <c r="BQ502" s="3">
        <v>34.432020764844289</v>
      </c>
      <c r="BR502" s="3">
        <v>32.95868743151096</v>
      </c>
      <c r="BS502" s="3">
        <v>32.662020764844293</v>
      </c>
      <c r="BT502" s="3">
        <v>31.758687431510957</v>
      </c>
      <c r="BU502" s="3">
        <v>28.825354098177634</v>
      </c>
      <c r="BV502" s="3">
        <v>26.3420207648443</v>
      </c>
      <c r="BW502" s="3">
        <v>24.875354098177631</v>
      </c>
      <c r="BX502" s="3">
        <v>21.895354098177634</v>
      </c>
      <c r="BY502" s="3">
        <v>19.315354098177629</v>
      </c>
      <c r="BZ502" s="3">
        <v>22.545354098177633</v>
      </c>
      <c r="CA502" s="3">
        <v>14.545354098177619</v>
      </c>
      <c r="CB502" s="3">
        <v>12.682020764844289</v>
      </c>
      <c r="CC502" s="3">
        <v>12.395354098177627</v>
      </c>
      <c r="CD502" s="3">
        <v>9.7020207648442991</v>
      </c>
      <c r="CE502" s="3">
        <v>9.4953540981776285</v>
      </c>
      <c r="CF502" s="3">
        <v>-0.89131256848904172</v>
      </c>
      <c r="CG502" s="3">
        <v>-1.4246459018223732</v>
      </c>
      <c r="CH502" s="3">
        <v>-2.5013125684890412</v>
      </c>
      <c r="CI502" s="13">
        <f>[1]!dbasum(RecData[[#This Row],[20]:[2000]],RecData[[#Headers],[20]:[2000]])</f>
        <v>39.758985710810521</v>
      </c>
      <c r="CJ502" s="14">
        <v>8240</v>
      </c>
      <c r="CK502" s="15" t="s">
        <v>249</v>
      </c>
      <c r="CL502" s="15">
        <f>RecData[[#This Row],[Start Time]]</f>
        <v>43270.043750000004</v>
      </c>
      <c r="CM502" s="16">
        <f>RecData[[#This Row],[Wind Speed avg]]</f>
        <v>1.28</v>
      </c>
      <c r="CN502" s="16">
        <f>RecData[[#This Row],[Wind Dir. avg]]</f>
        <v>122.1</v>
      </c>
      <c r="CO502" s="16">
        <f>RecData[[#This Row],[Amb. Humidity]]</f>
        <v>63.1</v>
      </c>
      <c r="CP502" s="16">
        <f>RecData[[#This Row],[Amb. Temperature]]</f>
        <v>16.600000000000001</v>
      </c>
      <c r="CQ502" s="17">
        <f>RecData[[#This Row],[Amb. Rain Gauge]]</f>
        <v>0</v>
      </c>
      <c r="CR502" s="4" t="s">
        <v>1</v>
      </c>
      <c r="CS502" s="4" t="s">
        <v>49</v>
      </c>
      <c r="CT502" s="70">
        <v>1619.04968261718</v>
      </c>
      <c r="CU502" s="70">
        <v>21.000177383422798</v>
      </c>
      <c r="CV502" s="70">
        <v>11.795585632324199</v>
      </c>
      <c r="CW502" s="70">
        <v>15.295961380004799</v>
      </c>
      <c r="CX502" s="4"/>
      <c r="CY502" s="69"/>
      <c r="CZ502" s="2" t="b">
        <f>IF($DP$1="YES",IF(RecData[[#This Row],[Power (kW)]]&gt;=$CR$3, TRUE,FALSE),TRUE)</f>
        <v>1</v>
      </c>
      <c r="DA502" s="16">
        <f>MIN(MOD(180-ABS(ABS($DA$1-RecData[Yaw Angle (°)])-180),360),MOD(180-ABS(ABS($DB$1-RecData[Yaw Angle (°)])-180),360))</f>
        <v>13.470250605735259</v>
      </c>
      <c r="DB502" s="2" t="str">
        <f>IF($DP$2="None","None",IF(RecData[[#This Row],[Relative Wind Direction]]&lt;=45,"DW",IF(RecData[[#This Row],[Relative Wind Direction]]&lt;=135,"CW","UW")))</f>
        <v>DW</v>
      </c>
      <c r="DC502" s="61">
        <f>IF($CL502-$CL498&gt;1/24,#REF!,IF(SUM($CQ498:$CQ502)&gt;$DS$1,$DS$5,DC503-1))</f>
        <v>-6</v>
      </c>
      <c r="DD502" s="61">
        <f>IF($CL503-$CL502&gt;1/24,#REF!,IF(SUM($CQ498:$CQ502)&gt;$DS$1,$DS$6,DD501-1))</f>
        <v>-5</v>
      </c>
      <c r="DE502" s="18" t="b">
        <v>0</v>
      </c>
      <c r="DF502" s="2" t="b">
        <f>IF(OR(RecData[[#This Row],[WSpd_Avg '[m/s']]]-RecData[[#This Row],[Wind Speed min]]&gt;=$DF$3,RecData[[#This Row],[Wind Speed max]]-RecData[[#This Row],[WSpd_Avg '[m/s']]]&gt;=$DF$2),TRUE,FALSE)</f>
        <v>0</v>
      </c>
      <c r="DG502" s="2" t="b">
        <f>RecData[[#This Row],[Temperature '[°C']]]&lt;=-20</f>
        <v>0</v>
      </c>
      <c r="DH502" s="18" t="b">
        <f>NOT(OR(MOD(RecData[[#This Row],[TIMESTAMP]],1)&gt;0.91632,MOD(RecData[[#This Row],[TIMESTAMP]],1)&lt;0.208681))</f>
        <v>0</v>
      </c>
      <c r="DI502" s="18" t="b">
        <f>RecData[[#This Row],[Overall (dBA)]]-RecData[[#This Row],[L90]]&gt;=$DS$4</f>
        <v>0</v>
      </c>
      <c r="DJ502" s="18" t="b">
        <f>RecData[[#This Row],[Overall (dBA)]]&gt;$DS$2</f>
        <v>0</v>
      </c>
      <c r="DK502" s="18" t="b">
        <f>RecData[[#This Row],[Overall (dBA)]]&lt;$DS$3</f>
        <v>0</v>
      </c>
      <c r="DL5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2" s="2">
        <f>IF(AND(RecData[[#This Row],[Turbines ON/OFF]] = "OFF", NOT(OR(RecData[[#This Row],[Junk?]]="YES",RecData[[#This Row],[Gust?]],RecData[[#This Row],[Rain?]:[Min SPL Threshold?]]))),1,0)</f>
        <v>0</v>
      </c>
      <c r="DN502" s="16">
        <f>RecData[[#This Row],[dBA Sum]]</f>
        <v>39.758985710810521</v>
      </c>
      <c r="DO502" s="16">
        <f>RecData[[#This Row],[LAF90.0]]</f>
        <v>38.700000000000003</v>
      </c>
      <c r="DP502" s="55">
        <f>IF(AND(RecData[[#This Row],[Useable TON Data?]],RecData[[#This Row],[Turbines ON/OFF]]="ON"),RecData[[#This Row],[dBA Sum]],"")</f>
        <v>39.758985710810521</v>
      </c>
      <c r="DQ502" s="55" t="str">
        <f>IF(AND(RecData[[#This Row],[Useable Background Data?]],RecData[[#This Row],[Turbines ON/OFF]]="OFF"),RecData[[#This Row],[dBA Sum]],"")</f>
        <v/>
      </c>
      <c r="DR502" s="3">
        <f>IF(OR(RecData[[#This Row],[Useable TON Data?]],RecData[[#This Row],[Useable Background Data?]]),ROUND(RecData[[#This Row],[WSpd_Avg '[m/s']]],0),"")</f>
        <v>1</v>
      </c>
      <c r="DS502" s="85">
        <f>(0.00002)^2*(10^(RecData[[#This Row],[Overall (dBA)]]/10))</f>
        <v>3.7840647787809756E-6</v>
      </c>
    </row>
    <row r="503" spans="1:123" ht="15" x14ac:dyDescent="0.25">
      <c r="A503" s="3" t="s">
        <v>249</v>
      </c>
      <c r="B503" s="12">
        <v>43270.044444444451</v>
      </c>
      <c r="C503" s="3"/>
      <c r="D503" s="3">
        <v>39.9</v>
      </c>
      <c r="E503" s="3"/>
      <c r="F503" s="3"/>
      <c r="G503" s="3"/>
      <c r="H503" s="3"/>
      <c r="I503" s="3"/>
      <c r="J503" s="3"/>
      <c r="K503" s="3">
        <v>38.700000000000003</v>
      </c>
      <c r="L503" s="3"/>
      <c r="M503" s="3"/>
      <c r="N503" s="3">
        <v>149.6</v>
      </c>
      <c r="O503" s="3"/>
      <c r="P503" s="3"/>
      <c r="Q503" s="3">
        <v>0.97</v>
      </c>
      <c r="R503" s="3">
        <v>0.1</v>
      </c>
      <c r="S503" s="3">
        <v>1.8</v>
      </c>
      <c r="T503" s="3">
        <v>16.5</v>
      </c>
      <c r="U503" s="3">
        <v>63</v>
      </c>
      <c r="V503" s="3">
        <v>972.7</v>
      </c>
      <c r="W503" s="3">
        <v>0</v>
      </c>
      <c r="X503" s="3">
        <v>47.4</v>
      </c>
      <c r="Y503" s="3">
        <v>47.4</v>
      </c>
      <c r="Z503" s="3">
        <v>46</v>
      </c>
      <c r="AA503" s="3">
        <v>41.7</v>
      </c>
      <c r="AB503" s="3">
        <v>36.799999999999997</v>
      </c>
      <c r="AC503" s="3">
        <v>37.700000000000003</v>
      </c>
      <c r="AD503" s="3">
        <v>41</v>
      </c>
      <c r="AE503" s="3">
        <v>42.8</v>
      </c>
      <c r="AF503" s="3">
        <v>44.1</v>
      </c>
      <c r="AG503" s="3">
        <v>37.4</v>
      </c>
      <c r="AH503" s="3">
        <v>37.9</v>
      </c>
      <c r="AI503" s="3">
        <v>37.200000000000003</v>
      </c>
      <c r="AJ503" s="3">
        <v>36.200000000000003</v>
      </c>
      <c r="AK503" s="3">
        <v>34.4</v>
      </c>
      <c r="AL503" s="3">
        <v>32.700000000000003</v>
      </c>
      <c r="AM503" s="3">
        <v>32.5</v>
      </c>
      <c r="AN503" s="3">
        <v>31.3</v>
      </c>
      <c r="AO503" s="3">
        <v>28.6</v>
      </c>
      <c r="AP503" s="3">
        <v>26.7</v>
      </c>
      <c r="AQ503" s="3">
        <v>24.7</v>
      </c>
      <c r="AR503" s="3">
        <v>22.4</v>
      </c>
      <c r="AS503" s="3">
        <v>21.1</v>
      </c>
      <c r="AT503" s="3">
        <v>21.9</v>
      </c>
      <c r="AU503" s="3">
        <v>16</v>
      </c>
      <c r="AV503" s="3">
        <v>14.3</v>
      </c>
      <c r="AW503" s="3">
        <v>13.2</v>
      </c>
      <c r="AX503" s="3">
        <v>10.7</v>
      </c>
      <c r="AY503" s="3">
        <v>10</v>
      </c>
      <c r="AZ503" s="3">
        <v>0</v>
      </c>
      <c r="BA503" s="3">
        <v>0</v>
      </c>
      <c r="BB503" s="3">
        <v>0</v>
      </c>
      <c r="BC503" s="3">
        <v>39.887873405579619</v>
      </c>
      <c r="BD503" s="3">
        <v>47.412126594420378</v>
      </c>
      <c r="BE503" s="3">
        <v>47.412126594420378</v>
      </c>
      <c r="BF503" s="3">
        <v>44.772126594420378</v>
      </c>
      <c r="BG503" s="3">
        <v>40.798793261087049</v>
      </c>
      <c r="BH503" s="3">
        <v>36.038793261087044</v>
      </c>
      <c r="BI503" s="3">
        <v>37.35212659442039</v>
      </c>
      <c r="BJ503" s="3">
        <v>41.44545992775371</v>
      </c>
      <c r="BK503" s="3">
        <v>43.118793261087042</v>
      </c>
      <c r="BL503" s="3">
        <v>43.992126594420377</v>
      </c>
      <c r="BM503" s="3">
        <v>37.425459927753714</v>
      </c>
      <c r="BN503" s="3">
        <v>38.208793261087045</v>
      </c>
      <c r="BO503" s="3">
        <v>36.875459927753717</v>
      </c>
      <c r="BP503" s="3">
        <v>35.592126594420385</v>
      </c>
      <c r="BQ503" s="3">
        <v>34.208793261087045</v>
      </c>
      <c r="BR503" s="3">
        <v>32.83545992775371</v>
      </c>
      <c r="BS503" s="3">
        <v>32.438793261087049</v>
      </c>
      <c r="BT503" s="3">
        <v>31.435459927753719</v>
      </c>
      <c r="BU503" s="3">
        <v>28.702126594420385</v>
      </c>
      <c r="BV503" s="3">
        <v>26.518793261087048</v>
      </c>
      <c r="BW503" s="3">
        <v>25.052126594420379</v>
      </c>
      <c r="BX503" s="3">
        <v>22.672126594420384</v>
      </c>
      <c r="BY503" s="3">
        <v>21.19212659442038</v>
      </c>
      <c r="BZ503" s="3">
        <v>22.122126594420386</v>
      </c>
      <c r="CA503" s="3">
        <v>16.322126594420375</v>
      </c>
      <c r="CB503" s="3">
        <v>14.058793261087047</v>
      </c>
      <c r="CC503" s="3">
        <v>13.172126594420376</v>
      </c>
      <c r="CD503" s="3">
        <v>9.9787932610870484</v>
      </c>
      <c r="CE503" s="3">
        <v>9.4721265944203807</v>
      </c>
      <c r="CF503" s="3">
        <v>-0.91454007224628953</v>
      </c>
      <c r="CG503" s="3">
        <v>-1.447873405579621</v>
      </c>
      <c r="CH503" s="3">
        <v>-2.524540072246289</v>
      </c>
      <c r="CI503" s="13">
        <f>[1]!dbasum(RecData[[#This Row],[20]:[2000]],RecData[[#Headers],[20]:[2000]])</f>
        <v>39.62804511274426</v>
      </c>
      <c r="CJ503" s="14">
        <v>8241</v>
      </c>
      <c r="CK503" s="15" t="s">
        <v>249</v>
      </c>
      <c r="CL503" s="15">
        <f>RecData[[#This Row],[Start Time]]</f>
        <v>43270.044444444451</v>
      </c>
      <c r="CM503" s="16">
        <f>RecData[[#This Row],[Wind Speed avg]]</f>
        <v>0.97</v>
      </c>
      <c r="CN503" s="16">
        <f>RecData[[#This Row],[Wind Dir. avg]]</f>
        <v>149.6</v>
      </c>
      <c r="CO503" s="16">
        <f>RecData[[#This Row],[Amb. Humidity]]</f>
        <v>63</v>
      </c>
      <c r="CP503" s="16">
        <f>RecData[[#This Row],[Amb. Temperature]]</f>
        <v>16.5</v>
      </c>
      <c r="CQ503" s="17">
        <f>RecData[[#This Row],[Amb. Rain Gauge]]</f>
        <v>0</v>
      </c>
      <c r="CR503" s="4" t="s">
        <v>1</v>
      </c>
      <c r="CS503" s="4" t="s">
        <v>49</v>
      </c>
      <c r="CT503" s="70">
        <v>1619.04968261718</v>
      </c>
      <c r="CU503" s="70">
        <v>21.000177383422798</v>
      </c>
      <c r="CV503" s="70">
        <v>11.795585632324199</v>
      </c>
      <c r="CW503" s="70">
        <v>15.295961380004799</v>
      </c>
      <c r="CX503" s="4"/>
      <c r="CY503" s="69"/>
      <c r="CZ503" s="2" t="b">
        <f>IF($DP$1="YES",IF(RecData[[#This Row],[Power (kW)]]&gt;=$CR$3, TRUE,FALSE),TRUE)</f>
        <v>1</v>
      </c>
      <c r="DA503" s="16">
        <f>MIN(MOD(180-ABS(ABS($DA$1-RecData[Yaw Angle (°)])-180),360),MOD(180-ABS(ABS($DB$1-RecData[Yaw Angle (°)])-180),360))</f>
        <v>13.470250605735259</v>
      </c>
      <c r="DB503" s="2" t="str">
        <f>IF($DP$2="None","None",IF(RecData[[#This Row],[Relative Wind Direction]]&lt;=45,"DW",IF(RecData[[#This Row],[Relative Wind Direction]]&lt;=135,"CW","UW")))</f>
        <v>DW</v>
      </c>
      <c r="DC503" s="61">
        <f>IF($CL503-$CL499&gt;1/24,#REF!,IF(SUM($CQ499:$CQ503)&gt;$DS$1,$DS$5,DC504-1))</f>
        <v>-5</v>
      </c>
      <c r="DD503" s="61">
        <f>IF($CL504-$CL503&gt;1/24,#REF!,IF(SUM($CQ499:$CQ503)&gt;$DS$1,$DS$6,DD502-1))</f>
        <v>-6</v>
      </c>
      <c r="DE503" s="18" t="b">
        <v>0</v>
      </c>
      <c r="DF503" s="2" t="b">
        <f>IF(OR(RecData[[#This Row],[WSpd_Avg '[m/s']]]-RecData[[#This Row],[Wind Speed min]]&gt;=$DF$3,RecData[[#This Row],[Wind Speed max]]-RecData[[#This Row],[WSpd_Avg '[m/s']]]&gt;=$DF$2),TRUE,FALSE)</f>
        <v>0</v>
      </c>
      <c r="DG503" s="2" t="b">
        <f>RecData[[#This Row],[Temperature '[°C']]]&lt;=-20</f>
        <v>0</v>
      </c>
      <c r="DH503" s="18" t="b">
        <f>NOT(OR(MOD(RecData[[#This Row],[TIMESTAMP]],1)&gt;0.91632,MOD(RecData[[#This Row],[TIMESTAMP]],1)&lt;0.208681))</f>
        <v>0</v>
      </c>
      <c r="DI503" s="18" t="b">
        <f>RecData[[#This Row],[Overall (dBA)]]-RecData[[#This Row],[L90]]&gt;=$DS$4</f>
        <v>0</v>
      </c>
      <c r="DJ503" s="18" t="b">
        <f>RecData[[#This Row],[Overall (dBA)]]&gt;$DS$2</f>
        <v>0</v>
      </c>
      <c r="DK503" s="18" t="b">
        <f>RecData[[#This Row],[Overall (dBA)]]&lt;$DS$3</f>
        <v>0</v>
      </c>
      <c r="DL5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3" s="2">
        <f>IF(AND(RecData[[#This Row],[Turbines ON/OFF]] = "OFF", NOT(OR(RecData[[#This Row],[Junk?]]="YES",RecData[[#This Row],[Gust?]],RecData[[#This Row],[Rain?]:[Min SPL Threshold?]]))),1,0)</f>
        <v>0</v>
      </c>
      <c r="DN503" s="16">
        <f>RecData[[#This Row],[dBA Sum]]</f>
        <v>39.62804511274426</v>
      </c>
      <c r="DO503" s="16">
        <f>RecData[[#This Row],[LAF90.0]]</f>
        <v>38.700000000000003</v>
      </c>
      <c r="DP503" s="55">
        <f>IF(AND(RecData[[#This Row],[Useable TON Data?]],RecData[[#This Row],[Turbines ON/OFF]]="ON"),RecData[[#This Row],[dBA Sum]],"")</f>
        <v>39.62804511274426</v>
      </c>
      <c r="DQ503" s="55" t="str">
        <f>IF(AND(RecData[[#This Row],[Useable Background Data?]],RecData[[#This Row],[Turbines ON/OFF]]="OFF"),RecData[[#This Row],[dBA Sum]],"")</f>
        <v/>
      </c>
      <c r="DR503" s="3">
        <f>IF(OR(RecData[[#This Row],[Useable TON Data?]],RecData[[#This Row],[Useable Background Data?]]),ROUND(RecData[[#This Row],[WSpd_Avg '[m/s']]],0),"")</f>
        <v>1</v>
      </c>
      <c r="DS503" s="85">
        <f>(0.00002)^2*(10^(RecData[[#This Row],[Overall (dBA)]]/10))</f>
        <v>3.6716772839214128E-6</v>
      </c>
    </row>
    <row r="504" spans="1:123" ht="15" x14ac:dyDescent="0.25">
      <c r="A504" s="3" t="s">
        <v>249</v>
      </c>
      <c r="B504" s="12">
        <v>43270.045138888891</v>
      </c>
      <c r="C504" s="3"/>
      <c r="D504" s="3">
        <v>39.799999999999997</v>
      </c>
      <c r="E504" s="3"/>
      <c r="F504" s="3"/>
      <c r="G504" s="3"/>
      <c r="H504" s="3"/>
      <c r="I504" s="3"/>
      <c r="J504" s="3"/>
      <c r="K504" s="3">
        <v>38.299999999999997</v>
      </c>
      <c r="L504" s="3"/>
      <c r="M504" s="3"/>
      <c r="N504" s="3">
        <v>230.4</v>
      </c>
      <c r="O504" s="3"/>
      <c r="P504" s="3"/>
      <c r="Q504" s="3">
        <v>1.01</v>
      </c>
      <c r="R504" s="3">
        <v>0.6</v>
      </c>
      <c r="S504" s="3">
        <v>2</v>
      </c>
      <c r="T504" s="3">
        <v>16.5</v>
      </c>
      <c r="U504" s="3">
        <v>62.8</v>
      </c>
      <c r="V504" s="3">
        <v>972.7</v>
      </c>
      <c r="W504" s="3">
        <v>0</v>
      </c>
      <c r="X504" s="3">
        <v>46.6</v>
      </c>
      <c r="Y504" s="3">
        <v>46.6</v>
      </c>
      <c r="Z504" s="3">
        <v>45.8</v>
      </c>
      <c r="AA504" s="3">
        <v>41.4</v>
      </c>
      <c r="AB504" s="3">
        <v>36.5</v>
      </c>
      <c r="AC504" s="3">
        <v>35.9</v>
      </c>
      <c r="AD504" s="3">
        <v>39.299999999999997</v>
      </c>
      <c r="AE504" s="3">
        <v>41.3</v>
      </c>
      <c r="AF504" s="3">
        <v>44.1</v>
      </c>
      <c r="AG504" s="3">
        <v>37.200000000000003</v>
      </c>
      <c r="AH504" s="3">
        <v>37</v>
      </c>
      <c r="AI504" s="3">
        <v>36.299999999999997</v>
      </c>
      <c r="AJ504" s="3">
        <v>35.799999999999997</v>
      </c>
      <c r="AK504" s="3">
        <v>33.9</v>
      </c>
      <c r="AL504" s="3">
        <v>32.4</v>
      </c>
      <c r="AM504" s="3">
        <v>32.5</v>
      </c>
      <c r="AN504" s="3">
        <v>31.4</v>
      </c>
      <c r="AO504" s="3">
        <v>28.3</v>
      </c>
      <c r="AP504" s="3">
        <v>26.5</v>
      </c>
      <c r="AQ504" s="3">
        <v>24.5</v>
      </c>
      <c r="AR504" s="3">
        <v>22</v>
      </c>
      <c r="AS504" s="3">
        <v>21.2</v>
      </c>
      <c r="AT504" s="3">
        <v>26.1</v>
      </c>
      <c r="AU504" s="3">
        <v>15.7</v>
      </c>
      <c r="AV504" s="3">
        <v>14.1</v>
      </c>
      <c r="AW504" s="3">
        <v>13.2</v>
      </c>
      <c r="AX504" s="3">
        <v>10.8</v>
      </c>
      <c r="AY504" s="3">
        <v>10.199999999999999</v>
      </c>
      <c r="AZ504" s="3">
        <v>0</v>
      </c>
      <c r="BA504" s="3">
        <v>0</v>
      </c>
      <c r="BB504" s="3">
        <v>0</v>
      </c>
      <c r="BC504" s="3">
        <v>39.740475010850005</v>
      </c>
      <c r="BD504" s="3">
        <v>46.65952498915</v>
      </c>
      <c r="BE504" s="3">
        <v>46.65952498915</v>
      </c>
      <c r="BF504" s="3">
        <v>44.61952498914998</v>
      </c>
      <c r="BG504" s="3">
        <v>40.546191655816656</v>
      </c>
      <c r="BH504" s="3">
        <v>35.786191655816666</v>
      </c>
      <c r="BI504" s="3">
        <v>35.599524989149998</v>
      </c>
      <c r="BJ504" s="3">
        <v>39.792858322483326</v>
      </c>
      <c r="BK504" s="3">
        <v>41.666191655816661</v>
      </c>
      <c r="BL504" s="3">
        <v>44.039524989149996</v>
      </c>
      <c r="BM504" s="3">
        <v>37.27285832248333</v>
      </c>
      <c r="BN504" s="3">
        <v>37.356191655816659</v>
      </c>
      <c r="BO504" s="3">
        <v>36.022858322483316</v>
      </c>
      <c r="BP504" s="3">
        <v>35.239524989149984</v>
      </c>
      <c r="BQ504" s="3">
        <v>33.75619165581665</v>
      </c>
      <c r="BR504" s="3">
        <v>32.582858322483318</v>
      </c>
      <c r="BS504" s="3">
        <v>32.486191655816654</v>
      </c>
      <c r="BT504" s="3">
        <v>31.582858322483318</v>
      </c>
      <c r="BU504" s="3">
        <v>28.449524989149992</v>
      </c>
      <c r="BV504" s="3">
        <v>26.366191655816664</v>
      </c>
      <c r="BW504" s="3">
        <v>24.899524989149995</v>
      </c>
      <c r="BX504" s="3">
        <v>22.319524989149997</v>
      </c>
      <c r="BY504" s="3">
        <v>21.339524989149993</v>
      </c>
      <c r="BZ504" s="3">
        <v>26.369524989149994</v>
      </c>
      <c r="CA504" s="3">
        <v>16.069524989149983</v>
      </c>
      <c r="CB504" s="3">
        <v>13.906191655816656</v>
      </c>
      <c r="CC504" s="3">
        <v>13.219524989149988</v>
      </c>
      <c r="CD504" s="3">
        <v>10.126191655816662</v>
      </c>
      <c r="CE504" s="3">
        <v>9.7195249891499884</v>
      </c>
      <c r="CF504" s="3">
        <v>-0.86714167751667759</v>
      </c>
      <c r="CG504" s="3">
        <v>-1.400475010850009</v>
      </c>
      <c r="CH504" s="3">
        <v>-2.477141677516677</v>
      </c>
      <c r="CI504" s="13">
        <f>[1]!dbasum(RecData[[#This Row],[20]:[2000]],RecData[[#Headers],[20]:[2000]])</f>
        <v>39.355682946956904</v>
      </c>
      <c r="CJ504" s="14">
        <v>8242</v>
      </c>
      <c r="CK504" s="15" t="s">
        <v>249</v>
      </c>
      <c r="CL504" s="15">
        <f>RecData[[#This Row],[Start Time]]</f>
        <v>43270.045138888891</v>
      </c>
      <c r="CM504" s="16">
        <f>RecData[[#This Row],[Wind Speed avg]]</f>
        <v>1.01</v>
      </c>
      <c r="CN504" s="16">
        <f>RecData[[#This Row],[Wind Dir. avg]]</f>
        <v>230.4</v>
      </c>
      <c r="CO504" s="16">
        <f>RecData[[#This Row],[Amb. Humidity]]</f>
        <v>62.8</v>
      </c>
      <c r="CP504" s="16">
        <f>RecData[[#This Row],[Amb. Temperature]]</f>
        <v>16.5</v>
      </c>
      <c r="CQ504" s="17">
        <f>RecData[[#This Row],[Amb. Rain Gauge]]</f>
        <v>0</v>
      </c>
      <c r="CR504" s="4" t="s">
        <v>1</v>
      </c>
      <c r="CS504" s="4" t="s">
        <v>49</v>
      </c>
      <c r="CT504" s="70">
        <v>1619.04968261718</v>
      </c>
      <c r="CU504" s="70">
        <v>21.000177383422798</v>
      </c>
      <c r="CV504" s="70">
        <v>11.795585632324199</v>
      </c>
      <c r="CW504" s="70">
        <v>15.295961380004799</v>
      </c>
      <c r="CX504" s="4"/>
      <c r="CY504" s="69"/>
      <c r="CZ504" s="2" t="b">
        <f>IF($DP$1="YES",IF(RecData[[#This Row],[Power (kW)]]&gt;=$CR$3, TRUE,FALSE),TRUE)</f>
        <v>1</v>
      </c>
      <c r="DA504" s="16">
        <f>MIN(MOD(180-ABS(ABS($DA$1-RecData[Yaw Angle (°)])-180),360),MOD(180-ABS(ABS($DB$1-RecData[Yaw Angle (°)])-180),360))</f>
        <v>13.470250605735259</v>
      </c>
      <c r="DB504" s="2" t="str">
        <f>IF($DP$2="None","None",IF(RecData[[#This Row],[Relative Wind Direction]]&lt;=45,"DW",IF(RecData[[#This Row],[Relative Wind Direction]]&lt;=135,"CW","UW")))</f>
        <v>DW</v>
      </c>
      <c r="DC504" s="61">
        <f>IF($CL504-$CL500&gt;1/24,#REF!,IF(SUM($CQ500:$CQ504)&gt;$DS$1,$DS$5,DC505-1))</f>
        <v>-4</v>
      </c>
      <c r="DD504" s="61">
        <f>IF($CL505-$CL504&gt;1/24,#REF!,IF(SUM($CQ500:$CQ504)&gt;$DS$1,$DS$6,DD503-1))</f>
        <v>-7</v>
      </c>
      <c r="DE504" s="18" t="b">
        <v>0</v>
      </c>
      <c r="DF504" s="2" t="b">
        <f>IF(OR(RecData[[#This Row],[WSpd_Avg '[m/s']]]-RecData[[#This Row],[Wind Speed min]]&gt;=$DF$3,RecData[[#This Row],[Wind Speed max]]-RecData[[#This Row],[WSpd_Avg '[m/s']]]&gt;=$DF$2),TRUE,FALSE)</f>
        <v>0</v>
      </c>
      <c r="DG504" s="2" t="b">
        <f>RecData[[#This Row],[Temperature '[°C']]]&lt;=-20</f>
        <v>0</v>
      </c>
      <c r="DH504" s="18" t="b">
        <f>NOT(OR(MOD(RecData[[#This Row],[TIMESTAMP]],1)&gt;0.91632,MOD(RecData[[#This Row],[TIMESTAMP]],1)&lt;0.208681))</f>
        <v>0</v>
      </c>
      <c r="DI504" s="18" t="b">
        <f>RecData[[#This Row],[Overall (dBA)]]-RecData[[#This Row],[L90]]&gt;=$DS$4</f>
        <v>0</v>
      </c>
      <c r="DJ504" s="18" t="b">
        <f>RecData[[#This Row],[Overall (dBA)]]&gt;$DS$2</f>
        <v>0</v>
      </c>
      <c r="DK504" s="18" t="b">
        <f>RecData[[#This Row],[Overall (dBA)]]&lt;$DS$3</f>
        <v>0</v>
      </c>
      <c r="DL5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4" s="2">
        <f>IF(AND(RecData[[#This Row],[Turbines ON/OFF]] = "OFF", NOT(OR(RecData[[#This Row],[Junk?]]="YES",RecData[[#This Row],[Gust?]],RecData[[#This Row],[Rain?]:[Min SPL Threshold?]]))),1,0)</f>
        <v>0</v>
      </c>
      <c r="DN504" s="16">
        <f>RecData[[#This Row],[dBA Sum]]</f>
        <v>39.355682946956904</v>
      </c>
      <c r="DO504" s="16">
        <f>RecData[[#This Row],[LAF90.0]]</f>
        <v>38.299999999999997</v>
      </c>
      <c r="DP504" s="55">
        <f>IF(AND(RecData[[#This Row],[Useable TON Data?]],RecData[[#This Row],[Turbines ON/OFF]]="ON"),RecData[[#This Row],[dBA Sum]],"")</f>
        <v>39.355682946956904</v>
      </c>
      <c r="DQ504" s="55" t="str">
        <f>IF(AND(RecData[[#This Row],[Useable Background Data?]],RecData[[#This Row],[Turbines ON/OFF]]="OFF"),RecData[[#This Row],[dBA Sum]],"")</f>
        <v/>
      </c>
      <c r="DR504" s="3">
        <f>IF(OR(RecData[[#This Row],[Useable TON Data?]],RecData[[#This Row],[Useable Background Data?]]),ROUND(RecData[[#This Row],[WSpd_Avg '[m/s']]],0),"")</f>
        <v>1</v>
      </c>
      <c r="DS504" s="85">
        <f>(0.00002)^2*(10^(RecData[[#This Row],[Overall (dBA)]]/10))</f>
        <v>3.4484845613786753E-6</v>
      </c>
    </row>
    <row r="505" spans="1:123" ht="15" x14ac:dyDescent="0.25">
      <c r="A505" s="3" t="s">
        <v>249</v>
      </c>
      <c r="B505" s="12">
        <v>43270.045833333337</v>
      </c>
      <c r="C505" s="3"/>
      <c r="D505" s="3">
        <v>38.4</v>
      </c>
      <c r="E505" s="3"/>
      <c r="F505" s="3"/>
      <c r="G505" s="3"/>
      <c r="H505" s="3"/>
      <c r="I505" s="3"/>
      <c r="J505" s="3"/>
      <c r="K505" s="3">
        <v>37.6</v>
      </c>
      <c r="L505" s="3"/>
      <c r="M505" s="3"/>
      <c r="N505" s="3">
        <v>252.4</v>
      </c>
      <c r="O505" s="3"/>
      <c r="P505" s="3"/>
      <c r="Q505" s="3">
        <v>0.57999999999999996</v>
      </c>
      <c r="R505" s="3">
        <v>0.1</v>
      </c>
      <c r="S505" s="3">
        <v>1.3</v>
      </c>
      <c r="T505" s="3">
        <v>16.5</v>
      </c>
      <c r="U505" s="3">
        <v>63.1</v>
      </c>
      <c r="V505" s="3">
        <v>972.7</v>
      </c>
      <c r="W505" s="3">
        <v>0</v>
      </c>
      <c r="X505" s="3">
        <v>47</v>
      </c>
      <c r="Y505" s="3">
        <v>46.5</v>
      </c>
      <c r="Z505" s="3">
        <v>45.6</v>
      </c>
      <c r="AA505" s="3">
        <v>40.5</v>
      </c>
      <c r="AB505" s="3">
        <v>37.1</v>
      </c>
      <c r="AC505" s="3">
        <v>35.299999999999997</v>
      </c>
      <c r="AD505" s="3">
        <v>37.299999999999997</v>
      </c>
      <c r="AE505" s="3">
        <v>39.299999999999997</v>
      </c>
      <c r="AF505" s="3">
        <v>43.6</v>
      </c>
      <c r="AG505" s="3">
        <v>36.700000000000003</v>
      </c>
      <c r="AH505" s="3">
        <v>35.700000000000003</v>
      </c>
      <c r="AI505" s="3">
        <v>35.9</v>
      </c>
      <c r="AJ505" s="3">
        <v>34.799999999999997</v>
      </c>
      <c r="AK505" s="3">
        <v>33.200000000000003</v>
      </c>
      <c r="AL505" s="3">
        <v>31.3</v>
      </c>
      <c r="AM505" s="3">
        <v>31</v>
      </c>
      <c r="AN505" s="3">
        <v>29.7</v>
      </c>
      <c r="AO505" s="3">
        <v>26.9</v>
      </c>
      <c r="AP505" s="3">
        <v>24.8</v>
      </c>
      <c r="AQ505" s="3">
        <v>22.9</v>
      </c>
      <c r="AR505" s="3">
        <v>20.5</v>
      </c>
      <c r="AS505" s="3">
        <v>18</v>
      </c>
      <c r="AT505" s="3">
        <v>21.6</v>
      </c>
      <c r="AU505" s="3">
        <v>12.3</v>
      </c>
      <c r="AV505" s="3">
        <v>10.8</v>
      </c>
      <c r="AW505" s="3">
        <v>10.4</v>
      </c>
      <c r="AX505" s="3">
        <v>9.5</v>
      </c>
      <c r="AY505" s="3">
        <v>9.5</v>
      </c>
      <c r="AZ505" s="3">
        <v>0</v>
      </c>
      <c r="BA505" s="3">
        <v>0</v>
      </c>
      <c r="BB505" s="3">
        <v>0</v>
      </c>
      <c r="BC505" s="3">
        <v>38.384634259762009</v>
      </c>
      <c r="BD505" s="3">
        <v>47.015365740237996</v>
      </c>
      <c r="BE505" s="3">
        <v>46.515365740237996</v>
      </c>
      <c r="BF505" s="3">
        <v>44.375365740237982</v>
      </c>
      <c r="BG505" s="3">
        <v>39.602032406904655</v>
      </c>
      <c r="BH505" s="3">
        <v>36.34203240690465</v>
      </c>
      <c r="BI505" s="3">
        <v>34.955365740237994</v>
      </c>
      <c r="BJ505" s="3">
        <v>37.748699073571316</v>
      </c>
      <c r="BK505" s="3">
        <v>39.622032406904651</v>
      </c>
      <c r="BL505" s="3">
        <v>43.495365740237986</v>
      </c>
      <c r="BM505" s="3">
        <v>36.728699073571335</v>
      </c>
      <c r="BN505" s="3">
        <v>36.012032406904666</v>
      </c>
      <c r="BO505" s="3">
        <v>35.578699073571329</v>
      </c>
      <c r="BP505" s="3">
        <v>34.195365740237989</v>
      </c>
      <c r="BQ505" s="3">
        <v>33.012032406904652</v>
      </c>
      <c r="BR505" s="3">
        <v>31.438699073571328</v>
      </c>
      <c r="BS505" s="3">
        <v>30.942032406904659</v>
      </c>
      <c r="BT505" s="3">
        <v>29.83869907357132</v>
      </c>
      <c r="BU505" s="3">
        <v>27.005365740237991</v>
      </c>
      <c r="BV505" s="3">
        <v>24.622032406904658</v>
      </c>
      <c r="BW505" s="3">
        <v>23.255365740237991</v>
      </c>
      <c r="BX505" s="3">
        <v>20.775365740237994</v>
      </c>
      <c r="BY505" s="3">
        <v>18.095365740237987</v>
      </c>
      <c r="BZ505" s="3">
        <v>21.825365740237999</v>
      </c>
      <c r="CA505" s="3">
        <v>12.625365740237982</v>
      </c>
      <c r="CB505" s="3">
        <v>10.562032406904656</v>
      </c>
      <c r="CC505" s="3">
        <v>10.375365740237989</v>
      </c>
      <c r="CD505" s="3">
        <v>8.782032406904662</v>
      </c>
      <c r="CE505" s="3">
        <v>8.9753657402379901</v>
      </c>
      <c r="CF505" s="3">
        <v>-0.91130092642868021</v>
      </c>
      <c r="CG505" s="3">
        <v>-1.4446342597620117</v>
      </c>
      <c r="CH505" s="3">
        <v>-2.5213009264286796</v>
      </c>
      <c r="CI505" s="13">
        <f>[1]!dbasum(RecData[[#This Row],[20]:[2000]],RecData[[#Headers],[20]:[2000]])</f>
        <v>38.124357605485677</v>
      </c>
      <c r="CJ505" s="14">
        <v>8243</v>
      </c>
      <c r="CK505" s="15" t="s">
        <v>249</v>
      </c>
      <c r="CL505" s="15">
        <f>RecData[[#This Row],[Start Time]]</f>
        <v>43270.045833333337</v>
      </c>
      <c r="CM505" s="16">
        <f>RecData[[#This Row],[Wind Speed avg]]</f>
        <v>0.57999999999999996</v>
      </c>
      <c r="CN505" s="16">
        <f>RecData[[#This Row],[Wind Dir. avg]]</f>
        <v>252.4</v>
      </c>
      <c r="CO505" s="16">
        <f>RecData[[#This Row],[Amb. Humidity]]</f>
        <v>63.1</v>
      </c>
      <c r="CP505" s="16">
        <f>RecData[[#This Row],[Amb. Temperature]]</f>
        <v>16.5</v>
      </c>
      <c r="CQ505" s="17">
        <f>RecData[[#This Row],[Amb. Rain Gauge]]</f>
        <v>0</v>
      </c>
      <c r="CR505" s="4" t="s">
        <v>1</v>
      </c>
      <c r="CS505" s="4" t="s">
        <v>49</v>
      </c>
      <c r="CT505" s="70">
        <v>1619.04968261718</v>
      </c>
      <c r="CU505" s="70">
        <v>21.000177383422798</v>
      </c>
      <c r="CV505" s="70">
        <v>11.795585632324199</v>
      </c>
      <c r="CW505" s="70">
        <v>15.295961380004799</v>
      </c>
      <c r="CX505" s="4"/>
      <c r="CY505" s="69"/>
      <c r="CZ505" s="2" t="b">
        <f>IF($DP$1="YES",IF(RecData[[#This Row],[Power (kW)]]&gt;=$CR$3, TRUE,FALSE),TRUE)</f>
        <v>1</v>
      </c>
      <c r="DA505" s="16">
        <f>MIN(MOD(180-ABS(ABS($DA$1-RecData[Yaw Angle (°)])-180),360),MOD(180-ABS(ABS($DB$1-RecData[Yaw Angle (°)])-180),360))</f>
        <v>13.470250605735259</v>
      </c>
      <c r="DB505" s="2" t="str">
        <f>IF($DP$2="None","None",IF(RecData[[#This Row],[Relative Wind Direction]]&lt;=45,"DW",IF(RecData[[#This Row],[Relative Wind Direction]]&lt;=135,"CW","UW")))</f>
        <v>DW</v>
      </c>
      <c r="DC505" s="61">
        <f>IF($CL505-$CL501&gt;1/24,#REF!,IF(SUM($CQ501:$CQ505)&gt;$DS$1,$DS$5,DC506-1))</f>
        <v>-3</v>
      </c>
      <c r="DD505" s="61">
        <f>IF($CL506-$CL505&gt;1/24,#REF!,IF(SUM($CQ501:$CQ505)&gt;$DS$1,$DS$6,DD504-1))</f>
        <v>-8</v>
      </c>
      <c r="DE505" s="18" t="b">
        <v>0</v>
      </c>
      <c r="DF505" s="2" t="b">
        <f>IF(OR(RecData[[#This Row],[WSpd_Avg '[m/s']]]-RecData[[#This Row],[Wind Speed min]]&gt;=$DF$3,RecData[[#This Row],[Wind Speed max]]-RecData[[#This Row],[WSpd_Avg '[m/s']]]&gt;=$DF$2),TRUE,FALSE)</f>
        <v>0</v>
      </c>
      <c r="DG505" s="2" t="b">
        <f>RecData[[#This Row],[Temperature '[°C']]]&lt;=-20</f>
        <v>0</v>
      </c>
      <c r="DH505" s="18" t="b">
        <f>NOT(OR(MOD(RecData[[#This Row],[TIMESTAMP]],1)&gt;0.91632,MOD(RecData[[#This Row],[TIMESTAMP]],1)&lt;0.208681))</f>
        <v>0</v>
      </c>
      <c r="DI505" s="18" t="b">
        <f>RecData[[#This Row],[Overall (dBA)]]-RecData[[#This Row],[L90]]&gt;=$DS$4</f>
        <v>0</v>
      </c>
      <c r="DJ505" s="18" t="b">
        <f>RecData[[#This Row],[Overall (dBA)]]&gt;$DS$2</f>
        <v>0</v>
      </c>
      <c r="DK505" s="18" t="b">
        <f>RecData[[#This Row],[Overall (dBA)]]&lt;$DS$3</f>
        <v>0</v>
      </c>
      <c r="DL5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5" s="2">
        <f>IF(AND(RecData[[#This Row],[Turbines ON/OFF]] = "OFF", NOT(OR(RecData[[#This Row],[Junk?]]="YES",RecData[[#This Row],[Gust?]],RecData[[#This Row],[Rain?]:[Min SPL Threshold?]]))),1,0)</f>
        <v>0</v>
      </c>
      <c r="DN505" s="16">
        <f>RecData[[#This Row],[dBA Sum]]</f>
        <v>38.124357605485677</v>
      </c>
      <c r="DO505" s="16">
        <f>RecData[[#This Row],[LAF90.0]]</f>
        <v>37.6</v>
      </c>
      <c r="DP505" s="55">
        <f>IF(AND(RecData[[#This Row],[Useable TON Data?]],RecData[[#This Row],[Turbines ON/OFF]]="ON"),RecData[[#This Row],[dBA Sum]],"")</f>
        <v>38.124357605485677</v>
      </c>
      <c r="DQ505" s="55" t="str">
        <f>IF(AND(RecData[[#This Row],[Useable Background Data?]],RecData[[#This Row],[Turbines ON/OFF]]="OFF"),RecData[[#This Row],[dBA Sum]],"")</f>
        <v/>
      </c>
      <c r="DR505" s="3">
        <f>IF(OR(RecData[[#This Row],[Useable TON Data?]],RecData[[#This Row],[Useable Background Data?]]),ROUND(RecData[[#This Row],[WSpd_Avg '[m/s']]],0),"")</f>
        <v>1</v>
      </c>
      <c r="DS505" s="85">
        <f>(0.00002)^2*(10^(RecData[[#This Row],[Overall (dBA)]]/10))</f>
        <v>2.597142336899454E-6</v>
      </c>
    </row>
    <row r="506" spans="1:123" ht="15" x14ac:dyDescent="0.25">
      <c r="A506" s="3" t="s">
        <v>249</v>
      </c>
      <c r="B506" s="12">
        <v>43270.046527777784</v>
      </c>
      <c r="C506" s="3"/>
      <c r="D506" s="3">
        <v>38.9</v>
      </c>
      <c r="E506" s="3"/>
      <c r="F506" s="3"/>
      <c r="G506" s="3"/>
      <c r="H506" s="3"/>
      <c r="I506" s="3"/>
      <c r="J506" s="3"/>
      <c r="K506" s="3">
        <v>36.799999999999997</v>
      </c>
      <c r="L506" s="3"/>
      <c r="M506" s="3"/>
      <c r="N506" s="3">
        <v>186.8</v>
      </c>
      <c r="O506" s="3"/>
      <c r="P506" s="3"/>
      <c r="Q506" s="3">
        <v>0.47</v>
      </c>
      <c r="R506" s="3">
        <v>0</v>
      </c>
      <c r="S506" s="3">
        <v>1</v>
      </c>
      <c r="T506" s="3">
        <v>16.5</v>
      </c>
      <c r="U506" s="3">
        <v>63.7</v>
      </c>
      <c r="V506" s="3">
        <v>972.7</v>
      </c>
      <c r="W506" s="3">
        <v>0</v>
      </c>
      <c r="X506" s="3">
        <v>47.2</v>
      </c>
      <c r="Y506" s="3">
        <v>46.9</v>
      </c>
      <c r="Z506" s="3">
        <v>46</v>
      </c>
      <c r="AA506" s="3">
        <v>41.6</v>
      </c>
      <c r="AB506" s="3">
        <v>37.4</v>
      </c>
      <c r="AC506" s="3">
        <v>35.299999999999997</v>
      </c>
      <c r="AD506" s="3">
        <v>38</v>
      </c>
      <c r="AE506" s="3">
        <v>40.5</v>
      </c>
      <c r="AF506" s="3">
        <v>44.9</v>
      </c>
      <c r="AG506" s="3">
        <v>37.799999999999997</v>
      </c>
      <c r="AH506" s="3">
        <v>36.5</v>
      </c>
      <c r="AI506" s="3">
        <v>36.5</v>
      </c>
      <c r="AJ506" s="3">
        <v>35.4</v>
      </c>
      <c r="AK506" s="3">
        <v>33.799999999999997</v>
      </c>
      <c r="AL506" s="3">
        <v>31.7</v>
      </c>
      <c r="AM506" s="3">
        <v>31.2</v>
      </c>
      <c r="AN506" s="3">
        <v>30</v>
      </c>
      <c r="AO506" s="3">
        <v>27.1</v>
      </c>
      <c r="AP506" s="3">
        <v>25.2</v>
      </c>
      <c r="AQ506" s="3">
        <v>23.1</v>
      </c>
      <c r="AR506" s="3">
        <v>20.399999999999999</v>
      </c>
      <c r="AS506" s="3">
        <v>17.5</v>
      </c>
      <c r="AT506" s="3">
        <v>20</v>
      </c>
      <c r="AU506" s="3">
        <v>11.3</v>
      </c>
      <c r="AV506" s="3">
        <v>10.1</v>
      </c>
      <c r="AW506" s="3">
        <v>9.9</v>
      </c>
      <c r="AX506" s="3">
        <v>9.4</v>
      </c>
      <c r="AY506" s="3">
        <v>9.5</v>
      </c>
      <c r="AZ506" s="3">
        <v>0</v>
      </c>
      <c r="BA506" s="3">
        <v>0</v>
      </c>
      <c r="BB506" s="3">
        <v>0</v>
      </c>
      <c r="BC506" s="3">
        <v>38.850206583461009</v>
      </c>
      <c r="BD506" s="3">
        <v>47.249793416538985</v>
      </c>
      <c r="BE506" s="3">
        <v>46.949793416538988</v>
      </c>
      <c r="BF506" s="3">
        <v>44.809793416538987</v>
      </c>
      <c r="BG506" s="3">
        <v>40.736460083205664</v>
      </c>
      <c r="BH506" s="3">
        <v>36.676460083205662</v>
      </c>
      <c r="BI506" s="3">
        <v>34.989793416538994</v>
      </c>
      <c r="BJ506" s="3">
        <v>38.483126749872319</v>
      </c>
      <c r="BK506" s="3">
        <v>40.856460083205654</v>
      </c>
      <c r="BL506" s="3">
        <v>44.829793416538998</v>
      </c>
      <c r="BM506" s="3">
        <v>37.863126749872329</v>
      </c>
      <c r="BN506" s="3">
        <v>36.846460083205649</v>
      </c>
      <c r="BO506" s="3">
        <v>36.213126749872323</v>
      </c>
      <c r="BP506" s="3">
        <v>34.829793416538998</v>
      </c>
      <c r="BQ506" s="3">
        <v>33.646460083205646</v>
      </c>
      <c r="BR506" s="3">
        <v>31.87312674987232</v>
      </c>
      <c r="BS506" s="3">
        <v>31.176460083205662</v>
      </c>
      <c r="BT506" s="3">
        <v>30.173126749872331</v>
      </c>
      <c r="BU506" s="3">
        <v>27.239793416538994</v>
      </c>
      <c r="BV506" s="3">
        <v>25.056460083205657</v>
      </c>
      <c r="BW506" s="3">
        <v>23.489793416538994</v>
      </c>
      <c r="BX506" s="3">
        <v>20.709793416538993</v>
      </c>
      <c r="BY506" s="3">
        <v>17.629793416538988</v>
      </c>
      <c r="BZ506" s="3">
        <v>20.25979341653899</v>
      </c>
      <c r="CA506" s="3">
        <v>11.659793416538982</v>
      </c>
      <c r="CB506" s="3">
        <v>9.8964600832056533</v>
      </c>
      <c r="CC506" s="3">
        <v>9.9097934165389887</v>
      </c>
      <c r="CD506" s="3">
        <v>8.7164600832056607</v>
      </c>
      <c r="CE506" s="3">
        <v>9.0097934165389901</v>
      </c>
      <c r="CF506" s="3">
        <v>-0.87687325012768014</v>
      </c>
      <c r="CG506" s="3">
        <v>-1.4102065834610116</v>
      </c>
      <c r="CH506" s="3">
        <v>-2.4868732501276796</v>
      </c>
      <c r="CI506" s="13">
        <f>[1]!dbasum(RecData[[#This Row],[20]:[2000]],RecData[[#Headers],[20]:[2000]])</f>
        <v>38.686963899143279</v>
      </c>
      <c r="CJ506" s="14">
        <v>8244</v>
      </c>
      <c r="CK506" s="15" t="s">
        <v>249</v>
      </c>
      <c r="CL506" s="15">
        <f>RecData[[#This Row],[Start Time]]</f>
        <v>43270.046527777784</v>
      </c>
      <c r="CM506" s="16">
        <f>RecData[[#This Row],[Wind Speed avg]]</f>
        <v>0.47</v>
      </c>
      <c r="CN506" s="16">
        <f>RecData[[#This Row],[Wind Dir. avg]]</f>
        <v>186.8</v>
      </c>
      <c r="CO506" s="16">
        <f>RecData[[#This Row],[Amb. Humidity]]</f>
        <v>63.7</v>
      </c>
      <c r="CP506" s="16">
        <f>RecData[[#This Row],[Amb. Temperature]]</f>
        <v>16.5</v>
      </c>
      <c r="CQ506" s="17">
        <f>RecData[[#This Row],[Amb. Rain Gauge]]</f>
        <v>0</v>
      </c>
      <c r="CR506" s="4" t="s">
        <v>1</v>
      </c>
      <c r="CS506" s="4" t="s">
        <v>49</v>
      </c>
      <c r="CT506" s="70">
        <v>1619.04968261718</v>
      </c>
      <c r="CU506" s="70">
        <v>21.000177383422798</v>
      </c>
      <c r="CV506" s="70">
        <v>11.795585632324199</v>
      </c>
      <c r="CW506" s="70">
        <v>15.295961380004799</v>
      </c>
      <c r="CX506" s="4"/>
      <c r="CY506" s="69"/>
      <c r="CZ506" s="2" t="b">
        <f>IF($DP$1="YES",IF(RecData[[#This Row],[Power (kW)]]&gt;=$CR$3, TRUE,FALSE),TRUE)</f>
        <v>1</v>
      </c>
      <c r="DA506" s="16">
        <f>MIN(MOD(180-ABS(ABS($DA$1-RecData[Yaw Angle (°)])-180),360),MOD(180-ABS(ABS($DB$1-RecData[Yaw Angle (°)])-180),360))</f>
        <v>13.470250605735259</v>
      </c>
      <c r="DB506" s="2" t="str">
        <f>IF($DP$2="None","None",IF(RecData[[#This Row],[Relative Wind Direction]]&lt;=45,"DW",IF(RecData[[#This Row],[Relative Wind Direction]]&lt;=135,"CW","UW")))</f>
        <v>DW</v>
      </c>
      <c r="DC506" s="61">
        <f>IF($CL506-$CL502&gt;1/24,#REF!,IF(SUM($CQ502:$CQ506)&gt;$DS$1,$DS$5,DC507-1))</f>
        <v>-2</v>
      </c>
      <c r="DD506" s="61">
        <f>IF($CL507-$CL506&gt;1/24,#REF!,IF(SUM($CQ502:$CQ506)&gt;$DS$1,$DS$6,DD505-1))</f>
        <v>-9</v>
      </c>
      <c r="DE506" s="18" t="b">
        <v>0</v>
      </c>
      <c r="DF506" s="2" t="b">
        <f>IF(OR(RecData[[#This Row],[WSpd_Avg '[m/s']]]-RecData[[#This Row],[Wind Speed min]]&gt;=$DF$3,RecData[[#This Row],[Wind Speed max]]-RecData[[#This Row],[WSpd_Avg '[m/s']]]&gt;=$DF$2),TRUE,FALSE)</f>
        <v>0</v>
      </c>
      <c r="DG506" s="2" t="b">
        <f>RecData[[#This Row],[Temperature '[°C']]]&lt;=-20</f>
        <v>0</v>
      </c>
      <c r="DH506" s="18" t="b">
        <f>NOT(OR(MOD(RecData[[#This Row],[TIMESTAMP]],1)&gt;0.91632,MOD(RecData[[#This Row],[TIMESTAMP]],1)&lt;0.208681))</f>
        <v>0</v>
      </c>
      <c r="DI506" s="18" t="b">
        <f>RecData[[#This Row],[Overall (dBA)]]-RecData[[#This Row],[L90]]&gt;=$DS$4</f>
        <v>0</v>
      </c>
      <c r="DJ506" s="18" t="b">
        <f>RecData[[#This Row],[Overall (dBA)]]&gt;$DS$2</f>
        <v>0</v>
      </c>
      <c r="DK506" s="18" t="b">
        <f>RecData[[#This Row],[Overall (dBA)]]&lt;$DS$3</f>
        <v>0</v>
      </c>
      <c r="DL5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6" s="2">
        <f>IF(AND(RecData[[#This Row],[Turbines ON/OFF]] = "OFF", NOT(OR(RecData[[#This Row],[Junk?]]="YES",RecData[[#This Row],[Gust?]],RecData[[#This Row],[Rain?]:[Min SPL Threshold?]]))),1,0)</f>
        <v>0</v>
      </c>
      <c r="DN506" s="16">
        <f>RecData[[#This Row],[dBA Sum]]</f>
        <v>38.686963899143279</v>
      </c>
      <c r="DO506" s="16">
        <f>RecData[[#This Row],[LAF90.0]]</f>
        <v>36.799999999999997</v>
      </c>
      <c r="DP506" s="55">
        <f>IF(AND(RecData[[#This Row],[Useable TON Data?]],RecData[[#This Row],[Turbines ON/OFF]]="ON"),RecData[[#This Row],[dBA Sum]],"")</f>
        <v>38.686963899143279</v>
      </c>
      <c r="DQ506" s="55" t="str">
        <f>IF(AND(RecData[[#This Row],[Useable Background Data?]],RecData[[#This Row],[Turbines ON/OFF]]="OFF"),RecData[[#This Row],[dBA Sum]],"")</f>
        <v/>
      </c>
      <c r="DR506" s="3">
        <f>IF(OR(RecData[[#This Row],[Useable TON Data?]],RecData[[#This Row],[Useable Background Data?]]),ROUND(RecData[[#This Row],[WSpd_Avg '[m/s']]],0),"")</f>
        <v>0</v>
      </c>
      <c r="DS506" s="85">
        <f>(0.00002)^2*(10^(RecData[[#This Row],[Overall (dBA)]]/10))</f>
        <v>2.9563536261305925E-6</v>
      </c>
    </row>
    <row r="507" spans="1:123" ht="15" x14ac:dyDescent="0.25">
      <c r="A507" s="3" t="s">
        <v>249</v>
      </c>
      <c r="B507" s="12">
        <v>43270.047222222231</v>
      </c>
      <c r="C507" s="3"/>
      <c r="D507" s="3">
        <v>39.6</v>
      </c>
      <c r="E507" s="3"/>
      <c r="F507" s="3"/>
      <c r="G507" s="3"/>
      <c r="H507" s="3"/>
      <c r="I507" s="3"/>
      <c r="J507" s="3"/>
      <c r="K507" s="3">
        <v>37.799999999999997</v>
      </c>
      <c r="L507" s="3"/>
      <c r="M507" s="3"/>
      <c r="N507" s="3">
        <v>155.6</v>
      </c>
      <c r="O507" s="3"/>
      <c r="P507" s="3"/>
      <c r="Q507" s="3">
        <v>1.27</v>
      </c>
      <c r="R507" s="3">
        <v>0.6</v>
      </c>
      <c r="S507" s="3">
        <v>1.7</v>
      </c>
      <c r="T507" s="3">
        <v>16.5</v>
      </c>
      <c r="U507" s="3">
        <v>64</v>
      </c>
      <c r="V507" s="3">
        <v>972.7</v>
      </c>
      <c r="W507" s="3">
        <v>0</v>
      </c>
      <c r="X507" s="3">
        <v>48</v>
      </c>
      <c r="Y507" s="3">
        <v>47.4</v>
      </c>
      <c r="Z507" s="3">
        <v>47</v>
      </c>
      <c r="AA507" s="3">
        <v>43</v>
      </c>
      <c r="AB507" s="3">
        <v>38.299999999999997</v>
      </c>
      <c r="AC507" s="3">
        <v>36.700000000000003</v>
      </c>
      <c r="AD507" s="3">
        <v>38.9</v>
      </c>
      <c r="AE507" s="3">
        <v>41</v>
      </c>
      <c r="AF507" s="3">
        <v>45</v>
      </c>
      <c r="AG507" s="3">
        <v>39.299999999999997</v>
      </c>
      <c r="AH507" s="3">
        <v>36.4</v>
      </c>
      <c r="AI507" s="3">
        <v>37.200000000000003</v>
      </c>
      <c r="AJ507" s="3">
        <v>35.799999999999997</v>
      </c>
      <c r="AK507" s="3">
        <v>34.200000000000003</v>
      </c>
      <c r="AL507" s="3">
        <v>32.5</v>
      </c>
      <c r="AM507" s="3">
        <v>32.5</v>
      </c>
      <c r="AN507" s="3">
        <v>31.3</v>
      </c>
      <c r="AO507" s="3">
        <v>28.2</v>
      </c>
      <c r="AP507" s="3">
        <v>26</v>
      </c>
      <c r="AQ507" s="3">
        <v>24</v>
      </c>
      <c r="AR507" s="3">
        <v>20.6</v>
      </c>
      <c r="AS507" s="3">
        <v>17.5</v>
      </c>
      <c r="AT507" s="3">
        <v>22</v>
      </c>
      <c r="AU507" s="3">
        <v>10.5</v>
      </c>
      <c r="AV507" s="3">
        <v>9.5</v>
      </c>
      <c r="AW507" s="3">
        <v>9.6</v>
      </c>
      <c r="AX507" s="3">
        <v>9.3000000000000007</v>
      </c>
      <c r="AY507" s="3">
        <v>9.5</v>
      </c>
      <c r="AZ507" s="3">
        <v>0</v>
      </c>
      <c r="BA507" s="3">
        <v>0</v>
      </c>
      <c r="BB507" s="3">
        <v>0</v>
      </c>
      <c r="BC507" s="3">
        <v>39.627633870807244</v>
      </c>
      <c r="BD507" s="3">
        <v>47.97236612919275</v>
      </c>
      <c r="BE507" s="3">
        <v>47.372366129192756</v>
      </c>
      <c r="BF507" s="3">
        <v>45.732366129192755</v>
      </c>
      <c r="BG507" s="3">
        <v>42.059032795859423</v>
      </c>
      <c r="BH507" s="3">
        <v>37.499032795859421</v>
      </c>
      <c r="BI507" s="3">
        <v>36.312366129192753</v>
      </c>
      <c r="BJ507" s="3">
        <v>39.305699462526093</v>
      </c>
      <c r="BK507" s="3">
        <v>41.279032795859422</v>
      </c>
      <c r="BL507" s="3">
        <v>44.85236612919276</v>
      </c>
      <c r="BM507" s="3">
        <v>39.285699462526082</v>
      </c>
      <c r="BN507" s="3">
        <v>36.669032795859422</v>
      </c>
      <c r="BO507" s="3">
        <v>36.835699462526094</v>
      </c>
      <c r="BP507" s="3">
        <v>35.152366129192757</v>
      </c>
      <c r="BQ507" s="3">
        <v>33.96903279585942</v>
      </c>
      <c r="BR507" s="3">
        <v>32.595699462526085</v>
      </c>
      <c r="BS507" s="3">
        <v>32.399032795859426</v>
      </c>
      <c r="BT507" s="3">
        <v>31.395699462526096</v>
      </c>
      <c r="BU507" s="3">
        <v>28.262366129192756</v>
      </c>
      <c r="BV507" s="3">
        <v>25.779032795859422</v>
      </c>
      <c r="BW507" s="3">
        <v>24.31236612919276</v>
      </c>
      <c r="BX507" s="3">
        <v>20.832366129192764</v>
      </c>
      <c r="BY507" s="3">
        <v>17.552366129192755</v>
      </c>
      <c r="BZ507" s="3">
        <v>22.182366129192758</v>
      </c>
      <c r="CA507" s="3">
        <v>10.782366129192752</v>
      </c>
      <c r="CB507" s="3">
        <v>9.2190327958594196</v>
      </c>
      <c r="CC507" s="3">
        <v>9.5323661291927522</v>
      </c>
      <c r="CD507" s="3">
        <v>8.539032795859427</v>
      </c>
      <c r="CE507" s="3">
        <v>8.9323661291927579</v>
      </c>
      <c r="CF507" s="3">
        <v>-0.95430053747391241</v>
      </c>
      <c r="CG507" s="3">
        <v>-1.4876338708072439</v>
      </c>
      <c r="CH507" s="3">
        <v>-2.5643005374739118</v>
      </c>
      <c r="CI507" s="13">
        <f>[1]!dbasum(RecData[[#This Row],[20]:[2000]],RecData[[#Headers],[20]:[2000]])</f>
        <v>39.382885208162207</v>
      </c>
      <c r="CJ507" s="14">
        <v>8245</v>
      </c>
      <c r="CK507" s="15" t="s">
        <v>249</v>
      </c>
      <c r="CL507" s="15">
        <f>RecData[[#This Row],[Start Time]]</f>
        <v>43270.047222222231</v>
      </c>
      <c r="CM507" s="16">
        <f>RecData[[#This Row],[Wind Speed avg]]</f>
        <v>1.27</v>
      </c>
      <c r="CN507" s="16">
        <f>RecData[[#This Row],[Wind Dir. avg]]</f>
        <v>155.6</v>
      </c>
      <c r="CO507" s="16">
        <f>RecData[[#This Row],[Amb. Humidity]]</f>
        <v>64</v>
      </c>
      <c r="CP507" s="16">
        <f>RecData[[#This Row],[Amb. Temperature]]</f>
        <v>16.5</v>
      </c>
      <c r="CQ507" s="17">
        <f>RecData[[#This Row],[Amb. Rain Gauge]]</f>
        <v>0</v>
      </c>
      <c r="CR507" s="4" t="s">
        <v>1</v>
      </c>
      <c r="CS507" s="4" t="s">
        <v>49</v>
      </c>
      <c r="CT507" s="70">
        <v>1619.04968261718</v>
      </c>
      <c r="CU507" s="70">
        <v>21.000177383422798</v>
      </c>
      <c r="CV507" s="70">
        <v>11.795585632324199</v>
      </c>
      <c r="CW507" s="70">
        <v>15.295961380004799</v>
      </c>
      <c r="CX507" s="4"/>
      <c r="CY507" s="69"/>
      <c r="CZ507" s="2" t="b">
        <f>IF($DP$1="YES",IF(RecData[[#This Row],[Power (kW)]]&gt;=$CR$3, TRUE,FALSE),TRUE)</f>
        <v>1</v>
      </c>
      <c r="DA507" s="16">
        <f>MIN(MOD(180-ABS(ABS($DA$1-RecData[Yaw Angle (°)])-180),360),MOD(180-ABS(ABS($DB$1-RecData[Yaw Angle (°)])-180),360))</f>
        <v>13.470250605735259</v>
      </c>
      <c r="DB507" s="2" t="str">
        <f>IF($DP$2="None","None",IF(RecData[[#This Row],[Relative Wind Direction]]&lt;=45,"DW",IF(RecData[[#This Row],[Relative Wind Direction]]&lt;=135,"CW","UW")))</f>
        <v>DW</v>
      </c>
      <c r="DC507" s="61">
        <v>-1</v>
      </c>
      <c r="DD507" s="61">
        <v>-1</v>
      </c>
      <c r="DE507" s="18" t="b">
        <v>0</v>
      </c>
      <c r="DF507" s="2" t="b">
        <f>IF(OR(RecData[[#This Row],[WSpd_Avg '[m/s']]]-RecData[[#This Row],[Wind Speed min]]&gt;=$DF$3,RecData[[#This Row],[Wind Speed max]]-RecData[[#This Row],[WSpd_Avg '[m/s']]]&gt;=$DF$2),TRUE,FALSE)</f>
        <v>0</v>
      </c>
      <c r="DG507" s="2" t="b">
        <f>RecData[[#This Row],[Temperature '[°C']]]&lt;=-20</f>
        <v>0</v>
      </c>
      <c r="DH507" s="18" t="b">
        <f>NOT(OR(MOD(RecData[[#This Row],[TIMESTAMP]],1)&gt;0.91632,MOD(RecData[[#This Row],[TIMESTAMP]],1)&lt;0.208681))</f>
        <v>0</v>
      </c>
      <c r="DI507" s="18" t="b">
        <f>RecData[[#This Row],[Overall (dBA)]]-RecData[[#This Row],[L90]]&gt;=$DS$4</f>
        <v>0</v>
      </c>
      <c r="DJ507" s="18" t="b">
        <f>RecData[[#This Row],[Overall (dBA)]]&gt;$DS$2</f>
        <v>0</v>
      </c>
      <c r="DK507" s="18" t="b">
        <f>RecData[[#This Row],[Overall (dBA)]]&lt;$DS$3</f>
        <v>0</v>
      </c>
      <c r="DL5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7" s="2">
        <f>IF(AND(RecData[[#This Row],[Turbines ON/OFF]] = "OFF", NOT(OR(RecData[[#This Row],[Junk?]]="YES",RecData[[#This Row],[Gust?]],RecData[[#This Row],[Rain?]:[Min SPL Threshold?]]))),1,0)</f>
        <v>0</v>
      </c>
      <c r="DN507" s="16">
        <f>RecData[[#This Row],[dBA Sum]]</f>
        <v>39.382885208162207</v>
      </c>
      <c r="DO507" s="16">
        <f>RecData[[#This Row],[LAF90.0]]</f>
        <v>37.799999999999997</v>
      </c>
      <c r="DP507" s="55">
        <f>IF(AND(RecData[[#This Row],[Useable TON Data?]],RecData[[#This Row],[Turbines ON/OFF]]="ON"),RecData[[#This Row],[dBA Sum]],"")</f>
        <v>39.382885208162207</v>
      </c>
      <c r="DQ507" s="55" t="str">
        <f>IF(AND(RecData[[#This Row],[Useable Background Data?]],RecData[[#This Row],[Turbines ON/OFF]]="OFF"),RecData[[#This Row],[dBA Sum]],"")</f>
        <v/>
      </c>
      <c r="DR507" s="3">
        <f>IF(OR(RecData[[#This Row],[Useable TON Data?]],RecData[[#This Row],[Useable Background Data?]]),ROUND(RecData[[#This Row],[WSpd_Avg '[m/s']]],0),"")</f>
        <v>1</v>
      </c>
      <c r="DS507" s="85">
        <f>(0.00002)^2*(10^(RecData[[#This Row],[Overall (dBA)]]/10))</f>
        <v>3.4701521112208988E-6</v>
      </c>
    </row>
    <row r="508" spans="1:123" ht="15" x14ac:dyDescent="0.25">
      <c r="A508" s="3" t="s">
        <v>249</v>
      </c>
      <c r="B508" s="12">
        <v>43270.04791666667</v>
      </c>
      <c r="C508" s="3"/>
      <c r="D508" s="3">
        <v>39.200000000000003</v>
      </c>
      <c r="E508" s="3"/>
      <c r="F508" s="3"/>
      <c r="G508" s="3"/>
      <c r="H508" s="3"/>
      <c r="I508" s="3"/>
      <c r="J508" s="3"/>
      <c r="K508" s="3">
        <v>38.200000000000003</v>
      </c>
      <c r="L508" s="3"/>
      <c r="M508" s="3"/>
      <c r="N508" s="3">
        <v>196.7</v>
      </c>
      <c r="O508" s="3"/>
      <c r="P508" s="3"/>
      <c r="Q508" s="3">
        <v>0.79</v>
      </c>
      <c r="R508" s="3">
        <v>0.2</v>
      </c>
      <c r="S508" s="3">
        <v>1.3</v>
      </c>
      <c r="T508" s="3">
        <v>16.399999999999999</v>
      </c>
      <c r="U508" s="3">
        <v>64.2</v>
      </c>
      <c r="V508" s="3">
        <v>972.7</v>
      </c>
      <c r="W508" s="3">
        <v>0</v>
      </c>
      <c r="X508" s="3">
        <v>47.2</v>
      </c>
      <c r="Y508" s="3">
        <v>47.6</v>
      </c>
      <c r="Z508" s="3">
        <v>46.4</v>
      </c>
      <c r="AA508" s="3">
        <v>41.7</v>
      </c>
      <c r="AB508" s="3">
        <v>37.700000000000003</v>
      </c>
      <c r="AC508" s="3">
        <v>36.9</v>
      </c>
      <c r="AD508" s="3">
        <v>40.299999999999997</v>
      </c>
      <c r="AE508" s="3">
        <v>41.1</v>
      </c>
      <c r="AF508" s="3">
        <v>43.2</v>
      </c>
      <c r="AG508" s="3">
        <v>37.200000000000003</v>
      </c>
      <c r="AH508" s="3">
        <v>37</v>
      </c>
      <c r="AI508" s="3">
        <v>36.4</v>
      </c>
      <c r="AJ508" s="3">
        <v>35.6</v>
      </c>
      <c r="AK508" s="3">
        <v>33.9</v>
      </c>
      <c r="AL508" s="3">
        <v>32.200000000000003</v>
      </c>
      <c r="AM508" s="3">
        <v>31.9</v>
      </c>
      <c r="AN508" s="3">
        <v>30.6</v>
      </c>
      <c r="AO508" s="3">
        <v>27.9</v>
      </c>
      <c r="AP508" s="3">
        <v>25.9</v>
      </c>
      <c r="AQ508" s="3">
        <v>24</v>
      </c>
      <c r="AR508" s="3">
        <v>21.5</v>
      </c>
      <c r="AS508" s="3">
        <v>20.9</v>
      </c>
      <c r="AT508" s="3">
        <v>20.8</v>
      </c>
      <c r="AU508" s="3">
        <v>13.7</v>
      </c>
      <c r="AV508" s="3">
        <v>12.2</v>
      </c>
      <c r="AW508" s="3">
        <v>11.5</v>
      </c>
      <c r="AX508" s="3">
        <v>10</v>
      </c>
      <c r="AY508" s="3">
        <v>9.6999999999999993</v>
      </c>
      <c r="AZ508" s="3">
        <v>0</v>
      </c>
      <c r="BA508" s="3">
        <v>0</v>
      </c>
      <c r="BB508" s="3">
        <v>0</v>
      </c>
      <c r="BC508" s="3">
        <v>39.191110697023483</v>
      </c>
      <c r="BD508" s="3">
        <v>47.208889302976523</v>
      </c>
      <c r="BE508" s="3">
        <v>47.608889302976529</v>
      </c>
      <c r="BF508" s="3">
        <v>45.168889302976517</v>
      </c>
      <c r="BG508" s="3">
        <v>40.795555969643196</v>
      </c>
      <c r="BH508" s="3">
        <v>36.935555969643183</v>
      </c>
      <c r="BI508" s="3">
        <v>36.548889302976526</v>
      </c>
      <c r="BJ508" s="3">
        <v>40.742222636309855</v>
      </c>
      <c r="BK508" s="3">
        <v>41.415555969643187</v>
      </c>
      <c r="BL508" s="3">
        <v>43.088889302976519</v>
      </c>
      <c r="BM508" s="3">
        <v>37.222222636309859</v>
      </c>
      <c r="BN508" s="3">
        <v>37.305555969643187</v>
      </c>
      <c r="BO508" s="3">
        <v>36.072222636309853</v>
      </c>
      <c r="BP508" s="3">
        <v>34.988889302976524</v>
      </c>
      <c r="BQ508" s="3">
        <v>33.705555969643179</v>
      </c>
      <c r="BR508" s="3">
        <v>32.332222636309858</v>
      </c>
      <c r="BS508" s="3">
        <v>31.835555969643188</v>
      </c>
      <c r="BT508" s="3">
        <v>30.732222636309864</v>
      </c>
      <c r="BU508" s="3">
        <v>27.998889302976515</v>
      </c>
      <c r="BV508" s="3">
        <v>25.715555969643184</v>
      </c>
      <c r="BW508" s="3">
        <v>24.348889302976524</v>
      </c>
      <c r="BX508" s="3">
        <v>21.768889302976525</v>
      </c>
      <c r="BY508" s="3">
        <v>20.988889302976517</v>
      </c>
      <c r="BZ508" s="3">
        <v>21.018889302976525</v>
      </c>
      <c r="CA508" s="3">
        <v>14.018889302976511</v>
      </c>
      <c r="CB508" s="3">
        <v>11.955555969643186</v>
      </c>
      <c r="CC508" s="3">
        <v>11.468889302976521</v>
      </c>
      <c r="CD508" s="3">
        <v>9.2755559696431931</v>
      </c>
      <c r="CE508" s="3">
        <v>9.1688893029765168</v>
      </c>
      <c r="CF508" s="3">
        <v>-0.91777736369014917</v>
      </c>
      <c r="CG508" s="3">
        <v>-1.4511106970234806</v>
      </c>
      <c r="CH508" s="3">
        <v>-2.5277773636901486</v>
      </c>
      <c r="CI508" s="13">
        <f>[1]!dbasum(RecData[[#This Row],[20]:[2000]],RecData[[#Headers],[20]:[2000]])</f>
        <v>38.935983032049329</v>
      </c>
      <c r="CJ508" s="14">
        <v>8246</v>
      </c>
      <c r="CK508" s="15" t="s">
        <v>249</v>
      </c>
      <c r="CL508" s="15">
        <f>RecData[[#This Row],[Start Time]]</f>
        <v>43270.04791666667</v>
      </c>
      <c r="CM508" s="16">
        <f>RecData[[#This Row],[Wind Speed avg]]</f>
        <v>0.79</v>
      </c>
      <c r="CN508" s="16">
        <f>RecData[[#This Row],[Wind Dir. avg]]</f>
        <v>196.7</v>
      </c>
      <c r="CO508" s="16">
        <f>RecData[[#This Row],[Amb. Humidity]]</f>
        <v>64.2</v>
      </c>
      <c r="CP508" s="16">
        <f>RecData[[#This Row],[Amb. Temperature]]</f>
        <v>16.399999999999999</v>
      </c>
      <c r="CQ508" s="17">
        <f>RecData[[#This Row],[Amb. Rain Gauge]]</f>
        <v>0</v>
      </c>
      <c r="CR508" s="4" t="s">
        <v>1</v>
      </c>
      <c r="CS508" s="4" t="s">
        <v>49</v>
      </c>
      <c r="CT508" s="70">
        <v>1619.04968261718</v>
      </c>
      <c r="CU508" s="70">
        <v>21.000177383422798</v>
      </c>
      <c r="CV508" s="70">
        <v>11.795585632324199</v>
      </c>
      <c r="CW508" s="70">
        <v>15.295961380004799</v>
      </c>
      <c r="CX508" s="4"/>
      <c r="CY508" s="69"/>
      <c r="CZ508" s="2" t="b">
        <f>IF($DP$1="YES",IF(RecData[[#This Row],[Power (kW)]]&gt;=$CR$3, TRUE,FALSE),TRUE)</f>
        <v>1</v>
      </c>
      <c r="DA508" s="16">
        <f>MIN(MOD(180-ABS(ABS($DA$1-RecData[Yaw Angle (°)])-180),360),MOD(180-ABS(ABS($DB$1-RecData[Yaw Angle (°)])-180),360))</f>
        <v>13.470250605735259</v>
      </c>
      <c r="DB508" s="2" t="str">
        <f>IF($DP$2="None","None",IF(RecData[[#This Row],[Relative Wind Direction]]&lt;=45,"DW",IF(RecData[[#This Row],[Relative Wind Direction]]&lt;=135,"CW","UW")))</f>
        <v>DW</v>
      </c>
      <c r="DC508" s="61">
        <f>IF($CL508-$CL507&gt;1/24,#REF!,IF(SUM($CQ507:$CQ508)&gt;$DS$1,$DS$5,DC509-1))</f>
        <v>-9</v>
      </c>
      <c r="DD508" s="61">
        <f>IF($CL509-$CL508&gt;1/24,#REF!,IF(SUM($CQ507:$CQ508)&gt;$DS$1,$DS$6,DD507-1))</f>
        <v>-2</v>
      </c>
      <c r="DE508" s="18" t="b">
        <v>0</v>
      </c>
      <c r="DF508" s="2" t="b">
        <f>IF(OR(RecData[[#This Row],[WSpd_Avg '[m/s']]]-RecData[[#This Row],[Wind Speed min]]&gt;=$DF$3,RecData[[#This Row],[Wind Speed max]]-RecData[[#This Row],[WSpd_Avg '[m/s']]]&gt;=$DF$2),TRUE,FALSE)</f>
        <v>0</v>
      </c>
      <c r="DG508" s="2" t="b">
        <f>RecData[[#This Row],[Temperature '[°C']]]&lt;=-20</f>
        <v>0</v>
      </c>
      <c r="DH508" s="18" t="b">
        <f>NOT(OR(MOD(RecData[[#This Row],[TIMESTAMP]],1)&gt;0.91632,MOD(RecData[[#This Row],[TIMESTAMP]],1)&lt;0.208681))</f>
        <v>0</v>
      </c>
      <c r="DI508" s="18" t="b">
        <f>RecData[[#This Row],[Overall (dBA)]]-RecData[[#This Row],[L90]]&gt;=$DS$4</f>
        <v>0</v>
      </c>
      <c r="DJ508" s="18" t="b">
        <f>RecData[[#This Row],[Overall (dBA)]]&gt;$DS$2</f>
        <v>0</v>
      </c>
      <c r="DK508" s="18" t="b">
        <f>RecData[[#This Row],[Overall (dBA)]]&lt;$DS$3</f>
        <v>0</v>
      </c>
      <c r="DL5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8" s="2">
        <f>IF(AND(RecData[[#This Row],[Turbines ON/OFF]] = "OFF", NOT(OR(RecData[[#This Row],[Junk?]]="YES",RecData[[#This Row],[Gust?]],RecData[[#This Row],[Rain?]:[Min SPL Threshold?]]))),1,0)</f>
        <v>0</v>
      </c>
      <c r="DN508" s="16">
        <f>RecData[[#This Row],[dBA Sum]]</f>
        <v>38.935983032049329</v>
      </c>
      <c r="DO508" s="16">
        <f>RecData[[#This Row],[LAF90.0]]</f>
        <v>38.200000000000003</v>
      </c>
      <c r="DP508" s="55">
        <f>IF(AND(RecData[[#This Row],[Useable TON Data?]],RecData[[#This Row],[Turbines ON/OFF]]="ON"),RecData[[#This Row],[dBA Sum]],"")</f>
        <v>38.935983032049329</v>
      </c>
      <c r="DQ508" s="55" t="str">
        <f>IF(AND(RecData[[#This Row],[Useable Background Data?]],RecData[[#This Row],[Turbines ON/OFF]]="OFF"),RecData[[#This Row],[dBA Sum]],"")</f>
        <v/>
      </c>
      <c r="DR508" s="3">
        <f>IF(OR(RecData[[#This Row],[Useable TON Data?]],RecData[[#This Row],[Useable Background Data?]]),ROUND(RecData[[#This Row],[WSpd_Avg '[m/s']]],0),"")</f>
        <v>1</v>
      </c>
      <c r="DS508" s="85">
        <f>(0.00002)^2*(10^(RecData[[#This Row],[Overall (dBA)]]/10))</f>
        <v>3.1308214061722705E-6</v>
      </c>
    </row>
    <row r="509" spans="1:123" ht="15" x14ac:dyDescent="0.25">
      <c r="A509" s="3" t="s">
        <v>249</v>
      </c>
      <c r="B509" s="12">
        <v>43270.048611111117</v>
      </c>
      <c r="C509" s="3"/>
      <c r="D509" s="3">
        <v>39.4</v>
      </c>
      <c r="E509" s="3"/>
      <c r="F509" s="3"/>
      <c r="G509" s="3"/>
      <c r="H509" s="3"/>
      <c r="I509" s="3"/>
      <c r="J509" s="3"/>
      <c r="K509" s="3">
        <v>38.299999999999997</v>
      </c>
      <c r="L509" s="3"/>
      <c r="M509" s="3"/>
      <c r="N509" s="3">
        <v>186.8</v>
      </c>
      <c r="O509" s="3"/>
      <c r="P509" s="3"/>
      <c r="Q509" s="3">
        <v>1.22</v>
      </c>
      <c r="R509" s="3">
        <v>0.3</v>
      </c>
      <c r="S509" s="3">
        <v>1.6</v>
      </c>
      <c r="T509" s="3">
        <v>16.3</v>
      </c>
      <c r="U509" s="3">
        <v>64.400000000000006</v>
      </c>
      <c r="V509" s="3">
        <v>972.8</v>
      </c>
      <c r="W509" s="3">
        <v>0</v>
      </c>
      <c r="X509" s="3">
        <v>47.4</v>
      </c>
      <c r="Y509" s="3">
        <v>47.7</v>
      </c>
      <c r="Z509" s="3">
        <v>47.5</v>
      </c>
      <c r="AA509" s="3">
        <v>43.2</v>
      </c>
      <c r="AB509" s="3">
        <v>38</v>
      </c>
      <c r="AC509" s="3">
        <v>36</v>
      </c>
      <c r="AD509" s="3">
        <v>39.700000000000003</v>
      </c>
      <c r="AE509" s="3">
        <v>41.2</v>
      </c>
      <c r="AF509" s="3">
        <v>45</v>
      </c>
      <c r="AG509" s="3">
        <v>38.799999999999997</v>
      </c>
      <c r="AH509" s="3">
        <v>36.9</v>
      </c>
      <c r="AI509" s="3">
        <v>37.299999999999997</v>
      </c>
      <c r="AJ509" s="3">
        <v>35.9</v>
      </c>
      <c r="AK509" s="3">
        <v>34.299999999999997</v>
      </c>
      <c r="AL509" s="3">
        <v>32.299999999999997</v>
      </c>
      <c r="AM509" s="3">
        <v>32</v>
      </c>
      <c r="AN509" s="3">
        <v>30.5</v>
      </c>
      <c r="AO509" s="3">
        <v>27.5</v>
      </c>
      <c r="AP509" s="3">
        <v>25.5</v>
      </c>
      <c r="AQ509" s="3">
        <v>23.1</v>
      </c>
      <c r="AR509" s="3">
        <v>20.2</v>
      </c>
      <c r="AS509" s="3">
        <v>18.899999999999999</v>
      </c>
      <c r="AT509" s="3">
        <v>20.5</v>
      </c>
      <c r="AU509" s="3">
        <v>11.5</v>
      </c>
      <c r="AV509" s="3">
        <v>10.5</v>
      </c>
      <c r="AW509" s="3">
        <v>10.3</v>
      </c>
      <c r="AX509" s="3">
        <v>9.6</v>
      </c>
      <c r="AY509" s="3">
        <v>9.6</v>
      </c>
      <c r="AZ509" s="3">
        <v>0</v>
      </c>
      <c r="BA509" s="3">
        <v>0</v>
      </c>
      <c r="BB509" s="3">
        <v>0</v>
      </c>
      <c r="BC509" s="3">
        <v>39.372436734497803</v>
      </c>
      <c r="BD509" s="3">
        <v>47.427563265502194</v>
      </c>
      <c r="BE509" s="3">
        <v>47.727563265502191</v>
      </c>
      <c r="BF509" s="3">
        <v>46.287563265502193</v>
      </c>
      <c r="BG509" s="3">
        <v>42.314229932168864</v>
      </c>
      <c r="BH509" s="3">
        <v>37.254229932168862</v>
      </c>
      <c r="BI509" s="3">
        <v>35.667563265502189</v>
      </c>
      <c r="BJ509" s="3">
        <v>40.160896598835528</v>
      </c>
      <c r="BK509" s="3">
        <v>41.534229932168863</v>
      </c>
      <c r="BL509" s="3">
        <v>44.907563265502198</v>
      </c>
      <c r="BM509" s="3">
        <v>38.840896598835535</v>
      </c>
      <c r="BN509" s="3">
        <v>37.224229932168861</v>
      </c>
      <c r="BO509" s="3">
        <v>36.990896598835526</v>
      </c>
      <c r="BP509" s="3">
        <v>35.307563265502203</v>
      </c>
      <c r="BQ509" s="3">
        <v>34.124229932168852</v>
      </c>
      <c r="BR509" s="3">
        <v>32.45089659883552</v>
      </c>
      <c r="BS509" s="3">
        <v>31.954229932168865</v>
      </c>
      <c r="BT509" s="3">
        <v>30.650896598835537</v>
      </c>
      <c r="BU509" s="3">
        <v>27.617563265502206</v>
      </c>
      <c r="BV509" s="3">
        <v>25.33422993216886</v>
      </c>
      <c r="BW509" s="3">
        <v>23.4675632655022</v>
      </c>
      <c r="BX509" s="3">
        <v>20.487563265502196</v>
      </c>
      <c r="BY509" s="3">
        <v>19.007563265502192</v>
      </c>
      <c r="BZ509" s="3">
        <v>20.737563265502196</v>
      </c>
      <c r="CA509" s="3">
        <v>11.83756326550219</v>
      </c>
      <c r="CB509" s="3">
        <v>10.274229932168858</v>
      </c>
      <c r="CC509" s="3">
        <v>10.287563265502193</v>
      </c>
      <c r="CD509" s="3">
        <v>8.8942299321688623</v>
      </c>
      <c r="CE509" s="3">
        <v>9.0875632655021903</v>
      </c>
      <c r="CF509" s="3">
        <v>-0.89910340116447429</v>
      </c>
      <c r="CG509" s="3">
        <v>-1.4324367344978057</v>
      </c>
      <c r="CH509" s="3">
        <v>-2.5091034011644737</v>
      </c>
      <c r="CI509" s="13">
        <f>[1]!dbasum(RecData[[#This Row],[20]:[2000]],RecData[[#Headers],[20]:[2000]])</f>
        <v>39.176620853260346</v>
      </c>
      <c r="CJ509" s="14">
        <v>8247</v>
      </c>
      <c r="CK509" s="15" t="s">
        <v>249</v>
      </c>
      <c r="CL509" s="15">
        <f>RecData[[#This Row],[Start Time]]</f>
        <v>43270.048611111117</v>
      </c>
      <c r="CM509" s="16">
        <f>RecData[[#This Row],[Wind Speed avg]]</f>
        <v>1.22</v>
      </c>
      <c r="CN509" s="16">
        <f>RecData[[#This Row],[Wind Dir. avg]]</f>
        <v>186.8</v>
      </c>
      <c r="CO509" s="16">
        <f>RecData[[#This Row],[Amb. Humidity]]</f>
        <v>64.400000000000006</v>
      </c>
      <c r="CP509" s="16">
        <f>RecData[[#This Row],[Amb. Temperature]]</f>
        <v>16.3</v>
      </c>
      <c r="CQ509" s="17">
        <f>RecData[[#This Row],[Amb. Rain Gauge]]</f>
        <v>0</v>
      </c>
      <c r="CR509" s="4" t="s">
        <v>1</v>
      </c>
      <c r="CS509" s="4" t="s">
        <v>49</v>
      </c>
      <c r="CT509" s="70">
        <v>1619.04968261718</v>
      </c>
      <c r="CU509" s="70">
        <v>21.000177383422798</v>
      </c>
      <c r="CV509" s="70">
        <v>11.795585632324199</v>
      </c>
      <c r="CW509" s="70">
        <v>15.295961380004799</v>
      </c>
      <c r="CX509" s="4"/>
      <c r="CY509" s="69"/>
      <c r="CZ509" s="2" t="b">
        <f>IF($DP$1="YES",IF(RecData[[#This Row],[Power (kW)]]&gt;=$CR$3, TRUE,FALSE),TRUE)</f>
        <v>1</v>
      </c>
      <c r="DA509" s="16">
        <f>MIN(MOD(180-ABS(ABS($DA$1-RecData[Yaw Angle (°)])-180),360),MOD(180-ABS(ABS($DB$1-RecData[Yaw Angle (°)])-180),360))</f>
        <v>13.470250605735259</v>
      </c>
      <c r="DB509" s="2" t="str">
        <f>IF($DP$2="None","None",IF(RecData[[#This Row],[Relative Wind Direction]]&lt;=45,"DW",IF(RecData[[#This Row],[Relative Wind Direction]]&lt;=135,"CW","UW")))</f>
        <v>DW</v>
      </c>
      <c r="DC509" s="61">
        <f>IF($CL509-$CL507&gt;1/24,#REF!,IF(SUM($CQ507:$CQ509)&gt;$DS$1,$DS$5,DC510-1))</f>
        <v>-8</v>
      </c>
      <c r="DD509" s="61">
        <f>IF($CL510-$CL509&gt;1/24,#REF!,IF(SUM($CQ507:$CQ509)&gt;$DS$1,$DS$6,DD508-1))</f>
        <v>-3</v>
      </c>
      <c r="DE509" s="18" t="b">
        <v>0</v>
      </c>
      <c r="DF509" s="2" t="b">
        <f>IF(OR(RecData[[#This Row],[WSpd_Avg '[m/s']]]-RecData[[#This Row],[Wind Speed min]]&gt;=$DF$3,RecData[[#This Row],[Wind Speed max]]-RecData[[#This Row],[WSpd_Avg '[m/s']]]&gt;=$DF$2),TRUE,FALSE)</f>
        <v>0</v>
      </c>
      <c r="DG509" s="2" t="b">
        <f>RecData[[#This Row],[Temperature '[°C']]]&lt;=-20</f>
        <v>0</v>
      </c>
      <c r="DH509" s="18" t="b">
        <f>NOT(OR(MOD(RecData[[#This Row],[TIMESTAMP]],1)&gt;0.91632,MOD(RecData[[#This Row],[TIMESTAMP]],1)&lt;0.208681))</f>
        <v>0</v>
      </c>
      <c r="DI509" s="18" t="b">
        <f>RecData[[#This Row],[Overall (dBA)]]-RecData[[#This Row],[L90]]&gt;=$DS$4</f>
        <v>0</v>
      </c>
      <c r="DJ509" s="18" t="b">
        <f>RecData[[#This Row],[Overall (dBA)]]&gt;$DS$2</f>
        <v>0</v>
      </c>
      <c r="DK509" s="18" t="b">
        <f>RecData[[#This Row],[Overall (dBA)]]&lt;$DS$3</f>
        <v>0</v>
      </c>
      <c r="DL5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09" s="2">
        <f>IF(AND(RecData[[#This Row],[Turbines ON/OFF]] = "OFF", NOT(OR(RecData[[#This Row],[Junk?]]="YES",RecData[[#This Row],[Gust?]],RecData[[#This Row],[Rain?]:[Min SPL Threshold?]]))),1,0)</f>
        <v>0</v>
      </c>
      <c r="DN509" s="16">
        <f>RecData[[#This Row],[dBA Sum]]</f>
        <v>39.176620853260346</v>
      </c>
      <c r="DO509" s="16">
        <f>RecData[[#This Row],[LAF90.0]]</f>
        <v>38.299999999999997</v>
      </c>
      <c r="DP509" s="55">
        <f>IF(AND(RecData[[#This Row],[Useable TON Data?]],RecData[[#This Row],[Turbines ON/OFF]]="ON"),RecData[[#This Row],[dBA Sum]],"")</f>
        <v>39.176620853260346</v>
      </c>
      <c r="DQ509" s="55" t="str">
        <f>IF(AND(RecData[[#This Row],[Useable Background Data?]],RecData[[#This Row],[Turbines ON/OFF]]="OFF"),RecData[[#This Row],[dBA Sum]],"")</f>
        <v/>
      </c>
      <c r="DR509" s="3">
        <f>IF(OR(RecData[[#This Row],[Useable TON Data?]],RecData[[#This Row],[Useable Background Data?]]),ROUND(RecData[[#This Row],[WSpd_Avg '[m/s']]],0),"")</f>
        <v>1</v>
      </c>
      <c r="DS509" s="85">
        <f>(0.00002)^2*(10^(RecData[[#This Row],[Overall (dBA)]]/10))</f>
        <v>3.3091928450855264E-6</v>
      </c>
    </row>
    <row r="510" spans="1:123" ht="15" x14ac:dyDescent="0.25">
      <c r="A510" s="3" t="s">
        <v>249</v>
      </c>
      <c r="B510" s="12">
        <v>43270.049305555563</v>
      </c>
      <c r="C510" s="3"/>
      <c r="D510" s="3">
        <v>39.6</v>
      </c>
      <c r="E510" s="3"/>
      <c r="F510" s="3"/>
      <c r="G510" s="3"/>
      <c r="H510" s="3"/>
      <c r="I510" s="3"/>
      <c r="J510" s="3"/>
      <c r="K510" s="3">
        <v>38.299999999999997</v>
      </c>
      <c r="L510" s="3"/>
      <c r="M510" s="3"/>
      <c r="N510" s="3">
        <v>178.6</v>
      </c>
      <c r="O510" s="3"/>
      <c r="P510" s="3"/>
      <c r="Q510" s="3">
        <v>1.25</v>
      </c>
      <c r="R510" s="3">
        <v>0.3</v>
      </c>
      <c r="S510" s="3">
        <v>1.9</v>
      </c>
      <c r="T510" s="3">
        <v>16.3</v>
      </c>
      <c r="U510" s="3">
        <v>64.7</v>
      </c>
      <c r="V510" s="3">
        <v>972.8</v>
      </c>
      <c r="W510" s="3">
        <v>0</v>
      </c>
      <c r="X510" s="3">
        <v>48.6</v>
      </c>
      <c r="Y510" s="3">
        <v>48.2</v>
      </c>
      <c r="Z510" s="3">
        <v>47.6</v>
      </c>
      <c r="AA510" s="3">
        <v>43.1</v>
      </c>
      <c r="AB510" s="3">
        <v>38.299999999999997</v>
      </c>
      <c r="AC510" s="3">
        <v>35.9</v>
      </c>
      <c r="AD510" s="3">
        <v>39.4</v>
      </c>
      <c r="AE510" s="3">
        <v>41.7</v>
      </c>
      <c r="AF510" s="3">
        <v>45.6</v>
      </c>
      <c r="AG510" s="3">
        <v>38.6</v>
      </c>
      <c r="AH510" s="3">
        <v>37.5</v>
      </c>
      <c r="AI510" s="3">
        <v>37.200000000000003</v>
      </c>
      <c r="AJ510" s="3">
        <v>36.200000000000003</v>
      </c>
      <c r="AK510" s="3">
        <v>34.200000000000003</v>
      </c>
      <c r="AL510" s="3">
        <v>32.299999999999997</v>
      </c>
      <c r="AM510" s="3">
        <v>32</v>
      </c>
      <c r="AN510" s="3">
        <v>30.7</v>
      </c>
      <c r="AO510" s="3">
        <v>27.7</v>
      </c>
      <c r="AP510" s="3">
        <v>25.5</v>
      </c>
      <c r="AQ510" s="3">
        <v>23.3</v>
      </c>
      <c r="AR510" s="3">
        <v>20.2</v>
      </c>
      <c r="AS510" s="3">
        <v>20.7</v>
      </c>
      <c r="AT510" s="3">
        <v>23.2</v>
      </c>
      <c r="AU510" s="3">
        <v>12.9</v>
      </c>
      <c r="AV510" s="3">
        <v>12.2</v>
      </c>
      <c r="AW510" s="3">
        <v>12.1</v>
      </c>
      <c r="AX510" s="3">
        <v>10.5</v>
      </c>
      <c r="AY510" s="3">
        <v>10.1</v>
      </c>
      <c r="AZ510" s="3">
        <v>0</v>
      </c>
      <c r="BA510" s="3">
        <v>0</v>
      </c>
      <c r="BB510" s="3">
        <v>0</v>
      </c>
      <c r="BC510" s="3">
        <v>39.606671550419236</v>
      </c>
      <c r="BD510" s="3">
        <v>48.593328449580767</v>
      </c>
      <c r="BE510" s="3">
        <v>48.193328449580775</v>
      </c>
      <c r="BF510" s="3">
        <v>46.353328449580772</v>
      </c>
      <c r="BG510" s="3">
        <v>42.179995116247426</v>
      </c>
      <c r="BH510" s="3">
        <v>37.519995116247429</v>
      </c>
      <c r="BI510" s="3">
        <v>35.533328449580765</v>
      </c>
      <c r="BJ510" s="3">
        <v>39.826661782914101</v>
      </c>
      <c r="BK510" s="3">
        <v>41.999995116247433</v>
      </c>
      <c r="BL510" s="3">
        <v>45.473328449580777</v>
      </c>
      <c r="BM510" s="3">
        <v>38.606661782914102</v>
      </c>
      <c r="BN510" s="3">
        <v>37.789995116247439</v>
      </c>
      <c r="BO510" s="3">
        <v>36.856661782914102</v>
      </c>
      <c r="BP510" s="3">
        <v>35.573328449580771</v>
      </c>
      <c r="BQ510" s="3">
        <v>33.989995116247428</v>
      </c>
      <c r="BR510" s="3">
        <v>32.416661782914105</v>
      </c>
      <c r="BS510" s="3">
        <v>31.919995116247435</v>
      </c>
      <c r="BT510" s="3">
        <v>30.816661782914096</v>
      </c>
      <c r="BU510" s="3">
        <v>27.783328449580765</v>
      </c>
      <c r="BV510" s="3">
        <v>25.29999511624743</v>
      </c>
      <c r="BW510" s="3">
        <v>23.633328449580773</v>
      </c>
      <c r="BX510" s="3">
        <v>20.453328449580766</v>
      </c>
      <c r="BY510" s="3">
        <v>20.77332844958076</v>
      </c>
      <c r="BZ510" s="3">
        <v>23.403328449580769</v>
      </c>
      <c r="CA510" s="3">
        <v>13.203328449580759</v>
      </c>
      <c r="CB510" s="3">
        <v>11.939995116247431</v>
      </c>
      <c r="CC510" s="3">
        <v>12.053328449580761</v>
      </c>
      <c r="CD510" s="3">
        <v>9.7599951162474383</v>
      </c>
      <c r="CE510" s="3">
        <v>9.5533284495807607</v>
      </c>
      <c r="CF510" s="3">
        <v>-0.93333821708590392</v>
      </c>
      <c r="CG510" s="3">
        <v>-1.4666715504192354</v>
      </c>
      <c r="CH510" s="3">
        <v>-2.5433382170859034</v>
      </c>
      <c r="CI510" s="13">
        <f>[1]!dbasum(RecData[[#This Row],[20]:[2000]],RecData[[#Headers],[20]:[2000]])</f>
        <v>39.286543318530335</v>
      </c>
      <c r="CJ510" s="14">
        <v>8248</v>
      </c>
      <c r="CK510" s="15" t="s">
        <v>249</v>
      </c>
      <c r="CL510" s="15">
        <f>RecData[[#This Row],[Start Time]]</f>
        <v>43270.049305555563</v>
      </c>
      <c r="CM510" s="16">
        <f>RecData[[#This Row],[Wind Speed avg]]</f>
        <v>1.25</v>
      </c>
      <c r="CN510" s="16">
        <f>RecData[[#This Row],[Wind Dir. avg]]</f>
        <v>178.6</v>
      </c>
      <c r="CO510" s="16">
        <f>RecData[[#This Row],[Amb. Humidity]]</f>
        <v>64.7</v>
      </c>
      <c r="CP510" s="16">
        <f>RecData[[#This Row],[Amb. Temperature]]</f>
        <v>16.3</v>
      </c>
      <c r="CQ510" s="17">
        <f>RecData[[#This Row],[Amb. Rain Gauge]]</f>
        <v>0</v>
      </c>
      <c r="CR510" s="4" t="s">
        <v>1</v>
      </c>
      <c r="CS510" s="4" t="s">
        <v>49</v>
      </c>
      <c r="CT510" s="70">
        <v>1594.17932128906</v>
      </c>
      <c r="CU510" s="70">
        <v>21.000177383422798</v>
      </c>
      <c r="CV510" s="70">
        <v>10.4400129318237</v>
      </c>
      <c r="CW510" s="70">
        <v>15.184266090393001</v>
      </c>
      <c r="CX510" s="4"/>
      <c r="CY510" s="69"/>
      <c r="CZ510" s="2" t="b">
        <f>IF($DP$1="YES",IF(RecData[[#This Row],[Power (kW)]]&gt;=$CR$3, TRUE,FALSE),TRUE)</f>
        <v>1</v>
      </c>
      <c r="DA510" s="16">
        <f>MIN(MOD(180-ABS(ABS($DA$1-RecData[Yaw Angle (°)])-180),360),MOD(180-ABS(ABS($DB$1-RecData[Yaw Angle (°)])-180),360))</f>
        <v>13.470250605735259</v>
      </c>
      <c r="DB510" s="2" t="str">
        <f>IF($DP$2="None","None",IF(RecData[[#This Row],[Relative Wind Direction]]&lt;=45,"DW",IF(RecData[[#This Row],[Relative Wind Direction]]&lt;=135,"CW","UW")))</f>
        <v>DW</v>
      </c>
      <c r="DC510" s="61">
        <f>IF($CL510-$CL507&gt;1/24,#REF!,IF(SUM($CQ507:$CQ510)&gt;$DS$1,$DS$5,DC511-1))</f>
        <v>-7</v>
      </c>
      <c r="DD510" s="61">
        <f>IF($CL511-$CL510&gt;1/24,#REF!,IF(SUM($CQ507:$CQ510)&gt;$DS$1,$DS$6,DD509-1))</f>
        <v>-4</v>
      </c>
      <c r="DE510" s="18" t="b">
        <v>0</v>
      </c>
      <c r="DF510" s="2" t="b">
        <f>IF(OR(RecData[[#This Row],[WSpd_Avg '[m/s']]]-RecData[[#This Row],[Wind Speed min]]&gt;=$DF$3,RecData[[#This Row],[Wind Speed max]]-RecData[[#This Row],[WSpd_Avg '[m/s']]]&gt;=$DF$2),TRUE,FALSE)</f>
        <v>0</v>
      </c>
      <c r="DG510" s="2" t="b">
        <f>RecData[[#This Row],[Temperature '[°C']]]&lt;=-20</f>
        <v>0</v>
      </c>
      <c r="DH510" s="18" t="b">
        <f>NOT(OR(MOD(RecData[[#This Row],[TIMESTAMP]],1)&gt;0.91632,MOD(RecData[[#This Row],[TIMESTAMP]],1)&lt;0.208681))</f>
        <v>0</v>
      </c>
      <c r="DI510" s="18" t="b">
        <f>RecData[[#This Row],[Overall (dBA)]]-RecData[[#This Row],[L90]]&gt;=$DS$4</f>
        <v>0</v>
      </c>
      <c r="DJ510" s="18" t="b">
        <f>RecData[[#This Row],[Overall (dBA)]]&gt;$DS$2</f>
        <v>0</v>
      </c>
      <c r="DK510" s="18" t="b">
        <f>RecData[[#This Row],[Overall (dBA)]]&lt;$DS$3</f>
        <v>0</v>
      </c>
      <c r="DL5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0" s="2">
        <f>IF(AND(RecData[[#This Row],[Turbines ON/OFF]] = "OFF", NOT(OR(RecData[[#This Row],[Junk?]]="YES",RecData[[#This Row],[Gust?]],RecData[[#This Row],[Rain?]:[Min SPL Threshold?]]))),1,0)</f>
        <v>0</v>
      </c>
      <c r="DN510" s="16">
        <f>RecData[[#This Row],[dBA Sum]]</f>
        <v>39.286543318530335</v>
      </c>
      <c r="DO510" s="16">
        <f>RecData[[#This Row],[LAF90.0]]</f>
        <v>38.299999999999997</v>
      </c>
      <c r="DP510" s="55">
        <f>IF(AND(RecData[[#This Row],[Useable TON Data?]],RecData[[#This Row],[Turbines ON/OFF]]="ON"),RecData[[#This Row],[dBA Sum]],"")</f>
        <v>39.286543318530335</v>
      </c>
      <c r="DQ510" s="55" t="str">
        <f>IF(AND(RecData[[#This Row],[Useable Background Data?]],RecData[[#This Row],[Turbines ON/OFF]]="OFF"),RecData[[#This Row],[dBA Sum]],"")</f>
        <v/>
      </c>
      <c r="DR510" s="3">
        <f>IF(OR(RecData[[#This Row],[Useable TON Data?]],RecData[[#This Row],[Useable Background Data?]]),ROUND(RecData[[#This Row],[WSpd_Avg '[m/s']]],0),"")</f>
        <v>1</v>
      </c>
      <c r="DS510" s="85">
        <f>(0.00002)^2*(10^(RecData[[#This Row],[Overall (dBA)]]/10))</f>
        <v>3.3940194218233089E-6</v>
      </c>
    </row>
    <row r="511" spans="1:123" ht="15" x14ac:dyDescent="0.25">
      <c r="A511" s="3" t="s">
        <v>249</v>
      </c>
      <c r="B511" s="12">
        <v>43270.05</v>
      </c>
      <c r="C511" s="3"/>
      <c r="D511" s="3">
        <v>40</v>
      </c>
      <c r="E511" s="3"/>
      <c r="F511" s="3"/>
      <c r="G511" s="3"/>
      <c r="H511" s="3"/>
      <c r="I511" s="3"/>
      <c r="J511" s="3"/>
      <c r="K511" s="3">
        <v>38.799999999999997</v>
      </c>
      <c r="L511" s="3"/>
      <c r="M511" s="3"/>
      <c r="N511" s="3">
        <v>192.2</v>
      </c>
      <c r="O511" s="3"/>
      <c r="P511" s="3"/>
      <c r="Q511" s="3">
        <v>0.94</v>
      </c>
      <c r="R511" s="3">
        <v>0.5</v>
      </c>
      <c r="S511" s="3">
        <v>1.7</v>
      </c>
      <c r="T511" s="3">
        <v>16.2</v>
      </c>
      <c r="U511" s="3">
        <v>65.099999999999994</v>
      </c>
      <c r="V511" s="3">
        <v>972.8</v>
      </c>
      <c r="W511" s="3">
        <v>0</v>
      </c>
      <c r="X511" s="3">
        <v>48.1</v>
      </c>
      <c r="Y511" s="3">
        <v>47.7</v>
      </c>
      <c r="Z511" s="3">
        <v>47.1</v>
      </c>
      <c r="AA511" s="3">
        <v>42.9</v>
      </c>
      <c r="AB511" s="3">
        <v>38.299999999999997</v>
      </c>
      <c r="AC511" s="3">
        <v>36.9</v>
      </c>
      <c r="AD511" s="3">
        <v>40.6</v>
      </c>
      <c r="AE511" s="3">
        <v>42.8</v>
      </c>
      <c r="AF511" s="3">
        <v>46.1</v>
      </c>
      <c r="AG511" s="3">
        <v>38.299999999999997</v>
      </c>
      <c r="AH511" s="3">
        <v>38.200000000000003</v>
      </c>
      <c r="AI511" s="3">
        <v>37.6</v>
      </c>
      <c r="AJ511" s="3">
        <v>36.700000000000003</v>
      </c>
      <c r="AK511" s="3">
        <v>34.6</v>
      </c>
      <c r="AL511" s="3">
        <v>32.799999999999997</v>
      </c>
      <c r="AM511" s="3">
        <v>32.700000000000003</v>
      </c>
      <c r="AN511" s="3">
        <v>31.3</v>
      </c>
      <c r="AO511" s="3">
        <v>28.1</v>
      </c>
      <c r="AP511" s="3">
        <v>25.8</v>
      </c>
      <c r="AQ511" s="3">
        <v>23.5</v>
      </c>
      <c r="AR511" s="3">
        <v>20.100000000000001</v>
      </c>
      <c r="AS511" s="3">
        <v>19.3</v>
      </c>
      <c r="AT511" s="3">
        <v>23.4</v>
      </c>
      <c r="AU511" s="3">
        <v>10.9</v>
      </c>
      <c r="AV511" s="3">
        <v>10.1</v>
      </c>
      <c r="AW511" s="3">
        <v>10.1</v>
      </c>
      <c r="AX511" s="3">
        <v>9.5</v>
      </c>
      <c r="AY511" s="3">
        <v>9.6</v>
      </c>
      <c r="AZ511" s="3">
        <v>0</v>
      </c>
      <c r="BA511" s="3">
        <v>0</v>
      </c>
      <c r="BB511" s="3">
        <v>0</v>
      </c>
      <c r="BC511" s="3">
        <v>40.03985681505285</v>
      </c>
      <c r="BD511" s="3">
        <v>48.060143184947144</v>
      </c>
      <c r="BE511" s="3">
        <v>47.660143184947152</v>
      </c>
      <c r="BF511" s="3">
        <v>45.820143184947149</v>
      </c>
      <c r="BG511" s="3">
        <v>41.946809851613814</v>
      </c>
      <c r="BH511" s="3">
        <v>37.48680985161382</v>
      </c>
      <c r="BI511" s="3">
        <v>36.500143184947142</v>
      </c>
      <c r="BJ511" s="3">
        <v>40.993476518280481</v>
      </c>
      <c r="BK511" s="3">
        <v>43.066809851613804</v>
      </c>
      <c r="BL511" s="3">
        <v>45.940143184947154</v>
      </c>
      <c r="BM511" s="3">
        <v>38.273476518280482</v>
      </c>
      <c r="BN511" s="3">
        <v>38.456809851613819</v>
      </c>
      <c r="BO511" s="3">
        <v>37.223476518280485</v>
      </c>
      <c r="BP511" s="3">
        <v>36.040143184947162</v>
      </c>
      <c r="BQ511" s="3">
        <v>34.356809851613811</v>
      </c>
      <c r="BR511" s="3">
        <v>32.883476518280482</v>
      </c>
      <c r="BS511" s="3">
        <v>32.586809851613815</v>
      </c>
      <c r="BT511" s="3">
        <v>31.383476518280482</v>
      </c>
      <c r="BU511" s="3">
        <v>28.150143184947147</v>
      </c>
      <c r="BV511" s="3">
        <v>25.566809851613819</v>
      </c>
      <c r="BW511" s="3">
        <v>23.800143184947153</v>
      </c>
      <c r="BX511" s="3">
        <v>20.320143184947156</v>
      </c>
      <c r="BY511" s="3">
        <v>19.340143184947145</v>
      </c>
      <c r="BZ511" s="3">
        <v>23.570143184947149</v>
      </c>
      <c r="CA511" s="3">
        <v>11.170143184947143</v>
      </c>
      <c r="CB511" s="3">
        <v>9.8068098516138136</v>
      </c>
      <c r="CC511" s="3">
        <v>10.020143184947152</v>
      </c>
      <c r="CD511" s="3">
        <v>8.7268098516138224</v>
      </c>
      <c r="CE511" s="3">
        <v>9.0201431849471518</v>
      </c>
      <c r="CF511" s="3">
        <v>-0.96652348171951985</v>
      </c>
      <c r="CG511" s="3">
        <v>-1.4998568150528513</v>
      </c>
      <c r="CH511" s="3">
        <v>-2.5765234817195193</v>
      </c>
      <c r="CI511" s="13">
        <f>[1]!dbasum(RecData[[#This Row],[20]:[2000]],RecData[[#Headers],[20]:[2000]])</f>
        <v>39.737541546794105</v>
      </c>
      <c r="CJ511" s="14">
        <v>8249</v>
      </c>
      <c r="CK511" s="15" t="s">
        <v>249</v>
      </c>
      <c r="CL511" s="15">
        <f>RecData[[#This Row],[Start Time]]</f>
        <v>43270.05</v>
      </c>
      <c r="CM511" s="16">
        <f>RecData[[#This Row],[Wind Speed avg]]</f>
        <v>0.94</v>
      </c>
      <c r="CN511" s="16">
        <f>RecData[[#This Row],[Wind Dir. avg]]</f>
        <v>192.2</v>
      </c>
      <c r="CO511" s="16">
        <f>RecData[[#This Row],[Amb. Humidity]]</f>
        <v>65.099999999999994</v>
      </c>
      <c r="CP511" s="16">
        <f>RecData[[#This Row],[Amb. Temperature]]</f>
        <v>16.2</v>
      </c>
      <c r="CQ511" s="17">
        <f>RecData[[#This Row],[Amb. Rain Gauge]]</f>
        <v>0</v>
      </c>
      <c r="CR511" s="4" t="s">
        <v>1</v>
      </c>
      <c r="CS511" s="4" t="s">
        <v>49</v>
      </c>
      <c r="CT511" s="70">
        <v>1594.17932128906</v>
      </c>
      <c r="CU511" s="70">
        <v>21.000177383422798</v>
      </c>
      <c r="CV511" s="70">
        <v>10.4400129318237</v>
      </c>
      <c r="CW511" s="70">
        <v>15.184266090393001</v>
      </c>
      <c r="CX511" s="4"/>
      <c r="CY511" s="69"/>
      <c r="CZ511" s="2" t="b">
        <f>IF($DP$1="YES",IF(RecData[[#This Row],[Power (kW)]]&gt;=$CR$3, TRUE,FALSE),TRUE)</f>
        <v>1</v>
      </c>
      <c r="DA511" s="16">
        <f>MIN(MOD(180-ABS(ABS($DA$1-RecData[Yaw Angle (°)])-180),360),MOD(180-ABS(ABS($DB$1-RecData[Yaw Angle (°)])-180),360))</f>
        <v>13.470250605735259</v>
      </c>
      <c r="DB511" s="2" t="str">
        <f>IF($DP$2="None","None",IF(RecData[[#This Row],[Relative Wind Direction]]&lt;=45,"DW",IF(RecData[[#This Row],[Relative Wind Direction]]&lt;=135,"CW","UW")))</f>
        <v>DW</v>
      </c>
      <c r="DC511" s="61">
        <f>IF($CL511-$CL507&gt;1/24,#REF!,IF(SUM($CQ507:$CQ511)&gt;$DS$1,$DS$5,DC512-1))</f>
        <v>-6</v>
      </c>
      <c r="DD511" s="61">
        <f>IF($CL512-$CL511&gt;1/24,#REF!,IF(SUM($CQ507:$CQ511)&gt;$DS$1,$DS$6,DD510-1))</f>
        <v>-5</v>
      </c>
      <c r="DE511" s="18" t="b">
        <v>0</v>
      </c>
      <c r="DF511" s="2" t="b">
        <f>IF(OR(RecData[[#This Row],[WSpd_Avg '[m/s']]]-RecData[[#This Row],[Wind Speed min]]&gt;=$DF$3,RecData[[#This Row],[Wind Speed max]]-RecData[[#This Row],[WSpd_Avg '[m/s']]]&gt;=$DF$2),TRUE,FALSE)</f>
        <v>0</v>
      </c>
      <c r="DG511" s="2" t="b">
        <f>RecData[[#This Row],[Temperature '[°C']]]&lt;=-20</f>
        <v>0</v>
      </c>
      <c r="DH511" s="18" t="b">
        <f>NOT(OR(MOD(RecData[[#This Row],[TIMESTAMP]],1)&gt;0.91632,MOD(RecData[[#This Row],[TIMESTAMP]],1)&lt;0.208681))</f>
        <v>0</v>
      </c>
      <c r="DI511" s="18" t="b">
        <f>RecData[[#This Row],[Overall (dBA)]]-RecData[[#This Row],[L90]]&gt;=$DS$4</f>
        <v>0</v>
      </c>
      <c r="DJ511" s="18" t="b">
        <f>RecData[[#This Row],[Overall (dBA)]]&gt;$DS$2</f>
        <v>0</v>
      </c>
      <c r="DK511" s="18" t="b">
        <f>RecData[[#This Row],[Overall (dBA)]]&lt;$DS$3</f>
        <v>0</v>
      </c>
      <c r="DL5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1" s="2">
        <f>IF(AND(RecData[[#This Row],[Turbines ON/OFF]] = "OFF", NOT(OR(RecData[[#This Row],[Junk?]]="YES",RecData[[#This Row],[Gust?]],RecData[[#This Row],[Rain?]:[Min SPL Threshold?]]))),1,0)</f>
        <v>0</v>
      </c>
      <c r="DN511" s="16">
        <f>RecData[[#This Row],[dBA Sum]]</f>
        <v>39.737541546794105</v>
      </c>
      <c r="DO511" s="16">
        <f>RecData[[#This Row],[LAF90.0]]</f>
        <v>38.799999999999997</v>
      </c>
      <c r="DP511" s="55">
        <f>IF(AND(RecData[[#This Row],[Useable TON Data?]],RecData[[#This Row],[Turbines ON/OFF]]="ON"),RecData[[#This Row],[dBA Sum]],"")</f>
        <v>39.737541546794105</v>
      </c>
      <c r="DQ511" s="55" t="str">
        <f>IF(AND(RecData[[#This Row],[Useable Background Data?]],RecData[[#This Row],[Turbines ON/OFF]]="OFF"),RecData[[#This Row],[dBA Sum]],"")</f>
        <v/>
      </c>
      <c r="DR511" s="3">
        <f>IF(OR(RecData[[#This Row],[Useable TON Data?]],RecData[[#This Row],[Useable Background Data?]]),ROUND(RecData[[#This Row],[WSpd_Avg '[m/s']]],0),"")</f>
        <v>1</v>
      </c>
      <c r="DS511" s="85">
        <f>(0.00002)^2*(10^(RecData[[#This Row],[Overall (dBA)]]/10))</f>
        <v>3.7654262510415063E-6</v>
      </c>
    </row>
    <row r="512" spans="1:123" ht="15" x14ac:dyDescent="0.25">
      <c r="A512" s="3" t="s">
        <v>249</v>
      </c>
      <c r="B512" s="12">
        <v>43270.05069444445</v>
      </c>
      <c r="C512" s="3"/>
      <c r="D512" s="3">
        <v>39.4</v>
      </c>
      <c r="E512" s="3"/>
      <c r="F512" s="3"/>
      <c r="G512" s="3"/>
      <c r="H512" s="3"/>
      <c r="I512" s="3"/>
      <c r="J512" s="3"/>
      <c r="K512" s="3">
        <v>38.200000000000003</v>
      </c>
      <c r="L512" s="3"/>
      <c r="M512" s="3"/>
      <c r="N512" s="3">
        <v>200.1</v>
      </c>
      <c r="O512" s="3"/>
      <c r="P512" s="3"/>
      <c r="Q512" s="3">
        <v>0.56999999999999995</v>
      </c>
      <c r="R512" s="3">
        <v>0.1</v>
      </c>
      <c r="S512" s="3">
        <v>1</v>
      </c>
      <c r="T512" s="3">
        <v>16.2</v>
      </c>
      <c r="U512" s="3">
        <v>65.2</v>
      </c>
      <c r="V512" s="3">
        <v>972.8</v>
      </c>
      <c r="W512" s="3">
        <v>0</v>
      </c>
      <c r="X512" s="3">
        <v>47.7</v>
      </c>
      <c r="Y512" s="3">
        <v>47.4</v>
      </c>
      <c r="Z512" s="3">
        <v>46.4</v>
      </c>
      <c r="AA512" s="3">
        <v>42.1</v>
      </c>
      <c r="AB512" s="3">
        <v>36.9</v>
      </c>
      <c r="AC512" s="3">
        <v>35.799999999999997</v>
      </c>
      <c r="AD512" s="3">
        <v>39.299999999999997</v>
      </c>
      <c r="AE512" s="3">
        <v>41.4</v>
      </c>
      <c r="AF512" s="3">
        <v>44.4</v>
      </c>
      <c r="AG512" s="3">
        <v>38.4</v>
      </c>
      <c r="AH512" s="3">
        <v>37.6</v>
      </c>
      <c r="AI512" s="3">
        <v>37.200000000000003</v>
      </c>
      <c r="AJ512" s="3">
        <v>36.200000000000003</v>
      </c>
      <c r="AK512" s="3">
        <v>34.299999999999997</v>
      </c>
      <c r="AL512" s="3">
        <v>32.299999999999997</v>
      </c>
      <c r="AM512" s="3">
        <v>32.1</v>
      </c>
      <c r="AN512" s="3">
        <v>30.8</v>
      </c>
      <c r="AO512" s="3">
        <v>27.6</v>
      </c>
      <c r="AP512" s="3">
        <v>25.1</v>
      </c>
      <c r="AQ512" s="3">
        <v>23.1</v>
      </c>
      <c r="AR512" s="3">
        <v>19.899999999999999</v>
      </c>
      <c r="AS512" s="3">
        <v>17.7</v>
      </c>
      <c r="AT512" s="3">
        <v>22.2</v>
      </c>
      <c r="AU512" s="3">
        <v>11.5</v>
      </c>
      <c r="AV512" s="3">
        <v>10.5</v>
      </c>
      <c r="AW512" s="3">
        <v>10.4</v>
      </c>
      <c r="AX512" s="3">
        <v>9.6</v>
      </c>
      <c r="AY512" s="3">
        <v>9.6</v>
      </c>
      <c r="AZ512" s="3">
        <v>0</v>
      </c>
      <c r="BA512" s="3">
        <v>0</v>
      </c>
      <c r="BB512" s="3">
        <v>0</v>
      </c>
      <c r="BC512" s="3">
        <v>39.415951492438651</v>
      </c>
      <c r="BD512" s="3">
        <v>47.684048507561343</v>
      </c>
      <c r="BE512" s="3">
        <v>47.384048507561346</v>
      </c>
      <c r="BF512" s="3">
        <v>45.144048507561351</v>
      </c>
      <c r="BG512" s="3">
        <v>41.170715174228022</v>
      </c>
      <c r="BH512" s="3">
        <v>36.110715174228019</v>
      </c>
      <c r="BI512" s="3">
        <v>35.424048507561352</v>
      </c>
      <c r="BJ512" s="3">
        <v>39.717381840894674</v>
      </c>
      <c r="BK512" s="3">
        <v>41.690715174228004</v>
      </c>
      <c r="BL512" s="3">
        <v>44.264048507561355</v>
      </c>
      <c r="BM512" s="3">
        <v>38.397381840894681</v>
      </c>
      <c r="BN512" s="3">
        <v>37.880715174228015</v>
      </c>
      <c r="BO512" s="3">
        <v>36.847381840894684</v>
      </c>
      <c r="BP512" s="3">
        <v>35.564048507561353</v>
      </c>
      <c r="BQ512" s="3">
        <v>34.080715174228004</v>
      </c>
      <c r="BR512" s="3">
        <v>32.407381840894672</v>
      </c>
      <c r="BS512" s="3">
        <v>32.010715174228025</v>
      </c>
      <c r="BT512" s="3">
        <v>30.907381840894686</v>
      </c>
      <c r="BU512" s="3">
        <v>27.674048507561352</v>
      </c>
      <c r="BV512" s="3">
        <v>24.890715174228021</v>
      </c>
      <c r="BW512" s="3">
        <v>23.424048507561352</v>
      </c>
      <c r="BX512" s="3">
        <v>20.144048507561351</v>
      </c>
      <c r="BY512" s="3">
        <v>17.764048507561341</v>
      </c>
      <c r="BZ512" s="3">
        <v>22.394048507561351</v>
      </c>
      <c r="CA512" s="3">
        <v>11.794048507561342</v>
      </c>
      <c r="CB512" s="3">
        <v>10.23071517422801</v>
      </c>
      <c r="CC512" s="3">
        <v>10.344048507561347</v>
      </c>
      <c r="CD512" s="3">
        <v>8.8507151742280143</v>
      </c>
      <c r="CE512" s="3">
        <v>9.0440485075613424</v>
      </c>
      <c r="CF512" s="3">
        <v>-0.94261815910532221</v>
      </c>
      <c r="CG512" s="3">
        <v>-1.4759514924386536</v>
      </c>
      <c r="CH512" s="3">
        <v>-2.5526181591053216</v>
      </c>
      <c r="CI512" s="13">
        <f>[1]!dbasum(RecData[[#This Row],[20]:[2000]],RecData[[#Headers],[20]:[2000]])</f>
        <v>39.15718126648563</v>
      </c>
      <c r="CJ512" s="14">
        <v>8250</v>
      </c>
      <c r="CK512" s="15" t="s">
        <v>249</v>
      </c>
      <c r="CL512" s="15">
        <f>RecData[[#This Row],[Start Time]]</f>
        <v>43270.05069444445</v>
      </c>
      <c r="CM512" s="16">
        <f>RecData[[#This Row],[Wind Speed avg]]</f>
        <v>0.56999999999999995</v>
      </c>
      <c r="CN512" s="16">
        <f>RecData[[#This Row],[Wind Dir. avg]]</f>
        <v>200.1</v>
      </c>
      <c r="CO512" s="16">
        <f>RecData[[#This Row],[Amb. Humidity]]</f>
        <v>65.2</v>
      </c>
      <c r="CP512" s="16">
        <f>RecData[[#This Row],[Amb. Temperature]]</f>
        <v>16.2</v>
      </c>
      <c r="CQ512" s="17">
        <f>RecData[[#This Row],[Amb. Rain Gauge]]</f>
        <v>0</v>
      </c>
      <c r="CR512" s="4" t="s">
        <v>1</v>
      </c>
      <c r="CS512" s="4" t="s">
        <v>49</v>
      </c>
      <c r="CT512" s="70">
        <v>1594.17932128906</v>
      </c>
      <c r="CU512" s="70">
        <v>21.000177383422798</v>
      </c>
      <c r="CV512" s="70">
        <v>10.4400129318237</v>
      </c>
      <c r="CW512" s="70">
        <v>15.184266090393001</v>
      </c>
      <c r="CX512" s="4"/>
      <c r="CY512" s="69"/>
      <c r="CZ512" s="2" t="b">
        <f>IF($DP$1="YES",IF(RecData[[#This Row],[Power (kW)]]&gt;=$CR$3, TRUE,FALSE),TRUE)</f>
        <v>1</v>
      </c>
      <c r="DA512" s="16">
        <f>MIN(MOD(180-ABS(ABS($DA$1-RecData[Yaw Angle (°)])-180),360),MOD(180-ABS(ABS($DB$1-RecData[Yaw Angle (°)])-180),360))</f>
        <v>13.470250605735259</v>
      </c>
      <c r="DB512" s="2" t="str">
        <f>IF($DP$2="None","None",IF(RecData[[#This Row],[Relative Wind Direction]]&lt;=45,"DW",IF(RecData[[#This Row],[Relative Wind Direction]]&lt;=135,"CW","UW")))</f>
        <v>DW</v>
      </c>
      <c r="DC512" s="61">
        <f>IF($CL512-$CL508&gt;1/24,#REF!,IF(SUM($CQ508:$CQ512)&gt;$DS$1,$DS$5,DC513-1))</f>
        <v>-5</v>
      </c>
      <c r="DD512" s="61">
        <f>IF($CL513-$CL512&gt;1/24,#REF!,IF(SUM($CQ508:$CQ512)&gt;$DS$1,$DS$6,DD511-1))</f>
        <v>-6</v>
      </c>
      <c r="DE512" s="18" t="b">
        <v>0</v>
      </c>
      <c r="DF512" s="2" t="b">
        <f>IF(OR(RecData[[#This Row],[WSpd_Avg '[m/s']]]-RecData[[#This Row],[Wind Speed min]]&gt;=$DF$3,RecData[[#This Row],[Wind Speed max]]-RecData[[#This Row],[WSpd_Avg '[m/s']]]&gt;=$DF$2),TRUE,FALSE)</f>
        <v>0</v>
      </c>
      <c r="DG512" s="2" t="b">
        <f>RecData[[#This Row],[Temperature '[°C']]]&lt;=-20</f>
        <v>0</v>
      </c>
      <c r="DH512" s="18" t="b">
        <f>NOT(OR(MOD(RecData[[#This Row],[TIMESTAMP]],1)&gt;0.91632,MOD(RecData[[#This Row],[TIMESTAMP]],1)&lt;0.208681))</f>
        <v>0</v>
      </c>
      <c r="DI512" s="18" t="b">
        <f>RecData[[#This Row],[Overall (dBA)]]-RecData[[#This Row],[L90]]&gt;=$DS$4</f>
        <v>0</v>
      </c>
      <c r="DJ512" s="18" t="b">
        <f>RecData[[#This Row],[Overall (dBA)]]&gt;$DS$2</f>
        <v>0</v>
      </c>
      <c r="DK512" s="18" t="b">
        <f>RecData[[#This Row],[Overall (dBA)]]&lt;$DS$3</f>
        <v>0</v>
      </c>
      <c r="DL5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2" s="2">
        <f>IF(AND(RecData[[#This Row],[Turbines ON/OFF]] = "OFF", NOT(OR(RecData[[#This Row],[Junk?]]="YES",RecData[[#This Row],[Gust?]],RecData[[#This Row],[Rain?]:[Min SPL Threshold?]]))),1,0)</f>
        <v>0</v>
      </c>
      <c r="DN512" s="16">
        <f>RecData[[#This Row],[dBA Sum]]</f>
        <v>39.15718126648563</v>
      </c>
      <c r="DO512" s="16">
        <f>RecData[[#This Row],[LAF90.0]]</f>
        <v>38.200000000000003</v>
      </c>
      <c r="DP512" s="55">
        <f>IF(AND(RecData[[#This Row],[Useable TON Data?]],RecData[[#This Row],[Turbines ON/OFF]]="ON"),RecData[[#This Row],[dBA Sum]],"")</f>
        <v>39.15718126648563</v>
      </c>
      <c r="DQ512" s="55" t="str">
        <f>IF(AND(RecData[[#This Row],[Useable Background Data?]],RecData[[#This Row],[Turbines ON/OFF]]="OFF"),RecData[[#This Row],[dBA Sum]],"")</f>
        <v/>
      </c>
      <c r="DR512" s="3">
        <f>IF(OR(RecData[[#This Row],[Useable TON Data?]],RecData[[#This Row],[Useable Background Data?]]),ROUND(RecData[[#This Row],[WSpd_Avg '[m/s']]],0),"")</f>
        <v>1</v>
      </c>
      <c r="DS512" s="85">
        <f>(0.00002)^2*(10^(RecData[[#This Row],[Overall (dBA)]]/10))</f>
        <v>3.2944135684751358E-6</v>
      </c>
    </row>
    <row r="513" spans="1:123" ht="15" x14ac:dyDescent="0.25">
      <c r="A513" s="3" t="s">
        <v>249</v>
      </c>
      <c r="B513" s="12">
        <v>43270.051388888896</v>
      </c>
      <c r="C513" s="3"/>
      <c r="D513" s="3">
        <v>38.9</v>
      </c>
      <c r="E513" s="3"/>
      <c r="F513" s="3"/>
      <c r="G513" s="3"/>
      <c r="H513" s="3"/>
      <c r="I513" s="3"/>
      <c r="J513" s="3"/>
      <c r="K513" s="3">
        <v>37.299999999999997</v>
      </c>
      <c r="L513" s="3"/>
      <c r="M513" s="3"/>
      <c r="N513" s="3">
        <v>151.19999999999999</v>
      </c>
      <c r="O513" s="3"/>
      <c r="P513" s="3"/>
      <c r="Q513" s="3">
        <v>0.45</v>
      </c>
      <c r="R513" s="3">
        <v>0</v>
      </c>
      <c r="S513" s="3">
        <v>1</v>
      </c>
      <c r="T513" s="3">
        <v>16.100000000000001</v>
      </c>
      <c r="U513" s="3">
        <v>65.599999999999994</v>
      </c>
      <c r="V513" s="3">
        <v>972.8</v>
      </c>
      <c r="W513" s="3">
        <v>0</v>
      </c>
      <c r="X513" s="3">
        <v>47.6</v>
      </c>
      <c r="Y513" s="3">
        <v>47.7</v>
      </c>
      <c r="Z513" s="3">
        <v>46.8</v>
      </c>
      <c r="AA513" s="3">
        <v>42.2</v>
      </c>
      <c r="AB513" s="3">
        <v>37.700000000000003</v>
      </c>
      <c r="AC513" s="3">
        <v>36.299999999999997</v>
      </c>
      <c r="AD513" s="3">
        <v>38.700000000000003</v>
      </c>
      <c r="AE513" s="3">
        <v>41</v>
      </c>
      <c r="AF513" s="3">
        <v>44.7</v>
      </c>
      <c r="AG513" s="3">
        <v>37.299999999999997</v>
      </c>
      <c r="AH513" s="3">
        <v>36.5</v>
      </c>
      <c r="AI513" s="3">
        <v>36.4</v>
      </c>
      <c r="AJ513" s="3">
        <v>35.4</v>
      </c>
      <c r="AK513" s="3">
        <v>33.6</v>
      </c>
      <c r="AL513" s="3">
        <v>31.9</v>
      </c>
      <c r="AM513" s="3">
        <v>31.6</v>
      </c>
      <c r="AN513" s="3">
        <v>30.1</v>
      </c>
      <c r="AO513" s="3">
        <v>27</v>
      </c>
      <c r="AP513" s="3">
        <v>24.9</v>
      </c>
      <c r="AQ513" s="3">
        <v>22.7</v>
      </c>
      <c r="AR513" s="3">
        <v>19.7</v>
      </c>
      <c r="AS513" s="3">
        <v>19.5</v>
      </c>
      <c r="AT513" s="3">
        <v>22.8</v>
      </c>
      <c r="AU513" s="3">
        <v>12.4</v>
      </c>
      <c r="AV513" s="3">
        <v>11.5</v>
      </c>
      <c r="AW513" s="3">
        <v>11.1</v>
      </c>
      <c r="AX513" s="3">
        <v>9.9</v>
      </c>
      <c r="AY513" s="3">
        <v>9.8000000000000007</v>
      </c>
      <c r="AZ513" s="3">
        <v>0</v>
      </c>
      <c r="BA513" s="3">
        <v>0</v>
      </c>
      <c r="BB513" s="3">
        <v>0</v>
      </c>
      <c r="BC513" s="3">
        <v>38.930626007024934</v>
      </c>
      <c r="BD513" s="3">
        <v>47.569373992975066</v>
      </c>
      <c r="BE513" s="3">
        <v>47.669373992975061</v>
      </c>
      <c r="BF513" s="3">
        <v>45.52937399297506</v>
      </c>
      <c r="BG513" s="3">
        <v>41.256040659641734</v>
      </c>
      <c r="BH513" s="3">
        <v>36.896040659641734</v>
      </c>
      <c r="BI513" s="3">
        <v>35.90937399297507</v>
      </c>
      <c r="BJ513" s="3">
        <v>39.102707326308398</v>
      </c>
      <c r="BK513" s="3">
        <v>41.27604065964173</v>
      </c>
      <c r="BL513" s="3">
        <v>44.54937399297507</v>
      </c>
      <c r="BM513" s="3">
        <v>37.282707326308405</v>
      </c>
      <c r="BN513" s="3">
        <v>36.766040659641725</v>
      </c>
      <c r="BO513" s="3">
        <v>36.032707326308405</v>
      </c>
      <c r="BP513" s="3">
        <v>34.749373992975073</v>
      </c>
      <c r="BQ513" s="3">
        <v>33.366040659641719</v>
      </c>
      <c r="BR513" s="3">
        <v>31.992707326308398</v>
      </c>
      <c r="BS513" s="3">
        <v>31.496040659641729</v>
      </c>
      <c r="BT513" s="3">
        <v>30.192707326308401</v>
      </c>
      <c r="BU513" s="3">
        <v>27.059373992975075</v>
      </c>
      <c r="BV513" s="3">
        <v>24.676040659641735</v>
      </c>
      <c r="BW513" s="3">
        <v>23.009373992975064</v>
      </c>
      <c r="BX513" s="3">
        <v>19.929373992975066</v>
      </c>
      <c r="BY513" s="3">
        <v>19.549373992975063</v>
      </c>
      <c r="BZ513" s="3">
        <v>22.97937399297507</v>
      </c>
      <c r="CA513" s="3">
        <v>12.679373992975059</v>
      </c>
      <c r="CB513" s="3">
        <v>11.216040659641727</v>
      </c>
      <c r="CC513" s="3">
        <v>11.02937399297506</v>
      </c>
      <c r="CD513" s="3">
        <v>9.1360406596417363</v>
      </c>
      <c r="CE513" s="3">
        <v>9.2293739929750629</v>
      </c>
      <c r="CF513" s="3">
        <v>-0.95729267369160453</v>
      </c>
      <c r="CG513" s="3">
        <v>-1.490626007024936</v>
      </c>
      <c r="CH513" s="3">
        <v>-2.567292673691604</v>
      </c>
      <c r="CI513" s="13">
        <f>[1]!dbasum(RecData[[#This Row],[20]:[2000]],RecData[[#Headers],[20]:[2000]])</f>
        <v>38.588217304746081</v>
      </c>
      <c r="CJ513" s="14">
        <v>8251</v>
      </c>
      <c r="CK513" s="15" t="s">
        <v>249</v>
      </c>
      <c r="CL513" s="15">
        <f>RecData[[#This Row],[Start Time]]</f>
        <v>43270.051388888896</v>
      </c>
      <c r="CM513" s="16">
        <f>RecData[[#This Row],[Wind Speed avg]]</f>
        <v>0.45</v>
      </c>
      <c r="CN513" s="16">
        <f>RecData[[#This Row],[Wind Dir. avg]]</f>
        <v>151.19999999999999</v>
      </c>
      <c r="CO513" s="16">
        <f>RecData[[#This Row],[Amb. Humidity]]</f>
        <v>65.599999999999994</v>
      </c>
      <c r="CP513" s="16">
        <f>RecData[[#This Row],[Amb. Temperature]]</f>
        <v>16.100000000000001</v>
      </c>
      <c r="CQ513" s="17">
        <f>RecData[[#This Row],[Amb. Rain Gauge]]</f>
        <v>0</v>
      </c>
      <c r="CR513" s="4" t="s">
        <v>1</v>
      </c>
      <c r="CS513" s="4" t="s">
        <v>49</v>
      </c>
      <c r="CT513" s="70">
        <v>1594.17932128906</v>
      </c>
      <c r="CU513" s="70">
        <v>21.000177383422798</v>
      </c>
      <c r="CV513" s="70">
        <v>10.4400129318237</v>
      </c>
      <c r="CW513" s="70">
        <v>15.184266090393001</v>
      </c>
      <c r="CX513" s="4"/>
      <c r="CY513" s="69"/>
      <c r="CZ513" s="2" t="b">
        <f>IF($DP$1="YES",IF(RecData[[#This Row],[Power (kW)]]&gt;=$CR$3, TRUE,FALSE),TRUE)</f>
        <v>1</v>
      </c>
      <c r="DA513" s="16">
        <f>MIN(MOD(180-ABS(ABS($DA$1-RecData[Yaw Angle (°)])-180),360),MOD(180-ABS(ABS($DB$1-RecData[Yaw Angle (°)])-180),360))</f>
        <v>13.470250605735259</v>
      </c>
      <c r="DB513" s="2" t="str">
        <f>IF($DP$2="None","None",IF(RecData[[#This Row],[Relative Wind Direction]]&lt;=45,"DW",IF(RecData[[#This Row],[Relative Wind Direction]]&lt;=135,"CW","UW")))</f>
        <v>DW</v>
      </c>
      <c r="DC513" s="61">
        <f>IF($CL513-$CL509&gt;1/24,#REF!,IF(SUM($CQ509:$CQ513)&gt;$DS$1,$DS$5,DC514-1))</f>
        <v>-4</v>
      </c>
      <c r="DD513" s="61">
        <f>IF($CL514-$CL513&gt;1/24,#REF!,IF(SUM($CQ509:$CQ513)&gt;$DS$1,$DS$6,DD512-1))</f>
        <v>-7</v>
      </c>
      <c r="DE513" s="18" t="b">
        <v>0</v>
      </c>
      <c r="DF513" s="2" t="b">
        <f>IF(OR(RecData[[#This Row],[WSpd_Avg '[m/s']]]-RecData[[#This Row],[Wind Speed min]]&gt;=$DF$3,RecData[[#This Row],[Wind Speed max]]-RecData[[#This Row],[WSpd_Avg '[m/s']]]&gt;=$DF$2),TRUE,FALSE)</f>
        <v>0</v>
      </c>
      <c r="DG513" s="2" t="b">
        <f>RecData[[#This Row],[Temperature '[°C']]]&lt;=-20</f>
        <v>0</v>
      </c>
      <c r="DH513" s="18" t="b">
        <f>NOT(OR(MOD(RecData[[#This Row],[TIMESTAMP]],1)&gt;0.91632,MOD(RecData[[#This Row],[TIMESTAMP]],1)&lt;0.208681))</f>
        <v>0</v>
      </c>
      <c r="DI513" s="18" t="b">
        <f>RecData[[#This Row],[Overall (dBA)]]-RecData[[#This Row],[L90]]&gt;=$DS$4</f>
        <v>0</v>
      </c>
      <c r="DJ513" s="18" t="b">
        <f>RecData[[#This Row],[Overall (dBA)]]&gt;$DS$2</f>
        <v>0</v>
      </c>
      <c r="DK513" s="18" t="b">
        <f>RecData[[#This Row],[Overall (dBA)]]&lt;$DS$3</f>
        <v>0</v>
      </c>
      <c r="DL5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3" s="2">
        <f>IF(AND(RecData[[#This Row],[Turbines ON/OFF]] = "OFF", NOT(OR(RecData[[#This Row],[Junk?]]="YES",RecData[[#This Row],[Gust?]],RecData[[#This Row],[Rain?]:[Min SPL Threshold?]]))),1,0)</f>
        <v>0</v>
      </c>
      <c r="DN513" s="16">
        <f>RecData[[#This Row],[dBA Sum]]</f>
        <v>38.588217304746081</v>
      </c>
      <c r="DO513" s="16">
        <f>RecData[[#This Row],[LAF90.0]]</f>
        <v>37.299999999999997</v>
      </c>
      <c r="DP513" s="55">
        <f>IF(AND(RecData[[#This Row],[Useable TON Data?]],RecData[[#This Row],[Turbines ON/OFF]]="ON"),RecData[[#This Row],[dBA Sum]],"")</f>
        <v>38.588217304746081</v>
      </c>
      <c r="DQ513" s="55" t="str">
        <f>IF(AND(RecData[[#This Row],[Useable Background Data?]],RecData[[#This Row],[Turbines ON/OFF]]="OFF"),RecData[[#This Row],[dBA Sum]],"")</f>
        <v/>
      </c>
      <c r="DR513" s="3">
        <f>IF(OR(RecData[[#This Row],[Useable TON Data?]],RecData[[#This Row],[Useable Background Data?]]),ROUND(RecData[[#This Row],[WSpd_Avg '[m/s']]],0),"")</f>
        <v>0</v>
      </c>
      <c r="DS513" s="85">
        <f>(0.00002)^2*(10^(RecData[[#This Row],[Overall (dBA)]]/10))</f>
        <v>2.8898927255715946E-6</v>
      </c>
    </row>
    <row r="514" spans="1:123" ht="15" x14ac:dyDescent="0.25">
      <c r="A514" s="3" t="s">
        <v>249</v>
      </c>
      <c r="B514" s="12">
        <v>43270.052083333336</v>
      </c>
      <c r="C514" s="3"/>
      <c r="D514" s="3">
        <v>38.9</v>
      </c>
      <c r="E514" s="3"/>
      <c r="F514" s="3"/>
      <c r="G514" s="3"/>
      <c r="H514" s="3"/>
      <c r="I514" s="3"/>
      <c r="J514" s="3"/>
      <c r="K514" s="3">
        <v>37.4</v>
      </c>
      <c r="L514" s="3"/>
      <c r="M514" s="3"/>
      <c r="N514" s="3">
        <v>167.3</v>
      </c>
      <c r="O514" s="3"/>
      <c r="P514" s="3"/>
      <c r="Q514" s="3">
        <v>0.82</v>
      </c>
      <c r="R514" s="3">
        <v>0.2</v>
      </c>
      <c r="S514" s="3">
        <v>1.4</v>
      </c>
      <c r="T514" s="3">
        <v>16</v>
      </c>
      <c r="U514" s="3">
        <v>66.099999999999994</v>
      </c>
      <c r="V514" s="3">
        <v>972.8</v>
      </c>
      <c r="W514" s="3">
        <v>0</v>
      </c>
      <c r="X514" s="3">
        <v>47.7</v>
      </c>
      <c r="Y514" s="3">
        <v>47.4</v>
      </c>
      <c r="Z514" s="3">
        <v>46.7</v>
      </c>
      <c r="AA514" s="3">
        <v>42.4</v>
      </c>
      <c r="AB514" s="3">
        <v>37.9</v>
      </c>
      <c r="AC514" s="3">
        <v>35.700000000000003</v>
      </c>
      <c r="AD514" s="3">
        <v>39</v>
      </c>
      <c r="AE514" s="3">
        <v>41.1</v>
      </c>
      <c r="AF514" s="3">
        <v>44.3</v>
      </c>
      <c r="AG514" s="3">
        <v>37.5</v>
      </c>
      <c r="AH514" s="3">
        <v>36.700000000000003</v>
      </c>
      <c r="AI514" s="3">
        <v>36.4</v>
      </c>
      <c r="AJ514" s="3">
        <v>35.6</v>
      </c>
      <c r="AK514" s="3">
        <v>33.6</v>
      </c>
      <c r="AL514" s="3">
        <v>31.6</v>
      </c>
      <c r="AM514" s="3">
        <v>31.6</v>
      </c>
      <c r="AN514" s="3">
        <v>30</v>
      </c>
      <c r="AO514" s="3">
        <v>27.1</v>
      </c>
      <c r="AP514" s="3">
        <v>25.2</v>
      </c>
      <c r="AQ514" s="3">
        <v>22.8</v>
      </c>
      <c r="AR514" s="3">
        <v>20</v>
      </c>
      <c r="AS514" s="3">
        <v>18.3</v>
      </c>
      <c r="AT514" s="3">
        <v>21.6</v>
      </c>
      <c r="AU514" s="3">
        <v>14.3</v>
      </c>
      <c r="AV514" s="3">
        <v>12.9</v>
      </c>
      <c r="AW514" s="3">
        <v>12.3</v>
      </c>
      <c r="AX514" s="3">
        <v>10.5</v>
      </c>
      <c r="AY514" s="3">
        <v>10.1</v>
      </c>
      <c r="AZ514" s="3">
        <v>0</v>
      </c>
      <c r="BA514" s="3">
        <v>0</v>
      </c>
      <c r="BB514" s="3">
        <v>0</v>
      </c>
      <c r="BC514" s="3">
        <v>38.888635567155745</v>
      </c>
      <c r="BD514" s="3">
        <v>47.711364432844249</v>
      </c>
      <c r="BE514" s="3">
        <v>47.411364432844252</v>
      </c>
      <c r="BF514" s="3">
        <v>45.471364432844254</v>
      </c>
      <c r="BG514" s="3">
        <v>41.498031099510911</v>
      </c>
      <c r="BH514" s="3">
        <v>37.138031099510926</v>
      </c>
      <c r="BI514" s="3">
        <v>35.351364432844264</v>
      </c>
      <c r="BJ514" s="3">
        <v>39.444697766177583</v>
      </c>
      <c r="BK514" s="3">
        <v>41.418031099510927</v>
      </c>
      <c r="BL514" s="3">
        <v>44.191364432844253</v>
      </c>
      <c r="BM514" s="3">
        <v>37.524697766177582</v>
      </c>
      <c r="BN514" s="3">
        <v>37.00803109951093</v>
      </c>
      <c r="BO514" s="3">
        <v>36.074697766177593</v>
      </c>
      <c r="BP514" s="3">
        <v>34.99136443284425</v>
      </c>
      <c r="BQ514" s="3">
        <v>33.408031099510907</v>
      </c>
      <c r="BR514" s="3">
        <v>31.73469776617759</v>
      </c>
      <c r="BS514" s="3">
        <v>31.538031099510917</v>
      </c>
      <c r="BT514" s="3">
        <v>30.134697766177595</v>
      </c>
      <c r="BU514" s="3">
        <v>27.201364432844258</v>
      </c>
      <c r="BV514" s="3">
        <v>25.018031099510921</v>
      </c>
      <c r="BW514" s="3">
        <v>23.151364432844261</v>
      </c>
      <c r="BX514" s="3">
        <v>20.271364432844258</v>
      </c>
      <c r="BY514" s="3">
        <v>18.391364432844256</v>
      </c>
      <c r="BZ514" s="3">
        <v>21.821364432844263</v>
      </c>
      <c r="CA514" s="3">
        <v>14.621364432844246</v>
      </c>
      <c r="CB514" s="3">
        <v>12.658031099510922</v>
      </c>
      <c r="CC514" s="3">
        <v>12.271364432844251</v>
      </c>
      <c r="CD514" s="3">
        <v>9.7780310995109261</v>
      </c>
      <c r="CE514" s="3">
        <v>9.5713644328442484</v>
      </c>
      <c r="CF514" s="3">
        <v>-0.91530223382241616</v>
      </c>
      <c r="CG514" s="3">
        <v>-1.4486355671557476</v>
      </c>
      <c r="CH514" s="3">
        <v>-2.5253022338224156</v>
      </c>
      <c r="CI514" s="13">
        <f>[1]!dbasum(RecData[[#This Row],[20]:[2000]],RecData[[#Headers],[20]:[2000]])</f>
        <v>38.622892303540908</v>
      </c>
      <c r="CJ514" s="14">
        <v>8252</v>
      </c>
      <c r="CK514" s="15" t="s">
        <v>249</v>
      </c>
      <c r="CL514" s="15">
        <f>RecData[[#This Row],[Start Time]]</f>
        <v>43270.052083333336</v>
      </c>
      <c r="CM514" s="16">
        <f>RecData[[#This Row],[Wind Speed avg]]</f>
        <v>0.82</v>
      </c>
      <c r="CN514" s="16">
        <f>RecData[[#This Row],[Wind Dir. avg]]</f>
        <v>167.3</v>
      </c>
      <c r="CO514" s="16">
        <f>RecData[[#This Row],[Amb. Humidity]]</f>
        <v>66.099999999999994</v>
      </c>
      <c r="CP514" s="16">
        <f>RecData[[#This Row],[Amb. Temperature]]</f>
        <v>16</v>
      </c>
      <c r="CQ514" s="17">
        <f>RecData[[#This Row],[Amb. Rain Gauge]]</f>
        <v>0</v>
      </c>
      <c r="CR514" s="4" t="s">
        <v>1</v>
      </c>
      <c r="CS514" s="4" t="s">
        <v>49</v>
      </c>
      <c r="CT514" s="70">
        <v>1594.17932128906</v>
      </c>
      <c r="CU514" s="70">
        <v>21.000177383422798</v>
      </c>
      <c r="CV514" s="70">
        <v>10.4400129318237</v>
      </c>
      <c r="CW514" s="70">
        <v>15.184266090393001</v>
      </c>
      <c r="CX514" s="4"/>
      <c r="CY514" s="69"/>
      <c r="CZ514" s="2" t="b">
        <f>IF($DP$1="YES",IF(RecData[[#This Row],[Power (kW)]]&gt;=$CR$3, TRUE,FALSE),TRUE)</f>
        <v>1</v>
      </c>
      <c r="DA514" s="16">
        <f>MIN(MOD(180-ABS(ABS($DA$1-RecData[Yaw Angle (°)])-180),360),MOD(180-ABS(ABS($DB$1-RecData[Yaw Angle (°)])-180),360))</f>
        <v>13.470250605735259</v>
      </c>
      <c r="DB514" s="2" t="str">
        <f>IF($DP$2="None","None",IF(RecData[[#This Row],[Relative Wind Direction]]&lt;=45,"DW",IF(RecData[[#This Row],[Relative Wind Direction]]&lt;=135,"CW","UW")))</f>
        <v>DW</v>
      </c>
      <c r="DC514" s="61">
        <f>IF($CL514-$CL510&gt;1/24,#REF!,IF(SUM($CQ510:$CQ514)&gt;$DS$1,$DS$5,DC515-1))</f>
        <v>-3</v>
      </c>
      <c r="DD514" s="61">
        <f>IF($CL515-$CL514&gt;1/24,#REF!,IF(SUM($CQ510:$CQ514)&gt;$DS$1,$DS$6,DD513-1))</f>
        <v>-8</v>
      </c>
      <c r="DE514" s="18" t="b">
        <v>0</v>
      </c>
      <c r="DF514" s="2" t="b">
        <f>IF(OR(RecData[[#This Row],[WSpd_Avg '[m/s']]]-RecData[[#This Row],[Wind Speed min]]&gt;=$DF$3,RecData[[#This Row],[Wind Speed max]]-RecData[[#This Row],[WSpd_Avg '[m/s']]]&gt;=$DF$2),TRUE,FALSE)</f>
        <v>0</v>
      </c>
      <c r="DG514" s="2" t="b">
        <f>RecData[[#This Row],[Temperature '[°C']]]&lt;=-20</f>
        <v>0</v>
      </c>
      <c r="DH514" s="18" t="b">
        <f>NOT(OR(MOD(RecData[[#This Row],[TIMESTAMP]],1)&gt;0.91632,MOD(RecData[[#This Row],[TIMESTAMP]],1)&lt;0.208681))</f>
        <v>0</v>
      </c>
      <c r="DI514" s="18" t="b">
        <f>RecData[[#This Row],[Overall (dBA)]]-RecData[[#This Row],[L90]]&gt;=$DS$4</f>
        <v>0</v>
      </c>
      <c r="DJ514" s="18" t="b">
        <f>RecData[[#This Row],[Overall (dBA)]]&gt;$DS$2</f>
        <v>0</v>
      </c>
      <c r="DK514" s="18" t="b">
        <f>RecData[[#This Row],[Overall (dBA)]]&lt;$DS$3</f>
        <v>0</v>
      </c>
      <c r="DL5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4" s="2">
        <f>IF(AND(RecData[[#This Row],[Turbines ON/OFF]] = "OFF", NOT(OR(RecData[[#This Row],[Junk?]]="YES",RecData[[#This Row],[Gust?]],RecData[[#This Row],[Rain?]:[Min SPL Threshold?]]))),1,0)</f>
        <v>0</v>
      </c>
      <c r="DN514" s="16">
        <f>RecData[[#This Row],[dBA Sum]]</f>
        <v>38.622892303540908</v>
      </c>
      <c r="DO514" s="16">
        <f>RecData[[#This Row],[LAF90.0]]</f>
        <v>37.4</v>
      </c>
      <c r="DP514" s="55">
        <f>IF(AND(RecData[[#This Row],[Useable TON Data?]],RecData[[#This Row],[Turbines ON/OFF]]="ON"),RecData[[#This Row],[dBA Sum]],"")</f>
        <v>38.622892303540908</v>
      </c>
      <c r="DQ514" s="55" t="str">
        <f>IF(AND(RecData[[#This Row],[Useable Background Data?]],RecData[[#This Row],[Turbines ON/OFF]]="OFF"),RecData[[#This Row],[dBA Sum]],"")</f>
        <v/>
      </c>
      <c r="DR514" s="3">
        <f>IF(OR(RecData[[#This Row],[Useable TON Data?]],RecData[[#This Row],[Useable Background Data?]]),ROUND(RecData[[#This Row],[WSpd_Avg '[m/s']]],0),"")</f>
        <v>1</v>
      </c>
      <c r="DS514" s="85">
        <f>(0.00002)^2*(10^(RecData[[#This Row],[Overall (dBA)]]/10))</f>
        <v>2.9130586037734745E-6</v>
      </c>
    </row>
    <row r="515" spans="1:123" ht="15" x14ac:dyDescent="0.25">
      <c r="A515" s="3" t="s">
        <v>249</v>
      </c>
      <c r="B515" s="12">
        <v>43270.052777777782</v>
      </c>
      <c r="C515" s="3"/>
      <c r="D515" s="3">
        <v>39.700000000000003</v>
      </c>
      <c r="E515" s="3"/>
      <c r="F515" s="3"/>
      <c r="G515" s="3"/>
      <c r="H515" s="3"/>
      <c r="I515" s="3"/>
      <c r="J515" s="3"/>
      <c r="K515" s="3">
        <v>38.6</v>
      </c>
      <c r="L515" s="3"/>
      <c r="M515" s="3"/>
      <c r="N515" s="3">
        <v>175</v>
      </c>
      <c r="O515" s="3"/>
      <c r="P515" s="3"/>
      <c r="Q515" s="3">
        <v>0.93</v>
      </c>
      <c r="R515" s="3">
        <v>0.3</v>
      </c>
      <c r="S515" s="3">
        <v>1.6</v>
      </c>
      <c r="T515" s="3">
        <v>16</v>
      </c>
      <c r="U515" s="3">
        <v>66.099999999999994</v>
      </c>
      <c r="V515" s="3">
        <v>972.8</v>
      </c>
      <c r="W515" s="3">
        <v>0</v>
      </c>
      <c r="X515" s="3">
        <v>48</v>
      </c>
      <c r="Y515" s="3">
        <v>47.3</v>
      </c>
      <c r="Z515" s="3">
        <v>46.8</v>
      </c>
      <c r="AA515" s="3">
        <v>43</v>
      </c>
      <c r="AB515" s="3">
        <v>38.299999999999997</v>
      </c>
      <c r="AC515" s="3">
        <v>36.200000000000003</v>
      </c>
      <c r="AD515" s="3">
        <v>39.1</v>
      </c>
      <c r="AE515" s="3">
        <v>41.6</v>
      </c>
      <c r="AF515" s="3">
        <v>46.1</v>
      </c>
      <c r="AG515" s="3">
        <v>39.6</v>
      </c>
      <c r="AH515" s="3">
        <v>37.6</v>
      </c>
      <c r="AI515" s="3">
        <v>38.5</v>
      </c>
      <c r="AJ515" s="3">
        <v>36.6</v>
      </c>
      <c r="AK515" s="3">
        <v>34.799999999999997</v>
      </c>
      <c r="AL515" s="3">
        <v>32.4</v>
      </c>
      <c r="AM515" s="3">
        <v>31.7</v>
      </c>
      <c r="AN515" s="3">
        <v>30</v>
      </c>
      <c r="AO515" s="3">
        <v>26.9</v>
      </c>
      <c r="AP515" s="3">
        <v>24.7</v>
      </c>
      <c r="AQ515" s="3">
        <v>22.3</v>
      </c>
      <c r="AR515" s="3">
        <v>18.8</v>
      </c>
      <c r="AS515" s="3">
        <v>19.100000000000001</v>
      </c>
      <c r="AT515" s="3">
        <v>22.9</v>
      </c>
      <c r="AU515" s="3">
        <v>9.8000000000000007</v>
      </c>
      <c r="AV515" s="3">
        <v>9.4</v>
      </c>
      <c r="AW515" s="3">
        <v>9.6</v>
      </c>
      <c r="AX515" s="3">
        <v>9.3000000000000007</v>
      </c>
      <c r="AY515" s="3">
        <v>9.5</v>
      </c>
      <c r="AZ515" s="3">
        <v>0</v>
      </c>
      <c r="BA515" s="3">
        <v>0</v>
      </c>
      <c r="BB515" s="3">
        <v>0</v>
      </c>
      <c r="BC515" s="3">
        <v>39.658309441873392</v>
      </c>
      <c r="BD515" s="3">
        <v>48.041690558126611</v>
      </c>
      <c r="BE515" s="3">
        <v>47.341690558126608</v>
      </c>
      <c r="BF515" s="3">
        <v>45.601690558126599</v>
      </c>
      <c r="BG515" s="3">
        <v>42.12835722479327</v>
      </c>
      <c r="BH515" s="3">
        <v>37.568357224793267</v>
      </c>
      <c r="BI515" s="3">
        <v>35.881690558126614</v>
      </c>
      <c r="BJ515" s="3">
        <v>39.575023891459942</v>
      </c>
      <c r="BK515" s="3">
        <v>41.948357224793277</v>
      </c>
      <c r="BL515" s="3">
        <v>46.021690558126615</v>
      </c>
      <c r="BM515" s="3">
        <v>39.65502389145994</v>
      </c>
      <c r="BN515" s="3">
        <v>37.938357224793272</v>
      </c>
      <c r="BO515" s="3">
        <v>38.205023891459952</v>
      </c>
      <c r="BP515" s="3">
        <v>36.021690558126615</v>
      </c>
      <c r="BQ515" s="3">
        <v>34.638357224793261</v>
      </c>
      <c r="BR515" s="3">
        <v>32.565023891459937</v>
      </c>
      <c r="BS515" s="3">
        <v>31.668357224793276</v>
      </c>
      <c r="BT515" s="3">
        <v>30.165023891459946</v>
      </c>
      <c r="BU515" s="3">
        <v>27.031690558126606</v>
      </c>
      <c r="BV515" s="3">
        <v>24.548357224793286</v>
      </c>
      <c r="BW515" s="3">
        <v>22.681690558126611</v>
      </c>
      <c r="BX515" s="3">
        <v>19.101690558126613</v>
      </c>
      <c r="BY515" s="3">
        <v>19.22169055812661</v>
      </c>
      <c r="BZ515" s="3">
        <v>23.15169055812661</v>
      </c>
      <c r="CA515" s="3">
        <v>10.151690558126603</v>
      </c>
      <c r="CB515" s="3">
        <v>9.1883572247932719</v>
      </c>
      <c r="CC515" s="3">
        <v>9.601690558126613</v>
      </c>
      <c r="CD515" s="3">
        <v>8.6083572247932807</v>
      </c>
      <c r="CE515" s="3">
        <v>9.0016905581266116</v>
      </c>
      <c r="CF515" s="3">
        <v>-0.8849761085400587</v>
      </c>
      <c r="CG515" s="3">
        <v>-1.4183094418733901</v>
      </c>
      <c r="CH515" s="3">
        <v>-2.4949761085400581</v>
      </c>
      <c r="CI515" s="13">
        <f>[1]!dbasum(RecData[[#This Row],[20]:[2000]],RecData[[#Headers],[20]:[2000]])</f>
        <v>39.416130958964494</v>
      </c>
      <c r="CJ515" s="14">
        <v>8253</v>
      </c>
      <c r="CK515" s="15" t="s">
        <v>249</v>
      </c>
      <c r="CL515" s="15">
        <f>RecData[[#This Row],[Start Time]]</f>
        <v>43270.052777777782</v>
      </c>
      <c r="CM515" s="16">
        <f>RecData[[#This Row],[Wind Speed avg]]</f>
        <v>0.93</v>
      </c>
      <c r="CN515" s="16">
        <f>RecData[[#This Row],[Wind Dir. avg]]</f>
        <v>175</v>
      </c>
      <c r="CO515" s="16">
        <f>RecData[[#This Row],[Amb. Humidity]]</f>
        <v>66.099999999999994</v>
      </c>
      <c r="CP515" s="16">
        <f>RecData[[#This Row],[Amb. Temperature]]</f>
        <v>16</v>
      </c>
      <c r="CQ515" s="17">
        <f>RecData[[#This Row],[Amb. Rain Gauge]]</f>
        <v>0</v>
      </c>
      <c r="CR515" s="4" t="s">
        <v>1</v>
      </c>
      <c r="CS515" s="4" t="s">
        <v>49</v>
      </c>
      <c r="CT515" s="70">
        <v>1594.17932128906</v>
      </c>
      <c r="CU515" s="70">
        <v>21.000177383422798</v>
      </c>
      <c r="CV515" s="70">
        <v>10.4400129318237</v>
      </c>
      <c r="CW515" s="70">
        <v>15.184266090393001</v>
      </c>
      <c r="CX515" s="4"/>
      <c r="CY515" s="69"/>
      <c r="CZ515" s="2" t="b">
        <f>IF($DP$1="YES",IF(RecData[[#This Row],[Power (kW)]]&gt;=$CR$3, TRUE,FALSE),TRUE)</f>
        <v>1</v>
      </c>
      <c r="DA515" s="16">
        <f>MIN(MOD(180-ABS(ABS($DA$1-RecData[Yaw Angle (°)])-180),360),MOD(180-ABS(ABS($DB$1-RecData[Yaw Angle (°)])-180),360))</f>
        <v>13.470250605735259</v>
      </c>
      <c r="DB515" s="2" t="str">
        <f>IF($DP$2="None","None",IF(RecData[[#This Row],[Relative Wind Direction]]&lt;=45,"DW",IF(RecData[[#This Row],[Relative Wind Direction]]&lt;=135,"CW","UW")))</f>
        <v>DW</v>
      </c>
      <c r="DC515" s="61">
        <f>IF($CL515-$CL511&gt;1/24,#REF!,IF(SUM($CQ511:$CQ515)&gt;$DS$1,$DS$5,DC516-1))</f>
        <v>-2</v>
      </c>
      <c r="DD515" s="61">
        <f>IF($CL516-$CL515&gt;1/24,#REF!,IF(SUM($CQ511:$CQ515)&gt;$DS$1,$DS$6,DD514-1))</f>
        <v>-9</v>
      </c>
      <c r="DE515" s="18" t="b">
        <v>0</v>
      </c>
      <c r="DF515" s="2" t="b">
        <f>IF(OR(RecData[[#This Row],[WSpd_Avg '[m/s']]]-RecData[[#This Row],[Wind Speed min]]&gt;=$DF$3,RecData[[#This Row],[Wind Speed max]]-RecData[[#This Row],[WSpd_Avg '[m/s']]]&gt;=$DF$2),TRUE,FALSE)</f>
        <v>0</v>
      </c>
      <c r="DG515" s="2" t="b">
        <f>RecData[[#This Row],[Temperature '[°C']]]&lt;=-20</f>
        <v>0</v>
      </c>
      <c r="DH515" s="18" t="b">
        <f>NOT(OR(MOD(RecData[[#This Row],[TIMESTAMP]],1)&gt;0.91632,MOD(RecData[[#This Row],[TIMESTAMP]],1)&lt;0.208681))</f>
        <v>0</v>
      </c>
      <c r="DI515" s="18" t="b">
        <f>RecData[[#This Row],[Overall (dBA)]]-RecData[[#This Row],[L90]]&gt;=$DS$4</f>
        <v>0</v>
      </c>
      <c r="DJ515" s="18" t="b">
        <f>RecData[[#This Row],[Overall (dBA)]]&gt;$DS$2</f>
        <v>0</v>
      </c>
      <c r="DK515" s="18" t="b">
        <f>RecData[[#This Row],[Overall (dBA)]]&lt;$DS$3</f>
        <v>0</v>
      </c>
      <c r="DL5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5" s="2">
        <f>IF(AND(RecData[[#This Row],[Turbines ON/OFF]] = "OFF", NOT(OR(RecData[[#This Row],[Junk?]]="YES",RecData[[#This Row],[Gust?]],RecData[[#This Row],[Rain?]:[Min SPL Threshold?]]))),1,0)</f>
        <v>0</v>
      </c>
      <c r="DN515" s="16">
        <f>RecData[[#This Row],[dBA Sum]]</f>
        <v>39.416130958964494</v>
      </c>
      <c r="DO515" s="16">
        <f>RecData[[#This Row],[LAF90.0]]</f>
        <v>38.6</v>
      </c>
      <c r="DP515" s="55">
        <f>IF(AND(RecData[[#This Row],[Useable TON Data?]],RecData[[#This Row],[Turbines ON/OFF]]="ON"),RecData[[#This Row],[dBA Sum]],"")</f>
        <v>39.416130958964494</v>
      </c>
      <c r="DQ515" s="55" t="str">
        <f>IF(AND(RecData[[#This Row],[Useable Background Data?]],RecData[[#This Row],[Turbines ON/OFF]]="OFF"),RecData[[#This Row],[dBA Sum]],"")</f>
        <v/>
      </c>
      <c r="DR515" s="3">
        <f>IF(OR(RecData[[#This Row],[Useable TON Data?]],RecData[[#This Row],[Useable Background Data?]]),ROUND(RecData[[#This Row],[WSpd_Avg '[m/s']]],0),"")</f>
        <v>1</v>
      </c>
      <c r="DS515" s="85">
        <f>(0.00002)^2*(10^(RecData[[#This Row],[Overall (dBA)]]/10))</f>
        <v>3.4968184685309031E-6</v>
      </c>
    </row>
    <row r="516" spans="1:123" ht="15" x14ac:dyDescent="0.25">
      <c r="A516" s="3" t="s">
        <v>249</v>
      </c>
      <c r="B516" s="12">
        <v>43270.053472222229</v>
      </c>
      <c r="C516" s="3"/>
      <c r="D516" s="3">
        <v>39.700000000000003</v>
      </c>
      <c r="E516" s="3"/>
      <c r="F516" s="3"/>
      <c r="G516" s="3"/>
      <c r="H516" s="3"/>
      <c r="I516" s="3"/>
      <c r="J516" s="3"/>
      <c r="K516" s="3">
        <v>38.4</v>
      </c>
      <c r="L516" s="3"/>
      <c r="M516" s="3"/>
      <c r="N516" s="3">
        <v>193.9</v>
      </c>
      <c r="O516" s="3"/>
      <c r="P516" s="3"/>
      <c r="Q516" s="3">
        <v>0.96</v>
      </c>
      <c r="R516" s="3">
        <v>0.2</v>
      </c>
      <c r="S516" s="3">
        <v>1.4</v>
      </c>
      <c r="T516" s="3">
        <v>15.9</v>
      </c>
      <c r="U516" s="3">
        <v>66.400000000000006</v>
      </c>
      <c r="V516" s="3">
        <v>972.8</v>
      </c>
      <c r="W516" s="3">
        <v>0</v>
      </c>
      <c r="X516" s="3">
        <v>48.6</v>
      </c>
      <c r="Y516" s="3">
        <v>47.9</v>
      </c>
      <c r="Z516" s="3">
        <v>47.1</v>
      </c>
      <c r="AA516" s="3">
        <v>43.2</v>
      </c>
      <c r="AB516" s="3">
        <v>39.200000000000003</v>
      </c>
      <c r="AC516" s="3">
        <v>36.6</v>
      </c>
      <c r="AD516" s="3">
        <v>39.5</v>
      </c>
      <c r="AE516" s="3">
        <v>41.9</v>
      </c>
      <c r="AF516" s="3">
        <v>45.7</v>
      </c>
      <c r="AG516" s="3">
        <v>39.700000000000003</v>
      </c>
      <c r="AH516" s="3">
        <v>37.6</v>
      </c>
      <c r="AI516" s="3">
        <v>38</v>
      </c>
      <c r="AJ516" s="3">
        <v>36.6</v>
      </c>
      <c r="AK516" s="3">
        <v>34.700000000000003</v>
      </c>
      <c r="AL516" s="3">
        <v>32.5</v>
      </c>
      <c r="AM516" s="3">
        <v>32.1</v>
      </c>
      <c r="AN516" s="3">
        <v>30.7</v>
      </c>
      <c r="AO516" s="3">
        <v>27.7</v>
      </c>
      <c r="AP516" s="3">
        <v>25.4</v>
      </c>
      <c r="AQ516" s="3">
        <v>23.3</v>
      </c>
      <c r="AR516" s="3">
        <v>19.8</v>
      </c>
      <c r="AS516" s="3">
        <v>16.399999999999999</v>
      </c>
      <c r="AT516" s="3">
        <v>20.100000000000001</v>
      </c>
      <c r="AU516" s="3">
        <v>10.9</v>
      </c>
      <c r="AV516" s="3">
        <v>10.199999999999999</v>
      </c>
      <c r="AW516" s="3">
        <v>10.1</v>
      </c>
      <c r="AX516" s="3">
        <v>9.5</v>
      </c>
      <c r="AY516" s="3">
        <v>9.6</v>
      </c>
      <c r="AZ516" s="3">
        <v>0</v>
      </c>
      <c r="BA516" s="3">
        <v>0</v>
      </c>
      <c r="BB516" s="3">
        <v>0</v>
      </c>
      <c r="BC516" s="3">
        <v>39.72693974259505</v>
      </c>
      <c r="BD516" s="3">
        <v>48.573060257404961</v>
      </c>
      <c r="BE516" s="3">
        <v>47.873060257404944</v>
      </c>
      <c r="BF516" s="3">
        <v>45.833060257404952</v>
      </c>
      <c r="BG516" s="3">
        <v>42.259726924071629</v>
      </c>
      <c r="BH516" s="3">
        <v>38.399726924071615</v>
      </c>
      <c r="BI516" s="3">
        <v>36.213060257404948</v>
      </c>
      <c r="BJ516" s="3">
        <v>39.906393590738276</v>
      </c>
      <c r="BK516" s="3">
        <v>42.179726924071616</v>
      </c>
      <c r="BL516" s="3">
        <v>45.553060257404951</v>
      </c>
      <c r="BM516" s="3">
        <v>39.686393590738291</v>
      </c>
      <c r="BN516" s="3">
        <v>37.869726924071614</v>
      </c>
      <c r="BO516" s="3">
        <v>37.636393590738294</v>
      </c>
      <c r="BP516" s="3">
        <v>35.953060257404957</v>
      </c>
      <c r="BQ516" s="3">
        <v>34.469726924071608</v>
      </c>
      <c r="BR516" s="3">
        <v>32.596393590738288</v>
      </c>
      <c r="BS516" s="3">
        <v>31.999726924071624</v>
      </c>
      <c r="BT516" s="3">
        <v>30.79639359073829</v>
      </c>
      <c r="BU516" s="3">
        <v>27.763060257404959</v>
      </c>
      <c r="BV516" s="3">
        <v>25.179726924071616</v>
      </c>
      <c r="BW516" s="3">
        <v>23.613060257404953</v>
      </c>
      <c r="BX516" s="3">
        <v>20.033060257404955</v>
      </c>
      <c r="BY516" s="3">
        <v>16.45306025740495</v>
      </c>
      <c r="BZ516" s="3">
        <v>20.283060257404955</v>
      </c>
      <c r="CA516" s="3">
        <v>11.183060257404946</v>
      </c>
      <c r="CB516" s="3">
        <v>9.9197269240716182</v>
      </c>
      <c r="CC516" s="3">
        <v>10.033060257404955</v>
      </c>
      <c r="CD516" s="3">
        <v>8.7397269240716255</v>
      </c>
      <c r="CE516" s="3">
        <v>9.033060257404955</v>
      </c>
      <c r="CF516" s="3">
        <v>-0.95360640926171669</v>
      </c>
      <c r="CG516" s="3">
        <v>-1.4869397425950481</v>
      </c>
      <c r="CH516" s="3">
        <v>-2.5636064092617161</v>
      </c>
      <c r="CI516" s="13">
        <f>[1]!dbasum(RecData[[#This Row],[20]:[2000]],RecData[[#Headers],[20]:[2000]])</f>
        <v>39.511722646348019</v>
      </c>
      <c r="CJ516" s="14">
        <v>8254</v>
      </c>
      <c r="CK516" s="15" t="s">
        <v>249</v>
      </c>
      <c r="CL516" s="15">
        <f>RecData[[#This Row],[Start Time]]</f>
        <v>43270.053472222229</v>
      </c>
      <c r="CM516" s="16">
        <f>RecData[[#This Row],[Wind Speed avg]]</f>
        <v>0.96</v>
      </c>
      <c r="CN516" s="16">
        <f>RecData[[#This Row],[Wind Dir. avg]]</f>
        <v>193.9</v>
      </c>
      <c r="CO516" s="16">
        <f>RecData[[#This Row],[Amb. Humidity]]</f>
        <v>66.400000000000006</v>
      </c>
      <c r="CP516" s="16">
        <f>RecData[[#This Row],[Amb. Temperature]]</f>
        <v>15.9</v>
      </c>
      <c r="CQ516" s="17">
        <f>RecData[[#This Row],[Amb. Rain Gauge]]</f>
        <v>0</v>
      </c>
      <c r="CR516" s="4" t="s">
        <v>1</v>
      </c>
      <c r="CS516" s="4" t="s">
        <v>49</v>
      </c>
      <c r="CT516" s="70">
        <v>1594.17932128906</v>
      </c>
      <c r="CU516" s="70">
        <v>21.000177383422798</v>
      </c>
      <c r="CV516" s="70">
        <v>10.4400129318237</v>
      </c>
      <c r="CW516" s="70">
        <v>15.184266090393001</v>
      </c>
      <c r="CX516" s="4"/>
      <c r="CY516" s="69"/>
      <c r="CZ516" s="2" t="b">
        <f>IF($DP$1="YES",IF(RecData[[#This Row],[Power (kW)]]&gt;=$CR$3, TRUE,FALSE),TRUE)</f>
        <v>1</v>
      </c>
      <c r="DA516" s="16">
        <f>MIN(MOD(180-ABS(ABS($DA$1-RecData[Yaw Angle (°)])-180),360),MOD(180-ABS(ABS($DB$1-RecData[Yaw Angle (°)])-180),360))</f>
        <v>13.470250605735259</v>
      </c>
      <c r="DB516" s="2" t="str">
        <f>IF($DP$2="None","None",IF(RecData[[#This Row],[Relative Wind Direction]]&lt;=45,"DW",IF(RecData[[#This Row],[Relative Wind Direction]]&lt;=135,"CW","UW")))</f>
        <v>DW</v>
      </c>
      <c r="DC516" s="61">
        <v>-1</v>
      </c>
      <c r="DD516" s="61">
        <v>-1</v>
      </c>
      <c r="DE516" s="18" t="b">
        <v>0</v>
      </c>
      <c r="DF516" s="2" t="b">
        <f>IF(OR(RecData[[#This Row],[WSpd_Avg '[m/s']]]-RecData[[#This Row],[Wind Speed min]]&gt;=$DF$3,RecData[[#This Row],[Wind Speed max]]-RecData[[#This Row],[WSpd_Avg '[m/s']]]&gt;=$DF$2),TRUE,FALSE)</f>
        <v>0</v>
      </c>
      <c r="DG516" s="2" t="b">
        <f>RecData[[#This Row],[Temperature '[°C']]]&lt;=-20</f>
        <v>0</v>
      </c>
      <c r="DH516" s="18" t="b">
        <f>NOT(OR(MOD(RecData[[#This Row],[TIMESTAMP]],1)&gt;0.91632,MOD(RecData[[#This Row],[TIMESTAMP]],1)&lt;0.208681))</f>
        <v>0</v>
      </c>
      <c r="DI516" s="18" t="b">
        <f>RecData[[#This Row],[Overall (dBA)]]-RecData[[#This Row],[L90]]&gt;=$DS$4</f>
        <v>0</v>
      </c>
      <c r="DJ516" s="18" t="b">
        <f>RecData[[#This Row],[Overall (dBA)]]&gt;$DS$2</f>
        <v>0</v>
      </c>
      <c r="DK516" s="18" t="b">
        <f>RecData[[#This Row],[Overall (dBA)]]&lt;$DS$3</f>
        <v>0</v>
      </c>
      <c r="DL5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6" s="2">
        <f>IF(AND(RecData[[#This Row],[Turbines ON/OFF]] = "OFF", NOT(OR(RecData[[#This Row],[Junk?]]="YES",RecData[[#This Row],[Gust?]],RecData[[#This Row],[Rain?]:[Min SPL Threshold?]]))),1,0)</f>
        <v>0</v>
      </c>
      <c r="DN516" s="16">
        <f>RecData[[#This Row],[dBA Sum]]</f>
        <v>39.511722646348019</v>
      </c>
      <c r="DO516" s="16">
        <f>RecData[[#This Row],[LAF90.0]]</f>
        <v>38.4</v>
      </c>
      <c r="DP516" s="55">
        <f>IF(AND(RecData[[#This Row],[Useable TON Data?]],RecData[[#This Row],[Turbines ON/OFF]]="ON"),RecData[[#This Row],[dBA Sum]],"")</f>
        <v>39.511722646348019</v>
      </c>
      <c r="DQ516" s="55" t="str">
        <f>IF(AND(RecData[[#This Row],[Useable Background Data?]],RecData[[#This Row],[Turbines ON/OFF]]="OFF"),RecData[[#This Row],[dBA Sum]],"")</f>
        <v/>
      </c>
      <c r="DR516" s="3">
        <f>IF(OR(RecData[[#This Row],[Useable TON Data?]],RecData[[#This Row],[Useable Background Data?]]),ROUND(RecData[[#This Row],[WSpd_Avg '[m/s']]],0),"")</f>
        <v>1</v>
      </c>
      <c r="DS516" s="85">
        <f>(0.00002)^2*(10^(RecData[[#This Row],[Overall (dBA)]]/10))</f>
        <v>3.5746395487681131E-6</v>
      </c>
    </row>
    <row r="517" spans="1:123" ht="15" x14ac:dyDescent="0.25">
      <c r="A517" s="3" t="s">
        <v>249</v>
      </c>
      <c r="B517" s="12">
        <v>43270.054166666669</v>
      </c>
      <c r="C517" s="3"/>
      <c r="D517" s="3">
        <v>39.299999999999997</v>
      </c>
      <c r="E517" s="3"/>
      <c r="F517" s="3"/>
      <c r="G517" s="3"/>
      <c r="H517" s="3"/>
      <c r="I517" s="3"/>
      <c r="J517" s="3"/>
      <c r="K517" s="3">
        <v>38.1</v>
      </c>
      <c r="L517" s="3"/>
      <c r="M517" s="3"/>
      <c r="N517" s="3">
        <v>204.3</v>
      </c>
      <c r="O517" s="3"/>
      <c r="P517" s="3"/>
      <c r="Q517" s="3">
        <v>0.41</v>
      </c>
      <c r="R517" s="3">
        <v>0</v>
      </c>
      <c r="S517" s="3">
        <v>1</v>
      </c>
      <c r="T517" s="3">
        <v>15.9</v>
      </c>
      <c r="U517" s="3">
        <v>66.7</v>
      </c>
      <c r="V517" s="3">
        <v>972.8</v>
      </c>
      <c r="W517" s="3">
        <v>0</v>
      </c>
      <c r="X517" s="3">
        <v>48</v>
      </c>
      <c r="Y517" s="3">
        <v>46.9</v>
      </c>
      <c r="Z517" s="3">
        <v>46.7</v>
      </c>
      <c r="AA517" s="3">
        <v>43</v>
      </c>
      <c r="AB517" s="3">
        <v>37.9</v>
      </c>
      <c r="AC517" s="3">
        <v>36</v>
      </c>
      <c r="AD517" s="3">
        <v>39.9</v>
      </c>
      <c r="AE517" s="3">
        <v>42.1</v>
      </c>
      <c r="AF517" s="3">
        <v>45.7</v>
      </c>
      <c r="AG517" s="3">
        <v>37.700000000000003</v>
      </c>
      <c r="AH517" s="3">
        <v>37.200000000000003</v>
      </c>
      <c r="AI517" s="3">
        <v>37.299999999999997</v>
      </c>
      <c r="AJ517" s="3">
        <v>35.9</v>
      </c>
      <c r="AK517" s="3">
        <v>34.1</v>
      </c>
      <c r="AL517" s="3">
        <v>31.9</v>
      </c>
      <c r="AM517" s="3">
        <v>31.7</v>
      </c>
      <c r="AN517" s="3">
        <v>30.1</v>
      </c>
      <c r="AO517" s="3">
        <v>27.1</v>
      </c>
      <c r="AP517" s="3">
        <v>25.1</v>
      </c>
      <c r="AQ517" s="3">
        <v>22.6</v>
      </c>
      <c r="AR517" s="3">
        <v>19.399999999999999</v>
      </c>
      <c r="AS517" s="3">
        <v>18.399999999999999</v>
      </c>
      <c r="AT517" s="3">
        <v>22.6</v>
      </c>
      <c r="AU517" s="3">
        <v>10.3</v>
      </c>
      <c r="AV517" s="3">
        <v>9.5</v>
      </c>
      <c r="AW517" s="3">
        <v>9.5</v>
      </c>
      <c r="AX517" s="3">
        <v>9.3000000000000007</v>
      </c>
      <c r="AY517" s="3">
        <v>9.5</v>
      </c>
      <c r="AZ517" s="3">
        <v>0</v>
      </c>
      <c r="BA517" s="3">
        <v>0</v>
      </c>
      <c r="BB517" s="3">
        <v>0</v>
      </c>
      <c r="BC517" s="3">
        <v>39.267326196110012</v>
      </c>
      <c r="BD517" s="3">
        <v>48.032673803889985</v>
      </c>
      <c r="BE517" s="3">
        <v>46.932673803889976</v>
      </c>
      <c r="BF517" s="3">
        <v>45.492673803889979</v>
      </c>
      <c r="BG517" s="3">
        <v>42.119340470556644</v>
      </c>
      <c r="BH517" s="3">
        <v>37.15934047055665</v>
      </c>
      <c r="BI517" s="3">
        <v>35.672673803889985</v>
      </c>
      <c r="BJ517" s="3">
        <v>40.366007137223313</v>
      </c>
      <c r="BK517" s="3">
        <v>42.439340470556651</v>
      </c>
      <c r="BL517" s="3">
        <v>45.612673803889983</v>
      </c>
      <c r="BM517" s="3">
        <v>37.746007137223323</v>
      </c>
      <c r="BN517" s="3">
        <v>37.529340470556654</v>
      </c>
      <c r="BO517" s="3">
        <v>36.996007137223309</v>
      </c>
      <c r="BP517" s="3">
        <v>35.312673803889986</v>
      </c>
      <c r="BQ517" s="3">
        <v>33.929340470556646</v>
      </c>
      <c r="BR517" s="3">
        <v>32.056007137223311</v>
      </c>
      <c r="BS517" s="3">
        <v>31.65934047055665</v>
      </c>
      <c r="BT517" s="3">
        <v>30.256007137223328</v>
      </c>
      <c r="BU517" s="3">
        <v>27.222673803889997</v>
      </c>
      <c r="BV517" s="3">
        <v>24.939340470556651</v>
      </c>
      <c r="BW517" s="3">
        <v>22.97267380388999</v>
      </c>
      <c r="BX517" s="3">
        <v>19.692673803889988</v>
      </c>
      <c r="BY517" s="3">
        <v>18.512673803889982</v>
      </c>
      <c r="BZ517" s="3">
        <v>22.842673803889987</v>
      </c>
      <c r="CA517" s="3">
        <v>10.642673803889977</v>
      </c>
      <c r="CB517" s="3">
        <v>9.2793404705566473</v>
      </c>
      <c r="CC517" s="3">
        <v>9.4926738038899856</v>
      </c>
      <c r="CD517" s="3">
        <v>8.5993404705566547</v>
      </c>
      <c r="CE517" s="3">
        <v>8.9926738038899856</v>
      </c>
      <c r="CF517" s="3">
        <v>-0.89399286277668466</v>
      </c>
      <c r="CG517" s="3">
        <v>-1.4273261961100161</v>
      </c>
      <c r="CH517" s="3">
        <v>-2.5039928627766841</v>
      </c>
      <c r="CI517" s="13">
        <f>[1]!dbasum(RecData[[#This Row],[20]:[2000]],RecData[[#Headers],[20]:[2000]])</f>
        <v>39.030421283419628</v>
      </c>
      <c r="CJ517" s="14">
        <v>8255</v>
      </c>
      <c r="CK517" s="15" t="s">
        <v>249</v>
      </c>
      <c r="CL517" s="15">
        <f>RecData[[#This Row],[Start Time]]</f>
        <v>43270.054166666669</v>
      </c>
      <c r="CM517" s="16">
        <f>RecData[[#This Row],[Wind Speed avg]]</f>
        <v>0.41</v>
      </c>
      <c r="CN517" s="16">
        <f>RecData[[#This Row],[Wind Dir. avg]]</f>
        <v>204.3</v>
      </c>
      <c r="CO517" s="16">
        <f>RecData[[#This Row],[Amb. Humidity]]</f>
        <v>66.7</v>
      </c>
      <c r="CP517" s="16">
        <f>RecData[[#This Row],[Amb. Temperature]]</f>
        <v>15.9</v>
      </c>
      <c r="CQ517" s="17">
        <f>RecData[[#This Row],[Amb. Rain Gauge]]</f>
        <v>0</v>
      </c>
      <c r="CR517" s="4" t="s">
        <v>1</v>
      </c>
      <c r="CS517" s="4" t="s">
        <v>49</v>
      </c>
      <c r="CT517" s="70">
        <v>1594.17932128906</v>
      </c>
      <c r="CU517" s="70">
        <v>21.000177383422798</v>
      </c>
      <c r="CV517" s="70">
        <v>10.4400129318237</v>
      </c>
      <c r="CW517" s="70">
        <v>15.184266090393001</v>
      </c>
      <c r="CX517" s="4"/>
      <c r="CY517" s="69"/>
      <c r="CZ517" s="2" t="b">
        <f>IF($DP$1="YES",IF(RecData[[#This Row],[Power (kW)]]&gt;=$CR$3, TRUE,FALSE),TRUE)</f>
        <v>1</v>
      </c>
      <c r="DA517" s="16">
        <f>MIN(MOD(180-ABS(ABS($DA$1-RecData[Yaw Angle (°)])-180),360),MOD(180-ABS(ABS($DB$1-RecData[Yaw Angle (°)])-180),360))</f>
        <v>13.470250605735259</v>
      </c>
      <c r="DB517" s="2" t="str">
        <f>IF($DP$2="None","None",IF(RecData[[#This Row],[Relative Wind Direction]]&lt;=45,"DW",IF(RecData[[#This Row],[Relative Wind Direction]]&lt;=135,"CW","UW")))</f>
        <v>DW</v>
      </c>
      <c r="DC517" s="61">
        <f>IF($CL517-$CL516&gt;1/24,#REF!,IF(SUM($CQ516:$CQ517)&gt;$DS$1,$DS$5,DC518-1))</f>
        <v>-9</v>
      </c>
      <c r="DD517" s="61">
        <f>IF($CL518-$CL517&gt;1/24,#REF!,IF(SUM($CQ516:$CQ517)&gt;$DS$1,$DS$6,DD516-1))</f>
        <v>-2</v>
      </c>
      <c r="DE517" s="18" t="b">
        <v>0</v>
      </c>
      <c r="DF517" s="2" t="b">
        <f>IF(OR(RecData[[#This Row],[WSpd_Avg '[m/s']]]-RecData[[#This Row],[Wind Speed min]]&gt;=$DF$3,RecData[[#This Row],[Wind Speed max]]-RecData[[#This Row],[WSpd_Avg '[m/s']]]&gt;=$DF$2),TRUE,FALSE)</f>
        <v>0</v>
      </c>
      <c r="DG517" s="2" t="b">
        <f>RecData[[#This Row],[Temperature '[°C']]]&lt;=-20</f>
        <v>0</v>
      </c>
      <c r="DH517" s="18" t="b">
        <f>NOT(OR(MOD(RecData[[#This Row],[TIMESTAMP]],1)&gt;0.91632,MOD(RecData[[#This Row],[TIMESTAMP]],1)&lt;0.208681))</f>
        <v>0</v>
      </c>
      <c r="DI517" s="18" t="b">
        <f>RecData[[#This Row],[Overall (dBA)]]-RecData[[#This Row],[L90]]&gt;=$DS$4</f>
        <v>0</v>
      </c>
      <c r="DJ517" s="18" t="b">
        <f>RecData[[#This Row],[Overall (dBA)]]&gt;$DS$2</f>
        <v>0</v>
      </c>
      <c r="DK517" s="18" t="b">
        <f>RecData[[#This Row],[Overall (dBA)]]&lt;$DS$3</f>
        <v>0</v>
      </c>
      <c r="DL5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7" s="2">
        <f>IF(AND(RecData[[#This Row],[Turbines ON/OFF]] = "OFF", NOT(OR(RecData[[#This Row],[Junk?]]="YES",RecData[[#This Row],[Gust?]],RecData[[#This Row],[Rain?]:[Min SPL Threshold?]]))),1,0)</f>
        <v>0</v>
      </c>
      <c r="DN517" s="16">
        <f>RecData[[#This Row],[dBA Sum]]</f>
        <v>39.030421283419628</v>
      </c>
      <c r="DO517" s="16">
        <f>RecData[[#This Row],[LAF90.0]]</f>
        <v>38.1</v>
      </c>
      <c r="DP517" s="55">
        <f>IF(AND(RecData[[#This Row],[Useable TON Data?]],RecData[[#This Row],[Turbines ON/OFF]]="ON"),RecData[[#This Row],[dBA Sum]],"")</f>
        <v>39.030421283419628</v>
      </c>
      <c r="DQ517" s="55" t="str">
        <f>IF(AND(RecData[[#This Row],[Useable Background Data?]],RecData[[#This Row],[Turbines ON/OFF]]="OFF"),RecData[[#This Row],[dBA Sum]],"")</f>
        <v/>
      </c>
      <c r="DR517" s="3">
        <f>IF(OR(RecData[[#This Row],[Useable TON Data?]],RecData[[#This Row],[Useable Background Data?]]),ROUND(RecData[[#This Row],[WSpd_Avg '[m/s']]],0),"")</f>
        <v>0</v>
      </c>
      <c r="DS517" s="85">
        <f>(0.00002)^2*(10^(RecData[[#This Row],[Overall (dBA)]]/10))</f>
        <v>3.1996473838644135E-6</v>
      </c>
    </row>
    <row r="518" spans="1:123" ht="15" x14ac:dyDescent="0.25">
      <c r="A518" s="3" t="s">
        <v>249</v>
      </c>
      <c r="B518" s="12">
        <v>43270.054861111115</v>
      </c>
      <c r="C518" s="3"/>
      <c r="D518" s="3">
        <v>39.700000000000003</v>
      </c>
      <c r="E518" s="3"/>
      <c r="F518" s="3"/>
      <c r="G518" s="3"/>
      <c r="H518" s="3"/>
      <c r="I518" s="3"/>
      <c r="J518" s="3"/>
      <c r="K518" s="3">
        <v>38</v>
      </c>
      <c r="L518" s="3"/>
      <c r="M518" s="3"/>
      <c r="N518" s="3">
        <v>195.6</v>
      </c>
      <c r="O518" s="3"/>
      <c r="P518" s="3"/>
      <c r="Q518" s="3">
        <v>0.48</v>
      </c>
      <c r="R518" s="3">
        <v>0.1</v>
      </c>
      <c r="S518" s="3">
        <v>0.9</v>
      </c>
      <c r="T518" s="3">
        <v>15.9</v>
      </c>
      <c r="U518" s="3">
        <v>67.7</v>
      </c>
      <c r="V518" s="3">
        <v>972.8</v>
      </c>
      <c r="W518" s="3">
        <v>0</v>
      </c>
      <c r="X518" s="3">
        <v>48.2</v>
      </c>
      <c r="Y518" s="3">
        <v>47.3</v>
      </c>
      <c r="Z518" s="3">
        <v>46.9</v>
      </c>
      <c r="AA518" s="3">
        <v>43</v>
      </c>
      <c r="AB518" s="3">
        <v>38.1</v>
      </c>
      <c r="AC518" s="3">
        <v>36.5</v>
      </c>
      <c r="AD518" s="3">
        <v>39.799999999999997</v>
      </c>
      <c r="AE518" s="3">
        <v>42</v>
      </c>
      <c r="AF518" s="3">
        <v>46</v>
      </c>
      <c r="AG518" s="3">
        <v>39</v>
      </c>
      <c r="AH518" s="3">
        <v>37.799999999999997</v>
      </c>
      <c r="AI518" s="3">
        <v>38.1</v>
      </c>
      <c r="AJ518" s="3">
        <v>36.6</v>
      </c>
      <c r="AK518" s="3">
        <v>34.799999999999997</v>
      </c>
      <c r="AL518" s="3">
        <v>32.5</v>
      </c>
      <c r="AM518" s="3">
        <v>32</v>
      </c>
      <c r="AN518" s="3">
        <v>30.6</v>
      </c>
      <c r="AO518" s="3">
        <v>27.6</v>
      </c>
      <c r="AP518" s="3">
        <v>25.1</v>
      </c>
      <c r="AQ518" s="3">
        <v>22.8</v>
      </c>
      <c r="AR518" s="3">
        <v>19.2</v>
      </c>
      <c r="AS518" s="3">
        <v>15.6</v>
      </c>
      <c r="AT518" s="3">
        <v>21.1</v>
      </c>
      <c r="AU518" s="3">
        <v>9.4</v>
      </c>
      <c r="AV518" s="3">
        <v>9</v>
      </c>
      <c r="AW518" s="3">
        <v>9.3000000000000007</v>
      </c>
      <c r="AX518" s="3">
        <v>9.3000000000000007</v>
      </c>
      <c r="AY518" s="3">
        <v>9.5</v>
      </c>
      <c r="AZ518" s="3">
        <v>0</v>
      </c>
      <c r="BA518" s="3">
        <v>0</v>
      </c>
      <c r="BB518" s="3">
        <v>0</v>
      </c>
      <c r="BC518" s="3">
        <v>39.705012446095544</v>
      </c>
      <c r="BD518" s="3">
        <v>48.194987553904461</v>
      </c>
      <c r="BE518" s="3">
        <v>47.294987553904456</v>
      </c>
      <c r="BF518" s="3">
        <v>45.654987553904455</v>
      </c>
      <c r="BG518" s="3">
        <v>42.081654220571117</v>
      </c>
      <c r="BH518" s="3">
        <v>37.321654220571126</v>
      </c>
      <c r="BI518" s="3">
        <v>36.134987553904459</v>
      </c>
      <c r="BJ518" s="3">
        <v>40.228320887237793</v>
      </c>
      <c r="BK518" s="3">
        <v>42.301654220571116</v>
      </c>
      <c r="BL518" s="3">
        <v>45.874987553904468</v>
      </c>
      <c r="BM518" s="3">
        <v>39.008320887237794</v>
      </c>
      <c r="BN518" s="3">
        <v>38.091654220571122</v>
      </c>
      <c r="BO518" s="3">
        <v>37.758320887237794</v>
      </c>
      <c r="BP518" s="3">
        <v>35.974987553904462</v>
      </c>
      <c r="BQ518" s="3">
        <v>34.591654220571108</v>
      </c>
      <c r="BR518" s="3">
        <v>32.618320887237793</v>
      </c>
      <c r="BS518" s="3">
        <v>31.921654220571121</v>
      </c>
      <c r="BT518" s="3">
        <v>30.718320887237802</v>
      </c>
      <c r="BU518" s="3">
        <v>27.68498755390447</v>
      </c>
      <c r="BV518" s="3">
        <v>24.901654220571125</v>
      </c>
      <c r="BW518" s="3">
        <v>23.134987553904459</v>
      </c>
      <c r="BX518" s="3">
        <v>19.454987553904466</v>
      </c>
      <c r="BY518" s="3">
        <v>15.674987553904458</v>
      </c>
      <c r="BZ518" s="3">
        <v>21.304987553904461</v>
      </c>
      <c r="CA518" s="3">
        <v>9.7049875539044521</v>
      </c>
      <c r="CB518" s="3">
        <v>8.741654220571121</v>
      </c>
      <c r="CC518" s="3">
        <v>9.2549875539044564</v>
      </c>
      <c r="CD518" s="3">
        <v>8.5616542205711283</v>
      </c>
      <c r="CE518" s="3">
        <v>8.9549875539044592</v>
      </c>
      <c r="CF518" s="3">
        <v>-0.93167911276221105</v>
      </c>
      <c r="CG518" s="3">
        <v>-1.4650124460955425</v>
      </c>
      <c r="CH518" s="3">
        <v>-2.5416791127622105</v>
      </c>
      <c r="CI518" s="13">
        <f>[1]!dbasum(RecData[[#This Row],[20]:[2000]],RecData[[#Headers],[20]:[2000]])</f>
        <v>39.500959358390929</v>
      </c>
      <c r="CJ518" s="14">
        <v>8256</v>
      </c>
      <c r="CK518" s="15" t="s">
        <v>249</v>
      </c>
      <c r="CL518" s="15">
        <f>RecData[[#This Row],[Start Time]]</f>
        <v>43270.054861111115</v>
      </c>
      <c r="CM518" s="16">
        <f>RecData[[#This Row],[Wind Speed avg]]</f>
        <v>0.48</v>
      </c>
      <c r="CN518" s="16">
        <f>RecData[[#This Row],[Wind Dir. avg]]</f>
        <v>195.6</v>
      </c>
      <c r="CO518" s="16">
        <f>RecData[[#This Row],[Amb. Humidity]]</f>
        <v>67.7</v>
      </c>
      <c r="CP518" s="16">
        <f>RecData[[#This Row],[Amb. Temperature]]</f>
        <v>15.9</v>
      </c>
      <c r="CQ518" s="17">
        <f>RecData[[#This Row],[Amb. Rain Gauge]]</f>
        <v>0</v>
      </c>
      <c r="CR518" s="4" t="s">
        <v>1</v>
      </c>
      <c r="CS518" s="4" t="s">
        <v>49</v>
      </c>
      <c r="CT518" s="70">
        <v>1594.17932128906</v>
      </c>
      <c r="CU518" s="70">
        <v>21.000177383422798</v>
      </c>
      <c r="CV518" s="70">
        <v>10.4400129318237</v>
      </c>
      <c r="CW518" s="70">
        <v>15.184266090393001</v>
      </c>
      <c r="CX518" s="4"/>
      <c r="CY518" s="69"/>
      <c r="CZ518" s="2" t="b">
        <f>IF($DP$1="YES",IF(RecData[[#This Row],[Power (kW)]]&gt;=$CR$3, TRUE,FALSE),TRUE)</f>
        <v>1</v>
      </c>
      <c r="DA518" s="16">
        <f>MIN(MOD(180-ABS(ABS($DA$1-RecData[Yaw Angle (°)])-180),360),MOD(180-ABS(ABS($DB$1-RecData[Yaw Angle (°)])-180),360))</f>
        <v>13.470250605735259</v>
      </c>
      <c r="DB518" s="2" t="str">
        <f>IF($DP$2="None","None",IF(RecData[[#This Row],[Relative Wind Direction]]&lt;=45,"DW",IF(RecData[[#This Row],[Relative Wind Direction]]&lt;=135,"CW","UW")))</f>
        <v>DW</v>
      </c>
      <c r="DC518" s="61">
        <f>IF($CL518-$CL516&gt;1/24,#REF!,IF(SUM($CQ516:$CQ518)&gt;$DS$1,$DS$5,DC519-1))</f>
        <v>-8</v>
      </c>
      <c r="DD518" s="61">
        <f>IF($CL519-$CL518&gt;1/24,#REF!,IF(SUM($CQ516:$CQ518)&gt;$DS$1,$DS$6,DD517-1))</f>
        <v>-3</v>
      </c>
      <c r="DE518" s="18" t="b">
        <v>0</v>
      </c>
      <c r="DF518" s="2" t="b">
        <f>IF(OR(RecData[[#This Row],[WSpd_Avg '[m/s']]]-RecData[[#This Row],[Wind Speed min]]&gt;=$DF$3,RecData[[#This Row],[Wind Speed max]]-RecData[[#This Row],[WSpd_Avg '[m/s']]]&gt;=$DF$2),TRUE,FALSE)</f>
        <v>0</v>
      </c>
      <c r="DG518" s="2" t="b">
        <f>RecData[[#This Row],[Temperature '[°C']]]&lt;=-20</f>
        <v>0</v>
      </c>
      <c r="DH518" s="18" t="b">
        <f>NOT(OR(MOD(RecData[[#This Row],[TIMESTAMP]],1)&gt;0.91632,MOD(RecData[[#This Row],[TIMESTAMP]],1)&lt;0.208681))</f>
        <v>0</v>
      </c>
      <c r="DI518" s="18" t="b">
        <f>RecData[[#This Row],[Overall (dBA)]]-RecData[[#This Row],[L90]]&gt;=$DS$4</f>
        <v>0</v>
      </c>
      <c r="DJ518" s="18" t="b">
        <f>RecData[[#This Row],[Overall (dBA)]]&gt;$DS$2</f>
        <v>0</v>
      </c>
      <c r="DK518" s="18" t="b">
        <f>RecData[[#This Row],[Overall (dBA)]]&lt;$DS$3</f>
        <v>0</v>
      </c>
      <c r="DL5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8" s="2">
        <f>IF(AND(RecData[[#This Row],[Turbines ON/OFF]] = "OFF", NOT(OR(RecData[[#This Row],[Junk?]]="YES",RecData[[#This Row],[Gust?]],RecData[[#This Row],[Rain?]:[Min SPL Threshold?]]))),1,0)</f>
        <v>0</v>
      </c>
      <c r="DN518" s="16">
        <f>RecData[[#This Row],[dBA Sum]]</f>
        <v>39.500959358390929</v>
      </c>
      <c r="DO518" s="16">
        <f>RecData[[#This Row],[LAF90.0]]</f>
        <v>38</v>
      </c>
      <c r="DP518" s="55">
        <f>IF(AND(RecData[[#This Row],[Useable TON Data?]],RecData[[#This Row],[Turbines ON/OFF]]="ON"),RecData[[#This Row],[dBA Sum]],"")</f>
        <v>39.500959358390929</v>
      </c>
      <c r="DQ518" s="55" t="str">
        <f>IF(AND(RecData[[#This Row],[Useable Background Data?]],RecData[[#This Row],[Turbines ON/OFF]]="OFF"),RecData[[#This Row],[dBA Sum]],"")</f>
        <v/>
      </c>
      <c r="DR518" s="3">
        <f>IF(OR(RecData[[#This Row],[Useable TON Data?]],RecData[[#This Row],[Useable Background Data?]]),ROUND(RecData[[#This Row],[WSpd_Avg '[m/s']]],0),"")</f>
        <v>0</v>
      </c>
      <c r="DS518" s="85">
        <f>(0.00002)^2*(10^(RecData[[#This Row],[Overall (dBA)]]/10))</f>
        <v>3.5657913503946436E-6</v>
      </c>
    </row>
    <row r="519" spans="1:123" ht="15" x14ac:dyDescent="0.25">
      <c r="A519" s="3" t="s">
        <v>249</v>
      </c>
      <c r="B519" s="12">
        <v>43270.055555555562</v>
      </c>
      <c r="C519" s="3"/>
      <c r="D519" s="3">
        <v>40</v>
      </c>
      <c r="E519" s="3"/>
      <c r="F519" s="3"/>
      <c r="G519" s="3"/>
      <c r="H519" s="3"/>
      <c r="I519" s="3"/>
      <c r="J519" s="3"/>
      <c r="K519" s="3">
        <v>38.4</v>
      </c>
      <c r="L519" s="3"/>
      <c r="M519" s="3"/>
      <c r="N519" s="3">
        <v>222</v>
      </c>
      <c r="O519" s="3"/>
      <c r="P519" s="3"/>
      <c r="Q519" s="3">
        <v>0.28999999999999998</v>
      </c>
      <c r="R519" s="3">
        <v>0.1</v>
      </c>
      <c r="S519" s="3">
        <v>0.6</v>
      </c>
      <c r="T519" s="3">
        <v>15.8</v>
      </c>
      <c r="U519" s="3">
        <v>67.5</v>
      </c>
      <c r="V519" s="3">
        <v>972.8</v>
      </c>
      <c r="W519" s="3">
        <v>0</v>
      </c>
      <c r="X519" s="3">
        <v>48.7</v>
      </c>
      <c r="Y519" s="3">
        <v>48.4</v>
      </c>
      <c r="Z519" s="3">
        <v>47.6</v>
      </c>
      <c r="AA519" s="3">
        <v>43.2</v>
      </c>
      <c r="AB519" s="3">
        <v>38.4</v>
      </c>
      <c r="AC519" s="3">
        <v>36.9</v>
      </c>
      <c r="AD519" s="3">
        <v>40.1</v>
      </c>
      <c r="AE519" s="3">
        <v>42.6</v>
      </c>
      <c r="AF519" s="3">
        <v>46.5</v>
      </c>
      <c r="AG519" s="3">
        <v>39.5</v>
      </c>
      <c r="AH519" s="3">
        <v>38.700000000000003</v>
      </c>
      <c r="AI519" s="3">
        <v>38.6</v>
      </c>
      <c r="AJ519" s="3">
        <v>37</v>
      </c>
      <c r="AK519" s="3">
        <v>34.9</v>
      </c>
      <c r="AL519" s="3">
        <v>32.6</v>
      </c>
      <c r="AM519" s="3">
        <v>31.5</v>
      </c>
      <c r="AN519" s="3">
        <v>29.9</v>
      </c>
      <c r="AO519" s="3">
        <v>26.7</v>
      </c>
      <c r="AP519" s="3">
        <v>24.6</v>
      </c>
      <c r="AQ519" s="3">
        <v>22.3</v>
      </c>
      <c r="AR519" s="3">
        <v>18.899999999999999</v>
      </c>
      <c r="AS519" s="3">
        <v>19.8</v>
      </c>
      <c r="AT519" s="3">
        <v>25.8</v>
      </c>
      <c r="AU519" s="3">
        <v>9.6</v>
      </c>
      <c r="AV519" s="3">
        <v>9</v>
      </c>
      <c r="AW519" s="3">
        <v>9.1999999999999993</v>
      </c>
      <c r="AX519" s="3">
        <v>9.1999999999999993</v>
      </c>
      <c r="AY519" s="3">
        <v>9.4</v>
      </c>
      <c r="AZ519" s="3">
        <v>0</v>
      </c>
      <c r="BA519" s="3">
        <v>0</v>
      </c>
      <c r="BB519" s="3">
        <v>0</v>
      </c>
      <c r="BC519" s="3">
        <v>39.946335069102474</v>
      </c>
      <c r="BD519" s="3">
        <v>48.753664930897529</v>
      </c>
      <c r="BE519" s="3">
        <v>48.453664930897531</v>
      </c>
      <c r="BF519" s="3">
        <v>46.413664930897525</v>
      </c>
      <c r="BG519" s="3">
        <v>42.340331597564187</v>
      </c>
      <c r="BH519" s="3">
        <v>37.680331597564191</v>
      </c>
      <c r="BI519" s="3">
        <v>36.593664930897518</v>
      </c>
      <c r="BJ519" s="3">
        <v>40.586998264230857</v>
      </c>
      <c r="BK519" s="3">
        <v>42.960331597564192</v>
      </c>
      <c r="BL519" s="3">
        <v>46.433664930897521</v>
      </c>
      <c r="BM519" s="3">
        <v>39.566998264230861</v>
      </c>
      <c r="BN519" s="3">
        <v>39.050331597564195</v>
      </c>
      <c r="BO519" s="3">
        <v>38.316998264230861</v>
      </c>
      <c r="BP519" s="3">
        <v>36.433664930897521</v>
      </c>
      <c r="BQ519" s="3">
        <v>34.750331597564184</v>
      </c>
      <c r="BR519" s="3">
        <v>32.776998264230855</v>
      </c>
      <c r="BS519" s="3">
        <v>31.480331597564188</v>
      </c>
      <c r="BT519" s="3">
        <v>30.076998264230866</v>
      </c>
      <c r="BU519" s="3">
        <v>26.843664930897532</v>
      </c>
      <c r="BV519" s="3">
        <v>24.460331597564192</v>
      </c>
      <c r="BW519" s="3">
        <v>22.693664930897526</v>
      </c>
      <c r="BX519" s="3">
        <v>19.213664930897529</v>
      </c>
      <c r="BY519" s="3">
        <v>19.933664930897521</v>
      </c>
      <c r="BZ519" s="3">
        <v>26.063664930897531</v>
      </c>
      <c r="CA519" s="3">
        <v>9.9636649308975223</v>
      </c>
      <c r="CB519" s="3">
        <v>8.8003315975641883</v>
      </c>
      <c r="CC519" s="3">
        <v>9.2136649308975223</v>
      </c>
      <c r="CD519" s="3">
        <v>8.5203315975641942</v>
      </c>
      <c r="CE519" s="3">
        <v>8.9136649308975251</v>
      </c>
      <c r="CF519" s="3">
        <v>-0.87300173576914375</v>
      </c>
      <c r="CG519" s="3">
        <v>-1.4063350691024752</v>
      </c>
      <c r="CH519" s="3">
        <v>-2.4830017357691432</v>
      </c>
      <c r="CI519" s="13">
        <f>[1]!dbasum(RecData[[#This Row],[20]:[2000]],RecData[[#Headers],[20]:[2000]])</f>
        <v>39.60994574913132</v>
      </c>
      <c r="CJ519" s="14">
        <v>8257</v>
      </c>
      <c r="CK519" s="15" t="s">
        <v>249</v>
      </c>
      <c r="CL519" s="15">
        <f>RecData[[#This Row],[Start Time]]</f>
        <v>43270.055555555562</v>
      </c>
      <c r="CM519" s="16">
        <f>RecData[[#This Row],[Wind Speed avg]]</f>
        <v>0.28999999999999998</v>
      </c>
      <c r="CN519" s="16">
        <f>RecData[[#This Row],[Wind Dir. avg]]</f>
        <v>222</v>
      </c>
      <c r="CO519" s="16">
        <f>RecData[[#This Row],[Amb. Humidity]]</f>
        <v>67.5</v>
      </c>
      <c r="CP519" s="16">
        <f>RecData[[#This Row],[Amb. Temperature]]</f>
        <v>15.8</v>
      </c>
      <c r="CQ519" s="17">
        <f>RecData[[#This Row],[Amb. Rain Gauge]]</f>
        <v>0</v>
      </c>
      <c r="CR519" s="4" t="s">
        <v>1</v>
      </c>
      <c r="CS519" s="4" t="s">
        <v>49</v>
      </c>
      <c r="CT519" s="70">
        <v>1594.17932128906</v>
      </c>
      <c r="CU519" s="70">
        <v>21.000177383422798</v>
      </c>
      <c r="CV519" s="70">
        <v>10.4400129318237</v>
      </c>
      <c r="CW519" s="70">
        <v>15.184266090393001</v>
      </c>
      <c r="CX519" s="4"/>
      <c r="CY519" s="69"/>
      <c r="CZ519" s="2" t="b">
        <f>IF($DP$1="YES",IF(RecData[[#This Row],[Power (kW)]]&gt;=$CR$3, TRUE,FALSE),TRUE)</f>
        <v>1</v>
      </c>
      <c r="DA519" s="16">
        <f>MIN(MOD(180-ABS(ABS($DA$1-RecData[Yaw Angle (°)])-180),360),MOD(180-ABS(ABS($DB$1-RecData[Yaw Angle (°)])-180),360))</f>
        <v>13.470250605735259</v>
      </c>
      <c r="DB519" s="2" t="str">
        <f>IF($DP$2="None","None",IF(RecData[[#This Row],[Relative Wind Direction]]&lt;=45,"DW",IF(RecData[[#This Row],[Relative Wind Direction]]&lt;=135,"CW","UW")))</f>
        <v>DW</v>
      </c>
      <c r="DC519" s="61">
        <f>IF($CL519-$CL516&gt;1/24,#REF!,IF(SUM($CQ516:$CQ519)&gt;$DS$1,$DS$5,DC520-1))</f>
        <v>-7</v>
      </c>
      <c r="DD519" s="61">
        <f>IF($CL520-$CL519&gt;1/24,#REF!,IF(SUM($CQ516:$CQ519)&gt;$DS$1,$DS$6,DD518-1))</f>
        <v>-4</v>
      </c>
      <c r="DE519" s="18" t="b">
        <v>0</v>
      </c>
      <c r="DF519" s="2" t="b">
        <f>IF(OR(RecData[[#This Row],[WSpd_Avg '[m/s']]]-RecData[[#This Row],[Wind Speed min]]&gt;=$DF$3,RecData[[#This Row],[Wind Speed max]]-RecData[[#This Row],[WSpd_Avg '[m/s']]]&gt;=$DF$2),TRUE,FALSE)</f>
        <v>0</v>
      </c>
      <c r="DG519" s="2" t="b">
        <f>RecData[[#This Row],[Temperature '[°C']]]&lt;=-20</f>
        <v>0</v>
      </c>
      <c r="DH519" s="18" t="b">
        <f>NOT(OR(MOD(RecData[[#This Row],[TIMESTAMP]],1)&gt;0.91632,MOD(RecData[[#This Row],[TIMESTAMP]],1)&lt;0.208681))</f>
        <v>0</v>
      </c>
      <c r="DI519" s="18" t="b">
        <f>RecData[[#This Row],[Overall (dBA)]]-RecData[[#This Row],[L90]]&gt;=$DS$4</f>
        <v>0</v>
      </c>
      <c r="DJ519" s="18" t="b">
        <f>RecData[[#This Row],[Overall (dBA)]]&gt;$DS$2</f>
        <v>0</v>
      </c>
      <c r="DK519" s="18" t="b">
        <f>RecData[[#This Row],[Overall (dBA)]]&lt;$DS$3</f>
        <v>0</v>
      </c>
      <c r="DL5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19" s="2">
        <f>IF(AND(RecData[[#This Row],[Turbines ON/OFF]] = "OFF", NOT(OR(RecData[[#This Row],[Junk?]]="YES",RecData[[#This Row],[Gust?]],RecData[[#This Row],[Rain?]:[Min SPL Threshold?]]))),1,0)</f>
        <v>0</v>
      </c>
      <c r="DN519" s="16">
        <f>RecData[[#This Row],[dBA Sum]]</f>
        <v>39.60994574913132</v>
      </c>
      <c r="DO519" s="16">
        <f>RecData[[#This Row],[LAF90.0]]</f>
        <v>38.4</v>
      </c>
      <c r="DP519" s="55">
        <f>IF(AND(RecData[[#This Row],[Useable TON Data?]],RecData[[#This Row],[Turbines ON/OFF]]="ON"),RecData[[#This Row],[dBA Sum]],"")</f>
        <v>39.60994574913132</v>
      </c>
      <c r="DQ519" s="55" t="str">
        <f>IF(AND(RecData[[#This Row],[Useable Background Data?]],RecData[[#This Row],[Turbines ON/OFF]]="OFF"),RecData[[#This Row],[dBA Sum]],"")</f>
        <v/>
      </c>
      <c r="DR519" s="3">
        <f>IF(OR(RecData[[#This Row],[Useable TON Data?]],RecData[[#This Row],[Useable Background Data?]]),ROUND(RecData[[#This Row],[WSpd_Avg '[m/s']]],0),"")</f>
        <v>0</v>
      </c>
      <c r="DS519" s="85">
        <f>(0.00002)^2*(10^(RecData[[#This Row],[Overall (dBA)]]/10))</f>
        <v>3.6564072907644686E-6</v>
      </c>
    </row>
    <row r="520" spans="1:123" ht="15" x14ac:dyDescent="0.25">
      <c r="A520" s="3" t="s">
        <v>249</v>
      </c>
      <c r="B520" s="12">
        <v>43270.056250000001</v>
      </c>
      <c r="C520" s="3"/>
      <c r="D520" s="3">
        <v>39.6</v>
      </c>
      <c r="E520" s="3"/>
      <c r="F520" s="3"/>
      <c r="G520" s="3"/>
      <c r="H520" s="3"/>
      <c r="I520" s="3"/>
      <c r="J520" s="3"/>
      <c r="K520" s="3">
        <v>38</v>
      </c>
      <c r="L520" s="3"/>
      <c r="M520" s="3"/>
      <c r="N520" s="3">
        <v>192.2</v>
      </c>
      <c r="O520" s="3"/>
      <c r="P520" s="3"/>
      <c r="Q520" s="3">
        <v>0.56999999999999995</v>
      </c>
      <c r="R520" s="3">
        <v>0.4</v>
      </c>
      <c r="S520" s="3">
        <v>0.8</v>
      </c>
      <c r="T520" s="3">
        <v>15.7</v>
      </c>
      <c r="U520" s="3">
        <v>67.900000000000006</v>
      </c>
      <c r="V520" s="3">
        <v>972.9</v>
      </c>
      <c r="W520" s="3">
        <v>0</v>
      </c>
      <c r="X520" s="3">
        <v>48.2</v>
      </c>
      <c r="Y520" s="3">
        <v>47.9</v>
      </c>
      <c r="Z520" s="3">
        <v>47.6</v>
      </c>
      <c r="AA520" s="3">
        <v>43.6</v>
      </c>
      <c r="AB520" s="3">
        <v>39.200000000000003</v>
      </c>
      <c r="AC520" s="3">
        <v>36.9</v>
      </c>
      <c r="AD520" s="3">
        <v>39.6</v>
      </c>
      <c r="AE520" s="3">
        <v>41.4</v>
      </c>
      <c r="AF520" s="3">
        <v>45.6</v>
      </c>
      <c r="AG520" s="3">
        <v>39.200000000000003</v>
      </c>
      <c r="AH520" s="3">
        <v>37.799999999999997</v>
      </c>
      <c r="AI520" s="3">
        <v>38.200000000000003</v>
      </c>
      <c r="AJ520" s="3">
        <v>36.700000000000003</v>
      </c>
      <c r="AK520" s="3">
        <v>34.700000000000003</v>
      </c>
      <c r="AL520" s="3">
        <v>32.4</v>
      </c>
      <c r="AM520" s="3">
        <v>31.9</v>
      </c>
      <c r="AN520" s="3">
        <v>30.4</v>
      </c>
      <c r="AO520" s="3">
        <v>26.8</v>
      </c>
      <c r="AP520" s="3">
        <v>24.6</v>
      </c>
      <c r="AQ520" s="3">
        <v>22.3</v>
      </c>
      <c r="AR520" s="3">
        <v>18.7</v>
      </c>
      <c r="AS520" s="3">
        <v>17.7</v>
      </c>
      <c r="AT520" s="3">
        <v>22.1</v>
      </c>
      <c r="AU520" s="3">
        <v>9.1999999999999993</v>
      </c>
      <c r="AV520" s="3">
        <v>8.9</v>
      </c>
      <c r="AW520" s="3">
        <v>9.1999999999999993</v>
      </c>
      <c r="AX520" s="3">
        <v>9.1999999999999993</v>
      </c>
      <c r="AY520" s="3">
        <v>9.5</v>
      </c>
      <c r="AZ520" s="3">
        <v>0</v>
      </c>
      <c r="BA520" s="3">
        <v>0</v>
      </c>
      <c r="BB520" s="3">
        <v>0</v>
      </c>
      <c r="BC520" s="3">
        <v>39.584730312536905</v>
      </c>
      <c r="BD520" s="3">
        <v>48.215269687463106</v>
      </c>
      <c r="BE520" s="3">
        <v>47.915269687463095</v>
      </c>
      <c r="BF520" s="3">
        <v>46.375269687463103</v>
      </c>
      <c r="BG520" s="3">
        <v>42.701936354129757</v>
      </c>
      <c r="BH520" s="3">
        <v>38.441936354129766</v>
      </c>
      <c r="BI520" s="3">
        <v>36.555269687463095</v>
      </c>
      <c r="BJ520" s="3">
        <v>40.048603020796421</v>
      </c>
      <c r="BK520" s="3">
        <v>41.721936354129767</v>
      </c>
      <c r="BL520" s="3">
        <v>45.495269687463107</v>
      </c>
      <c r="BM520" s="3">
        <v>39.228603020796427</v>
      </c>
      <c r="BN520" s="3">
        <v>38.111936354129753</v>
      </c>
      <c r="BO520" s="3">
        <v>37.878603020796433</v>
      </c>
      <c r="BP520" s="3">
        <v>36.095269687463102</v>
      </c>
      <c r="BQ520" s="3">
        <v>34.511936354129759</v>
      </c>
      <c r="BR520" s="3">
        <v>32.53860302079643</v>
      </c>
      <c r="BS520" s="3">
        <v>31.841936354129757</v>
      </c>
      <c r="BT520" s="3">
        <v>30.53860302079643</v>
      </c>
      <c r="BU520" s="3">
        <v>26.905269687463104</v>
      </c>
      <c r="BV520" s="3">
        <v>24.42193635412977</v>
      </c>
      <c r="BW520" s="3">
        <v>22.655269687463104</v>
      </c>
      <c r="BX520" s="3">
        <v>18.975269687463097</v>
      </c>
      <c r="BY520" s="3">
        <v>17.79526968746309</v>
      </c>
      <c r="BZ520" s="3">
        <v>22.325269687463106</v>
      </c>
      <c r="CA520" s="3">
        <v>9.5252696874630871</v>
      </c>
      <c r="CB520" s="3">
        <v>8.6619363541297645</v>
      </c>
      <c r="CC520" s="3">
        <v>9.1752696874630928</v>
      </c>
      <c r="CD520" s="3">
        <v>8.4819363541297648</v>
      </c>
      <c r="CE520" s="3">
        <v>8.9752696874630971</v>
      </c>
      <c r="CF520" s="3">
        <v>-0.91139697920357321</v>
      </c>
      <c r="CG520" s="3">
        <v>-1.4447303125369046</v>
      </c>
      <c r="CH520" s="3">
        <v>-2.5213969792035726</v>
      </c>
      <c r="CI520" s="13">
        <f>[1]!dbasum(RecData[[#This Row],[20]:[2000]],RecData[[#Headers],[20]:[2000]])</f>
        <v>39.354093066504525</v>
      </c>
      <c r="CJ520" s="14">
        <v>8258</v>
      </c>
      <c r="CK520" s="15" t="s">
        <v>249</v>
      </c>
      <c r="CL520" s="15">
        <f>RecData[[#This Row],[Start Time]]</f>
        <v>43270.056250000001</v>
      </c>
      <c r="CM520" s="16">
        <f>RecData[[#This Row],[Wind Speed avg]]</f>
        <v>0.56999999999999995</v>
      </c>
      <c r="CN520" s="16">
        <f>RecData[[#This Row],[Wind Dir. avg]]</f>
        <v>192.2</v>
      </c>
      <c r="CO520" s="16">
        <f>RecData[[#This Row],[Amb. Humidity]]</f>
        <v>67.900000000000006</v>
      </c>
      <c r="CP520" s="16">
        <f>RecData[[#This Row],[Amb. Temperature]]</f>
        <v>15.7</v>
      </c>
      <c r="CQ520" s="17">
        <f>RecData[[#This Row],[Amb. Rain Gauge]]</f>
        <v>0</v>
      </c>
      <c r="CR520" s="4" t="s">
        <v>1</v>
      </c>
      <c r="CS520" s="4" t="s">
        <v>49</v>
      </c>
      <c r="CT520" s="70">
        <v>1412.62536621093</v>
      </c>
      <c r="CU520" s="70">
        <v>23.674150466918899</v>
      </c>
      <c r="CV520" s="70">
        <v>9.2672624588012695</v>
      </c>
      <c r="CW520" s="70">
        <v>15.1214637756347</v>
      </c>
      <c r="CX520" s="4"/>
      <c r="CY520" s="69"/>
      <c r="CZ520" s="2" t="b">
        <f>IF($DP$1="YES",IF(RecData[[#This Row],[Power (kW)]]&gt;=$CR$3, TRUE,FALSE),TRUE)</f>
        <v>1</v>
      </c>
      <c r="DA520" s="16">
        <f>MIN(MOD(180-ABS(ABS($DA$1-RecData[Yaw Angle (°)])-180),360),MOD(180-ABS(ABS($DB$1-RecData[Yaw Angle (°)])-180),360))</f>
        <v>16.144223689231353</v>
      </c>
      <c r="DB520" s="2" t="str">
        <f>IF($DP$2="None","None",IF(RecData[[#This Row],[Relative Wind Direction]]&lt;=45,"DW",IF(RecData[[#This Row],[Relative Wind Direction]]&lt;=135,"CW","UW")))</f>
        <v>DW</v>
      </c>
      <c r="DC520" s="61">
        <f>IF($CL520-$CL516&gt;1/24,#REF!,IF(SUM($CQ516:$CQ520)&gt;$DS$1,$DS$5,DC521-1))</f>
        <v>-6</v>
      </c>
      <c r="DD520" s="61">
        <f>IF($CL521-$CL520&gt;1/24,#REF!,IF(SUM($CQ516:$CQ520)&gt;$DS$1,$DS$6,DD519-1))</f>
        <v>-5</v>
      </c>
      <c r="DE520" s="18" t="b">
        <v>0</v>
      </c>
      <c r="DF520" s="2" t="b">
        <f>IF(OR(RecData[[#This Row],[WSpd_Avg '[m/s']]]-RecData[[#This Row],[Wind Speed min]]&gt;=$DF$3,RecData[[#This Row],[Wind Speed max]]-RecData[[#This Row],[WSpd_Avg '[m/s']]]&gt;=$DF$2),TRUE,FALSE)</f>
        <v>0</v>
      </c>
      <c r="DG520" s="2" t="b">
        <f>RecData[[#This Row],[Temperature '[°C']]]&lt;=-20</f>
        <v>0</v>
      </c>
      <c r="DH520" s="18" t="b">
        <f>NOT(OR(MOD(RecData[[#This Row],[TIMESTAMP]],1)&gt;0.91632,MOD(RecData[[#This Row],[TIMESTAMP]],1)&lt;0.208681))</f>
        <v>0</v>
      </c>
      <c r="DI520" s="18" t="b">
        <f>RecData[[#This Row],[Overall (dBA)]]-RecData[[#This Row],[L90]]&gt;=$DS$4</f>
        <v>0</v>
      </c>
      <c r="DJ520" s="18" t="b">
        <f>RecData[[#This Row],[Overall (dBA)]]&gt;$DS$2</f>
        <v>0</v>
      </c>
      <c r="DK520" s="18" t="b">
        <f>RecData[[#This Row],[Overall (dBA)]]&lt;$DS$3</f>
        <v>0</v>
      </c>
      <c r="DL5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0" s="2">
        <f>IF(AND(RecData[[#This Row],[Turbines ON/OFF]] = "OFF", NOT(OR(RecData[[#This Row],[Junk?]]="YES",RecData[[#This Row],[Gust?]],RecData[[#This Row],[Rain?]:[Min SPL Threshold?]]))),1,0)</f>
        <v>0</v>
      </c>
      <c r="DN520" s="16">
        <f>RecData[[#This Row],[dBA Sum]]</f>
        <v>39.354093066504525</v>
      </c>
      <c r="DO520" s="16">
        <f>RecData[[#This Row],[LAF90.0]]</f>
        <v>38</v>
      </c>
      <c r="DP520" s="55">
        <f>IF(AND(RecData[[#This Row],[Useable TON Data?]],RecData[[#This Row],[Turbines ON/OFF]]="ON"),RecData[[#This Row],[dBA Sum]],"")</f>
        <v>39.354093066504525</v>
      </c>
      <c r="DQ520" s="55" t="str">
        <f>IF(AND(RecData[[#This Row],[Useable Background Data?]],RecData[[#This Row],[Turbines ON/OFF]]="OFF"),RecData[[#This Row],[dBA Sum]],"")</f>
        <v/>
      </c>
      <c r="DR520" s="3">
        <f>IF(OR(RecData[[#This Row],[Useable TON Data?]],RecData[[#This Row],[Useable Background Data?]]),ROUND(RecData[[#This Row],[WSpd_Avg '[m/s']]],0),"")</f>
        <v>1</v>
      </c>
      <c r="DS520" s="85">
        <f>(0.00002)^2*(10^(RecData[[#This Row],[Overall (dBA)]]/10))</f>
        <v>3.4472223591204592E-6</v>
      </c>
    </row>
    <row r="521" spans="1:123" ht="15" x14ac:dyDescent="0.25">
      <c r="A521" s="3" t="s">
        <v>249</v>
      </c>
      <c r="B521" s="12">
        <v>43270.056944444448</v>
      </c>
      <c r="C521" s="3"/>
      <c r="D521" s="3">
        <v>39.700000000000003</v>
      </c>
      <c r="E521" s="3"/>
      <c r="F521" s="3"/>
      <c r="G521" s="3"/>
      <c r="H521" s="3"/>
      <c r="I521" s="3"/>
      <c r="J521" s="3"/>
      <c r="K521" s="3">
        <v>37.9</v>
      </c>
      <c r="L521" s="3"/>
      <c r="M521" s="3"/>
      <c r="N521" s="3">
        <v>209.3</v>
      </c>
      <c r="O521" s="3"/>
      <c r="P521" s="3"/>
      <c r="Q521" s="3">
        <v>0.52</v>
      </c>
      <c r="R521" s="3">
        <v>0.1</v>
      </c>
      <c r="S521" s="3">
        <v>1</v>
      </c>
      <c r="T521" s="3">
        <v>15.7</v>
      </c>
      <c r="U521" s="3">
        <v>68.099999999999994</v>
      </c>
      <c r="V521" s="3">
        <v>972.9</v>
      </c>
      <c r="W521" s="3">
        <v>0</v>
      </c>
      <c r="X521" s="3">
        <v>47.7</v>
      </c>
      <c r="Y521" s="3">
        <v>46.7</v>
      </c>
      <c r="Z521" s="3">
        <v>46.7</v>
      </c>
      <c r="AA521" s="3">
        <v>42.8</v>
      </c>
      <c r="AB521" s="3">
        <v>38.200000000000003</v>
      </c>
      <c r="AC521" s="3">
        <v>36.299999999999997</v>
      </c>
      <c r="AD521" s="3">
        <v>39.9</v>
      </c>
      <c r="AE521" s="3">
        <v>42.5</v>
      </c>
      <c r="AF521" s="3">
        <v>46.2</v>
      </c>
      <c r="AG521" s="3">
        <v>39.799999999999997</v>
      </c>
      <c r="AH521" s="3">
        <v>38.200000000000003</v>
      </c>
      <c r="AI521" s="3">
        <v>38.299999999999997</v>
      </c>
      <c r="AJ521" s="3">
        <v>36.700000000000003</v>
      </c>
      <c r="AK521" s="3">
        <v>34.700000000000003</v>
      </c>
      <c r="AL521" s="3">
        <v>32.200000000000003</v>
      </c>
      <c r="AM521" s="3">
        <v>31.5</v>
      </c>
      <c r="AN521" s="3">
        <v>29.8</v>
      </c>
      <c r="AO521" s="3">
        <v>26.7</v>
      </c>
      <c r="AP521" s="3">
        <v>24.4</v>
      </c>
      <c r="AQ521" s="3">
        <v>22.1</v>
      </c>
      <c r="AR521" s="3">
        <v>18.600000000000001</v>
      </c>
      <c r="AS521" s="3">
        <v>18.600000000000001</v>
      </c>
      <c r="AT521" s="3">
        <v>24.1</v>
      </c>
      <c r="AU521" s="3">
        <v>9.5</v>
      </c>
      <c r="AV521" s="3">
        <v>9.1</v>
      </c>
      <c r="AW521" s="3">
        <v>9.4</v>
      </c>
      <c r="AX521" s="3">
        <v>9.3000000000000007</v>
      </c>
      <c r="AY521" s="3">
        <v>9.5</v>
      </c>
      <c r="AZ521" s="3">
        <v>0</v>
      </c>
      <c r="BA521" s="3">
        <v>0</v>
      </c>
      <c r="BB521" s="3">
        <v>0</v>
      </c>
      <c r="BC521" s="3">
        <v>39.663804618909346</v>
      </c>
      <c r="BD521" s="3">
        <v>47.73619538109066</v>
      </c>
      <c r="BE521" s="3">
        <v>46.73619538109066</v>
      </c>
      <c r="BF521" s="3">
        <v>45.496195381090651</v>
      </c>
      <c r="BG521" s="3">
        <v>41.922862047757327</v>
      </c>
      <c r="BH521" s="3">
        <v>37.462862047757319</v>
      </c>
      <c r="BI521" s="3">
        <v>35.976195381090655</v>
      </c>
      <c r="BJ521" s="3">
        <v>40.369528714423986</v>
      </c>
      <c r="BK521" s="3">
        <v>42.842862047757315</v>
      </c>
      <c r="BL521" s="3">
        <v>46.116195381090655</v>
      </c>
      <c r="BM521" s="3">
        <v>39.84952871442399</v>
      </c>
      <c r="BN521" s="3">
        <v>38.532862047757327</v>
      </c>
      <c r="BO521" s="3">
        <v>37.999528714423981</v>
      </c>
      <c r="BP521" s="3">
        <v>36.116195381090655</v>
      </c>
      <c r="BQ521" s="3">
        <v>34.532862047757312</v>
      </c>
      <c r="BR521" s="3">
        <v>32.359528714423995</v>
      </c>
      <c r="BS521" s="3">
        <v>31.462862047757319</v>
      </c>
      <c r="BT521" s="3">
        <v>29.959528714423989</v>
      </c>
      <c r="BU521" s="3">
        <v>26.826195381090663</v>
      </c>
      <c r="BV521" s="3">
        <v>24.24286204775732</v>
      </c>
      <c r="BW521" s="3">
        <v>22.476195381090662</v>
      </c>
      <c r="BX521" s="3">
        <v>18.896195381090664</v>
      </c>
      <c r="BY521" s="3">
        <v>18.716195381090657</v>
      </c>
      <c r="BZ521" s="3">
        <v>24.346195381090659</v>
      </c>
      <c r="CA521" s="3">
        <v>9.8461953810906522</v>
      </c>
      <c r="CB521" s="3">
        <v>8.882862047757321</v>
      </c>
      <c r="CC521" s="3">
        <v>9.3961953810906564</v>
      </c>
      <c r="CD521" s="3">
        <v>8.602862047757327</v>
      </c>
      <c r="CE521" s="3">
        <v>8.9961953810906579</v>
      </c>
      <c r="CF521" s="3">
        <v>-0.89047128557601241</v>
      </c>
      <c r="CG521" s="3">
        <v>-1.4238046189093438</v>
      </c>
      <c r="CH521" s="3">
        <v>-2.5004712855760118</v>
      </c>
      <c r="CI521" s="13">
        <f>[1]!dbasum(RecData[[#This Row],[20]:[2000]],RecData[[#Headers],[20]:[2000]])</f>
        <v>39.386145893946207</v>
      </c>
      <c r="CJ521" s="14">
        <v>8259</v>
      </c>
      <c r="CK521" s="15" t="s">
        <v>249</v>
      </c>
      <c r="CL521" s="15">
        <f>RecData[[#This Row],[Start Time]]</f>
        <v>43270.056944444448</v>
      </c>
      <c r="CM521" s="16">
        <f>RecData[[#This Row],[Wind Speed avg]]</f>
        <v>0.52</v>
      </c>
      <c r="CN521" s="16">
        <f>RecData[[#This Row],[Wind Dir. avg]]</f>
        <v>209.3</v>
      </c>
      <c r="CO521" s="16">
        <f>RecData[[#This Row],[Amb. Humidity]]</f>
        <v>68.099999999999994</v>
      </c>
      <c r="CP521" s="16">
        <f>RecData[[#This Row],[Amb. Temperature]]</f>
        <v>15.7</v>
      </c>
      <c r="CQ521" s="17">
        <f>RecData[[#This Row],[Amb. Rain Gauge]]</f>
        <v>0</v>
      </c>
      <c r="CR521" s="4" t="s">
        <v>1</v>
      </c>
      <c r="CS521" s="4" t="s">
        <v>49</v>
      </c>
      <c r="CT521" s="70">
        <v>1412.62536621093</v>
      </c>
      <c r="CU521" s="70">
        <v>23.674150466918899</v>
      </c>
      <c r="CV521" s="70">
        <v>9.2672624588012695</v>
      </c>
      <c r="CW521" s="70">
        <v>15.1214637756347</v>
      </c>
      <c r="CX521" s="4"/>
      <c r="CY521" s="69"/>
      <c r="CZ521" s="2" t="b">
        <f>IF($DP$1="YES",IF(RecData[[#This Row],[Power (kW)]]&gt;=$CR$3, TRUE,FALSE),TRUE)</f>
        <v>1</v>
      </c>
      <c r="DA521" s="16">
        <f>MIN(MOD(180-ABS(ABS($DA$1-RecData[Yaw Angle (°)])-180),360),MOD(180-ABS(ABS($DB$1-RecData[Yaw Angle (°)])-180),360))</f>
        <v>16.144223689231353</v>
      </c>
      <c r="DB521" s="2" t="str">
        <f>IF($DP$2="None","None",IF(RecData[[#This Row],[Relative Wind Direction]]&lt;=45,"DW",IF(RecData[[#This Row],[Relative Wind Direction]]&lt;=135,"CW","UW")))</f>
        <v>DW</v>
      </c>
      <c r="DC521" s="61">
        <f>IF($CL521-$CL517&gt;1/24,#REF!,IF(SUM($CQ517:$CQ521)&gt;$DS$1,$DS$5,DC522-1))</f>
        <v>-5</v>
      </c>
      <c r="DD521" s="61">
        <f>IF($CL522-$CL521&gt;1/24,#REF!,IF(SUM($CQ517:$CQ521)&gt;$DS$1,$DS$6,DD520-1))</f>
        <v>-6</v>
      </c>
      <c r="DE521" s="18" t="b">
        <v>0</v>
      </c>
      <c r="DF521" s="2" t="b">
        <f>IF(OR(RecData[[#This Row],[WSpd_Avg '[m/s']]]-RecData[[#This Row],[Wind Speed min]]&gt;=$DF$3,RecData[[#This Row],[Wind Speed max]]-RecData[[#This Row],[WSpd_Avg '[m/s']]]&gt;=$DF$2),TRUE,FALSE)</f>
        <v>0</v>
      </c>
      <c r="DG521" s="2" t="b">
        <f>RecData[[#This Row],[Temperature '[°C']]]&lt;=-20</f>
        <v>0</v>
      </c>
      <c r="DH521" s="18" t="b">
        <f>NOT(OR(MOD(RecData[[#This Row],[TIMESTAMP]],1)&gt;0.91632,MOD(RecData[[#This Row],[TIMESTAMP]],1)&lt;0.208681))</f>
        <v>0</v>
      </c>
      <c r="DI521" s="18" t="b">
        <f>RecData[[#This Row],[Overall (dBA)]]-RecData[[#This Row],[L90]]&gt;=$DS$4</f>
        <v>0</v>
      </c>
      <c r="DJ521" s="18" t="b">
        <f>RecData[[#This Row],[Overall (dBA)]]&gt;$DS$2</f>
        <v>0</v>
      </c>
      <c r="DK521" s="18" t="b">
        <f>RecData[[#This Row],[Overall (dBA)]]&lt;$DS$3</f>
        <v>0</v>
      </c>
      <c r="DL5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1" s="2">
        <f>IF(AND(RecData[[#This Row],[Turbines ON/OFF]] = "OFF", NOT(OR(RecData[[#This Row],[Junk?]]="YES",RecData[[#This Row],[Gust?]],RecData[[#This Row],[Rain?]:[Min SPL Threshold?]]))),1,0)</f>
        <v>0</v>
      </c>
      <c r="DN521" s="16">
        <f>RecData[[#This Row],[dBA Sum]]</f>
        <v>39.386145893946207</v>
      </c>
      <c r="DO521" s="16">
        <f>RecData[[#This Row],[LAF90.0]]</f>
        <v>37.9</v>
      </c>
      <c r="DP521" s="55">
        <f>IF(AND(RecData[[#This Row],[Useable TON Data?]],RecData[[#This Row],[Turbines ON/OFF]]="ON"),RecData[[#This Row],[dBA Sum]],"")</f>
        <v>39.386145893946207</v>
      </c>
      <c r="DQ521" s="55" t="str">
        <f>IF(AND(RecData[[#This Row],[Useable Background Data?]],RecData[[#This Row],[Turbines ON/OFF]]="OFF"),RecData[[#This Row],[dBA Sum]],"")</f>
        <v/>
      </c>
      <c r="DR521" s="3">
        <f>IF(OR(RecData[[#This Row],[Useable TON Data?]],RecData[[#This Row],[Useable Background Data?]]),ROUND(RecData[[#This Row],[WSpd_Avg '[m/s']]],0),"")</f>
        <v>1</v>
      </c>
      <c r="DS521" s="85">
        <f>(0.00002)^2*(10^(RecData[[#This Row],[Overall (dBA)]]/10))</f>
        <v>3.4727584819843705E-6</v>
      </c>
    </row>
    <row r="522" spans="1:123" ht="15" x14ac:dyDescent="0.25">
      <c r="A522" s="3" t="s">
        <v>249</v>
      </c>
      <c r="B522" s="12">
        <v>43270.057638888895</v>
      </c>
      <c r="C522" s="3"/>
      <c r="D522" s="3">
        <v>39.9</v>
      </c>
      <c r="E522" s="3"/>
      <c r="F522" s="3"/>
      <c r="G522" s="3"/>
      <c r="H522" s="3"/>
      <c r="I522" s="3"/>
      <c r="J522" s="3"/>
      <c r="K522" s="3">
        <v>38.299999999999997</v>
      </c>
      <c r="L522" s="3"/>
      <c r="M522" s="3"/>
      <c r="N522" s="3">
        <v>183.2</v>
      </c>
      <c r="O522" s="3"/>
      <c r="P522" s="3"/>
      <c r="Q522" s="3">
        <v>0.86</v>
      </c>
      <c r="R522" s="3">
        <v>0.5</v>
      </c>
      <c r="S522" s="3">
        <v>1.2</v>
      </c>
      <c r="T522" s="3">
        <v>15.6</v>
      </c>
      <c r="U522" s="3">
        <v>68.900000000000006</v>
      </c>
      <c r="V522" s="3">
        <v>972.9</v>
      </c>
      <c r="W522" s="3">
        <v>0</v>
      </c>
      <c r="X522" s="3">
        <v>47.8</v>
      </c>
      <c r="Y522" s="3">
        <v>46.1</v>
      </c>
      <c r="Z522" s="3">
        <v>46.7</v>
      </c>
      <c r="AA522" s="3">
        <v>42.7</v>
      </c>
      <c r="AB522" s="3">
        <v>38.6</v>
      </c>
      <c r="AC522" s="3">
        <v>35.9</v>
      </c>
      <c r="AD522" s="3">
        <v>39</v>
      </c>
      <c r="AE522" s="3">
        <v>42.8</v>
      </c>
      <c r="AF522" s="3">
        <v>47.2</v>
      </c>
      <c r="AG522" s="3">
        <v>40.799999999999997</v>
      </c>
      <c r="AH522" s="3">
        <v>38.299999999999997</v>
      </c>
      <c r="AI522" s="3">
        <v>39.200000000000003</v>
      </c>
      <c r="AJ522" s="3">
        <v>36.700000000000003</v>
      </c>
      <c r="AK522" s="3">
        <v>34.799999999999997</v>
      </c>
      <c r="AL522" s="3">
        <v>32.200000000000003</v>
      </c>
      <c r="AM522" s="3">
        <v>31.5</v>
      </c>
      <c r="AN522" s="3">
        <v>29.9</v>
      </c>
      <c r="AO522" s="3">
        <v>26.5</v>
      </c>
      <c r="AP522" s="3">
        <v>24.4</v>
      </c>
      <c r="AQ522" s="3">
        <v>22.4</v>
      </c>
      <c r="AR522" s="3">
        <v>18.899999999999999</v>
      </c>
      <c r="AS522" s="3">
        <v>19.100000000000001</v>
      </c>
      <c r="AT522" s="3">
        <v>23.1</v>
      </c>
      <c r="AU522" s="3">
        <v>9.1999999999999993</v>
      </c>
      <c r="AV522" s="3">
        <v>8.8000000000000007</v>
      </c>
      <c r="AW522" s="3">
        <v>9.1999999999999993</v>
      </c>
      <c r="AX522" s="3">
        <v>9.3000000000000007</v>
      </c>
      <c r="AY522" s="3">
        <v>9.5</v>
      </c>
      <c r="AZ522" s="3">
        <v>0</v>
      </c>
      <c r="BA522" s="3">
        <v>0</v>
      </c>
      <c r="BB522" s="3">
        <v>0</v>
      </c>
      <c r="BC522" s="3">
        <v>39.930640642462237</v>
      </c>
      <c r="BD522" s="3">
        <v>47.769359357537752</v>
      </c>
      <c r="BE522" s="3">
        <v>46.069359357537763</v>
      </c>
      <c r="BF522" s="3">
        <v>45.429359357537763</v>
      </c>
      <c r="BG522" s="3">
        <v>41.756026024204431</v>
      </c>
      <c r="BH522" s="3">
        <v>37.796026024204423</v>
      </c>
      <c r="BI522" s="3">
        <v>35.509359357537761</v>
      </c>
      <c r="BJ522" s="3">
        <v>39.402692690871092</v>
      </c>
      <c r="BK522" s="3">
        <v>43.076026024204424</v>
      </c>
      <c r="BL522" s="3">
        <v>47.049359357537767</v>
      </c>
      <c r="BM522" s="3">
        <v>40.782692690871102</v>
      </c>
      <c r="BN522" s="3">
        <v>38.566026024204433</v>
      </c>
      <c r="BO522" s="3">
        <v>38.832692690871099</v>
      </c>
      <c r="BP522" s="3">
        <v>36.049359357537767</v>
      </c>
      <c r="BQ522" s="3">
        <v>34.566026024204419</v>
      </c>
      <c r="BR522" s="3">
        <v>32.292692690871093</v>
      </c>
      <c r="BS522" s="3">
        <v>31.396026024204431</v>
      </c>
      <c r="BT522" s="3">
        <v>29.992692690871095</v>
      </c>
      <c r="BU522" s="3">
        <v>26.559359357537772</v>
      </c>
      <c r="BV522" s="3">
        <v>24.176026024204432</v>
      </c>
      <c r="BW522" s="3">
        <v>22.709359357537764</v>
      </c>
      <c r="BX522" s="3">
        <v>19.129359357537766</v>
      </c>
      <c r="BY522" s="3">
        <v>19.149359357537762</v>
      </c>
      <c r="BZ522" s="3">
        <v>23.279359357537771</v>
      </c>
      <c r="CA522" s="3">
        <v>9.4793593575377528</v>
      </c>
      <c r="CB522" s="3">
        <v>8.5160260242044288</v>
      </c>
      <c r="CC522" s="3">
        <v>9.1293593575377585</v>
      </c>
      <c r="CD522" s="3">
        <v>8.5360260242044319</v>
      </c>
      <c r="CE522" s="3">
        <v>8.9293593575377628</v>
      </c>
      <c r="CF522" s="3">
        <v>-0.95730730912890749</v>
      </c>
      <c r="CG522" s="3">
        <v>-1.4906406424622389</v>
      </c>
      <c r="CH522" s="3">
        <v>-2.5673073091289069</v>
      </c>
      <c r="CI522" s="13">
        <f>[1]!dbasum(RecData[[#This Row],[20]:[2000]],RecData[[#Headers],[20]:[2000]])</f>
        <v>39.623731213631608</v>
      </c>
      <c r="CJ522" s="14">
        <v>8260</v>
      </c>
      <c r="CK522" s="15" t="s">
        <v>249</v>
      </c>
      <c r="CL522" s="15">
        <f>RecData[[#This Row],[Start Time]]</f>
        <v>43270.057638888895</v>
      </c>
      <c r="CM522" s="16">
        <f>RecData[[#This Row],[Wind Speed avg]]</f>
        <v>0.86</v>
      </c>
      <c r="CN522" s="16">
        <f>RecData[[#This Row],[Wind Dir. avg]]</f>
        <v>183.2</v>
      </c>
      <c r="CO522" s="16">
        <f>RecData[[#This Row],[Amb. Humidity]]</f>
        <v>68.900000000000006</v>
      </c>
      <c r="CP522" s="16">
        <f>RecData[[#This Row],[Amb. Temperature]]</f>
        <v>15.6</v>
      </c>
      <c r="CQ522" s="17">
        <f>RecData[[#This Row],[Amb. Rain Gauge]]</f>
        <v>0</v>
      </c>
      <c r="CR522" s="4" t="s">
        <v>1</v>
      </c>
      <c r="CS522" s="4" t="s">
        <v>49</v>
      </c>
      <c r="CT522" s="70">
        <v>1412.62536621093</v>
      </c>
      <c r="CU522" s="70">
        <v>23.674150466918899</v>
      </c>
      <c r="CV522" s="70">
        <v>9.2672624588012695</v>
      </c>
      <c r="CW522" s="70">
        <v>15.1214637756347</v>
      </c>
      <c r="CX522" s="4"/>
      <c r="CY522" s="69"/>
      <c r="CZ522" s="2" t="b">
        <f>IF($DP$1="YES",IF(RecData[[#This Row],[Power (kW)]]&gt;=$CR$3, TRUE,FALSE),TRUE)</f>
        <v>1</v>
      </c>
      <c r="DA522" s="16">
        <f>MIN(MOD(180-ABS(ABS($DA$1-RecData[Yaw Angle (°)])-180),360),MOD(180-ABS(ABS($DB$1-RecData[Yaw Angle (°)])-180),360))</f>
        <v>16.144223689231353</v>
      </c>
      <c r="DB522" s="2" t="str">
        <f>IF($DP$2="None","None",IF(RecData[[#This Row],[Relative Wind Direction]]&lt;=45,"DW",IF(RecData[[#This Row],[Relative Wind Direction]]&lt;=135,"CW","UW")))</f>
        <v>DW</v>
      </c>
      <c r="DC522" s="61">
        <f>IF($CL522-$CL518&gt;1/24,#REF!,IF(SUM($CQ518:$CQ522)&gt;$DS$1,$DS$5,DC523-1))</f>
        <v>-4</v>
      </c>
      <c r="DD522" s="61">
        <f>IF($CL523-$CL522&gt;1/24,#REF!,IF(SUM($CQ518:$CQ522)&gt;$DS$1,$DS$6,DD521-1))</f>
        <v>-7</v>
      </c>
      <c r="DE522" s="18" t="b">
        <v>0</v>
      </c>
      <c r="DF522" s="2" t="b">
        <f>IF(OR(RecData[[#This Row],[WSpd_Avg '[m/s']]]-RecData[[#This Row],[Wind Speed min]]&gt;=$DF$3,RecData[[#This Row],[Wind Speed max]]-RecData[[#This Row],[WSpd_Avg '[m/s']]]&gt;=$DF$2),TRUE,FALSE)</f>
        <v>0</v>
      </c>
      <c r="DG522" s="2" t="b">
        <f>RecData[[#This Row],[Temperature '[°C']]]&lt;=-20</f>
        <v>0</v>
      </c>
      <c r="DH522" s="18" t="b">
        <f>NOT(OR(MOD(RecData[[#This Row],[TIMESTAMP]],1)&gt;0.91632,MOD(RecData[[#This Row],[TIMESTAMP]],1)&lt;0.208681))</f>
        <v>0</v>
      </c>
      <c r="DI522" s="18" t="b">
        <f>RecData[[#This Row],[Overall (dBA)]]-RecData[[#This Row],[L90]]&gt;=$DS$4</f>
        <v>0</v>
      </c>
      <c r="DJ522" s="18" t="b">
        <f>RecData[[#This Row],[Overall (dBA)]]&gt;$DS$2</f>
        <v>0</v>
      </c>
      <c r="DK522" s="18" t="b">
        <f>RecData[[#This Row],[Overall (dBA)]]&lt;$DS$3</f>
        <v>0</v>
      </c>
      <c r="DL5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2" s="2">
        <f>IF(AND(RecData[[#This Row],[Turbines ON/OFF]] = "OFF", NOT(OR(RecData[[#This Row],[Junk?]]="YES",RecData[[#This Row],[Gust?]],RecData[[#This Row],[Rain?]:[Min SPL Threshold?]]))),1,0)</f>
        <v>0</v>
      </c>
      <c r="DN522" s="16">
        <f>RecData[[#This Row],[dBA Sum]]</f>
        <v>39.623731213631608</v>
      </c>
      <c r="DO522" s="16">
        <f>RecData[[#This Row],[LAF90.0]]</f>
        <v>38.299999999999997</v>
      </c>
      <c r="DP522" s="55">
        <f>IF(AND(RecData[[#This Row],[Useable TON Data?]],RecData[[#This Row],[Turbines ON/OFF]]="ON"),RecData[[#This Row],[dBA Sum]],"")</f>
        <v>39.623731213631608</v>
      </c>
      <c r="DQ522" s="55" t="str">
        <f>IF(AND(RecData[[#This Row],[Useable Background Data?]],RecData[[#This Row],[Turbines ON/OFF]]="OFF"),RecData[[#This Row],[dBA Sum]],"")</f>
        <v/>
      </c>
      <c r="DR522" s="3">
        <f>IF(OR(RecData[[#This Row],[Useable TON Data?]],RecData[[#This Row],[Useable Background Data?]]),ROUND(RecData[[#This Row],[WSpd_Avg '[m/s']]],0),"")</f>
        <v>1</v>
      </c>
      <c r="DS522" s="85">
        <f>(0.00002)^2*(10^(RecData[[#This Row],[Overall (dBA)]]/10))</f>
        <v>3.6680319736573625E-6</v>
      </c>
    </row>
    <row r="523" spans="1:123" ht="15" x14ac:dyDescent="0.25">
      <c r="A523" s="3" t="s">
        <v>249</v>
      </c>
      <c r="B523" s="12">
        <v>43270.058333333342</v>
      </c>
      <c r="C523" s="3"/>
      <c r="D523" s="3">
        <v>39.299999999999997</v>
      </c>
      <c r="E523" s="3"/>
      <c r="F523" s="3"/>
      <c r="G523" s="3"/>
      <c r="H523" s="3"/>
      <c r="I523" s="3"/>
      <c r="J523" s="3"/>
      <c r="K523" s="3">
        <v>37.9</v>
      </c>
      <c r="L523" s="3"/>
      <c r="M523" s="3"/>
      <c r="N523" s="3">
        <v>161.4</v>
      </c>
      <c r="O523" s="3"/>
      <c r="P523" s="3"/>
      <c r="Q523" s="3">
        <v>0.68</v>
      </c>
      <c r="R523" s="3">
        <v>0.3</v>
      </c>
      <c r="S523" s="3">
        <v>0.9</v>
      </c>
      <c r="T523" s="3">
        <v>15.6</v>
      </c>
      <c r="U523" s="3">
        <v>68.900000000000006</v>
      </c>
      <c r="V523" s="3">
        <v>972.9</v>
      </c>
      <c r="W523" s="3">
        <v>0</v>
      </c>
      <c r="X523" s="3">
        <v>47.7</v>
      </c>
      <c r="Y523" s="3">
        <v>46.8</v>
      </c>
      <c r="Z523" s="3">
        <v>46.6</v>
      </c>
      <c r="AA523" s="3">
        <v>42.9</v>
      </c>
      <c r="AB523" s="3">
        <v>39.1</v>
      </c>
      <c r="AC523" s="3">
        <v>35.9</v>
      </c>
      <c r="AD523" s="3">
        <v>39.1</v>
      </c>
      <c r="AE523" s="3">
        <v>41.8</v>
      </c>
      <c r="AF523" s="3">
        <v>45.2</v>
      </c>
      <c r="AG523" s="3">
        <v>39.5</v>
      </c>
      <c r="AH523" s="3">
        <v>37.700000000000003</v>
      </c>
      <c r="AI523" s="3">
        <v>38.4</v>
      </c>
      <c r="AJ523" s="3">
        <v>36.4</v>
      </c>
      <c r="AK523" s="3">
        <v>34.5</v>
      </c>
      <c r="AL523" s="3">
        <v>31.9</v>
      </c>
      <c r="AM523" s="3">
        <v>30.9</v>
      </c>
      <c r="AN523" s="3">
        <v>28.9</v>
      </c>
      <c r="AO523" s="3">
        <v>25.8</v>
      </c>
      <c r="AP523" s="3">
        <v>23.8</v>
      </c>
      <c r="AQ523" s="3">
        <v>21.7</v>
      </c>
      <c r="AR523" s="3">
        <v>18.3</v>
      </c>
      <c r="AS523" s="3">
        <v>21.7</v>
      </c>
      <c r="AT523" s="3">
        <v>25.5</v>
      </c>
      <c r="AU523" s="3">
        <v>9.1</v>
      </c>
      <c r="AV523" s="3">
        <v>8.6999999999999993</v>
      </c>
      <c r="AW523" s="3">
        <v>9.1</v>
      </c>
      <c r="AX523" s="3">
        <v>9.1999999999999993</v>
      </c>
      <c r="AY523" s="3">
        <v>9.4</v>
      </c>
      <c r="AZ523" s="3">
        <v>0</v>
      </c>
      <c r="BA523" s="3">
        <v>0</v>
      </c>
      <c r="BB523" s="3">
        <v>0</v>
      </c>
      <c r="BC523" s="3">
        <v>39.33738096915269</v>
      </c>
      <c r="BD523" s="3">
        <v>47.66261903084731</v>
      </c>
      <c r="BE523" s="3">
        <v>46.762619030847304</v>
      </c>
      <c r="BF523" s="3">
        <v>45.322619030847306</v>
      </c>
      <c r="BG523" s="3">
        <v>41.949285697513972</v>
      </c>
      <c r="BH523" s="3">
        <v>38.289285697513975</v>
      </c>
      <c r="BI523" s="3">
        <v>35.502619030847313</v>
      </c>
      <c r="BJ523" s="3">
        <v>39.495952364180638</v>
      </c>
      <c r="BK523" s="3">
        <v>42.069285697513976</v>
      </c>
      <c r="BL523" s="3">
        <v>45.042619030847305</v>
      </c>
      <c r="BM523" s="3">
        <v>39.475952364180642</v>
      </c>
      <c r="BN523" s="3">
        <v>37.959285697513977</v>
      </c>
      <c r="BO523" s="3">
        <v>38.02595236418064</v>
      </c>
      <c r="BP523" s="3">
        <v>35.742619030847308</v>
      </c>
      <c r="BQ523" s="3">
        <v>34.259285697513974</v>
      </c>
      <c r="BR523" s="3">
        <v>31.985952364180633</v>
      </c>
      <c r="BS523" s="3">
        <v>30.789285697513975</v>
      </c>
      <c r="BT523" s="3">
        <v>28.985952364180633</v>
      </c>
      <c r="BU523" s="3">
        <v>25.852619030847308</v>
      </c>
      <c r="BV523" s="3">
        <v>23.569285697513976</v>
      </c>
      <c r="BW523" s="3">
        <v>22.002619030847313</v>
      </c>
      <c r="BX523" s="3">
        <v>18.522619030847309</v>
      </c>
      <c r="BY523" s="3">
        <v>21.742619030847308</v>
      </c>
      <c r="BZ523" s="3">
        <v>25.672619030847315</v>
      </c>
      <c r="CA523" s="3">
        <v>9.3726190308473036</v>
      </c>
      <c r="CB523" s="3">
        <v>8.4092856975139725</v>
      </c>
      <c r="CC523" s="3">
        <v>9.0226190308473093</v>
      </c>
      <c r="CD523" s="3">
        <v>8.4292856975139756</v>
      </c>
      <c r="CE523" s="3">
        <v>8.8226190308473065</v>
      </c>
      <c r="CF523" s="3">
        <v>-0.96404763581936237</v>
      </c>
      <c r="CG523" s="3">
        <v>-1.4973809691526938</v>
      </c>
      <c r="CH523" s="3">
        <v>-2.5740476358193618</v>
      </c>
      <c r="CI523" s="13">
        <f>[1]!dbasum(RecData[[#This Row],[20]:[2000]],RecData[[#Headers],[20]:[2000]])</f>
        <v>38.835406526494644</v>
      </c>
      <c r="CJ523" s="14">
        <v>8261</v>
      </c>
      <c r="CK523" s="15" t="s">
        <v>249</v>
      </c>
      <c r="CL523" s="15">
        <f>RecData[[#This Row],[Start Time]]</f>
        <v>43270.058333333342</v>
      </c>
      <c r="CM523" s="16">
        <f>RecData[[#This Row],[Wind Speed avg]]</f>
        <v>0.68</v>
      </c>
      <c r="CN523" s="16">
        <f>RecData[[#This Row],[Wind Dir. avg]]</f>
        <v>161.4</v>
      </c>
      <c r="CO523" s="16">
        <f>RecData[[#This Row],[Amb. Humidity]]</f>
        <v>68.900000000000006</v>
      </c>
      <c r="CP523" s="16">
        <f>RecData[[#This Row],[Amb. Temperature]]</f>
        <v>15.6</v>
      </c>
      <c r="CQ523" s="17">
        <f>RecData[[#This Row],[Amb. Rain Gauge]]</f>
        <v>0</v>
      </c>
      <c r="CR523" s="4" t="s">
        <v>1</v>
      </c>
      <c r="CS523" s="4" t="s">
        <v>49</v>
      </c>
      <c r="CT523" s="70">
        <v>1412.62536621093</v>
      </c>
      <c r="CU523" s="70">
        <v>23.674150466918899</v>
      </c>
      <c r="CV523" s="70">
        <v>9.2672624588012695</v>
      </c>
      <c r="CW523" s="70">
        <v>15.1214637756347</v>
      </c>
      <c r="CX523" s="4"/>
      <c r="CY523" s="69"/>
      <c r="CZ523" s="2" t="b">
        <f>IF($DP$1="YES",IF(RecData[[#This Row],[Power (kW)]]&gt;=$CR$3, TRUE,FALSE),TRUE)</f>
        <v>1</v>
      </c>
      <c r="DA523" s="16">
        <f>MIN(MOD(180-ABS(ABS($DA$1-RecData[Yaw Angle (°)])-180),360),MOD(180-ABS(ABS($DB$1-RecData[Yaw Angle (°)])-180),360))</f>
        <v>16.144223689231353</v>
      </c>
      <c r="DB523" s="2" t="str">
        <f>IF($DP$2="None","None",IF(RecData[[#This Row],[Relative Wind Direction]]&lt;=45,"DW",IF(RecData[[#This Row],[Relative Wind Direction]]&lt;=135,"CW","UW")))</f>
        <v>DW</v>
      </c>
      <c r="DC523" s="61">
        <f>IF($CL523-$CL519&gt;1/24,#REF!,IF(SUM($CQ519:$CQ523)&gt;$DS$1,$DS$5,DC524-1))</f>
        <v>-3</v>
      </c>
      <c r="DD523" s="61">
        <f>IF($CL524-$CL523&gt;1/24,#REF!,IF(SUM($CQ519:$CQ523)&gt;$DS$1,$DS$6,DD522-1))</f>
        <v>-8</v>
      </c>
      <c r="DE523" s="18" t="b">
        <v>0</v>
      </c>
      <c r="DF523" s="2" t="b">
        <f>IF(OR(RecData[[#This Row],[WSpd_Avg '[m/s']]]-RecData[[#This Row],[Wind Speed min]]&gt;=$DF$3,RecData[[#This Row],[Wind Speed max]]-RecData[[#This Row],[WSpd_Avg '[m/s']]]&gt;=$DF$2),TRUE,FALSE)</f>
        <v>0</v>
      </c>
      <c r="DG523" s="2" t="b">
        <f>RecData[[#This Row],[Temperature '[°C']]]&lt;=-20</f>
        <v>0</v>
      </c>
      <c r="DH523" s="18" t="b">
        <f>NOT(OR(MOD(RecData[[#This Row],[TIMESTAMP]],1)&gt;0.91632,MOD(RecData[[#This Row],[TIMESTAMP]],1)&lt;0.208681))</f>
        <v>0</v>
      </c>
      <c r="DI523" s="18" t="b">
        <f>RecData[[#This Row],[Overall (dBA)]]-RecData[[#This Row],[L90]]&gt;=$DS$4</f>
        <v>0</v>
      </c>
      <c r="DJ523" s="18" t="b">
        <f>RecData[[#This Row],[Overall (dBA)]]&gt;$DS$2</f>
        <v>0</v>
      </c>
      <c r="DK523" s="18" t="b">
        <f>RecData[[#This Row],[Overall (dBA)]]&lt;$DS$3</f>
        <v>0</v>
      </c>
      <c r="DL5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3" s="2">
        <f>IF(AND(RecData[[#This Row],[Turbines ON/OFF]] = "OFF", NOT(OR(RecData[[#This Row],[Junk?]]="YES",RecData[[#This Row],[Gust?]],RecData[[#This Row],[Rain?]:[Min SPL Threshold?]]))),1,0)</f>
        <v>0</v>
      </c>
      <c r="DN523" s="16">
        <f>RecData[[#This Row],[dBA Sum]]</f>
        <v>38.835406526494644</v>
      </c>
      <c r="DO523" s="16">
        <f>RecData[[#This Row],[LAF90.0]]</f>
        <v>37.9</v>
      </c>
      <c r="DP523" s="55">
        <f>IF(AND(RecData[[#This Row],[Useable TON Data?]],RecData[[#This Row],[Turbines ON/OFF]]="ON"),RecData[[#This Row],[dBA Sum]],"")</f>
        <v>38.835406526494644</v>
      </c>
      <c r="DQ523" s="55" t="str">
        <f>IF(AND(RecData[[#This Row],[Useable Background Data?]],RecData[[#This Row],[Turbines ON/OFF]]="OFF"),RecData[[#This Row],[dBA Sum]],"")</f>
        <v/>
      </c>
      <c r="DR523" s="3">
        <f>IF(OR(RecData[[#This Row],[Useable TON Data?]],RecData[[#This Row],[Useable Background Data?]]),ROUND(RecData[[#This Row],[WSpd_Avg '[m/s']]],0),"")</f>
        <v>1</v>
      </c>
      <c r="DS523" s="85">
        <f>(0.00002)^2*(10^(RecData[[#This Row],[Overall (dBA)]]/10))</f>
        <v>3.0591490956285556E-6</v>
      </c>
    </row>
    <row r="524" spans="1:123" ht="15" x14ac:dyDescent="0.25">
      <c r="A524" s="3" t="s">
        <v>249</v>
      </c>
      <c r="B524" s="12">
        <v>43270.059027777781</v>
      </c>
      <c r="C524" s="3"/>
      <c r="D524" s="3">
        <v>39</v>
      </c>
      <c r="E524" s="3"/>
      <c r="F524" s="3"/>
      <c r="G524" s="3"/>
      <c r="H524" s="3"/>
      <c r="I524" s="3"/>
      <c r="J524" s="3"/>
      <c r="K524" s="3">
        <v>37.200000000000003</v>
      </c>
      <c r="L524" s="3"/>
      <c r="M524" s="3"/>
      <c r="N524" s="3">
        <v>117.2</v>
      </c>
      <c r="O524" s="3"/>
      <c r="P524" s="3"/>
      <c r="Q524" s="3">
        <v>0.27</v>
      </c>
      <c r="R524" s="3">
        <v>0.1</v>
      </c>
      <c r="S524" s="3">
        <v>0.5</v>
      </c>
      <c r="T524" s="3">
        <v>15.5</v>
      </c>
      <c r="U524" s="3">
        <v>69.8</v>
      </c>
      <c r="V524" s="3">
        <v>972.9</v>
      </c>
      <c r="W524" s="3">
        <v>0</v>
      </c>
      <c r="X524" s="3">
        <v>47.3</v>
      </c>
      <c r="Y524" s="3">
        <v>47</v>
      </c>
      <c r="Z524" s="3">
        <v>46.4</v>
      </c>
      <c r="AA524" s="3">
        <v>42.2</v>
      </c>
      <c r="AB524" s="3">
        <v>38</v>
      </c>
      <c r="AC524" s="3">
        <v>35.1</v>
      </c>
      <c r="AD524" s="3">
        <v>38.299999999999997</v>
      </c>
      <c r="AE524" s="3">
        <v>41.4</v>
      </c>
      <c r="AF524" s="3">
        <v>45.3</v>
      </c>
      <c r="AG524" s="3">
        <v>38.6</v>
      </c>
      <c r="AH524" s="3">
        <v>37.4</v>
      </c>
      <c r="AI524" s="3">
        <v>38.299999999999997</v>
      </c>
      <c r="AJ524" s="3">
        <v>36.1</v>
      </c>
      <c r="AK524" s="3">
        <v>34.4</v>
      </c>
      <c r="AL524" s="3">
        <v>31.6</v>
      </c>
      <c r="AM524" s="3">
        <v>30.4</v>
      </c>
      <c r="AN524" s="3">
        <v>28.7</v>
      </c>
      <c r="AO524" s="3">
        <v>25.3</v>
      </c>
      <c r="AP524" s="3">
        <v>23.4</v>
      </c>
      <c r="AQ524" s="3">
        <v>21.3</v>
      </c>
      <c r="AR524" s="3">
        <v>17.8</v>
      </c>
      <c r="AS524" s="3">
        <v>18.899999999999999</v>
      </c>
      <c r="AT524" s="3">
        <v>23.9</v>
      </c>
      <c r="AU524" s="3">
        <v>9</v>
      </c>
      <c r="AV524" s="3">
        <v>8.8000000000000007</v>
      </c>
      <c r="AW524" s="3">
        <v>9.1</v>
      </c>
      <c r="AX524" s="3">
        <v>9.1999999999999993</v>
      </c>
      <c r="AY524" s="3">
        <v>9.5</v>
      </c>
      <c r="AZ524" s="3">
        <v>0</v>
      </c>
      <c r="BA524" s="3">
        <v>0</v>
      </c>
      <c r="BB524" s="3">
        <v>0</v>
      </c>
      <c r="BC524" s="3">
        <v>38.956639279366946</v>
      </c>
      <c r="BD524" s="3">
        <v>47.343360720633051</v>
      </c>
      <c r="BE524" s="3">
        <v>47.043360720633054</v>
      </c>
      <c r="BF524" s="3">
        <v>45.20336072063305</v>
      </c>
      <c r="BG524" s="3">
        <v>41.330027387299715</v>
      </c>
      <c r="BH524" s="3">
        <v>37.270027387299713</v>
      </c>
      <c r="BI524" s="3">
        <v>34.783360720633063</v>
      </c>
      <c r="BJ524" s="3">
        <v>38.776694053966374</v>
      </c>
      <c r="BK524" s="3">
        <v>41.750027387299717</v>
      </c>
      <c r="BL524" s="3">
        <v>45.22336072063306</v>
      </c>
      <c r="BM524" s="3">
        <v>38.656694053966397</v>
      </c>
      <c r="BN524" s="3">
        <v>37.740027387299712</v>
      </c>
      <c r="BO524" s="3">
        <v>38.006694053966392</v>
      </c>
      <c r="BP524" s="3">
        <v>35.523360720633057</v>
      </c>
      <c r="BQ524" s="3">
        <v>34.240027387299712</v>
      </c>
      <c r="BR524" s="3">
        <v>31.766694053966383</v>
      </c>
      <c r="BS524" s="3">
        <v>30.370027387299722</v>
      </c>
      <c r="BT524" s="3">
        <v>28.866694053966391</v>
      </c>
      <c r="BU524" s="3">
        <v>25.433360720633054</v>
      </c>
      <c r="BV524" s="3">
        <v>23.250027387299717</v>
      </c>
      <c r="BW524" s="3">
        <v>21.683360720633054</v>
      </c>
      <c r="BX524" s="3">
        <v>18.103360720633056</v>
      </c>
      <c r="BY524" s="3">
        <v>19.02336072063305</v>
      </c>
      <c r="BZ524" s="3">
        <v>24.153360720633053</v>
      </c>
      <c r="CA524" s="3">
        <v>9.3533607206330487</v>
      </c>
      <c r="CB524" s="3">
        <v>8.5900273872997204</v>
      </c>
      <c r="CC524" s="3">
        <v>9.1033607206330558</v>
      </c>
      <c r="CD524" s="3">
        <v>8.5100273872997221</v>
      </c>
      <c r="CE524" s="3">
        <v>9.0033607206330544</v>
      </c>
      <c r="CF524" s="3">
        <v>-0.8833059460336159</v>
      </c>
      <c r="CG524" s="3">
        <v>-1.4166392793669473</v>
      </c>
      <c r="CH524" s="3">
        <v>-2.4933059460336153</v>
      </c>
      <c r="CI524" s="13">
        <f>[1]!dbasum(RecData[[#This Row],[20]:[2000]],RecData[[#Headers],[20]:[2000]])</f>
        <v>38.638040529074118</v>
      </c>
      <c r="CJ524" s="14">
        <v>8262</v>
      </c>
      <c r="CK524" s="15" t="s">
        <v>249</v>
      </c>
      <c r="CL524" s="15">
        <f>RecData[[#This Row],[Start Time]]</f>
        <v>43270.059027777781</v>
      </c>
      <c r="CM524" s="16">
        <f>RecData[[#This Row],[Wind Speed avg]]</f>
        <v>0.27</v>
      </c>
      <c r="CN524" s="16">
        <f>RecData[[#This Row],[Wind Dir. avg]]</f>
        <v>117.2</v>
      </c>
      <c r="CO524" s="16">
        <f>RecData[[#This Row],[Amb. Humidity]]</f>
        <v>69.8</v>
      </c>
      <c r="CP524" s="16">
        <f>RecData[[#This Row],[Amb. Temperature]]</f>
        <v>15.5</v>
      </c>
      <c r="CQ524" s="17">
        <f>RecData[[#This Row],[Amb. Rain Gauge]]</f>
        <v>0</v>
      </c>
      <c r="CR524" s="4" t="s">
        <v>1</v>
      </c>
      <c r="CS524" s="4" t="s">
        <v>49</v>
      </c>
      <c r="CT524" s="70">
        <v>1412.62536621093</v>
      </c>
      <c r="CU524" s="70">
        <v>23.674150466918899</v>
      </c>
      <c r="CV524" s="70">
        <v>9.2672624588012695</v>
      </c>
      <c r="CW524" s="70">
        <v>15.1214637756347</v>
      </c>
      <c r="CX524" s="4"/>
      <c r="CY524" s="69"/>
      <c r="CZ524" s="2" t="b">
        <f>IF($DP$1="YES",IF(RecData[[#This Row],[Power (kW)]]&gt;=$CR$3, TRUE,FALSE),TRUE)</f>
        <v>1</v>
      </c>
      <c r="DA524" s="16">
        <f>MIN(MOD(180-ABS(ABS($DA$1-RecData[Yaw Angle (°)])-180),360),MOD(180-ABS(ABS($DB$1-RecData[Yaw Angle (°)])-180),360))</f>
        <v>16.144223689231353</v>
      </c>
      <c r="DB524" s="2" t="str">
        <f>IF($DP$2="None","None",IF(RecData[[#This Row],[Relative Wind Direction]]&lt;=45,"DW",IF(RecData[[#This Row],[Relative Wind Direction]]&lt;=135,"CW","UW")))</f>
        <v>DW</v>
      </c>
      <c r="DC524" s="61">
        <f>IF($CL524-$CL520&gt;1/24,#REF!,IF(SUM($CQ520:$CQ524)&gt;$DS$1,$DS$5,DC525-1))</f>
        <v>-2</v>
      </c>
      <c r="DD524" s="61">
        <f>IF($CL525-$CL524&gt;1/24,#REF!,IF(SUM($CQ520:$CQ524)&gt;$DS$1,$DS$6,DD523-1))</f>
        <v>-9</v>
      </c>
      <c r="DE524" s="18" t="b">
        <v>0</v>
      </c>
      <c r="DF524" s="2" t="b">
        <f>IF(OR(RecData[[#This Row],[WSpd_Avg '[m/s']]]-RecData[[#This Row],[Wind Speed min]]&gt;=$DF$3,RecData[[#This Row],[Wind Speed max]]-RecData[[#This Row],[WSpd_Avg '[m/s']]]&gt;=$DF$2),TRUE,FALSE)</f>
        <v>0</v>
      </c>
      <c r="DG524" s="2" t="b">
        <f>RecData[[#This Row],[Temperature '[°C']]]&lt;=-20</f>
        <v>0</v>
      </c>
      <c r="DH524" s="18" t="b">
        <f>NOT(OR(MOD(RecData[[#This Row],[TIMESTAMP]],1)&gt;0.91632,MOD(RecData[[#This Row],[TIMESTAMP]],1)&lt;0.208681))</f>
        <v>0</v>
      </c>
      <c r="DI524" s="18" t="b">
        <f>RecData[[#This Row],[Overall (dBA)]]-RecData[[#This Row],[L90]]&gt;=$DS$4</f>
        <v>0</v>
      </c>
      <c r="DJ524" s="18" t="b">
        <f>RecData[[#This Row],[Overall (dBA)]]&gt;$DS$2</f>
        <v>0</v>
      </c>
      <c r="DK524" s="18" t="b">
        <f>RecData[[#This Row],[Overall (dBA)]]&lt;$DS$3</f>
        <v>0</v>
      </c>
      <c r="DL5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4" s="2">
        <f>IF(AND(RecData[[#This Row],[Turbines ON/OFF]] = "OFF", NOT(OR(RecData[[#This Row],[Junk?]]="YES",RecData[[#This Row],[Gust?]],RecData[[#This Row],[Rain?]:[Min SPL Threshold?]]))),1,0)</f>
        <v>0</v>
      </c>
      <c r="DN524" s="16">
        <f>RecData[[#This Row],[dBA Sum]]</f>
        <v>38.638040529074118</v>
      </c>
      <c r="DO524" s="16">
        <f>RecData[[#This Row],[LAF90.0]]</f>
        <v>37.200000000000003</v>
      </c>
      <c r="DP524" s="55">
        <f>IF(AND(RecData[[#This Row],[Useable TON Data?]],RecData[[#This Row],[Turbines ON/OFF]]="ON"),RecData[[#This Row],[dBA Sum]],"")</f>
        <v>38.638040529074118</v>
      </c>
      <c r="DQ524" s="55" t="str">
        <f>IF(AND(RecData[[#This Row],[Useable Background Data?]],RecData[[#This Row],[Turbines ON/OFF]]="OFF"),RecData[[#This Row],[dBA Sum]],"")</f>
        <v/>
      </c>
      <c r="DR524" s="3">
        <f>IF(OR(RecData[[#This Row],[Useable TON Data?]],RecData[[#This Row],[Useable Background Data?]]),ROUND(RecData[[#This Row],[WSpd_Avg '[m/s']]],0),"")</f>
        <v>0</v>
      </c>
      <c r="DS524" s="85">
        <f>(0.00002)^2*(10^(RecData[[#This Row],[Overall (dBA)]]/10))</f>
        <v>2.9232371160378837E-6</v>
      </c>
    </row>
    <row r="525" spans="1:123" ht="15" x14ac:dyDescent="0.25">
      <c r="A525" s="3" t="s">
        <v>249</v>
      </c>
      <c r="B525" s="12">
        <v>43270.059722222228</v>
      </c>
      <c r="C525" s="3"/>
      <c r="D525" s="3">
        <v>39.700000000000003</v>
      </c>
      <c r="E525" s="3"/>
      <c r="F525" s="3"/>
      <c r="G525" s="3"/>
      <c r="H525" s="3"/>
      <c r="I525" s="3"/>
      <c r="J525" s="3"/>
      <c r="K525" s="3">
        <v>38</v>
      </c>
      <c r="L525" s="3"/>
      <c r="M525" s="3"/>
      <c r="N525" s="3">
        <v>180.7</v>
      </c>
      <c r="O525" s="3"/>
      <c r="P525" s="3"/>
      <c r="Q525" s="3">
        <v>0.68</v>
      </c>
      <c r="R525" s="3">
        <v>0.3</v>
      </c>
      <c r="S525" s="3">
        <v>0.9</v>
      </c>
      <c r="T525" s="3">
        <v>15.4</v>
      </c>
      <c r="U525" s="3">
        <v>70.2</v>
      </c>
      <c r="V525" s="3">
        <v>972.9</v>
      </c>
      <c r="W525" s="3">
        <v>0</v>
      </c>
      <c r="X525" s="3">
        <v>47.6</v>
      </c>
      <c r="Y525" s="3">
        <v>46.1</v>
      </c>
      <c r="Z525" s="3">
        <v>45.7</v>
      </c>
      <c r="AA525" s="3">
        <v>42.5</v>
      </c>
      <c r="AB525" s="3">
        <v>38.1</v>
      </c>
      <c r="AC525" s="3">
        <v>35</v>
      </c>
      <c r="AD525" s="3">
        <v>37.9</v>
      </c>
      <c r="AE525" s="3">
        <v>40.799999999999997</v>
      </c>
      <c r="AF525" s="3">
        <v>45.4</v>
      </c>
      <c r="AG525" s="3">
        <v>40.299999999999997</v>
      </c>
      <c r="AH525" s="3">
        <v>37.700000000000003</v>
      </c>
      <c r="AI525" s="3">
        <v>39.6</v>
      </c>
      <c r="AJ525" s="3">
        <v>37</v>
      </c>
      <c r="AK525" s="3">
        <v>35.200000000000003</v>
      </c>
      <c r="AL525" s="3">
        <v>32.4</v>
      </c>
      <c r="AM525" s="3">
        <v>31</v>
      </c>
      <c r="AN525" s="3">
        <v>29</v>
      </c>
      <c r="AO525" s="3">
        <v>25.6</v>
      </c>
      <c r="AP525" s="3">
        <v>23.5</v>
      </c>
      <c r="AQ525" s="3">
        <v>21.5</v>
      </c>
      <c r="AR525" s="3">
        <v>18</v>
      </c>
      <c r="AS525" s="3">
        <v>20.100000000000001</v>
      </c>
      <c r="AT525" s="3">
        <v>25.5</v>
      </c>
      <c r="AU525" s="3">
        <v>9.4</v>
      </c>
      <c r="AV525" s="3">
        <v>8.9</v>
      </c>
      <c r="AW525" s="3">
        <v>9.1999999999999993</v>
      </c>
      <c r="AX525" s="3">
        <v>9.1999999999999993</v>
      </c>
      <c r="AY525" s="3">
        <v>9.5</v>
      </c>
      <c r="AZ525" s="3">
        <v>0</v>
      </c>
      <c r="BA525" s="3">
        <v>0</v>
      </c>
      <c r="BB525" s="3">
        <v>0</v>
      </c>
      <c r="BC525" s="3">
        <v>39.670568065240666</v>
      </c>
      <c r="BD525" s="3">
        <v>47.629431934759346</v>
      </c>
      <c r="BE525" s="3">
        <v>46.129431934759346</v>
      </c>
      <c r="BF525" s="3">
        <v>44.489431934759331</v>
      </c>
      <c r="BG525" s="3">
        <v>41.616098601425996</v>
      </c>
      <c r="BH525" s="3">
        <v>37.356098601426005</v>
      </c>
      <c r="BI525" s="3">
        <v>34.669431934759338</v>
      </c>
      <c r="BJ525" s="3">
        <v>38.362765268092666</v>
      </c>
      <c r="BK525" s="3">
        <v>41.136098601426006</v>
      </c>
      <c r="BL525" s="3">
        <v>45.309431934759338</v>
      </c>
      <c r="BM525" s="3">
        <v>40.34276526809267</v>
      </c>
      <c r="BN525" s="3">
        <v>38.026098601426007</v>
      </c>
      <c r="BO525" s="3">
        <v>39.292765268092673</v>
      </c>
      <c r="BP525" s="3">
        <v>36.409431934759347</v>
      </c>
      <c r="BQ525" s="3">
        <v>35.026098601425993</v>
      </c>
      <c r="BR525" s="3">
        <v>32.552765268092664</v>
      </c>
      <c r="BS525" s="3">
        <v>30.956098601426</v>
      </c>
      <c r="BT525" s="3">
        <v>29.152765268092672</v>
      </c>
      <c r="BU525" s="3">
        <v>25.719431934759349</v>
      </c>
      <c r="BV525" s="3">
        <v>23.336098601426009</v>
      </c>
      <c r="BW525" s="3">
        <v>21.869431934759341</v>
      </c>
      <c r="BX525" s="3">
        <v>18.289431934759342</v>
      </c>
      <c r="BY525" s="3">
        <v>20.209431934759337</v>
      </c>
      <c r="BZ525" s="3">
        <v>25.739431934759345</v>
      </c>
      <c r="CA525" s="3">
        <v>9.739431934759331</v>
      </c>
      <c r="CB525" s="3">
        <v>8.6760986014259984</v>
      </c>
      <c r="CC525" s="3">
        <v>9.1894319347593338</v>
      </c>
      <c r="CD525" s="3">
        <v>8.4960986014260058</v>
      </c>
      <c r="CE525" s="3">
        <v>8.9894319347593381</v>
      </c>
      <c r="CF525" s="3">
        <v>-0.89723473190733216</v>
      </c>
      <c r="CG525" s="3">
        <v>-1.4305680652406636</v>
      </c>
      <c r="CH525" s="3">
        <v>-2.5072347319073316</v>
      </c>
      <c r="CI525" s="13">
        <f>[1]!dbasum(RecData[[#This Row],[20]:[2000]],RecData[[#Headers],[20]:[2000]])</f>
        <v>39.276296305923125</v>
      </c>
      <c r="CJ525" s="14">
        <v>8263</v>
      </c>
      <c r="CK525" s="15" t="s">
        <v>249</v>
      </c>
      <c r="CL525" s="15">
        <f>RecData[[#This Row],[Start Time]]</f>
        <v>43270.059722222228</v>
      </c>
      <c r="CM525" s="16">
        <f>RecData[[#This Row],[Wind Speed avg]]</f>
        <v>0.68</v>
      </c>
      <c r="CN525" s="16">
        <f>RecData[[#This Row],[Wind Dir. avg]]</f>
        <v>180.7</v>
      </c>
      <c r="CO525" s="16">
        <f>RecData[[#This Row],[Amb. Humidity]]</f>
        <v>70.2</v>
      </c>
      <c r="CP525" s="16">
        <f>RecData[[#This Row],[Amb. Temperature]]</f>
        <v>15.4</v>
      </c>
      <c r="CQ525" s="17">
        <f>RecData[[#This Row],[Amb. Rain Gauge]]</f>
        <v>0</v>
      </c>
      <c r="CR525" s="4" t="s">
        <v>1</v>
      </c>
      <c r="CS525" s="4" t="s">
        <v>49</v>
      </c>
      <c r="CT525" s="70">
        <v>1412.62536621093</v>
      </c>
      <c r="CU525" s="70">
        <v>23.674150466918899</v>
      </c>
      <c r="CV525" s="70">
        <v>9.2672624588012695</v>
      </c>
      <c r="CW525" s="70">
        <v>15.1214637756347</v>
      </c>
      <c r="CX525" s="4"/>
      <c r="CY525" s="69"/>
      <c r="CZ525" s="2" t="b">
        <f>IF($DP$1="YES",IF(RecData[[#This Row],[Power (kW)]]&gt;=$CR$3, TRUE,FALSE),TRUE)</f>
        <v>1</v>
      </c>
      <c r="DA525" s="16">
        <f>MIN(MOD(180-ABS(ABS($DA$1-RecData[Yaw Angle (°)])-180),360),MOD(180-ABS(ABS($DB$1-RecData[Yaw Angle (°)])-180),360))</f>
        <v>16.144223689231353</v>
      </c>
      <c r="DB525" s="2" t="str">
        <f>IF($DP$2="None","None",IF(RecData[[#This Row],[Relative Wind Direction]]&lt;=45,"DW",IF(RecData[[#This Row],[Relative Wind Direction]]&lt;=135,"CW","UW")))</f>
        <v>DW</v>
      </c>
      <c r="DC525" s="61">
        <v>-1</v>
      </c>
      <c r="DD525" s="61">
        <v>-1</v>
      </c>
      <c r="DE525" s="18" t="b">
        <v>0</v>
      </c>
      <c r="DF525" s="2" t="b">
        <f>IF(OR(RecData[[#This Row],[WSpd_Avg '[m/s']]]-RecData[[#This Row],[Wind Speed min]]&gt;=$DF$3,RecData[[#This Row],[Wind Speed max]]-RecData[[#This Row],[WSpd_Avg '[m/s']]]&gt;=$DF$2),TRUE,FALSE)</f>
        <v>0</v>
      </c>
      <c r="DG525" s="2" t="b">
        <f>RecData[[#This Row],[Temperature '[°C']]]&lt;=-20</f>
        <v>0</v>
      </c>
      <c r="DH525" s="18" t="b">
        <f>NOT(OR(MOD(RecData[[#This Row],[TIMESTAMP]],1)&gt;0.91632,MOD(RecData[[#This Row],[TIMESTAMP]],1)&lt;0.208681))</f>
        <v>0</v>
      </c>
      <c r="DI525" s="18" t="b">
        <f>RecData[[#This Row],[Overall (dBA)]]-RecData[[#This Row],[L90]]&gt;=$DS$4</f>
        <v>0</v>
      </c>
      <c r="DJ525" s="18" t="b">
        <f>RecData[[#This Row],[Overall (dBA)]]&gt;$DS$2</f>
        <v>0</v>
      </c>
      <c r="DK525" s="18" t="b">
        <f>RecData[[#This Row],[Overall (dBA)]]&lt;$DS$3</f>
        <v>0</v>
      </c>
      <c r="DL5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5" s="2">
        <f>IF(AND(RecData[[#This Row],[Turbines ON/OFF]] = "OFF", NOT(OR(RecData[[#This Row],[Junk?]]="YES",RecData[[#This Row],[Gust?]],RecData[[#This Row],[Rain?]:[Min SPL Threshold?]]))),1,0)</f>
        <v>0</v>
      </c>
      <c r="DN525" s="16">
        <f>RecData[[#This Row],[dBA Sum]]</f>
        <v>39.276296305923125</v>
      </c>
      <c r="DO525" s="16">
        <f>RecData[[#This Row],[LAF90.0]]</f>
        <v>38</v>
      </c>
      <c r="DP525" s="55">
        <f>IF(AND(RecData[[#This Row],[Useable TON Data?]],RecData[[#This Row],[Turbines ON/OFF]]="ON"),RecData[[#This Row],[dBA Sum]],"")</f>
        <v>39.276296305923125</v>
      </c>
      <c r="DQ525" s="55" t="str">
        <f>IF(AND(RecData[[#This Row],[Useable Background Data?]],RecData[[#This Row],[Turbines ON/OFF]]="OFF"),RecData[[#This Row],[dBA Sum]],"")</f>
        <v/>
      </c>
      <c r="DR525" s="3">
        <f>IF(OR(RecData[[#This Row],[Useable TON Data?]],RecData[[#This Row],[Useable Background Data?]]),ROUND(RecData[[#This Row],[WSpd_Avg '[m/s']]],0),"")</f>
        <v>1</v>
      </c>
      <c r="DS525" s="85">
        <f>(0.00002)^2*(10^(RecData[[#This Row],[Overall (dBA)]]/10))</f>
        <v>3.3860208024165294E-6</v>
      </c>
    </row>
    <row r="526" spans="1:123" ht="15" x14ac:dyDescent="0.25">
      <c r="A526" s="3" t="s">
        <v>249</v>
      </c>
      <c r="B526" s="12">
        <v>43270.060416666674</v>
      </c>
      <c r="C526" s="3"/>
      <c r="D526" s="3">
        <v>39.6</v>
      </c>
      <c r="E526" s="3"/>
      <c r="F526" s="3"/>
      <c r="G526" s="3"/>
      <c r="H526" s="3"/>
      <c r="I526" s="3"/>
      <c r="J526" s="3"/>
      <c r="K526" s="3">
        <v>38.4</v>
      </c>
      <c r="L526" s="3"/>
      <c r="M526" s="3"/>
      <c r="N526" s="3">
        <v>140</v>
      </c>
      <c r="O526" s="3"/>
      <c r="P526" s="3"/>
      <c r="Q526" s="3">
        <v>0.47</v>
      </c>
      <c r="R526" s="3">
        <v>0.1</v>
      </c>
      <c r="S526" s="3">
        <v>0.8</v>
      </c>
      <c r="T526" s="3">
        <v>15.3</v>
      </c>
      <c r="U526" s="3">
        <v>70.900000000000006</v>
      </c>
      <c r="V526" s="3">
        <v>972.9</v>
      </c>
      <c r="W526" s="3">
        <v>0</v>
      </c>
      <c r="X526" s="3">
        <v>47.8</v>
      </c>
      <c r="Y526" s="3">
        <v>45.6</v>
      </c>
      <c r="Z526" s="3">
        <v>45.9</v>
      </c>
      <c r="AA526" s="3">
        <v>42.8</v>
      </c>
      <c r="AB526" s="3">
        <v>38.799999999999997</v>
      </c>
      <c r="AC526" s="3">
        <v>34.799999999999997</v>
      </c>
      <c r="AD526" s="3">
        <v>38.299999999999997</v>
      </c>
      <c r="AE526" s="3">
        <v>41.3</v>
      </c>
      <c r="AF526" s="3">
        <v>45.5</v>
      </c>
      <c r="AG526" s="3">
        <v>40.799999999999997</v>
      </c>
      <c r="AH526" s="3">
        <v>37.9</v>
      </c>
      <c r="AI526" s="3">
        <v>39.299999999999997</v>
      </c>
      <c r="AJ526" s="3">
        <v>36.700000000000003</v>
      </c>
      <c r="AK526" s="3">
        <v>35</v>
      </c>
      <c r="AL526" s="3">
        <v>32.1</v>
      </c>
      <c r="AM526" s="3">
        <v>31</v>
      </c>
      <c r="AN526" s="3">
        <v>28.8</v>
      </c>
      <c r="AO526" s="3">
        <v>25.6</v>
      </c>
      <c r="AP526" s="3">
        <v>23.6</v>
      </c>
      <c r="AQ526" s="3">
        <v>21.7</v>
      </c>
      <c r="AR526" s="3">
        <v>18.3</v>
      </c>
      <c r="AS526" s="3">
        <v>17.8</v>
      </c>
      <c r="AT526" s="3">
        <v>24.9</v>
      </c>
      <c r="AU526" s="3">
        <v>9.5</v>
      </c>
      <c r="AV526" s="3">
        <v>9</v>
      </c>
      <c r="AW526" s="3">
        <v>9.3000000000000007</v>
      </c>
      <c r="AX526" s="3">
        <v>9.3000000000000007</v>
      </c>
      <c r="AY526" s="3">
        <v>9.5</v>
      </c>
      <c r="AZ526" s="3">
        <v>0</v>
      </c>
      <c r="BA526" s="3">
        <v>0</v>
      </c>
      <c r="BB526" s="3">
        <v>0</v>
      </c>
      <c r="BC526" s="3">
        <v>39.547937310099194</v>
      </c>
      <c r="BD526" s="3">
        <v>47.852062689900812</v>
      </c>
      <c r="BE526" s="3">
        <v>45.652062689900809</v>
      </c>
      <c r="BF526" s="3">
        <v>44.712062689900797</v>
      </c>
      <c r="BG526" s="3">
        <v>41.938729356567471</v>
      </c>
      <c r="BH526" s="3">
        <v>38.078729356567472</v>
      </c>
      <c r="BI526" s="3">
        <v>34.492062689900798</v>
      </c>
      <c r="BJ526" s="3">
        <v>38.785396023234135</v>
      </c>
      <c r="BK526" s="3">
        <v>41.65872935656747</v>
      </c>
      <c r="BL526" s="3">
        <v>45.43206268990081</v>
      </c>
      <c r="BM526" s="3">
        <v>40.865396023234133</v>
      </c>
      <c r="BN526" s="3">
        <v>38.248729356567473</v>
      </c>
      <c r="BO526" s="3">
        <v>39.015396023234139</v>
      </c>
      <c r="BP526" s="3">
        <v>36.132062689900813</v>
      </c>
      <c r="BQ526" s="3">
        <v>34.848729356567468</v>
      </c>
      <c r="BR526" s="3">
        <v>32.275396023234144</v>
      </c>
      <c r="BS526" s="3">
        <v>30.978729356567477</v>
      </c>
      <c r="BT526" s="3">
        <v>28.975396023234147</v>
      </c>
      <c r="BU526" s="3">
        <v>25.742062689900813</v>
      </c>
      <c r="BV526" s="3">
        <v>23.458729356567481</v>
      </c>
      <c r="BW526" s="3">
        <v>22.092062689900807</v>
      </c>
      <c r="BX526" s="3">
        <v>18.612062689900817</v>
      </c>
      <c r="BY526" s="3">
        <v>17.93206268990081</v>
      </c>
      <c r="BZ526" s="3">
        <v>25.162062689900814</v>
      </c>
      <c r="CA526" s="3">
        <v>9.862062689900803</v>
      </c>
      <c r="CB526" s="3">
        <v>8.7987293565674705</v>
      </c>
      <c r="CC526" s="3">
        <v>9.3120626899008059</v>
      </c>
      <c r="CD526" s="3">
        <v>8.6187293565674779</v>
      </c>
      <c r="CE526" s="3">
        <v>9.0120626899008087</v>
      </c>
      <c r="CF526" s="3">
        <v>-0.87460397676586155</v>
      </c>
      <c r="CG526" s="3">
        <v>-1.407937310099193</v>
      </c>
      <c r="CH526" s="3">
        <v>-2.484603976765861</v>
      </c>
      <c r="CI526" s="13">
        <f>[1]!dbasum(RecData[[#This Row],[20]:[2000]],RecData[[#Headers],[20]:[2000]])</f>
        <v>39.234837067503719</v>
      </c>
      <c r="CJ526" s="14">
        <v>8264</v>
      </c>
      <c r="CK526" s="15" t="s">
        <v>249</v>
      </c>
      <c r="CL526" s="15">
        <f>RecData[[#This Row],[Start Time]]</f>
        <v>43270.060416666674</v>
      </c>
      <c r="CM526" s="16">
        <f>RecData[[#This Row],[Wind Speed avg]]</f>
        <v>0.47</v>
      </c>
      <c r="CN526" s="16">
        <f>RecData[[#This Row],[Wind Dir. avg]]</f>
        <v>140</v>
      </c>
      <c r="CO526" s="16">
        <f>RecData[[#This Row],[Amb. Humidity]]</f>
        <v>70.900000000000006</v>
      </c>
      <c r="CP526" s="16">
        <f>RecData[[#This Row],[Amb. Temperature]]</f>
        <v>15.3</v>
      </c>
      <c r="CQ526" s="17">
        <f>RecData[[#This Row],[Amb. Rain Gauge]]</f>
        <v>0</v>
      </c>
      <c r="CR526" s="4" t="s">
        <v>1</v>
      </c>
      <c r="CS526" s="4" t="s">
        <v>49</v>
      </c>
      <c r="CT526" s="70">
        <v>1412.62536621093</v>
      </c>
      <c r="CU526" s="70">
        <v>23.674150466918899</v>
      </c>
      <c r="CV526" s="70">
        <v>9.2672624588012695</v>
      </c>
      <c r="CW526" s="70">
        <v>15.1214637756347</v>
      </c>
      <c r="CX526" s="4"/>
      <c r="CY526" s="69"/>
      <c r="CZ526" s="2" t="b">
        <f>IF($DP$1="YES",IF(RecData[[#This Row],[Power (kW)]]&gt;=$CR$3, TRUE,FALSE),TRUE)</f>
        <v>1</v>
      </c>
      <c r="DA526" s="16">
        <f>MIN(MOD(180-ABS(ABS($DA$1-RecData[Yaw Angle (°)])-180),360),MOD(180-ABS(ABS($DB$1-RecData[Yaw Angle (°)])-180),360))</f>
        <v>16.144223689231353</v>
      </c>
      <c r="DB526" s="2" t="str">
        <f>IF($DP$2="None","None",IF(RecData[[#This Row],[Relative Wind Direction]]&lt;=45,"DW",IF(RecData[[#This Row],[Relative Wind Direction]]&lt;=135,"CW","UW")))</f>
        <v>DW</v>
      </c>
      <c r="DC526" s="61" t="e">
        <f>IF($CL526-$CL525&gt;1/24,#REF!,IF(SUM($CQ525:$CQ526)&gt;$DS$1,$DS$5,DC527-1))</f>
        <v>#REF!</v>
      </c>
      <c r="DD526" s="61">
        <f>IF($CL527-$CL526&gt;1/24,#REF!,IF(SUM($CQ525:$CQ526)&gt;$DS$1,$DS$6,DD525-1))</f>
        <v>-2</v>
      </c>
      <c r="DE526" s="18" t="b">
        <v>0</v>
      </c>
      <c r="DF526" s="2" t="b">
        <f>IF(OR(RecData[[#This Row],[WSpd_Avg '[m/s']]]-RecData[[#This Row],[Wind Speed min]]&gt;=$DF$3,RecData[[#This Row],[Wind Speed max]]-RecData[[#This Row],[WSpd_Avg '[m/s']]]&gt;=$DF$2),TRUE,FALSE)</f>
        <v>0</v>
      </c>
      <c r="DG526" s="2" t="b">
        <f>RecData[[#This Row],[Temperature '[°C']]]&lt;=-20</f>
        <v>0</v>
      </c>
      <c r="DH526" s="18" t="b">
        <f>NOT(OR(MOD(RecData[[#This Row],[TIMESTAMP]],1)&gt;0.91632,MOD(RecData[[#This Row],[TIMESTAMP]],1)&lt;0.208681))</f>
        <v>0</v>
      </c>
      <c r="DI526" s="18" t="b">
        <f>RecData[[#This Row],[Overall (dBA)]]-RecData[[#This Row],[L90]]&gt;=$DS$4</f>
        <v>0</v>
      </c>
      <c r="DJ526" s="18" t="b">
        <f>RecData[[#This Row],[Overall (dBA)]]&gt;$DS$2</f>
        <v>0</v>
      </c>
      <c r="DK526" s="18" t="b">
        <f>RecData[[#This Row],[Overall (dBA)]]&lt;$DS$3</f>
        <v>0</v>
      </c>
      <c r="DL5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6" s="2">
        <f>IF(AND(RecData[[#This Row],[Turbines ON/OFF]] = "OFF", NOT(OR(RecData[[#This Row],[Junk?]]="YES",RecData[[#This Row],[Gust?]],RecData[[#This Row],[Rain?]:[Min SPL Threshold?]]))),1,0)</f>
        <v>0</v>
      </c>
      <c r="DN526" s="16">
        <f>RecData[[#This Row],[dBA Sum]]</f>
        <v>39.234837067503719</v>
      </c>
      <c r="DO526" s="16">
        <f>RecData[[#This Row],[LAF90.0]]</f>
        <v>38.4</v>
      </c>
      <c r="DP526" s="55">
        <f>IF(AND(RecData[[#This Row],[Useable TON Data?]],RecData[[#This Row],[Turbines ON/OFF]]="ON"),RecData[[#This Row],[dBA Sum]],"")</f>
        <v>39.234837067503719</v>
      </c>
      <c r="DQ526" s="55" t="str">
        <f>IF(AND(RecData[[#This Row],[Useable Background Data?]],RecData[[#This Row],[Turbines ON/OFF]]="OFF"),RecData[[#This Row],[dBA Sum]],"")</f>
        <v/>
      </c>
      <c r="DR526" s="3">
        <f>IF(OR(RecData[[#This Row],[Useable TON Data?]],RecData[[#This Row],[Useable Background Data?]]),ROUND(RecData[[#This Row],[WSpd_Avg '[m/s']]],0),"")</f>
        <v>0</v>
      </c>
      <c r="DS526" s="85">
        <f>(0.00002)^2*(10^(RecData[[#This Row],[Overall (dBA)]]/10))</f>
        <v>3.3538504870808538E-6</v>
      </c>
    </row>
    <row r="527" spans="1:123" ht="15" x14ac:dyDescent="0.25">
      <c r="A527" s="3" t="s">
        <v>249</v>
      </c>
      <c r="B527" s="12">
        <v>43270.061111111114</v>
      </c>
      <c r="C527" s="3"/>
      <c r="D527" s="3">
        <v>39</v>
      </c>
      <c r="E527" s="3"/>
      <c r="F527" s="3"/>
      <c r="G527" s="3"/>
      <c r="H527" s="3"/>
      <c r="I527" s="3"/>
      <c r="J527" s="3"/>
      <c r="K527" s="3">
        <v>37.700000000000003</v>
      </c>
      <c r="L527" s="3"/>
      <c r="M527" s="3"/>
      <c r="N527" s="3">
        <v>92.2</v>
      </c>
      <c r="O527" s="3"/>
      <c r="P527" s="3"/>
      <c r="Q527" s="3">
        <v>0.54</v>
      </c>
      <c r="R527" s="3">
        <v>0.4</v>
      </c>
      <c r="S527" s="3">
        <v>0.8</v>
      </c>
      <c r="T527" s="3">
        <v>15.2</v>
      </c>
      <c r="U527" s="3">
        <v>71.7</v>
      </c>
      <c r="V527" s="3">
        <v>972.9</v>
      </c>
      <c r="W527" s="3">
        <v>0</v>
      </c>
      <c r="X527" s="3">
        <v>46.1</v>
      </c>
      <c r="Y527" s="3">
        <v>45.4</v>
      </c>
      <c r="Z527" s="3">
        <v>45.2</v>
      </c>
      <c r="AA527" s="3">
        <v>42.2</v>
      </c>
      <c r="AB527" s="3">
        <v>37.799999999999997</v>
      </c>
      <c r="AC527" s="3">
        <v>34.9</v>
      </c>
      <c r="AD527" s="3">
        <v>37.700000000000003</v>
      </c>
      <c r="AE527" s="3">
        <v>41.2</v>
      </c>
      <c r="AF527" s="3">
        <v>44.8</v>
      </c>
      <c r="AG527" s="3">
        <v>39.700000000000003</v>
      </c>
      <c r="AH527" s="3">
        <v>37.4</v>
      </c>
      <c r="AI527" s="3">
        <v>38.799999999999997</v>
      </c>
      <c r="AJ527" s="3">
        <v>36.200000000000003</v>
      </c>
      <c r="AK527" s="3">
        <v>34.299999999999997</v>
      </c>
      <c r="AL527" s="3">
        <v>31.8</v>
      </c>
      <c r="AM527" s="3">
        <v>30.5</v>
      </c>
      <c r="AN527" s="3">
        <v>28.6</v>
      </c>
      <c r="AO527" s="3">
        <v>25.3</v>
      </c>
      <c r="AP527" s="3">
        <v>23.4</v>
      </c>
      <c r="AQ527" s="3">
        <v>21.3</v>
      </c>
      <c r="AR527" s="3">
        <v>17.8</v>
      </c>
      <c r="AS527" s="3">
        <v>14.6</v>
      </c>
      <c r="AT527" s="3">
        <v>24.2</v>
      </c>
      <c r="AU527" s="3">
        <v>9.3000000000000007</v>
      </c>
      <c r="AV527" s="3">
        <v>8.8000000000000007</v>
      </c>
      <c r="AW527" s="3">
        <v>9.1999999999999993</v>
      </c>
      <c r="AX527" s="3">
        <v>9.1999999999999993</v>
      </c>
      <c r="AY527" s="3">
        <v>9.5</v>
      </c>
      <c r="AZ527" s="3">
        <v>0</v>
      </c>
      <c r="BA527" s="3">
        <v>0</v>
      </c>
      <c r="BB527" s="3">
        <v>0</v>
      </c>
      <c r="BC527" s="3">
        <v>39.011592299202498</v>
      </c>
      <c r="BD527" s="3">
        <v>46.088407700797497</v>
      </c>
      <c r="BE527" s="3">
        <v>45.388407700797508</v>
      </c>
      <c r="BF527" s="3">
        <v>43.94840770079751</v>
      </c>
      <c r="BG527" s="3">
        <v>41.275074367464164</v>
      </c>
      <c r="BH527" s="3">
        <v>37.015074367464173</v>
      </c>
      <c r="BI527" s="3">
        <v>34.528407700797494</v>
      </c>
      <c r="BJ527" s="3">
        <v>38.121741034130828</v>
      </c>
      <c r="BK527" s="3">
        <v>41.495074367464163</v>
      </c>
      <c r="BL527" s="3">
        <v>44.668407700797509</v>
      </c>
      <c r="BM527" s="3">
        <v>39.701741034130841</v>
      </c>
      <c r="BN527" s="3">
        <v>37.685074367464161</v>
      </c>
      <c r="BO527" s="3">
        <v>38.451741034130841</v>
      </c>
      <c r="BP527" s="3">
        <v>35.568407700797515</v>
      </c>
      <c r="BQ527" s="3">
        <v>34.085074367464166</v>
      </c>
      <c r="BR527" s="3">
        <v>31.911741034130834</v>
      </c>
      <c r="BS527" s="3">
        <v>30.415074367464165</v>
      </c>
      <c r="BT527" s="3">
        <v>28.711741034130831</v>
      </c>
      <c r="BU527" s="3">
        <v>25.378407700797503</v>
      </c>
      <c r="BV527" s="3">
        <v>23.195074367464166</v>
      </c>
      <c r="BW527" s="3">
        <v>21.628407700797503</v>
      </c>
      <c r="BX527" s="3">
        <v>18.048407700797505</v>
      </c>
      <c r="BY527" s="3">
        <v>14.668407700797502</v>
      </c>
      <c r="BZ527" s="3">
        <v>24.398407700797506</v>
      </c>
      <c r="CA527" s="3">
        <v>9.5984077007974946</v>
      </c>
      <c r="CB527" s="3">
        <v>8.5350743674641691</v>
      </c>
      <c r="CC527" s="3">
        <v>9.1484077007974989</v>
      </c>
      <c r="CD527" s="3">
        <v>8.4550743674641708</v>
      </c>
      <c r="CE527" s="3">
        <v>8.9484077007975031</v>
      </c>
      <c r="CF527" s="3">
        <v>-0.93825896586916713</v>
      </c>
      <c r="CG527" s="3">
        <v>-1.4715922992024986</v>
      </c>
      <c r="CH527" s="3">
        <v>-2.5482589658691666</v>
      </c>
      <c r="CI527" s="13">
        <f>[1]!dbasum(RecData[[#This Row],[20]:[2000]],RecData[[#Headers],[20]:[2000]])</f>
        <v>38.662522359441319</v>
      </c>
      <c r="CJ527" s="14">
        <v>8265</v>
      </c>
      <c r="CK527" s="15" t="s">
        <v>249</v>
      </c>
      <c r="CL527" s="15">
        <f>RecData[[#This Row],[Start Time]]</f>
        <v>43270.061111111114</v>
      </c>
      <c r="CM527" s="16">
        <f>RecData[[#This Row],[Wind Speed avg]]</f>
        <v>0.54</v>
      </c>
      <c r="CN527" s="16">
        <f>RecData[[#This Row],[Wind Dir. avg]]</f>
        <v>92.2</v>
      </c>
      <c r="CO527" s="16">
        <f>RecData[[#This Row],[Amb. Humidity]]</f>
        <v>71.7</v>
      </c>
      <c r="CP527" s="16">
        <f>RecData[[#This Row],[Amb. Temperature]]</f>
        <v>15.2</v>
      </c>
      <c r="CQ527" s="17">
        <f>RecData[[#This Row],[Amb. Rain Gauge]]</f>
        <v>0</v>
      </c>
      <c r="CR527" s="4" t="s">
        <v>1</v>
      </c>
      <c r="CS527" s="4" t="s">
        <v>49</v>
      </c>
      <c r="CT527" s="70">
        <v>1412.62536621093</v>
      </c>
      <c r="CU527" s="70">
        <v>23.674150466918899</v>
      </c>
      <c r="CV527" s="70">
        <v>9.2672624588012695</v>
      </c>
      <c r="CW527" s="70">
        <v>15.1214637756347</v>
      </c>
      <c r="CX527" s="4"/>
      <c r="CY527" s="69"/>
      <c r="CZ527" s="2" t="b">
        <f>IF($DP$1="YES",IF(RecData[[#This Row],[Power (kW)]]&gt;=$CR$3, TRUE,FALSE),TRUE)</f>
        <v>1</v>
      </c>
      <c r="DA527" s="16">
        <f>MIN(MOD(180-ABS(ABS($DA$1-RecData[Yaw Angle (°)])-180),360),MOD(180-ABS(ABS($DB$1-RecData[Yaw Angle (°)])-180),360))</f>
        <v>16.144223689231353</v>
      </c>
      <c r="DB527" s="2" t="str">
        <f>IF($DP$2="None","None",IF(RecData[[#This Row],[Relative Wind Direction]]&lt;=45,"DW",IF(RecData[[#This Row],[Relative Wind Direction]]&lt;=135,"CW","UW")))</f>
        <v>DW</v>
      </c>
      <c r="DC527" s="61" t="e">
        <f>IF($CL527-$CL525&gt;1/24,#REF!,IF(SUM($CQ525:$CQ527)&gt;$DS$1,$DS$5,DC528-1))</f>
        <v>#REF!</v>
      </c>
      <c r="DD527" s="61">
        <f>IF($CL528-$CL527&gt;1/24,#REF!,IF(SUM($CQ525:$CQ527)&gt;$DS$1,$DS$6,DD526-1))</f>
        <v>-3</v>
      </c>
      <c r="DE527" s="18" t="b">
        <v>0</v>
      </c>
      <c r="DF527" s="2" t="b">
        <f>IF(OR(RecData[[#This Row],[WSpd_Avg '[m/s']]]-RecData[[#This Row],[Wind Speed min]]&gt;=$DF$3,RecData[[#This Row],[Wind Speed max]]-RecData[[#This Row],[WSpd_Avg '[m/s']]]&gt;=$DF$2),TRUE,FALSE)</f>
        <v>0</v>
      </c>
      <c r="DG527" s="2" t="b">
        <f>RecData[[#This Row],[Temperature '[°C']]]&lt;=-20</f>
        <v>0</v>
      </c>
      <c r="DH527" s="18" t="b">
        <f>NOT(OR(MOD(RecData[[#This Row],[TIMESTAMP]],1)&gt;0.91632,MOD(RecData[[#This Row],[TIMESTAMP]],1)&lt;0.208681))</f>
        <v>0</v>
      </c>
      <c r="DI527" s="18" t="b">
        <f>RecData[[#This Row],[Overall (dBA)]]-RecData[[#This Row],[L90]]&gt;=$DS$4</f>
        <v>0</v>
      </c>
      <c r="DJ527" s="18" t="b">
        <f>RecData[[#This Row],[Overall (dBA)]]&gt;$DS$2</f>
        <v>0</v>
      </c>
      <c r="DK527" s="18" t="b">
        <f>RecData[[#This Row],[Overall (dBA)]]&lt;$DS$3</f>
        <v>0</v>
      </c>
      <c r="DL5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7" s="2">
        <f>IF(AND(RecData[[#This Row],[Turbines ON/OFF]] = "OFF", NOT(OR(RecData[[#This Row],[Junk?]]="YES",RecData[[#This Row],[Gust?]],RecData[[#This Row],[Rain?]:[Min SPL Threshold?]]))),1,0)</f>
        <v>0</v>
      </c>
      <c r="DN527" s="16">
        <f>RecData[[#This Row],[dBA Sum]]</f>
        <v>38.662522359441319</v>
      </c>
      <c r="DO527" s="16">
        <f>RecData[[#This Row],[LAF90.0]]</f>
        <v>37.700000000000003</v>
      </c>
      <c r="DP527" s="55">
        <f>IF(AND(RecData[[#This Row],[Useable TON Data?]],RecData[[#This Row],[Turbines ON/OFF]]="ON"),RecData[[#This Row],[dBA Sum]],"")</f>
        <v>38.662522359441319</v>
      </c>
      <c r="DQ527" s="55" t="str">
        <f>IF(AND(RecData[[#This Row],[Useable Background Data?]],RecData[[#This Row],[Turbines ON/OFF]]="OFF"),RecData[[#This Row],[dBA Sum]],"")</f>
        <v/>
      </c>
      <c r="DR527" s="3">
        <f>IF(OR(RecData[[#This Row],[Useable TON Data?]],RecData[[#This Row],[Useable Background Data?]]),ROUND(RecData[[#This Row],[WSpd_Avg '[m/s']]],0),"")</f>
        <v>1</v>
      </c>
      <c r="DS527" s="85">
        <f>(0.00002)^2*(10^(RecData[[#This Row],[Overall (dBA)]]/10))</f>
        <v>2.9397623753804332E-6</v>
      </c>
    </row>
    <row r="528" spans="1:123" ht="15" x14ac:dyDescent="0.25">
      <c r="A528" s="3" t="s">
        <v>249</v>
      </c>
      <c r="B528" s="12">
        <v>43270.061805555561</v>
      </c>
      <c r="C528" s="3"/>
      <c r="D528" s="3">
        <v>38.6</v>
      </c>
      <c r="E528" s="3"/>
      <c r="F528" s="3"/>
      <c r="G528" s="3"/>
      <c r="H528" s="3"/>
      <c r="I528" s="3"/>
      <c r="J528" s="3"/>
      <c r="K528" s="3">
        <v>37.4</v>
      </c>
      <c r="L528" s="3"/>
      <c r="M528" s="3"/>
      <c r="N528" s="3">
        <v>112</v>
      </c>
      <c r="O528" s="3"/>
      <c r="P528" s="3"/>
      <c r="Q528" s="3">
        <v>0.4</v>
      </c>
      <c r="R528" s="3">
        <v>0.1</v>
      </c>
      <c r="S528" s="3">
        <v>0.7</v>
      </c>
      <c r="T528" s="3">
        <v>15</v>
      </c>
      <c r="U528" s="3">
        <v>72.599999999999994</v>
      </c>
      <c r="V528" s="3">
        <v>973</v>
      </c>
      <c r="W528" s="3">
        <v>0</v>
      </c>
      <c r="X528" s="3">
        <v>47</v>
      </c>
      <c r="Y528" s="3">
        <v>45.8</v>
      </c>
      <c r="Z528" s="3">
        <v>45.2</v>
      </c>
      <c r="AA528" s="3">
        <v>41.7</v>
      </c>
      <c r="AB528" s="3">
        <v>37.799999999999997</v>
      </c>
      <c r="AC528" s="3">
        <v>35</v>
      </c>
      <c r="AD528" s="3">
        <v>37.799999999999997</v>
      </c>
      <c r="AE528" s="3">
        <v>40.6</v>
      </c>
      <c r="AF528" s="3">
        <v>44.8</v>
      </c>
      <c r="AG528" s="3">
        <v>38.799999999999997</v>
      </c>
      <c r="AH528" s="3">
        <v>36.9</v>
      </c>
      <c r="AI528" s="3">
        <v>38.4</v>
      </c>
      <c r="AJ528" s="3">
        <v>35.700000000000003</v>
      </c>
      <c r="AK528" s="3">
        <v>34</v>
      </c>
      <c r="AL528" s="3">
        <v>31.2</v>
      </c>
      <c r="AM528" s="3">
        <v>29.6</v>
      </c>
      <c r="AN528" s="3">
        <v>27.7</v>
      </c>
      <c r="AO528" s="3">
        <v>24.4</v>
      </c>
      <c r="AP528" s="3">
        <v>22.4</v>
      </c>
      <c r="AQ528" s="3">
        <v>20.399999999999999</v>
      </c>
      <c r="AR528" s="3">
        <v>17</v>
      </c>
      <c r="AS528" s="3">
        <v>18.100000000000001</v>
      </c>
      <c r="AT528" s="3">
        <v>25.7</v>
      </c>
      <c r="AU528" s="3">
        <v>9</v>
      </c>
      <c r="AV528" s="3">
        <v>8.6</v>
      </c>
      <c r="AW528" s="3">
        <v>9.1</v>
      </c>
      <c r="AX528" s="3">
        <v>9.1999999999999993</v>
      </c>
      <c r="AY528" s="3">
        <v>9.4</v>
      </c>
      <c r="AZ528" s="3">
        <v>0</v>
      </c>
      <c r="BA528" s="3">
        <v>0</v>
      </c>
      <c r="BB528" s="3">
        <v>0</v>
      </c>
      <c r="BC528" s="3">
        <v>38.605468336293541</v>
      </c>
      <c r="BD528" s="3">
        <v>46.994531663706454</v>
      </c>
      <c r="BE528" s="3">
        <v>45.794531663706465</v>
      </c>
      <c r="BF528" s="3">
        <v>43.954531663706462</v>
      </c>
      <c r="BG528" s="3">
        <v>40.78119833037313</v>
      </c>
      <c r="BH528" s="3">
        <v>37.021198330373124</v>
      </c>
      <c r="BI528" s="3">
        <v>34.634531663706468</v>
      </c>
      <c r="BJ528" s="3">
        <v>38.227864997039788</v>
      </c>
      <c r="BK528" s="3">
        <v>40.90119833037312</v>
      </c>
      <c r="BL528" s="3">
        <v>44.67453166370646</v>
      </c>
      <c r="BM528" s="3">
        <v>38.807864997039786</v>
      </c>
      <c r="BN528" s="3">
        <v>37.191198330373126</v>
      </c>
      <c r="BO528" s="3">
        <v>38.057864997039786</v>
      </c>
      <c r="BP528" s="3">
        <v>35.074531663706466</v>
      </c>
      <c r="BQ528" s="3">
        <v>33.79119833037312</v>
      </c>
      <c r="BR528" s="3">
        <v>31.317864997039791</v>
      </c>
      <c r="BS528" s="3">
        <v>29.521198330373124</v>
      </c>
      <c r="BT528" s="3">
        <v>27.817864997039791</v>
      </c>
      <c r="BU528" s="3">
        <v>24.484531663706463</v>
      </c>
      <c r="BV528" s="3">
        <v>22.201198330373131</v>
      </c>
      <c r="BW528" s="3">
        <v>20.734531663706463</v>
      </c>
      <c r="BX528" s="3">
        <v>17.254531663706466</v>
      </c>
      <c r="BY528" s="3">
        <v>18.17453166370646</v>
      </c>
      <c r="BZ528" s="3">
        <v>25.904531663706464</v>
      </c>
      <c r="CA528" s="3">
        <v>9.3045316637064559</v>
      </c>
      <c r="CB528" s="3">
        <v>8.3411983303731247</v>
      </c>
      <c r="CC528" s="3">
        <v>9.0545316637064559</v>
      </c>
      <c r="CD528" s="3">
        <v>8.4611983303731293</v>
      </c>
      <c r="CE528" s="3">
        <v>8.8545316637064602</v>
      </c>
      <c r="CF528" s="3">
        <v>-0.93213500296020868</v>
      </c>
      <c r="CG528" s="3">
        <v>-1.4654683362935401</v>
      </c>
      <c r="CH528" s="3">
        <v>-2.5421350029602081</v>
      </c>
      <c r="CI528" s="13">
        <f>[1]!dbasum(RecData[[#This Row],[20]:[2000]],RecData[[#Headers],[20]:[2000]])</f>
        <v>38.110259039061262</v>
      </c>
      <c r="CJ528" s="14">
        <v>8266</v>
      </c>
      <c r="CK528" s="15" t="s">
        <v>249</v>
      </c>
      <c r="CL528" s="15">
        <f>RecData[[#This Row],[Start Time]]</f>
        <v>43270.061805555561</v>
      </c>
      <c r="CM528" s="16">
        <f>RecData[[#This Row],[Wind Speed avg]]</f>
        <v>0.4</v>
      </c>
      <c r="CN528" s="16">
        <f>RecData[[#This Row],[Wind Dir. avg]]</f>
        <v>112</v>
      </c>
      <c r="CO528" s="16">
        <f>RecData[[#This Row],[Amb. Humidity]]</f>
        <v>72.599999999999994</v>
      </c>
      <c r="CP528" s="16">
        <f>RecData[[#This Row],[Amb. Temperature]]</f>
        <v>15</v>
      </c>
      <c r="CQ528" s="17">
        <f>RecData[[#This Row],[Amb. Rain Gauge]]</f>
        <v>0</v>
      </c>
      <c r="CR528" s="4" t="s">
        <v>1</v>
      </c>
      <c r="CS528" s="4" t="s">
        <v>49</v>
      </c>
      <c r="CT528" s="70">
        <v>1412.62536621093</v>
      </c>
      <c r="CU528" s="70">
        <v>23.674150466918899</v>
      </c>
      <c r="CV528" s="70">
        <v>9.2672624588012695</v>
      </c>
      <c r="CW528" s="70">
        <v>15.1214637756347</v>
      </c>
      <c r="CX528" s="4"/>
      <c r="CY528" s="69"/>
      <c r="CZ528" s="2" t="b">
        <f>IF($DP$1="YES",IF(RecData[[#This Row],[Power (kW)]]&gt;=$CR$3, TRUE,FALSE),TRUE)</f>
        <v>1</v>
      </c>
      <c r="DA528" s="16">
        <f>MIN(MOD(180-ABS(ABS($DA$1-RecData[Yaw Angle (°)])-180),360),MOD(180-ABS(ABS($DB$1-RecData[Yaw Angle (°)])-180),360))</f>
        <v>16.144223689231353</v>
      </c>
      <c r="DB528" s="2" t="str">
        <f>IF($DP$2="None","None",IF(RecData[[#This Row],[Relative Wind Direction]]&lt;=45,"DW",IF(RecData[[#This Row],[Relative Wind Direction]]&lt;=135,"CW","UW")))</f>
        <v>DW</v>
      </c>
      <c r="DC528" s="61" t="e">
        <f>IF($CL528-$CL525&gt;1/24,#REF!,IF(SUM($CQ525:$CQ528)&gt;$DS$1,$DS$5,DC529-1))</f>
        <v>#REF!</v>
      </c>
      <c r="DD528" s="61">
        <f>IF($CL529-$CL528&gt;1/24,#REF!,IF(SUM($CQ525:$CQ528)&gt;$DS$1,$DS$6,DD527-1))</f>
        <v>-4</v>
      </c>
      <c r="DE528" s="18" t="b">
        <v>0</v>
      </c>
      <c r="DF528" s="2" t="b">
        <f>IF(OR(RecData[[#This Row],[WSpd_Avg '[m/s']]]-RecData[[#This Row],[Wind Speed min]]&gt;=$DF$3,RecData[[#This Row],[Wind Speed max]]-RecData[[#This Row],[WSpd_Avg '[m/s']]]&gt;=$DF$2),TRUE,FALSE)</f>
        <v>0</v>
      </c>
      <c r="DG528" s="2" t="b">
        <f>RecData[[#This Row],[Temperature '[°C']]]&lt;=-20</f>
        <v>0</v>
      </c>
      <c r="DH528" s="18" t="b">
        <f>NOT(OR(MOD(RecData[[#This Row],[TIMESTAMP]],1)&gt;0.91632,MOD(RecData[[#This Row],[TIMESTAMP]],1)&lt;0.208681))</f>
        <v>0</v>
      </c>
      <c r="DI528" s="18" t="b">
        <f>RecData[[#This Row],[Overall (dBA)]]-RecData[[#This Row],[L90]]&gt;=$DS$4</f>
        <v>0</v>
      </c>
      <c r="DJ528" s="18" t="b">
        <f>RecData[[#This Row],[Overall (dBA)]]&gt;$DS$2</f>
        <v>0</v>
      </c>
      <c r="DK528" s="18" t="b">
        <f>RecData[[#This Row],[Overall (dBA)]]&lt;$DS$3</f>
        <v>0</v>
      </c>
      <c r="DL5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8" s="2">
        <f>IF(AND(RecData[[#This Row],[Turbines ON/OFF]] = "OFF", NOT(OR(RecData[[#This Row],[Junk?]]="YES",RecData[[#This Row],[Gust?]],RecData[[#This Row],[Rain?]:[Min SPL Threshold?]]))),1,0)</f>
        <v>0</v>
      </c>
      <c r="DN528" s="16">
        <f>RecData[[#This Row],[dBA Sum]]</f>
        <v>38.110259039061262</v>
      </c>
      <c r="DO528" s="16">
        <f>RecData[[#This Row],[LAF90.0]]</f>
        <v>37.4</v>
      </c>
      <c r="DP528" s="55">
        <f>IF(AND(RecData[[#This Row],[Useable TON Data?]],RecData[[#This Row],[Turbines ON/OFF]]="ON"),RecData[[#This Row],[dBA Sum]],"")</f>
        <v>38.110259039061262</v>
      </c>
      <c r="DQ528" s="55" t="str">
        <f>IF(AND(RecData[[#This Row],[Useable Background Data?]],RecData[[#This Row],[Turbines ON/OFF]]="OFF"),RecData[[#This Row],[dBA Sum]],"")</f>
        <v/>
      </c>
      <c r="DR528" s="3">
        <f>IF(OR(RecData[[#This Row],[Useable TON Data?]],RecData[[#This Row],[Useable Background Data?]]),ROUND(RecData[[#This Row],[WSpd_Avg '[m/s']]],0),"")</f>
        <v>0</v>
      </c>
      <c r="DS528" s="85">
        <f>(0.00002)^2*(10^(RecData[[#This Row],[Overall (dBA)]]/10))</f>
        <v>2.5887248653385055E-6</v>
      </c>
    </row>
    <row r="529" spans="1:123" ht="15" x14ac:dyDescent="0.25">
      <c r="A529" s="3" t="s">
        <v>249</v>
      </c>
      <c r="B529" s="12">
        <v>43270.062500000007</v>
      </c>
      <c r="C529" s="3"/>
      <c r="D529" s="3">
        <v>38.799999999999997</v>
      </c>
      <c r="E529" s="3"/>
      <c r="F529" s="3"/>
      <c r="G529" s="3"/>
      <c r="H529" s="3"/>
      <c r="I529" s="3"/>
      <c r="J529" s="3"/>
      <c r="K529" s="3">
        <v>37</v>
      </c>
      <c r="L529" s="3"/>
      <c r="M529" s="3"/>
      <c r="N529" s="3">
        <v>115.5</v>
      </c>
      <c r="O529" s="3"/>
      <c r="P529" s="3"/>
      <c r="Q529" s="3">
        <v>0.36</v>
      </c>
      <c r="R529" s="3">
        <v>0.1</v>
      </c>
      <c r="S529" s="3">
        <v>0.8</v>
      </c>
      <c r="T529" s="3">
        <v>14.9</v>
      </c>
      <c r="U529" s="3">
        <v>73.3</v>
      </c>
      <c r="V529" s="3">
        <v>973</v>
      </c>
      <c r="W529" s="3">
        <v>0</v>
      </c>
      <c r="X529" s="3">
        <v>46.6</v>
      </c>
      <c r="Y529" s="3">
        <v>44.6</v>
      </c>
      <c r="Z529" s="3">
        <v>44.2</v>
      </c>
      <c r="AA529" s="3">
        <v>41.4</v>
      </c>
      <c r="AB529" s="3">
        <v>36.5</v>
      </c>
      <c r="AC529" s="3">
        <v>33.4</v>
      </c>
      <c r="AD529" s="3">
        <v>36.9</v>
      </c>
      <c r="AE529" s="3">
        <v>40.299999999999997</v>
      </c>
      <c r="AF529" s="3">
        <v>43.3</v>
      </c>
      <c r="AG529" s="3">
        <v>38.1</v>
      </c>
      <c r="AH529" s="3">
        <v>36.299999999999997</v>
      </c>
      <c r="AI529" s="3">
        <v>37.5</v>
      </c>
      <c r="AJ529" s="3">
        <v>35.5</v>
      </c>
      <c r="AK529" s="3">
        <v>33.700000000000003</v>
      </c>
      <c r="AL529" s="3">
        <v>31.7</v>
      </c>
      <c r="AM529" s="3">
        <v>31.1</v>
      </c>
      <c r="AN529" s="3">
        <v>29.7</v>
      </c>
      <c r="AO529" s="3">
        <v>26.5</v>
      </c>
      <c r="AP529" s="3">
        <v>24.5</v>
      </c>
      <c r="AQ529" s="3">
        <v>22.2</v>
      </c>
      <c r="AR529" s="3">
        <v>18.399999999999999</v>
      </c>
      <c r="AS529" s="3">
        <v>15.8</v>
      </c>
      <c r="AT529" s="3">
        <v>25.1</v>
      </c>
      <c r="AU529" s="3">
        <v>9</v>
      </c>
      <c r="AV529" s="3">
        <v>8.6999999999999993</v>
      </c>
      <c r="AW529" s="3">
        <v>9.1</v>
      </c>
      <c r="AX529" s="3">
        <v>9.1999999999999993</v>
      </c>
      <c r="AY529" s="3">
        <v>9.4</v>
      </c>
      <c r="AZ529" s="3">
        <v>0</v>
      </c>
      <c r="BA529" s="3">
        <v>0</v>
      </c>
      <c r="BB529" s="3">
        <v>0</v>
      </c>
      <c r="BC529" s="3">
        <v>38.776125777684236</v>
      </c>
      <c r="BD529" s="3">
        <v>46.62387422231577</v>
      </c>
      <c r="BE529" s="3">
        <v>44.62387422231577</v>
      </c>
      <c r="BF529" s="3">
        <v>42.983874222315755</v>
      </c>
      <c r="BG529" s="3">
        <v>40.510540888982426</v>
      </c>
      <c r="BH529" s="3">
        <v>35.750540888982435</v>
      </c>
      <c r="BI529" s="3">
        <v>33.063874222315768</v>
      </c>
      <c r="BJ529" s="3">
        <v>37.35720755564909</v>
      </c>
      <c r="BK529" s="3">
        <v>40.630540888982431</v>
      </c>
      <c r="BL529" s="3">
        <v>43.203874222315754</v>
      </c>
      <c r="BM529" s="3">
        <v>38.137207555649091</v>
      </c>
      <c r="BN529" s="3">
        <v>36.620540888982426</v>
      </c>
      <c r="BO529" s="3">
        <v>37.187207555649103</v>
      </c>
      <c r="BP529" s="3">
        <v>34.903874222315771</v>
      </c>
      <c r="BQ529" s="3">
        <v>33.520540888982417</v>
      </c>
      <c r="BR529" s="3">
        <v>31.847207555649099</v>
      </c>
      <c r="BS529" s="3">
        <v>31.050540888982432</v>
      </c>
      <c r="BT529" s="3">
        <v>29.847207555649099</v>
      </c>
      <c r="BU529" s="3">
        <v>26.613874222315765</v>
      </c>
      <c r="BV529" s="3">
        <v>24.330540888982434</v>
      </c>
      <c r="BW529" s="3">
        <v>22.563874222315768</v>
      </c>
      <c r="BX529" s="3">
        <v>18.683874222315765</v>
      </c>
      <c r="BY529" s="3">
        <v>15.903874222315757</v>
      </c>
      <c r="BZ529" s="3">
        <v>25.333874222315764</v>
      </c>
      <c r="CA529" s="3">
        <v>9.3338742223157567</v>
      </c>
      <c r="CB529" s="3">
        <v>8.470540888982427</v>
      </c>
      <c r="CC529" s="3">
        <v>9.0838742223157638</v>
      </c>
      <c r="CD529" s="3">
        <v>8.4905408889824301</v>
      </c>
      <c r="CE529" s="3">
        <v>8.883874222315761</v>
      </c>
      <c r="CF529" s="3">
        <v>-0.90279244435090789</v>
      </c>
      <c r="CG529" s="3">
        <v>-1.4361257776842393</v>
      </c>
      <c r="CH529" s="3">
        <v>-2.5127924443509073</v>
      </c>
      <c r="CI529" s="13">
        <f>[1]!dbasum(RecData[[#This Row],[20]:[2000]],RecData[[#Headers],[20]:[2000]])</f>
        <v>38.414128074284733</v>
      </c>
      <c r="CJ529" s="14">
        <v>8267</v>
      </c>
      <c r="CK529" s="15" t="s">
        <v>249</v>
      </c>
      <c r="CL529" s="15">
        <f>RecData[[#This Row],[Start Time]]</f>
        <v>43270.062500000007</v>
      </c>
      <c r="CM529" s="16">
        <f>RecData[[#This Row],[Wind Speed avg]]</f>
        <v>0.36</v>
      </c>
      <c r="CN529" s="16">
        <f>RecData[[#This Row],[Wind Dir. avg]]</f>
        <v>115.5</v>
      </c>
      <c r="CO529" s="16">
        <f>RecData[[#This Row],[Amb. Humidity]]</f>
        <v>73.3</v>
      </c>
      <c r="CP529" s="16">
        <f>RecData[[#This Row],[Amb. Temperature]]</f>
        <v>14.9</v>
      </c>
      <c r="CQ529" s="17">
        <f>RecData[[#This Row],[Amb. Rain Gauge]]</f>
        <v>0</v>
      </c>
      <c r="CR529" s="4" t="s">
        <v>1</v>
      </c>
      <c r="CS529" s="4" t="s">
        <v>49</v>
      </c>
      <c r="CT529" s="70">
        <v>1412.62536621093</v>
      </c>
      <c r="CU529" s="70">
        <v>23.674150466918899</v>
      </c>
      <c r="CV529" s="70">
        <v>9.2672624588012695</v>
      </c>
      <c r="CW529" s="70">
        <v>15.1214637756347</v>
      </c>
      <c r="CX529" s="4"/>
      <c r="CY529" s="69"/>
      <c r="CZ529" s="2" t="b">
        <f>IF($DP$1="YES",IF(RecData[[#This Row],[Power (kW)]]&gt;=$CR$3, TRUE,FALSE),TRUE)</f>
        <v>1</v>
      </c>
      <c r="DA529" s="16">
        <f>MIN(MOD(180-ABS(ABS($DA$1-RecData[Yaw Angle (°)])-180),360),MOD(180-ABS(ABS($DB$1-RecData[Yaw Angle (°)])-180),360))</f>
        <v>16.144223689231353</v>
      </c>
      <c r="DB529" s="2" t="str">
        <f>IF($DP$2="None","None",IF(RecData[[#This Row],[Relative Wind Direction]]&lt;=45,"DW",IF(RecData[[#This Row],[Relative Wind Direction]]&lt;=135,"CW","UW")))</f>
        <v>DW</v>
      </c>
      <c r="DC529" s="61" t="e">
        <f>IF($CL529-$CL525&gt;1/24,#REF!,IF(SUM($CQ525:$CQ529)&gt;$DS$1,$DS$5,#REF!-1))</f>
        <v>#REF!</v>
      </c>
      <c r="DD529" s="61" t="e">
        <f>IF(#REF!-$CL529&gt;1/24,#REF!,IF(SUM($CQ525:$CQ529)&gt;$DS$1,$DS$6,DD528-1))</f>
        <v>#REF!</v>
      </c>
      <c r="DE529" s="18" t="b">
        <v>0</v>
      </c>
      <c r="DF529" s="2" t="b">
        <f>IF(OR(RecData[[#This Row],[WSpd_Avg '[m/s']]]-RecData[[#This Row],[Wind Speed min]]&gt;=$DF$3,RecData[[#This Row],[Wind Speed max]]-RecData[[#This Row],[WSpd_Avg '[m/s']]]&gt;=$DF$2),TRUE,FALSE)</f>
        <v>0</v>
      </c>
      <c r="DG529" s="2" t="b">
        <f>RecData[[#This Row],[Temperature '[°C']]]&lt;=-20</f>
        <v>0</v>
      </c>
      <c r="DH529" s="18" t="b">
        <f>NOT(OR(MOD(RecData[[#This Row],[TIMESTAMP]],1)&gt;0.91632,MOD(RecData[[#This Row],[TIMESTAMP]],1)&lt;0.208681))</f>
        <v>0</v>
      </c>
      <c r="DI529" s="18" t="b">
        <f>RecData[[#This Row],[Overall (dBA)]]-RecData[[#This Row],[L90]]&gt;=$DS$4</f>
        <v>0</v>
      </c>
      <c r="DJ529" s="18" t="b">
        <f>RecData[[#This Row],[Overall (dBA)]]&gt;$DS$2</f>
        <v>0</v>
      </c>
      <c r="DK529" s="18" t="b">
        <f>RecData[[#This Row],[Overall (dBA)]]&lt;$DS$3</f>
        <v>0</v>
      </c>
      <c r="DL5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29" s="2">
        <f>IF(AND(RecData[[#This Row],[Turbines ON/OFF]] = "OFF", NOT(OR(RecData[[#This Row],[Junk?]]="YES",RecData[[#This Row],[Gust?]],RecData[[#This Row],[Rain?]:[Min SPL Threshold?]]))),1,0)</f>
        <v>0</v>
      </c>
      <c r="DN529" s="16">
        <f>RecData[[#This Row],[dBA Sum]]</f>
        <v>38.414128074284733</v>
      </c>
      <c r="DO529" s="16">
        <f>RecData[[#This Row],[LAF90.0]]</f>
        <v>37</v>
      </c>
      <c r="DP529" s="55">
        <f>IF(AND(RecData[[#This Row],[Useable TON Data?]],RecData[[#This Row],[Turbines ON/OFF]]="ON"),RecData[[#This Row],[dBA Sum]],"")</f>
        <v>38.414128074284733</v>
      </c>
      <c r="DQ529" s="55" t="str">
        <f>IF(AND(RecData[[#This Row],[Useable Background Data?]],RecData[[#This Row],[Turbines ON/OFF]]="OFF"),RecData[[#This Row],[dBA Sum]],"")</f>
        <v/>
      </c>
      <c r="DR529" s="3">
        <f>IF(OR(RecData[[#This Row],[Useable TON Data?]],RecData[[#This Row],[Useable Background Data?]]),ROUND(RecData[[#This Row],[WSpd_Avg '[m/s']]],0),"")</f>
        <v>0</v>
      </c>
      <c r="DS529" s="85">
        <f>(0.00002)^2*(10^(RecData[[#This Row],[Overall (dBA)]]/10))</f>
        <v>2.7763409496029996E-6</v>
      </c>
    </row>
    <row r="530" spans="1:123" ht="15" x14ac:dyDescent="0.25">
      <c r="A530" s="3" t="s">
        <v>249</v>
      </c>
      <c r="B530" s="12">
        <v>43270.084027777782</v>
      </c>
      <c r="C530" s="3"/>
      <c r="D530" s="3">
        <v>39.6</v>
      </c>
      <c r="E530" s="3"/>
      <c r="F530" s="3"/>
      <c r="G530" s="3"/>
      <c r="H530" s="3"/>
      <c r="I530" s="3"/>
      <c r="J530" s="3"/>
      <c r="K530" s="3">
        <v>37.9</v>
      </c>
      <c r="L530" s="3"/>
      <c r="M530" s="3"/>
      <c r="N530" s="3">
        <v>156.19999999999999</v>
      </c>
      <c r="O530" s="3"/>
      <c r="P530" s="3"/>
      <c r="Q530" s="3">
        <v>0.91</v>
      </c>
      <c r="R530" s="3">
        <v>0.4</v>
      </c>
      <c r="S530" s="3">
        <v>1.5</v>
      </c>
      <c r="T530" s="3">
        <v>14</v>
      </c>
      <c r="U530" s="3">
        <v>74.599999999999994</v>
      </c>
      <c r="V530" s="3">
        <v>972.9</v>
      </c>
      <c r="W530" s="3">
        <v>0</v>
      </c>
      <c r="X530" s="3">
        <v>45.9</v>
      </c>
      <c r="Y530" s="3">
        <v>45.4</v>
      </c>
      <c r="Z530" s="3">
        <v>44.2</v>
      </c>
      <c r="AA530" s="3">
        <v>40.1</v>
      </c>
      <c r="AB530" s="3">
        <v>35.299999999999997</v>
      </c>
      <c r="AC530" s="3">
        <v>33.9</v>
      </c>
      <c r="AD530" s="3">
        <v>38</v>
      </c>
      <c r="AE530" s="3">
        <v>40.5</v>
      </c>
      <c r="AF530" s="3">
        <v>46.3</v>
      </c>
      <c r="AG530" s="3">
        <v>39</v>
      </c>
      <c r="AH530" s="3">
        <v>38.1</v>
      </c>
      <c r="AI530" s="3">
        <v>38.200000000000003</v>
      </c>
      <c r="AJ530" s="3">
        <v>36.6</v>
      </c>
      <c r="AK530" s="3">
        <v>35.1</v>
      </c>
      <c r="AL530" s="3">
        <v>32.700000000000003</v>
      </c>
      <c r="AM530" s="3">
        <v>31.7</v>
      </c>
      <c r="AN530" s="3">
        <v>30.1</v>
      </c>
      <c r="AO530" s="3">
        <v>26.6</v>
      </c>
      <c r="AP530" s="3">
        <v>24.5</v>
      </c>
      <c r="AQ530" s="3">
        <v>22.1</v>
      </c>
      <c r="AR530" s="3">
        <v>18.600000000000001</v>
      </c>
      <c r="AS530" s="3">
        <v>15</v>
      </c>
      <c r="AT530" s="3">
        <v>19.899999999999999</v>
      </c>
      <c r="AU530" s="3">
        <v>9.3000000000000007</v>
      </c>
      <c r="AV530" s="3">
        <v>9</v>
      </c>
      <c r="AW530" s="3">
        <v>9.3000000000000007</v>
      </c>
      <c r="AX530" s="3">
        <v>9.3000000000000007</v>
      </c>
      <c r="AY530" s="3">
        <v>9.4</v>
      </c>
      <c r="AZ530" s="3">
        <v>0</v>
      </c>
      <c r="BA530" s="3">
        <v>0</v>
      </c>
      <c r="BB530" s="3">
        <v>0</v>
      </c>
      <c r="BC530" s="3">
        <v>39.568591200480526</v>
      </c>
      <c r="BD530" s="3">
        <v>45.931408799519474</v>
      </c>
      <c r="BE530" s="3">
        <v>45.431408799519474</v>
      </c>
      <c r="BF530" s="3">
        <v>42.991408799519476</v>
      </c>
      <c r="BG530" s="3">
        <v>39.218075466186136</v>
      </c>
      <c r="BH530" s="3">
        <v>34.558075466186139</v>
      </c>
      <c r="BI530" s="3">
        <v>33.571408799519475</v>
      </c>
      <c r="BJ530" s="3">
        <v>38.464742132852805</v>
      </c>
      <c r="BK530" s="3">
        <v>40.83807546618614</v>
      </c>
      <c r="BL530" s="3">
        <v>46.211408799519475</v>
      </c>
      <c r="BM530" s="3">
        <v>39.044742132852818</v>
      </c>
      <c r="BN530" s="3">
        <v>38.428075466186144</v>
      </c>
      <c r="BO530" s="3">
        <v>37.894742132852812</v>
      </c>
      <c r="BP530" s="3">
        <v>36.011408799519486</v>
      </c>
      <c r="BQ530" s="3">
        <v>34.928075466186144</v>
      </c>
      <c r="BR530" s="3">
        <v>32.85474213285282</v>
      </c>
      <c r="BS530" s="3">
        <v>31.658075466186133</v>
      </c>
      <c r="BT530" s="3">
        <v>30.254742132852812</v>
      </c>
      <c r="BU530" s="3">
        <v>26.72140879951948</v>
      </c>
      <c r="BV530" s="3">
        <v>24.33807546618614</v>
      </c>
      <c r="BW530" s="3">
        <v>22.47140879951948</v>
      </c>
      <c r="BX530" s="3">
        <v>18.891408799519482</v>
      </c>
      <c r="BY530" s="3">
        <v>15.111408799519474</v>
      </c>
      <c r="BZ530" s="3">
        <v>20.141408799519482</v>
      </c>
      <c r="CA530" s="3">
        <v>9.6414087995194677</v>
      </c>
      <c r="CB530" s="3">
        <v>8.778075466186138</v>
      </c>
      <c r="CC530" s="3">
        <v>9.2914087995194734</v>
      </c>
      <c r="CD530" s="3">
        <v>8.5980754661861454</v>
      </c>
      <c r="CE530" s="3">
        <v>8.8914087995194748</v>
      </c>
      <c r="CF530" s="3">
        <v>-0.89525786714719402</v>
      </c>
      <c r="CG530" s="3">
        <v>-1.4285912004805255</v>
      </c>
      <c r="CH530" s="3">
        <v>-2.5052578671471935</v>
      </c>
      <c r="CI530" s="13">
        <f>[1]!dbasum(RecData[[#This Row],[20]:[2000]],RecData[[#Headers],[20]:[2000]])</f>
        <v>39.411824462021727</v>
      </c>
      <c r="CJ530" s="14">
        <v>8298</v>
      </c>
      <c r="CK530" s="15" t="s">
        <v>249</v>
      </c>
      <c r="CL530" s="15">
        <f>RecData[[#This Row],[Start Time]]</f>
        <v>43270.084027777782</v>
      </c>
      <c r="CM530" s="16">
        <f>RecData[[#This Row],[Wind Speed avg]]</f>
        <v>0.91</v>
      </c>
      <c r="CN530" s="16">
        <f>RecData[[#This Row],[Wind Dir. avg]]</f>
        <v>156.19999999999999</v>
      </c>
      <c r="CO530" s="16">
        <f>RecData[[#This Row],[Amb. Humidity]]</f>
        <v>74.599999999999994</v>
      </c>
      <c r="CP530" s="16">
        <f>RecData[[#This Row],[Amb. Temperature]]</f>
        <v>14</v>
      </c>
      <c r="CQ530" s="17">
        <f>RecData[[#This Row],[Amb. Rain Gauge]]</f>
        <v>0</v>
      </c>
      <c r="CR530" s="4" t="s">
        <v>1</v>
      </c>
      <c r="CS530" s="4" t="s">
        <v>49</v>
      </c>
      <c r="CT530" s="70">
        <v>1619.4345703125</v>
      </c>
      <c r="CU530" s="70">
        <v>30.000257492065401</v>
      </c>
      <c r="CV530" s="70">
        <v>10.3180227279663</v>
      </c>
      <c r="CW530" s="70">
        <v>15.2633934020996</v>
      </c>
      <c r="CX530" s="4"/>
      <c r="CY530" s="69"/>
      <c r="CZ530" s="2" t="b">
        <f>IF($DP$1="YES",IF(RecData[[#This Row],[Power (kW)]]&gt;=$CR$3, TRUE,FALSE),TRUE)</f>
        <v>1</v>
      </c>
      <c r="DA530" s="16">
        <f>MIN(MOD(180-ABS(ABS($DA$1-RecData[Yaw Angle (°)])-180),360),MOD(180-ABS(ABS($DB$1-RecData[Yaw Angle (°)])-180),360))</f>
        <v>22.470330714377837</v>
      </c>
      <c r="DB530" s="2" t="str">
        <f>IF($DP$2="None","None",IF(RecData[[#This Row],[Relative Wind Direction]]&lt;=45,"DW",IF(RecData[[#This Row],[Relative Wind Direction]]&lt;=135,"CW","UW")))</f>
        <v>DW</v>
      </c>
      <c r="DC530" s="61" t="e">
        <f>IF($CL530-#REF!&gt;1/24,#REF!,IF(SUM($CQ530:$CQ530)&gt;$DS$1,$DS$5,DC531-1))</f>
        <v>#REF!</v>
      </c>
      <c r="DD530" s="61" t="e">
        <f>IF($CL531-$CL530&gt;1/24,#REF!,IF(SUM($CQ530:$CQ530)&gt;$DS$1,$DS$6,#REF!-1))</f>
        <v>#REF!</v>
      </c>
      <c r="DE530" s="18" t="b">
        <v>0</v>
      </c>
      <c r="DF530" s="2" t="b">
        <f>IF(OR(RecData[[#This Row],[WSpd_Avg '[m/s']]]-RecData[[#This Row],[Wind Speed min]]&gt;=$DF$3,RecData[[#This Row],[Wind Speed max]]-RecData[[#This Row],[WSpd_Avg '[m/s']]]&gt;=$DF$2),TRUE,FALSE)</f>
        <v>0</v>
      </c>
      <c r="DG530" s="2" t="b">
        <f>RecData[[#This Row],[Temperature '[°C']]]&lt;=-20</f>
        <v>0</v>
      </c>
      <c r="DH530" s="18" t="b">
        <f>NOT(OR(MOD(RecData[[#This Row],[TIMESTAMP]],1)&gt;0.91632,MOD(RecData[[#This Row],[TIMESTAMP]],1)&lt;0.208681))</f>
        <v>0</v>
      </c>
      <c r="DI530" s="18" t="b">
        <f>RecData[[#This Row],[Overall (dBA)]]-RecData[[#This Row],[L90]]&gt;=$DS$4</f>
        <v>0</v>
      </c>
      <c r="DJ530" s="18" t="b">
        <f>RecData[[#This Row],[Overall (dBA)]]&gt;$DS$2</f>
        <v>0</v>
      </c>
      <c r="DK530" s="18" t="b">
        <f>RecData[[#This Row],[Overall (dBA)]]&lt;$DS$3</f>
        <v>0</v>
      </c>
      <c r="DL5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0" s="2">
        <f>IF(AND(RecData[[#This Row],[Turbines ON/OFF]] = "OFF", NOT(OR(RecData[[#This Row],[Junk?]]="YES",RecData[[#This Row],[Gust?]],RecData[[#This Row],[Rain?]:[Min SPL Threshold?]]))),1,0)</f>
        <v>0</v>
      </c>
      <c r="DN530" s="16">
        <f>RecData[[#This Row],[dBA Sum]]</f>
        <v>39.411824462021727</v>
      </c>
      <c r="DO530" s="16">
        <f>RecData[[#This Row],[LAF90.0]]</f>
        <v>37.9</v>
      </c>
      <c r="DP530" s="55">
        <f>IF(AND(RecData[[#This Row],[Useable TON Data?]],RecData[[#This Row],[Turbines ON/OFF]]="ON"),RecData[[#This Row],[dBA Sum]],"")</f>
        <v>39.411824462021727</v>
      </c>
      <c r="DQ530" s="55" t="str">
        <f>IF(AND(RecData[[#This Row],[Useable Background Data?]],RecData[[#This Row],[Turbines ON/OFF]]="OFF"),RecData[[#This Row],[dBA Sum]],"")</f>
        <v/>
      </c>
      <c r="DR530" s="3">
        <f>IF(OR(RecData[[#This Row],[Useable TON Data?]],RecData[[#This Row],[Useable Background Data?]]),ROUND(RecData[[#This Row],[WSpd_Avg '[m/s']]],0),"")</f>
        <v>1</v>
      </c>
      <c r="DS530" s="85">
        <f>(0.00002)^2*(10^(RecData[[#This Row],[Overall (dBA)]]/10))</f>
        <v>3.493352715496825E-6</v>
      </c>
    </row>
    <row r="531" spans="1:123" ht="15" x14ac:dyDescent="0.25">
      <c r="A531" s="3" t="s">
        <v>249</v>
      </c>
      <c r="B531" s="12">
        <v>43270.084722222222</v>
      </c>
      <c r="C531" s="3"/>
      <c r="D531" s="3">
        <v>40.5</v>
      </c>
      <c r="E531" s="3"/>
      <c r="F531" s="3"/>
      <c r="G531" s="3"/>
      <c r="H531" s="3"/>
      <c r="I531" s="3"/>
      <c r="J531" s="3"/>
      <c r="K531" s="3">
        <v>39</v>
      </c>
      <c r="L531" s="3"/>
      <c r="M531" s="3"/>
      <c r="N531" s="3">
        <v>177.6</v>
      </c>
      <c r="O531" s="3"/>
      <c r="P531" s="3"/>
      <c r="Q531" s="3">
        <v>0.9</v>
      </c>
      <c r="R531" s="3">
        <v>0.5</v>
      </c>
      <c r="S531" s="3">
        <v>1.4</v>
      </c>
      <c r="T531" s="3">
        <v>14.1</v>
      </c>
      <c r="U531" s="3">
        <v>74.599999999999994</v>
      </c>
      <c r="V531" s="3">
        <v>972.9</v>
      </c>
      <c r="W531" s="3">
        <v>0</v>
      </c>
      <c r="X531" s="3">
        <v>45.9</v>
      </c>
      <c r="Y531" s="3">
        <v>44.8</v>
      </c>
      <c r="Z531" s="3">
        <v>44.9</v>
      </c>
      <c r="AA531" s="3">
        <v>41.3</v>
      </c>
      <c r="AB531" s="3">
        <v>35.799999999999997</v>
      </c>
      <c r="AC531" s="3">
        <v>34.1</v>
      </c>
      <c r="AD531" s="3">
        <v>38</v>
      </c>
      <c r="AE531" s="3">
        <v>39.9</v>
      </c>
      <c r="AF531" s="3">
        <v>45.9</v>
      </c>
      <c r="AG531" s="3">
        <v>40.9</v>
      </c>
      <c r="AH531" s="3">
        <v>37.9</v>
      </c>
      <c r="AI531" s="3">
        <v>38.9</v>
      </c>
      <c r="AJ531" s="3">
        <v>37.200000000000003</v>
      </c>
      <c r="AK531" s="3">
        <v>35.6</v>
      </c>
      <c r="AL531" s="3">
        <v>33.5</v>
      </c>
      <c r="AM531" s="3">
        <v>33.1</v>
      </c>
      <c r="AN531" s="3">
        <v>31.5</v>
      </c>
      <c r="AO531" s="3">
        <v>28</v>
      </c>
      <c r="AP531" s="3">
        <v>25.7</v>
      </c>
      <c r="AQ531" s="3">
        <v>23.6</v>
      </c>
      <c r="AR531" s="3">
        <v>19.899999999999999</v>
      </c>
      <c r="AS531" s="3">
        <v>16.600000000000001</v>
      </c>
      <c r="AT531" s="3">
        <v>25.6</v>
      </c>
      <c r="AU531" s="3">
        <v>9.9</v>
      </c>
      <c r="AV531" s="3">
        <v>9.3000000000000007</v>
      </c>
      <c r="AW531" s="3">
        <v>9.4</v>
      </c>
      <c r="AX531" s="3">
        <v>9.1999999999999993</v>
      </c>
      <c r="AY531" s="3">
        <v>9.4</v>
      </c>
      <c r="AZ531" s="3">
        <v>0</v>
      </c>
      <c r="BA531" s="3">
        <v>0</v>
      </c>
      <c r="BB531" s="3">
        <v>0</v>
      </c>
      <c r="BC531" s="3">
        <v>40.489851425681692</v>
      </c>
      <c r="BD531" s="3">
        <v>45.910148574318313</v>
      </c>
      <c r="BE531" s="3">
        <v>44.810148574318305</v>
      </c>
      <c r="BF531" s="3">
        <v>43.670148574318304</v>
      </c>
      <c r="BG531" s="3">
        <v>40.396815240984964</v>
      </c>
      <c r="BH531" s="3">
        <v>35.036815240984978</v>
      </c>
      <c r="BI531" s="3">
        <v>33.750148574318317</v>
      </c>
      <c r="BJ531" s="3">
        <v>38.443481907651645</v>
      </c>
      <c r="BK531" s="3">
        <v>40.216815240984971</v>
      </c>
      <c r="BL531" s="3">
        <v>45.790148574318309</v>
      </c>
      <c r="BM531" s="3">
        <v>40.923481907651635</v>
      </c>
      <c r="BN531" s="3">
        <v>38.206815240984966</v>
      </c>
      <c r="BO531" s="3">
        <v>38.57348190765164</v>
      </c>
      <c r="BP531" s="3">
        <v>36.59014857431832</v>
      </c>
      <c r="BQ531" s="3">
        <v>35.406815240984969</v>
      </c>
      <c r="BR531" s="3">
        <v>33.633481907651642</v>
      </c>
      <c r="BS531" s="3">
        <v>33.036815240984978</v>
      </c>
      <c r="BT531" s="3">
        <v>31.633481907651642</v>
      </c>
      <c r="BU531" s="3">
        <v>28.100148574318311</v>
      </c>
      <c r="BV531" s="3">
        <v>25.516815240984968</v>
      </c>
      <c r="BW531" s="3">
        <v>23.950148574318305</v>
      </c>
      <c r="BX531" s="3">
        <v>20.170148574318311</v>
      </c>
      <c r="BY531" s="3">
        <v>16.690148574318307</v>
      </c>
      <c r="BZ531" s="3">
        <v>25.82014857431831</v>
      </c>
      <c r="CA531" s="3">
        <v>10.220148574318301</v>
      </c>
      <c r="CB531" s="3">
        <v>9.0568152409849745</v>
      </c>
      <c r="CC531" s="3">
        <v>9.3701485743183071</v>
      </c>
      <c r="CD531" s="3">
        <v>8.4768152409849762</v>
      </c>
      <c r="CE531" s="3">
        <v>8.8701485743183071</v>
      </c>
      <c r="CF531" s="3">
        <v>-0.91651809234836179</v>
      </c>
      <c r="CG531" s="3">
        <v>-1.4498514256816932</v>
      </c>
      <c r="CH531" s="3">
        <v>-2.5265180923483612</v>
      </c>
      <c r="CI531" s="13">
        <f>[1]!dbasum(RecData[[#This Row],[20]:[2000]],RecData[[#Headers],[20]:[2000]])</f>
        <v>40.188116285270397</v>
      </c>
      <c r="CJ531" s="14">
        <v>8299</v>
      </c>
      <c r="CK531" s="15" t="s">
        <v>249</v>
      </c>
      <c r="CL531" s="15">
        <f>RecData[[#This Row],[Start Time]]</f>
        <v>43270.084722222222</v>
      </c>
      <c r="CM531" s="16">
        <f>RecData[[#This Row],[Wind Speed avg]]</f>
        <v>0.9</v>
      </c>
      <c r="CN531" s="16">
        <f>RecData[[#This Row],[Wind Dir. avg]]</f>
        <v>177.6</v>
      </c>
      <c r="CO531" s="16">
        <f>RecData[[#This Row],[Amb. Humidity]]</f>
        <v>74.599999999999994</v>
      </c>
      <c r="CP531" s="16">
        <f>RecData[[#This Row],[Amb. Temperature]]</f>
        <v>14.1</v>
      </c>
      <c r="CQ531" s="17">
        <f>RecData[[#This Row],[Amb. Rain Gauge]]</f>
        <v>0</v>
      </c>
      <c r="CR531" s="4" t="s">
        <v>1</v>
      </c>
      <c r="CS531" s="4" t="s">
        <v>49</v>
      </c>
      <c r="CT531" s="70">
        <v>1619.4345703125</v>
      </c>
      <c r="CU531" s="70">
        <v>30.000257492065401</v>
      </c>
      <c r="CV531" s="70">
        <v>10.3180227279663</v>
      </c>
      <c r="CW531" s="70">
        <v>15.2633934020996</v>
      </c>
      <c r="CX531" s="4"/>
      <c r="CY531" s="69"/>
      <c r="CZ531" s="2" t="b">
        <f>IF($DP$1="YES",IF(RecData[[#This Row],[Power (kW)]]&gt;=$CR$3, TRUE,FALSE),TRUE)</f>
        <v>1</v>
      </c>
      <c r="DA531" s="16">
        <f>MIN(MOD(180-ABS(ABS($DA$1-RecData[Yaw Angle (°)])-180),360),MOD(180-ABS(ABS($DB$1-RecData[Yaw Angle (°)])-180),360))</f>
        <v>22.470330714377837</v>
      </c>
      <c r="DB531" s="2" t="str">
        <f>IF($DP$2="None","None",IF(RecData[[#This Row],[Relative Wind Direction]]&lt;=45,"DW",IF(RecData[[#This Row],[Relative Wind Direction]]&lt;=135,"CW","UW")))</f>
        <v>DW</v>
      </c>
      <c r="DC531" s="61">
        <v>-1</v>
      </c>
      <c r="DD531" s="61">
        <v>-1</v>
      </c>
      <c r="DE531" s="18" t="b">
        <v>0</v>
      </c>
      <c r="DF531" s="2" t="b">
        <f>IF(OR(RecData[[#This Row],[WSpd_Avg '[m/s']]]-RecData[[#This Row],[Wind Speed min]]&gt;=$DF$3,RecData[[#This Row],[Wind Speed max]]-RecData[[#This Row],[WSpd_Avg '[m/s']]]&gt;=$DF$2),TRUE,FALSE)</f>
        <v>0</v>
      </c>
      <c r="DG531" s="2" t="b">
        <f>RecData[[#This Row],[Temperature '[°C']]]&lt;=-20</f>
        <v>0</v>
      </c>
      <c r="DH531" s="18" t="b">
        <f>NOT(OR(MOD(RecData[[#This Row],[TIMESTAMP]],1)&gt;0.91632,MOD(RecData[[#This Row],[TIMESTAMP]],1)&lt;0.208681))</f>
        <v>0</v>
      </c>
      <c r="DI531" s="18" t="b">
        <f>RecData[[#This Row],[Overall (dBA)]]-RecData[[#This Row],[L90]]&gt;=$DS$4</f>
        <v>0</v>
      </c>
      <c r="DJ531" s="18" t="b">
        <f>RecData[[#This Row],[Overall (dBA)]]&gt;$DS$2</f>
        <v>0</v>
      </c>
      <c r="DK531" s="18" t="b">
        <f>RecData[[#This Row],[Overall (dBA)]]&lt;$DS$3</f>
        <v>0</v>
      </c>
      <c r="DL5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1" s="2">
        <f>IF(AND(RecData[[#This Row],[Turbines ON/OFF]] = "OFF", NOT(OR(RecData[[#This Row],[Junk?]]="YES",RecData[[#This Row],[Gust?]],RecData[[#This Row],[Rain?]:[Min SPL Threshold?]]))),1,0)</f>
        <v>0</v>
      </c>
      <c r="DN531" s="16">
        <f>RecData[[#This Row],[dBA Sum]]</f>
        <v>40.188116285270397</v>
      </c>
      <c r="DO531" s="16">
        <f>RecData[[#This Row],[LAF90.0]]</f>
        <v>39</v>
      </c>
      <c r="DP531" s="55">
        <f>IF(AND(RecData[[#This Row],[Useable TON Data?]],RecData[[#This Row],[Turbines ON/OFF]]="ON"),RecData[[#This Row],[dBA Sum]],"")</f>
        <v>40.188116285270397</v>
      </c>
      <c r="DQ531" s="55" t="str">
        <f>IF(AND(RecData[[#This Row],[Useable Background Data?]],RecData[[#This Row],[Turbines ON/OFF]]="OFF"),RecData[[#This Row],[dBA Sum]],"")</f>
        <v/>
      </c>
      <c r="DR531" s="3">
        <f>IF(OR(RecData[[#This Row],[Useable TON Data?]],RecData[[#This Row],[Useable Background Data?]]),ROUND(RecData[[#This Row],[WSpd_Avg '[m/s']]],0),"")</f>
        <v>1</v>
      </c>
      <c r="DS531" s="85">
        <f>(0.00002)^2*(10^(RecData[[#This Row],[Overall (dBA)]]/10))</f>
        <v>4.1770687165014806E-6</v>
      </c>
    </row>
    <row r="532" spans="1:123" ht="15" x14ac:dyDescent="0.25">
      <c r="A532" s="3" t="s">
        <v>249</v>
      </c>
      <c r="B532" s="12">
        <v>43270.085416666669</v>
      </c>
      <c r="C532" s="3"/>
      <c r="D532" s="3">
        <v>40.4</v>
      </c>
      <c r="E532" s="3"/>
      <c r="F532" s="3"/>
      <c r="G532" s="3"/>
      <c r="H532" s="3"/>
      <c r="I532" s="3"/>
      <c r="J532" s="3"/>
      <c r="K532" s="3">
        <v>39.200000000000003</v>
      </c>
      <c r="L532" s="3"/>
      <c r="M532" s="3"/>
      <c r="N532" s="3">
        <v>173.4</v>
      </c>
      <c r="O532" s="3"/>
      <c r="P532" s="3"/>
      <c r="Q532" s="3">
        <v>1.2</v>
      </c>
      <c r="R532" s="3">
        <v>0.6</v>
      </c>
      <c r="S532" s="3">
        <v>1.8</v>
      </c>
      <c r="T532" s="3">
        <v>14.1</v>
      </c>
      <c r="U532" s="3">
        <v>74.8</v>
      </c>
      <c r="V532" s="3">
        <v>972.9</v>
      </c>
      <c r="W532" s="3">
        <v>0</v>
      </c>
      <c r="X532" s="3">
        <v>46</v>
      </c>
      <c r="Y532" s="3">
        <v>45</v>
      </c>
      <c r="Z532" s="3">
        <v>44.3</v>
      </c>
      <c r="AA532" s="3">
        <v>39.799999999999997</v>
      </c>
      <c r="AB532" s="3">
        <v>35</v>
      </c>
      <c r="AC532" s="3">
        <v>34.5</v>
      </c>
      <c r="AD532" s="3">
        <v>39</v>
      </c>
      <c r="AE532" s="3">
        <v>41</v>
      </c>
      <c r="AF532" s="3">
        <v>46.1</v>
      </c>
      <c r="AG532" s="3">
        <v>39.299999999999997</v>
      </c>
      <c r="AH532" s="3">
        <v>38.9</v>
      </c>
      <c r="AI532" s="3">
        <v>38.5</v>
      </c>
      <c r="AJ532" s="3">
        <v>37.299999999999997</v>
      </c>
      <c r="AK532" s="3">
        <v>35.700000000000003</v>
      </c>
      <c r="AL532" s="3">
        <v>33.4</v>
      </c>
      <c r="AM532" s="3">
        <v>32.799999999999997</v>
      </c>
      <c r="AN532" s="3">
        <v>30.8</v>
      </c>
      <c r="AO532" s="3">
        <v>27.2</v>
      </c>
      <c r="AP532" s="3">
        <v>25.3</v>
      </c>
      <c r="AQ532" s="3">
        <v>23</v>
      </c>
      <c r="AR532" s="3">
        <v>19.7</v>
      </c>
      <c r="AS532" s="3">
        <v>17.2</v>
      </c>
      <c r="AT532" s="3">
        <v>26.9</v>
      </c>
      <c r="AU532" s="3">
        <v>11.4</v>
      </c>
      <c r="AV532" s="3">
        <v>10</v>
      </c>
      <c r="AW532" s="3">
        <v>9.9</v>
      </c>
      <c r="AX532" s="3">
        <v>9.4</v>
      </c>
      <c r="AY532" s="3">
        <v>9.5</v>
      </c>
      <c r="AZ532" s="3">
        <v>0</v>
      </c>
      <c r="BA532" s="3">
        <v>0</v>
      </c>
      <c r="BB532" s="3">
        <v>0</v>
      </c>
      <c r="BC532" s="3">
        <v>40.376203842987046</v>
      </c>
      <c r="BD532" s="3">
        <v>46.02379615701296</v>
      </c>
      <c r="BE532" s="3">
        <v>45.02379615701296</v>
      </c>
      <c r="BF532" s="3">
        <v>43.083796157012948</v>
      </c>
      <c r="BG532" s="3">
        <v>38.910462823679616</v>
      </c>
      <c r="BH532" s="3">
        <v>34.250462823679619</v>
      </c>
      <c r="BI532" s="3">
        <v>34.163796157012946</v>
      </c>
      <c r="BJ532" s="3">
        <v>39.457129490346283</v>
      </c>
      <c r="BK532" s="3">
        <v>41.330462823679618</v>
      </c>
      <c r="BL532" s="3">
        <v>46.00379615701295</v>
      </c>
      <c r="BM532" s="3">
        <v>39.337129490346292</v>
      </c>
      <c r="BN532" s="3">
        <v>39.220462823679618</v>
      </c>
      <c r="BO532" s="3">
        <v>38.187129490346287</v>
      </c>
      <c r="BP532" s="3">
        <v>36.703796157012953</v>
      </c>
      <c r="BQ532" s="3">
        <v>35.520462823679615</v>
      </c>
      <c r="BR532" s="3">
        <v>33.547129490346286</v>
      </c>
      <c r="BS532" s="3">
        <v>32.750462823679619</v>
      </c>
      <c r="BT532" s="3">
        <v>30.947129490346292</v>
      </c>
      <c r="BU532" s="3">
        <v>27.313796157012952</v>
      </c>
      <c r="BV532" s="3">
        <v>25.130462823679615</v>
      </c>
      <c r="BW532" s="3">
        <v>23.363796157012956</v>
      </c>
      <c r="BX532" s="3">
        <v>19.983796157012954</v>
      </c>
      <c r="BY532" s="3">
        <v>17.303796157012947</v>
      </c>
      <c r="BZ532" s="3">
        <v>27.133796157012959</v>
      </c>
      <c r="CA532" s="3">
        <v>11.733796157012947</v>
      </c>
      <c r="CB532" s="3">
        <v>9.7704628236796154</v>
      </c>
      <c r="CC532" s="3">
        <v>9.8837961570129522</v>
      </c>
      <c r="CD532" s="3">
        <v>8.6904628236796242</v>
      </c>
      <c r="CE532" s="3">
        <v>8.9837961570129536</v>
      </c>
      <c r="CF532" s="3">
        <v>-0.90287050965371662</v>
      </c>
      <c r="CG532" s="3">
        <v>-1.4362038429870481</v>
      </c>
      <c r="CH532" s="3">
        <v>-2.5128705096537161</v>
      </c>
      <c r="CI532" s="13">
        <f>[1]!dbasum(RecData[[#This Row],[20]:[2000]],RecData[[#Headers],[20]:[2000]])</f>
        <v>40.002159492908319</v>
      </c>
      <c r="CJ532" s="14">
        <v>8300</v>
      </c>
      <c r="CK532" s="15" t="s">
        <v>249</v>
      </c>
      <c r="CL532" s="15">
        <f>RecData[[#This Row],[Start Time]]</f>
        <v>43270.085416666669</v>
      </c>
      <c r="CM532" s="16">
        <f>RecData[[#This Row],[Wind Speed avg]]</f>
        <v>1.2</v>
      </c>
      <c r="CN532" s="16">
        <f>RecData[[#This Row],[Wind Dir. avg]]</f>
        <v>173.4</v>
      </c>
      <c r="CO532" s="16">
        <f>RecData[[#This Row],[Amb. Humidity]]</f>
        <v>74.8</v>
      </c>
      <c r="CP532" s="16">
        <f>RecData[[#This Row],[Amb. Temperature]]</f>
        <v>14.1</v>
      </c>
      <c r="CQ532" s="17">
        <f>RecData[[#This Row],[Amb. Rain Gauge]]</f>
        <v>0</v>
      </c>
      <c r="CR532" s="4" t="s">
        <v>1</v>
      </c>
      <c r="CS532" s="4" t="s">
        <v>49</v>
      </c>
      <c r="CT532" s="70">
        <v>1619.4345703125</v>
      </c>
      <c r="CU532" s="70">
        <v>30.000257492065401</v>
      </c>
      <c r="CV532" s="70">
        <v>10.3180227279663</v>
      </c>
      <c r="CW532" s="70">
        <v>15.2633934020996</v>
      </c>
      <c r="CX532" s="4"/>
      <c r="CY532" s="69"/>
      <c r="CZ532" s="2" t="b">
        <f>IF($DP$1="YES",IF(RecData[[#This Row],[Power (kW)]]&gt;=$CR$3, TRUE,FALSE),TRUE)</f>
        <v>1</v>
      </c>
      <c r="DA532" s="16">
        <f>MIN(MOD(180-ABS(ABS($DA$1-RecData[Yaw Angle (°)])-180),360),MOD(180-ABS(ABS($DB$1-RecData[Yaw Angle (°)])-180),360))</f>
        <v>22.470330714377837</v>
      </c>
      <c r="DB532" s="2" t="str">
        <f>IF($DP$2="None","None",IF(RecData[[#This Row],[Relative Wind Direction]]&lt;=45,"DW",IF(RecData[[#This Row],[Relative Wind Direction]]&lt;=135,"CW","UW")))</f>
        <v>DW</v>
      </c>
      <c r="DC532" s="61">
        <f>IF($CL532-$CL531&gt;1/24,#REF!,IF(SUM($CQ531:$CQ532)&gt;$DS$1,$DS$5,DC533-1))</f>
        <v>-9</v>
      </c>
      <c r="DD532" s="61">
        <f>IF($CL533-$CL532&gt;1/24,#REF!,IF(SUM($CQ531:$CQ532)&gt;$DS$1,$DS$6,DD531-1))</f>
        <v>-2</v>
      </c>
      <c r="DE532" s="18" t="b">
        <v>0</v>
      </c>
      <c r="DF532" s="2" t="b">
        <f>IF(OR(RecData[[#This Row],[WSpd_Avg '[m/s']]]-RecData[[#This Row],[Wind Speed min]]&gt;=$DF$3,RecData[[#This Row],[Wind Speed max]]-RecData[[#This Row],[WSpd_Avg '[m/s']]]&gt;=$DF$2),TRUE,FALSE)</f>
        <v>0</v>
      </c>
      <c r="DG532" s="2" t="b">
        <f>RecData[[#This Row],[Temperature '[°C']]]&lt;=-20</f>
        <v>0</v>
      </c>
      <c r="DH532" s="18" t="b">
        <f>NOT(OR(MOD(RecData[[#This Row],[TIMESTAMP]],1)&gt;0.91632,MOD(RecData[[#This Row],[TIMESTAMP]],1)&lt;0.208681))</f>
        <v>0</v>
      </c>
      <c r="DI532" s="18" t="b">
        <f>RecData[[#This Row],[Overall (dBA)]]-RecData[[#This Row],[L90]]&gt;=$DS$4</f>
        <v>0</v>
      </c>
      <c r="DJ532" s="18" t="b">
        <f>RecData[[#This Row],[Overall (dBA)]]&gt;$DS$2</f>
        <v>0</v>
      </c>
      <c r="DK532" s="18" t="b">
        <f>RecData[[#This Row],[Overall (dBA)]]&lt;$DS$3</f>
        <v>0</v>
      </c>
      <c r="DL5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2" s="2">
        <f>IF(AND(RecData[[#This Row],[Turbines ON/OFF]] = "OFF", NOT(OR(RecData[[#This Row],[Junk?]]="YES",RecData[[#This Row],[Gust?]],RecData[[#This Row],[Rain?]:[Min SPL Threshold?]]))),1,0)</f>
        <v>0</v>
      </c>
      <c r="DN532" s="16">
        <f>RecData[[#This Row],[dBA Sum]]</f>
        <v>40.002159492908319</v>
      </c>
      <c r="DO532" s="16">
        <f>RecData[[#This Row],[LAF90.0]]</f>
        <v>39.200000000000003</v>
      </c>
      <c r="DP532" s="55">
        <f>IF(AND(RecData[[#This Row],[Useable TON Data?]],RecData[[#This Row],[Turbines ON/OFF]]="ON"),RecData[[#This Row],[dBA Sum]],"")</f>
        <v>40.002159492908319</v>
      </c>
      <c r="DQ532" s="55" t="str">
        <f>IF(AND(RecData[[#This Row],[Useable Background Data?]],RecData[[#This Row],[Turbines ON/OFF]]="OFF"),RecData[[#This Row],[dBA Sum]],"")</f>
        <v/>
      </c>
      <c r="DR532" s="3">
        <f>IF(OR(RecData[[#This Row],[Useable TON Data?]],RecData[[#This Row],[Useable Background Data?]]),ROUND(RecData[[#This Row],[WSpd_Avg '[m/s']]],0),"")</f>
        <v>1</v>
      </c>
      <c r="DS532" s="85">
        <f>(0.00002)^2*(10^(RecData[[#This Row],[Overall (dBA)]]/10))</f>
        <v>4.0019894610520719E-6</v>
      </c>
    </row>
    <row r="533" spans="1:123" ht="15" x14ac:dyDescent="0.25">
      <c r="A533" s="3" t="s">
        <v>249</v>
      </c>
      <c r="B533" s="12">
        <v>43270.086111111115</v>
      </c>
      <c r="C533" s="3"/>
      <c r="D533" s="3">
        <v>39.9</v>
      </c>
      <c r="E533" s="3"/>
      <c r="F533" s="3"/>
      <c r="G533" s="3"/>
      <c r="H533" s="3"/>
      <c r="I533" s="3"/>
      <c r="J533" s="3"/>
      <c r="K533" s="3">
        <v>38.700000000000003</v>
      </c>
      <c r="L533" s="3"/>
      <c r="M533" s="3"/>
      <c r="N533" s="3">
        <v>169.4</v>
      </c>
      <c r="O533" s="3"/>
      <c r="P533" s="3"/>
      <c r="Q533" s="3">
        <v>0.83</v>
      </c>
      <c r="R533" s="3">
        <v>0.4</v>
      </c>
      <c r="S533" s="3">
        <v>1.5</v>
      </c>
      <c r="T533" s="3">
        <v>14.1</v>
      </c>
      <c r="U533" s="3">
        <v>74.8</v>
      </c>
      <c r="V533" s="3">
        <v>972.9</v>
      </c>
      <c r="W533" s="3">
        <v>0</v>
      </c>
      <c r="X533" s="3">
        <v>46.1</v>
      </c>
      <c r="Y533" s="3">
        <v>45.4</v>
      </c>
      <c r="Z533" s="3">
        <v>44.4</v>
      </c>
      <c r="AA533" s="3">
        <v>40.1</v>
      </c>
      <c r="AB533" s="3">
        <v>34.9</v>
      </c>
      <c r="AC533" s="3">
        <v>34.1</v>
      </c>
      <c r="AD533" s="3">
        <v>37.9</v>
      </c>
      <c r="AE533" s="3">
        <v>40</v>
      </c>
      <c r="AF533" s="3">
        <v>45.6</v>
      </c>
      <c r="AG533" s="3">
        <v>40</v>
      </c>
      <c r="AH533" s="3">
        <v>38.1</v>
      </c>
      <c r="AI533" s="3">
        <v>38.4</v>
      </c>
      <c r="AJ533" s="3">
        <v>36.700000000000003</v>
      </c>
      <c r="AK533" s="3">
        <v>35.1</v>
      </c>
      <c r="AL533" s="3">
        <v>32.700000000000003</v>
      </c>
      <c r="AM533" s="3">
        <v>32.4</v>
      </c>
      <c r="AN533" s="3">
        <v>30.7</v>
      </c>
      <c r="AO533" s="3">
        <v>27.1</v>
      </c>
      <c r="AP533" s="3">
        <v>25.3</v>
      </c>
      <c r="AQ533" s="3">
        <v>23</v>
      </c>
      <c r="AR533" s="3">
        <v>19.600000000000001</v>
      </c>
      <c r="AS533" s="3">
        <v>17.7</v>
      </c>
      <c r="AT533" s="3">
        <v>24.3</v>
      </c>
      <c r="AU533" s="3">
        <v>11.7</v>
      </c>
      <c r="AV533" s="3">
        <v>10.9</v>
      </c>
      <c r="AW533" s="3">
        <v>10.8</v>
      </c>
      <c r="AX533" s="3">
        <v>9.8000000000000007</v>
      </c>
      <c r="AY533" s="3">
        <v>9.6999999999999993</v>
      </c>
      <c r="AZ533" s="3">
        <v>0</v>
      </c>
      <c r="BA533" s="3">
        <v>0</v>
      </c>
      <c r="BB533" s="3">
        <v>0</v>
      </c>
      <c r="BC533" s="3">
        <v>39.918302703151319</v>
      </c>
      <c r="BD533" s="3">
        <v>46.081697296848681</v>
      </c>
      <c r="BE533" s="3">
        <v>45.381697296848678</v>
      </c>
      <c r="BF533" s="3">
        <v>43.141697296848683</v>
      </c>
      <c r="BG533" s="3">
        <v>39.168363963515354</v>
      </c>
      <c r="BH533" s="3">
        <v>34.108363963515352</v>
      </c>
      <c r="BI533" s="3">
        <v>33.721697296848681</v>
      </c>
      <c r="BJ533" s="3">
        <v>38.315030630182001</v>
      </c>
      <c r="BK533" s="3">
        <v>40.288363963515344</v>
      </c>
      <c r="BL533" s="3">
        <v>45.461697296848676</v>
      </c>
      <c r="BM533" s="3">
        <v>39.995030630182008</v>
      </c>
      <c r="BN533" s="3">
        <v>38.378363963515348</v>
      </c>
      <c r="BO533" s="3">
        <v>38.045030630182019</v>
      </c>
      <c r="BP533" s="3">
        <v>36.061697296848685</v>
      </c>
      <c r="BQ533" s="3">
        <v>34.878363963515334</v>
      </c>
      <c r="BR533" s="3">
        <v>32.80503063018201</v>
      </c>
      <c r="BS533" s="3">
        <v>32.30836396351534</v>
      </c>
      <c r="BT533" s="3">
        <v>30.80503063018201</v>
      </c>
      <c r="BU533" s="3">
        <v>27.171697296848684</v>
      </c>
      <c r="BV533" s="3">
        <v>25.088363963515341</v>
      </c>
      <c r="BW533" s="3">
        <v>23.321697296848683</v>
      </c>
      <c r="BX533" s="3">
        <v>19.841697296848686</v>
      </c>
      <c r="BY533" s="3">
        <v>17.761697296848673</v>
      </c>
      <c r="BZ533" s="3">
        <v>24.491697296848677</v>
      </c>
      <c r="CA533" s="3">
        <v>11.99169729684867</v>
      </c>
      <c r="CB533" s="3">
        <v>10.628363963515348</v>
      </c>
      <c r="CC533" s="3">
        <v>10.741697296848677</v>
      </c>
      <c r="CD533" s="3">
        <v>9.0483639635153494</v>
      </c>
      <c r="CE533" s="3">
        <v>9.141697296848676</v>
      </c>
      <c r="CF533" s="3">
        <v>-0.94496936981798996</v>
      </c>
      <c r="CG533" s="3">
        <v>-1.4783027031513214</v>
      </c>
      <c r="CH533" s="3">
        <v>-2.5549693698179894</v>
      </c>
      <c r="CI533" s="13">
        <f>[1]!dbasum(RecData[[#This Row],[20]:[2000]],RecData[[#Headers],[20]:[2000]])</f>
        <v>39.596658628648818</v>
      </c>
      <c r="CJ533" s="14">
        <v>8301</v>
      </c>
      <c r="CK533" s="15" t="s">
        <v>249</v>
      </c>
      <c r="CL533" s="15">
        <f>RecData[[#This Row],[Start Time]]</f>
        <v>43270.086111111115</v>
      </c>
      <c r="CM533" s="16">
        <f>RecData[[#This Row],[Wind Speed avg]]</f>
        <v>0.83</v>
      </c>
      <c r="CN533" s="16">
        <f>RecData[[#This Row],[Wind Dir. avg]]</f>
        <v>169.4</v>
      </c>
      <c r="CO533" s="16">
        <f>RecData[[#This Row],[Amb. Humidity]]</f>
        <v>74.8</v>
      </c>
      <c r="CP533" s="16">
        <f>RecData[[#This Row],[Amb. Temperature]]</f>
        <v>14.1</v>
      </c>
      <c r="CQ533" s="17">
        <f>RecData[[#This Row],[Amb. Rain Gauge]]</f>
        <v>0</v>
      </c>
      <c r="CR533" s="4" t="s">
        <v>1</v>
      </c>
      <c r="CS533" s="4" t="s">
        <v>49</v>
      </c>
      <c r="CT533" s="70">
        <v>1619.4345703125</v>
      </c>
      <c r="CU533" s="70">
        <v>30.000257492065401</v>
      </c>
      <c r="CV533" s="70">
        <v>10.3180227279663</v>
      </c>
      <c r="CW533" s="70">
        <v>15.2633934020996</v>
      </c>
      <c r="CX533" s="4"/>
      <c r="CY533" s="69"/>
      <c r="CZ533" s="2" t="b">
        <f>IF($DP$1="YES",IF(RecData[[#This Row],[Power (kW)]]&gt;=$CR$3, TRUE,FALSE),TRUE)</f>
        <v>1</v>
      </c>
      <c r="DA533" s="16">
        <f>MIN(MOD(180-ABS(ABS($DA$1-RecData[Yaw Angle (°)])-180),360),MOD(180-ABS(ABS($DB$1-RecData[Yaw Angle (°)])-180),360))</f>
        <v>22.470330714377837</v>
      </c>
      <c r="DB533" s="2" t="str">
        <f>IF($DP$2="None","None",IF(RecData[[#This Row],[Relative Wind Direction]]&lt;=45,"DW",IF(RecData[[#This Row],[Relative Wind Direction]]&lt;=135,"CW","UW")))</f>
        <v>DW</v>
      </c>
      <c r="DC533" s="61">
        <f>IF($CL533-$CL531&gt;1/24,#REF!,IF(SUM($CQ531:$CQ533)&gt;$DS$1,$DS$5,DC534-1))</f>
        <v>-8</v>
      </c>
      <c r="DD533" s="61">
        <f>IF($CL534-$CL533&gt;1/24,#REF!,IF(SUM($CQ531:$CQ533)&gt;$DS$1,$DS$6,DD532-1))</f>
        <v>-3</v>
      </c>
      <c r="DE533" s="18" t="b">
        <v>0</v>
      </c>
      <c r="DF533" s="2" t="b">
        <f>IF(OR(RecData[[#This Row],[WSpd_Avg '[m/s']]]-RecData[[#This Row],[Wind Speed min]]&gt;=$DF$3,RecData[[#This Row],[Wind Speed max]]-RecData[[#This Row],[WSpd_Avg '[m/s']]]&gt;=$DF$2),TRUE,FALSE)</f>
        <v>0</v>
      </c>
      <c r="DG533" s="2" t="b">
        <f>RecData[[#This Row],[Temperature '[°C']]]&lt;=-20</f>
        <v>0</v>
      </c>
      <c r="DH533" s="18" t="b">
        <f>NOT(OR(MOD(RecData[[#This Row],[TIMESTAMP]],1)&gt;0.91632,MOD(RecData[[#This Row],[TIMESTAMP]],1)&lt;0.208681))</f>
        <v>0</v>
      </c>
      <c r="DI533" s="18" t="b">
        <f>RecData[[#This Row],[Overall (dBA)]]-RecData[[#This Row],[L90]]&gt;=$DS$4</f>
        <v>0</v>
      </c>
      <c r="DJ533" s="18" t="b">
        <f>RecData[[#This Row],[Overall (dBA)]]&gt;$DS$2</f>
        <v>0</v>
      </c>
      <c r="DK533" s="18" t="b">
        <f>RecData[[#This Row],[Overall (dBA)]]&lt;$DS$3</f>
        <v>0</v>
      </c>
      <c r="DL5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3" s="2">
        <f>IF(AND(RecData[[#This Row],[Turbines ON/OFF]] = "OFF", NOT(OR(RecData[[#This Row],[Junk?]]="YES",RecData[[#This Row],[Gust?]],RecData[[#This Row],[Rain?]:[Min SPL Threshold?]]))),1,0)</f>
        <v>0</v>
      </c>
      <c r="DN533" s="16">
        <f>RecData[[#This Row],[dBA Sum]]</f>
        <v>39.596658628648818</v>
      </c>
      <c r="DO533" s="16">
        <f>RecData[[#This Row],[LAF90.0]]</f>
        <v>38.700000000000003</v>
      </c>
      <c r="DP533" s="55">
        <f>IF(AND(RecData[[#This Row],[Useable TON Data?]],RecData[[#This Row],[Turbines ON/OFF]]="ON"),RecData[[#This Row],[dBA Sum]],"")</f>
        <v>39.596658628648818</v>
      </c>
      <c r="DQ533" s="55" t="str">
        <f>IF(AND(RecData[[#This Row],[Useable Background Data?]],RecData[[#This Row],[Turbines ON/OFF]]="OFF"),RecData[[#This Row],[dBA Sum]],"")</f>
        <v/>
      </c>
      <c r="DR533" s="3">
        <f>IF(OR(RecData[[#This Row],[Useable TON Data?]],RecData[[#This Row],[Useable Background Data?]]),ROUND(RecData[[#This Row],[WSpd_Avg '[m/s']]],0),"")</f>
        <v>1</v>
      </c>
      <c r="DS533" s="85">
        <f>(0.00002)^2*(10^(RecData[[#This Row],[Overall (dBA)]]/10))</f>
        <v>3.645237708236023E-6</v>
      </c>
    </row>
    <row r="534" spans="1:123" ht="15" x14ac:dyDescent="0.25">
      <c r="A534" s="3" t="s">
        <v>249</v>
      </c>
      <c r="B534" s="12">
        <v>43270.086805555555</v>
      </c>
      <c r="C534" s="3"/>
      <c r="D534" s="3">
        <v>40.4</v>
      </c>
      <c r="E534" s="3"/>
      <c r="F534" s="3"/>
      <c r="G534" s="3"/>
      <c r="H534" s="3"/>
      <c r="I534" s="3"/>
      <c r="J534" s="3"/>
      <c r="K534" s="3">
        <v>39.299999999999997</v>
      </c>
      <c r="L534" s="3"/>
      <c r="M534" s="3"/>
      <c r="N534" s="3">
        <v>169.4</v>
      </c>
      <c r="O534" s="3"/>
      <c r="P534" s="3"/>
      <c r="Q534" s="3">
        <v>1.01</v>
      </c>
      <c r="R534" s="3">
        <v>0.7</v>
      </c>
      <c r="S534" s="3">
        <v>1.4</v>
      </c>
      <c r="T534" s="3">
        <v>14.1</v>
      </c>
      <c r="U534" s="3">
        <v>74.599999999999994</v>
      </c>
      <c r="V534" s="3">
        <v>972.9</v>
      </c>
      <c r="W534" s="3">
        <v>0</v>
      </c>
      <c r="X534" s="3">
        <v>45.9</v>
      </c>
      <c r="Y534" s="3">
        <v>44.9</v>
      </c>
      <c r="Z534" s="3">
        <v>43.5</v>
      </c>
      <c r="AA534" s="3">
        <v>40.6</v>
      </c>
      <c r="AB534" s="3">
        <v>35.700000000000003</v>
      </c>
      <c r="AC534" s="3">
        <v>33.9</v>
      </c>
      <c r="AD534" s="3">
        <v>38.1</v>
      </c>
      <c r="AE534" s="3">
        <v>40.4</v>
      </c>
      <c r="AF534" s="3">
        <v>46</v>
      </c>
      <c r="AG534" s="3">
        <v>40.4</v>
      </c>
      <c r="AH534" s="3">
        <v>38.5</v>
      </c>
      <c r="AI534" s="3">
        <v>38.5</v>
      </c>
      <c r="AJ534" s="3">
        <v>37</v>
      </c>
      <c r="AK534" s="3">
        <v>35.5</v>
      </c>
      <c r="AL534" s="3">
        <v>33.4</v>
      </c>
      <c r="AM534" s="3">
        <v>32.9</v>
      </c>
      <c r="AN534" s="3">
        <v>31.2</v>
      </c>
      <c r="AO534" s="3">
        <v>27.6</v>
      </c>
      <c r="AP534" s="3">
        <v>25.7</v>
      </c>
      <c r="AQ534" s="3">
        <v>23.3</v>
      </c>
      <c r="AR534" s="3">
        <v>19.600000000000001</v>
      </c>
      <c r="AS534" s="3">
        <v>16.2</v>
      </c>
      <c r="AT534" s="3">
        <v>25.4</v>
      </c>
      <c r="AU534" s="3">
        <v>10.6</v>
      </c>
      <c r="AV534" s="3">
        <v>9.5</v>
      </c>
      <c r="AW534" s="3">
        <v>9.6</v>
      </c>
      <c r="AX534" s="3">
        <v>9.3000000000000007</v>
      </c>
      <c r="AY534" s="3">
        <v>9.5</v>
      </c>
      <c r="AZ534" s="3">
        <v>0</v>
      </c>
      <c r="BA534" s="3">
        <v>0</v>
      </c>
      <c r="BB534" s="3">
        <v>0</v>
      </c>
      <c r="BC534" s="3">
        <v>40.334675046349361</v>
      </c>
      <c r="BD534" s="3">
        <v>45.965324953650637</v>
      </c>
      <c r="BE534" s="3">
        <v>44.965324953650637</v>
      </c>
      <c r="BF534" s="3">
        <v>42.325324953650636</v>
      </c>
      <c r="BG534" s="3">
        <v>39.751991620317312</v>
      </c>
      <c r="BH534" s="3">
        <v>34.991991620317307</v>
      </c>
      <c r="BI534" s="3">
        <v>33.605324953650637</v>
      </c>
      <c r="BJ534" s="3">
        <v>38.598658286983976</v>
      </c>
      <c r="BK534" s="3">
        <v>40.771991620317294</v>
      </c>
      <c r="BL534" s="3">
        <v>45.945324953650641</v>
      </c>
      <c r="BM534" s="3">
        <v>40.478658286983972</v>
      </c>
      <c r="BN534" s="3">
        <v>38.861991620317298</v>
      </c>
      <c r="BO534" s="3">
        <v>38.228658286983972</v>
      </c>
      <c r="BP534" s="3">
        <v>36.445324953650641</v>
      </c>
      <c r="BQ534" s="3">
        <v>35.361991620317298</v>
      </c>
      <c r="BR534" s="3">
        <v>33.588658286983971</v>
      </c>
      <c r="BS534" s="3">
        <v>32.891991620317299</v>
      </c>
      <c r="BT534" s="3">
        <v>31.388658286983969</v>
      </c>
      <c r="BU534" s="3">
        <v>27.755324953650643</v>
      </c>
      <c r="BV534" s="3">
        <v>25.571991620317306</v>
      </c>
      <c r="BW534" s="3">
        <v>23.705324953650646</v>
      </c>
      <c r="BX534" s="3">
        <v>19.925324953650644</v>
      </c>
      <c r="BY534" s="3">
        <v>16.345324953650632</v>
      </c>
      <c r="BZ534" s="3">
        <v>25.675324953650644</v>
      </c>
      <c r="CA534" s="3">
        <v>10.975324953650627</v>
      </c>
      <c r="CB534" s="3">
        <v>9.3119916203173005</v>
      </c>
      <c r="CC534" s="3">
        <v>9.6253249536506331</v>
      </c>
      <c r="CD534" s="3">
        <v>8.6319916203173079</v>
      </c>
      <c r="CE534" s="3">
        <v>9.0253249536506388</v>
      </c>
      <c r="CF534" s="3">
        <v>-0.86134171301603146</v>
      </c>
      <c r="CG534" s="3">
        <v>-1.3946750463493629</v>
      </c>
      <c r="CH534" s="3">
        <v>-2.4713417130160309</v>
      </c>
      <c r="CI534" s="13">
        <f>[1]!dbasum(RecData[[#This Row],[20]:[2000]],RecData[[#Headers],[20]:[2000]])</f>
        <v>40.093408143487082</v>
      </c>
      <c r="CJ534" s="14">
        <v>8302</v>
      </c>
      <c r="CK534" s="15" t="s">
        <v>249</v>
      </c>
      <c r="CL534" s="15">
        <f>RecData[[#This Row],[Start Time]]</f>
        <v>43270.086805555555</v>
      </c>
      <c r="CM534" s="16">
        <f>RecData[[#This Row],[Wind Speed avg]]</f>
        <v>1.01</v>
      </c>
      <c r="CN534" s="16">
        <f>RecData[[#This Row],[Wind Dir. avg]]</f>
        <v>169.4</v>
      </c>
      <c r="CO534" s="16">
        <f>RecData[[#This Row],[Amb. Humidity]]</f>
        <v>74.599999999999994</v>
      </c>
      <c r="CP534" s="16">
        <f>RecData[[#This Row],[Amb. Temperature]]</f>
        <v>14.1</v>
      </c>
      <c r="CQ534" s="17">
        <f>RecData[[#This Row],[Amb. Rain Gauge]]</f>
        <v>0</v>
      </c>
      <c r="CR534" s="4" t="s">
        <v>1</v>
      </c>
      <c r="CS534" s="4" t="s">
        <v>49</v>
      </c>
      <c r="CT534" s="70">
        <v>1619.4345703125</v>
      </c>
      <c r="CU534" s="70">
        <v>30.000257492065401</v>
      </c>
      <c r="CV534" s="70">
        <v>10.3180227279663</v>
      </c>
      <c r="CW534" s="70">
        <v>15.2633934020996</v>
      </c>
      <c r="CX534" s="4"/>
      <c r="CY534" s="69"/>
      <c r="CZ534" s="2" t="b">
        <f>IF($DP$1="YES",IF(RecData[[#This Row],[Power (kW)]]&gt;=$CR$3, TRUE,FALSE),TRUE)</f>
        <v>1</v>
      </c>
      <c r="DA534" s="16">
        <f>MIN(MOD(180-ABS(ABS($DA$1-RecData[Yaw Angle (°)])-180),360),MOD(180-ABS(ABS($DB$1-RecData[Yaw Angle (°)])-180),360))</f>
        <v>22.470330714377837</v>
      </c>
      <c r="DB534" s="2" t="str">
        <f>IF($DP$2="None","None",IF(RecData[[#This Row],[Relative Wind Direction]]&lt;=45,"DW",IF(RecData[[#This Row],[Relative Wind Direction]]&lt;=135,"CW","UW")))</f>
        <v>DW</v>
      </c>
      <c r="DC534" s="61">
        <f>IF($CL534-$CL531&gt;1/24,#REF!,IF(SUM($CQ531:$CQ534)&gt;$DS$1,$DS$5,DC535-1))</f>
        <v>-7</v>
      </c>
      <c r="DD534" s="61">
        <f>IF($CL535-$CL534&gt;1/24,#REF!,IF(SUM($CQ531:$CQ534)&gt;$DS$1,$DS$6,DD533-1))</f>
        <v>-4</v>
      </c>
      <c r="DE534" s="18" t="b">
        <v>0</v>
      </c>
      <c r="DF534" s="2" t="b">
        <f>IF(OR(RecData[[#This Row],[WSpd_Avg '[m/s']]]-RecData[[#This Row],[Wind Speed min]]&gt;=$DF$3,RecData[[#This Row],[Wind Speed max]]-RecData[[#This Row],[WSpd_Avg '[m/s']]]&gt;=$DF$2),TRUE,FALSE)</f>
        <v>0</v>
      </c>
      <c r="DG534" s="2" t="b">
        <f>RecData[[#This Row],[Temperature '[°C']]]&lt;=-20</f>
        <v>0</v>
      </c>
      <c r="DH534" s="18" t="b">
        <f>NOT(OR(MOD(RecData[[#This Row],[TIMESTAMP]],1)&gt;0.91632,MOD(RecData[[#This Row],[TIMESTAMP]],1)&lt;0.208681))</f>
        <v>0</v>
      </c>
      <c r="DI534" s="18" t="b">
        <f>RecData[[#This Row],[Overall (dBA)]]-RecData[[#This Row],[L90]]&gt;=$DS$4</f>
        <v>0</v>
      </c>
      <c r="DJ534" s="18" t="b">
        <f>RecData[[#This Row],[Overall (dBA)]]&gt;$DS$2</f>
        <v>0</v>
      </c>
      <c r="DK534" s="18" t="b">
        <f>RecData[[#This Row],[Overall (dBA)]]&lt;$DS$3</f>
        <v>0</v>
      </c>
      <c r="DL5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4" s="2">
        <f>IF(AND(RecData[[#This Row],[Turbines ON/OFF]] = "OFF", NOT(OR(RecData[[#This Row],[Junk?]]="YES",RecData[[#This Row],[Gust?]],RecData[[#This Row],[Rain?]:[Min SPL Threshold?]]))),1,0)</f>
        <v>0</v>
      </c>
      <c r="DN534" s="16">
        <f>RecData[[#This Row],[dBA Sum]]</f>
        <v>40.093408143487082</v>
      </c>
      <c r="DO534" s="16">
        <f>RecData[[#This Row],[LAF90.0]]</f>
        <v>39.299999999999997</v>
      </c>
      <c r="DP534" s="55">
        <f>IF(AND(RecData[[#This Row],[Useable TON Data?]],RecData[[#This Row],[Turbines ON/OFF]]="ON"),RecData[[#This Row],[dBA Sum]],"")</f>
        <v>40.093408143487082</v>
      </c>
      <c r="DQ534" s="55" t="str">
        <f>IF(AND(RecData[[#This Row],[Useable Background Data?]],RecData[[#This Row],[Turbines ON/OFF]]="OFF"),RecData[[#This Row],[dBA Sum]],"")</f>
        <v/>
      </c>
      <c r="DR534" s="3">
        <f>IF(OR(RecData[[#This Row],[Useable TON Data?]],RecData[[#This Row],[Useable Background Data?]]),ROUND(RecData[[#This Row],[WSpd_Avg '[m/s']]],0),"")</f>
        <v>1</v>
      </c>
      <c r="DS534" s="85">
        <f>(0.00002)^2*(10^(RecData[[#This Row],[Overall (dBA)]]/10))</f>
        <v>4.0869639381611203E-6</v>
      </c>
    </row>
    <row r="535" spans="1:123" ht="15" x14ac:dyDescent="0.25">
      <c r="A535" s="3" t="s">
        <v>249</v>
      </c>
      <c r="B535" s="12">
        <v>43270.087500000001</v>
      </c>
      <c r="C535" s="3"/>
      <c r="D535" s="3">
        <v>39</v>
      </c>
      <c r="E535" s="3"/>
      <c r="F535" s="3"/>
      <c r="G535" s="3"/>
      <c r="H535" s="3"/>
      <c r="I535" s="3"/>
      <c r="J535" s="3"/>
      <c r="K535" s="3">
        <v>37.6</v>
      </c>
      <c r="L535" s="3"/>
      <c r="M535" s="3"/>
      <c r="N535" s="3">
        <v>163.5</v>
      </c>
      <c r="O535" s="3"/>
      <c r="P535" s="3"/>
      <c r="Q535" s="3">
        <v>0.73</v>
      </c>
      <c r="R535" s="3">
        <v>0.2</v>
      </c>
      <c r="S535" s="3">
        <v>1</v>
      </c>
      <c r="T535" s="3">
        <v>14.1</v>
      </c>
      <c r="U535" s="3">
        <v>74.599999999999994</v>
      </c>
      <c r="V535" s="3">
        <v>972.9</v>
      </c>
      <c r="W535" s="3">
        <v>0</v>
      </c>
      <c r="X535" s="3">
        <v>45.6</v>
      </c>
      <c r="Y535" s="3">
        <v>44.6</v>
      </c>
      <c r="Z535" s="3">
        <v>43</v>
      </c>
      <c r="AA535" s="3">
        <v>39.299999999999997</v>
      </c>
      <c r="AB535" s="3">
        <v>34.5</v>
      </c>
      <c r="AC535" s="3">
        <v>33.5</v>
      </c>
      <c r="AD535" s="3">
        <v>36.799999999999997</v>
      </c>
      <c r="AE535" s="3">
        <v>39.200000000000003</v>
      </c>
      <c r="AF535" s="3">
        <v>44.6</v>
      </c>
      <c r="AG535" s="3">
        <v>38.1</v>
      </c>
      <c r="AH535" s="3">
        <v>36.799999999999997</v>
      </c>
      <c r="AI535" s="3">
        <v>37</v>
      </c>
      <c r="AJ535" s="3">
        <v>35.6</v>
      </c>
      <c r="AK535" s="3">
        <v>34</v>
      </c>
      <c r="AL535" s="3">
        <v>31.8</v>
      </c>
      <c r="AM535" s="3">
        <v>31.3</v>
      </c>
      <c r="AN535" s="3">
        <v>29.4</v>
      </c>
      <c r="AO535" s="3">
        <v>25.9</v>
      </c>
      <c r="AP535" s="3">
        <v>24.4</v>
      </c>
      <c r="AQ535" s="3">
        <v>22</v>
      </c>
      <c r="AR535" s="3">
        <v>18.600000000000001</v>
      </c>
      <c r="AS535" s="3">
        <v>16.100000000000001</v>
      </c>
      <c r="AT535" s="3">
        <v>27.4</v>
      </c>
      <c r="AU535" s="3">
        <v>11.5</v>
      </c>
      <c r="AV535" s="3">
        <v>9.6999999999999993</v>
      </c>
      <c r="AW535" s="3">
        <v>9.9</v>
      </c>
      <c r="AX535" s="3">
        <v>9.9</v>
      </c>
      <c r="AY535" s="3">
        <v>10</v>
      </c>
      <c r="AZ535" s="3">
        <v>0</v>
      </c>
      <c r="BA535" s="3">
        <v>0</v>
      </c>
      <c r="BB535" s="3">
        <v>0</v>
      </c>
      <c r="BC535" s="3">
        <v>39.015307095351893</v>
      </c>
      <c r="BD535" s="3">
        <v>45.584692904648101</v>
      </c>
      <c r="BE535" s="3">
        <v>44.584692904648101</v>
      </c>
      <c r="BF535" s="3">
        <v>41.744692904648097</v>
      </c>
      <c r="BG535" s="3">
        <v>38.371359571314763</v>
      </c>
      <c r="BH535" s="3">
        <v>33.711359571314766</v>
      </c>
      <c r="BI535" s="3">
        <v>33.124692904648107</v>
      </c>
      <c r="BJ535" s="3">
        <v>37.218026237981427</v>
      </c>
      <c r="BK535" s="3">
        <v>39.491359571314767</v>
      </c>
      <c r="BL535" s="3">
        <v>44.464692904648111</v>
      </c>
      <c r="BM535" s="3">
        <v>38.09802623798145</v>
      </c>
      <c r="BN535" s="3">
        <v>37.081359571314771</v>
      </c>
      <c r="BO535" s="3">
        <v>36.648026237981433</v>
      </c>
      <c r="BP535" s="3">
        <v>34.964692904648111</v>
      </c>
      <c r="BQ535" s="3">
        <v>33.781359571314759</v>
      </c>
      <c r="BR535" s="3">
        <v>31.908026237981439</v>
      </c>
      <c r="BS535" s="3">
        <v>31.211359571314766</v>
      </c>
      <c r="BT535" s="3">
        <v>29.508026237981447</v>
      </c>
      <c r="BU535" s="3">
        <v>25.974692904648116</v>
      </c>
      <c r="BV535" s="3">
        <v>24.19135957131477</v>
      </c>
      <c r="BW535" s="3">
        <v>22.32469290464811</v>
      </c>
      <c r="BX535" s="3">
        <v>18.844692904648113</v>
      </c>
      <c r="BY535" s="3">
        <v>16.164692904648106</v>
      </c>
      <c r="BZ535" s="3">
        <v>27.594692904648106</v>
      </c>
      <c r="CA535" s="3">
        <v>11.794692904648102</v>
      </c>
      <c r="CB535" s="3">
        <v>9.431359571314772</v>
      </c>
      <c r="CC535" s="3">
        <v>9.844692904648106</v>
      </c>
      <c r="CD535" s="3">
        <v>9.151359571314778</v>
      </c>
      <c r="CE535" s="3">
        <v>9.4446929046481074</v>
      </c>
      <c r="CF535" s="3">
        <v>-0.94197376201856287</v>
      </c>
      <c r="CG535" s="3">
        <v>-1.4753070953518943</v>
      </c>
      <c r="CH535" s="3">
        <v>-2.5519737620185623</v>
      </c>
      <c r="CI535" s="13">
        <f>[1]!dbasum(RecData[[#This Row],[20]:[2000]],RecData[[#Headers],[20]:[2000]])</f>
        <v>38.441980821684702</v>
      </c>
      <c r="CJ535" s="14">
        <v>8303</v>
      </c>
      <c r="CK535" s="15" t="s">
        <v>249</v>
      </c>
      <c r="CL535" s="15">
        <f>RecData[[#This Row],[Start Time]]</f>
        <v>43270.087500000001</v>
      </c>
      <c r="CM535" s="16">
        <f>RecData[[#This Row],[Wind Speed avg]]</f>
        <v>0.73</v>
      </c>
      <c r="CN535" s="16">
        <f>RecData[[#This Row],[Wind Dir. avg]]</f>
        <v>163.5</v>
      </c>
      <c r="CO535" s="16">
        <f>RecData[[#This Row],[Amb. Humidity]]</f>
        <v>74.599999999999994</v>
      </c>
      <c r="CP535" s="16">
        <f>RecData[[#This Row],[Amb. Temperature]]</f>
        <v>14.1</v>
      </c>
      <c r="CQ535" s="17">
        <f>RecData[[#This Row],[Amb. Rain Gauge]]</f>
        <v>0</v>
      </c>
      <c r="CR535" s="4" t="s">
        <v>1</v>
      </c>
      <c r="CS535" s="4" t="s">
        <v>49</v>
      </c>
      <c r="CT535" s="70">
        <v>1619.4345703125</v>
      </c>
      <c r="CU535" s="70">
        <v>30.000257492065401</v>
      </c>
      <c r="CV535" s="70">
        <v>10.3180227279663</v>
      </c>
      <c r="CW535" s="70">
        <v>15.2633934020996</v>
      </c>
      <c r="CX535" s="4"/>
      <c r="CY535" s="69"/>
      <c r="CZ535" s="2" t="b">
        <f>IF($DP$1="YES",IF(RecData[[#This Row],[Power (kW)]]&gt;=$CR$3, TRUE,FALSE),TRUE)</f>
        <v>1</v>
      </c>
      <c r="DA535" s="16">
        <f>MIN(MOD(180-ABS(ABS($DA$1-RecData[Yaw Angle (°)])-180),360),MOD(180-ABS(ABS($DB$1-RecData[Yaw Angle (°)])-180),360))</f>
        <v>22.470330714377837</v>
      </c>
      <c r="DB535" s="2" t="str">
        <f>IF($DP$2="None","None",IF(RecData[[#This Row],[Relative Wind Direction]]&lt;=45,"DW",IF(RecData[[#This Row],[Relative Wind Direction]]&lt;=135,"CW","UW")))</f>
        <v>DW</v>
      </c>
      <c r="DC535" s="61">
        <f>IF($CL535-$CL531&gt;1/24,#REF!,IF(SUM($CQ531:$CQ535)&gt;$DS$1,$DS$5,DC536-1))</f>
        <v>-6</v>
      </c>
      <c r="DD535" s="61">
        <f>IF($CL536-$CL535&gt;1/24,#REF!,IF(SUM($CQ531:$CQ535)&gt;$DS$1,$DS$6,DD534-1))</f>
        <v>-5</v>
      </c>
      <c r="DE535" s="18" t="b">
        <v>0</v>
      </c>
      <c r="DF535" s="2" t="b">
        <f>IF(OR(RecData[[#This Row],[WSpd_Avg '[m/s']]]-RecData[[#This Row],[Wind Speed min]]&gt;=$DF$3,RecData[[#This Row],[Wind Speed max]]-RecData[[#This Row],[WSpd_Avg '[m/s']]]&gt;=$DF$2),TRUE,FALSE)</f>
        <v>0</v>
      </c>
      <c r="DG535" s="2" t="b">
        <f>RecData[[#This Row],[Temperature '[°C']]]&lt;=-20</f>
        <v>0</v>
      </c>
      <c r="DH535" s="18" t="b">
        <f>NOT(OR(MOD(RecData[[#This Row],[TIMESTAMP]],1)&gt;0.91632,MOD(RecData[[#This Row],[TIMESTAMP]],1)&lt;0.208681))</f>
        <v>0</v>
      </c>
      <c r="DI535" s="18" t="b">
        <f>RecData[[#This Row],[Overall (dBA)]]-RecData[[#This Row],[L90]]&gt;=$DS$4</f>
        <v>0</v>
      </c>
      <c r="DJ535" s="18" t="b">
        <f>RecData[[#This Row],[Overall (dBA)]]&gt;$DS$2</f>
        <v>0</v>
      </c>
      <c r="DK535" s="18" t="b">
        <f>RecData[[#This Row],[Overall (dBA)]]&lt;$DS$3</f>
        <v>0</v>
      </c>
      <c r="DL5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5" s="2">
        <f>IF(AND(RecData[[#This Row],[Turbines ON/OFF]] = "OFF", NOT(OR(RecData[[#This Row],[Junk?]]="YES",RecData[[#This Row],[Gust?]],RecData[[#This Row],[Rain?]:[Min SPL Threshold?]]))),1,0)</f>
        <v>0</v>
      </c>
      <c r="DN535" s="16">
        <f>RecData[[#This Row],[dBA Sum]]</f>
        <v>38.441980821684702</v>
      </c>
      <c r="DO535" s="16">
        <f>RecData[[#This Row],[LAF90.0]]</f>
        <v>37.6</v>
      </c>
      <c r="DP535" s="55">
        <f>IF(AND(RecData[[#This Row],[Useable TON Data?]],RecData[[#This Row],[Turbines ON/OFF]]="ON"),RecData[[#This Row],[dBA Sum]],"")</f>
        <v>38.441980821684702</v>
      </c>
      <c r="DQ535" s="55" t="str">
        <f>IF(AND(RecData[[#This Row],[Useable Background Data?]],RecData[[#This Row],[Turbines ON/OFF]]="OFF"),RecData[[#This Row],[dBA Sum]],"")</f>
        <v/>
      </c>
      <c r="DR535" s="3">
        <f>IF(OR(RecData[[#This Row],[Useable TON Data?]],RecData[[#This Row],[Useable Background Data?]]),ROUND(RecData[[#This Row],[WSpd_Avg '[m/s']]],0),"")</f>
        <v>1</v>
      </c>
      <c r="DS535" s="85">
        <f>(0.00002)^2*(10^(RecData[[#This Row],[Overall (dBA)]]/10))</f>
        <v>2.7942037649827221E-6</v>
      </c>
    </row>
    <row r="536" spans="1:123" ht="15" x14ac:dyDescent="0.25">
      <c r="A536" s="3" t="s">
        <v>249</v>
      </c>
      <c r="B536" s="12">
        <v>43270.088194444448</v>
      </c>
      <c r="C536" s="3"/>
      <c r="D536" s="3">
        <v>40.1</v>
      </c>
      <c r="E536" s="3"/>
      <c r="F536" s="3"/>
      <c r="G536" s="3"/>
      <c r="H536" s="3"/>
      <c r="I536" s="3"/>
      <c r="J536" s="3"/>
      <c r="K536" s="3">
        <v>38.700000000000003</v>
      </c>
      <c r="L536" s="3"/>
      <c r="M536" s="3"/>
      <c r="N536" s="3">
        <v>167.8</v>
      </c>
      <c r="O536" s="3"/>
      <c r="P536" s="3"/>
      <c r="Q536" s="3">
        <v>1.1299999999999999</v>
      </c>
      <c r="R536" s="3">
        <v>0.6</v>
      </c>
      <c r="S536" s="3">
        <v>1.6</v>
      </c>
      <c r="T536" s="3">
        <v>14</v>
      </c>
      <c r="U536" s="3">
        <v>74.3</v>
      </c>
      <c r="V536" s="3">
        <v>972.9</v>
      </c>
      <c r="W536" s="3">
        <v>0</v>
      </c>
      <c r="X536" s="3">
        <v>46</v>
      </c>
      <c r="Y536" s="3">
        <v>45.2</v>
      </c>
      <c r="Z536" s="3">
        <v>44</v>
      </c>
      <c r="AA536" s="3">
        <v>40.4</v>
      </c>
      <c r="AB536" s="3">
        <v>35.6</v>
      </c>
      <c r="AC536" s="3">
        <v>33.6</v>
      </c>
      <c r="AD536" s="3">
        <v>37.4</v>
      </c>
      <c r="AE536" s="3">
        <v>39.799999999999997</v>
      </c>
      <c r="AF536" s="3">
        <v>44.6</v>
      </c>
      <c r="AG536" s="3">
        <v>39.6</v>
      </c>
      <c r="AH536" s="3">
        <v>38</v>
      </c>
      <c r="AI536" s="3">
        <v>38.299999999999997</v>
      </c>
      <c r="AJ536" s="3">
        <v>36.9</v>
      </c>
      <c r="AK536" s="3">
        <v>35.299999999999997</v>
      </c>
      <c r="AL536" s="3">
        <v>33</v>
      </c>
      <c r="AM536" s="3">
        <v>32.6</v>
      </c>
      <c r="AN536" s="3">
        <v>31</v>
      </c>
      <c r="AO536" s="3">
        <v>27.4</v>
      </c>
      <c r="AP536" s="3">
        <v>25.2</v>
      </c>
      <c r="AQ536" s="3">
        <v>22.8</v>
      </c>
      <c r="AR536" s="3">
        <v>19.2</v>
      </c>
      <c r="AS536" s="3">
        <v>18.2</v>
      </c>
      <c r="AT536" s="3">
        <v>27</v>
      </c>
      <c r="AU536" s="3">
        <v>10.9</v>
      </c>
      <c r="AV536" s="3">
        <v>9.9</v>
      </c>
      <c r="AW536" s="3">
        <v>9.9</v>
      </c>
      <c r="AX536" s="3">
        <v>9.4</v>
      </c>
      <c r="AY536" s="3">
        <v>9.6</v>
      </c>
      <c r="AZ536" s="3">
        <v>0</v>
      </c>
      <c r="BA536" s="3">
        <v>0</v>
      </c>
      <c r="BB536" s="3">
        <v>0</v>
      </c>
      <c r="BC536" s="3">
        <v>40.062984300226759</v>
      </c>
      <c r="BD536" s="3">
        <v>46.037015699773235</v>
      </c>
      <c r="BE536" s="3">
        <v>45.237015699773252</v>
      </c>
      <c r="BF536" s="3">
        <v>42.79701569977324</v>
      </c>
      <c r="BG536" s="3">
        <v>39.523682366439914</v>
      </c>
      <c r="BH536" s="3">
        <v>34.863682366439917</v>
      </c>
      <c r="BI536" s="3">
        <v>33.277015699773244</v>
      </c>
      <c r="BJ536" s="3">
        <v>37.870349033106578</v>
      </c>
      <c r="BK536" s="3">
        <v>40.143682366439904</v>
      </c>
      <c r="BL536" s="3">
        <v>44.517015699773253</v>
      </c>
      <c r="BM536" s="3">
        <v>39.650349033106579</v>
      </c>
      <c r="BN536" s="3">
        <v>38.333682366439916</v>
      </c>
      <c r="BO536" s="3">
        <v>38.000349033106573</v>
      </c>
      <c r="BP536" s="3">
        <v>36.317015699773236</v>
      </c>
      <c r="BQ536" s="3">
        <v>35.133682366439899</v>
      </c>
      <c r="BR536" s="3">
        <v>33.16034903310657</v>
      </c>
      <c r="BS536" s="3">
        <v>32.563682366439906</v>
      </c>
      <c r="BT536" s="3">
        <v>31.16034903310657</v>
      </c>
      <c r="BU536" s="3">
        <v>27.527015699773244</v>
      </c>
      <c r="BV536" s="3">
        <v>25.04368236643991</v>
      </c>
      <c r="BW536" s="3">
        <v>23.17701569977325</v>
      </c>
      <c r="BX536" s="3">
        <v>19.497015699773243</v>
      </c>
      <c r="BY536" s="3">
        <v>18.317015699773236</v>
      </c>
      <c r="BZ536" s="3">
        <v>27.247015699773243</v>
      </c>
      <c r="CA536" s="3">
        <v>11.247015699773236</v>
      </c>
      <c r="CB536" s="3">
        <v>9.6836823664399105</v>
      </c>
      <c r="CC536" s="3">
        <v>9.8970156997732417</v>
      </c>
      <c r="CD536" s="3">
        <v>8.7036823664399137</v>
      </c>
      <c r="CE536" s="3">
        <v>9.0970156997732374</v>
      </c>
      <c r="CF536" s="3">
        <v>-0.88965096689342715</v>
      </c>
      <c r="CG536" s="3">
        <v>-1.4229843002267586</v>
      </c>
      <c r="CH536" s="3">
        <v>-2.4996509668934266</v>
      </c>
      <c r="CI536" s="13">
        <f>[1]!dbasum(RecData[[#This Row],[20]:[2000]],RecData[[#Headers],[20]:[2000]])</f>
        <v>39.66362743715554</v>
      </c>
      <c r="CJ536" s="14">
        <v>8304</v>
      </c>
      <c r="CK536" s="15" t="s">
        <v>249</v>
      </c>
      <c r="CL536" s="15">
        <f>RecData[[#This Row],[Start Time]]</f>
        <v>43270.088194444448</v>
      </c>
      <c r="CM536" s="16">
        <f>RecData[[#This Row],[Wind Speed avg]]</f>
        <v>1.1299999999999999</v>
      </c>
      <c r="CN536" s="16">
        <f>RecData[[#This Row],[Wind Dir. avg]]</f>
        <v>167.8</v>
      </c>
      <c r="CO536" s="16">
        <f>RecData[[#This Row],[Amb. Humidity]]</f>
        <v>74.3</v>
      </c>
      <c r="CP536" s="16">
        <f>RecData[[#This Row],[Amb. Temperature]]</f>
        <v>14</v>
      </c>
      <c r="CQ536" s="17">
        <f>RecData[[#This Row],[Amb. Rain Gauge]]</f>
        <v>0</v>
      </c>
      <c r="CR536" s="4" t="s">
        <v>1</v>
      </c>
      <c r="CS536" s="4" t="s">
        <v>49</v>
      </c>
      <c r="CT536" s="70">
        <v>1619.4345703125</v>
      </c>
      <c r="CU536" s="70">
        <v>30.000257492065401</v>
      </c>
      <c r="CV536" s="70">
        <v>10.3180227279663</v>
      </c>
      <c r="CW536" s="70">
        <v>15.2633934020996</v>
      </c>
      <c r="CX536" s="4"/>
      <c r="CY536" s="69"/>
      <c r="CZ536" s="2" t="b">
        <f>IF($DP$1="YES",IF(RecData[[#This Row],[Power (kW)]]&gt;=$CR$3, TRUE,FALSE),TRUE)</f>
        <v>1</v>
      </c>
      <c r="DA536" s="16">
        <f>MIN(MOD(180-ABS(ABS($DA$1-RecData[Yaw Angle (°)])-180),360),MOD(180-ABS(ABS($DB$1-RecData[Yaw Angle (°)])-180),360))</f>
        <v>22.470330714377837</v>
      </c>
      <c r="DB536" s="2" t="str">
        <f>IF($DP$2="None","None",IF(RecData[[#This Row],[Relative Wind Direction]]&lt;=45,"DW",IF(RecData[[#This Row],[Relative Wind Direction]]&lt;=135,"CW","UW")))</f>
        <v>DW</v>
      </c>
      <c r="DC536" s="61">
        <f>IF($CL536-$CL532&gt;1/24,#REF!,IF(SUM($CQ532:$CQ536)&gt;$DS$1,$DS$5,DC537-1))</f>
        <v>-5</v>
      </c>
      <c r="DD536" s="61">
        <f>IF($CL537-$CL536&gt;1/24,#REF!,IF(SUM($CQ532:$CQ536)&gt;$DS$1,$DS$6,DD535-1))</f>
        <v>-6</v>
      </c>
      <c r="DE536" s="18" t="b">
        <v>0</v>
      </c>
      <c r="DF536" s="2" t="b">
        <f>IF(OR(RecData[[#This Row],[WSpd_Avg '[m/s']]]-RecData[[#This Row],[Wind Speed min]]&gt;=$DF$3,RecData[[#This Row],[Wind Speed max]]-RecData[[#This Row],[WSpd_Avg '[m/s']]]&gt;=$DF$2),TRUE,FALSE)</f>
        <v>0</v>
      </c>
      <c r="DG536" s="2" t="b">
        <f>RecData[[#This Row],[Temperature '[°C']]]&lt;=-20</f>
        <v>0</v>
      </c>
      <c r="DH536" s="18" t="b">
        <f>NOT(OR(MOD(RecData[[#This Row],[TIMESTAMP]],1)&gt;0.91632,MOD(RecData[[#This Row],[TIMESTAMP]],1)&lt;0.208681))</f>
        <v>0</v>
      </c>
      <c r="DI536" s="18" t="b">
        <f>RecData[[#This Row],[Overall (dBA)]]-RecData[[#This Row],[L90]]&gt;=$DS$4</f>
        <v>0</v>
      </c>
      <c r="DJ536" s="18" t="b">
        <f>RecData[[#This Row],[Overall (dBA)]]&gt;$DS$2</f>
        <v>0</v>
      </c>
      <c r="DK536" s="18" t="b">
        <f>RecData[[#This Row],[Overall (dBA)]]&lt;$DS$3</f>
        <v>0</v>
      </c>
      <c r="DL5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6" s="2">
        <f>IF(AND(RecData[[#This Row],[Turbines ON/OFF]] = "OFF", NOT(OR(RecData[[#This Row],[Junk?]]="YES",RecData[[#This Row],[Gust?]],RecData[[#This Row],[Rain?]:[Min SPL Threshold?]]))),1,0)</f>
        <v>0</v>
      </c>
      <c r="DN536" s="16">
        <f>RecData[[#This Row],[dBA Sum]]</f>
        <v>39.66362743715554</v>
      </c>
      <c r="DO536" s="16">
        <f>RecData[[#This Row],[LAF90.0]]</f>
        <v>38.700000000000003</v>
      </c>
      <c r="DP536" s="55">
        <f>IF(AND(RecData[[#This Row],[Useable TON Data?]],RecData[[#This Row],[Turbines ON/OFF]]="ON"),RecData[[#This Row],[dBA Sum]],"")</f>
        <v>39.66362743715554</v>
      </c>
      <c r="DQ536" s="55" t="str">
        <f>IF(AND(RecData[[#This Row],[Useable Background Data?]],RecData[[#This Row],[Turbines ON/OFF]]="OFF"),RecData[[#This Row],[dBA Sum]],"")</f>
        <v/>
      </c>
      <c r="DR536" s="3">
        <f>IF(OR(RecData[[#This Row],[Useable TON Data?]],RecData[[#This Row],[Useable Background Data?]]),ROUND(RecData[[#This Row],[WSpd_Avg '[m/s']]],0),"")</f>
        <v>1</v>
      </c>
      <c r="DS536" s="85">
        <f>(0.00002)^2*(10^(RecData[[#This Row],[Overall (dBA)]]/10))</f>
        <v>3.7018833965321129E-6</v>
      </c>
    </row>
    <row r="537" spans="1:123" ht="15" x14ac:dyDescent="0.25">
      <c r="A537" s="3" t="s">
        <v>249</v>
      </c>
      <c r="B537" s="12">
        <v>43270.088888888895</v>
      </c>
      <c r="C537" s="3"/>
      <c r="D537" s="3">
        <v>39.6</v>
      </c>
      <c r="E537" s="3"/>
      <c r="F537" s="3"/>
      <c r="G537" s="3"/>
      <c r="H537" s="3"/>
      <c r="I537" s="3"/>
      <c r="J537" s="3"/>
      <c r="K537" s="3">
        <v>38.1</v>
      </c>
      <c r="L537" s="3"/>
      <c r="M537" s="3"/>
      <c r="N537" s="3">
        <v>187.4</v>
      </c>
      <c r="O537" s="3"/>
      <c r="P537" s="3"/>
      <c r="Q537" s="3">
        <v>0.64</v>
      </c>
      <c r="R537" s="3">
        <v>0.1</v>
      </c>
      <c r="S537" s="3">
        <v>1.2</v>
      </c>
      <c r="T537" s="3">
        <v>14</v>
      </c>
      <c r="U537" s="3">
        <v>74.3</v>
      </c>
      <c r="V537" s="3">
        <v>972.9</v>
      </c>
      <c r="W537" s="3">
        <v>0</v>
      </c>
      <c r="X537" s="3">
        <v>45.1</v>
      </c>
      <c r="Y537" s="3">
        <v>44.6</v>
      </c>
      <c r="Z537" s="3">
        <v>43.7</v>
      </c>
      <c r="AA537" s="3">
        <v>39.799999999999997</v>
      </c>
      <c r="AB537" s="3">
        <v>35.200000000000003</v>
      </c>
      <c r="AC537" s="3">
        <v>33.1</v>
      </c>
      <c r="AD537" s="3">
        <v>37.1</v>
      </c>
      <c r="AE537" s="3">
        <v>39.700000000000003</v>
      </c>
      <c r="AF537" s="3">
        <v>44.9</v>
      </c>
      <c r="AG537" s="3">
        <v>38.9</v>
      </c>
      <c r="AH537" s="3">
        <v>37.5</v>
      </c>
      <c r="AI537" s="3">
        <v>37.700000000000003</v>
      </c>
      <c r="AJ537" s="3">
        <v>36.4</v>
      </c>
      <c r="AK537" s="3">
        <v>34.9</v>
      </c>
      <c r="AL537" s="3">
        <v>32.799999999999997</v>
      </c>
      <c r="AM537" s="3">
        <v>32.4</v>
      </c>
      <c r="AN537" s="3">
        <v>30.5</v>
      </c>
      <c r="AO537" s="3">
        <v>27.2</v>
      </c>
      <c r="AP537" s="3">
        <v>24.9</v>
      </c>
      <c r="AQ537" s="3">
        <v>22.7</v>
      </c>
      <c r="AR537" s="3">
        <v>19.100000000000001</v>
      </c>
      <c r="AS537" s="3">
        <v>16.100000000000001</v>
      </c>
      <c r="AT537" s="3">
        <v>24.3</v>
      </c>
      <c r="AU537" s="3">
        <v>9.5</v>
      </c>
      <c r="AV537" s="3">
        <v>9</v>
      </c>
      <c r="AW537" s="3">
        <v>9.1999999999999993</v>
      </c>
      <c r="AX537" s="3">
        <v>9.1999999999999993</v>
      </c>
      <c r="AY537" s="3">
        <v>9.4</v>
      </c>
      <c r="AZ537" s="3">
        <v>0</v>
      </c>
      <c r="BA537" s="3">
        <v>0</v>
      </c>
      <c r="BB537" s="3">
        <v>0</v>
      </c>
      <c r="BC537" s="3">
        <v>39.600374195019995</v>
      </c>
      <c r="BD537" s="3">
        <v>45.099625804980008</v>
      </c>
      <c r="BE537" s="3">
        <v>44.599625804980008</v>
      </c>
      <c r="BF537" s="3">
        <v>42.459625804980007</v>
      </c>
      <c r="BG537" s="3">
        <v>38.886292471646669</v>
      </c>
      <c r="BH537" s="3">
        <v>34.426292471646676</v>
      </c>
      <c r="BI537" s="3">
        <v>32.739625804980008</v>
      </c>
      <c r="BJ537" s="3">
        <v>37.532959138313331</v>
      </c>
      <c r="BK537" s="3">
        <v>40.006292471646674</v>
      </c>
      <c r="BL537" s="3">
        <v>44.77962580498</v>
      </c>
      <c r="BM537" s="3">
        <v>38.91295913831334</v>
      </c>
      <c r="BN537" s="3">
        <v>37.79629247164668</v>
      </c>
      <c r="BO537" s="3">
        <v>37.362959138313343</v>
      </c>
      <c r="BP537" s="3">
        <v>35.77962580498</v>
      </c>
      <c r="BQ537" s="3">
        <v>34.696292471646657</v>
      </c>
      <c r="BR537" s="3">
        <v>32.922959138313345</v>
      </c>
      <c r="BS537" s="3">
        <v>32.326292471646681</v>
      </c>
      <c r="BT537" s="3">
        <v>30.622959138313334</v>
      </c>
      <c r="BU537" s="3">
        <v>27.289625804980005</v>
      </c>
      <c r="BV537" s="3">
        <v>24.706292471646677</v>
      </c>
      <c r="BW537" s="3">
        <v>23.039625804980005</v>
      </c>
      <c r="BX537" s="3">
        <v>19.359625804980013</v>
      </c>
      <c r="BY537" s="3">
        <v>16.179625804980006</v>
      </c>
      <c r="BZ537" s="3">
        <v>24.509625804980018</v>
      </c>
      <c r="CA537" s="3">
        <v>9.8096258049800014</v>
      </c>
      <c r="CB537" s="3">
        <v>8.7462924716466688</v>
      </c>
      <c r="CC537" s="3">
        <v>9.1596258049800028</v>
      </c>
      <c r="CD537" s="3">
        <v>8.4662924716466748</v>
      </c>
      <c r="CE537" s="3">
        <v>8.8596258049800056</v>
      </c>
      <c r="CF537" s="3">
        <v>-0.92704086168666322</v>
      </c>
      <c r="CG537" s="3">
        <v>-1.4603741950199947</v>
      </c>
      <c r="CH537" s="3">
        <v>-2.5370408616866627</v>
      </c>
      <c r="CI537" s="13">
        <f>[1]!dbasum(RecData[[#This Row],[20]:[2000]],RecData[[#Headers],[20]:[2000]])</f>
        <v>39.303098160678203</v>
      </c>
      <c r="CJ537" s="14">
        <v>8305</v>
      </c>
      <c r="CK537" s="15" t="s">
        <v>249</v>
      </c>
      <c r="CL537" s="15">
        <f>RecData[[#This Row],[Start Time]]</f>
        <v>43270.088888888895</v>
      </c>
      <c r="CM537" s="16">
        <f>RecData[[#This Row],[Wind Speed avg]]</f>
        <v>0.64</v>
      </c>
      <c r="CN537" s="16">
        <f>RecData[[#This Row],[Wind Dir. avg]]</f>
        <v>187.4</v>
      </c>
      <c r="CO537" s="16">
        <f>RecData[[#This Row],[Amb. Humidity]]</f>
        <v>74.3</v>
      </c>
      <c r="CP537" s="16">
        <f>RecData[[#This Row],[Amb. Temperature]]</f>
        <v>14</v>
      </c>
      <c r="CQ537" s="17">
        <f>RecData[[#This Row],[Amb. Rain Gauge]]</f>
        <v>0</v>
      </c>
      <c r="CR537" s="4" t="s">
        <v>1</v>
      </c>
      <c r="CS537" s="4" t="s">
        <v>49</v>
      </c>
      <c r="CT537" s="70">
        <v>1619.4345703125</v>
      </c>
      <c r="CU537" s="70">
        <v>30.000257492065401</v>
      </c>
      <c r="CV537" s="70">
        <v>10.3180227279663</v>
      </c>
      <c r="CW537" s="70">
        <v>15.2633934020996</v>
      </c>
      <c r="CX537" s="4"/>
      <c r="CY537" s="69"/>
      <c r="CZ537" s="2" t="b">
        <f>IF($DP$1="YES",IF(RecData[[#This Row],[Power (kW)]]&gt;=$CR$3, TRUE,FALSE),TRUE)</f>
        <v>1</v>
      </c>
      <c r="DA537" s="16">
        <f>MIN(MOD(180-ABS(ABS($DA$1-RecData[Yaw Angle (°)])-180),360),MOD(180-ABS(ABS($DB$1-RecData[Yaw Angle (°)])-180),360))</f>
        <v>22.470330714377837</v>
      </c>
      <c r="DB537" s="2" t="str">
        <f>IF($DP$2="None","None",IF(RecData[[#This Row],[Relative Wind Direction]]&lt;=45,"DW",IF(RecData[[#This Row],[Relative Wind Direction]]&lt;=135,"CW","UW")))</f>
        <v>DW</v>
      </c>
      <c r="DC537" s="61">
        <f>IF($CL537-$CL533&gt;1/24,#REF!,IF(SUM($CQ533:$CQ537)&gt;$DS$1,$DS$5,DC538-1))</f>
        <v>-4</v>
      </c>
      <c r="DD537" s="61">
        <f>IF($CL538-$CL537&gt;1/24,#REF!,IF(SUM($CQ533:$CQ537)&gt;$DS$1,$DS$6,DD536-1))</f>
        <v>-7</v>
      </c>
      <c r="DE537" s="18" t="b">
        <v>0</v>
      </c>
      <c r="DF537" s="2" t="b">
        <f>IF(OR(RecData[[#This Row],[WSpd_Avg '[m/s']]]-RecData[[#This Row],[Wind Speed min]]&gt;=$DF$3,RecData[[#This Row],[Wind Speed max]]-RecData[[#This Row],[WSpd_Avg '[m/s']]]&gt;=$DF$2),TRUE,FALSE)</f>
        <v>0</v>
      </c>
      <c r="DG537" s="2" t="b">
        <f>RecData[[#This Row],[Temperature '[°C']]]&lt;=-20</f>
        <v>0</v>
      </c>
      <c r="DH537" s="18" t="b">
        <f>NOT(OR(MOD(RecData[[#This Row],[TIMESTAMP]],1)&gt;0.91632,MOD(RecData[[#This Row],[TIMESTAMP]],1)&lt;0.208681))</f>
        <v>0</v>
      </c>
      <c r="DI537" s="18" t="b">
        <f>RecData[[#This Row],[Overall (dBA)]]-RecData[[#This Row],[L90]]&gt;=$DS$4</f>
        <v>0</v>
      </c>
      <c r="DJ537" s="18" t="b">
        <f>RecData[[#This Row],[Overall (dBA)]]&gt;$DS$2</f>
        <v>0</v>
      </c>
      <c r="DK537" s="18" t="b">
        <f>RecData[[#This Row],[Overall (dBA)]]&lt;$DS$3</f>
        <v>0</v>
      </c>
      <c r="DL5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7" s="2">
        <f>IF(AND(RecData[[#This Row],[Turbines ON/OFF]] = "OFF", NOT(OR(RecData[[#This Row],[Junk?]]="YES",RecData[[#This Row],[Gust?]],RecData[[#This Row],[Rain?]:[Min SPL Threshold?]]))),1,0)</f>
        <v>0</v>
      </c>
      <c r="DN537" s="16">
        <f>RecData[[#This Row],[dBA Sum]]</f>
        <v>39.303098160678203</v>
      </c>
      <c r="DO537" s="16">
        <f>RecData[[#This Row],[LAF90.0]]</f>
        <v>38.1</v>
      </c>
      <c r="DP537" s="55">
        <f>IF(AND(RecData[[#This Row],[Useable TON Data?]],RecData[[#This Row],[Turbines ON/OFF]]="ON"),RecData[[#This Row],[dBA Sum]],"")</f>
        <v>39.303098160678203</v>
      </c>
      <c r="DQ537" s="55" t="str">
        <f>IF(AND(RecData[[#This Row],[Useable Background Data?]],RecData[[#This Row],[Turbines ON/OFF]]="OFF"),RecData[[#This Row],[dBA Sum]],"")</f>
        <v/>
      </c>
      <c r="DR537" s="3">
        <f>IF(OR(RecData[[#This Row],[Useable TON Data?]],RecData[[#This Row],[Useable Background Data?]]),ROUND(RecData[[#This Row],[WSpd_Avg '[m/s']]],0),"")</f>
        <v>1</v>
      </c>
      <c r="DS537" s="85">
        <f>(0.00002)^2*(10^(RecData[[#This Row],[Overall (dBA)]]/10))</f>
        <v>3.4069817514441681E-6</v>
      </c>
    </row>
    <row r="538" spans="1:123" ht="15" x14ac:dyDescent="0.25">
      <c r="A538" s="3" t="s">
        <v>249</v>
      </c>
      <c r="B538" s="12">
        <v>43270.089583333334</v>
      </c>
      <c r="C538" s="3"/>
      <c r="D538" s="3">
        <v>39.9</v>
      </c>
      <c r="E538" s="3"/>
      <c r="F538" s="3"/>
      <c r="G538" s="3"/>
      <c r="H538" s="3"/>
      <c r="I538" s="3"/>
      <c r="J538" s="3"/>
      <c r="K538" s="3">
        <v>38.299999999999997</v>
      </c>
      <c r="L538" s="3"/>
      <c r="M538" s="3"/>
      <c r="N538" s="3">
        <v>186.2</v>
      </c>
      <c r="O538" s="3"/>
      <c r="P538" s="3"/>
      <c r="Q538" s="3">
        <v>1.05</v>
      </c>
      <c r="R538" s="3">
        <v>0.4</v>
      </c>
      <c r="S538" s="3">
        <v>1.7</v>
      </c>
      <c r="T538" s="3">
        <v>14</v>
      </c>
      <c r="U538" s="3">
        <v>74.400000000000006</v>
      </c>
      <c r="V538" s="3">
        <v>972.9</v>
      </c>
      <c r="W538" s="3">
        <v>0</v>
      </c>
      <c r="X538" s="3">
        <v>45.5</v>
      </c>
      <c r="Y538" s="3">
        <v>44.2</v>
      </c>
      <c r="Z538" s="3">
        <v>43.1</v>
      </c>
      <c r="AA538" s="3">
        <v>39.5</v>
      </c>
      <c r="AB538" s="3">
        <v>34.6</v>
      </c>
      <c r="AC538" s="3">
        <v>32.799999999999997</v>
      </c>
      <c r="AD538" s="3">
        <v>36.799999999999997</v>
      </c>
      <c r="AE538" s="3">
        <v>39.6</v>
      </c>
      <c r="AF538" s="3">
        <v>45.6</v>
      </c>
      <c r="AG538" s="3">
        <v>39.5</v>
      </c>
      <c r="AH538" s="3">
        <v>37.299999999999997</v>
      </c>
      <c r="AI538" s="3">
        <v>38.200000000000003</v>
      </c>
      <c r="AJ538" s="3">
        <v>36.5</v>
      </c>
      <c r="AK538" s="3">
        <v>35</v>
      </c>
      <c r="AL538" s="3">
        <v>32.9</v>
      </c>
      <c r="AM538" s="3">
        <v>32.6</v>
      </c>
      <c r="AN538" s="3">
        <v>30.8</v>
      </c>
      <c r="AO538" s="3">
        <v>27.3</v>
      </c>
      <c r="AP538" s="3">
        <v>25.2</v>
      </c>
      <c r="AQ538" s="3">
        <v>22.7</v>
      </c>
      <c r="AR538" s="3">
        <v>19.100000000000001</v>
      </c>
      <c r="AS538" s="3">
        <v>16.100000000000001</v>
      </c>
      <c r="AT538" s="3">
        <v>26</v>
      </c>
      <c r="AU538" s="3">
        <v>10.8</v>
      </c>
      <c r="AV538" s="3">
        <v>9.5</v>
      </c>
      <c r="AW538" s="3">
        <v>9.6</v>
      </c>
      <c r="AX538" s="3">
        <v>9.3000000000000007</v>
      </c>
      <c r="AY538" s="3">
        <v>9.5</v>
      </c>
      <c r="AZ538" s="3">
        <v>0</v>
      </c>
      <c r="BA538" s="3">
        <v>0</v>
      </c>
      <c r="BB538" s="3">
        <v>0</v>
      </c>
      <c r="BC538" s="3">
        <v>39.901444621792464</v>
      </c>
      <c r="BD538" s="3">
        <v>45.498555378207541</v>
      </c>
      <c r="BE538" s="3">
        <v>44.19855537820753</v>
      </c>
      <c r="BF538" s="3">
        <v>41.858555378207527</v>
      </c>
      <c r="BG538" s="3">
        <v>38.5852220448742</v>
      </c>
      <c r="BH538" s="3">
        <v>33.825222044874195</v>
      </c>
      <c r="BI538" s="3">
        <v>32.438555378207539</v>
      </c>
      <c r="BJ538" s="3">
        <v>37.231888711540861</v>
      </c>
      <c r="BK538" s="3">
        <v>39.905222044874208</v>
      </c>
      <c r="BL538" s="3">
        <v>45.478555378207531</v>
      </c>
      <c r="BM538" s="3">
        <v>39.511888711540863</v>
      </c>
      <c r="BN538" s="3">
        <v>37.595222044874205</v>
      </c>
      <c r="BO538" s="3">
        <v>37.861888711540871</v>
      </c>
      <c r="BP538" s="3">
        <v>35.878555378207537</v>
      </c>
      <c r="BQ538" s="3">
        <v>34.795222044874194</v>
      </c>
      <c r="BR538" s="3">
        <v>33.021888711540868</v>
      </c>
      <c r="BS538" s="3">
        <v>32.525222044874212</v>
      </c>
      <c r="BT538" s="3">
        <v>30.921888711540873</v>
      </c>
      <c r="BU538" s="3">
        <v>27.388555378207542</v>
      </c>
      <c r="BV538" s="3">
        <v>25.005222044874202</v>
      </c>
      <c r="BW538" s="3">
        <v>23.038555378207533</v>
      </c>
      <c r="BX538" s="3">
        <v>19.358555378207541</v>
      </c>
      <c r="BY538" s="3">
        <v>16.178555378207534</v>
      </c>
      <c r="BZ538" s="3">
        <v>26.208555378207535</v>
      </c>
      <c r="CA538" s="3">
        <v>11.108555378207527</v>
      </c>
      <c r="CB538" s="3">
        <v>9.2452220448741969</v>
      </c>
      <c r="CC538" s="3">
        <v>9.5585553782075294</v>
      </c>
      <c r="CD538" s="3">
        <v>8.5652220448742042</v>
      </c>
      <c r="CE538" s="3">
        <v>8.9585553782075351</v>
      </c>
      <c r="CF538" s="3">
        <v>-0.92811128845913515</v>
      </c>
      <c r="CG538" s="3">
        <v>-1.4614446217924666</v>
      </c>
      <c r="CH538" s="3">
        <v>-2.5381112884591346</v>
      </c>
      <c r="CI538" s="13">
        <f>[1]!dbasum(RecData[[#This Row],[20]:[2000]],RecData[[#Headers],[20]:[2000]])</f>
        <v>39.53203931596321</v>
      </c>
      <c r="CJ538" s="14">
        <v>8306</v>
      </c>
      <c r="CK538" s="15" t="s">
        <v>249</v>
      </c>
      <c r="CL538" s="15">
        <f>RecData[[#This Row],[Start Time]]</f>
        <v>43270.089583333334</v>
      </c>
      <c r="CM538" s="16">
        <f>RecData[[#This Row],[Wind Speed avg]]</f>
        <v>1.05</v>
      </c>
      <c r="CN538" s="16">
        <f>RecData[[#This Row],[Wind Dir. avg]]</f>
        <v>186.2</v>
      </c>
      <c r="CO538" s="16">
        <f>RecData[[#This Row],[Amb. Humidity]]</f>
        <v>74.400000000000006</v>
      </c>
      <c r="CP538" s="16">
        <f>RecData[[#This Row],[Amb. Temperature]]</f>
        <v>14</v>
      </c>
      <c r="CQ538" s="17">
        <f>RecData[[#This Row],[Amb. Rain Gauge]]</f>
        <v>0</v>
      </c>
      <c r="CR538" s="4" t="s">
        <v>1</v>
      </c>
      <c r="CS538" s="4" t="s">
        <v>49</v>
      </c>
      <c r="CT538" s="70">
        <v>1619.4345703125</v>
      </c>
      <c r="CU538" s="70">
        <v>30.000257492065401</v>
      </c>
      <c r="CV538" s="70">
        <v>10.3180227279663</v>
      </c>
      <c r="CW538" s="70">
        <v>15.2633934020996</v>
      </c>
      <c r="CX538" s="4"/>
      <c r="CY538" s="69"/>
      <c r="CZ538" s="2" t="b">
        <f>IF($DP$1="YES",IF(RecData[[#This Row],[Power (kW)]]&gt;=$CR$3, TRUE,FALSE),TRUE)</f>
        <v>1</v>
      </c>
      <c r="DA538" s="16">
        <f>MIN(MOD(180-ABS(ABS($DA$1-RecData[Yaw Angle (°)])-180),360),MOD(180-ABS(ABS($DB$1-RecData[Yaw Angle (°)])-180),360))</f>
        <v>22.470330714377837</v>
      </c>
      <c r="DB538" s="2" t="str">
        <f>IF($DP$2="None","None",IF(RecData[[#This Row],[Relative Wind Direction]]&lt;=45,"DW",IF(RecData[[#This Row],[Relative Wind Direction]]&lt;=135,"CW","UW")))</f>
        <v>DW</v>
      </c>
      <c r="DC538" s="61">
        <f>IF($CL538-$CL534&gt;1/24,#REF!,IF(SUM($CQ534:$CQ538)&gt;$DS$1,$DS$5,DC539-1))</f>
        <v>-3</v>
      </c>
      <c r="DD538" s="61">
        <f>IF($CL539-$CL538&gt;1/24,#REF!,IF(SUM($CQ534:$CQ538)&gt;$DS$1,$DS$6,DD537-1))</f>
        <v>-8</v>
      </c>
      <c r="DE538" s="18" t="b">
        <v>0</v>
      </c>
      <c r="DF538" s="2" t="b">
        <f>IF(OR(RecData[[#This Row],[WSpd_Avg '[m/s']]]-RecData[[#This Row],[Wind Speed min]]&gt;=$DF$3,RecData[[#This Row],[Wind Speed max]]-RecData[[#This Row],[WSpd_Avg '[m/s']]]&gt;=$DF$2),TRUE,FALSE)</f>
        <v>0</v>
      </c>
      <c r="DG538" s="2" t="b">
        <f>RecData[[#This Row],[Temperature '[°C']]]&lt;=-20</f>
        <v>0</v>
      </c>
      <c r="DH538" s="18" t="b">
        <f>NOT(OR(MOD(RecData[[#This Row],[TIMESTAMP]],1)&gt;0.91632,MOD(RecData[[#This Row],[TIMESTAMP]],1)&lt;0.208681))</f>
        <v>0</v>
      </c>
      <c r="DI538" s="18" t="b">
        <f>RecData[[#This Row],[Overall (dBA)]]-RecData[[#This Row],[L90]]&gt;=$DS$4</f>
        <v>0</v>
      </c>
      <c r="DJ538" s="18" t="b">
        <f>RecData[[#This Row],[Overall (dBA)]]&gt;$DS$2</f>
        <v>0</v>
      </c>
      <c r="DK538" s="18" t="b">
        <f>RecData[[#This Row],[Overall (dBA)]]&lt;$DS$3</f>
        <v>0</v>
      </c>
      <c r="DL5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8" s="2">
        <f>IF(AND(RecData[[#This Row],[Turbines ON/OFF]] = "OFF", NOT(OR(RecData[[#This Row],[Junk?]]="YES",RecData[[#This Row],[Gust?]],RecData[[#This Row],[Rain?]:[Min SPL Threshold?]]))),1,0)</f>
        <v>0</v>
      </c>
      <c r="DN538" s="16">
        <f>RecData[[#This Row],[dBA Sum]]</f>
        <v>39.53203931596321</v>
      </c>
      <c r="DO538" s="16">
        <f>RecData[[#This Row],[LAF90.0]]</f>
        <v>38.299999999999997</v>
      </c>
      <c r="DP538" s="55">
        <f>IF(AND(RecData[[#This Row],[Useable TON Data?]],RecData[[#This Row],[Turbines ON/OFF]]="ON"),RecData[[#This Row],[dBA Sum]],"")</f>
        <v>39.53203931596321</v>
      </c>
      <c r="DQ538" s="55" t="str">
        <f>IF(AND(RecData[[#This Row],[Useable Background Data?]],RecData[[#This Row],[Turbines ON/OFF]]="OFF"),RecData[[#This Row],[dBA Sum]],"")</f>
        <v/>
      </c>
      <c r="DR538" s="3">
        <f>IF(OR(RecData[[#This Row],[Useable TON Data?]],RecData[[#This Row],[Useable Background Data?]]),ROUND(RecData[[#This Row],[WSpd_Avg '[m/s']]],0),"")</f>
        <v>1</v>
      </c>
      <c r="DS538" s="85">
        <f>(0.00002)^2*(10^(RecData[[#This Row],[Overall (dBA)]]/10))</f>
        <v>3.5914011958544845E-6</v>
      </c>
    </row>
    <row r="539" spans="1:123" ht="15" x14ac:dyDescent="0.25">
      <c r="A539" s="3" t="s">
        <v>249</v>
      </c>
      <c r="B539" s="12">
        <v>43270.090277777781</v>
      </c>
      <c r="C539" s="3"/>
      <c r="D539" s="3">
        <v>40.299999999999997</v>
      </c>
      <c r="E539" s="3"/>
      <c r="F539" s="3"/>
      <c r="G539" s="3"/>
      <c r="H539" s="3"/>
      <c r="I539" s="3"/>
      <c r="J539" s="3"/>
      <c r="K539" s="3">
        <v>38.200000000000003</v>
      </c>
      <c r="L539" s="3"/>
      <c r="M539" s="3"/>
      <c r="N539" s="3">
        <v>181.1</v>
      </c>
      <c r="O539" s="3"/>
      <c r="P539" s="3"/>
      <c r="Q539" s="3">
        <v>0.73</v>
      </c>
      <c r="R539" s="3">
        <v>0.1</v>
      </c>
      <c r="S539" s="3">
        <v>1.3</v>
      </c>
      <c r="T539" s="3">
        <v>14</v>
      </c>
      <c r="U539" s="3">
        <v>74.5</v>
      </c>
      <c r="V539" s="3">
        <v>972.9</v>
      </c>
      <c r="W539" s="3">
        <v>0</v>
      </c>
      <c r="X539" s="3">
        <v>45.1</v>
      </c>
      <c r="Y539" s="3">
        <v>44.2</v>
      </c>
      <c r="Z539" s="3">
        <v>43.4</v>
      </c>
      <c r="AA539" s="3">
        <v>39.6</v>
      </c>
      <c r="AB539" s="3">
        <v>34.5</v>
      </c>
      <c r="AC539" s="3">
        <v>32.9</v>
      </c>
      <c r="AD539" s="3">
        <v>37.9</v>
      </c>
      <c r="AE539" s="3">
        <v>40.1</v>
      </c>
      <c r="AF539" s="3">
        <v>44.6</v>
      </c>
      <c r="AG539" s="3">
        <v>39.200000000000003</v>
      </c>
      <c r="AH539" s="3">
        <v>38</v>
      </c>
      <c r="AI539" s="3">
        <v>38.200000000000003</v>
      </c>
      <c r="AJ539" s="3">
        <v>37.1</v>
      </c>
      <c r="AK539" s="3">
        <v>35.5</v>
      </c>
      <c r="AL539" s="3">
        <v>33.299999999999997</v>
      </c>
      <c r="AM539" s="3">
        <v>33.1</v>
      </c>
      <c r="AN539" s="3">
        <v>31.5</v>
      </c>
      <c r="AO539" s="3">
        <v>28.4</v>
      </c>
      <c r="AP539" s="3">
        <v>26.1</v>
      </c>
      <c r="AQ539" s="3">
        <v>23.9</v>
      </c>
      <c r="AR539" s="3">
        <v>20.2</v>
      </c>
      <c r="AS539" s="3">
        <v>17.600000000000001</v>
      </c>
      <c r="AT539" s="3">
        <v>26.2</v>
      </c>
      <c r="AU539" s="3">
        <v>10.8</v>
      </c>
      <c r="AV539" s="3">
        <v>9.3000000000000007</v>
      </c>
      <c r="AW539" s="3">
        <v>9.3000000000000007</v>
      </c>
      <c r="AX539" s="3">
        <v>9.1999999999999993</v>
      </c>
      <c r="AY539" s="3">
        <v>9.4</v>
      </c>
      <c r="AZ539" s="3">
        <v>0</v>
      </c>
      <c r="BA539" s="3">
        <v>0</v>
      </c>
      <c r="BB539" s="3">
        <v>0</v>
      </c>
      <c r="BC539" s="3">
        <v>40.309345258508202</v>
      </c>
      <c r="BD539" s="3">
        <v>45.090654741491804</v>
      </c>
      <c r="BE539" s="3">
        <v>44.190654741491798</v>
      </c>
      <c r="BF539" s="3">
        <v>42.150654741491792</v>
      </c>
      <c r="BG539" s="3">
        <v>38.677321408158463</v>
      </c>
      <c r="BH539" s="3">
        <v>33.717321408158469</v>
      </c>
      <c r="BI539" s="3">
        <v>32.530654741491801</v>
      </c>
      <c r="BJ539" s="3">
        <v>38.323988074825124</v>
      </c>
      <c r="BK539" s="3">
        <v>40.397321408158462</v>
      </c>
      <c r="BL539" s="3">
        <v>44.470654741491799</v>
      </c>
      <c r="BM539" s="3">
        <v>39.203988074825133</v>
      </c>
      <c r="BN539" s="3">
        <v>38.287321408158462</v>
      </c>
      <c r="BO539" s="3">
        <v>37.853988074825125</v>
      </c>
      <c r="BP539" s="3">
        <v>36.470654741491799</v>
      </c>
      <c r="BQ539" s="3">
        <v>35.287321408158462</v>
      </c>
      <c r="BR539" s="3">
        <v>33.413988074825127</v>
      </c>
      <c r="BS539" s="3">
        <v>33.017321408158466</v>
      </c>
      <c r="BT539" s="3">
        <v>31.61398807482513</v>
      </c>
      <c r="BU539" s="3">
        <v>28.48065474149179</v>
      </c>
      <c r="BV539" s="3">
        <v>25.897321408158462</v>
      </c>
      <c r="BW539" s="3">
        <v>24.23065474149179</v>
      </c>
      <c r="BX539" s="3">
        <v>20.450654741491803</v>
      </c>
      <c r="BY539" s="3">
        <v>17.670654741491795</v>
      </c>
      <c r="BZ539" s="3">
        <v>26.400654741491806</v>
      </c>
      <c r="CA539" s="3">
        <v>11.100654741491788</v>
      </c>
      <c r="CB539" s="3">
        <v>9.0373214081584621</v>
      </c>
      <c r="CC539" s="3">
        <v>9.2506547414917932</v>
      </c>
      <c r="CD539" s="3">
        <v>8.4573214081584638</v>
      </c>
      <c r="CE539" s="3">
        <v>8.8506547414917947</v>
      </c>
      <c r="CF539" s="3">
        <v>-0.93601192517487419</v>
      </c>
      <c r="CG539" s="3">
        <v>-1.4693452585082056</v>
      </c>
      <c r="CH539" s="3">
        <v>-2.5460119251748736</v>
      </c>
      <c r="CI539" s="13">
        <f>[1]!dbasum(RecData[[#This Row],[20]:[2000]],RecData[[#Headers],[20]:[2000]])</f>
        <v>39.946114497846864</v>
      </c>
      <c r="CJ539" s="14">
        <v>8307</v>
      </c>
      <c r="CK539" s="15" t="s">
        <v>249</v>
      </c>
      <c r="CL539" s="15">
        <f>RecData[[#This Row],[Start Time]]</f>
        <v>43270.090277777781</v>
      </c>
      <c r="CM539" s="16">
        <f>RecData[[#This Row],[Wind Speed avg]]</f>
        <v>0.73</v>
      </c>
      <c r="CN539" s="16">
        <f>RecData[[#This Row],[Wind Dir. avg]]</f>
        <v>181.1</v>
      </c>
      <c r="CO539" s="16">
        <f>RecData[[#This Row],[Amb. Humidity]]</f>
        <v>74.5</v>
      </c>
      <c r="CP539" s="16">
        <f>RecData[[#This Row],[Amb. Temperature]]</f>
        <v>14</v>
      </c>
      <c r="CQ539" s="17">
        <f>RecData[[#This Row],[Amb. Rain Gauge]]</f>
        <v>0</v>
      </c>
      <c r="CR539" s="4" t="s">
        <v>1</v>
      </c>
      <c r="CS539" s="4" t="s">
        <v>49</v>
      </c>
      <c r="CT539" s="70">
        <v>1619.4345703125</v>
      </c>
      <c r="CU539" s="70">
        <v>30.000257492065401</v>
      </c>
      <c r="CV539" s="70">
        <v>10.3180227279663</v>
      </c>
      <c r="CW539" s="70">
        <v>15.2633934020996</v>
      </c>
      <c r="CX539" s="4"/>
      <c r="CY539" s="69"/>
      <c r="CZ539" s="2" t="b">
        <f>IF($DP$1="YES",IF(RecData[[#This Row],[Power (kW)]]&gt;=$CR$3, TRUE,FALSE),TRUE)</f>
        <v>1</v>
      </c>
      <c r="DA539" s="16">
        <f>MIN(MOD(180-ABS(ABS($DA$1-RecData[Yaw Angle (°)])-180),360),MOD(180-ABS(ABS($DB$1-RecData[Yaw Angle (°)])-180),360))</f>
        <v>22.470330714377837</v>
      </c>
      <c r="DB539" s="2" t="str">
        <f>IF($DP$2="None","None",IF(RecData[[#This Row],[Relative Wind Direction]]&lt;=45,"DW",IF(RecData[[#This Row],[Relative Wind Direction]]&lt;=135,"CW","UW")))</f>
        <v>DW</v>
      </c>
      <c r="DC539" s="61">
        <f>IF($CL539-$CL535&gt;1/24,#REF!,IF(SUM($CQ535:$CQ539)&gt;$DS$1,$DS$5,DC540-1))</f>
        <v>-2</v>
      </c>
      <c r="DD539" s="61">
        <f>IF($CL540-$CL539&gt;1/24,#REF!,IF(SUM($CQ535:$CQ539)&gt;$DS$1,$DS$6,DD538-1))</f>
        <v>-9</v>
      </c>
      <c r="DE539" s="18" t="b">
        <v>0</v>
      </c>
      <c r="DF539" s="2" t="b">
        <f>IF(OR(RecData[[#This Row],[WSpd_Avg '[m/s']]]-RecData[[#This Row],[Wind Speed min]]&gt;=$DF$3,RecData[[#This Row],[Wind Speed max]]-RecData[[#This Row],[WSpd_Avg '[m/s']]]&gt;=$DF$2),TRUE,FALSE)</f>
        <v>0</v>
      </c>
      <c r="DG539" s="2" t="b">
        <f>RecData[[#This Row],[Temperature '[°C']]]&lt;=-20</f>
        <v>0</v>
      </c>
      <c r="DH539" s="18" t="b">
        <f>NOT(OR(MOD(RecData[[#This Row],[TIMESTAMP]],1)&gt;0.91632,MOD(RecData[[#This Row],[TIMESTAMP]],1)&lt;0.208681))</f>
        <v>0</v>
      </c>
      <c r="DI539" s="18" t="b">
        <f>RecData[[#This Row],[Overall (dBA)]]-RecData[[#This Row],[L90]]&gt;=$DS$4</f>
        <v>0</v>
      </c>
      <c r="DJ539" s="18" t="b">
        <f>RecData[[#This Row],[Overall (dBA)]]&gt;$DS$2</f>
        <v>0</v>
      </c>
      <c r="DK539" s="18" t="b">
        <f>RecData[[#This Row],[Overall (dBA)]]&lt;$DS$3</f>
        <v>0</v>
      </c>
      <c r="DL5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39" s="2">
        <f>IF(AND(RecData[[#This Row],[Turbines ON/OFF]] = "OFF", NOT(OR(RecData[[#This Row],[Junk?]]="YES",RecData[[#This Row],[Gust?]],RecData[[#This Row],[Rain?]:[Min SPL Threshold?]]))),1,0)</f>
        <v>0</v>
      </c>
      <c r="DN539" s="16">
        <f>RecData[[#This Row],[dBA Sum]]</f>
        <v>39.946114497846864</v>
      </c>
      <c r="DO539" s="16">
        <f>RecData[[#This Row],[LAF90.0]]</f>
        <v>38.200000000000003</v>
      </c>
      <c r="DP539" s="55">
        <f>IF(AND(RecData[[#This Row],[Useable TON Data?]],RecData[[#This Row],[Turbines ON/OFF]]="ON"),RecData[[#This Row],[dBA Sum]],"")</f>
        <v>39.946114497846864</v>
      </c>
      <c r="DQ539" s="55" t="str">
        <f>IF(AND(RecData[[#This Row],[Useable Background Data?]],RecData[[#This Row],[Turbines ON/OFF]]="OFF"),RecData[[#This Row],[dBA Sum]],"")</f>
        <v/>
      </c>
      <c r="DR539" s="3">
        <f>IF(OR(RecData[[#This Row],[Useable TON Data?]],RecData[[#This Row],[Useable Background Data?]]),ROUND(RecData[[#This Row],[WSpd_Avg '[m/s']]],0),"")</f>
        <v>1</v>
      </c>
      <c r="DS539" s="85">
        <f>(0.00002)^2*(10^(RecData[[#This Row],[Overall (dBA)]]/10))</f>
        <v>3.9506762457730339E-6</v>
      </c>
    </row>
    <row r="540" spans="1:123" ht="15" x14ac:dyDescent="0.25">
      <c r="A540" s="3" t="s">
        <v>249</v>
      </c>
      <c r="B540" s="12">
        <v>43270.090972222228</v>
      </c>
      <c r="C540" s="3"/>
      <c r="D540" s="3">
        <v>40.200000000000003</v>
      </c>
      <c r="E540" s="3"/>
      <c r="F540" s="3"/>
      <c r="G540" s="3"/>
      <c r="H540" s="3"/>
      <c r="I540" s="3"/>
      <c r="J540" s="3"/>
      <c r="K540" s="3">
        <v>39</v>
      </c>
      <c r="L540" s="3"/>
      <c r="M540" s="3"/>
      <c r="N540" s="3">
        <v>138.19999999999999</v>
      </c>
      <c r="O540" s="3"/>
      <c r="P540" s="3"/>
      <c r="Q540" s="3">
        <v>0.33</v>
      </c>
      <c r="R540" s="3">
        <v>0</v>
      </c>
      <c r="S540" s="3">
        <v>0.6</v>
      </c>
      <c r="T540" s="3">
        <v>14</v>
      </c>
      <c r="U540" s="3">
        <v>74.599999999999994</v>
      </c>
      <c r="V540" s="3">
        <v>972.9</v>
      </c>
      <c r="W540" s="3">
        <v>0</v>
      </c>
      <c r="X540" s="3">
        <v>46.5</v>
      </c>
      <c r="Y540" s="3">
        <v>45.1</v>
      </c>
      <c r="Z540" s="3">
        <v>43.9</v>
      </c>
      <c r="AA540" s="3">
        <v>39.5</v>
      </c>
      <c r="AB540" s="3">
        <v>35.1</v>
      </c>
      <c r="AC540" s="3">
        <v>34.6</v>
      </c>
      <c r="AD540" s="3">
        <v>38.1</v>
      </c>
      <c r="AE540" s="3">
        <v>40.1</v>
      </c>
      <c r="AF540" s="3">
        <v>46</v>
      </c>
      <c r="AG540" s="3">
        <v>39.6</v>
      </c>
      <c r="AH540" s="3">
        <v>37.6</v>
      </c>
      <c r="AI540" s="3">
        <v>38.299999999999997</v>
      </c>
      <c r="AJ540" s="3">
        <v>36.6</v>
      </c>
      <c r="AK540" s="3">
        <v>35.200000000000003</v>
      </c>
      <c r="AL540" s="3">
        <v>33.1</v>
      </c>
      <c r="AM540" s="3">
        <v>32.799999999999997</v>
      </c>
      <c r="AN540" s="3">
        <v>30.8</v>
      </c>
      <c r="AO540" s="3">
        <v>27.7</v>
      </c>
      <c r="AP540" s="3">
        <v>25.9</v>
      </c>
      <c r="AQ540" s="3">
        <v>23.3</v>
      </c>
      <c r="AR540" s="3">
        <v>19.7</v>
      </c>
      <c r="AS540" s="3">
        <v>19.3</v>
      </c>
      <c r="AT540" s="3">
        <v>27.1</v>
      </c>
      <c r="AU540" s="3">
        <v>11.5</v>
      </c>
      <c r="AV540" s="3">
        <v>9.6</v>
      </c>
      <c r="AW540" s="3">
        <v>9.5</v>
      </c>
      <c r="AX540" s="3">
        <v>9.3000000000000007</v>
      </c>
      <c r="AY540" s="3">
        <v>9.4</v>
      </c>
      <c r="AZ540" s="3">
        <v>0</v>
      </c>
      <c r="BA540" s="3">
        <v>0</v>
      </c>
      <c r="BB540" s="3">
        <v>0</v>
      </c>
      <c r="BC540" s="3">
        <v>40.212233264280314</v>
      </c>
      <c r="BD540" s="3">
        <v>46.487766735719688</v>
      </c>
      <c r="BE540" s="3">
        <v>45.087766735719697</v>
      </c>
      <c r="BF540" s="3">
        <v>42.647766735719685</v>
      </c>
      <c r="BG540" s="3">
        <v>38.574433402386347</v>
      </c>
      <c r="BH540" s="3">
        <v>34.314433402386356</v>
      </c>
      <c r="BI540" s="3">
        <v>34.227766735719683</v>
      </c>
      <c r="BJ540" s="3">
        <v>38.52110006905302</v>
      </c>
      <c r="BK540" s="3">
        <v>40.394433402386355</v>
      </c>
      <c r="BL540" s="3">
        <v>45.867766735719698</v>
      </c>
      <c r="BM540" s="3">
        <v>39.601100069053018</v>
      </c>
      <c r="BN540" s="3">
        <v>37.88443340238635</v>
      </c>
      <c r="BO540" s="3">
        <v>37.951100069053012</v>
      </c>
      <c r="BP540" s="3">
        <v>35.967766735719692</v>
      </c>
      <c r="BQ540" s="3">
        <v>34.984433402386344</v>
      </c>
      <c r="BR540" s="3">
        <v>33.211100069053032</v>
      </c>
      <c r="BS540" s="3">
        <v>32.714433402386362</v>
      </c>
      <c r="BT540" s="3">
        <v>30.91110006905302</v>
      </c>
      <c r="BU540" s="3">
        <v>27.777766735719695</v>
      </c>
      <c r="BV540" s="3">
        <v>25.694433402386352</v>
      </c>
      <c r="BW540" s="3">
        <v>23.627766735719689</v>
      </c>
      <c r="BX540" s="3">
        <v>19.947766735719696</v>
      </c>
      <c r="BY540" s="3">
        <v>19.367766735719684</v>
      </c>
      <c r="BZ540" s="3">
        <v>27.297766735719691</v>
      </c>
      <c r="CA540" s="3">
        <v>11.797766735719684</v>
      </c>
      <c r="CB540" s="3">
        <v>9.3344334023863524</v>
      </c>
      <c r="CC540" s="3">
        <v>9.4477667357196893</v>
      </c>
      <c r="CD540" s="3">
        <v>8.5544334023863584</v>
      </c>
      <c r="CE540" s="3">
        <v>8.8477667357196879</v>
      </c>
      <c r="CF540" s="3">
        <v>-0.93889993094698099</v>
      </c>
      <c r="CG540" s="3">
        <v>-1.4722332642803124</v>
      </c>
      <c r="CH540" s="3">
        <v>-2.5488999309469804</v>
      </c>
      <c r="CI540" s="13">
        <f>[1]!dbasum(RecData[[#This Row],[20]:[2000]],RecData[[#Headers],[20]:[2000]])</f>
        <v>39.760738938994521</v>
      </c>
      <c r="CJ540" s="14">
        <v>8308</v>
      </c>
      <c r="CK540" s="15" t="s">
        <v>249</v>
      </c>
      <c r="CL540" s="15">
        <f>RecData[[#This Row],[Start Time]]</f>
        <v>43270.090972222228</v>
      </c>
      <c r="CM540" s="16">
        <f>RecData[[#This Row],[Wind Speed avg]]</f>
        <v>0.33</v>
      </c>
      <c r="CN540" s="16">
        <f>RecData[[#This Row],[Wind Dir. avg]]</f>
        <v>138.19999999999999</v>
      </c>
      <c r="CO540" s="16">
        <f>RecData[[#This Row],[Amb. Humidity]]</f>
        <v>74.599999999999994</v>
      </c>
      <c r="CP540" s="16">
        <f>RecData[[#This Row],[Amb. Temperature]]</f>
        <v>14</v>
      </c>
      <c r="CQ540" s="17">
        <f>RecData[[#This Row],[Amb. Rain Gauge]]</f>
        <v>0</v>
      </c>
      <c r="CR540" s="4" t="s">
        <v>1</v>
      </c>
      <c r="CS540" s="4" t="s">
        <v>49</v>
      </c>
      <c r="CT540" s="70">
        <v>1619.77331542968</v>
      </c>
      <c r="CU540" s="70">
        <v>36.352798461913999</v>
      </c>
      <c r="CV540" s="70">
        <v>10.4838743209838</v>
      </c>
      <c r="CW540" s="70">
        <v>15.3252801895141</v>
      </c>
      <c r="CX540" s="4"/>
      <c r="CY540" s="69"/>
      <c r="CZ540" s="2" t="b">
        <f>IF($DP$1="YES",IF(RecData[[#This Row],[Power (kW)]]&gt;=$CR$3, TRUE,FALSE),TRUE)</f>
        <v>1</v>
      </c>
      <c r="DA540" s="16">
        <f>MIN(MOD(180-ABS(ABS($DA$1-RecData[Yaw Angle (°)])-180),360),MOD(180-ABS(ABS($DB$1-RecData[Yaw Angle (°)])-180),360))</f>
        <v>28.822871684226442</v>
      </c>
      <c r="DB540" s="2" t="str">
        <f>IF($DP$2="None","None",IF(RecData[[#This Row],[Relative Wind Direction]]&lt;=45,"DW",IF(RecData[[#This Row],[Relative Wind Direction]]&lt;=135,"CW","UW")))</f>
        <v>DW</v>
      </c>
      <c r="DC540" s="61">
        <v>-1</v>
      </c>
      <c r="DD540" s="61">
        <v>-1</v>
      </c>
      <c r="DE540" s="18" t="b">
        <v>0</v>
      </c>
      <c r="DF540" s="2" t="b">
        <f>IF(OR(RecData[[#This Row],[WSpd_Avg '[m/s']]]-RecData[[#This Row],[Wind Speed min]]&gt;=$DF$3,RecData[[#This Row],[Wind Speed max]]-RecData[[#This Row],[WSpd_Avg '[m/s']]]&gt;=$DF$2),TRUE,FALSE)</f>
        <v>0</v>
      </c>
      <c r="DG540" s="2" t="b">
        <f>RecData[[#This Row],[Temperature '[°C']]]&lt;=-20</f>
        <v>0</v>
      </c>
      <c r="DH540" s="18" t="b">
        <f>NOT(OR(MOD(RecData[[#This Row],[TIMESTAMP]],1)&gt;0.91632,MOD(RecData[[#This Row],[TIMESTAMP]],1)&lt;0.208681))</f>
        <v>0</v>
      </c>
      <c r="DI540" s="18" t="b">
        <f>RecData[[#This Row],[Overall (dBA)]]-RecData[[#This Row],[L90]]&gt;=$DS$4</f>
        <v>0</v>
      </c>
      <c r="DJ540" s="18" t="b">
        <f>RecData[[#This Row],[Overall (dBA)]]&gt;$DS$2</f>
        <v>0</v>
      </c>
      <c r="DK540" s="18" t="b">
        <f>RecData[[#This Row],[Overall (dBA)]]&lt;$DS$3</f>
        <v>0</v>
      </c>
      <c r="DL5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0" s="2">
        <f>IF(AND(RecData[[#This Row],[Turbines ON/OFF]] = "OFF", NOT(OR(RecData[[#This Row],[Junk?]]="YES",RecData[[#This Row],[Gust?]],RecData[[#This Row],[Rain?]:[Min SPL Threshold?]]))),1,0)</f>
        <v>0</v>
      </c>
      <c r="DN540" s="16">
        <f>RecData[[#This Row],[dBA Sum]]</f>
        <v>39.760738938994521</v>
      </c>
      <c r="DO540" s="16">
        <f>RecData[[#This Row],[LAF90.0]]</f>
        <v>39</v>
      </c>
      <c r="DP540" s="55">
        <f>IF(AND(RecData[[#This Row],[Useable TON Data?]],RecData[[#This Row],[Turbines ON/OFF]]="ON"),RecData[[#This Row],[dBA Sum]],"")</f>
        <v>39.760738938994521</v>
      </c>
      <c r="DQ540" s="55" t="str">
        <f>IF(AND(RecData[[#This Row],[Useable Background Data?]],RecData[[#This Row],[Turbines ON/OFF]]="OFF"),RecData[[#This Row],[dBA Sum]],"")</f>
        <v/>
      </c>
      <c r="DR540" s="3">
        <f>IF(OR(RecData[[#This Row],[Useable TON Data?]],RecData[[#This Row],[Useable Background Data?]]),ROUND(RecData[[#This Row],[WSpd_Avg '[m/s']]],0),"")</f>
        <v>0</v>
      </c>
      <c r="DS540" s="85">
        <f>(0.00002)^2*(10^(RecData[[#This Row],[Overall (dBA)]]/10))</f>
        <v>3.7855926978778204E-6</v>
      </c>
    </row>
    <row r="541" spans="1:123" ht="15" x14ac:dyDescent="0.25">
      <c r="A541" s="3" t="s">
        <v>249</v>
      </c>
      <c r="B541" s="12">
        <v>43270.091666666667</v>
      </c>
      <c r="C541" s="3"/>
      <c r="D541" s="3">
        <v>39.700000000000003</v>
      </c>
      <c r="E541" s="3"/>
      <c r="F541" s="3"/>
      <c r="G541" s="3"/>
      <c r="H541" s="3"/>
      <c r="I541" s="3"/>
      <c r="J541" s="3"/>
      <c r="K541" s="3">
        <v>38.5</v>
      </c>
      <c r="L541" s="3"/>
      <c r="M541" s="3"/>
      <c r="N541" s="3">
        <v>203.2</v>
      </c>
      <c r="O541" s="3"/>
      <c r="P541" s="3"/>
      <c r="Q541" s="3">
        <v>0.67</v>
      </c>
      <c r="R541" s="3">
        <v>0.2</v>
      </c>
      <c r="S541" s="3">
        <v>1.1000000000000001</v>
      </c>
      <c r="T541" s="3">
        <v>13.9</v>
      </c>
      <c r="U541" s="3">
        <v>74.8</v>
      </c>
      <c r="V541" s="3">
        <v>972.8</v>
      </c>
      <c r="W541" s="3">
        <v>0</v>
      </c>
      <c r="X541" s="3">
        <v>45.1</v>
      </c>
      <c r="Y541" s="3">
        <v>44.4</v>
      </c>
      <c r="Z541" s="3">
        <v>43.8</v>
      </c>
      <c r="AA541" s="3">
        <v>39.6</v>
      </c>
      <c r="AB541" s="3">
        <v>34.9</v>
      </c>
      <c r="AC541" s="3">
        <v>33.6</v>
      </c>
      <c r="AD541" s="3">
        <v>37.700000000000003</v>
      </c>
      <c r="AE541" s="3">
        <v>39.9</v>
      </c>
      <c r="AF541" s="3">
        <v>45.5</v>
      </c>
      <c r="AG541" s="3">
        <v>39.4</v>
      </c>
      <c r="AH541" s="3">
        <v>37.6</v>
      </c>
      <c r="AI541" s="3">
        <v>38</v>
      </c>
      <c r="AJ541" s="3">
        <v>36.700000000000003</v>
      </c>
      <c r="AK541" s="3">
        <v>34.9</v>
      </c>
      <c r="AL541" s="3">
        <v>32.6</v>
      </c>
      <c r="AM541" s="3">
        <v>32</v>
      </c>
      <c r="AN541" s="3">
        <v>30.1</v>
      </c>
      <c r="AO541" s="3">
        <v>27.1</v>
      </c>
      <c r="AP541" s="3">
        <v>24.9</v>
      </c>
      <c r="AQ541" s="3">
        <v>22.5</v>
      </c>
      <c r="AR541" s="3">
        <v>18.899999999999999</v>
      </c>
      <c r="AS541" s="3">
        <v>16.100000000000001</v>
      </c>
      <c r="AT541" s="3">
        <v>25</v>
      </c>
      <c r="AU541" s="3">
        <v>9.9</v>
      </c>
      <c r="AV541" s="3">
        <v>8.8000000000000007</v>
      </c>
      <c r="AW541" s="3">
        <v>9.1</v>
      </c>
      <c r="AX541" s="3">
        <v>9.1999999999999993</v>
      </c>
      <c r="AY541" s="3">
        <v>9.4</v>
      </c>
      <c r="AZ541" s="3">
        <v>0</v>
      </c>
      <c r="BA541" s="3">
        <v>0</v>
      </c>
      <c r="BB541" s="3">
        <v>0</v>
      </c>
      <c r="BC541" s="3">
        <v>39.654448832225548</v>
      </c>
      <c r="BD541" s="3">
        <v>45.145551167774464</v>
      </c>
      <c r="BE541" s="3">
        <v>44.445551167774447</v>
      </c>
      <c r="BF541" s="3">
        <v>42.605551167774443</v>
      </c>
      <c r="BG541" s="3">
        <v>38.732217834441123</v>
      </c>
      <c r="BH541" s="3">
        <v>34.17221783444112</v>
      </c>
      <c r="BI541" s="3">
        <v>33.28555116777445</v>
      </c>
      <c r="BJ541" s="3">
        <v>38.178884501107795</v>
      </c>
      <c r="BK541" s="3">
        <v>40.252217834441119</v>
      </c>
      <c r="BL541" s="3">
        <v>45.425551167774465</v>
      </c>
      <c r="BM541" s="3">
        <v>39.458884501107796</v>
      </c>
      <c r="BN541" s="3">
        <v>37.942217834441117</v>
      </c>
      <c r="BO541" s="3">
        <v>37.708884501107796</v>
      </c>
      <c r="BP541" s="3">
        <v>36.125551167774454</v>
      </c>
      <c r="BQ541" s="3">
        <v>34.742217834441114</v>
      </c>
      <c r="BR541" s="3">
        <v>32.768884501107799</v>
      </c>
      <c r="BS541" s="3">
        <v>31.972217834441118</v>
      </c>
      <c r="BT541" s="3">
        <v>30.268884501107799</v>
      </c>
      <c r="BU541" s="3">
        <v>27.235551167774467</v>
      </c>
      <c r="BV541" s="3">
        <v>24.752217834441119</v>
      </c>
      <c r="BW541" s="3">
        <v>22.885551167774459</v>
      </c>
      <c r="BX541" s="3">
        <v>19.205551167774459</v>
      </c>
      <c r="BY541" s="3">
        <v>16.225551167774455</v>
      </c>
      <c r="BZ541" s="3">
        <v>25.255551167774463</v>
      </c>
      <c r="CA541" s="3">
        <v>10.255551167774449</v>
      </c>
      <c r="CB541" s="3">
        <v>8.5922178344411222</v>
      </c>
      <c r="CC541" s="3">
        <v>9.1055511677744576</v>
      </c>
      <c r="CD541" s="3">
        <v>8.5122178344411239</v>
      </c>
      <c r="CE541" s="3">
        <v>8.9055511677744548</v>
      </c>
      <c r="CF541" s="3">
        <v>-0.88111549889221408</v>
      </c>
      <c r="CG541" s="3">
        <v>-1.4144488322255455</v>
      </c>
      <c r="CH541" s="3">
        <v>-2.4911154988922135</v>
      </c>
      <c r="CI541" s="13">
        <f>[1]!dbasum(RecData[[#This Row],[20]:[2000]],RecData[[#Headers],[20]:[2000]])</f>
        <v>39.366318059048481</v>
      </c>
      <c r="CJ541" s="14">
        <v>8309</v>
      </c>
      <c r="CK541" s="15" t="s">
        <v>249</v>
      </c>
      <c r="CL541" s="15">
        <f>RecData[[#This Row],[Start Time]]</f>
        <v>43270.091666666667</v>
      </c>
      <c r="CM541" s="16">
        <f>RecData[[#This Row],[Wind Speed avg]]</f>
        <v>0.67</v>
      </c>
      <c r="CN541" s="16">
        <f>RecData[[#This Row],[Wind Dir. avg]]</f>
        <v>203.2</v>
      </c>
      <c r="CO541" s="16">
        <f>RecData[[#This Row],[Amb. Humidity]]</f>
        <v>74.8</v>
      </c>
      <c r="CP541" s="16">
        <f>RecData[[#This Row],[Amb. Temperature]]</f>
        <v>13.9</v>
      </c>
      <c r="CQ541" s="17">
        <f>RecData[[#This Row],[Amb. Rain Gauge]]</f>
        <v>0</v>
      </c>
      <c r="CR541" s="4" t="s">
        <v>1</v>
      </c>
      <c r="CS541" s="4" t="s">
        <v>49</v>
      </c>
      <c r="CT541" s="70">
        <v>1619.77331542968</v>
      </c>
      <c r="CU541" s="70">
        <v>36.352798461913999</v>
      </c>
      <c r="CV541" s="70">
        <v>10.4838743209838</v>
      </c>
      <c r="CW541" s="70">
        <v>15.3252801895141</v>
      </c>
      <c r="CX541" s="4"/>
      <c r="CY541" s="69"/>
      <c r="CZ541" s="2" t="b">
        <f>IF($DP$1="YES",IF(RecData[[#This Row],[Power (kW)]]&gt;=$CR$3, TRUE,FALSE),TRUE)</f>
        <v>1</v>
      </c>
      <c r="DA541" s="16">
        <f>MIN(MOD(180-ABS(ABS($DA$1-RecData[Yaw Angle (°)])-180),360),MOD(180-ABS(ABS($DB$1-RecData[Yaw Angle (°)])-180),360))</f>
        <v>28.822871684226442</v>
      </c>
      <c r="DB541" s="2" t="str">
        <f>IF($DP$2="None","None",IF(RecData[[#This Row],[Relative Wind Direction]]&lt;=45,"DW",IF(RecData[[#This Row],[Relative Wind Direction]]&lt;=135,"CW","UW")))</f>
        <v>DW</v>
      </c>
      <c r="DC541" s="61">
        <f>IF($CL541-$CL540&gt;1/24,#REF!,IF(SUM($CQ540:$CQ541)&gt;$DS$1,$DS$5,DC542-1))</f>
        <v>-9</v>
      </c>
      <c r="DD541" s="61">
        <f>IF($CL542-$CL541&gt;1/24,#REF!,IF(SUM($CQ540:$CQ541)&gt;$DS$1,$DS$6,DD540-1))</f>
        <v>-2</v>
      </c>
      <c r="DE541" s="18" t="b">
        <v>0</v>
      </c>
      <c r="DF541" s="2" t="b">
        <f>IF(OR(RecData[[#This Row],[WSpd_Avg '[m/s']]]-RecData[[#This Row],[Wind Speed min]]&gt;=$DF$3,RecData[[#This Row],[Wind Speed max]]-RecData[[#This Row],[WSpd_Avg '[m/s']]]&gt;=$DF$2),TRUE,FALSE)</f>
        <v>0</v>
      </c>
      <c r="DG541" s="2" t="b">
        <f>RecData[[#This Row],[Temperature '[°C']]]&lt;=-20</f>
        <v>0</v>
      </c>
      <c r="DH541" s="18" t="b">
        <f>NOT(OR(MOD(RecData[[#This Row],[TIMESTAMP]],1)&gt;0.91632,MOD(RecData[[#This Row],[TIMESTAMP]],1)&lt;0.208681))</f>
        <v>0</v>
      </c>
      <c r="DI541" s="18" t="b">
        <f>RecData[[#This Row],[Overall (dBA)]]-RecData[[#This Row],[L90]]&gt;=$DS$4</f>
        <v>0</v>
      </c>
      <c r="DJ541" s="18" t="b">
        <f>RecData[[#This Row],[Overall (dBA)]]&gt;$DS$2</f>
        <v>0</v>
      </c>
      <c r="DK541" s="18" t="b">
        <f>RecData[[#This Row],[Overall (dBA)]]&lt;$DS$3</f>
        <v>0</v>
      </c>
      <c r="DL5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1" s="2">
        <f>IF(AND(RecData[[#This Row],[Turbines ON/OFF]] = "OFF", NOT(OR(RecData[[#This Row],[Junk?]]="YES",RecData[[#This Row],[Gust?]],RecData[[#This Row],[Rain?]:[Min SPL Threshold?]]))),1,0)</f>
        <v>0</v>
      </c>
      <c r="DN541" s="16">
        <f>RecData[[#This Row],[dBA Sum]]</f>
        <v>39.366318059048481</v>
      </c>
      <c r="DO541" s="16">
        <f>RecData[[#This Row],[LAF90.0]]</f>
        <v>38.5</v>
      </c>
      <c r="DP541" s="55">
        <f>IF(AND(RecData[[#This Row],[Useable TON Data?]],RecData[[#This Row],[Turbines ON/OFF]]="ON"),RecData[[#This Row],[dBA Sum]],"")</f>
        <v>39.366318059048481</v>
      </c>
      <c r="DQ541" s="55" t="str">
        <f>IF(AND(RecData[[#This Row],[Useable Background Data?]],RecData[[#This Row],[Turbines ON/OFF]]="OFF"),RecData[[#This Row],[dBA Sum]],"")</f>
        <v/>
      </c>
      <c r="DR541" s="3">
        <f>IF(OR(RecData[[#This Row],[Useable TON Data?]],RecData[[#This Row],[Useable Background Data?]]),ROUND(RecData[[#This Row],[WSpd_Avg '[m/s']]],0),"")</f>
        <v>1</v>
      </c>
      <c r="DS541" s="85">
        <f>(0.00002)^2*(10^(RecData[[#This Row],[Overall (dBA)]]/10))</f>
        <v>3.4569396450644656E-6</v>
      </c>
    </row>
    <row r="542" spans="1:123" ht="15" x14ac:dyDescent="0.25">
      <c r="A542" s="3" t="s">
        <v>249</v>
      </c>
      <c r="B542" s="12">
        <v>43270.092361111114</v>
      </c>
      <c r="C542" s="3"/>
      <c r="D542" s="3">
        <v>40.700000000000003</v>
      </c>
      <c r="E542" s="3"/>
      <c r="F542" s="3"/>
      <c r="G542" s="3"/>
      <c r="H542" s="3"/>
      <c r="I542" s="3"/>
      <c r="J542" s="3"/>
      <c r="K542" s="3">
        <v>39.6</v>
      </c>
      <c r="L542" s="3"/>
      <c r="M542" s="3"/>
      <c r="N542" s="3">
        <v>190.7</v>
      </c>
      <c r="O542" s="3"/>
      <c r="P542" s="3"/>
      <c r="Q542" s="3">
        <v>0.43</v>
      </c>
      <c r="R542" s="3">
        <v>0.2</v>
      </c>
      <c r="S542" s="3">
        <v>0.8</v>
      </c>
      <c r="T542" s="3">
        <v>13.9</v>
      </c>
      <c r="U542" s="3">
        <v>74.8</v>
      </c>
      <c r="V542" s="3">
        <v>972.8</v>
      </c>
      <c r="W542" s="3">
        <v>0</v>
      </c>
      <c r="X542" s="3">
        <v>44.9</v>
      </c>
      <c r="Y542" s="3">
        <v>44</v>
      </c>
      <c r="Z542" s="3">
        <v>43.3</v>
      </c>
      <c r="AA542" s="3">
        <v>39.9</v>
      </c>
      <c r="AB542" s="3">
        <v>34.9</v>
      </c>
      <c r="AC542" s="3">
        <v>33.4</v>
      </c>
      <c r="AD542" s="3">
        <v>37.5</v>
      </c>
      <c r="AE542" s="3">
        <v>40</v>
      </c>
      <c r="AF542" s="3">
        <v>44.7</v>
      </c>
      <c r="AG542" s="3">
        <v>40.1</v>
      </c>
      <c r="AH542" s="3">
        <v>38</v>
      </c>
      <c r="AI542" s="3">
        <v>38.9</v>
      </c>
      <c r="AJ542" s="3">
        <v>37.299999999999997</v>
      </c>
      <c r="AK542" s="3">
        <v>35.9</v>
      </c>
      <c r="AL542" s="3">
        <v>33.799999999999997</v>
      </c>
      <c r="AM542" s="3">
        <v>33.299999999999997</v>
      </c>
      <c r="AN542" s="3">
        <v>31.4</v>
      </c>
      <c r="AO542" s="3">
        <v>28.4</v>
      </c>
      <c r="AP542" s="3">
        <v>25.9</v>
      </c>
      <c r="AQ542" s="3">
        <v>23.8</v>
      </c>
      <c r="AR542" s="3">
        <v>19.8</v>
      </c>
      <c r="AS542" s="3">
        <v>17.899999999999999</v>
      </c>
      <c r="AT542" s="3">
        <v>28.4</v>
      </c>
      <c r="AU542" s="3">
        <v>11.8</v>
      </c>
      <c r="AV542" s="3">
        <v>9.1</v>
      </c>
      <c r="AW542" s="3">
        <v>9.1</v>
      </c>
      <c r="AX542" s="3">
        <v>9.1999999999999993</v>
      </c>
      <c r="AY542" s="3">
        <v>9.4</v>
      </c>
      <c r="AZ542" s="3">
        <v>0</v>
      </c>
      <c r="BA542" s="3">
        <v>0</v>
      </c>
      <c r="BB542" s="3">
        <v>0</v>
      </c>
      <c r="BC542" s="3">
        <v>40.664093410899909</v>
      </c>
      <c r="BD542" s="3">
        <v>44.935906589100085</v>
      </c>
      <c r="BE542" s="3">
        <v>44.035906589100094</v>
      </c>
      <c r="BF542" s="3">
        <v>42.095906589100082</v>
      </c>
      <c r="BG542" s="3">
        <v>39.022573255766758</v>
      </c>
      <c r="BH542" s="3">
        <v>34.162573255766759</v>
      </c>
      <c r="BI542" s="3">
        <v>33.0759065891001</v>
      </c>
      <c r="BJ542" s="3">
        <v>37.969239922433417</v>
      </c>
      <c r="BK542" s="3">
        <v>40.342573255766752</v>
      </c>
      <c r="BL542" s="3">
        <v>44.615906589100092</v>
      </c>
      <c r="BM542" s="3">
        <v>40.149239922433424</v>
      </c>
      <c r="BN542" s="3">
        <v>38.332573255766761</v>
      </c>
      <c r="BO542" s="3">
        <v>38.599239922433426</v>
      </c>
      <c r="BP542" s="3">
        <v>36.715906589100086</v>
      </c>
      <c r="BQ542" s="3">
        <v>35.732573255766752</v>
      </c>
      <c r="BR542" s="3">
        <v>33.959239922433426</v>
      </c>
      <c r="BS542" s="3">
        <v>33.262573255766767</v>
      </c>
      <c r="BT542" s="3">
        <v>31.55923992243342</v>
      </c>
      <c r="BU542" s="3">
        <v>28.525906589100089</v>
      </c>
      <c r="BV542" s="3">
        <v>25.742573255766757</v>
      </c>
      <c r="BW542" s="3">
        <v>24.175906589100094</v>
      </c>
      <c r="BX542" s="3">
        <v>20.095906589100096</v>
      </c>
      <c r="BY542" s="3">
        <v>18.015906589100091</v>
      </c>
      <c r="BZ542" s="3">
        <v>28.645906589100093</v>
      </c>
      <c r="CA542" s="3">
        <v>12.145906589100086</v>
      </c>
      <c r="CB542" s="3">
        <v>8.8825732557667578</v>
      </c>
      <c r="CC542" s="3">
        <v>9.0959065891000961</v>
      </c>
      <c r="CD542" s="3">
        <v>8.5025732557667624</v>
      </c>
      <c r="CE542" s="3">
        <v>8.8959065891000932</v>
      </c>
      <c r="CF542" s="3">
        <v>-0.8907600775665756</v>
      </c>
      <c r="CG542" s="3">
        <v>-1.424093410899907</v>
      </c>
      <c r="CH542" s="3">
        <v>-2.500760077566575</v>
      </c>
      <c r="CI542" s="13">
        <f>[1]!dbasum(RecData[[#This Row],[20]:[2000]],RecData[[#Headers],[20]:[2000]])</f>
        <v>40.21364541999418</v>
      </c>
      <c r="CJ542" s="14">
        <v>8310</v>
      </c>
      <c r="CK542" s="15" t="s">
        <v>249</v>
      </c>
      <c r="CL542" s="15">
        <f>RecData[[#This Row],[Start Time]]</f>
        <v>43270.092361111114</v>
      </c>
      <c r="CM542" s="16">
        <f>RecData[[#This Row],[Wind Speed avg]]</f>
        <v>0.43</v>
      </c>
      <c r="CN542" s="16">
        <f>RecData[[#This Row],[Wind Dir. avg]]</f>
        <v>190.7</v>
      </c>
      <c r="CO542" s="16">
        <f>RecData[[#This Row],[Amb. Humidity]]</f>
        <v>74.8</v>
      </c>
      <c r="CP542" s="16">
        <f>RecData[[#This Row],[Amb. Temperature]]</f>
        <v>13.9</v>
      </c>
      <c r="CQ542" s="17">
        <f>RecData[[#This Row],[Amb. Rain Gauge]]</f>
        <v>0</v>
      </c>
      <c r="CR542" s="4" t="s">
        <v>1</v>
      </c>
      <c r="CS542" s="4" t="s">
        <v>49</v>
      </c>
      <c r="CT542" s="70">
        <v>1619.77331542968</v>
      </c>
      <c r="CU542" s="70">
        <v>36.352798461913999</v>
      </c>
      <c r="CV542" s="70">
        <v>10.4838743209838</v>
      </c>
      <c r="CW542" s="70">
        <v>15.3252801895141</v>
      </c>
      <c r="CX542" s="4"/>
      <c r="CY542" s="69"/>
      <c r="CZ542" s="2" t="b">
        <f>IF($DP$1="YES",IF(RecData[[#This Row],[Power (kW)]]&gt;=$CR$3, TRUE,FALSE),TRUE)</f>
        <v>1</v>
      </c>
      <c r="DA542" s="16">
        <f>MIN(MOD(180-ABS(ABS($DA$1-RecData[Yaw Angle (°)])-180),360),MOD(180-ABS(ABS($DB$1-RecData[Yaw Angle (°)])-180),360))</f>
        <v>28.822871684226442</v>
      </c>
      <c r="DB542" s="2" t="str">
        <f>IF($DP$2="None","None",IF(RecData[[#This Row],[Relative Wind Direction]]&lt;=45,"DW",IF(RecData[[#This Row],[Relative Wind Direction]]&lt;=135,"CW","UW")))</f>
        <v>DW</v>
      </c>
      <c r="DC542" s="61">
        <f>IF($CL542-$CL540&gt;1/24,#REF!,IF(SUM($CQ540:$CQ542)&gt;$DS$1,$DS$5,DC543-1))</f>
        <v>-8</v>
      </c>
      <c r="DD542" s="61">
        <f>IF($CL543-$CL542&gt;1/24,#REF!,IF(SUM($CQ540:$CQ542)&gt;$DS$1,$DS$6,DD541-1))</f>
        <v>-3</v>
      </c>
      <c r="DE542" s="18" t="b">
        <v>0</v>
      </c>
      <c r="DF542" s="2" t="b">
        <f>IF(OR(RecData[[#This Row],[WSpd_Avg '[m/s']]]-RecData[[#This Row],[Wind Speed min]]&gt;=$DF$3,RecData[[#This Row],[Wind Speed max]]-RecData[[#This Row],[WSpd_Avg '[m/s']]]&gt;=$DF$2),TRUE,FALSE)</f>
        <v>0</v>
      </c>
      <c r="DG542" s="2" t="b">
        <f>RecData[[#This Row],[Temperature '[°C']]]&lt;=-20</f>
        <v>0</v>
      </c>
      <c r="DH542" s="18" t="b">
        <f>NOT(OR(MOD(RecData[[#This Row],[TIMESTAMP]],1)&gt;0.91632,MOD(RecData[[#This Row],[TIMESTAMP]],1)&lt;0.208681))</f>
        <v>0</v>
      </c>
      <c r="DI542" s="18" t="b">
        <f>RecData[[#This Row],[Overall (dBA)]]-RecData[[#This Row],[L90]]&gt;=$DS$4</f>
        <v>0</v>
      </c>
      <c r="DJ542" s="18" t="b">
        <f>RecData[[#This Row],[Overall (dBA)]]&gt;$DS$2</f>
        <v>0</v>
      </c>
      <c r="DK542" s="18" t="b">
        <f>RecData[[#This Row],[Overall (dBA)]]&lt;$DS$3</f>
        <v>0</v>
      </c>
      <c r="DL5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2" s="2">
        <f>IF(AND(RecData[[#This Row],[Turbines ON/OFF]] = "OFF", NOT(OR(RecData[[#This Row],[Junk?]]="YES",RecData[[#This Row],[Gust?]],RecData[[#This Row],[Rain?]:[Min SPL Threshold?]]))),1,0)</f>
        <v>0</v>
      </c>
      <c r="DN542" s="16">
        <f>RecData[[#This Row],[dBA Sum]]</f>
        <v>40.21364541999418</v>
      </c>
      <c r="DO542" s="16">
        <f>RecData[[#This Row],[LAF90.0]]</f>
        <v>39.6</v>
      </c>
      <c r="DP542" s="55">
        <f>IF(AND(RecData[[#This Row],[Useable TON Data?]],RecData[[#This Row],[Turbines ON/OFF]]="ON"),RecData[[#This Row],[dBA Sum]],"")</f>
        <v>40.21364541999418</v>
      </c>
      <c r="DQ542" s="55" t="str">
        <f>IF(AND(RecData[[#This Row],[Useable Background Data?]],RecData[[#This Row],[Turbines ON/OFF]]="OFF"),RecData[[#This Row],[dBA Sum]],"")</f>
        <v/>
      </c>
      <c r="DR542" s="3">
        <f>IF(OR(RecData[[#This Row],[Useable TON Data?]],RecData[[#This Row],[Useable Background Data?]]),ROUND(RecData[[#This Row],[WSpd_Avg '[m/s']]],0),"")</f>
        <v>0</v>
      </c>
      <c r="DS542" s="85">
        <f>(0.00002)^2*(10^(RecData[[#This Row],[Overall (dBA)]]/10))</f>
        <v>4.2016950913513552E-6</v>
      </c>
    </row>
    <row r="543" spans="1:123" ht="15" x14ac:dyDescent="0.25">
      <c r="A543" s="3" t="s">
        <v>249</v>
      </c>
      <c r="B543" s="12">
        <v>43270.093055555561</v>
      </c>
      <c r="C543" s="3"/>
      <c r="D543" s="3">
        <v>39.6</v>
      </c>
      <c r="E543" s="3"/>
      <c r="F543" s="3"/>
      <c r="G543" s="3"/>
      <c r="H543" s="3"/>
      <c r="I543" s="3"/>
      <c r="J543" s="3"/>
      <c r="K543" s="3">
        <v>38.4</v>
      </c>
      <c r="L543" s="3"/>
      <c r="M543" s="3"/>
      <c r="N543" s="3">
        <v>183.8</v>
      </c>
      <c r="O543" s="3"/>
      <c r="P543" s="3"/>
      <c r="Q543" s="3">
        <v>0.5</v>
      </c>
      <c r="R543" s="3">
        <v>0.2</v>
      </c>
      <c r="S543" s="3">
        <v>0.9</v>
      </c>
      <c r="T543" s="3">
        <v>13.9</v>
      </c>
      <c r="U543" s="3">
        <v>74.3</v>
      </c>
      <c r="V543" s="3">
        <v>972.8</v>
      </c>
      <c r="W543" s="3">
        <v>0</v>
      </c>
      <c r="X543" s="3">
        <v>45</v>
      </c>
      <c r="Y543" s="3">
        <v>43.8</v>
      </c>
      <c r="Z543" s="3">
        <v>43.4</v>
      </c>
      <c r="AA543" s="3">
        <v>39.299999999999997</v>
      </c>
      <c r="AB543" s="3">
        <v>34.6</v>
      </c>
      <c r="AC543" s="3">
        <v>32.9</v>
      </c>
      <c r="AD543" s="3">
        <v>37.4</v>
      </c>
      <c r="AE543" s="3">
        <v>39.5</v>
      </c>
      <c r="AF543" s="3">
        <v>44</v>
      </c>
      <c r="AG543" s="3">
        <v>38.200000000000003</v>
      </c>
      <c r="AH543" s="3">
        <v>37.299999999999997</v>
      </c>
      <c r="AI543" s="3">
        <v>37.299999999999997</v>
      </c>
      <c r="AJ543" s="3">
        <v>36.1</v>
      </c>
      <c r="AK543" s="3">
        <v>34.6</v>
      </c>
      <c r="AL543" s="3">
        <v>32.6</v>
      </c>
      <c r="AM543" s="3">
        <v>32.6</v>
      </c>
      <c r="AN543" s="3">
        <v>30.7</v>
      </c>
      <c r="AO543" s="3">
        <v>27.9</v>
      </c>
      <c r="AP543" s="3">
        <v>25.5</v>
      </c>
      <c r="AQ543" s="3">
        <v>23.1</v>
      </c>
      <c r="AR543" s="3">
        <v>19.5</v>
      </c>
      <c r="AS543" s="3">
        <v>16.899999999999999</v>
      </c>
      <c r="AT543" s="3">
        <v>25.9</v>
      </c>
      <c r="AU543" s="3">
        <v>10.199999999999999</v>
      </c>
      <c r="AV543" s="3">
        <v>9.3000000000000007</v>
      </c>
      <c r="AW543" s="3">
        <v>9.4</v>
      </c>
      <c r="AX543" s="3">
        <v>9.8000000000000007</v>
      </c>
      <c r="AY543" s="3">
        <v>11.3</v>
      </c>
      <c r="AZ543" s="3">
        <v>0</v>
      </c>
      <c r="BA543" s="3">
        <v>0</v>
      </c>
      <c r="BB543" s="3">
        <v>0</v>
      </c>
      <c r="BC543" s="3">
        <v>39.594613526136484</v>
      </c>
      <c r="BD543" s="3">
        <v>45.00538647386351</v>
      </c>
      <c r="BE543" s="3">
        <v>43.805386473863521</v>
      </c>
      <c r="BF543" s="3">
        <v>42.165386473863506</v>
      </c>
      <c r="BG543" s="3">
        <v>38.39205314053018</v>
      </c>
      <c r="BH543" s="3">
        <v>33.832053140530192</v>
      </c>
      <c r="BI543" s="3">
        <v>32.545386473863516</v>
      </c>
      <c r="BJ543" s="3">
        <v>37.838719807196853</v>
      </c>
      <c r="BK543" s="3">
        <v>39.812053140530182</v>
      </c>
      <c r="BL543" s="3">
        <v>43.88538647386352</v>
      </c>
      <c r="BM543" s="3">
        <v>38.218719807196848</v>
      </c>
      <c r="BN543" s="3">
        <v>37.602053140530174</v>
      </c>
      <c r="BO543" s="3">
        <v>36.968719807196848</v>
      </c>
      <c r="BP543" s="3">
        <v>35.485386473863528</v>
      </c>
      <c r="BQ543" s="3">
        <v>34.402053140530185</v>
      </c>
      <c r="BR543" s="3">
        <v>32.728719807196853</v>
      </c>
      <c r="BS543" s="3">
        <v>32.532053140530181</v>
      </c>
      <c r="BT543" s="3">
        <v>30.828719807196848</v>
      </c>
      <c r="BU543" s="3">
        <v>27.995386473863519</v>
      </c>
      <c r="BV543" s="3">
        <v>25.312053140530182</v>
      </c>
      <c r="BW543" s="3">
        <v>23.445386473863522</v>
      </c>
      <c r="BX543" s="3">
        <v>19.765386473863522</v>
      </c>
      <c r="BY543" s="3">
        <v>16.985386473863514</v>
      </c>
      <c r="BZ543" s="3">
        <v>26.115386473863524</v>
      </c>
      <c r="CA543" s="3">
        <v>10.515386473863508</v>
      </c>
      <c r="CB543" s="3">
        <v>9.0520531405301838</v>
      </c>
      <c r="CC543" s="3">
        <v>9.3653864738635164</v>
      </c>
      <c r="CD543" s="3">
        <v>9.072053140530187</v>
      </c>
      <c r="CE543" s="3">
        <v>10.765386473863515</v>
      </c>
      <c r="CF543" s="3">
        <v>-0.92128019280315243</v>
      </c>
      <c r="CG543" s="3">
        <v>-1.4546135261364839</v>
      </c>
      <c r="CH543" s="3">
        <v>-2.5312801928031519</v>
      </c>
      <c r="CI543" s="13">
        <f>[1]!dbasum(RecData[[#This Row],[20]:[2000]],RecData[[#Headers],[20]:[2000]])</f>
        <v>39.222661765624338</v>
      </c>
      <c r="CJ543" s="14">
        <v>8311</v>
      </c>
      <c r="CK543" s="15" t="s">
        <v>249</v>
      </c>
      <c r="CL543" s="15">
        <f>RecData[[#This Row],[Start Time]]</f>
        <v>43270.093055555561</v>
      </c>
      <c r="CM543" s="16">
        <f>RecData[[#This Row],[Wind Speed avg]]</f>
        <v>0.5</v>
      </c>
      <c r="CN543" s="16">
        <f>RecData[[#This Row],[Wind Dir. avg]]</f>
        <v>183.8</v>
      </c>
      <c r="CO543" s="16">
        <f>RecData[[#This Row],[Amb. Humidity]]</f>
        <v>74.3</v>
      </c>
      <c r="CP543" s="16">
        <f>RecData[[#This Row],[Amb. Temperature]]</f>
        <v>13.9</v>
      </c>
      <c r="CQ543" s="17">
        <f>RecData[[#This Row],[Amb. Rain Gauge]]</f>
        <v>0</v>
      </c>
      <c r="CR543" s="4" t="s">
        <v>1</v>
      </c>
      <c r="CS543" s="4" t="s">
        <v>49</v>
      </c>
      <c r="CT543" s="70">
        <v>1619.77331542968</v>
      </c>
      <c r="CU543" s="70">
        <v>36.352798461913999</v>
      </c>
      <c r="CV543" s="70">
        <v>10.4838743209838</v>
      </c>
      <c r="CW543" s="70">
        <v>15.3252801895141</v>
      </c>
      <c r="CX543" s="4"/>
      <c r="CY543" s="69"/>
      <c r="CZ543" s="2" t="b">
        <f>IF($DP$1="YES",IF(RecData[[#This Row],[Power (kW)]]&gt;=$CR$3, TRUE,FALSE),TRUE)</f>
        <v>1</v>
      </c>
      <c r="DA543" s="16">
        <f>MIN(MOD(180-ABS(ABS($DA$1-RecData[Yaw Angle (°)])-180),360),MOD(180-ABS(ABS($DB$1-RecData[Yaw Angle (°)])-180),360))</f>
        <v>28.822871684226442</v>
      </c>
      <c r="DB543" s="2" t="str">
        <f>IF($DP$2="None","None",IF(RecData[[#This Row],[Relative Wind Direction]]&lt;=45,"DW",IF(RecData[[#This Row],[Relative Wind Direction]]&lt;=135,"CW","UW")))</f>
        <v>DW</v>
      </c>
      <c r="DC543" s="61">
        <f>IF($CL543-$CL540&gt;1/24,#REF!,IF(SUM($CQ540:$CQ543)&gt;$DS$1,$DS$5,DC544-1))</f>
        <v>-7</v>
      </c>
      <c r="DD543" s="61">
        <f>IF($CL544-$CL543&gt;1/24,#REF!,IF(SUM($CQ540:$CQ543)&gt;$DS$1,$DS$6,DD542-1))</f>
        <v>-4</v>
      </c>
      <c r="DE543" s="18" t="b">
        <v>0</v>
      </c>
      <c r="DF543" s="2" t="b">
        <f>IF(OR(RecData[[#This Row],[WSpd_Avg '[m/s']]]-RecData[[#This Row],[Wind Speed min]]&gt;=$DF$3,RecData[[#This Row],[Wind Speed max]]-RecData[[#This Row],[WSpd_Avg '[m/s']]]&gt;=$DF$2),TRUE,FALSE)</f>
        <v>0</v>
      </c>
      <c r="DG543" s="2" t="b">
        <f>RecData[[#This Row],[Temperature '[°C']]]&lt;=-20</f>
        <v>0</v>
      </c>
      <c r="DH543" s="18" t="b">
        <f>NOT(OR(MOD(RecData[[#This Row],[TIMESTAMP]],1)&gt;0.91632,MOD(RecData[[#This Row],[TIMESTAMP]],1)&lt;0.208681))</f>
        <v>0</v>
      </c>
      <c r="DI543" s="18" t="b">
        <f>RecData[[#This Row],[Overall (dBA)]]-RecData[[#This Row],[L90]]&gt;=$DS$4</f>
        <v>0</v>
      </c>
      <c r="DJ543" s="18" t="b">
        <f>RecData[[#This Row],[Overall (dBA)]]&gt;$DS$2</f>
        <v>0</v>
      </c>
      <c r="DK543" s="18" t="b">
        <f>RecData[[#This Row],[Overall (dBA)]]&lt;$DS$3</f>
        <v>0</v>
      </c>
      <c r="DL5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3" s="2">
        <f>IF(AND(RecData[[#This Row],[Turbines ON/OFF]] = "OFF", NOT(OR(RecData[[#This Row],[Junk?]]="YES",RecData[[#This Row],[Gust?]],RecData[[#This Row],[Rain?]:[Min SPL Threshold?]]))),1,0)</f>
        <v>0</v>
      </c>
      <c r="DN543" s="16">
        <f>RecData[[#This Row],[dBA Sum]]</f>
        <v>39.222661765624338</v>
      </c>
      <c r="DO543" s="16">
        <f>RecData[[#This Row],[LAF90.0]]</f>
        <v>38.4</v>
      </c>
      <c r="DP543" s="55">
        <f>IF(AND(RecData[[#This Row],[Useable TON Data?]],RecData[[#This Row],[Turbines ON/OFF]]="ON"),RecData[[#This Row],[dBA Sum]],"")</f>
        <v>39.222661765624338</v>
      </c>
      <c r="DQ543" s="55" t="str">
        <f>IF(AND(RecData[[#This Row],[Useable Background Data?]],RecData[[#This Row],[Turbines ON/OFF]]="OFF"),RecData[[#This Row],[dBA Sum]],"")</f>
        <v/>
      </c>
      <c r="DR543" s="3">
        <f>IF(OR(RecData[[#This Row],[Useable TON Data?]],RecData[[#This Row],[Useable Background Data?]]),ROUND(RecData[[#This Row],[WSpd_Avg '[m/s']]],0),"")</f>
        <v>1</v>
      </c>
      <c r="DS543" s="85">
        <f>(0.00002)^2*(10^(RecData[[#This Row],[Overall (dBA)]]/10))</f>
        <v>3.344461245746484E-6</v>
      </c>
    </row>
    <row r="544" spans="1:123" ht="15" x14ac:dyDescent="0.25">
      <c r="A544" s="3" t="s">
        <v>249</v>
      </c>
      <c r="B544" s="12">
        <v>43270.09375</v>
      </c>
      <c r="C544" s="3"/>
      <c r="D544" s="3">
        <v>39</v>
      </c>
      <c r="E544" s="3"/>
      <c r="F544" s="3"/>
      <c r="G544" s="3"/>
      <c r="H544" s="3"/>
      <c r="I544" s="3"/>
      <c r="J544" s="3"/>
      <c r="K544" s="3">
        <v>37.4</v>
      </c>
      <c r="L544" s="3"/>
      <c r="M544" s="3"/>
      <c r="N544" s="3">
        <v>193.4</v>
      </c>
      <c r="O544" s="3"/>
      <c r="P544" s="3"/>
      <c r="Q544" s="3">
        <v>0.63</v>
      </c>
      <c r="R544" s="3">
        <v>0.4</v>
      </c>
      <c r="S544" s="3">
        <v>0.9</v>
      </c>
      <c r="T544" s="3">
        <v>13.8</v>
      </c>
      <c r="U544" s="3">
        <v>74.599999999999994</v>
      </c>
      <c r="V544" s="3">
        <v>972.8</v>
      </c>
      <c r="W544" s="3">
        <v>0</v>
      </c>
      <c r="X544" s="3">
        <v>43.5</v>
      </c>
      <c r="Y544" s="3">
        <v>43.4</v>
      </c>
      <c r="Z544" s="3">
        <v>42.9</v>
      </c>
      <c r="AA544" s="3">
        <v>38.6</v>
      </c>
      <c r="AB544" s="3">
        <v>33.4</v>
      </c>
      <c r="AC544" s="3">
        <v>32.200000000000003</v>
      </c>
      <c r="AD544" s="3">
        <v>36</v>
      </c>
      <c r="AE544" s="3">
        <v>38.5</v>
      </c>
      <c r="AF544" s="3">
        <v>43.7</v>
      </c>
      <c r="AG544" s="3">
        <v>38</v>
      </c>
      <c r="AH544" s="3">
        <v>36.1</v>
      </c>
      <c r="AI544" s="3">
        <v>36.799999999999997</v>
      </c>
      <c r="AJ544" s="3">
        <v>35.5</v>
      </c>
      <c r="AK544" s="3">
        <v>34.200000000000003</v>
      </c>
      <c r="AL544" s="3">
        <v>32.299999999999997</v>
      </c>
      <c r="AM544" s="3">
        <v>31.9</v>
      </c>
      <c r="AN544" s="3">
        <v>29.9</v>
      </c>
      <c r="AO544" s="3">
        <v>26.8</v>
      </c>
      <c r="AP544" s="3">
        <v>24.6</v>
      </c>
      <c r="AQ544" s="3">
        <v>22.3</v>
      </c>
      <c r="AR544" s="3">
        <v>18.8</v>
      </c>
      <c r="AS544" s="3">
        <v>15.5</v>
      </c>
      <c r="AT544" s="3">
        <v>25.7</v>
      </c>
      <c r="AU544" s="3">
        <v>9.3000000000000007</v>
      </c>
      <c r="AV544" s="3">
        <v>8.9</v>
      </c>
      <c r="AW544" s="3">
        <v>9.3000000000000007</v>
      </c>
      <c r="AX544" s="3">
        <v>9.3000000000000007</v>
      </c>
      <c r="AY544" s="3">
        <v>9.6</v>
      </c>
      <c r="AZ544" s="3">
        <v>0</v>
      </c>
      <c r="BA544" s="3">
        <v>0</v>
      </c>
      <c r="BB544" s="3">
        <v>0</v>
      </c>
      <c r="BC544" s="3">
        <v>38.986688103741429</v>
      </c>
      <c r="BD544" s="3">
        <v>43.513311896258571</v>
      </c>
      <c r="BE544" s="3">
        <v>43.413311896258577</v>
      </c>
      <c r="BF544" s="3">
        <v>41.673311896258568</v>
      </c>
      <c r="BG544" s="3">
        <v>37.699978562925239</v>
      </c>
      <c r="BH544" s="3">
        <v>32.639978562925236</v>
      </c>
      <c r="BI544" s="3">
        <v>31.853311896258575</v>
      </c>
      <c r="BJ544" s="3">
        <v>36.446645229591908</v>
      </c>
      <c r="BK544" s="3">
        <v>38.819978562925243</v>
      </c>
      <c r="BL544" s="3">
        <v>43.593311896258584</v>
      </c>
      <c r="BM544" s="3">
        <v>38.026645229591907</v>
      </c>
      <c r="BN544" s="3">
        <v>36.409978562925247</v>
      </c>
      <c r="BO544" s="3">
        <v>36.476645229591909</v>
      </c>
      <c r="BP544" s="3">
        <v>34.893311896258567</v>
      </c>
      <c r="BQ544" s="3">
        <v>34.009978562925241</v>
      </c>
      <c r="BR544" s="3">
        <v>32.436645229591903</v>
      </c>
      <c r="BS544" s="3">
        <v>31.839978562925239</v>
      </c>
      <c r="BT544" s="3">
        <v>30.036645229591912</v>
      </c>
      <c r="BU544" s="3">
        <v>26.903311896258572</v>
      </c>
      <c r="BV544" s="3">
        <v>24.419978562925237</v>
      </c>
      <c r="BW544" s="3">
        <v>22.653311896258572</v>
      </c>
      <c r="BX544" s="3">
        <v>19.073311896258573</v>
      </c>
      <c r="BY544" s="3">
        <v>15.59331189625857</v>
      </c>
      <c r="BZ544" s="3">
        <v>25.923311896258568</v>
      </c>
      <c r="CA544" s="3">
        <v>9.6233118962585635</v>
      </c>
      <c r="CB544" s="3">
        <v>8.6599785629252324</v>
      </c>
      <c r="CC544" s="3">
        <v>9.2733118962585692</v>
      </c>
      <c r="CD544" s="3">
        <v>8.5799785629252412</v>
      </c>
      <c r="CE544" s="3">
        <v>9.0733118962585735</v>
      </c>
      <c r="CF544" s="3">
        <v>-0.9133547704080982</v>
      </c>
      <c r="CG544" s="3">
        <v>-1.4466881037414296</v>
      </c>
      <c r="CH544" s="3">
        <v>-2.5233547704080976</v>
      </c>
      <c r="CI544" s="13">
        <f>[1]!dbasum(RecData[[#This Row],[20]:[2000]],RecData[[#Headers],[20]:[2000]])</f>
        <v>38.597105806514449</v>
      </c>
      <c r="CJ544" s="14">
        <v>8312</v>
      </c>
      <c r="CK544" s="15" t="s">
        <v>249</v>
      </c>
      <c r="CL544" s="15">
        <f>RecData[[#This Row],[Start Time]]</f>
        <v>43270.09375</v>
      </c>
      <c r="CM544" s="16">
        <f>RecData[[#This Row],[Wind Speed avg]]</f>
        <v>0.63</v>
      </c>
      <c r="CN544" s="16">
        <f>RecData[[#This Row],[Wind Dir. avg]]</f>
        <v>193.4</v>
      </c>
      <c r="CO544" s="16">
        <f>RecData[[#This Row],[Amb. Humidity]]</f>
        <v>74.599999999999994</v>
      </c>
      <c r="CP544" s="16">
        <f>RecData[[#This Row],[Amb. Temperature]]</f>
        <v>13.8</v>
      </c>
      <c r="CQ544" s="17">
        <f>RecData[[#This Row],[Amb. Rain Gauge]]</f>
        <v>0</v>
      </c>
      <c r="CR544" s="4" t="s">
        <v>1</v>
      </c>
      <c r="CS544" s="4" t="s">
        <v>49</v>
      </c>
      <c r="CT544" s="70">
        <v>1619.77331542968</v>
      </c>
      <c r="CU544" s="70">
        <v>36.352798461913999</v>
      </c>
      <c r="CV544" s="70">
        <v>10.4838743209838</v>
      </c>
      <c r="CW544" s="70">
        <v>15.3252801895141</v>
      </c>
      <c r="CX544" s="4"/>
      <c r="CY544" s="69"/>
      <c r="CZ544" s="2" t="b">
        <f>IF($DP$1="YES",IF(RecData[[#This Row],[Power (kW)]]&gt;=$CR$3, TRUE,FALSE),TRUE)</f>
        <v>1</v>
      </c>
      <c r="DA544" s="16">
        <f>MIN(MOD(180-ABS(ABS($DA$1-RecData[Yaw Angle (°)])-180),360),MOD(180-ABS(ABS($DB$1-RecData[Yaw Angle (°)])-180),360))</f>
        <v>28.822871684226442</v>
      </c>
      <c r="DB544" s="2" t="str">
        <f>IF($DP$2="None","None",IF(RecData[[#This Row],[Relative Wind Direction]]&lt;=45,"DW",IF(RecData[[#This Row],[Relative Wind Direction]]&lt;=135,"CW","UW")))</f>
        <v>DW</v>
      </c>
      <c r="DC544" s="61">
        <f>IF($CL544-$CL540&gt;1/24,#REF!,IF(SUM($CQ540:$CQ544)&gt;$DS$1,$DS$5,DC545-1))</f>
        <v>-6</v>
      </c>
      <c r="DD544" s="61">
        <f>IF($CL545-$CL544&gt;1/24,#REF!,IF(SUM($CQ540:$CQ544)&gt;$DS$1,$DS$6,DD543-1))</f>
        <v>-5</v>
      </c>
      <c r="DE544" s="18" t="b">
        <v>0</v>
      </c>
      <c r="DF544" s="2" t="b">
        <f>IF(OR(RecData[[#This Row],[WSpd_Avg '[m/s']]]-RecData[[#This Row],[Wind Speed min]]&gt;=$DF$3,RecData[[#This Row],[Wind Speed max]]-RecData[[#This Row],[WSpd_Avg '[m/s']]]&gt;=$DF$2),TRUE,FALSE)</f>
        <v>0</v>
      </c>
      <c r="DG544" s="2" t="b">
        <f>RecData[[#This Row],[Temperature '[°C']]]&lt;=-20</f>
        <v>0</v>
      </c>
      <c r="DH544" s="18" t="b">
        <f>NOT(OR(MOD(RecData[[#This Row],[TIMESTAMP]],1)&gt;0.91632,MOD(RecData[[#This Row],[TIMESTAMP]],1)&lt;0.208681))</f>
        <v>0</v>
      </c>
      <c r="DI544" s="18" t="b">
        <f>RecData[[#This Row],[Overall (dBA)]]-RecData[[#This Row],[L90]]&gt;=$DS$4</f>
        <v>0</v>
      </c>
      <c r="DJ544" s="18" t="b">
        <f>RecData[[#This Row],[Overall (dBA)]]&gt;$DS$2</f>
        <v>0</v>
      </c>
      <c r="DK544" s="18" t="b">
        <f>RecData[[#This Row],[Overall (dBA)]]&lt;$DS$3</f>
        <v>0</v>
      </c>
      <c r="DL5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4" s="2">
        <f>IF(AND(RecData[[#This Row],[Turbines ON/OFF]] = "OFF", NOT(OR(RecData[[#This Row],[Junk?]]="YES",RecData[[#This Row],[Gust?]],RecData[[#This Row],[Rain?]:[Min SPL Threshold?]]))),1,0)</f>
        <v>0</v>
      </c>
      <c r="DN544" s="16">
        <f>RecData[[#This Row],[dBA Sum]]</f>
        <v>38.597105806514449</v>
      </c>
      <c r="DO544" s="16">
        <f>RecData[[#This Row],[LAF90.0]]</f>
        <v>37.4</v>
      </c>
      <c r="DP544" s="55">
        <f>IF(AND(RecData[[#This Row],[Useable TON Data?]],RecData[[#This Row],[Turbines ON/OFF]]="ON"),RecData[[#This Row],[dBA Sum]],"")</f>
        <v>38.597105806514449</v>
      </c>
      <c r="DQ544" s="55" t="str">
        <f>IF(AND(RecData[[#This Row],[Useable Background Data?]],RecData[[#This Row],[Turbines ON/OFF]]="OFF"),RecData[[#This Row],[dBA Sum]],"")</f>
        <v/>
      </c>
      <c r="DR544" s="3">
        <f>IF(OR(RecData[[#This Row],[Useable TON Data?]],RecData[[#This Row],[Useable Background Data?]]),ROUND(RecData[[#This Row],[WSpd_Avg '[m/s']]],0),"")</f>
        <v>1</v>
      </c>
      <c r="DS544" s="85">
        <f>(0.00002)^2*(10^(RecData[[#This Row],[Overall (dBA)]]/10))</f>
        <v>2.895813390377924E-6</v>
      </c>
    </row>
    <row r="545" spans="1:123" ht="15" x14ac:dyDescent="0.25">
      <c r="A545" s="3" t="s">
        <v>249</v>
      </c>
      <c r="B545" s="12">
        <v>43270.094444444447</v>
      </c>
      <c r="C545" s="3"/>
      <c r="D545" s="3">
        <v>40.299999999999997</v>
      </c>
      <c r="E545" s="3"/>
      <c r="F545" s="3"/>
      <c r="G545" s="3"/>
      <c r="H545" s="3"/>
      <c r="I545" s="3"/>
      <c r="J545" s="3"/>
      <c r="K545" s="3">
        <v>39.200000000000003</v>
      </c>
      <c r="L545" s="3"/>
      <c r="M545" s="3"/>
      <c r="N545" s="3">
        <v>174.6</v>
      </c>
      <c r="O545" s="3"/>
      <c r="P545" s="3"/>
      <c r="Q545" s="3">
        <v>0.25</v>
      </c>
      <c r="R545" s="3">
        <v>0</v>
      </c>
      <c r="S545" s="3">
        <v>0.7</v>
      </c>
      <c r="T545" s="3">
        <v>13.8</v>
      </c>
      <c r="U545" s="3">
        <v>74.5</v>
      </c>
      <c r="V545" s="3">
        <v>972.8</v>
      </c>
      <c r="W545" s="3">
        <v>0</v>
      </c>
      <c r="X545" s="3">
        <v>45.1</v>
      </c>
      <c r="Y545" s="3">
        <v>44</v>
      </c>
      <c r="Z545" s="3">
        <v>43</v>
      </c>
      <c r="AA545" s="3">
        <v>39.799999999999997</v>
      </c>
      <c r="AB545" s="3">
        <v>35</v>
      </c>
      <c r="AC545" s="3">
        <v>33.700000000000003</v>
      </c>
      <c r="AD545" s="3">
        <v>37</v>
      </c>
      <c r="AE545" s="3">
        <v>39.1</v>
      </c>
      <c r="AF545" s="3">
        <v>45.1</v>
      </c>
      <c r="AG545" s="3">
        <v>39.799999999999997</v>
      </c>
      <c r="AH545" s="3">
        <v>36.799999999999997</v>
      </c>
      <c r="AI545" s="3">
        <v>38.299999999999997</v>
      </c>
      <c r="AJ545" s="3">
        <v>36.5</v>
      </c>
      <c r="AK545" s="3">
        <v>35.299999999999997</v>
      </c>
      <c r="AL545" s="3">
        <v>33.4</v>
      </c>
      <c r="AM545" s="3">
        <v>33.299999999999997</v>
      </c>
      <c r="AN545" s="3">
        <v>31.1</v>
      </c>
      <c r="AO545" s="3">
        <v>28.4</v>
      </c>
      <c r="AP545" s="3">
        <v>25.9</v>
      </c>
      <c r="AQ545" s="3">
        <v>23.5</v>
      </c>
      <c r="AR545" s="3">
        <v>19.8</v>
      </c>
      <c r="AS545" s="3">
        <v>17.399999999999999</v>
      </c>
      <c r="AT545" s="3">
        <v>27.6</v>
      </c>
      <c r="AU545" s="3">
        <v>11.5</v>
      </c>
      <c r="AV545" s="3">
        <v>8.9</v>
      </c>
      <c r="AW545" s="3">
        <v>9</v>
      </c>
      <c r="AX545" s="3">
        <v>9.1999999999999993</v>
      </c>
      <c r="AY545" s="3">
        <v>9.4</v>
      </c>
      <c r="AZ545" s="3">
        <v>0</v>
      </c>
      <c r="BA545" s="3">
        <v>0</v>
      </c>
      <c r="BB545" s="3">
        <v>0</v>
      </c>
      <c r="BC545" s="3">
        <v>40.284884268361047</v>
      </c>
      <c r="BD545" s="3">
        <v>45.115115731638959</v>
      </c>
      <c r="BE545" s="3">
        <v>44.01511573163895</v>
      </c>
      <c r="BF545" s="3">
        <v>41.775115731638955</v>
      </c>
      <c r="BG545" s="3">
        <v>38.90178239830562</v>
      </c>
      <c r="BH545" s="3">
        <v>34.241782398305624</v>
      </c>
      <c r="BI545" s="3">
        <v>33.355115731638953</v>
      </c>
      <c r="BJ545" s="3">
        <v>37.448449064972273</v>
      </c>
      <c r="BK545" s="3">
        <v>39.421782398305616</v>
      </c>
      <c r="BL545" s="3">
        <v>44.995115731638954</v>
      </c>
      <c r="BM545" s="3">
        <v>39.828449064972283</v>
      </c>
      <c r="BN545" s="3">
        <v>37.111782398305614</v>
      </c>
      <c r="BO545" s="3">
        <v>37.978449064972274</v>
      </c>
      <c r="BP545" s="3">
        <v>35.89511573163896</v>
      </c>
      <c r="BQ545" s="3">
        <v>35.1117823983056</v>
      </c>
      <c r="BR545" s="3">
        <v>33.538449064972276</v>
      </c>
      <c r="BS545" s="3">
        <v>33.241782398305624</v>
      </c>
      <c r="BT545" s="3">
        <v>31.238449064972293</v>
      </c>
      <c r="BU545" s="3">
        <v>28.505115731638945</v>
      </c>
      <c r="BV545" s="3">
        <v>25.721782398305614</v>
      </c>
      <c r="BW545" s="3">
        <v>23.855115731638953</v>
      </c>
      <c r="BX545" s="3">
        <v>20.075115731638952</v>
      </c>
      <c r="BY545" s="3">
        <v>17.495115731638947</v>
      </c>
      <c r="BZ545" s="3">
        <v>27.825115731638952</v>
      </c>
      <c r="CA545" s="3">
        <v>11.825115731638945</v>
      </c>
      <c r="CB545" s="3">
        <v>8.6617823983056113</v>
      </c>
      <c r="CC545" s="3">
        <v>8.9751157316389509</v>
      </c>
      <c r="CD545" s="3">
        <v>8.4817823983056186</v>
      </c>
      <c r="CE545" s="3">
        <v>8.8751157316389495</v>
      </c>
      <c r="CF545" s="3">
        <v>-0.91155093502771933</v>
      </c>
      <c r="CG545" s="3">
        <v>-1.4448842683610508</v>
      </c>
      <c r="CH545" s="3">
        <v>-2.5215509350277188</v>
      </c>
      <c r="CI545" s="13">
        <f>[1]!dbasum(RecData[[#This Row],[20]:[2000]],RecData[[#Headers],[20]:[2000]])</f>
        <v>39.85222301156432</v>
      </c>
      <c r="CJ545" s="14">
        <v>8313</v>
      </c>
      <c r="CK545" s="15" t="s">
        <v>249</v>
      </c>
      <c r="CL545" s="15">
        <f>RecData[[#This Row],[Start Time]]</f>
        <v>43270.094444444447</v>
      </c>
      <c r="CM545" s="16">
        <f>RecData[[#This Row],[Wind Speed avg]]</f>
        <v>0.25</v>
      </c>
      <c r="CN545" s="16">
        <f>RecData[[#This Row],[Wind Dir. avg]]</f>
        <v>174.6</v>
      </c>
      <c r="CO545" s="16">
        <f>RecData[[#This Row],[Amb. Humidity]]</f>
        <v>74.5</v>
      </c>
      <c r="CP545" s="16">
        <f>RecData[[#This Row],[Amb. Temperature]]</f>
        <v>13.8</v>
      </c>
      <c r="CQ545" s="17">
        <f>RecData[[#This Row],[Amb. Rain Gauge]]</f>
        <v>0</v>
      </c>
      <c r="CR545" s="4" t="s">
        <v>1</v>
      </c>
      <c r="CS545" s="4" t="s">
        <v>49</v>
      </c>
      <c r="CT545" s="70">
        <v>1619.77331542968</v>
      </c>
      <c r="CU545" s="70">
        <v>36.352798461913999</v>
      </c>
      <c r="CV545" s="70">
        <v>10.4838743209838</v>
      </c>
      <c r="CW545" s="70">
        <v>15.3252801895141</v>
      </c>
      <c r="CX545" s="4"/>
      <c r="CY545" s="69"/>
      <c r="CZ545" s="2" t="b">
        <f>IF($DP$1="YES",IF(RecData[[#This Row],[Power (kW)]]&gt;=$CR$3, TRUE,FALSE),TRUE)</f>
        <v>1</v>
      </c>
      <c r="DA545" s="16">
        <f>MIN(MOD(180-ABS(ABS($DA$1-RecData[Yaw Angle (°)])-180),360),MOD(180-ABS(ABS($DB$1-RecData[Yaw Angle (°)])-180),360))</f>
        <v>28.822871684226442</v>
      </c>
      <c r="DB545" s="2" t="str">
        <f>IF($DP$2="None","None",IF(RecData[[#This Row],[Relative Wind Direction]]&lt;=45,"DW",IF(RecData[[#This Row],[Relative Wind Direction]]&lt;=135,"CW","UW")))</f>
        <v>DW</v>
      </c>
      <c r="DC545" s="61">
        <f>IF($CL545-$CL541&gt;1/24,#REF!,IF(SUM($CQ541:$CQ545)&gt;$DS$1,$DS$5,DC546-1))</f>
        <v>-5</v>
      </c>
      <c r="DD545" s="61">
        <f>IF($CL546-$CL545&gt;1/24,#REF!,IF(SUM($CQ541:$CQ545)&gt;$DS$1,$DS$6,DD544-1))</f>
        <v>-6</v>
      </c>
      <c r="DE545" s="18" t="b">
        <v>0</v>
      </c>
      <c r="DF545" s="2" t="b">
        <f>IF(OR(RecData[[#This Row],[WSpd_Avg '[m/s']]]-RecData[[#This Row],[Wind Speed min]]&gt;=$DF$3,RecData[[#This Row],[Wind Speed max]]-RecData[[#This Row],[WSpd_Avg '[m/s']]]&gt;=$DF$2),TRUE,FALSE)</f>
        <v>0</v>
      </c>
      <c r="DG545" s="2" t="b">
        <f>RecData[[#This Row],[Temperature '[°C']]]&lt;=-20</f>
        <v>0</v>
      </c>
      <c r="DH545" s="18" t="b">
        <f>NOT(OR(MOD(RecData[[#This Row],[TIMESTAMP]],1)&gt;0.91632,MOD(RecData[[#This Row],[TIMESTAMP]],1)&lt;0.208681))</f>
        <v>0</v>
      </c>
      <c r="DI545" s="18" t="b">
        <f>RecData[[#This Row],[Overall (dBA)]]-RecData[[#This Row],[L90]]&gt;=$DS$4</f>
        <v>0</v>
      </c>
      <c r="DJ545" s="18" t="b">
        <f>RecData[[#This Row],[Overall (dBA)]]&gt;$DS$2</f>
        <v>0</v>
      </c>
      <c r="DK545" s="18" t="b">
        <f>RecData[[#This Row],[Overall (dBA)]]&lt;$DS$3</f>
        <v>0</v>
      </c>
      <c r="DL5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5" s="2">
        <f>IF(AND(RecData[[#This Row],[Turbines ON/OFF]] = "OFF", NOT(OR(RecData[[#This Row],[Junk?]]="YES",RecData[[#This Row],[Gust?]],RecData[[#This Row],[Rain?]:[Min SPL Threshold?]]))),1,0)</f>
        <v>0</v>
      </c>
      <c r="DN545" s="16">
        <f>RecData[[#This Row],[dBA Sum]]</f>
        <v>39.85222301156432</v>
      </c>
      <c r="DO545" s="16">
        <f>RecData[[#This Row],[LAF90.0]]</f>
        <v>39.200000000000003</v>
      </c>
      <c r="DP545" s="55">
        <f>IF(AND(RecData[[#This Row],[Useable TON Data?]],RecData[[#This Row],[Turbines ON/OFF]]="ON"),RecData[[#This Row],[dBA Sum]],"")</f>
        <v>39.85222301156432</v>
      </c>
      <c r="DQ545" s="55" t="str">
        <f>IF(AND(RecData[[#This Row],[Useable Background Data?]],RecData[[#This Row],[Turbines ON/OFF]]="OFF"),RecData[[#This Row],[dBA Sum]],"")</f>
        <v/>
      </c>
      <c r="DR545" s="3">
        <f>IF(OR(RecData[[#This Row],[Useable TON Data?]],RecData[[#This Row],[Useable Background Data?]]),ROUND(RecData[[#This Row],[WSpd_Avg '[m/s']]],0),"")</f>
        <v>0</v>
      </c>
      <c r="DS545" s="85">
        <f>(0.00002)^2*(10^(RecData[[#This Row],[Overall (dBA)]]/10))</f>
        <v>3.8661819818043257E-6</v>
      </c>
    </row>
    <row r="546" spans="1:123" ht="15" x14ac:dyDescent="0.25">
      <c r="A546" s="3" t="s">
        <v>249</v>
      </c>
      <c r="B546" s="12">
        <v>43270.095138888893</v>
      </c>
      <c r="C546" s="3"/>
      <c r="D546" s="3">
        <v>39.1</v>
      </c>
      <c r="E546" s="3"/>
      <c r="F546" s="3"/>
      <c r="G546" s="3"/>
      <c r="H546" s="3"/>
      <c r="I546" s="3"/>
      <c r="J546" s="3"/>
      <c r="K546" s="3">
        <v>37.9</v>
      </c>
      <c r="L546" s="3"/>
      <c r="M546" s="3"/>
      <c r="N546" s="3">
        <v>191.8</v>
      </c>
      <c r="O546" s="3"/>
      <c r="P546" s="3"/>
      <c r="Q546" s="3">
        <v>0.45</v>
      </c>
      <c r="R546" s="3">
        <v>0.3</v>
      </c>
      <c r="S546" s="3">
        <v>0.7</v>
      </c>
      <c r="T546" s="3">
        <v>13.8</v>
      </c>
      <c r="U546" s="3">
        <v>74.599999999999994</v>
      </c>
      <c r="V546" s="3">
        <v>972.8</v>
      </c>
      <c r="W546" s="3">
        <v>0</v>
      </c>
      <c r="X546" s="3">
        <v>45</v>
      </c>
      <c r="Y546" s="3">
        <v>43.7</v>
      </c>
      <c r="Z546" s="3">
        <v>42.6</v>
      </c>
      <c r="AA546" s="3">
        <v>39.299999999999997</v>
      </c>
      <c r="AB546" s="3">
        <v>33.4</v>
      </c>
      <c r="AC546" s="3">
        <v>32.200000000000003</v>
      </c>
      <c r="AD546" s="3">
        <v>36.6</v>
      </c>
      <c r="AE546" s="3">
        <v>38.6</v>
      </c>
      <c r="AF546" s="3">
        <v>43.7</v>
      </c>
      <c r="AG546" s="3">
        <v>37.799999999999997</v>
      </c>
      <c r="AH546" s="3">
        <v>36.200000000000003</v>
      </c>
      <c r="AI546" s="3">
        <v>36.200000000000003</v>
      </c>
      <c r="AJ546" s="3">
        <v>35.299999999999997</v>
      </c>
      <c r="AK546" s="3">
        <v>33.799999999999997</v>
      </c>
      <c r="AL546" s="3">
        <v>32.200000000000003</v>
      </c>
      <c r="AM546" s="3">
        <v>32.299999999999997</v>
      </c>
      <c r="AN546" s="3">
        <v>30.5</v>
      </c>
      <c r="AO546" s="3">
        <v>27.6</v>
      </c>
      <c r="AP546" s="3">
        <v>25.5</v>
      </c>
      <c r="AQ546" s="3">
        <v>23</v>
      </c>
      <c r="AR546" s="3">
        <v>19.5</v>
      </c>
      <c r="AS546" s="3">
        <v>15.7</v>
      </c>
      <c r="AT546" s="3">
        <v>26.1</v>
      </c>
      <c r="AU546" s="3">
        <v>10.8</v>
      </c>
      <c r="AV546" s="3">
        <v>8.9</v>
      </c>
      <c r="AW546" s="3">
        <v>9.1</v>
      </c>
      <c r="AX546" s="3">
        <v>9.1999999999999993</v>
      </c>
      <c r="AY546" s="3">
        <v>9.4</v>
      </c>
      <c r="AZ546" s="3">
        <v>0</v>
      </c>
      <c r="BA546" s="3">
        <v>0</v>
      </c>
      <c r="BB546" s="3">
        <v>0</v>
      </c>
      <c r="BC546" s="3">
        <v>39.13951062098478</v>
      </c>
      <c r="BD546" s="3">
        <v>44.960489379015215</v>
      </c>
      <c r="BE546" s="3">
        <v>43.660489379015232</v>
      </c>
      <c r="BF546" s="3">
        <v>41.320489379015228</v>
      </c>
      <c r="BG546" s="3">
        <v>38.347156045681885</v>
      </c>
      <c r="BH546" s="3">
        <v>32.58715604568188</v>
      </c>
      <c r="BI546" s="3">
        <v>31.800489379015218</v>
      </c>
      <c r="BJ546" s="3">
        <v>36.993822712348546</v>
      </c>
      <c r="BK546" s="3">
        <v>38.867156045681881</v>
      </c>
      <c r="BL546" s="3">
        <v>43.540489379015227</v>
      </c>
      <c r="BM546" s="3">
        <v>37.773822712348547</v>
      </c>
      <c r="BN546" s="3">
        <v>36.457156045681884</v>
      </c>
      <c r="BO546" s="3">
        <v>35.823822712348559</v>
      </c>
      <c r="BP546" s="3">
        <v>34.640489379015222</v>
      </c>
      <c r="BQ546" s="3">
        <v>33.557156045681879</v>
      </c>
      <c r="BR546" s="3">
        <v>32.283822712348567</v>
      </c>
      <c r="BS546" s="3">
        <v>32.187156045681888</v>
      </c>
      <c r="BT546" s="3">
        <v>30.58382271234855</v>
      </c>
      <c r="BU546" s="3">
        <v>27.650489379015227</v>
      </c>
      <c r="BV546" s="3">
        <v>25.267156045681887</v>
      </c>
      <c r="BW546" s="3">
        <v>23.300489379015225</v>
      </c>
      <c r="BX546" s="3">
        <v>19.720489379015227</v>
      </c>
      <c r="BY546" s="3">
        <v>15.740489379015216</v>
      </c>
      <c r="BZ546" s="3">
        <v>26.270489379015231</v>
      </c>
      <c r="CA546" s="3">
        <v>11.070489379015214</v>
      </c>
      <c r="CB546" s="3">
        <v>8.6071560456818901</v>
      </c>
      <c r="CC546" s="3">
        <v>9.020489379015217</v>
      </c>
      <c r="CD546" s="3">
        <v>8.4271560456818904</v>
      </c>
      <c r="CE546" s="3">
        <v>8.8204893790152212</v>
      </c>
      <c r="CF546" s="3">
        <v>-0.96617728765144761</v>
      </c>
      <c r="CG546" s="3">
        <v>-1.4995106209847791</v>
      </c>
      <c r="CH546" s="3">
        <v>-2.576177287651447</v>
      </c>
      <c r="CI546" s="13">
        <f>[1]!dbasum(RecData[[#This Row],[20]:[2000]],RecData[[#Headers],[20]:[2000]])</f>
        <v>38.692187307754807</v>
      </c>
      <c r="CJ546" s="14">
        <v>8314</v>
      </c>
      <c r="CK546" s="15" t="s">
        <v>249</v>
      </c>
      <c r="CL546" s="15">
        <f>RecData[[#This Row],[Start Time]]</f>
        <v>43270.095138888893</v>
      </c>
      <c r="CM546" s="16">
        <f>RecData[[#This Row],[Wind Speed avg]]</f>
        <v>0.45</v>
      </c>
      <c r="CN546" s="16">
        <f>RecData[[#This Row],[Wind Dir. avg]]</f>
        <v>191.8</v>
      </c>
      <c r="CO546" s="16">
        <f>RecData[[#This Row],[Amb. Humidity]]</f>
        <v>74.599999999999994</v>
      </c>
      <c r="CP546" s="16">
        <f>RecData[[#This Row],[Amb. Temperature]]</f>
        <v>13.8</v>
      </c>
      <c r="CQ546" s="17">
        <f>RecData[[#This Row],[Amb. Rain Gauge]]</f>
        <v>0</v>
      </c>
      <c r="CR546" s="4" t="s">
        <v>1</v>
      </c>
      <c r="CS546" s="4" t="s">
        <v>49</v>
      </c>
      <c r="CT546" s="70">
        <v>1619.77331542968</v>
      </c>
      <c r="CU546" s="70">
        <v>36.352798461913999</v>
      </c>
      <c r="CV546" s="70">
        <v>10.4838743209838</v>
      </c>
      <c r="CW546" s="70">
        <v>15.3252801895141</v>
      </c>
      <c r="CX546" s="4"/>
      <c r="CY546" s="69"/>
      <c r="CZ546" s="2" t="b">
        <f>IF($DP$1="YES",IF(RecData[[#This Row],[Power (kW)]]&gt;=$CR$3, TRUE,FALSE),TRUE)</f>
        <v>1</v>
      </c>
      <c r="DA546" s="16">
        <f>MIN(MOD(180-ABS(ABS($DA$1-RecData[Yaw Angle (°)])-180),360),MOD(180-ABS(ABS($DB$1-RecData[Yaw Angle (°)])-180),360))</f>
        <v>28.822871684226442</v>
      </c>
      <c r="DB546" s="2" t="str">
        <f>IF($DP$2="None","None",IF(RecData[[#This Row],[Relative Wind Direction]]&lt;=45,"DW",IF(RecData[[#This Row],[Relative Wind Direction]]&lt;=135,"CW","UW")))</f>
        <v>DW</v>
      </c>
      <c r="DC546" s="61">
        <f>IF($CL546-$CL542&gt;1/24,#REF!,IF(SUM($CQ542:$CQ546)&gt;$DS$1,$DS$5,DC547-1))</f>
        <v>-4</v>
      </c>
      <c r="DD546" s="61">
        <f>IF($CL547-$CL546&gt;1/24,#REF!,IF(SUM($CQ542:$CQ546)&gt;$DS$1,$DS$6,DD545-1))</f>
        <v>-7</v>
      </c>
      <c r="DE546" s="18" t="b">
        <v>0</v>
      </c>
      <c r="DF546" s="2" t="b">
        <f>IF(OR(RecData[[#This Row],[WSpd_Avg '[m/s']]]-RecData[[#This Row],[Wind Speed min]]&gt;=$DF$3,RecData[[#This Row],[Wind Speed max]]-RecData[[#This Row],[WSpd_Avg '[m/s']]]&gt;=$DF$2),TRUE,FALSE)</f>
        <v>0</v>
      </c>
      <c r="DG546" s="2" t="b">
        <f>RecData[[#This Row],[Temperature '[°C']]]&lt;=-20</f>
        <v>0</v>
      </c>
      <c r="DH546" s="18" t="b">
        <f>NOT(OR(MOD(RecData[[#This Row],[TIMESTAMP]],1)&gt;0.91632,MOD(RecData[[#This Row],[TIMESTAMP]],1)&lt;0.208681))</f>
        <v>0</v>
      </c>
      <c r="DI546" s="18" t="b">
        <f>RecData[[#This Row],[Overall (dBA)]]-RecData[[#This Row],[L90]]&gt;=$DS$4</f>
        <v>0</v>
      </c>
      <c r="DJ546" s="18" t="b">
        <f>RecData[[#This Row],[Overall (dBA)]]&gt;$DS$2</f>
        <v>0</v>
      </c>
      <c r="DK546" s="18" t="b">
        <f>RecData[[#This Row],[Overall (dBA)]]&lt;$DS$3</f>
        <v>0</v>
      </c>
      <c r="DL5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6" s="2">
        <f>IF(AND(RecData[[#This Row],[Turbines ON/OFF]] = "OFF", NOT(OR(RecData[[#This Row],[Junk?]]="YES",RecData[[#This Row],[Gust?]],RecData[[#This Row],[Rain?]:[Min SPL Threshold?]]))),1,0)</f>
        <v>0</v>
      </c>
      <c r="DN546" s="16">
        <f>RecData[[#This Row],[dBA Sum]]</f>
        <v>38.692187307754807</v>
      </c>
      <c r="DO546" s="16">
        <f>RecData[[#This Row],[LAF90.0]]</f>
        <v>37.9</v>
      </c>
      <c r="DP546" s="55">
        <f>IF(AND(RecData[[#This Row],[Useable TON Data?]],RecData[[#This Row],[Turbines ON/OFF]]="ON"),RecData[[#This Row],[dBA Sum]],"")</f>
        <v>38.692187307754807</v>
      </c>
      <c r="DQ546" s="55" t="str">
        <f>IF(AND(RecData[[#This Row],[Useable Background Data?]],RecData[[#This Row],[Turbines ON/OFF]]="OFF"),RecData[[#This Row],[dBA Sum]],"")</f>
        <v/>
      </c>
      <c r="DR546" s="3">
        <f>IF(OR(RecData[[#This Row],[Useable TON Data?]],RecData[[#This Row],[Useable Background Data?]]),ROUND(RecData[[#This Row],[WSpd_Avg '[m/s']]],0),"")</f>
        <v>0</v>
      </c>
      <c r="DS546" s="85">
        <f>(0.00002)^2*(10^(RecData[[#This Row],[Overall (dBA)]]/10))</f>
        <v>2.9599114731249685E-6</v>
      </c>
    </row>
    <row r="547" spans="1:123" ht="15" x14ac:dyDescent="0.25">
      <c r="A547" s="3" t="s">
        <v>249</v>
      </c>
      <c r="B547" s="12">
        <v>43270.095833333333</v>
      </c>
      <c r="C547" s="3"/>
      <c r="D547" s="3">
        <v>39.700000000000003</v>
      </c>
      <c r="E547" s="3"/>
      <c r="F547" s="3"/>
      <c r="G547" s="3"/>
      <c r="H547" s="3"/>
      <c r="I547" s="3"/>
      <c r="J547" s="3"/>
      <c r="K547" s="3">
        <v>38.5</v>
      </c>
      <c r="L547" s="3"/>
      <c r="M547" s="3"/>
      <c r="N547" s="3">
        <v>99.2</v>
      </c>
      <c r="O547" s="3"/>
      <c r="P547" s="3"/>
      <c r="Q547" s="3">
        <v>0.39</v>
      </c>
      <c r="R547" s="3">
        <v>0.2</v>
      </c>
      <c r="S547" s="3">
        <v>0.8</v>
      </c>
      <c r="T547" s="3">
        <v>13.8</v>
      </c>
      <c r="U547" s="3">
        <v>74.599999999999994</v>
      </c>
      <c r="V547" s="3">
        <v>972.8</v>
      </c>
      <c r="W547" s="3">
        <v>0</v>
      </c>
      <c r="X547" s="3">
        <v>45.1</v>
      </c>
      <c r="Y547" s="3">
        <v>43.3</v>
      </c>
      <c r="Z547" s="3">
        <v>42.7</v>
      </c>
      <c r="AA547" s="3">
        <v>38.9</v>
      </c>
      <c r="AB547" s="3">
        <v>33.799999999999997</v>
      </c>
      <c r="AC547" s="3">
        <v>33</v>
      </c>
      <c r="AD547" s="3">
        <v>37.700000000000003</v>
      </c>
      <c r="AE547" s="3">
        <v>39.1</v>
      </c>
      <c r="AF547" s="3">
        <v>44.4</v>
      </c>
      <c r="AG547" s="3">
        <v>38.4</v>
      </c>
      <c r="AH547" s="3">
        <v>37.200000000000003</v>
      </c>
      <c r="AI547" s="3">
        <v>36.700000000000003</v>
      </c>
      <c r="AJ547" s="3">
        <v>35.9</v>
      </c>
      <c r="AK547" s="3">
        <v>34.4</v>
      </c>
      <c r="AL547" s="3">
        <v>32.799999999999997</v>
      </c>
      <c r="AM547" s="3">
        <v>32.799999999999997</v>
      </c>
      <c r="AN547" s="3">
        <v>30.9</v>
      </c>
      <c r="AO547" s="3">
        <v>28.1</v>
      </c>
      <c r="AP547" s="3">
        <v>25.9</v>
      </c>
      <c r="AQ547" s="3">
        <v>23.4</v>
      </c>
      <c r="AR547" s="3">
        <v>19.8</v>
      </c>
      <c r="AS547" s="3">
        <v>16.2</v>
      </c>
      <c r="AT547" s="3">
        <v>27.2</v>
      </c>
      <c r="AU547" s="3">
        <v>11.3</v>
      </c>
      <c r="AV547" s="3">
        <v>8.9</v>
      </c>
      <c r="AW547" s="3">
        <v>9.1</v>
      </c>
      <c r="AX547" s="3">
        <v>9.1999999999999993</v>
      </c>
      <c r="AY547" s="3">
        <v>9.4</v>
      </c>
      <c r="AZ547" s="3">
        <v>0</v>
      </c>
      <c r="BA547" s="3">
        <v>0</v>
      </c>
      <c r="BB547" s="3">
        <v>0</v>
      </c>
      <c r="BC547" s="3">
        <v>39.727141440475847</v>
      </c>
      <c r="BD547" s="3">
        <v>45.072858559524164</v>
      </c>
      <c r="BE547" s="3">
        <v>43.272858559524153</v>
      </c>
      <c r="BF547" s="3">
        <v>41.432858559524149</v>
      </c>
      <c r="BG547" s="3">
        <v>37.95952522619082</v>
      </c>
      <c r="BH547" s="3">
        <v>32.999525226190812</v>
      </c>
      <c r="BI547" s="3">
        <v>32.612858559524156</v>
      </c>
      <c r="BJ547" s="3">
        <v>38.106191892857495</v>
      </c>
      <c r="BK547" s="3">
        <v>39.379525226190822</v>
      </c>
      <c r="BL547" s="3">
        <v>44.252858559524157</v>
      </c>
      <c r="BM547" s="3">
        <v>38.386191892857497</v>
      </c>
      <c r="BN547" s="3">
        <v>37.469525226190825</v>
      </c>
      <c r="BO547" s="3">
        <v>36.336191892857485</v>
      </c>
      <c r="BP547" s="3">
        <v>35.252858559524157</v>
      </c>
      <c r="BQ547" s="3">
        <v>34.169525226190814</v>
      </c>
      <c r="BR547" s="3">
        <v>32.896191892857487</v>
      </c>
      <c r="BS547" s="3">
        <v>32.699525226190829</v>
      </c>
      <c r="BT547" s="3">
        <v>30.996191892857482</v>
      </c>
      <c r="BU547" s="3">
        <v>28.162858559524167</v>
      </c>
      <c r="BV547" s="3">
        <v>25.679525226190819</v>
      </c>
      <c r="BW547" s="3">
        <v>23.712858559524157</v>
      </c>
      <c r="BX547" s="3">
        <v>20.032858559524158</v>
      </c>
      <c r="BY547" s="3">
        <v>16.252858559524157</v>
      </c>
      <c r="BZ547" s="3">
        <v>27.382858559524166</v>
      </c>
      <c r="CA547" s="3">
        <v>11.582858559524148</v>
      </c>
      <c r="CB547" s="3">
        <v>8.6195252261908166</v>
      </c>
      <c r="CC547" s="3">
        <v>9.0328585595241577</v>
      </c>
      <c r="CD547" s="3">
        <v>8.439525226190824</v>
      </c>
      <c r="CE547" s="3">
        <v>8.8328585595241549</v>
      </c>
      <c r="CF547" s="3">
        <v>-0.95380810714251396</v>
      </c>
      <c r="CG547" s="3">
        <v>-1.4871414404758454</v>
      </c>
      <c r="CH547" s="3">
        <v>-2.5638081071425134</v>
      </c>
      <c r="CI547" s="13">
        <f>[1]!dbasum(RecData[[#This Row],[20]:[2000]],RecData[[#Headers],[20]:[2000]])</f>
        <v>39.256539472078252</v>
      </c>
      <c r="CJ547" s="14">
        <v>8315</v>
      </c>
      <c r="CK547" s="15" t="s">
        <v>249</v>
      </c>
      <c r="CL547" s="15">
        <f>RecData[[#This Row],[Start Time]]</f>
        <v>43270.095833333333</v>
      </c>
      <c r="CM547" s="16">
        <f>RecData[[#This Row],[Wind Speed avg]]</f>
        <v>0.39</v>
      </c>
      <c r="CN547" s="16">
        <f>RecData[[#This Row],[Wind Dir. avg]]</f>
        <v>99.2</v>
      </c>
      <c r="CO547" s="16">
        <f>RecData[[#This Row],[Amb. Humidity]]</f>
        <v>74.599999999999994</v>
      </c>
      <c r="CP547" s="16">
        <f>RecData[[#This Row],[Amb. Temperature]]</f>
        <v>13.8</v>
      </c>
      <c r="CQ547" s="17">
        <f>RecData[[#This Row],[Amb. Rain Gauge]]</f>
        <v>0</v>
      </c>
      <c r="CR547" s="4" t="s">
        <v>1</v>
      </c>
      <c r="CS547" s="4" t="s">
        <v>49</v>
      </c>
      <c r="CT547" s="70">
        <v>1619.77331542968</v>
      </c>
      <c r="CU547" s="70">
        <v>36.352798461913999</v>
      </c>
      <c r="CV547" s="70">
        <v>10.4838743209838</v>
      </c>
      <c r="CW547" s="70">
        <v>15.3252801895141</v>
      </c>
      <c r="CX547" s="4"/>
      <c r="CY547" s="69"/>
      <c r="CZ547" s="2" t="b">
        <f>IF($DP$1="YES",IF(RecData[[#This Row],[Power (kW)]]&gt;=$CR$3, TRUE,FALSE),TRUE)</f>
        <v>1</v>
      </c>
      <c r="DA547" s="16">
        <f>MIN(MOD(180-ABS(ABS($DA$1-RecData[Yaw Angle (°)])-180),360),MOD(180-ABS(ABS($DB$1-RecData[Yaw Angle (°)])-180),360))</f>
        <v>28.822871684226442</v>
      </c>
      <c r="DB547" s="2" t="str">
        <f>IF($DP$2="None","None",IF(RecData[[#This Row],[Relative Wind Direction]]&lt;=45,"DW",IF(RecData[[#This Row],[Relative Wind Direction]]&lt;=135,"CW","UW")))</f>
        <v>DW</v>
      </c>
      <c r="DC547" s="61">
        <f>IF($CL547-$CL543&gt;1/24,#REF!,IF(SUM($CQ543:$CQ547)&gt;$DS$1,$DS$5,DC548-1))</f>
        <v>-3</v>
      </c>
      <c r="DD547" s="61">
        <f>IF($CL548-$CL547&gt;1/24,#REF!,IF(SUM($CQ543:$CQ547)&gt;$DS$1,$DS$6,DD546-1))</f>
        <v>-8</v>
      </c>
      <c r="DE547" s="18" t="b">
        <v>0</v>
      </c>
      <c r="DF547" s="2" t="b">
        <f>IF(OR(RecData[[#This Row],[WSpd_Avg '[m/s']]]-RecData[[#This Row],[Wind Speed min]]&gt;=$DF$3,RecData[[#This Row],[Wind Speed max]]-RecData[[#This Row],[WSpd_Avg '[m/s']]]&gt;=$DF$2),TRUE,FALSE)</f>
        <v>0</v>
      </c>
      <c r="DG547" s="2" t="b">
        <f>RecData[[#This Row],[Temperature '[°C']]]&lt;=-20</f>
        <v>0</v>
      </c>
      <c r="DH547" s="18" t="b">
        <f>NOT(OR(MOD(RecData[[#This Row],[TIMESTAMP]],1)&gt;0.91632,MOD(RecData[[#This Row],[TIMESTAMP]],1)&lt;0.208681))</f>
        <v>0</v>
      </c>
      <c r="DI547" s="18" t="b">
        <f>RecData[[#This Row],[Overall (dBA)]]-RecData[[#This Row],[L90]]&gt;=$DS$4</f>
        <v>0</v>
      </c>
      <c r="DJ547" s="18" t="b">
        <f>RecData[[#This Row],[Overall (dBA)]]&gt;$DS$2</f>
        <v>0</v>
      </c>
      <c r="DK547" s="18" t="b">
        <f>RecData[[#This Row],[Overall (dBA)]]&lt;$DS$3</f>
        <v>0</v>
      </c>
      <c r="DL5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7" s="2">
        <f>IF(AND(RecData[[#This Row],[Turbines ON/OFF]] = "OFF", NOT(OR(RecData[[#This Row],[Junk?]]="YES",RecData[[#This Row],[Gust?]],RecData[[#This Row],[Rain?]:[Min SPL Threshold?]]))),1,0)</f>
        <v>0</v>
      </c>
      <c r="DN547" s="16">
        <f>RecData[[#This Row],[dBA Sum]]</f>
        <v>39.256539472078252</v>
      </c>
      <c r="DO547" s="16">
        <f>RecData[[#This Row],[LAF90.0]]</f>
        <v>38.5</v>
      </c>
      <c r="DP547" s="55">
        <f>IF(AND(RecData[[#This Row],[Useable TON Data?]],RecData[[#This Row],[Turbines ON/OFF]]="ON"),RecData[[#This Row],[dBA Sum]],"")</f>
        <v>39.256539472078252</v>
      </c>
      <c r="DQ547" s="55" t="str">
        <f>IF(AND(RecData[[#This Row],[Useable Background Data?]],RecData[[#This Row],[Turbines ON/OFF]]="OFF"),RecData[[#This Row],[dBA Sum]],"")</f>
        <v/>
      </c>
      <c r="DR547" s="3">
        <f>IF(OR(RecData[[#This Row],[Useable TON Data?]],RecData[[#This Row],[Useable Background Data?]]),ROUND(RecData[[#This Row],[WSpd_Avg '[m/s']]],0),"")</f>
        <v>0</v>
      </c>
      <c r="DS547" s="85">
        <f>(0.00002)^2*(10^(RecData[[#This Row],[Overall (dBA)]]/10))</f>
        <v>3.3706521711501794E-6</v>
      </c>
    </row>
    <row r="548" spans="1:123" ht="15" x14ac:dyDescent="0.25">
      <c r="A548" s="3" t="s">
        <v>249</v>
      </c>
      <c r="B548" s="12">
        <v>43270.09652777778</v>
      </c>
      <c r="C548" s="3"/>
      <c r="D548" s="3">
        <v>39.200000000000003</v>
      </c>
      <c r="E548" s="3"/>
      <c r="F548" s="3"/>
      <c r="G548" s="3"/>
      <c r="H548" s="3"/>
      <c r="I548" s="3"/>
      <c r="J548" s="3"/>
      <c r="K548" s="3">
        <v>38</v>
      </c>
      <c r="L548" s="3"/>
      <c r="M548" s="3"/>
      <c r="N548" s="3">
        <v>214.4</v>
      </c>
      <c r="O548" s="3"/>
      <c r="P548" s="3"/>
      <c r="Q548" s="3">
        <v>0.28000000000000003</v>
      </c>
      <c r="R548" s="3">
        <v>0</v>
      </c>
      <c r="S548" s="3">
        <v>0.7</v>
      </c>
      <c r="T548" s="3">
        <v>13.7</v>
      </c>
      <c r="U548" s="3">
        <v>74.8</v>
      </c>
      <c r="V548" s="3">
        <v>972.8</v>
      </c>
      <c r="W548" s="3">
        <v>0</v>
      </c>
      <c r="X548" s="3">
        <v>44.6</v>
      </c>
      <c r="Y548" s="3">
        <v>43.4</v>
      </c>
      <c r="Z548" s="3">
        <v>42.5</v>
      </c>
      <c r="AA548" s="3">
        <v>39.1</v>
      </c>
      <c r="AB548" s="3">
        <v>33.200000000000003</v>
      </c>
      <c r="AC548" s="3">
        <v>32.4</v>
      </c>
      <c r="AD548" s="3">
        <v>36.799999999999997</v>
      </c>
      <c r="AE548" s="3">
        <v>38.299999999999997</v>
      </c>
      <c r="AF548" s="3">
        <v>44</v>
      </c>
      <c r="AG548" s="3">
        <v>38.200000000000003</v>
      </c>
      <c r="AH548" s="3">
        <v>36.200000000000003</v>
      </c>
      <c r="AI548" s="3">
        <v>36.700000000000003</v>
      </c>
      <c r="AJ548" s="3">
        <v>35.4</v>
      </c>
      <c r="AK548" s="3">
        <v>34.1</v>
      </c>
      <c r="AL548" s="3">
        <v>32.299999999999997</v>
      </c>
      <c r="AM548" s="3">
        <v>32.4</v>
      </c>
      <c r="AN548" s="3">
        <v>30.5</v>
      </c>
      <c r="AO548" s="3">
        <v>27.8</v>
      </c>
      <c r="AP548" s="3">
        <v>25.7</v>
      </c>
      <c r="AQ548" s="3">
        <v>23.5</v>
      </c>
      <c r="AR548" s="3">
        <v>19.899999999999999</v>
      </c>
      <c r="AS548" s="3">
        <v>16</v>
      </c>
      <c r="AT548" s="3">
        <v>23.3</v>
      </c>
      <c r="AU548" s="3">
        <v>9.6999999999999993</v>
      </c>
      <c r="AV548" s="3">
        <v>8.8000000000000007</v>
      </c>
      <c r="AW548" s="3">
        <v>9.1</v>
      </c>
      <c r="AX548" s="3">
        <v>9.1</v>
      </c>
      <c r="AY548" s="3">
        <v>9.4</v>
      </c>
      <c r="AZ548" s="3">
        <v>0</v>
      </c>
      <c r="BA548" s="3">
        <v>0</v>
      </c>
      <c r="BB548" s="3">
        <v>0</v>
      </c>
      <c r="BC548" s="3">
        <v>39.183087174831115</v>
      </c>
      <c r="BD548" s="3">
        <v>44.616912825168896</v>
      </c>
      <c r="BE548" s="3">
        <v>43.416912825168879</v>
      </c>
      <c r="BF548" s="3">
        <v>41.276912825168893</v>
      </c>
      <c r="BG548" s="3">
        <v>38.203579491835555</v>
      </c>
      <c r="BH548" s="3">
        <v>32.44357949183555</v>
      </c>
      <c r="BI548" s="3">
        <v>32.056912825168894</v>
      </c>
      <c r="BJ548" s="3">
        <v>37.250246158502222</v>
      </c>
      <c r="BK548" s="3">
        <v>38.623579491835557</v>
      </c>
      <c r="BL548" s="3">
        <v>43.896912825168897</v>
      </c>
      <c r="BM548" s="3">
        <v>38.230246158502226</v>
      </c>
      <c r="BN548" s="3">
        <v>36.513579491835557</v>
      </c>
      <c r="BO548" s="3">
        <v>36.380246158502217</v>
      </c>
      <c r="BP548" s="3">
        <v>34.796912825168889</v>
      </c>
      <c r="BQ548" s="3">
        <v>33.913579491835549</v>
      </c>
      <c r="BR548" s="3">
        <v>32.440246158502219</v>
      </c>
      <c r="BS548" s="3">
        <v>32.343579491835555</v>
      </c>
      <c r="BT548" s="3">
        <v>30.640246158502222</v>
      </c>
      <c r="BU548" s="3">
        <v>27.906912825168888</v>
      </c>
      <c r="BV548" s="3">
        <v>25.523579491835562</v>
      </c>
      <c r="BW548" s="3">
        <v>23.856912825168891</v>
      </c>
      <c r="BX548" s="3">
        <v>20.176912825168891</v>
      </c>
      <c r="BY548" s="3">
        <v>16.096912825168886</v>
      </c>
      <c r="BZ548" s="3">
        <v>23.526912825168893</v>
      </c>
      <c r="CA548" s="3">
        <v>10.026912825168878</v>
      </c>
      <c r="CB548" s="3">
        <v>8.5635794918355543</v>
      </c>
      <c r="CC548" s="3">
        <v>9.0769128251688898</v>
      </c>
      <c r="CD548" s="3">
        <v>8.3835794918355617</v>
      </c>
      <c r="CE548" s="3">
        <v>8.8769128251688869</v>
      </c>
      <c r="CF548" s="3">
        <v>-0.90975384149778193</v>
      </c>
      <c r="CG548" s="3">
        <v>-1.4430871748311134</v>
      </c>
      <c r="CH548" s="3">
        <v>-2.5197538414977814</v>
      </c>
      <c r="CI548" s="13">
        <f>[1]!dbasum(RecData[[#This Row],[20]:[2000]],RecData[[#Headers],[20]:[2000]])</f>
        <v>38.936212565372706</v>
      </c>
      <c r="CJ548" s="14">
        <v>8316</v>
      </c>
      <c r="CK548" s="15" t="s">
        <v>249</v>
      </c>
      <c r="CL548" s="15">
        <f>RecData[[#This Row],[Start Time]]</f>
        <v>43270.09652777778</v>
      </c>
      <c r="CM548" s="16">
        <f>RecData[[#This Row],[Wind Speed avg]]</f>
        <v>0.28000000000000003</v>
      </c>
      <c r="CN548" s="16">
        <f>RecData[[#This Row],[Wind Dir. avg]]</f>
        <v>214.4</v>
      </c>
      <c r="CO548" s="16">
        <f>RecData[[#This Row],[Amb. Humidity]]</f>
        <v>74.8</v>
      </c>
      <c r="CP548" s="16">
        <f>RecData[[#This Row],[Amb. Temperature]]</f>
        <v>13.7</v>
      </c>
      <c r="CQ548" s="17">
        <f>RecData[[#This Row],[Amb. Rain Gauge]]</f>
        <v>0</v>
      </c>
      <c r="CR548" s="4" t="s">
        <v>1</v>
      </c>
      <c r="CS548" s="4" t="s">
        <v>49</v>
      </c>
      <c r="CT548" s="70">
        <v>1619.77331542968</v>
      </c>
      <c r="CU548" s="70">
        <v>36.352798461913999</v>
      </c>
      <c r="CV548" s="70">
        <v>10.4838743209838</v>
      </c>
      <c r="CW548" s="70">
        <v>15.3252801895141</v>
      </c>
      <c r="CX548" s="4"/>
      <c r="CY548" s="69"/>
      <c r="CZ548" s="2" t="b">
        <f>IF($DP$1="YES",IF(RecData[[#This Row],[Power (kW)]]&gt;=$CR$3, TRUE,FALSE),TRUE)</f>
        <v>1</v>
      </c>
      <c r="DA548" s="16">
        <f>MIN(MOD(180-ABS(ABS($DA$1-RecData[Yaw Angle (°)])-180),360),MOD(180-ABS(ABS($DB$1-RecData[Yaw Angle (°)])-180),360))</f>
        <v>28.822871684226442</v>
      </c>
      <c r="DB548" s="2" t="str">
        <f>IF($DP$2="None","None",IF(RecData[[#This Row],[Relative Wind Direction]]&lt;=45,"DW",IF(RecData[[#This Row],[Relative Wind Direction]]&lt;=135,"CW","UW")))</f>
        <v>DW</v>
      </c>
      <c r="DC548" s="61">
        <f>IF($CL548-$CL544&gt;1/24,#REF!,IF(SUM($CQ544:$CQ548)&gt;$DS$1,$DS$5,DC549-1))</f>
        <v>-2</v>
      </c>
      <c r="DD548" s="61">
        <f>IF($CL549-$CL548&gt;1/24,#REF!,IF(SUM($CQ544:$CQ548)&gt;$DS$1,$DS$6,DD547-1))</f>
        <v>-9</v>
      </c>
      <c r="DE548" s="18" t="b">
        <v>0</v>
      </c>
      <c r="DF548" s="2" t="b">
        <f>IF(OR(RecData[[#This Row],[WSpd_Avg '[m/s']]]-RecData[[#This Row],[Wind Speed min]]&gt;=$DF$3,RecData[[#This Row],[Wind Speed max]]-RecData[[#This Row],[WSpd_Avg '[m/s']]]&gt;=$DF$2),TRUE,FALSE)</f>
        <v>0</v>
      </c>
      <c r="DG548" s="2" t="b">
        <f>RecData[[#This Row],[Temperature '[°C']]]&lt;=-20</f>
        <v>0</v>
      </c>
      <c r="DH548" s="18" t="b">
        <f>NOT(OR(MOD(RecData[[#This Row],[TIMESTAMP]],1)&gt;0.91632,MOD(RecData[[#This Row],[TIMESTAMP]],1)&lt;0.208681))</f>
        <v>0</v>
      </c>
      <c r="DI548" s="18" t="b">
        <f>RecData[[#This Row],[Overall (dBA)]]-RecData[[#This Row],[L90]]&gt;=$DS$4</f>
        <v>0</v>
      </c>
      <c r="DJ548" s="18" t="b">
        <f>RecData[[#This Row],[Overall (dBA)]]&gt;$DS$2</f>
        <v>0</v>
      </c>
      <c r="DK548" s="18" t="b">
        <f>RecData[[#This Row],[Overall (dBA)]]&lt;$DS$3</f>
        <v>0</v>
      </c>
      <c r="DL5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8" s="2">
        <f>IF(AND(RecData[[#This Row],[Turbines ON/OFF]] = "OFF", NOT(OR(RecData[[#This Row],[Junk?]]="YES",RecData[[#This Row],[Gust?]],RecData[[#This Row],[Rain?]:[Min SPL Threshold?]]))),1,0)</f>
        <v>0</v>
      </c>
      <c r="DN548" s="16">
        <f>RecData[[#This Row],[dBA Sum]]</f>
        <v>38.936212565372706</v>
      </c>
      <c r="DO548" s="16">
        <f>RecData[[#This Row],[LAF90.0]]</f>
        <v>38</v>
      </c>
      <c r="DP548" s="55">
        <f>IF(AND(RecData[[#This Row],[Useable TON Data?]],RecData[[#This Row],[Turbines ON/OFF]]="ON"),RecData[[#This Row],[dBA Sum]],"")</f>
        <v>38.936212565372706</v>
      </c>
      <c r="DQ548" s="55" t="str">
        <f>IF(AND(RecData[[#This Row],[Useable Background Data?]],RecData[[#This Row],[Turbines ON/OFF]]="OFF"),RecData[[#This Row],[dBA Sum]],"")</f>
        <v/>
      </c>
      <c r="DR548" s="3">
        <f>IF(OR(RecData[[#This Row],[Useable TON Data?]],RecData[[#This Row],[Useable Background Data?]]),ROUND(RecData[[#This Row],[WSpd_Avg '[m/s']]],0),"")</f>
        <v>0</v>
      </c>
      <c r="DS548" s="85">
        <f>(0.00002)^2*(10^(RecData[[#This Row],[Overall (dBA)]]/10))</f>
        <v>3.130986880720762E-6</v>
      </c>
    </row>
    <row r="549" spans="1:123" ht="15" x14ac:dyDescent="0.25">
      <c r="A549" s="3" t="s">
        <v>249</v>
      </c>
      <c r="B549" s="12">
        <v>43270.097222222226</v>
      </c>
      <c r="C549" s="3"/>
      <c r="D549" s="3">
        <v>40.299999999999997</v>
      </c>
      <c r="E549" s="3"/>
      <c r="F549" s="3"/>
      <c r="G549" s="3"/>
      <c r="H549" s="3"/>
      <c r="I549" s="3"/>
      <c r="J549" s="3"/>
      <c r="K549" s="3">
        <v>39.299999999999997</v>
      </c>
      <c r="L549" s="3"/>
      <c r="M549" s="3"/>
      <c r="N549" s="3">
        <v>170.9</v>
      </c>
      <c r="O549" s="3"/>
      <c r="P549" s="3"/>
      <c r="Q549" s="3">
        <v>0.28000000000000003</v>
      </c>
      <c r="R549" s="3">
        <v>0</v>
      </c>
      <c r="S549" s="3">
        <v>0.8</v>
      </c>
      <c r="T549" s="3">
        <v>13.7</v>
      </c>
      <c r="U549" s="3">
        <v>74.900000000000006</v>
      </c>
      <c r="V549" s="3">
        <v>972.8</v>
      </c>
      <c r="W549" s="3">
        <v>0</v>
      </c>
      <c r="X549" s="3">
        <v>44.2</v>
      </c>
      <c r="Y549" s="3">
        <v>42.9</v>
      </c>
      <c r="Z549" s="3">
        <v>42.3</v>
      </c>
      <c r="AA549" s="3">
        <v>39</v>
      </c>
      <c r="AB549" s="3">
        <v>33.6</v>
      </c>
      <c r="AC549" s="3">
        <v>32.4</v>
      </c>
      <c r="AD549" s="3">
        <v>37.6</v>
      </c>
      <c r="AE549" s="3">
        <v>39.200000000000003</v>
      </c>
      <c r="AF549" s="3">
        <v>45.9</v>
      </c>
      <c r="AG549" s="3">
        <v>39.9</v>
      </c>
      <c r="AH549" s="3">
        <v>36.6</v>
      </c>
      <c r="AI549" s="3">
        <v>37.700000000000003</v>
      </c>
      <c r="AJ549" s="3">
        <v>36</v>
      </c>
      <c r="AK549" s="3">
        <v>35</v>
      </c>
      <c r="AL549" s="3">
        <v>33.200000000000003</v>
      </c>
      <c r="AM549" s="3">
        <v>33.299999999999997</v>
      </c>
      <c r="AN549" s="3">
        <v>31.4</v>
      </c>
      <c r="AO549" s="3">
        <v>28.6</v>
      </c>
      <c r="AP549" s="3">
        <v>26.2</v>
      </c>
      <c r="AQ549" s="3">
        <v>24</v>
      </c>
      <c r="AR549" s="3">
        <v>20.3</v>
      </c>
      <c r="AS549" s="3">
        <v>16.7</v>
      </c>
      <c r="AT549" s="3">
        <v>27.3</v>
      </c>
      <c r="AU549" s="3">
        <v>11.3</v>
      </c>
      <c r="AV549" s="3">
        <v>8.9</v>
      </c>
      <c r="AW549" s="3">
        <v>9.1</v>
      </c>
      <c r="AX549" s="3">
        <v>9.1999999999999993</v>
      </c>
      <c r="AY549" s="3">
        <v>9.4</v>
      </c>
      <c r="AZ549" s="3">
        <v>0</v>
      </c>
      <c r="BA549" s="3">
        <v>0</v>
      </c>
      <c r="BB549" s="3">
        <v>0</v>
      </c>
      <c r="BC549" s="3">
        <v>40.258977476941304</v>
      </c>
      <c r="BD549" s="3">
        <v>44.241022523058696</v>
      </c>
      <c r="BE549" s="3">
        <v>42.941022523058685</v>
      </c>
      <c r="BF549" s="3">
        <v>41.101022523058681</v>
      </c>
      <c r="BG549" s="3">
        <v>38.127689189725352</v>
      </c>
      <c r="BH549" s="3">
        <v>32.867689189725361</v>
      </c>
      <c r="BI549" s="3">
        <v>32.081022523058699</v>
      </c>
      <c r="BJ549" s="3">
        <v>38.074355856392025</v>
      </c>
      <c r="BK549" s="3">
        <v>39.547689189725368</v>
      </c>
      <c r="BL549" s="3">
        <v>45.821022523058694</v>
      </c>
      <c r="BM549" s="3">
        <v>39.954355856392034</v>
      </c>
      <c r="BN549" s="3">
        <v>36.937689189725354</v>
      </c>
      <c r="BO549" s="3">
        <v>37.404355856392023</v>
      </c>
      <c r="BP549" s="3">
        <v>35.421022523058703</v>
      </c>
      <c r="BQ549" s="3">
        <v>34.83768918972536</v>
      </c>
      <c r="BR549" s="3">
        <v>33.364355856392031</v>
      </c>
      <c r="BS549" s="3">
        <v>33.267689189725367</v>
      </c>
      <c r="BT549" s="3">
        <v>31.564355856392019</v>
      </c>
      <c r="BU549" s="3">
        <v>28.731022523058705</v>
      </c>
      <c r="BV549" s="3">
        <v>26.047689189725368</v>
      </c>
      <c r="BW549" s="3">
        <v>24.381022523058697</v>
      </c>
      <c r="BX549" s="3">
        <v>20.601022523058695</v>
      </c>
      <c r="BY549" s="3">
        <v>16.821022523058694</v>
      </c>
      <c r="BZ549" s="3">
        <v>27.551022523058698</v>
      </c>
      <c r="CA549" s="3">
        <v>11.651022523058685</v>
      </c>
      <c r="CB549" s="3">
        <v>8.6876891897253543</v>
      </c>
      <c r="CC549" s="3">
        <v>9.1010225230586954</v>
      </c>
      <c r="CD549" s="3">
        <v>8.5076891897253617</v>
      </c>
      <c r="CE549" s="3">
        <v>8.9010225230586926</v>
      </c>
      <c r="CF549" s="3">
        <v>-0.88564414360797628</v>
      </c>
      <c r="CG549" s="3">
        <v>-1.4189774769413077</v>
      </c>
      <c r="CH549" s="3">
        <v>-2.4956441436079757</v>
      </c>
      <c r="CI549" s="13">
        <f>[1]!dbasum(RecData[[#This Row],[20]:[2000]],RecData[[#Headers],[20]:[2000]])</f>
        <v>39.889101268541012</v>
      </c>
      <c r="CJ549" s="14">
        <v>8317</v>
      </c>
      <c r="CK549" s="15" t="s">
        <v>249</v>
      </c>
      <c r="CL549" s="15">
        <f>RecData[[#This Row],[Start Time]]</f>
        <v>43270.097222222226</v>
      </c>
      <c r="CM549" s="16">
        <f>RecData[[#This Row],[Wind Speed avg]]</f>
        <v>0.28000000000000003</v>
      </c>
      <c r="CN549" s="16">
        <f>RecData[[#This Row],[Wind Dir. avg]]</f>
        <v>170.9</v>
      </c>
      <c r="CO549" s="16">
        <f>RecData[[#This Row],[Amb. Humidity]]</f>
        <v>74.900000000000006</v>
      </c>
      <c r="CP549" s="16">
        <f>RecData[[#This Row],[Amb. Temperature]]</f>
        <v>13.7</v>
      </c>
      <c r="CQ549" s="17">
        <f>RecData[[#This Row],[Amb. Rain Gauge]]</f>
        <v>0</v>
      </c>
      <c r="CR549" s="4" t="s">
        <v>1</v>
      </c>
      <c r="CS549" s="4" t="s">
        <v>49</v>
      </c>
      <c r="CT549" s="70">
        <v>1619.77331542968</v>
      </c>
      <c r="CU549" s="70">
        <v>36.352798461913999</v>
      </c>
      <c r="CV549" s="70">
        <v>10.4838743209838</v>
      </c>
      <c r="CW549" s="70">
        <v>15.3252801895141</v>
      </c>
      <c r="CX549" s="4"/>
      <c r="CY549" s="69"/>
      <c r="CZ549" s="2" t="b">
        <f>IF($DP$1="YES",IF(RecData[[#This Row],[Power (kW)]]&gt;=$CR$3, TRUE,FALSE),TRUE)</f>
        <v>1</v>
      </c>
      <c r="DA549" s="16">
        <f>MIN(MOD(180-ABS(ABS($DA$1-RecData[Yaw Angle (°)])-180),360),MOD(180-ABS(ABS($DB$1-RecData[Yaw Angle (°)])-180),360))</f>
        <v>28.822871684226442</v>
      </c>
      <c r="DB549" s="2" t="str">
        <f>IF($DP$2="None","None",IF(RecData[[#This Row],[Relative Wind Direction]]&lt;=45,"DW",IF(RecData[[#This Row],[Relative Wind Direction]]&lt;=135,"CW","UW")))</f>
        <v>DW</v>
      </c>
      <c r="DC549" s="61">
        <v>-1</v>
      </c>
      <c r="DD549" s="61">
        <v>-1</v>
      </c>
      <c r="DE549" s="18" t="b">
        <v>0</v>
      </c>
      <c r="DF549" s="2" t="b">
        <f>IF(OR(RecData[[#This Row],[WSpd_Avg '[m/s']]]-RecData[[#This Row],[Wind Speed min]]&gt;=$DF$3,RecData[[#This Row],[Wind Speed max]]-RecData[[#This Row],[WSpd_Avg '[m/s']]]&gt;=$DF$2),TRUE,FALSE)</f>
        <v>0</v>
      </c>
      <c r="DG549" s="2" t="b">
        <f>RecData[[#This Row],[Temperature '[°C']]]&lt;=-20</f>
        <v>0</v>
      </c>
      <c r="DH549" s="18" t="b">
        <f>NOT(OR(MOD(RecData[[#This Row],[TIMESTAMP]],1)&gt;0.91632,MOD(RecData[[#This Row],[TIMESTAMP]],1)&lt;0.208681))</f>
        <v>0</v>
      </c>
      <c r="DI549" s="18" t="b">
        <f>RecData[[#This Row],[Overall (dBA)]]-RecData[[#This Row],[L90]]&gt;=$DS$4</f>
        <v>0</v>
      </c>
      <c r="DJ549" s="18" t="b">
        <f>RecData[[#This Row],[Overall (dBA)]]&gt;$DS$2</f>
        <v>0</v>
      </c>
      <c r="DK549" s="18" t="b">
        <f>RecData[[#This Row],[Overall (dBA)]]&lt;$DS$3</f>
        <v>0</v>
      </c>
      <c r="DL5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49" s="2">
        <f>IF(AND(RecData[[#This Row],[Turbines ON/OFF]] = "OFF", NOT(OR(RecData[[#This Row],[Junk?]]="YES",RecData[[#This Row],[Gust?]],RecData[[#This Row],[Rain?]:[Min SPL Threshold?]]))),1,0)</f>
        <v>0</v>
      </c>
      <c r="DN549" s="16">
        <f>RecData[[#This Row],[dBA Sum]]</f>
        <v>39.889101268541012</v>
      </c>
      <c r="DO549" s="16">
        <f>RecData[[#This Row],[LAF90.0]]</f>
        <v>39.299999999999997</v>
      </c>
      <c r="DP549" s="55">
        <f>IF(AND(RecData[[#This Row],[Useable TON Data?]],RecData[[#This Row],[Turbines ON/OFF]]="ON"),RecData[[#This Row],[dBA Sum]],"")</f>
        <v>39.889101268541012</v>
      </c>
      <c r="DQ549" s="55" t="str">
        <f>IF(AND(RecData[[#This Row],[Useable Background Data?]],RecData[[#This Row],[Turbines ON/OFF]]="OFF"),RecData[[#This Row],[dBA Sum]],"")</f>
        <v/>
      </c>
      <c r="DR549" s="3">
        <f>IF(OR(RecData[[#This Row],[Useable TON Data?]],RecData[[#This Row],[Useable Background Data?]]),ROUND(RecData[[#This Row],[WSpd_Avg '[m/s']]],0),"")</f>
        <v>0</v>
      </c>
      <c r="DS549" s="85">
        <f>(0.00002)^2*(10^(RecData[[#This Row],[Overall (dBA)]]/10))</f>
        <v>3.8991515747405607E-6</v>
      </c>
    </row>
    <row r="550" spans="1:123" ht="15" x14ac:dyDescent="0.25">
      <c r="A550" s="3" t="s">
        <v>249</v>
      </c>
      <c r="B550" s="12">
        <v>43270.097916666666</v>
      </c>
      <c r="C550" s="3"/>
      <c r="D550" s="3">
        <v>40.1</v>
      </c>
      <c r="E550" s="3"/>
      <c r="F550" s="3"/>
      <c r="G550" s="3"/>
      <c r="H550" s="3"/>
      <c r="I550" s="3"/>
      <c r="J550" s="3"/>
      <c r="K550" s="3">
        <v>38.6</v>
      </c>
      <c r="L550" s="3"/>
      <c r="M550" s="3"/>
      <c r="N550" s="3">
        <v>209</v>
      </c>
      <c r="O550" s="3"/>
      <c r="P550" s="3"/>
      <c r="Q550" s="3">
        <v>0.24</v>
      </c>
      <c r="R550" s="3">
        <v>0.1</v>
      </c>
      <c r="S550" s="3">
        <v>0.4</v>
      </c>
      <c r="T550" s="3">
        <v>13.7</v>
      </c>
      <c r="U550" s="3">
        <v>75.3</v>
      </c>
      <c r="V550" s="3">
        <v>972.8</v>
      </c>
      <c r="W550" s="3">
        <v>0</v>
      </c>
      <c r="X550" s="3">
        <v>44.5</v>
      </c>
      <c r="Y550" s="3">
        <v>43.5</v>
      </c>
      <c r="Z550" s="3">
        <v>42.6</v>
      </c>
      <c r="AA550" s="3">
        <v>38.6</v>
      </c>
      <c r="AB550" s="3">
        <v>33.5</v>
      </c>
      <c r="AC550" s="3">
        <v>32.6</v>
      </c>
      <c r="AD550" s="3">
        <v>37.9</v>
      </c>
      <c r="AE550" s="3">
        <v>39.5</v>
      </c>
      <c r="AF550" s="3">
        <v>45.2</v>
      </c>
      <c r="AG550" s="3">
        <v>39.299999999999997</v>
      </c>
      <c r="AH550" s="3">
        <v>37.1</v>
      </c>
      <c r="AI550" s="3">
        <v>37.4</v>
      </c>
      <c r="AJ550" s="3">
        <v>36</v>
      </c>
      <c r="AK550" s="3">
        <v>34.9</v>
      </c>
      <c r="AL550" s="3">
        <v>33.1</v>
      </c>
      <c r="AM550" s="3">
        <v>33.1</v>
      </c>
      <c r="AN550" s="3">
        <v>31.1</v>
      </c>
      <c r="AO550" s="3">
        <v>28.4</v>
      </c>
      <c r="AP550" s="3">
        <v>26.1</v>
      </c>
      <c r="AQ550" s="3">
        <v>23.7</v>
      </c>
      <c r="AR550" s="3">
        <v>20</v>
      </c>
      <c r="AS550" s="3">
        <v>16.600000000000001</v>
      </c>
      <c r="AT550" s="3">
        <v>27.1</v>
      </c>
      <c r="AU550" s="3">
        <v>11.8</v>
      </c>
      <c r="AV550" s="3">
        <v>8.8000000000000007</v>
      </c>
      <c r="AW550" s="3">
        <v>9</v>
      </c>
      <c r="AX550" s="3">
        <v>9.1999999999999993</v>
      </c>
      <c r="AY550" s="3">
        <v>9.4</v>
      </c>
      <c r="AZ550" s="3">
        <v>0</v>
      </c>
      <c r="BA550" s="3">
        <v>0</v>
      </c>
      <c r="BB550" s="3">
        <v>0</v>
      </c>
      <c r="BC550" s="3">
        <v>40.055007854011393</v>
      </c>
      <c r="BD550" s="3">
        <v>44.544992145988601</v>
      </c>
      <c r="BE550" s="3">
        <v>43.544992145988601</v>
      </c>
      <c r="BF550" s="3">
        <v>41.404992145988615</v>
      </c>
      <c r="BG550" s="3">
        <v>37.731658812655269</v>
      </c>
      <c r="BH550" s="3">
        <v>32.771658812655275</v>
      </c>
      <c r="BI550" s="3">
        <v>32.28499214598861</v>
      </c>
      <c r="BJ550" s="3">
        <v>38.378325479321944</v>
      </c>
      <c r="BK550" s="3">
        <v>39.851658812655273</v>
      </c>
      <c r="BL550" s="3">
        <v>45.124992145988614</v>
      </c>
      <c r="BM550" s="3">
        <v>39.358325479321934</v>
      </c>
      <c r="BN550" s="3">
        <v>37.441658812655277</v>
      </c>
      <c r="BO550" s="3">
        <v>37.108325479321934</v>
      </c>
      <c r="BP550" s="3">
        <v>35.424992145988611</v>
      </c>
      <c r="BQ550" s="3">
        <v>34.74165881265526</v>
      </c>
      <c r="BR550" s="3">
        <v>33.268325479321945</v>
      </c>
      <c r="BS550" s="3">
        <v>33.071658812655272</v>
      </c>
      <c r="BT550" s="3">
        <v>31.268325479321945</v>
      </c>
      <c r="BU550" s="3">
        <v>28.53499214598861</v>
      </c>
      <c r="BV550" s="3">
        <v>25.951658812655282</v>
      </c>
      <c r="BW550" s="3">
        <v>24.084992145988608</v>
      </c>
      <c r="BX550" s="3">
        <v>20.304992145988614</v>
      </c>
      <c r="BY550" s="3">
        <v>16.724992145988608</v>
      </c>
      <c r="BZ550" s="3">
        <v>27.354992145988618</v>
      </c>
      <c r="CA550" s="3">
        <v>12.154992145988601</v>
      </c>
      <c r="CB550" s="3">
        <v>8.5916588126552753</v>
      </c>
      <c r="CC550" s="3">
        <v>9.0049921459886093</v>
      </c>
      <c r="CD550" s="3">
        <v>8.511658812655277</v>
      </c>
      <c r="CE550" s="3">
        <v>8.9049921459886079</v>
      </c>
      <c r="CF550" s="3">
        <v>-0.88167452067806096</v>
      </c>
      <c r="CG550" s="3">
        <v>-1.4150078540113924</v>
      </c>
      <c r="CH550" s="3">
        <v>-2.4916745206780604</v>
      </c>
      <c r="CI550" s="13">
        <f>[1]!dbasum(RecData[[#This Row],[20]:[2000]],RecData[[#Headers],[20]:[2000]])</f>
        <v>39.687220547686266</v>
      </c>
      <c r="CJ550" s="14">
        <v>8318</v>
      </c>
      <c r="CK550" s="15" t="s">
        <v>249</v>
      </c>
      <c r="CL550" s="15">
        <f>RecData[[#This Row],[Start Time]]</f>
        <v>43270.097916666666</v>
      </c>
      <c r="CM550" s="16">
        <f>RecData[[#This Row],[Wind Speed avg]]</f>
        <v>0.24</v>
      </c>
      <c r="CN550" s="16">
        <f>RecData[[#This Row],[Wind Dir. avg]]</f>
        <v>209</v>
      </c>
      <c r="CO550" s="16">
        <f>RecData[[#This Row],[Amb. Humidity]]</f>
        <v>75.3</v>
      </c>
      <c r="CP550" s="16">
        <f>RecData[[#This Row],[Amb. Temperature]]</f>
        <v>13.7</v>
      </c>
      <c r="CQ550" s="17">
        <f>RecData[[#This Row],[Amb. Rain Gauge]]</f>
        <v>0</v>
      </c>
      <c r="CR550" s="4" t="s">
        <v>1</v>
      </c>
      <c r="CS550" s="4" t="s">
        <v>49</v>
      </c>
      <c r="CT550" s="70">
        <v>1618.41162109375</v>
      </c>
      <c r="CU550" s="70">
        <v>39.000331878662102</v>
      </c>
      <c r="CV550" s="70">
        <v>10.605191230773899</v>
      </c>
      <c r="CW550" s="70">
        <v>15.306977272033601</v>
      </c>
      <c r="CX550" s="4"/>
      <c r="CY550" s="69"/>
      <c r="CZ550" s="2" t="b">
        <f>IF($DP$1="YES",IF(RecData[[#This Row],[Power (kW)]]&gt;=$CR$3, TRUE,FALSE),TRUE)</f>
        <v>1</v>
      </c>
      <c r="DA550" s="16">
        <f>MIN(MOD(180-ABS(ABS($DA$1-RecData[Yaw Angle (°)])-180),360),MOD(180-ABS(ABS($DB$1-RecData[Yaw Angle (°)])-180),360))</f>
        <v>31.470405100974546</v>
      </c>
      <c r="DB550" s="2" t="str">
        <f>IF($DP$2="None","None",IF(RecData[[#This Row],[Relative Wind Direction]]&lt;=45,"DW",IF(RecData[[#This Row],[Relative Wind Direction]]&lt;=135,"CW","UW")))</f>
        <v>DW</v>
      </c>
      <c r="DC550" s="61">
        <f>IF($CL550-$CL549&gt;1/24,#REF!,IF(SUM($CQ549:$CQ550)&gt;$DS$1,$DS$5,DC551-1))</f>
        <v>-9</v>
      </c>
      <c r="DD550" s="61">
        <f>IF($CL551-$CL550&gt;1/24,#REF!,IF(SUM($CQ549:$CQ550)&gt;$DS$1,$DS$6,DD549-1))</f>
        <v>-2</v>
      </c>
      <c r="DE550" s="18" t="b">
        <v>0</v>
      </c>
      <c r="DF550" s="2" t="b">
        <f>IF(OR(RecData[[#This Row],[WSpd_Avg '[m/s']]]-RecData[[#This Row],[Wind Speed min]]&gt;=$DF$3,RecData[[#This Row],[Wind Speed max]]-RecData[[#This Row],[WSpd_Avg '[m/s']]]&gt;=$DF$2),TRUE,FALSE)</f>
        <v>0</v>
      </c>
      <c r="DG550" s="2" t="b">
        <f>RecData[[#This Row],[Temperature '[°C']]]&lt;=-20</f>
        <v>0</v>
      </c>
      <c r="DH550" s="18" t="b">
        <f>NOT(OR(MOD(RecData[[#This Row],[TIMESTAMP]],1)&gt;0.91632,MOD(RecData[[#This Row],[TIMESTAMP]],1)&lt;0.208681))</f>
        <v>0</v>
      </c>
      <c r="DI550" s="18" t="b">
        <f>RecData[[#This Row],[Overall (dBA)]]-RecData[[#This Row],[L90]]&gt;=$DS$4</f>
        <v>0</v>
      </c>
      <c r="DJ550" s="18" t="b">
        <f>RecData[[#This Row],[Overall (dBA)]]&gt;$DS$2</f>
        <v>0</v>
      </c>
      <c r="DK550" s="18" t="b">
        <f>RecData[[#This Row],[Overall (dBA)]]&lt;$DS$3</f>
        <v>0</v>
      </c>
      <c r="DL5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0" s="2">
        <f>IF(AND(RecData[[#This Row],[Turbines ON/OFF]] = "OFF", NOT(OR(RecData[[#This Row],[Junk?]]="YES",RecData[[#This Row],[Gust?]],RecData[[#This Row],[Rain?]:[Min SPL Threshold?]]))),1,0)</f>
        <v>0</v>
      </c>
      <c r="DN550" s="16">
        <f>RecData[[#This Row],[dBA Sum]]</f>
        <v>39.687220547686266</v>
      </c>
      <c r="DO550" s="16">
        <f>RecData[[#This Row],[LAF90.0]]</f>
        <v>38.6</v>
      </c>
      <c r="DP550" s="55">
        <f>IF(AND(RecData[[#This Row],[Useable TON Data?]],RecData[[#This Row],[Turbines ON/OFF]]="ON"),RecData[[#This Row],[dBA Sum]],"")</f>
        <v>39.687220547686266</v>
      </c>
      <c r="DQ550" s="55" t="str">
        <f>IF(AND(RecData[[#This Row],[Useable Background Data?]],RecData[[#This Row],[Turbines ON/OFF]]="OFF"),RecData[[#This Row],[dBA Sum]],"")</f>
        <v/>
      </c>
      <c r="DR550" s="3">
        <f>IF(OR(RecData[[#This Row],[Useable TON Data?]],RecData[[#This Row],[Useable Background Data?]]),ROUND(RecData[[#This Row],[WSpd_Avg '[m/s']]],0),"")</f>
        <v>0</v>
      </c>
      <c r="DS550" s="85">
        <f>(0.00002)^2*(10^(RecData[[#This Row],[Overall (dBA)]]/10))</f>
        <v>3.7220486560535558E-6</v>
      </c>
    </row>
    <row r="551" spans="1:123" ht="15" x14ac:dyDescent="0.25">
      <c r="A551" s="3" t="s">
        <v>249</v>
      </c>
      <c r="B551" s="12">
        <v>43270.098611111112</v>
      </c>
      <c r="C551" s="3"/>
      <c r="D551" s="3">
        <v>39.9</v>
      </c>
      <c r="E551" s="3"/>
      <c r="F551" s="3"/>
      <c r="G551" s="3"/>
      <c r="H551" s="3"/>
      <c r="I551" s="3"/>
      <c r="J551" s="3"/>
      <c r="K551" s="3">
        <v>38.6</v>
      </c>
      <c r="L551" s="3"/>
      <c r="M551" s="3"/>
      <c r="N551" s="3">
        <v>189.4</v>
      </c>
      <c r="O551" s="3"/>
      <c r="P551" s="3"/>
      <c r="Q551" s="3">
        <v>0.43</v>
      </c>
      <c r="R551" s="3">
        <v>0.1</v>
      </c>
      <c r="S551" s="3">
        <v>0.9</v>
      </c>
      <c r="T551" s="3">
        <v>13.6</v>
      </c>
      <c r="U551" s="3">
        <v>75.3</v>
      </c>
      <c r="V551" s="3">
        <v>972.8</v>
      </c>
      <c r="W551" s="3">
        <v>0</v>
      </c>
      <c r="X551" s="3">
        <v>43.9</v>
      </c>
      <c r="Y551" s="3">
        <v>43</v>
      </c>
      <c r="Z551" s="3">
        <v>42.5</v>
      </c>
      <c r="AA551" s="3">
        <v>38.4</v>
      </c>
      <c r="AB551" s="3">
        <v>33</v>
      </c>
      <c r="AC551" s="3">
        <v>32.200000000000003</v>
      </c>
      <c r="AD551" s="3">
        <v>37.4</v>
      </c>
      <c r="AE551" s="3">
        <v>38.799999999999997</v>
      </c>
      <c r="AF551" s="3">
        <v>44.8</v>
      </c>
      <c r="AG551" s="3">
        <v>38.700000000000003</v>
      </c>
      <c r="AH551" s="3">
        <v>36.700000000000003</v>
      </c>
      <c r="AI551" s="3">
        <v>37.200000000000003</v>
      </c>
      <c r="AJ551" s="3">
        <v>35.799999999999997</v>
      </c>
      <c r="AK551" s="3">
        <v>34.799999999999997</v>
      </c>
      <c r="AL551" s="3">
        <v>33</v>
      </c>
      <c r="AM551" s="3">
        <v>32.6</v>
      </c>
      <c r="AN551" s="3">
        <v>30.8</v>
      </c>
      <c r="AO551" s="3">
        <v>28.1</v>
      </c>
      <c r="AP551" s="3">
        <v>26</v>
      </c>
      <c r="AQ551" s="3">
        <v>23.4</v>
      </c>
      <c r="AR551" s="3">
        <v>19.899999999999999</v>
      </c>
      <c r="AS551" s="3">
        <v>17.399999999999999</v>
      </c>
      <c r="AT551" s="3">
        <v>27.8</v>
      </c>
      <c r="AU551" s="3">
        <v>11.1</v>
      </c>
      <c r="AV551" s="3">
        <v>8.9</v>
      </c>
      <c r="AW551" s="3">
        <v>9.1</v>
      </c>
      <c r="AX551" s="3">
        <v>9.1999999999999993</v>
      </c>
      <c r="AY551" s="3">
        <v>9.4</v>
      </c>
      <c r="AZ551" s="3">
        <v>0</v>
      </c>
      <c r="BA551" s="3">
        <v>0</v>
      </c>
      <c r="BB551" s="3">
        <v>0</v>
      </c>
      <c r="BC551" s="3">
        <v>39.851632832360366</v>
      </c>
      <c r="BD551" s="3">
        <v>43.948367167639631</v>
      </c>
      <c r="BE551" s="3">
        <v>43.04836716763964</v>
      </c>
      <c r="BF551" s="3">
        <v>41.308367167639631</v>
      </c>
      <c r="BG551" s="3">
        <v>37.53503383430629</v>
      </c>
      <c r="BH551" s="3">
        <v>32.275033834306299</v>
      </c>
      <c r="BI551" s="3">
        <v>31.888367167639643</v>
      </c>
      <c r="BJ551" s="3">
        <v>37.881700500972954</v>
      </c>
      <c r="BK551" s="3">
        <v>39.155033834306295</v>
      </c>
      <c r="BL551" s="3">
        <v>44.728367167639632</v>
      </c>
      <c r="BM551" s="3">
        <v>38.761700500972978</v>
      </c>
      <c r="BN551" s="3">
        <v>37.045033834306309</v>
      </c>
      <c r="BO551" s="3">
        <v>36.91170050097297</v>
      </c>
      <c r="BP551" s="3">
        <v>35.228367167639632</v>
      </c>
      <c r="BQ551" s="3">
        <v>34.64503383430629</v>
      </c>
      <c r="BR551" s="3">
        <v>33.171700500972975</v>
      </c>
      <c r="BS551" s="3">
        <v>32.575033834306311</v>
      </c>
      <c r="BT551" s="3">
        <v>30.971700500972972</v>
      </c>
      <c r="BU551" s="3">
        <v>28.238367167639638</v>
      </c>
      <c r="BV551" s="3">
        <v>25.855033834306298</v>
      </c>
      <c r="BW551" s="3">
        <v>23.788367167639635</v>
      </c>
      <c r="BX551" s="3">
        <v>20.208367167639636</v>
      </c>
      <c r="BY551" s="3">
        <v>17.52836716763963</v>
      </c>
      <c r="BZ551" s="3">
        <v>28.058367167639631</v>
      </c>
      <c r="CA551" s="3">
        <v>11.458367167639622</v>
      </c>
      <c r="CB551" s="3">
        <v>8.6950338343063009</v>
      </c>
      <c r="CC551" s="3">
        <v>9.1083671676396278</v>
      </c>
      <c r="CD551" s="3">
        <v>8.5150338343063012</v>
      </c>
      <c r="CE551" s="3">
        <v>8.9083671676396321</v>
      </c>
      <c r="CF551" s="3">
        <v>-0.87829949902703675</v>
      </c>
      <c r="CG551" s="3">
        <v>-1.4116328323603682</v>
      </c>
      <c r="CH551" s="3">
        <v>-2.4882994990270362</v>
      </c>
      <c r="CI551" s="13">
        <f>[1]!dbasum(RecData[[#This Row],[20]:[2000]],RecData[[#Headers],[20]:[2000]])</f>
        <v>39.404219533167392</v>
      </c>
      <c r="CJ551" s="14">
        <v>8319</v>
      </c>
      <c r="CK551" s="15" t="s">
        <v>249</v>
      </c>
      <c r="CL551" s="15">
        <f>RecData[[#This Row],[Start Time]]</f>
        <v>43270.098611111112</v>
      </c>
      <c r="CM551" s="16">
        <f>RecData[[#This Row],[Wind Speed avg]]</f>
        <v>0.43</v>
      </c>
      <c r="CN551" s="16">
        <f>RecData[[#This Row],[Wind Dir. avg]]</f>
        <v>189.4</v>
      </c>
      <c r="CO551" s="16">
        <f>RecData[[#This Row],[Amb. Humidity]]</f>
        <v>75.3</v>
      </c>
      <c r="CP551" s="16">
        <f>RecData[[#This Row],[Amb. Temperature]]</f>
        <v>13.6</v>
      </c>
      <c r="CQ551" s="17">
        <f>RecData[[#This Row],[Amb. Rain Gauge]]</f>
        <v>0</v>
      </c>
      <c r="CR551" s="4" t="s">
        <v>1</v>
      </c>
      <c r="CS551" s="4" t="s">
        <v>49</v>
      </c>
      <c r="CT551" s="70">
        <v>1618.41162109375</v>
      </c>
      <c r="CU551" s="70">
        <v>39.000331878662102</v>
      </c>
      <c r="CV551" s="70">
        <v>10.605191230773899</v>
      </c>
      <c r="CW551" s="70">
        <v>15.306977272033601</v>
      </c>
      <c r="CX551" s="4"/>
      <c r="CY551" s="69"/>
      <c r="CZ551" s="2" t="b">
        <f>IF($DP$1="YES",IF(RecData[[#This Row],[Power (kW)]]&gt;=$CR$3, TRUE,FALSE),TRUE)</f>
        <v>1</v>
      </c>
      <c r="DA551" s="16">
        <f>MIN(MOD(180-ABS(ABS($DA$1-RecData[Yaw Angle (°)])-180),360),MOD(180-ABS(ABS($DB$1-RecData[Yaw Angle (°)])-180),360))</f>
        <v>31.470405100974546</v>
      </c>
      <c r="DB551" s="2" t="str">
        <f>IF($DP$2="None","None",IF(RecData[[#This Row],[Relative Wind Direction]]&lt;=45,"DW",IF(RecData[[#This Row],[Relative Wind Direction]]&lt;=135,"CW","UW")))</f>
        <v>DW</v>
      </c>
      <c r="DC551" s="61">
        <f>IF($CL551-$CL549&gt;1/24,#REF!,IF(SUM($CQ549:$CQ551)&gt;$DS$1,$DS$5,DC552-1))</f>
        <v>-8</v>
      </c>
      <c r="DD551" s="61">
        <f>IF($CL552-$CL551&gt;1/24,#REF!,IF(SUM($CQ549:$CQ551)&gt;$DS$1,$DS$6,DD550-1))</f>
        <v>-3</v>
      </c>
      <c r="DE551" s="18" t="b">
        <v>0</v>
      </c>
      <c r="DF551" s="2" t="b">
        <f>IF(OR(RecData[[#This Row],[WSpd_Avg '[m/s']]]-RecData[[#This Row],[Wind Speed min]]&gt;=$DF$3,RecData[[#This Row],[Wind Speed max]]-RecData[[#This Row],[WSpd_Avg '[m/s']]]&gt;=$DF$2),TRUE,FALSE)</f>
        <v>0</v>
      </c>
      <c r="DG551" s="2" t="b">
        <f>RecData[[#This Row],[Temperature '[°C']]]&lt;=-20</f>
        <v>0</v>
      </c>
      <c r="DH551" s="18" t="b">
        <f>NOT(OR(MOD(RecData[[#This Row],[TIMESTAMP]],1)&gt;0.91632,MOD(RecData[[#This Row],[TIMESTAMP]],1)&lt;0.208681))</f>
        <v>0</v>
      </c>
      <c r="DI551" s="18" t="b">
        <f>RecData[[#This Row],[Overall (dBA)]]-RecData[[#This Row],[L90]]&gt;=$DS$4</f>
        <v>0</v>
      </c>
      <c r="DJ551" s="18" t="b">
        <f>RecData[[#This Row],[Overall (dBA)]]&gt;$DS$2</f>
        <v>0</v>
      </c>
      <c r="DK551" s="18" t="b">
        <f>RecData[[#This Row],[Overall (dBA)]]&lt;$DS$3</f>
        <v>0</v>
      </c>
      <c r="DL5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1" s="2">
        <f>IF(AND(RecData[[#This Row],[Turbines ON/OFF]] = "OFF", NOT(OR(RecData[[#This Row],[Junk?]]="YES",RecData[[#This Row],[Gust?]],RecData[[#This Row],[Rain?]:[Min SPL Threshold?]]))),1,0)</f>
        <v>0</v>
      </c>
      <c r="DN551" s="16">
        <f>RecData[[#This Row],[dBA Sum]]</f>
        <v>39.404219533167392</v>
      </c>
      <c r="DO551" s="16">
        <f>RecData[[#This Row],[LAF90.0]]</f>
        <v>38.6</v>
      </c>
      <c r="DP551" s="55">
        <f>IF(AND(RecData[[#This Row],[Useable TON Data?]],RecData[[#This Row],[Turbines ON/OFF]]="ON"),RecData[[#This Row],[dBA Sum]],"")</f>
        <v>39.404219533167392</v>
      </c>
      <c r="DQ551" s="55" t="str">
        <f>IF(AND(RecData[[#This Row],[Useable Background Data?]],RecData[[#This Row],[Turbines ON/OFF]]="OFF"),RecData[[#This Row],[dBA Sum]],"")</f>
        <v/>
      </c>
      <c r="DR551" s="3">
        <f>IF(OR(RecData[[#This Row],[Useable TON Data?]],RecData[[#This Row],[Useable Background Data?]]),ROUND(RecData[[#This Row],[WSpd_Avg '[m/s']]],0),"")</f>
        <v>0</v>
      </c>
      <c r="DS551" s="85">
        <f>(0.00002)^2*(10^(RecData[[#This Row],[Overall (dBA)]]/10))</f>
        <v>3.4872408598150116E-6</v>
      </c>
    </row>
    <row r="552" spans="1:123" ht="15" x14ac:dyDescent="0.25">
      <c r="A552" s="3" t="s">
        <v>249</v>
      </c>
      <c r="B552" s="12">
        <v>43270.099305555559</v>
      </c>
      <c r="C552" s="3"/>
      <c r="D552" s="3">
        <v>39.9</v>
      </c>
      <c r="E552" s="3"/>
      <c r="F552" s="3"/>
      <c r="G552" s="3"/>
      <c r="H552" s="3"/>
      <c r="I552" s="3"/>
      <c r="J552" s="3"/>
      <c r="K552" s="3">
        <v>38.299999999999997</v>
      </c>
      <c r="L552" s="3"/>
      <c r="M552" s="3"/>
      <c r="N552" s="3">
        <v>182.1</v>
      </c>
      <c r="O552" s="3"/>
      <c r="P552" s="3"/>
      <c r="Q552" s="3">
        <v>0.71</v>
      </c>
      <c r="R552" s="3">
        <v>0.3</v>
      </c>
      <c r="S552" s="3">
        <v>1</v>
      </c>
      <c r="T552" s="3">
        <v>13.6</v>
      </c>
      <c r="U552" s="3">
        <v>75.2</v>
      </c>
      <c r="V552" s="3">
        <v>972.8</v>
      </c>
      <c r="W552" s="3">
        <v>0</v>
      </c>
      <c r="X552" s="3">
        <v>45.4</v>
      </c>
      <c r="Y552" s="3">
        <v>44.3</v>
      </c>
      <c r="Z552" s="3">
        <v>43.3</v>
      </c>
      <c r="AA552" s="3">
        <v>39.299999999999997</v>
      </c>
      <c r="AB552" s="3">
        <v>34.5</v>
      </c>
      <c r="AC552" s="3">
        <v>33.200000000000003</v>
      </c>
      <c r="AD552" s="3">
        <v>38.299999999999997</v>
      </c>
      <c r="AE552" s="3">
        <v>39.700000000000003</v>
      </c>
      <c r="AF552" s="3">
        <v>45.1</v>
      </c>
      <c r="AG552" s="3">
        <v>39.299999999999997</v>
      </c>
      <c r="AH552" s="3">
        <v>37.1</v>
      </c>
      <c r="AI552" s="3">
        <v>37.1</v>
      </c>
      <c r="AJ552" s="3">
        <v>36</v>
      </c>
      <c r="AK552" s="3">
        <v>34.6</v>
      </c>
      <c r="AL552" s="3">
        <v>32.799999999999997</v>
      </c>
      <c r="AM552" s="3">
        <v>32.799999999999997</v>
      </c>
      <c r="AN552" s="3">
        <v>30.9</v>
      </c>
      <c r="AO552" s="3">
        <v>28.3</v>
      </c>
      <c r="AP552" s="3">
        <v>26.1</v>
      </c>
      <c r="AQ552" s="3">
        <v>23.6</v>
      </c>
      <c r="AR552" s="3">
        <v>20.100000000000001</v>
      </c>
      <c r="AS552" s="3">
        <v>17.399999999999999</v>
      </c>
      <c r="AT552" s="3">
        <v>26.3</v>
      </c>
      <c r="AU552" s="3">
        <v>10.6</v>
      </c>
      <c r="AV552" s="3">
        <v>8.9</v>
      </c>
      <c r="AW552" s="3">
        <v>9.1</v>
      </c>
      <c r="AX552" s="3">
        <v>9.1999999999999993</v>
      </c>
      <c r="AY552" s="3">
        <v>9.4</v>
      </c>
      <c r="AZ552" s="3">
        <v>0</v>
      </c>
      <c r="BA552" s="3">
        <v>0</v>
      </c>
      <c r="BB552" s="3">
        <v>0</v>
      </c>
      <c r="BC552" s="3">
        <v>39.857168531527293</v>
      </c>
      <c r="BD552" s="3">
        <v>45.442831468472704</v>
      </c>
      <c r="BE552" s="3">
        <v>44.342831468472696</v>
      </c>
      <c r="BF552" s="3">
        <v>42.102831468472701</v>
      </c>
      <c r="BG552" s="3">
        <v>38.429498135139369</v>
      </c>
      <c r="BH552" s="3">
        <v>33.769498135139372</v>
      </c>
      <c r="BI552" s="3">
        <v>32.882831468472716</v>
      </c>
      <c r="BJ552" s="3">
        <v>38.776164801806033</v>
      </c>
      <c r="BK552" s="3">
        <v>40.049498135139373</v>
      </c>
      <c r="BL552" s="3">
        <v>45.022831468472702</v>
      </c>
      <c r="BM552" s="3">
        <v>39.356164801806045</v>
      </c>
      <c r="BN552" s="3">
        <v>37.439498135139374</v>
      </c>
      <c r="BO552" s="3">
        <v>36.806164801806034</v>
      </c>
      <c r="BP552" s="3">
        <v>35.422831468472708</v>
      </c>
      <c r="BQ552" s="3">
        <v>34.43949813513936</v>
      </c>
      <c r="BR552" s="3">
        <v>32.96616480180603</v>
      </c>
      <c r="BS552" s="3">
        <v>32.769498135139372</v>
      </c>
      <c r="BT552" s="3">
        <v>31.066164801806039</v>
      </c>
      <c r="BU552" s="3">
        <v>28.432831468472713</v>
      </c>
      <c r="BV552" s="3">
        <v>25.949498135139379</v>
      </c>
      <c r="BW552" s="3">
        <v>23.98283146847271</v>
      </c>
      <c r="BX552" s="3">
        <v>20.402831468472712</v>
      </c>
      <c r="BY552" s="3">
        <v>17.522831468472702</v>
      </c>
      <c r="BZ552" s="3">
        <v>26.552831468472704</v>
      </c>
      <c r="CA552" s="3">
        <v>10.952831468472695</v>
      </c>
      <c r="CB552" s="3">
        <v>8.6894981351393739</v>
      </c>
      <c r="CC552" s="3">
        <v>9.1028314684727007</v>
      </c>
      <c r="CD552" s="3">
        <v>8.5094981351393741</v>
      </c>
      <c r="CE552" s="3">
        <v>8.902831468472705</v>
      </c>
      <c r="CF552" s="3">
        <v>-0.88383519819396383</v>
      </c>
      <c r="CG552" s="3">
        <v>-1.4171685315272953</v>
      </c>
      <c r="CH552" s="3">
        <v>-2.4938351981939633</v>
      </c>
      <c r="CI552" s="13">
        <f>[1]!dbasum(RecData[[#This Row],[20]:[2000]],RecData[[#Headers],[20]:[2000]])</f>
        <v>39.521578114349488</v>
      </c>
      <c r="CJ552" s="14">
        <v>8320</v>
      </c>
      <c r="CK552" s="15" t="s">
        <v>249</v>
      </c>
      <c r="CL552" s="15">
        <f>RecData[[#This Row],[Start Time]]</f>
        <v>43270.099305555559</v>
      </c>
      <c r="CM552" s="16">
        <f>RecData[[#This Row],[Wind Speed avg]]</f>
        <v>0.71</v>
      </c>
      <c r="CN552" s="16">
        <f>RecData[[#This Row],[Wind Dir. avg]]</f>
        <v>182.1</v>
      </c>
      <c r="CO552" s="16">
        <f>RecData[[#This Row],[Amb. Humidity]]</f>
        <v>75.2</v>
      </c>
      <c r="CP552" s="16">
        <f>RecData[[#This Row],[Amb. Temperature]]</f>
        <v>13.6</v>
      </c>
      <c r="CQ552" s="17">
        <f>RecData[[#This Row],[Amb. Rain Gauge]]</f>
        <v>0</v>
      </c>
      <c r="CR552" s="4" t="s">
        <v>1</v>
      </c>
      <c r="CS552" s="4" t="s">
        <v>49</v>
      </c>
      <c r="CT552" s="70">
        <v>1618.41162109375</v>
      </c>
      <c r="CU552" s="70">
        <v>39.000331878662102</v>
      </c>
      <c r="CV552" s="70">
        <v>10.605191230773899</v>
      </c>
      <c r="CW552" s="70">
        <v>15.306977272033601</v>
      </c>
      <c r="CX552" s="4"/>
      <c r="CY552" s="69"/>
      <c r="CZ552" s="2" t="b">
        <f>IF($DP$1="YES",IF(RecData[[#This Row],[Power (kW)]]&gt;=$CR$3, TRUE,FALSE),TRUE)</f>
        <v>1</v>
      </c>
      <c r="DA552" s="16">
        <f>MIN(MOD(180-ABS(ABS($DA$1-RecData[Yaw Angle (°)])-180),360),MOD(180-ABS(ABS($DB$1-RecData[Yaw Angle (°)])-180),360))</f>
        <v>31.470405100974546</v>
      </c>
      <c r="DB552" s="2" t="str">
        <f>IF($DP$2="None","None",IF(RecData[[#This Row],[Relative Wind Direction]]&lt;=45,"DW",IF(RecData[[#This Row],[Relative Wind Direction]]&lt;=135,"CW","UW")))</f>
        <v>DW</v>
      </c>
      <c r="DC552" s="61">
        <f>IF($CL552-$CL549&gt;1/24,#REF!,IF(SUM($CQ549:$CQ552)&gt;$DS$1,$DS$5,DC553-1))</f>
        <v>-7</v>
      </c>
      <c r="DD552" s="61">
        <f>IF($CL553-$CL552&gt;1/24,#REF!,IF(SUM($CQ549:$CQ552)&gt;$DS$1,$DS$6,DD551-1))</f>
        <v>-4</v>
      </c>
      <c r="DE552" s="18" t="b">
        <v>0</v>
      </c>
      <c r="DF552" s="2" t="b">
        <f>IF(OR(RecData[[#This Row],[WSpd_Avg '[m/s']]]-RecData[[#This Row],[Wind Speed min]]&gt;=$DF$3,RecData[[#This Row],[Wind Speed max]]-RecData[[#This Row],[WSpd_Avg '[m/s']]]&gt;=$DF$2),TRUE,FALSE)</f>
        <v>0</v>
      </c>
      <c r="DG552" s="2" t="b">
        <f>RecData[[#This Row],[Temperature '[°C']]]&lt;=-20</f>
        <v>0</v>
      </c>
      <c r="DH552" s="18" t="b">
        <f>NOT(OR(MOD(RecData[[#This Row],[TIMESTAMP]],1)&gt;0.91632,MOD(RecData[[#This Row],[TIMESTAMP]],1)&lt;0.208681))</f>
        <v>0</v>
      </c>
      <c r="DI552" s="18" t="b">
        <f>RecData[[#This Row],[Overall (dBA)]]-RecData[[#This Row],[L90]]&gt;=$DS$4</f>
        <v>0</v>
      </c>
      <c r="DJ552" s="18" t="b">
        <f>RecData[[#This Row],[Overall (dBA)]]&gt;$DS$2</f>
        <v>0</v>
      </c>
      <c r="DK552" s="18" t="b">
        <f>RecData[[#This Row],[Overall (dBA)]]&lt;$DS$3</f>
        <v>0</v>
      </c>
      <c r="DL5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2" s="2">
        <f>IF(AND(RecData[[#This Row],[Turbines ON/OFF]] = "OFF", NOT(OR(RecData[[#This Row],[Junk?]]="YES",RecData[[#This Row],[Gust?]],RecData[[#This Row],[Rain?]:[Min SPL Threshold?]]))),1,0)</f>
        <v>0</v>
      </c>
      <c r="DN552" s="16">
        <f>RecData[[#This Row],[dBA Sum]]</f>
        <v>39.521578114349488</v>
      </c>
      <c r="DO552" s="16">
        <f>RecData[[#This Row],[LAF90.0]]</f>
        <v>38.299999999999997</v>
      </c>
      <c r="DP552" s="55">
        <f>IF(AND(RecData[[#This Row],[Useable TON Data?]],RecData[[#This Row],[Turbines ON/OFF]]="ON"),RecData[[#This Row],[dBA Sum]],"")</f>
        <v>39.521578114349488</v>
      </c>
      <c r="DQ552" s="55" t="str">
        <f>IF(AND(RecData[[#This Row],[Useable Background Data?]],RecData[[#This Row],[Turbines ON/OFF]]="OFF"),RecData[[#This Row],[dBA Sum]],"")</f>
        <v/>
      </c>
      <c r="DR552" s="3">
        <f>IF(OR(RecData[[#This Row],[Useable TON Data?]],RecData[[#This Row],[Useable Background Data?]]),ROUND(RecData[[#This Row],[WSpd_Avg '[m/s']]],0),"")</f>
        <v>1</v>
      </c>
      <c r="DS552" s="85">
        <f>(0.00002)^2*(10^(RecData[[#This Row],[Overall (dBA)]]/10))</f>
        <v>3.5827607087043854E-6</v>
      </c>
    </row>
    <row r="553" spans="1:123" ht="15" x14ac:dyDescent="0.25">
      <c r="A553" s="3" t="s">
        <v>249</v>
      </c>
      <c r="B553" s="12">
        <v>43270.100000000006</v>
      </c>
      <c r="C553" s="3"/>
      <c r="D553" s="3">
        <v>39.5</v>
      </c>
      <c r="E553" s="3"/>
      <c r="F553" s="3"/>
      <c r="G553" s="3"/>
      <c r="H553" s="3"/>
      <c r="I553" s="3"/>
      <c r="J553" s="3"/>
      <c r="K553" s="3">
        <v>38.200000000000003</v>
      </c>
      <c r="L553" s="3"/>
      <c r="M553" s="3"/>
      <c r="N553" s="3">
        <v>202.2</v>
      </c>
      <c r="O553" s="3"/>
      <c r="P553" s="3"/>
      <c r="Q553" s="3">
        <v>0.5</v>
      </c>
      <c r="R553" s="3">
        <v>0.1</v>
      </c>
      <c r="S553" s="3">
        <v>0.9</v>
      </c>
      <c r="T553" s="3">
        <v>13.6</v>
      </c>
      <c r="U553" s="3">
        <v>75.2</v>
      </c>
      <c r="V553" s="3">
        <v>972.8</v>
      </c>
      <c r="W553" s="3">
        <v>0</v>
      </c>
      <c r="X553" s="3">
        <v>44.7</v>
      </c>
      <c r="Y553" s="3">
        <v>43.2</v>
      </c>
      <c r="Z553" s="3">
        <v>42.9</v>
      </c>
      <c r="AA553" s="3">
        <v>39.700000000000003</v>
      </c>
      <c r="AB553" s="3">
        <v>34.4</v>
      </c>
      <c r="AC553" s="3">
        <v>33.4</v>
      </c>
      <c r="AD553" s="3">
        <v>36.799999999999997</v>
      </c>
      <c r="AE553" s="3">
        <v>38.299999999999997</v>
      </c>
      <c r="AF553" s="3">
        <v>44.6</v>
      </c>
      <c r="AG553" s="3">
        <v>38.700000000000003</v>
      </c>
      <c r="AH553" s="3">
        <v>36.299999999999997</v>
      </c>
      <c r="AI553" s="3">
        <v>37.1</v>
      </c>
      <c r="AJ553" s="3">
        <v>35.6</v>
      </c>
      <c r="AK553" s="3">
        <v>34.4</v>
      </c>
      <c r="AL553" s="3">
        <v>32.5</v>
      </c>
      <c r="AM553" s="3">
        <v>32.4</v>
      </c>
      <c r="AN553" s="3">
        <v>30.5</v>
      </c>
      <c r="AO553" s="3">
        <v>27.6</v>
      </c>
      <c r="AP553" s="3">
        <v>25.6</v>
      </c>
      <c r="AQ553" s="3">
        <v>23.1</v>
      </c>
      <c r="AR553" s="3">
        <v>19.600000000000001</v>
      </c>
      <c r="AS553" s="3">
        <v>16.2</v>
      </c>
      <c r="AT553" s="3">
        <v>27.3</v>
      </c>
      <c r="AU553" s="3">
        <v>11.2</v>
      </c>
      <c r="AV553" s="3">
        <v>9.1</v>
      </c>
      <c r="AW553" s="3">
        <v>9</v>
      </c>
      <c r="AX553" s="3">
        <v>9.1999999999999993</v>
      </c>
      <c r="AY553" s="3">
        <v>9.4</v>
      </c>
      <c r="AZ553" s="3">
        <v>0</v>
      </c>
      <c r="BA553" s="3">
        <v>0</v>
      </c>
      <c r="BB553" s="3">
        <v>0</v>
      </c>
      <c r="BC553" s="3">
        <v>39.533909252000697</v>
      </c>
      <c r="BD553" s="3">
        <v>44.666090747999306</v>
      </c>
      <c r="BE553" s="3">
        <v>43.166090747999306</v>
      </c>
      <c r="BF553" s="3">
        <v>41.626090747999299</v>
      </c>
      <c r="BG553" s="3">
        <v>38.752757414665965</v>
      </c>
      <c r="BH553" s="3">
        <v>33.592757414665968</v>
      </c>
      <c r="BI553" s="3">
        <v>33.006090747999295</v>
      </c>
      <c r="BJ553" s="3">
        <v>37.199424081332623</v>
      </c>
      <c r="BK553" s="3">
        <v>38.572757414665958</v>
      </c>
      <c r="BL553" s="3">
        <v>44.446090747999307</v>
      </c>
      <c r="BM553" s="3">
        <v>38.679424081332641</v>
      </c>
      <c r="BN553" s="3">
        <v>36.562757414665967</v>
      </c>
      <c r="BO553" s="3">
        <v>36.729424081332638</v>
      </c>
      <c r="BP553" s="3">
        <v>34.946090747999307</v>
      </c>
      <c r="BQ553" s="3">
        <v>34.162757414665961</v>
      </c>
      <c r="BR553" s="3">
        <v>32.589424081332638</v>
      </c>
      <c r="BS553" s="3">
        <v>32.292757414665971</v>
      </c>
      <c r="BT553" s="3">
        <v>30.589424081332638</v>
      </c>
      <c r="BU553" s="3">
        <v>27.656090747999301</v>
      </c>
      <c r="BV553" s="3">
        <v>25.372757414665969</v>
      </c>
      <c r="BW553" s="3">
        <v>23.406090747999308</v>
      </c>
      <c r="BX553" s="3">
        <v>19.826090747999309</v>
      </c>
      <c r="BY553" s="3">
        <v>16.246090747999304</v>
      </c>
      <c r="BZ553" s="3">
        <v>27.476090747999308</v>
      </c>
      <c r="CA553" s="3">
        <v>11.476090747999294</v>
      </c>
      <c r="CB553" s="3">
        <v>8.8127574146659668</v>
      </c>
      <c r="CC553" s="3">
        <v>8.9260907479993037</v>
      </c>
      <c r="CD553" s="3">
        <v>8.4327574146659714</v>
      </c>
      <c r="CE553" s="3">
        <v>8.8260907479993023</v>
      </c>
      <c r="CF553" s="3">
        <v>-0.96057591866736658</v>
      </c>
      <c r="CG553" s="3">
        <v>-1.493909252000698</v>
      </c>
      <c r="CH553" s="3">
        <v>-2.570575918667366</v>
      </c>
      <c r="CI553" s="13">
        <f>[1]!dbasum(RecData[[#This Row],[20]:[2000]],RecData[[#Headers],[20]:[2000]])</f>
        <v>39.021136819569158</v>
      </c>
      <c r="CJ553" s="14">
        <v>8321</v>
      </c>
      <c r="CK553" s="15" t="s">
        <v>249</v>
      </c>
      <c r="CL553" s="15">
        <f>RecData[[#This Row],[Start Time]]</f>
        <v>43270.100000000006</v>
      </c>
      <c r="CM553" s="16">
        <f>RecData[[#This Row],[Wind Speed avg]]</f>
        <v>0.5</v>
      </c>
      <c r="CN553" s="16">
        <f>RecData[[#This Row],[Wind Dir. avg]]</f>
        <v>202.2</v>
      </c>
      <c r="CO553" s="16">
        <f>RecData[[#This Row],[Amb. Humidity]]</f>
        <v>75.2</v>
      </c>
      <c r="CP553" s="16">
        <f>RecData[[#This Row],[Amb. Temperature]]</f>
        <v>13.6</v>
      </c>
      <c r="CQ553" s="17">
        <f>RecData[[#This Row],[Amb. Rain Gauge]]</f>
        <v>0</v>
      </c>
      <c r="CR553" s="4" t="s">
        <v>1</v>
      </c>
      <c r="CS553" s="4" t="s">
        <v>49</v>
      </c>
      <c r="CT553" s="70">
        <v>1618.41162109375</v>
      </c>
      <c r="CU553" s="70">
        <v>39.000331878662102</v>
      </c>
      <c r="CV553" s="70">
        <v>10.605191230773899</v>
      </c>
      <c r="CW553" s="70">
        <v>15.306977272033601</v>
      </c>
      <c r="CX553" s="4"/>
      <c r="CY553" s="69"/>
      <c r="CZ553" s="2" t="b">
        <f>IF($DP$1="YES",IF(RecData[[#This Row],[Power (kW)]]&gt;=$CR$3, TRUE,FALSE),TRUE)</f>
        <v>1</v>
      </c>
      <c r="DA553" s="16">
        <f>MIN(MOD(180-ABS(ABS($DA$1-RecData[Yaw Angle (°)])-180),360),MOD(180-ABS(ABS($DB$1-RecData[Yaw Angle (°)])-180),360))</f>
        <v>31.470405100974546</v>
      </c>
      <c r="DB553" s="2" t="str">
        <f>IF($DP$2="None","None",IF(RecData[[#This Row],[Relative Wind Direction]]&lt;=45,"DW",IF(RecData[[#This Row],[Relative Wind Direction]]&lt;=135,"CW","UW")))</f>
        <v>DW</v>
      </c>
      <c r="DC553" s="61">
        <f>IF($CL553-$CL549&gt;1/24,#REF!,IF(SUM($CQ549:$CQ553)&gt;$DS$1,$DS$5,DC554-1))</f>
        <v>-6</v>
      </c>
      <c r="DD553" s="61">
        <f>IF($CL554-$CL553&gt;1/24,#REF!,IF(SUM($CQ549:$CQ553)&gt;$DS$1,$DS$6,DD552-1))</f>
        <v>-5</v>
      </c>
      <c r="DE553" s="18" t="b">
        <v>0</v>
      </c>
      <c r="DF553" s="2" t="b">
        <f>IF(OR(RecData[[#This Row],[WSpd_Avg '[m/s']]]-RecData[[#This Row],[Wind Speed min]]&gt;=$DF$3,RecData[[#This Row],[Wind Speed max]]-RecData[[#This Row],[WSpd_Avg '[m/s']]]&gt;=$DF$2),TRUE,FALSE)</f>
        <v>0</v>
      </c>
      <c r="DG553" s="2" t="b">
        <f>RecData[[#This Row],[Temperature '[°C']]]&lt;=-20</f>
        <v>0</v>
      </c>
      <c r="DH553" s="18" t="b">
        <f>NOT(OR(MOD(RecData[[#This Row],[TIMESTAMP]],1)&gt;0.91632,MOD(RecData[[#This Row],[TIMESTAMP]],1)&lt;0.208681))</f>
        <v>0</v>
      </c>
      <c r="DI553" s="18" t="b">
        <f>RecData[[#This Row],[Overall (dBA)]]-RecData[[#This Row],[L90]]&gt;=$DS$4</f>
        <v>0</v>
      </c>
      <c r="DJ553" s="18" t="b">
        <f>RecData[[#This Row],[Overall (dBA)]]&gt;$DS$2</f>
        <v>0</v>
      </c>
      <c r="DK553" s="18" t="b">
        <f>RecData[[#This Row],[Overall (dBA)]]&lt;$DS$3</f>
        <v>0</v>
      </c>
      <c r="DL5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3" s="2">
        <f>IF(AND(RecData[[#This Row],[Turbines ON/OFF]] = "OFF", NOT(OR(RecData[[#This Row],[Junk?]]="YES",RecData[[#This Row],[Gust?]],RecData[[#This Row],[Rain?]:[Min SPL Threshold?]]))),1,0)</f>
        <v>0</v>
      </c>
      <c r="DN553" s="16">
        <f>RecData[[#This Row],[dBA Sum]]</f>
        <v>39.021136819569158</v>
      </c>
      <c r="DO553" s="16">
        <f>RecData[[#This Row],[LAF90.0]]</f>
        <v>38.200000000000003</v>
      </c>
      <c r="DP553" s="55">
        <f>IF(AND(RecData[[#This Row],[Useable TON Data?]],RecData[[#This Row],[Turbines ON/OFF]]="ON"),RecData[[#This Row],[dBA Sum]],"")</f>
        <v>39.021136819569158</v>
      </c>
      <c r="DQ553" s="55" t="str">
        <f>IF(AND(RecData[[#This Row],[Useable Background Data?]],RecData[[#This Row],[Turbines ON/OFF]]="OFF"),RecData[[#This Row],[dBA Sum]],"")</f>
        <v/>
      </c>
      <c r="DR553" s="3">
        <f>IF(OR(RecData[[#This Row],[Useable TON Data?]],RecData[[#This Row],[Useable Background Data?]]),ROUND(RecData[[#This Row],[WSpd_Avg '[m/s']]],0),"")</f>
        <v>1</v>
      </c>
      <c r="DS553" s="85">
        <f>(0.00002)^2*(10^(RecData[[#This Row],[Overall (dBA)]]/10))</f>
        <v>3.192814398390066E-6</v>
      </c>
    </row>
    <row r="554" spans="1:123" ht="15" x14ac:dyDescent="0.25">
      <c r="A554" s="3" t="s">
        <v>249</v>
      </c>
      <c r="B554" s="12">
        <v>43270.100694444445</v>
      </c>
      <c r="C554" s="3"/>
      <c r="D554" s="3">
        <v>39.9</v>
      </c>
      <c r="E554" s="3"/>
      <c r="F554" s="3"/>
      <c r="G554" s="3"/>
      <c r="H554" s="3"/>
      <c r="I554" s="3"/>
      <c r="J554" s="3"/>
      <c r="K554" s="3">
        <v>38.6</v>
      </c>
      <c r="L554" s="3"/>
      <c r="M554" s="3"/>
      <c r="N554" s="3">
        <v>183</v>
      </c>
      <c r="O554" s="3"/>
      <c r="P554" s="3"/>
      <c r="Q554" s="3">
        <v>0.72</v>
      </c>
      <c r="R554" s="3">
        <v>0.1</v>
      </c>
      <c r="S554" s="3">
        <v>1.2</v>
      </c>
      <c r="T554" s="3">
        <v>13.6</v>
      </c>
      <c r="U554" s="3">
        <v>75.2</v>
      </c>
      <c r="V554" s="3">
        <v>972.8</v>
      </c>
      <c r="W554" s="3">
        <v>0</v>
      </c>
      <c r="X554" s="3">
        <v>44.9</v>
      </c>
      <c r="Y554" s="3">
        <v>44.1</v>
      </c>
      <c r="Z554" s="3">
        <v>42.7</v>
      </c>
      <c r="AA554" s="3">
        <v>39.4</v>
      </c>
      <c r="AB554" s="3">
        <v>33.9</v>
      </c>
      <c r="AC554" s="3">
        <v>33.1</v>
      </c>
      <c r="AD554" s="3">
        <v>38.1</v>
      </c>
      <c r="AE554" s="3">
        <v>39.700000000000003</v>
      </c>
      <c r="AF554" s="3">
        <v>44.5</v>
      </c>
      <c r="AG554" s="3">
        <v>38.700000000000003</v>
      </c>
      <c r="AH554" s="3">
        <v>37.4</v>
      </c>
      <c r="AI554" s="3">
        <v>37.700000000000003</v>
      </c>
      <c r="AJ554" s="3">
        <v>36.4</v>
      </c>
      <c r="AK554" s="3">
        <v>35.1</v>
      </c>
      <c r="AL554" s="3">
        <v>33.200000000000003</v>
      </c>
      <c r="AM554" s="3">
        <v>33.200000000000003</v>
      </c>
      <c r="AN554" s="3">
        <v>31.3</v>
      </c>
      <c r="AO554" s="3">
        <v>28.4</v>
      </c>
      <c r="AP554" s="3">
        <v>26.2</v>
      </c>
      <c r="AQ554" s="3">
        <v>23.7</v>
      </c>
      <c r="AR554" s="3">
        <v>20.100000000000001</v>
      </c>
      <c r="AS554" s="3">
        <v>16.2</v>
      </c>
      <c r="AT554" s="3">
        <v>22.2</v>
      </c>
      <c r="AU554" s="3">
        <v>9.4</v>
      </c>
      <c r="AV554" s="3">
        <v>8.6999999999999993</v>
      </c>
      <c r="AW554" s="3">
        <v>9.1</v>
      </c>
      <c r="AX554" s="3">
        <v>9.1</v>
      </c>
      <c r="AY554" s="3">
        <v>9.4</v>
      </c>
      <c r="AZ554" s="3">
        <v>0</v>
      </c>
      <c r="BA554" s="3">
        <v>0</v>
      </c>
      <c r="BB554" s="3">
        <v>0</v>
      </c>
      <c r="BC554" s="3">
        <v>39.924287283660298</v>
      </c>
      <c r="BD554" s="3">
        <v>44.875712716339699</v>
      </c>
      <c r="BE554" s="3">
        <v>44.075712716339702</v>
      </c>
      <c r="BF554" s="3">
        <v>41.435712716339701</v>
      </c>
      <c r="BG554" s="3">
        <v>38.462379383006358</v>
      </c>
      <c r="BH554" s="3">
        <v>33.102379383006372</v>
      </c>
      <c r="BI554" s="3">
        <v>32.715712716339702</v>
      </c>
      <c r="BJ554" s="3">
        <v>38.509046049673039</v>
      </c>
      <c r="BK554" s="3">
        <v>39.982379383006368</v>
      </c>
      <c r="BL554" s="3">
        <v>44.355712716339703</v>
      </c>
      <c r="BM554" s="3">
        <v>38.689046049673046</v>
      </c>
      <c r="BN554" s="3">
        <v>37.672379383006366</v>
      </c>
      <c r="BO554" s="3">
        <v>37.339046049673037</v>
      </c>
      <c r="BP554" s="3">
        <v>35.755712716339708</v>
      </c>
      <c r="BQ554" s="3">
        <v>34.872379383006354</v>
      </c>
      <c r="BR554" s="3">
        <v>33.299046049673031</v>
      </c>
      <c r="BS554" s="3">
        <v>33.102379383006372</v>
      </c>
      <c r="BT554" s="3">
        <v>31.399046049673039</v>
      </c>
      <c r="BU554" s="3">
        <v>28.465712716339702</v>
      </c>
      <c r="BV554" s="3">
        <v>25.982379383006368</v>
      </c>
      <c r="BW554" s="3">
        <v>24.015712716339699</v>
      </c>
      <c r="BX554" s="3">
        <v>20.335712716339707</v>
      </c>
      <c r="BY554" s="3">
        <v>16.255712716339694</v>
      </c>
      <c r="BZ554" s="3">
        <v>22.385712716339704</v>
      </c>
      <c r="CA554" s="3">
        <v>9.6857127163396939</v>
      </c>
      <c r="CB554" s="3">
        <v>8.4223793830063656</v>
      </c>
      <c r="CC554" s="3">
        <v>9.0357127163396953</v>
      </c>
      <c r="CD554" s="3">
        <v>8.3423793830063673</v>
      </c>
      <c r="CE554" s="3">
        <v>8.8357127163396996</v>
      </c>
      <c r="CF554" s="3">
        <v>-0.95095395032696928</v>
      </c>
      <c r="CG554" s="3">
        <v>-1.4842872836603007</v>
      </c>
      <c r="CH554" s="3">
        <v>-2.5609539503269687</v>
      </c>
      <c r="CI554" s="13">
        <f>[1]!dbasum(RecData[[#This Row],[20]:[2000]],RecData[[#Headers],[20]:[2000]])</f>
        <v>39.692723444112872</v>
      </c>
      <c r="CJ554" s="14">
        <v>8322</v>
      </c>
      <c r="CK554" s="15" t="s">
        <v>249</v>
      </c>
      <c r="CL554" s="15">
        <f>RecData[[#This Row],[Start Time]]</f>
        <v>43270.100694444445</v>
      </c>
      <c r="CM554" s="16">
        <f>RecData[[#This Row],[Wind Speed avg]]</f>
        <v>0.72</v>
      </c>
      <c r="CN554" s="16">
        <f>RecData[[#This Row],[Wind Dir. avg]]</f>
        <v>183</v>
      </c>
      <c r="CO554" s="16">
        <f>RecData[[#This Row],[Amb. Humidity]]</f>
        <v>75.2</v>
      </c>
      <c r="CP554" s="16">
        <f>RecData[[#This Row],[Amb. Temperature]]</f>
        <v>13.6</v>
      </c>
      <c r="CQ554" s="17">
        <f>RecData[[#This Row],[Amb. Rain Gauge]]</f>
        <v>0</v>
      </c>
      <c r="CR554" s="4" t="s">
        <v>1</v>
      </c>
      <c r="CS554" s="4" t="s">
        <v>49</v>
      </c>
      <c r="CT554" s="70">
        <v>1618.41162109375</v>
      </c>
      <c r="CU554" s="70">
        <v>39.000331878662102</v>
      </c>
      <c r="CV554" s="70">
        <v>10.605191230773899</v>
      </c>
      <c r="CW554" s="70">
        <v>15.306977272033601</v>
      </c>
      <c r="CX554" s="4"/>
      <c r="CY554" s="69"/>
      <c r="CZ554" s="2" t="b">
        <f>IF($DP$1="YES",IF(RecData[[#This Row],[Power (kW)]]&gt;=$CR$3, TRUE,FALSE),TRUE)</f>
        <v>1</v>
      </c>
      <c r="DA554" s="16">
        <f>MIN(MOD(180-ABS(ABS($DA$1-RecData[Yaw Angle (°)])-180),360),MOD(180-ABS(ABS($DB$1-RecData[Yaw Angle (°)])-180),360))</f>
        <v>31.470405100974546</v>
      </c>
      <c r="DB554" s="2" t="str">
        <f>IF($DP$2="None","None",IF(RecData[[#This Row],[Relative Wind Direction]]&lt;=45,"DW",IF(RecData[[#This Row],[Relative Wind Direction]]&lt;=135,"CW","UW")))</f>
        <v>DW</v>
      </c>
      <c r="DC554" s="61">
        <f>IF($CL554-$CL550&gt;1/24,#REF!,IF(SUM($CQ550:$CQ554)&gt;$DS$1,$DS$5,DC555-1))</f>
        <v>-5</v>
      </c>
      <c r="DD554" s="61">
        <f>IF($CL555-$CL554&gt;1/24,#REF!,IF(SUM($CQ550:$CQ554)&gt;$DS$1,$DS$6,DD553-1))</f>
        <v>-6</v>
      </c>
      <c r="DE554" s="18" t="b">
        <v>0</v>
      </c>
      <c r="DF554" s="2" t="b">
        <f>IF(OR(RecData[[#This Row],[WSpd_Avg '[m/s']]]-RecData[[#This Row],[Wind Speed min]]&gt;=$DF$3,RecData[[#This Row],[Wind Speed max]]-RecData[[#This Row],[WSpd_Avg '[m/s']]]&gt;=$DF$2),TRUE,FALSE)</f>
        <v>0</v>
      </c>
      <c r="DG554" s="2" t="b">
        <f>RecData[[#This Row],[Temperature '[°C']]]&lt;=-20</f>
        <v>0</v>
      </c>
      <c r="DH554" s="18" t="b">
        <f>NOT(OR(MOD(RecData[[#This Row],[TIMESTAMP]],1)&gt;0.91632,MOD(RecData[[#This Row],[TIMESTAMP]],1)&lt;0.208681))</f>
        <v>0</v>
      </c>
      <c r="DI554" s="18" t="b">
        <f>RecData[[#This Row],[Overall (dBA)]]-RecData[[#This Row],[L90]]&gt;=$DS$4</f>
        <v>0</v>
      </c>
      <c r="DJ554" s="18" t="b">
        <f>RecData[[#This Row],[Overall (dBA)]]&gt;$DS$2</f>
        <v>0</v>
      </c>
      <c r="DK554" s="18" t="b">
        <f>RecData[[#This Row],[Overall (dBA)]]&lt;$DS$3</f>
        <v>0</v>
      </c>
      <c r="DL5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4" s="2">
        <f>IF(AND(RecData[[#This Row],[Turbines ON/OFF]] = "OFF", NOT(OR(RecData[[#This Row],[Junk?]]="YES",RecData[[#This Row],[Gust?]],RecData[[#This Row],[Rain?]:[Min SPL Threshold?]]))),1,0)</f>
        <v>0</v>
      </c>
      <c r="DN554" s="16">
        <f>RecData[[#This Row],[dBA Sum]]</f>
        <v>39.692723444112872</v>
      </c>
      <c r="DO554" s="16">
        <f>RecData[[#This Row],[LAF90.0]]</f>
        <v>38.6</v>
      </c>
      <c r="DP554" s="55">
        <f>IF(AND(RecData[[#This Row],[Useable TON Data?]],RecData[[#This Row],[Turbines ON/OFF]]="ON"),RecData[[#This Row],[dBA Sum]],"")</f>
        <v>39.692723444112872</v>
      </c>
      <c r="DQ554" s="55" t="str">
        <f>IF(AND(RecData[[#This Row],[Useable Background Data?]],RecData[[#This Row],[Turbines ON/OFF]]="OFF"),RecData[[#This Row],[dBA Sum]],"")</f>
        <v/>
      </c>
      <c r="DR554" s="3">
        <f>IF(OR(RecData[[#This Row],[Useable TON Data?]],RecData[[#This Row],[Useable Background Data?]]),ROUND(RecData[[#This Row],[WSpd_Avg '[m/s']]],0),"")</f>
        <v>1</v>
      </c>
      <c r="DS554" s="85">
        <f>(0.00002)^2*(10^(RecData[[#This Row],[Overall (dBA)]]/10))</f>
        <v>3.7267678111134815E-6</v>
      </c>
    </row>
    <row r="555" spans="1:123" ht="15" x14ac:dyDescent="0.25">
      <c r="A555" s="3" t="s">
        <v>249</v>
      </c>
      <c r="B555" s="12">
        <v>43270.101388888892</v>
      </c>
      <c r="C555" s="3"/>
      <c r="D555" s="3">
        <v>40.6</v>
      </c>
      <c r="E555" s="3"/>
      <c r="F555" s="3"/>
      <c r="G555" s="3"/>
      <c r="H555" s="3"/>
      <c r="I555" s="3"/>
      <c r="J555" s="3"/>
      <c r="K555" s="3">
        <v>39.299999999999997</v>
      </c>
      <c r="L555" s="3"/>
      <c r="M555" s="3"/>
      <c r="N555" s="3">
        <v>196.2</v>
      </c>
      <c r="O555" s="3"/>
      <c r="P555" s="3"/>
      <c r="Q555" s="3">
        <v>0.88</v>
      </c>
      <c r="R555" s="3">
        <v>0.5</v>
      </c>
      <c r="S555" s="3">
        <v>1.6</v>
      </c>
      <c r="T555" s="3">
        <v>13.6</v>
      </c>
      <c r="U555" s="3">
        <v>75</v>
      </c>
      <c r="V555" s="3">
        <v>972.8</v>
      </c>
      <c r="W555" s="3">
        <v>0</v>
      </c>
      <c r="X555" s="3">
        <v>45.3</v>
      </c>
      <c r="Y555" s="3">
        <v>44.6</v>
      </c>
      <c r="Z555" s="3">
        <v>44</v>
      </c>
      <c r="AA555" s="3">
        <v>40.299999999999997</v>
      </c>
      <c r="AB555" s="3">
        <v>34.9</v>
      </c>
      <c r="AC555" s="3">
        <v>33.1</v>
      </c>
      <c r="AD555" s="3">
        <v>38</v>
      </c>
      <c r="AE555" s="3">
        <v>39.700000000000003</v>
      </c>
      <c r="AF555" s="3">
        <v>45.8</v>
      </c>
      <c r="AG555" s="3">
        <v>39.9</v>
      </c>
      <c r="AH555" s="3">
        <v>37.6</v>
      </c>
      <c r="AI555" s="3">
        <v>38.6</v>
      </c>
      <c r="AJ555" s="3">
        <v>36.700000000000003</v>
      </c>
      <c r="AK555" s="3">
        <v>35.6</v>
      </c>
      <c r="AL555" s="3">
        <v>33.6</v>
      </c>
      <c r="AM555" s="3">
        <v>33.200000000000003</v>
      </c>
      <c r="AN555" s="3">
        <v>31.4</v>
      </c>
      <c r="AO555" s="3">
        <v>28.5</v>
      </c>
      <c r="AP555" s="3">
        <v>26.2</v>
      </c>
      <c r="AQ555" s="3">
        <v>23.9</v>
      </c>
      <c r="AR555" s="3">
        <v>20.399999999999999</v>
      </c>
      <c r="AS555" s="3">
        <v>17.2</v>
      </c>
      <c r="AT555" s="3">
        <v>28.3</v>
      </c>
      <c r="AU555" s="3">
        <v>13</v>
      </c>
      <c r="AV555" s="3">
        <v>9.5</v>
      </c>
      <c r="AW555" s="3">
        <v>9.4</v>
      </c>
      <c r="AX555" s="3">
        <v>9.1999999999999993</v>
      </c>
      <c r="AY555" s="3">
        <v>9.4</v>
      </c>
      <c r="AZ555" s="3">
        <v>0</v>
      </c>
      <c r="BA555" s="3">
        <v>0</v>
      </c>
      <c r="BB555" s="3">
        <v>0</v>
      </c>
      <c r="BC555" s="3">
        <v>40.585965170667109</v>
      </c>
      <c r="BD555" s="3">
        <v>45.314034829332897</v>
      </c>
      <c r="BE555" s="3">
        <v>44.614034829332894</v>
      </c>
      <c r="BF555" s="3">
        <v>42.774034829332891</v>
      </c>
      <c r="BG555" s="3">
        <v>39.400701495999556</v>
      </c>
      <c r="BH555" s="3">
        <v>34.140701495999551</v>
      </c>
      <c r="BI555" s="3">
        <v>32.754034829332895</v>
      </c>
      <c r="BJ555" s="3">
        <v>38.447368162666223</v>
      </c>
      <c r="BK555" s="3">
        <v>40.02070149599956</v>
      </c>
      <c r="BL555" s="3">
        <v>45.694034829332892</v>
      </c>
      <c r="BM555" s="3">
        <v>39.927368162666227</v>
      </c>
      <c r="BN555" s="3">
        <v>37.910701495999561</v>
      </c>
      <c r="BO555" s="3">
        <v>38.277368162666235</v>
      </c>
      <c r="BP555" s="3">
        <v>36.094034829332898</v>
      </c>
      <c r="BQ555" s="3">
        <v>35.410701495999561</v>
      </c>
      <c r="BR555" s="3">
        <v>33.737368162666229</v>
      </c>
      <c r="BS555" s="3">
        <v>33.140701495999565</v>
      </c>
      <c r="BT555" s="3">
        <v>31.537368162666226</v>
      </c>
      <c r="BU555" s="3">
        <v>28.604034829332889</v>
      </c>
      <c r="BV555" s="3">
        <v>26.02070149599956</v>
      </c>
      <c r="BW555" s="3">
        <v>24.254034829332895</v>
      </c>
      <c r="BX555" s="3">
        <v>20.674034829332896</v>
      </c>
      <c r="BY555" s="3">
        <v>17.294034829332887</v>
      </c>
      <c r="BZ555" s="3">
        <v>28.524034829332905</v>
      </c>
      <c r="CA555" s="3">
        <v>13.324034829332888</v>
      </c>
      <c r="CB555" s="3">
        <v>9.2607014959995553</v>
      </c>
      <c r="CC555" s="3">
        <v>9.3740348293328921</v>
      </c>
      <c r="CD555" s="3">
        <v>8.4807014959995612</v>
      </c>
      <c r="CE555" s="3">
        <v>8.8740348293328921</v>
      </c>
      <c r="CF555" s="3">
        <v>-0.91263183733377673</v>
      </c>
      <c r="CG555" s="3">
        <v>-1.4459651706671082</v>
      </c>
      <c r="CH555" s="3">
        <v>-2.5226318373337762</v>
      </c>
      <c r="CI555" s="13">
        <f>[1]!dbasum(RecData[[#This Row],[20]:[2000]],RecData[[#Headers],[20]:[2000]])</f>
        <v>40.123502360895394</v>
      </c>
      <c r="CJ555" s="14">
        <v>8323</v>
      </c>
      <c r="CK555" s="15" t="s">
        <v>249</v>
      </c>
      <c r="CL555" s="15">
        <f>RecData[[#This Row],[Start Time]]</f>
        <v>43270.101388888892</v>
      </c>
      <c r="CM555" s="16">
        <f>RecData[[#This Row],[Wind Speed avg]]</f>
        <v>0.88</v>
      </c>
      <c r="CN555" s="16">
        <f>RecData[[#This Row],[Wind Dir. avg]]</f>
        <v>196.2</v>
      </c>
      <c r="CO555" s="16">
        <f>RecData[[#This Row],[Amb. Humidity]]</f>
        <v>75</v>
      </c>
      <c r="CP555" s="16">
        <f>RecData[[#This Row],[Amb. Temperature]]</f>
        <v>13.6</v>
      </c>
      <c r="CQ555" s="17">
        <f>RecData[[#This Row],[Amb. Rain Gauge]]</f>
        <v>0</v>
      </c>
      <c r="CR555" s="4" t="s">
        <v>1</v>
      </c>
      <c r="CS555" s="4" t="s">
        <v>49</v>
      </c>
      <c r="CT555" s="70">
        <v>1618.41162109375</v>
      </c>
      <c r="CU555" s="70">
        <v>39.000331878662102</v>
      </c>
      <c r="CV555" s="70">
        <v>10.605191230773899</v>
      </c>
      <c r="CW555" s="70">
        <v>15.306977272033601</v>
      </c>
      <c r="CX555" s="4"/>
      <c r="CY555" s="69"/>
      <c r="CZ555" s="2" t="b">
        <f>IF($DP$1="YES",IF(RecData[[#This Row],[Power (kW)]]&gt;=$CR$3, TRUE,FALSE),TRUE)</f>
        <v>1</v>
      </c>
      <c r="DA555" s="16">
        <f>MIN(MOD(180-ABS(ABS($DA$1-RecData[Yaw Angle (°)])-180),360),MOD(180-ABS(ABS($DB$1-RecData[Yaw Angle (°)])-180),360))</f>
        <v>31.470405100974546</v>
      </c>
      <c r="DB555" s="2" t="str">
        <f>IF($DP$2="None","None",IF(RecData[[#This Row],[Relative Wind Direction]]&lt;=45,"DW",IF(RecData[[#This Row],[Relative Wind Direction]]&lt;=135,"CW","UW")))</f>
        <v>DW</v>
      </c>
      <c r="DC555" s="61">
        <f>IF($CL555-$CL551&gt;1/24,#REF!,IF(SUM($CQ551:$CQ555)&gt;$DS$1,$DS$5,DC556-1))</f>
        <v>-4</v>
      </c>
      <c r="DD555" s="61">
        <f>IF($CL556-$CL555&gt;1/24,#REF!,IF(SUM($CQ551:$CQ555)&gt;$DS$1,$DS$6,DD554-1))</f>
        <v>-7</v>
      </c>
      <c r="DE555" s="18" t="b">
        <v>0</v>
      </c>
      <c r="DF555" s="2" t="b">
        <f>IF(OR(RecData[[#This Row],[WSpd_Avg '[m/s']]]-RecData[[#This Row],[Wind Speed min]]&gt;=$DF$3,RecData[[#This Row],[Wind Speed max]]-RecData[[#This Row],[WSpd_Avg '[m/s']]]&gt;=$DF$2),TRUE,FALSE)</f>
        <v>0</v>
      </c>
      <c r="DG555" s="2" t="b">
        <f>RecData[[#This Row],[Temperature '[°C']]]&lt;=-20</f>
        <v>0</v>
      </c>
      <c r="DH555" s="18" t="b">
        <f>NOT(OR(MOD(RecData[[#This Row],[TIMESTAMP]],1)&gt;0.91632,MOD(RecData[[#This Row],[TIMESTAMP]],1)&lt;0.208681))</f>
        <v>0</v>
      </c>
      <c r="DI555" s="18" t="b">
        <f>RecData[[#This Row],[Overall (dBA)]]-RecData[[#This Row],[L90]]&gt;=$DS$4</f>
        <v>0</v>
      </c>
      <c r="DJ555" s="18" t="b">
        <f>RecData[[#This Row],[Overall (dBA)]]&gt;$DS$2</f>
        <v>0</v>
      </c>
      <c r="DK555" s="18" t="b">
        <f>RecData[[#This Row],[Overall (dBA)]]&lt;$DS$3</f>
        <v>0</v>
      </c>
      <c r="DL5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5" s="2">
        <f>IF(AND(RecData[[#This Row],[Turbines ON/OFF]] = "OFF", NOT(OR(RecData[[#This Row],[Junk?]]="YES",RecData[[#This Row],[Gust?]],RecData[[#This Row],[Rain?]:[Min SPL Threshold?]]))),1,0)</f>
        <v>0</v>
      </c>
      <c r="DN555" s="16">
        <f>RecData[[#This Row],[dBA Sum]]</f>
        <v>40.123502360895394</v>
      </c>
      <c r="DO555" s="16">
        <f>RecData[[#This Row],[LAF90.0]]</f>
        <v>39.299999999999997</v>
      </c>
      <c r="DP555" s="55">
        <f>IF(AND(RecData[[#This Row],[Useable TON Data?]],RecData[[#This Row],[Turbines ON/OFF]]="ON"),RecData[[#This Row],[dBA Sum]],"")</f>
        <v>40.123502360895394</v>
      </c>
      <c r="DQ555" s="55" t="str">
        <f>IF(AND(RecData[[#This Row],[Useable Background Data?]],RecData[[#This Row],[Turbines ON/OFF]]="OFF"),RecData[[#This Row],[dBA Sum]],"")</f>
        <v/>
      </c>
      <c r="DR555" s="3">
        <f>IF(OR(RecData[[#This Row],[Useable TON Data?]],RecData[[#This Row],[Useable Background Data?]]),ROUND(RecData[[#This Row],[WSpd_Avg '[m/s']]],0),"")</f>
        <v>1</v>
      </c>
      <c r="DS555" s="85">
        <f>(0.00002)^2*(10^(RecData[[#This Row],[Overall (dBA)]]/10))</f>
        <v>4.1153826984150344E-6</v>
      </c>
    </row>
    <row r="556" spans="1:123" ht="15" x14ac:dyDescent="0.25">
      <c r="A556" s="3" t="s">
        <v>249</v>
      </c>
      <c r="B556" s="12">
        <v>43270.102083333339</v>
      </c>
      <c r="C556" s="3"/>
      <c r="D556" s="3">
        <v>39.9</v>
      </c>
      <c r="E556" s="3"/>
      <c r="F556" s="3"/>
      <c r="G556" s="3"/>
      <c r="H556" s="3"/>
      <c r="I556" s="3"/>
      <c r="J556" s="3"/>
      <c r="K556" s="3">
        <v>38.4</v>
      </c>
      <c r="L556" s="3"/>
      <c r="M556" s="3"/>
      <c r="N556" s="3">
        <v>179.2</v>
      </c>
      <c r="O556" s="3"/>
      <c r="P556" s="3"/>
      <c r="Q556" s="3">
        <v>0.85</v>
      </c>
      <c r="R556" s="3">
        <v>0.4</v>
      </c>
      <c r="S556" s="3">
        <v>1.6</v>
      </c>
      <c r="T556" s="3">
        <v>13.6</v>
      </c>
      <c r="U556" s="3">
        <v>75</v>
      </c>
      <c r="V556" s="3">
        <v>972.8</v>
      </c>
      <c r="W556" s="3">
        <v>0</v>
      </c>
      <c r="X556" s="3">
        <v>45.2</v>
      </c>
      <c r="Y556" s="3">
        <v>44.1</v>
      </c>
      <c r="Z556" s="3">
        <v>42.9</v>
      </c>
      <c r="AA556" s="3">
        <v>39.5</v>
      </c>
      <c r="AB556" s="3">
        <v>34.200000000000003</v>
      </c>
      <c r="AC556" s="3">
        <v>33.5</v>
      </c>
      <c r="AD556" s="3">
        <v>37.200000000000003</v>
      </c>
      <c r="AE556" s="3">
        <v>39.200000000000003</v>
      </c>
      <c r="AF556" s="3">
        <v>44.9</v>
      </c>
      <c r="AG556" s="3">
        <v>39.1</v>
      </c>
      <c r="AH556" s="3">
        <v>37.200000000000003</v>
      </c>
      <c r="AI556" s="3">
        <v>38.1</v>
      </c>
      <c r="AJ556" s="3">
        <v>36.4</v>
      </c>
      <c r="AK556" s="3">
        <v>35.299999999999997</v>
      </c>
      <c r="AL556" s="3">
        <v>33.299999999999997</v>
      </c>
      <c r="AM556" s="3">
        <v>32.799999999999997</v>
      </c>
      <c r="AN556" s="3">
        <v>30.8</v>
      </c>
      <c r="AO556" s="3">
        <v>27.9</v>
      </c>
      <c r="AP556" s="3">
        <v>25.7</v>
      </c>
      <c r="AQ556" s="3">
        <v>23.2</v>
      </c>
      <c r="AR556" s="3">
        <v>19.7</v>
      </c>
      <c r="AS556" s="3">
        <v>16</v>
      </c>
      <c r="AT556" s="3">
        <v>22.7</v>
      </c>
      <c r="AU556" s="3">
        <v>10.3</v>
      </c>
      <c r="AV556" s="3">
        <v>9.6</v>
      </c>
      <c r="AW556" s="3">
        <v>9.6</v>
      </c>
      <c r="AX556" s="3">
        <v>9.3000000000000007</v>
      </c>
      <c r="AY556" s="3">
        <v>9.5</v>
      </c>
      <c r="AZ556" s="3">
        <v>0</v>
      </c>
      <c r="BA556" s="3">
        <v>0</v>
      </c>
      <c r="BB556" s="3">
        <v>0</v>
      </c>
      <c r="BC556" s="3">
        <v>39.848487921160107</v>
      </c>
      <c r="BD556" s="3">
        <v>45.251512078839887</v>
      </c>
      <c r="BE556" s="3">
        <v>44.151512078839893</v>
      </c>
      <c r="BF556" s="3">
        <v>41.711512078839895</v>
      </c>
      <c r="BG556" s="3">
        <v>38.638178745506558</v>
      </c>
      <c r="BH556" s="3">
        <v>33.478178745506561</v>
      </c>
      <c r="BI556" s="3">
        <v>33.191512078839885</v>
      </c>
      <c r="BJ556" s="3">
        <v>37.684845412173225</v>
      </c>
      <c r="BK556" s="3">
        <v>39.558178745506559</v>
      </c>
      <c r="BL556" s="3">
        <v>44.8315120788399</v>
      </c>
      <c r="BM556" s="3">
        <v>39.164845412173229</v>
      </c>
      <c r="BN556" s="3">
        <v>37.548178745506569</v>
      </c>
      <c r="BO556" s="3">
        <v>37.81484541217322</v>
      </c>
      <c r="BP556" s="3">
        <v>35.8315120788399</v>
      </c>
      <c r="BQ556" s="3">
        <v>35.148178745506549</v>
      </c>
      <c r="BR556" s="3">
        <v>33.474845412173217</v>
      </c>
      <c r="BS556" s="3">
        <v>32.778178745506558</v>
      </c>
      <c r="BT556" s="3">
        <v>30.974845412173231</v>
      </c>
      <c r="BU556" s="3">
        <v>28.041512078839894</v>
      </c>
      <c r="BV556" s="3">
        <v>25.558178745506559</v>
      </c>
      <c r="BW556" s="3">
        <v>23.591512078839891</v>
      </c>
      <c r="BX556" s="3">
        <v>20.011512078839893</v>
      </c>
      <c r="BY556" s="3">
        <v>16.13151207883989</v>
      </c>
      <c r="BZ556" s="3">
        <v>22.961512078839895</v>
      </c>
      <c r="CA556" s="3">
        <v>10.661512078839884</v>
      </c>
      <c r="CB556" s="3">
        <v>9.3981787455065557</v>
      </c>
      <c r="CC556" s="3">
        <v>9.6115120788398869</v>
      </c>
      <c r="CD556" s="3">
        <v>8.6181787455065617</v>
      </c>
      <c r="CE556" s="3">
        <v>9.0115120788398926</v>
      </c>
      <c r="CF556" s="3">
        <v>-0.87515458782677769</v>
      </c>
      <c r="CG556" s="3">
        <v>-1.4084879211601091</v>
      </c>
      <c r="CH556" s="3">
        <v>-2.4851545878267771</v>
      </c>
      <c r="CI556" s="13">
        <f>[1]!dbasum(RecData[[#This Row],[20]:[2000]],RecData[[#Headers],[20]:[2000]])</f>
        <v>39.667010295196569</v>
      </c>
      <c r="CJ556" s="14">
        <v>8324</v>
      </c>
      <c r="CK556" s="15" t="s">
        <v>249</v>
      </c>
      <c r="CL556" s="15">
        <f>RecData[[#This Row],[Start Time]]</f>
        <v>43270.102083333339</v>
      </c>
      <c r="CM556" s="16">
        <f>RecData[[#This Row],[Wind Speed avg]]</f>
        <v>0.85</v>
      </c>
      <c r="CN556" s="16">
        <f>RecData[[#This Row],[Wind Dir. avg]]</f>
        <v>179.2</v>
      </c>
      <c r="CO556" s="16">
        <f>RecData[[#This Row],[Amb. Humidity]]</f>
        <v>75</v>
      </c>
      <c r="CP556" s="16">
        <f>RecData[[#This Row],[Amb. Temperature]]</f>
        <v>13.6</v>
      </c>
      <c r="CQ556" s="17">
        <f>RecData[[#This Row],[Amb. Rain Gauge]]</f>
        <v>0</v>
      </c>
      <c r="CR556" s="4" t="s">
        <v>1</v>
      </c>
      <c r="CS556" s="4" t="s">
        <v>49</v>
      </c>
      <c r="CT556" s="70">
        <v>1618.41162109375</v>
      </c>
      <c r="CU556" s="70">
        <v>39.000331878662102</v>
      </c>
      <c r="CV556" s="70">
        <v>10.605191230773899</v>
      </c>
      <c r="CW556" s="70">
        <v>15.306977272033601</v>
      </c>
      <c r="CX556" s="4"/>
      <c r="CY556" s="69"/>
      <c r="CZ556" s="2" t="b">
        <f>IF($DP$1="YES",IF(RecData[[#This Row],[Power (kW)]]&gt;=$CR$3, TRUE,FALSE),TRUE)</f>
        <v>1</v>
      </c>
      <c r="DA556" s="16">
        <f>MIN(MOD(180-ABS(ABS($DA$1-RecData[Yaw Angle (°)])-180),360),MOD(180-ABS(ABS($DB$1-RecData[Yaw Angle (°)])-180),360))</f>
        <v>31.470405100974546</v>
      </c>
      <c r="DB556" s="2" t="str">
        <f>IF($DP$2="None","None",IF(RecData[[#This Row],[Relative Wind Direction]]&lt;=45,"DW",IF(RecData[[#This Row],[Relative Wind Direction]]&lt;=135,"CW","UW")))</f>
        <v>DW</v>
      </c>
      <c r="DC556" s="61">
        <f>IF($CL556-$CL552&gt;1/24,#REF!,IF(SUM($CQ552:$CQ556)&gt;$DS$1,$DS$5,DC557-1))</f>
        <v>-3</v>
      </c>
      <c r="DD556" s="61">
        <f>IF($CL557-$CL556&gt;1/24,#REF!,IF(SUM($CQ552:$CQ556)&gt;$DS$1,$DS$6,DD555-1))</f>
        <v>-8</v>
      </c>
      <c r="DE556" s="18" t="b">
        <v>0</v>
      </c>
      <c r="DF556" s="2" t="b">
        <f>IF(OR(RecData[[#This Row],[WSpd_Avg '[m/s']]]-RecData[[#This Row],[Wind Speed min]]&gt;=$DF$3,RecData[[#This Row],[Wind Speed max]]-RecData[[#This Row],[WSpd_Avg '[m/s']]]&gt;=$DF$2),TRUE,FALSE)</f>
        <v>0</v>
      </c>
      <c r="DG556" s="2" t="b">
        <f>RecData[[#This Row],[Temperature '[°C']]]&lt;=-20</f>
        <v>0</v>
      </c>
      <c r="DH556" s="18" t="b">
        <f>NOT(OR(MOD(RecData[[#This Row],[TIMESTAMP]],1)&gt;0.91632,MOD(RecData[[#This Row],[TIMESTAMP]],1)&lt;0.208681))</f>
        <v>0</v>
      </c>
      <c r="DI556" s="18" t="b">
        <f>RecData[[#This Row],[Overall (dBA)]]-RecData[[#This Row],[L90]]&gt;=$DS$4</f>
        <v>0</v>
      </c>
      <c r="DJ556" s="18" t="b">
        <f>RecData[[#This Row],[Overall (dBA)]]&gt;$DS$2</f>
        <v>0</v>
      </c>
      <c r="DK556" s="18" t="b">
        <f>RecData[[#This Row],[Overall (dBA)]]&lt;$DS$3</f>
        <v>0</v>
      </c>
      <c r="DL5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6" s="2">
        <f>IF(AND(RecData[[#This Row],[Turbines ON/OFF]] = "OFF", NOT(OR(RecData[[#This Row],[Junk?]]="YES",RecData[[#This Row],[Gust?]],RecData[[#This Row],[Rain?]:[Min SPL Threshold?]]))),1,0)</f>
        <v>0</v>
      </c>
      <c r="DN556" s="16">
        <f>RecData[[#This Row],[dBA Sum]]</f>
        <v>39.667010295196569</v>
      </c>
      <c r="DO556" s="16">
        <f>RecData[[#This Row],[LAF90.0]]</f>
        <v>38.4</v>
      </c>
      <c r="DP556" s="55">
        <f>IF(AND(RecData[[#This Row],[Useable TON Data?]],RecData[[#This Row],[Turbines ON/OFF]]="ON"),RecData[[#This Row],[dBA Sum]],"")</f>
        <v>39.667010295196569</v>
      </c>
      <c r="DQ556" s="55" t="str">
        <f>IF(AND(RecData[[#This Row],[Useable Background Data?]],RecData[[#This Row],[Turbines ON/OFF]]="OFF"),RecData[[#This Row],[dBA Sum]],"")</f>
        <v/>
      </c>
      <c r="DR556" s="3">
        <f>IF(OR(RecData[[#This Row],[Useable TON Data?]],RecData[[#This Row],[Useable Background Data?]]),ROUND(RecData[[#This Row],[WSpd_Avg '[m/s']]],0),"")</f>
        <v>1</v>
      </c>
      <c r="DS556" s="85">
        <f>(0.00002)^2*(10^(RecData[[#This Row],[Overall (dBA)]]/10))</f>
        <v>3.7047680347359759E-6</v>
      </c>
    </row>
    <row r="557" spans="1:123" ht="15" x14ac:dyDescent="0.25">
      <c r="A557" s="3" t="s">
        <v>249</v>
      </c>
      <c r="B557" s="12">
        <v>43270.102777777778</v>
      </c>
      <c r="C557" s="3"/>
      <c r="D557" s="3">
        <v>39.700000000000003</v>
      </c>
      <c r="E557" s="3"/>
      <c r="F557" s="3"/>
      <c r="G557" s="3"/>
      <c r="H557" s="3"/>
      <c r="I557" s="3"/>
      <c r="J557" s="3"/>
      <c r="K557" s="3">
        <v>38.5</v>
      </c>
      <c r="L557" s="3"/>
      <c r="M557" s="3"/>
      <c r="N557" s="3">
        <v>190.6</v>
      </c>
      <c r="O557" s="3"/>
      <c r="P557" s="3"/>
      <c r="Q557" s="3">
        <v>1.03</v>
      </c>
      <c r="R557" s="3">
        <v>0.7</v>
      </c>
      <c r="S557" s="3">
        <v>1.4</v>
      </c>
      <c r="T557" s="3">
        <v>13.6</v>
      </c>
      <c r="U557" s="3">
        <v>74.900000000000006</v>
      </c>
      <c r="V557" s="3">
        <v>972.8</v>
      </c>
      <c r="W557" s="3">
        <v>0</v>
      </c>
      <c r="X557" s="3">
        <v>45.2</v>
      </c>
      <c r="Y557" s="3">
        <v>44.5</v>
      </c>
      <c r="Z557" s="3">
        <v>43.8</v>
      </c>
      <c r="AA557" s="3">
        <v>40.299999999999997</v>
      </c>
      <c r="AB557" s="3">
        <v>34.799999999999997</v>
      </c>
      <c r="AC557" s="3">
        <v>32</v>
      </c>
      <c r="AD557" s="3">
        <v>37</v>
      </c>
      <c r="AE557" s="3">
        <v>38.9</v>
      </c>
      <c r="AF557" s="3">
        <v>44.2</v>
      </c>
      <c r="AG557" s="3">
        <v>38.799999999999997</v>
      </c>
      <c r="AH557" s="3">
        <v>36.6</v>
      </c>
      <c r="AI557" s="3">
        <v>37.4</v>
      </c>
      <c r="AJ557" s="3">
        <v>36</v>
      </c>
      <c r="AK557" s="3">
        <v>34.799999999999997</v>
      </c>
      <c r="AL557" s="3">
        <v>32.9</v>
      </c>
      <c r="AM557" s="3">
        <v>32.9</v>
      </c>
      <c r="AN557" s="3">
        <v>31.1</v>
      </c>
      <c r="AO557" s="3">
        <v>28.2</v>
      </c>
      <c r="AP557" s="3">
        <v>26.1</v>
      </c>
      <c r="AQ557" s="3">
        <v>23.6</v>
      </c>
      <c r="AR557" s="3">
        <v>20.2</v>
      </c>
      <c r="AS557" s="3">
        <v>17.2</v>
      </c>
      <c r="AT557" s="3">
        <v>24.9</v>
      </c>
      <c r="AU557" s="3">
        <v>10.7</v>
      </c>
      <c r="AV557" s="3">
        <v>10.1</v>
      </c>
      <c r="AW557" s="3">
        <v>10.199999999999999</v>
      </c>
      <c r="AX557" s="3">
        <v>9.6</v>
      </c>
      <c r="AY557" s="3">
        <v>9.6</v>
      </c>
      <c r="AZ557" s="3">
        <v>0</v>
      </c>
      <c r="BA557" s="3">
        <v>0</v>
      </c>
      <c r="BB557" s="3">
        <v>0</v>
      </c>
      <c r="BC557" s="3">
        <v>39.750107734410264</v>
      </c>
      <c r="BD557" s="3">
        <v>45.149892265589742</v>
      </c>
      <c r="BE557" s="3">
        <v>44.449892265589739</v>
      </c>
      <c r="BF557" s="3">
        <v>42.509892265589727</v>
      </c>
      <c r="BG557" s="3">
        <v>39.336558932256409</v>
      </c>
      <c r="BH557" s="3">
        <v>33.976558932256395</v>
      </c>
      <c r="BI557" s="3">
        <v>31.589892265589739</v>
      </c>
      <c r="BJ557" s="3">
        <v>37.383225598923062</v>
      </c>
      <c r="BK557" s="3">
        <v>39.156558932256402</v>
      </c>
      <c r="BL557" s="3">
        <v>44.029892265589737</v>
      </c>
      <c r="BM557" s="3">
        <v>38.763225598923071</v>
      </c>
      <c r="BN557" s="3">
        <v>36.8465589322564</v>
      </c>
      <c r="BO557" s="3">
        <v>37.013225598923071</v>
      </c>
      <c r="BP557" s="3">
        <v>35.329892265589748</v>
      </c>
      <c r="BQ557" s="3">
        <v>34.546558932256389</v>
      </c>
      <c r="BR557" s="3">
        <v>32.973225598923065</v>
      </c>
      <c r="BS557" s="3">
        <v>32.776558932256407</v>
      </c>
      <c r="BT557" s="3">
        <v>31.173225598923082</v>
      </c>
      <c r="BU557" s="3">
        <v>28.239892265589745</v>
      </c>
      <c r="BV557" s="3">
        <v>25.856558932256405</v>
      </c>
      <c r="BW557" s="3">
        <v>23.889892265589744</v>
      </c>
      <c r="BX557" s="3">
        <v>20.409892265589747</v>
      </c>
      <c r="BY557" s="3">
        <v>17.22989226558974</v>
      </c>
      <c r="BZ557" s="3">
        <v>25.059892265589738</v>
      </c>
      <c r="CA557" s="3">
        <v>10.95989226558973</v>
      </c>
      <c r="CB557" s="3">
        <v>9.7965589322564028</v>
      </c>
      <c r="CC557" s="3">
        <v>10.109892265589735</v>
      </c>
      <c r="CD557" s="3">
        <v>8.8165589322564131</v>
      </c>
      <c r="CE557" s="3">
        <v>9.0098922655897411</v>
      </c>
      <c r="CF557" s="3">
        <v>-0.97677440107693059</v>
      </c>
      <c r="CG557" s="3">
        <v>-1.510107734410262</v>
      </c>
      <c r="CH557" s="3">
        <v>-2.58677440107693</v>
      </c>
      <c r="CI557" s="13">
        <f>[1]!dbasum(RecData[[#This Row],[20]:[2000]],RecData[[#Headers],[20]:[2000]])</f>
        <v>39.384287445853595</v>
      </c>
      <c r="CJ557" s="14">
        <v>8325</v>
      </c>
      <c r="CK557" s="15" t="s">
        <v>249</v>
      </c>
      <c r="CL557" s="15">
        <f>RecData[[#This Row],[Start Time]]</f>
        <v>43270.102777777778</v>
      </c>
      <c r="CM557" s="16">
        <f>RecData[[#This Row],[Wind Speed avg]]</f>
        <v>1.03</v>
      </c>
      <c r="CN557" s="16">
        <f>RecData[[#This Row],[Wind Dir. avg]]</f>
        <v>190.6</v>
      </c>
      <c r="CO557" s="16">
        <f>RecData[[#This Row],[Amb. Humidity]]</f>
        <v>74.900000000000006</v>
      </c>
      <c r="CP557" s="16">
        <f>RecData[[#This Row],[Amb. Temperature]]</f>
        <v>13.6</v>
      </c>
      <c r="CQ557" s="17">
        <f>RecData[[#This Row],[Amb. Rain Gauge]]</f>
        <v>0</v>
      </c>
      <c r="CR557" s="4" t="s">
        <v>1</v>
      </c>
      <c r="CS557" s="4" t="s">
        <v>49</v>
      </c>
      <c r="CT557" s="70">
        <v>1618.41162109375</v>
      </c>
      <c r="CU557" s="70">
        <v>39.000331878662102</v>
      </c>
      <c r="CV557" s="70">
        <v>10.605191230773899</v>
      </c>
      <c r="CW557" s="70">
        <v>15.306977272033601</v>
      </c>
      <c r="CX557" s="4"/>
      <c r="CY557" s="69"/>
      <c r="CZ557" s="2" t="b">
        <f>IF($DP$1="YES",IF(RecData[[#This Row],[Power (kW)]]&gt;=$CR$3, TRUE,FALSE),TRUE)</f>
        <v>1</v>
      </c>
      <c r="DA557" s="16">
        <f>MIN(MOD(180-ABS(ABS($DA$1-RecData[Yaw Angle (°)])-180),360),MOD(180-ABS(ABS($DB$1-RecData[Yaw Angle (°)])-180),360))</f>
        <v>31.470405100974546</v>
      </c>
      <c r="DB557" s="2" t="str">
        <f>IF($DP$2="None","None",IF(RecData[[#This Row],[Relative Wind Direction]]&lt;=45,"DW",IF(RecData[[#This Row],[Relative Wind Direction]]&lt;=135,"CW","UW")))</f>
        <v>DW</v>
      </c>
      <c r="DC557" s="61">
        <f>IF($CL557-$CL553&gt;1/24,#REF!,IF(SUM($CQ553:$CQ557)&gt;$DS$1,$DS$5,DC558-1))</f>
        <v>-2</v>
      </c>
      <c r="DD557" s="61">
        <f>IF($CL558-$CL557&gt;1/24,#REF!,IF(SUM($CQ553:$CQ557)&gt;$DS$1,$DS$6,DD556-1))</f>
        <v>-9</v>
      </c>
      <c r="DE557" s="18" t="b">
        <v>0</v>
      </c>
      <c r="DF557" s="2" t="b">
        <f>IF(OR(RecData[[#This Row],[WSpd_Avg '[m/s']]]-RecData[[#This Row],[Wind Speed min]]&gt;=$DF$3,RecData[[#This Row],[Wind Speed max]]-RecData[[#This Row],[WSpd_Avg '[m/s']]]&gt;=$DF$2),TRUE,FALSE)</f>
        <v>0</v>
      </c>
      <c r="DG557" s="2" t="b">
        <f>RecData[[#This Row],[Temperature '[°C']]]&lt;=-20</f>
        <v>0</v>
      </c>
      <c r="DH557" s="18" t="b">
        <f>NOT(OR(MOD(RecData[[#This Row],[TIMESTAMP]],1)&gt;0.91632,MOD(RecData[[#This Row],[TIMESTAMP]],1)&lt;0.208681))</f>
        <v>0</v>
      </c>
      <c r="DI557" s="18" t="b">
        <f>RecData[[#This Row],[Overall (dBA)]]-RecData[[#This Row],[L90]]&gt;=$DS$4</f>
        <v>0</v>
      </c>
      <c r="DJ557" s="18" t="b">
        <f>RecData[[#This Row],[Overall (dBA)]]&gt;$DS$2</f>
        <v>0</v>
      </c>
      <c r="DK557" s="18" t="b">
        <f>RecData[[#This Row],[Overall (dBA)]]&lt;$DS$3</f>
        <v>0</v>
      </c>
      <c r="DL5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7" s="2">
        <f>IF(AND(RecData[[#This Row],[Turbines ON/OFF]] = "OFF", NOT(OR(RecData[[#This Row],[Junk?]]="YES",RecData[[#This Row],[Gust?]],RecData[[#This Row],[Rain?]:[Min SPL Threshold?]]))),1,0)</f>
        <v>0</v>
      </c>
      <c r="DN557" s="16">
        <f>RecData[[#This Row],[dBA Sum]]</f>
        <v>39.384287445853595</v>
      </c>
      <c r="DO557" s="16">
        <f>RecData[[#This Row],[LAF90.0]]</f>
        <v>38.5</v>
      </c>
      <c r="DP557" s="55">
        <f>IF(AND(RecData[[#This Row],[Useable TON Data?]],RecData[[#This Row],[Turbines ON/OFF]]="ON"),RecData[[#This Row],[dBA Sum]],"")</f>
        <v>39.384287445853595</v>
      </c>
      <c r="DQ557" s="55" t="str">
        <f>IF(AND(RecData[[#This Row],[Useable Background Data?]],RecData[[#This Row],[Turbines ON/OFF]]="OFF"),RecData[[#This Row],[dBA Sum]],"")</f>
        <v/>
      </c>
      <c r="DR557" s="3">
        <f>IF(OR(RecData[[#This Row],[Useable TON Data?]],RecData[[#This Row],[Useable Background Data?]]),ROUND(RecData[[#This Row],[WSpd_Avg '[m/s']]],0),"")</f>
        <v>1</v>
      </c>
      <c r="DS557" s="85">
        <f>(0.00002)^2*(10^(RecData[[#This Row],[Overall (dBA)]]/10))</f>
        <v>3.4712727249816429E-6</v>
      </c>
    </row>
    <row r="558" spans="1:123" ht="15" x14ac:dyDescent="0.25">
      <c r="A558" s="3" t="s">
        <v>249</v>
      </c>
      <c r="B558" s="12">
        <v>43270.103472222225</v>
      </c>
      <c r="C558" s="3"/>
      <c r="D558" s="3">
        <v>40.5</v>
      </c>
      <c r="E558" s="3"/>
      <c r="F558" s="3"/>
      <c r="G558" s="3"/>
      <c r="H558" s="3"/>
      <c r="I558" s="3"/>
      <c r="J558" s="3"/>
      <c r="K558" s="3">
        <v>39.4</v>
      </c>
      <c r="L558" s="3"/>
      <c r="M558" s="3"/>
      <c r="N558" s="3">
        <v>171.5</v>
      </c>
      <c r="O558" s="3"/>
      <c r="P558" s="3"/>
      <c r="Q558" s="3">
        <v>1.03</v>
      </c>
      <c r="R558" s="3">
        <v>0.1</v>
      </c>
      <c r="S558" s="3">
        <v>1.8</v>
      </c>
      <c r="T558" s="3">
        <v>13.6</v>
      </c>
      <c r="U558" s="3">
        <v>75</v>
      </c>
      <c r="V558" s="3">
        <v>972.8</v>
      </c>
      <c r="W558" s="3">
        <v>0</v>
      </c>
      <c r="X558" s="3">
        <v>45.7</v>
      </c>
      <c r="Y558" s="3">
        <v>44.4</v>
      </c>
      <c r="Z558" s="3">
        <v>43.4</v>
      </c>
      <c r="AA558" s="3">
        <v>39.700000000000003</v>
      </c>
      <c r="AB558" s="3">
        <v>35.4</v>
      </c>
      <c r="AC558" s="3">
        <v>33.4</v>
      </c>
      <c r="AD558" s="3">
        <v>37.799999999999997</v>
      </c>
      <c r="AE558" s="3">
        <v>39.6</v>
      </c>
      <c r="AF558" s="3">
        <v>45.1</v>
      </c>
      <c r="AG558" s="3">
        <v>39.9</v>
      </c>
      <c r="AH558" s="3">
        <v>36.9</v>
      </c>
      <c r="AI558" s="3">
        <v>38.200000000000003</v>
      </c>
      <c r="AJ558" s="3">
        <v>36.700000000000003</v>
      </c>
      <c r="AK558" s="3">
        <v>35.6</v>
      </c>
      <c r="AL558" s="3">
        <v>33.6</v>
      </c>
      <c r="AM558" s="3">
        <v>33.5</v>
      </c>
      <c r="AN558" s="3">
        <v>31.7</v>
      </c>
      <c r="AO558" s="3">
        <v>29</v>
      </c>
      <c r="AP558" s="3">
        <v>26.6</v>
      </c>
      <c r="AQ558" s="3">
        <v>24.3</v>
      </c>
      <c r="AR558" s="3">
        <v>20.7</v>
      </c>
      <c r="AS558" s="3">
        <v>17.3</v>
      </c>
      <c r="AT558" s="3">
        <v>26.9</v>
      </c>
      <c r="AU558" s="3">
        <v>11.7</v>
      </c>
      <c r="AV558" s="3">
        <v>10.3</v>
      </c>
      <c r="AW558" s="3">
        <v>10.1</v>
      </c>
      <c r="AX558" s="3">
        <v>9.5</v>
      </c>
      <c r="AY558" s="3">
        <v>9.6</v>
      </c>
      <c r="AZ558" s="3">
        <v>0</v>
      </c>
      <c r="BA558" s="3">
        <v>0</v>
      </c>
      <c r="BB558" s="3">
        <v>0</v>
      </c>
      <c r="BC558" s="3">
        <v>40.512254345385315</v>
      </c>
      <c r="BD558" s="3">
        <v>45.687745654614687</v>
      </c>
      <c r="BE558" s="3">
        <v>44.38774565461469</v>
      </c>
      <c r="BF558" s="3">
        <v>42.147745654614681</v>
      </c>
      <c r="BG558" s="3">
        <v>38.774412321281346</v>
      </c>
      <c r="BH558" s="3">
        <v>34.61441232128135</v>
      </c>
      <c r="BI558" s="3">
        <v>33.027745654614677</v>
      </c>
      <c r="BJ558" s="3">
        <v>38.221078987948005</v>
      </c>
      <c r="BK558" s="3">
        <v>39.894412321281351</v>
      </c>
      <c r="BL558" s="3">
        <v>44.967745654614689</v>
      </c>
      <c r="BM558" s="3">
        <v>39.901078987948011</v>
      </c>
      <c r="BN558" s="3">
        <v>37.184412321281343</v>
      </c>
      <c r="BO558" s="3">
        <v>37.851078987948028</v>
      </c>
      <c r="BP558" s="3">
        <v>36.067745654614697</v>
      </c>
      <c r="BQ558" s="3">
        <v>35.384412321281346</v>
      </c>
      <c r="BR558" s="3">
        <v>33.711078987948014</v>
      </c>
      <c r="BS558" s="3">
        <v>33.414412321281361</v>
      </c>
      <c r="BT558" s="3">
        <v>31.811078987948022</v>
      </c>
      <c r="BU558" s="3">
        <v>29.077745654614688</v>
      </c>
      <c r="BV558" s="3">
        <v>26.394412321281351</v>
      </c>
      <c r="BW558" s="3">
        <v>24.627745654614685</v>
      </c>
      <c r="BX558" s="3">
        <v>20.947745654614693</v>
      </c>
      <c r="BY558" s="3">
        <v>17.36774565461468</v>
      </c>
      <c r="BZ558" s="3">
        <v>27.097745654614684</v>
      </c>
      <c r="CA558" s="3">
        <v>11.997745654614675</v>
      </c>
      <c r="CB558" s="3">
        <v>10.034412321281351</v>
      </c>
      <c r="CC558" s="3">
        <v>10.047745654614687</v>
      </c>
      <c r="CD558" s="3">
        <v>8.7544123212813574</v>
      </c>
      <c r="CE558" s="3">
        <v>9.0477456546146868</v>
      </c>
      <c r="CF558" s="3">
        <v>-0.93892101205198486</v>
      </c>
      <c r="CG558" s="3">
        <v>-1.4722543453853163</v>
      </c>
      <c r="CH558" s="3">
        <v>-2.5489210120519843</v>
      </c>
      <c r="CI558" s="13">
        <f>[1]!dbasum(RecData[[#This Row],[20]:[2000]],RecData[[#Headers],[20]:[2000]])</f>
        <v>40.123379185971288</v>
      </c>
      <c r="CJ558" s="14">
        <v>8326</v>
      </c>
      <c r="CK558" s="15" t="s">
        <v>249</v>
      </c>
      <c r="CL558" s="15">
        <f>RecData[[#This Row],[Start Time]]</f>
        <v>43270.103472222225</v>
      </c>
      <c r="CM558" s="16">
        <f>RecData[[#This Row],[Wind Speed avg]]</f>
        <v>1.03</v>
      </c>
      <c r="CN558" s="16">
        <f>RecData[[#This Row],[Wind Dir. avg]]</f>
        <v>171.5</v>
      </c>
      <c r="CO558" s="16">
        <f>RecData[[#This Row],[Amb. Humidity]]</f>
        <v>75</v>
      </c>
      <c r="CP558" s="16">
        <f>RecData[[#This Row],[Amb. Temperature]]</f>
        <v>13.6</v>
      </c>
      <c r="CQ558" s="17">
        <f>RecData[[#This Row],[Amb. Rain Gauge]]</f>
        <v>0</v>
      </c>
      <c r="CR558" s="4" t="s">
        <v>1</v>
      </c>
      <c r="CS558" s="4" t="s">
        <v>49</v>
      </c>
      <c r="CT558" s="70">
        <v>1618.41162109375</v>
      </c>
      <c r="CU558" s="70">
        <v>39.000331878662102</v>
      </c>
      <c r="CV558" s="70">
        <v>10.605191230773899</v>
      </c>
      <c r="CW558" s="70">
        <v>15.306977272033601</v>
      </c>
      <c r="CX558" s="4"/>
      <c r="CY558" s="69"/>
      <c r="CZ558" s="2" t="b">
        <f>IF($DP$1="YES",IF(RecData[[#This Row],[Power (kW)]]&gt;=$CR$3, TRUE,FALSE),TRUE)</f>
        <v>1</v>
      </c>
      <c r="DA558" s="16">
        <f>MIN(MOD(180-ABS(ABS($DA$1-RecData[Yaw Angle (°)])-180),360),MOD(180-ABS(ABS($DB$1-RecData[Yaw Angle (°)])-180),360))</f>
        <v>31.470405100974546</v>
      </c>
      <c r="DB558" s="2" t="str">
        <f>IF($DP$2="None","None",IF(RecData[[#This Row],[Relative Wind Direction]]&lt;=45,"DW",IF(RecData[[#This Row],[Relative Wind Direction]]&lt;=135,"CW","UW")))</f>
        <v>DW</v>
      </c>
      <c r="DC558" s="61">
        <v>-1</v>
      </c>
      <c r="DD558" s="61">
        <v>-1</v>
      </c>
      <c r="DE558" s="18" t="b">
        <v>0</v>
      </c>
      <c r="DF558" s="2" t="b">
        <f>IF(OR(RecData[[#This Row],[WSpd_Avg '[m/s']]]-RecData[[#This Row],[Wind Speed min]]&gt;=$DF$3,RecData[[#This Row],[Wind Speed max]]-RecData[[#This Row],[WSpd_Avg '[m/s']]]&gt;=$DF$2),TRUE,FALSE)</f>
        <v>0</v>
      </c>
      <c r="DG558" s="2" t="b">
        <f>RecData[[#This Row],[Temperature '[°C']]]&lt;=-20</f>
        <v>0</v>
      </c>
      <c r="DH558" s="18" t="b">
        <f>NOT(OR(MOD(RecData[[#This Row],[TIMESTAMP]],1)&gt;0.91632,MOD(RecData[[#This Row],[TIMESTAMP]],1)&lt;0.208681))</f>
        <v>0</v>
      </c>
      <c r="DI558" s="18" t="b">
        <f>RecData[[#This Row],[Overall (dBA)]]-RecData[[#This Row],[L90]]&gt;=$DS$4</f>
        <v>0</v>
      </c>
      <c r="DJ558" s="18" t="b">
        <f>RecData[[#This Row],[Overall (dBA)]]&gt;$DS$2</f>
        <v>0</v>
      </c>
      <c r="DK558" s="18" t="b">
        <f>RecData[[#This Row],[Overall (dBA)]]&lt;$DS$3</f>
        <v>0</v>
      </c>
      <c r="DL5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8" s="2">
        <f>IF(AND(RecData[[#This Row],[Turbines ON/OFF]] = "OFF", NOT(OR(RecData[[#This Row],[Junk?]]="YES",RecData[[#This Row],[Gust?]],RecData[[#This Row],[Rain?]:[Min SPL Threshold?]]))),1,0)</f>
        <v>0</v>
      </c>
      <c r="DN558" s="16">
        <f>RecData[[#This Row],[dBA Sum]]</f>
        <v>40.123379185971288</v>
      </c>
      <c r="DO558" s="16">
        <f>RecData[[#This Row],[LAF90.0]]</f>
        <v>39.4</v>
      </c>
      <c r="DP558" s="55">
        <f>IF(AND(RecData[[#This Row],[Useable TON Data?]],RecData[[#This Row],[Turbines ON/OFF]]="ON"),RecData[[#This Row],[dBA Sum]],"")</f>
        <v>40.123379185971288</v>
      </c>
      <c r="DQ558" s="55" t="str">
        <f>IF(AND(RecData[[#This Row],[Useable Background Data?]],RecData[[#This Row],[Turbines ON/OFF]]="OFF"),RecData[[#This Row],[dBA Sum]],"")</f>
        <v/>
      </c>
      <c r="DR558" s="3">
        <f>IF(OR(RecData[[#This Row],[Useable TON Data?]],RecData[[#This Row],[Useable Background Data?]]),ROUND(RecData[[#This Row],[WSpd_Avg '[m/s']]],0),"")</f>
        <v>1</v>
      </c>
      <c r="DS558" s="85">
        <f>(0.00002)^2*(10^(RecData[[#This Row],[Overall (dBA)]]/10))</f>
        <v>4.1152659792799297E-6</v>
      </c>
    </row>
    <row r="559" spans="1:123" ht="15" x14ac:dyDescent="0.25">
      <c r="A559" s="3" t="s">
        <v>249</v>
      </c>
      <c r="B559" s="12">
        <v>43270.104166666672</v>
      </c>
      <c r="C559" s="3"/>
      <c r="D559" s="3">
        <v>39.6</v>
      </c>
      <c r="E559" s="3"/>
      <c r="F559" s="3"/>
      <c r="G559" s="3"/>
      <c r="H559" s="3"/>
      <c r="I559" s="3"/>
      <c r="J559" s="3"/>
      <c r="K559" s="3">
        <v>38</v>
      </c>
      <c r="L559" s="3"/>
      <c r="M559" s="3"/>
      <c r="N559" s="3">
        <v>144.19999999999999</v>
      </c>
      <c r="O559" s="3"/>
      <c r="P559" s="3"/>
      <c r="Q559" s="3">
        <v>0.94</v>
      </c>
      <c r="R559" s="3">
        <v>0.2</v>
      </c>
      <c r="S559" s="3">
        <v>1.9</v>
      </c>
      <c r="T559" s="3">
        <v>13.7</v>
      </c>
      <c r="U559" s="3">
        <v>74.599999999999994</v>
      </c>
      <c r="V559" s="3">
        <v>972.8</v>
      </c>
      <c r="W559" s="3">
        <v>0</v>
      </c>
      <c r="X559" s="3">
        <v>45</v>
      </c>
      <c r="Y559" s="3">
        <v>43.3</v>
      </c>
      <c r="Z559" s="3">
        <v>42.7</v>
      </c>
      <c r="AA559" s="3">
        <v>38.700000000000003</v>
      </c>
      <c r="AB559" s="3">
        <v>33.299999999999997</v>
      </c>
      <c r="AC559" s="3">
        <v>31.7</v>
      </c>
      <c r="AD559" s="3">
        <v>36.6</v>
      </c>
      <c r="AE559" s="3">
        <v>38.5</v>
      </c>
      <c r="AF559" s="3">
        <v>44.3</v>
      </c>
      <c r="AG559" s="3">
        <v>38.4</v>
      </c>
      <c r="AH559" s="3">
        <v>36.6</v>
      </c>
      <c r="AI559" s="3">
        <v>36.9</v>
      </c>
      <c r="AJ559" s="3">
        <v>35.799999999999997</v>
      </c>
      <c r="AK559" s="3">
        <v>34.200000000000003</v>
      </c>
      <c r="AL559" s="3">
        <v>32.5</v>
      </c>
      <c r="AM559" s="3">
        <v>32.799999999999997</v>
      </c>
      <c r="AN559" s="3">
        <v>31.2</v>
      </c>
      <c r="AO559" s="3">
        <v>28.3</v>
      </c>
      <c r="AP559" s="3">
        <v>26.1</v>
      </c>
      <c r="AQ559" s="3">
        <v>23.6</v>
      </c>
      <c r="AR559" s="3">
        <v>20.399999999999999</v>
      </c>
      <c r="AS559" s="3">
        <v>17.2</v>
      </c>
      <c r="AT559" s="3">
        <v>24.7</v>
      </c>
      <c r="AU559" s="3">
        <v>12</v>
      </c>
      <c r="AV559" s="3">
        <v>10.8</v>
      </c>
      <c r="AW559" s="3">
        <v>10.5</v>
      </c>
      <c r="AX559" s="3">
        <v>9.6</v>
      </c>
      <c r="AY559" s="3">
        <v>9.6</v>
      </c>
      <c r="AZ559" s="3">
        <v>0</v>
      </c>
      <c r="BA559" s="3">
        <v>0</v>
      </c>
      <c r="BB559" s="3">
        <v>0</v>
      </c>
      <c r="BC559" s="3">
        <v>39.584339051631446</v>
      </c>
      <c r="BD559" s="3">
        <v>45.015660948368549</v>
      </c>
      <c r="BE559" s="3">
        <v>43.31566094836856</v>
      </c>
      <c r="BF559" s="3">
        <v>41.475660948368557</v>
      </c>
      <c r="BG559" s="3">
        <v>37.802327615035225</v>
      </c>
      <c r="BH559" s="3">
        <v>32.542327615035219</v>
      </c>
      <c r="BI559" s="3">
        <v>31.355660948368552</v>
      </c>
      <c r="BJ559" s="3">
        <v>37.04899428170188</v>
      </c>
      <c r="BK559" s="3">
        <v>38.822327615035221</v>
      </c>
      <c r="BL559" s="3">
        <v>44.195660948368555</v>
      </c>
      <c r="BM559" s="3">
        <v>38.42899428170189</v>
      </c>
      <c r="BN559" s="3">
        <v>36.912327615035224</v>
      </c>
      <c r="BO559" s="3">
        <v>36.578994281701881</v>
      </c>
      <c r="BP559" s="3">
        <v>35.195660948368555</v>
      </c>
      <c r="BQ559" s="3">
        <v>34.012327615035218</v>
      </c>
      <c r="BR559" s="3">
        <v>32.638994281701883</v>
      </c>
      <c r="BS559" s="3">
        <v>32.742327615035222</v>
      </c>
      <c r="BT559" s="3">
        <v>31.338994281701886</v>
      </c>
      <c r="BU559" s="3">
        <v>28.405660948368563</v>
      </c>
      <c r="BV559" s="3">
        <v>25.922327615035229</v>
      </c>
      <c r="BW559" s="3">
        <v>23.955660948368561</v>
      </c>
      <c r="BX559" s="3">
        <v>20.675660948368559</v>
      </c>
      <c r="BY559" s="3">
        <v>17.29566094836855</v>
      </c>
      <c r="BZ559" s="3">
        <v>24.925660948368559</v>
      </c>
      <c r="CA559" s="3">
        <v>12.325660948368551</v>
      </c>
      <c r="CB559" s="3">
        <v>10.562327615035223</v>
      </c>
      <c r="CC559" s="3">
        <v>10.475660948368557</v>
      </c>
      <c r="CD559" s="3">
        <v>8.8823276150352228</v>
      </c>
      <c r="CE559" s="3">
        <v>9.0756609483685509</v>
      </c>
      <c r="CF559" s="3">
        <v>-0.91100571829811372</v>
      </c>
      <c r="CG559" s="3">
        <v>-1.4443390516314452</v>
      </c>
      <c r="CH559" s="3">
        <v>-2.5210057182981132</v>
      </c>
      <c r="CI559" s="13">
        <f>[1]!dbasum(RecData[[#This Row],[20]:[2000]],RecData[[#Headers],[20]:[2000]])</f>
        <v>39.285071474128991</v>
      </c>
      <c r="CJ559" s="14">
        <v>8327</v>
      </c>
      <c r="CK559" s="15" t="s">
        <v>249</v>
      </c>
      <c r="CL559" s="15">
        <f>RecData[[#This Row],[Start Time]]</f>
        <v>43270.104166666672</v>
      </c>
      <c r="CM559" s="16">
        <f>RecData[[#This Row],[Wind Speed avg]]</f>
        <v>0.94</v>
      </c>
      <c r="CN559" s="16">
        <f>RecData[[#This Row],[Wind Dir. avg]]</f>
        <v>144.19999999999999</v>
      </c>
      <c r="CO559" s="16">
        <f>RecData[[#This Row],[Amb. Humidity]]</f>
        <v>74.599999999999994</v>
      </c>
      <c r="CP559" s="16">
        <f>RecData[[#This Row],[Amb. Temperature]]</f>
        <v>13.7</v>
      </c>
      <c r="CQ559" s="17">
        <f>RecData[[#This Row],[Amb. Rain Gauge]]</f>
        <v>0</v>
      </c>
      <c r="CR559" s="4" t="s">
        <v>1</v>
      </c>
      <c r="CS559" s="4" t="s">
        <v>49</v>
      </c>
      <c r="CT559" s="70">
        <v>1618.41162109375</v>
      </c>
      <c r="CU559" s="70">
        <v>39.000331878662102</v>
      </c>
      <c r="CV559" s="70">
        <v>10.605191230773899</v>
      </c>
      <c r="CW559" s="70">
        <v>15.306977272033601</v>
      </c>
      <c r="CX559" s="4"/>
      <c r="CY559" s="69"/>
      <c r="CZ559" s="2" t="b">
        <f>IF($DP$1="YES",IF(RecData[[#This Row],[Power (kW)]]&gt;=$CR$3, TRUE,FALSE),TRUE)</f>
        <v>1</v>
      </c>
      <c r="DA559" s="16">
        <f>MIN(MOD(180-ABS(ABS($DA$1-RecData[Yaw Angle (°)])-180),360),MOD(180-ABS(ABS($DB$1-RecData[Yaw Angle (°)])-180),360))</f>
        <v>31.470405100974546</v>
      </c>
      <c r="DB559" s="2" t="str">
        <f>IF($DP$2="None","None",IF(RecData[[#This Row],[Relative Wind Direction]]&lt;=45,"DW",IF(RecData[[#This Row],[Relative Wind Direction]]&lt;=135,"CW","UW")))</f>
        <v>DW</v>
      </c>
      <c r="DC559" s="61">
        <f>IF($CL559-$CL558&gt;1/24,#REF!,IF(SUM($CQ558:$CQ559)&gt;$DS$1,$DS$5,DC560-1))</f>
        <v>-9</v>
      </c>
      <c r="DD559" s="61">
        <f>IF($CL560-$CL559&gt;1/24,#REF!,IF(SUM($CQ558:$CQ559)&gt;$DS$1,$DS$6,DD558-1))</f>
        <v>-2</v>
      </c>
      <c r="DE559" s="18" t="b">
        <v>0</v>
      </c>
      <c r="DF559" s="2" t="b">
        <f>IF(OR(RecData[[#This Row],[WSpd_Avg '[m/s']]]-RecData[[#This Row],[Wind Speed min]]&gt;=$DF$3,RecData[[#This Row],[Wind Speed max]]-RecData[[#This Row],[WSpd_Avg '[m/s']]]&gt;=$DF$2),TRUE,FALSE)</f>
        <v>0</v>
      </c>
      <c r="DG559" s="2" t="b">
        <f>RecData[[#This Row],[Temperature '[°C']]]&lt;=-20</f>
        <v>0</v>
      </c>
      <c r="DH559" s="18" t="b">
        <f>NOT(OR(MOD(RecData[[#This Row],[TIMESTAMP]],1)&gt;0.91632,MOD(RecData[[#This Row],[TIMESTAMP]],1)&lt;0.208681))</f>
        <v>0</v>
      </c>
      <c r="DI559" s="18" t="b">
        <f>RecData[[#This Row],[Overall (dBA)]]-RecData[[#This Row],[L90]]&gt;=$DS$4</f>
        <v>0</v>
      </c>
      <c r="DJ559" s="18" t="b">
        <f>RecData[[#This Row],[Overall (dBA)]]&gt;$DS$2</f>
        <v>0</v>
      </c>
      <c r="DK559" s="18" t="b">
        <f>RecData[[#This Row],[Overall (dBA)]]&lt;$DS$3</f>
        <v>0</v>
      </c>
      <c r="DL5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59" s="2">
        <f>IF(AND(RecData[[#This Row],[Turbines ON/OFF]] = "OFF", NOT(OR(RecData[[#This Row],[Junk?]]="YES",RecData[[#This Row],[Gust?]],RecData[[#This Row],[Rain?]:[Min SPL Threshold?]]))),1,0)</f>
        <v>0</v>
      </c>
      <c r="DN559" s="16">
        <f>RecData[[#This Row],[dBA Sum]]</f>
        <v>39.285071474128991</v>
      </c>
      <c r="DO559" s="16">
        <f>RecData[[#This Row],[LAF90.0]]</f>
        <v>38</v>
      </c>
      <c r="DP559" s="55">
        <f>IF(AND(RecData[[#This Row],[Useable TON Data?]],RecData[[#This Row],[Turbines ON/OFF]]="ON"),RecData[[#This Row],[dBA Sum]],"")</f>
        <v>39.285071474128991</v>
      </c>
      <c r="DQ559" s="55" t="str">
        <f>IF(AND(RecData[[#This Row],[Useable Background Data?]],RecData[[#This Row],[Turbines ON/OFF]]="OFF"),RecData[[#This Row],[dBA Sum]],"")</f>
        <v/>
      </c>
      <c r="DR559" s="3">
        <f>IF(OR(RecData[[#This Row],[Useable TON Data?]],RecData[[#This Row],[Useable Background Data?]]),ROUND(RecData[[#This Row],[WSpd_Avg '[m/s']]],0),"")</f>
        <v>1</v>
      </c>
      <c r="DS559" s="85">
        <f>(0.00002)^2*(10^(RecData[[#This Row],[Overall (dBA)]]/10))</f>
        <v>3.3928693675873107E-6</v>
      </c>
    </row>
    <row r="560" spans="1:123" ht="15" x14ac:dyDescent="0.25">
      <c r="A560" s="3" t="s">
        <v>249</v>
      </c>
      <c r="B560" s="12">
        <v>43270.104861111111</v>
      </c>
      <c r="C560" s="3"/>
      <c r="D560" s="3">
        <v>40.1</v>
      </c>
      <c r="E560" s="3"/>
      <c r="F560" s="3"/>
      <c r="G560" s="3"/>
      <c r="H560" s="3"/>
      <c r="I560" s="3"/>
      <c r="J560" s="3"/>
      <c r="K560" s="3">
        <v>38.9</v>
      </c>
      <c r="L560" s="3"/>
      <c r="M560" s="3"/>
      <c r="N560" s="3">
        <v>170</v>
      </c>
      <c r="O560" s="3"/>
      <c r="P560" s="3"/>
      <c r="Q560" s="3">
        <v>0.65</v>
      </c>
      <c r="R560" s="3">
        <v>0.1</v>
      </c>
      <c r="S560" s="3">
        <v>1.3</v>
      </c>
      <c r="T560" s="3">
        <v>13.7</v>
      </c>
      <c r="U560" s="3">
        <v>74.5</v>
      </c>
      <c r="V560" s="3">
        <v>972.8</v>
      </c>
      <c r="W560" s="3">
        <v>0</v>
      </c>
      <c r="X560" s="3">
        <v>44.5</v>
      </c>
      <c r="Y560" s="3">
        <v>43.3</v>
      </c>
      <c r="Z560" s="3">
        <v>43.2</v>
      </c>
      <c r="AA560" s="3">
        <v>39.799999999999997</v>
      </c>
      <c r="AB560" s="3">
        <v>33.799999999999997</v>
      </c>
      <c r="AC560" s="3">
        <v>32.9</v>
      </c>
      <c r="AD560" s="3">
        <v>37.5</v>
      </c>
      <c r="AE560" s="3">
        <v>39.299999999999997</v>
      </c>
      <c r="AF560" s="3">
        <v>44.8</v>
      </c>
      <c r="AG560" s="3">
        <v>39.4</v>
      </c>
      <c r="AH560" s="3">
        <v>37</v>
      </c>
      <c r="AI560" s="3">
        <v>37.799999999999997</v>
      </c>
      <c r="AJ560" s="3">
        <v>36.299999999999997</v>
      </c>
      <c r="AK560" s="3">
        <v>35.1</v>
      </c>
      <c r="AL560" s="3">
        <v>33.200000000000003</v>
      </c>
      <c r="AM560" s="3">
        <v>33.1</v>
      </c>
      <c r="AN560" s="3">
        <v>31.1</v>
      </c>
      <c r="AO560" s="3">
        <v>28.3</v>
      </c>
      <c r="AP560" s="3">
        <v>26.1</v>
      </c>
      <c r="AQ560" s="3">
        <v>23.6</v>
      </c>
      <c r="AR560" s="3">
        <v>20.2</v>
      </c>
      <c r="AS560" s="3">
        <v>17.3</v>
      </c>
      <c r="AT560" s="3">
        <v>26.2</v>
      </c>
      <c r="AU560" s="3">
        <v>10.7</v>
      </c>
      <c r="AV560" s="3">
        <v>9.6999999999999993</v>
      </c>
      <c r="AW560" s="3">
        <v>9.8000000000000007</v>
      </c>
      <c r="AX560" s="3">
        <v>9.4</v>
      </c>
      <c r="AY560" s="3">
        <v>9.5</v>
      </c>
      <c r="AZ560" s="3">
        <v>0</v>
      </c>
      <c r="BA560" s="3">
        <v>0</v>
      </c>
      <c r="BB560" s="3">
        <v>0</v>
      </c>
      <c r="BC560" s="3">
        <v>40.053080571446472</v>
      </c>
      <c r="BD560" s="3">
        <v>44.546919428553522</v>
      </c>
      <c r="BE560" s="3">
        <v>43.346919428553534</v>
      </c>
      <c r="BF560" s="3">
        <v>42.00691942855353</v>
      </c>
      <c r="BG560" s="3">
        <v>38.933586095220193</v>
      </c>
      <c r="BH560" s="3">
        <v>33.073586095220193</v>
      </c>
      <c r="BI560" s="3">
        <v>32.586919428553529</v>
      </c>
      <c r="BJ560" s="3">
        <v>37.98025276188686</v>
      </c>
      <c r="BK560" s="3">
        <v>39.653586095220192</v>
      </c>
      <c r="BL560" s="3">
        <v>44.726919428553529</v>
      </c>
      <c r="BM560" s="3">
        <v>39.460252761886863</v>
      </c>
      <c r="BN560" s="3">
        <v>37.343586095220203</v>
      </c>
      <c r="BO560" s="3">
        <v>37.510252761886861</v>
      </c>
      <c r="BP560" s="3">
        <v>35.726919428553529</v>
      </c>
      <c r="BQ560" s="3">
        <v>34.943586095220198</v>
      </c>
      <c r="BR560" s="3">
        <v>33.370252761886874</v>
      </c>
      <c r="BS560" s="3">
        <v>33.073586095220193</v>
      </c>
      <c r="BT560" s="3">
        <v>31.270252761886866</v>
      </c>
      <c r="BU560" s="3">
        <v>28.436919428553537</v>
      </c>
      <c r="BV560" s="3">
        <v>25.953586095220203</v>
      </c>
      <c r="BW560" s="3">
        <v>23.986919428553534</v>
      </c>
      <c r="BX560" s="3">
        <v>20.50691942855353</v>
      </c>
      <c r="BY560" s="3">
        <v>17.426919428553532</v>
      </c>
      <c r="BZ560" s="3">
        <v>26.456919428553533</v>
      </c>
      <c r="CA560" s="3">
        <v>11.05691942855352</v>
      </c>
      <c r="CB560" s="3">
        <v>9.4935860952201949</v>
      </c>
      <c r="CC560" s="3">
        <v>9.8069194285535275</v>
      </c>
      <c r="CD560" s="3">
        <v>8.7135860952202009</v>
      </c>
      <c r="CE560" s="3">
        <v>9.0069194285535303</v>
      </c>
      <c r="CF560" s="3">
        <v>-0.87974723811313993</v>
      </c>
      <c r="CG560" s="3">
        <v>-1.4130805714464714</v>
      </c>
      <c r="CH560" s="3">
        <v>-2.4897472381131394</v>
      </c>
      <c r="CI560" s="13">
        <f>[1]!dbasum(RecData[[#This Row],[20]:[2000]],RecData[[#Headers],[20]:[2000]])</f>
        <v>39.734287441095411</v>
      </c>
      <c r="CJ560" s="14">
        <v>8328</v>
      </c>
      <c r="CK560" s="15" t="s">
        <v>249</v>
      </c>
      <c r="CL560" s="15">
        <f>RecData[[#This Row],[Start Time]]</f>
        <v>43270.104861111111</v>
      </c>
      <c r="CM560" s="16">
        <f>RecData[[#This Row],[Wind Speed avg]]</f>
        <v>0.65</v>
      </c>
      <c r="CN560" s="16">
        <f>RecData[[#This Row],[Wind Dir. avg]]</f>
        <v>170</v>
      </c>
      <c r="CO560" s="16">
        <f>RecData[[#This Row],[Amb. Humidity]]</f>
        <v>74.5</v>
      </c>
      <c r="CP560" s="16">
        <f>RecData[[#This Row],[Amb. Temperature]]</f>
        <v>13.7</v>
      </c>
      <c r="CQ560" s="17">
        <f>RecData[[#This Row],[Amb. Rain Gauge]]</f>
        <v>0</v>
      </c>
      <c r="CR560" s="4" t="s">
        <v>1</v>
      </c>
      <c r="CS560" s="4" t="s">
        <v>49</v>
      </c>
      <c r="CT560" s="70">
        <v>1619.64074707031</v>
      </c>
      <c r="CU560" s="70">
        <v>39.000328063964801</v>
      </c>
      <c r="CV560" s="70">
        <v>10.1781663894653</v>
      </c>
      <c r="CW560" s="70">
        <v>15.298280715942299</v>
      </c>
      <c r="CX560" s="4"/>
      <c r="CY560" s="69"/>
      <c r="CZ560" s="2" t="b">
        <f>IF($DP$1="YES",IF(RecData[[#This Row],[Power (kW)]]&gt;=$CR$3, TRUE,FALSE),TRUE)</f>
        <v>1</v>
      </c>
      <c r="DA560" s="16">
        <f>MIN(MOD(180-ABS(ABS($DA$1-RecData[Yaw Angle (°)])-180),360),MOD(180-ABS(ABS($DB$1-RecData[Yaw Angle (°)])-180),360))</f>
        <v>31.470401286277252</v>
      </c>
      <c r="DB560" s="2" t="str">
        <f>IF($DP$2="None","None",IF(RecData[[#This Row],[Relative Wind Direction]]&lt;=45,"DW",IF(RecData[[#This Row],[Relative Wind Direction]]&lt;=135,"CW","UW")))</f>
        <v>DW</v>
      </c>
      <c r="DC560" s="61">
        <f>IF($CL560-$CL558&gt;1/24,#REF!,IF(SUM($CQ558:$CQ560)&gt;$DS$1,$DS$5,DC561-1))</f>
        <v>-8</v>
      </c>
      <c r="DD560" s="61">
        <f>IF($CL561-$CL560&gt;1/24,#REF!,IF(SUM($CQ558:$CQ560)&gt;$DS$1,$DS$6,DD559-1))</f>
        <v>-3</v>
      </c>
      <c r="DE560" s="18" t="b">
        <v>0</v>
      </c>
      <c r="DF560" s="2" t="b">
        <f>IF(OR(RecData[[#This Row],[WSpd_Avg '[m/s']]]-RecData[[#This Row],[Wind Speed min]]&gt;=$DF$3,RecData[[#This Row],[Wind Speed max]]-RecData[[#This Row],[WSpd_Avg '[m/s']]]&gt;=$DF$2),TRUE,FALSE)</f>
        <v>0</v>
      </c>
      <c r="DG560" s="2" t="b">
        <f>RecData[[#This Row],[Temperature '[°C']]]&lt;=-20</f>
        <v>0</v>
      </c>
      <c r="DH560" s="18" t="b">
        <f>NOT(OR(MOD(RecData[[#This Row],[TIMESTAMP]],1)&gt;0.91632,MOD(RecData[[#This Row],[TIMESTAMP]],1)&lt;0.208681))</f>
        <v>0</v>
      </c>
      <c r="DI560" s="18" t="b">
        <f>RecData[[#This Row],[Overall (dBA)]]-RecData[[#This Row],[L90]]&gt;=$DS$4</f>
        <v>0</v>
      </c>
      <c r="DJ560" s="18" t="b">
        <f>RecData[[#This Row],[Overall (dBA)]]&gt;$DS$2</f>
        <v>0</v>
      </c>
      <c r="DK560" s="18" t="b">
        <f>RecData[[#This Row],[Overall (dBA)]]&lt;$DS$3</f>
        <v>0</v>
      </c>
      <c r="DL5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0" s="2">
        <f>IF(AND(RecData[[#This Row],[Turbines ON/OFF]] = "OFF", NOT(OR(RecData[[#This Row],[Junk?]]="YES",RecData[[#This Row],[Gust?]],RecData[[#This Row],[Rain?]:[Min SPL Threshold?]]))),1,0)</f>
        <v>0</v>
      </c>
      <c r="DN560" s="16">
        <f>RecData[[#This Row],[dBA Sum]]</f>
        <v>39.734287441095411</v>
      </c>
      <c r="DO560" s="16">
        <f>RecData[[#This Row],[LAF90.0]]</f>
        <v>38.9</v>
      </c>
      <c r="DP560" s="55">
        <f>IF(AND(RecData[[#This Row],[Useable TON Data?]],RecData[[#This Row],[Turbines ON/OFF]]="ON"),RecData[[#This Row],[dBA Sum]],"")</f>
        <v>39.734287441095411</v>
      </c>
      <c r="DQ560" s="55" t="str">
        <f>IF(AND(RecData[[#This Row],[Useable Background Data?]],RecData[[#This Row],[Turbines ON/OFF]]="OFF"),RecData[[#This Row],[dBA Sum]],"")</f>
        <v/>
      </c>
      <c r="DR560" s="3">
        <f>IF(OR(RecData[[#This Row],[Useable TON Data?]],RecData[[#This Row],[Useable Background Data?]]),ROUND(RecData[[#This Row],[WSpd_Avg '[m/s']]],0),"")</f>
        <v>1</v>
      </c>
      <c r="DS560" s="85">
        <f>(0.00002)^2*(10^(RecData[[#This Row],[Overall (dBA)]]/10))</f>
        <v>3.7626059283929666E-6</v>
      </c>
    </row>
    <row r="561" spans="1:123" ht="15" x14ac:dyDescent="0.25">
      <c r="A561" s="3" t="s">
        <v>249</v>
      </c>
      <c r="B561" s="12">
        <v>43270.105555555558</v>
      </c>
      <c r="C561" s="3"/>
      <c r="D561" s="3">
        <v>40</v>
      </c>
      <c r="E561" s="3"/>
      <c r="F561" s="3"/>
      <c r="G561" s="3"/>
      <c r="H561" s="3"/>
      <c r="I561" s="3"/>
      <c r="J561" s="3"/>
      <c r="K561" s="3">
        <v>38.6</v>
      </c>
      <c r="L561" s="3"/>
      <c r="M561" s="3"/>
      <c r="N561" s="3">
        <v>195.7</v>
      </c>
      <c r="O561" s="3"/>
      <c r="P561" s="3"/>
      <c r="Q561" s="3">
        <v>0.49</v>
      </c>
      <c r="R561" s="3">
        <v>0.2</v>
      </c>
      <c r="S561" s="3">
        <v>0.9</v>
      </c>
      <c r="T561" s="3">
        <v>13.7</v>
      </c>
      <c r="U561" s="3">
        <v>74.7</v>
      </c>
      <c r="V561" s="3">
        <v>972.8</v>
      </c>
      <c r="W561" s="3">
        <v>0</v>
      </c>
      <c r="X561" s="3">
        <v>44.4</v>
      </c>
      <c r="Y561" s="3">
        <v>43.9</v>
      </c>
      <c r="Z561" s="3">
        <v>43.5</v>
      </c>
      <c r="AA561" s="3">
        <v>39.6</v>
      </c>
      <c r="AB561" s="3">
        <v>34.6</v>
      </c>
      <c r="AC561" s="3">
        <v>33.9</v>
      </c>
      <c r="AD561" s="3">
        <v>38</v>
      </c>
      <c r="AE561" s="3">
        <v>39.6</v>
      </c>
      <c r="AF561" s="3">
        <v>44.8</v>
      </c>
      <c r="AG561" s="3">
        <v>38.9</v>
      </c>
      <c r="AH561" s="3">
        <v>37.200000000000003</v>
      </c>
      <c r="AI561" s="3">
        <v>37.700000000000003</v>
      </c>
      <c r="AJ561" s="3">
        <v>36.1</v>
      </c>
      <c r="AK561" s="3">
        <v>34.9</v>
      </c>
      <c r="AL561" s="3">
        <v>33</v>
      </c>
      <c r="AM561" s="3">
        <v>33</v>
      </c>
      <c r="AN561" s="3">
        <v>31.2</v>
      </c>
      <c r="AO561" s="3">
        <v>28.4</v>
      </c>
      <c r="AP561" s="3">
        <v>26.2</v>
      </c>
      <c r="AQ561" s="3">
        <v>23.6</v>
      </c>
      <c r="AR561" s="3">
        <v>20.100000000000001</v>
      </c>
      <c r="AS561" s="3">
        <v>16.600000000000001</v>
      </c>
      <c r="AT561" s="3">
        <v>26.5</v>
      </c>
      <c r="AU561" s="3">
        <v>11.2</v>
      </c>
      <c r="AV561" s="3">
        <v>9.1999999999999993</v>
      </c>
      <c r="AW561" s="3">
        <v>9.1999999999999993</v>
      </c>
      <c r="AX561" s="3">
        <v>9.1999999999999993</v>
      </c>
      <c r="AY561" s="3">
        <v>9.4</v>
      </c>
      <c r="AZ561" s="3">
        <v>0</v>
      </c>
      <c r="BA561" s="3">
        <v>0</v>
      </c>
      <c r="BB561" s="3">
        <v>0</v>
      </c>
      <c r="BC561" s="3">
        <v>40.00159660627709</v>
      </c>
      <c r="BD561" s="3">
        <v>44.398403393722916</v>
      </c>
      <c r="BE561" s="3">
        <v>43.898403393722916</v>
      </c>
      <c r="BF561" s="3">
        <v>42.258403393722901</v>
      </c>
      <c r="BG561" s="3">
        <v>38.685070060389577</v>
      </c>
      <c r="BH561" s="3">
        <v>33.825070060389578</v>
      </c>
      <c r="BI561" s="3">
        <v>33.538403393722902</v>
      </c>
      <c r="BJ561" s="3">
        <v>38.431736727056247</v>
      </c>
      <c r="BK561" s="3">
        <v>39.905070060389576</v>
      </c>
      <c r="BL561" s="3">
        <v>44.678403393722917</v>
      </c>
      <c r="BM561" s="3">
        <v>38.911736727056237</v>
      </c>
      <c r="BN561" s="3">
        <v>37.49507006038958</v>
      </c>
      <c r="BO561" s="3">
        <v>37.361736727056254</v>
      </c>
      <c r="BP561" s="3">
        <v>35.478403393722914</v>
      </c>
      <c r="BQ561" s="3">
        <v>34.695070060389568</v>
      </c>
      <c r="BR561" s="3">
        <v>33.121736727056245</v>
      </c>
      <c r="BS561" s="3">
        <v>32.925070060389587</v>
      </c>
      <c r="BT561" s="3">
        <v>31.321736727056248</v>
      </c>
      <c r="BU561" s="3">
        <v>28.488403393722919</v>
      </c>
      <c r="BV561" s="3">
        <v>26.005070060389571</v>
      </c>
      <c r="BW561" s="3">
        <v>23.938403393722915</v>
      </c>
      <c r="BX561" s="3">
        <v>20.358403393722917</v>
      </c>
      <c r="BY561" s="3">
        <v>16.67840339372291</v>
      </c>
      <c r="BZ561" s="3">
        <v>26.708403393722918</v>
      </c>
      <c r="CA561" s="3">
        <v>11.508403393722901</v>
      </c>
      <c r="CB561" s="3">
        <v>8.9450700603895754</v>
      </c>
      <c r="CC561" s="3">
        <v>9.1584033937229066</v>
      </c>
      <c r="CD561" s="3">
        <v>8.4650700603895785</v>
      </c>
      <c r="CE561" s="3">
        <v>8.8584033937229094</v>
      </c>
      <c r="CF561" s="3">
        <v>-0.92826327294375943</v>
      </c>
      <c r="CG561" s="3">
        <v>-1.4615966062770909</v>
      </c>
      <c r="CH561" s="3">
        <v>-2.5382632729437589</v>
      </c>
      <c r="CI561" s="13">
        <f>[1]!dbasum(RecData[[#This Row],[20]:[2000]],RecData[[#Headers],[20]:[2000]])</f>
        <v>39.621757319926161</v>
      </c>
      <c r="CJ561" s="14">
        <v>8329</v>
      </c>
      <c r="CK561" s="15" t="s">
        <v>249</v>
      </c>
      <c r="CL561" s="15">
        <f>RecData[[#This Row],[Start Time]]</f>
        <v>43270.105555555558</v>
      </c>
      <c r="CM561" s="16">
        <f>RecData[[#This Row],[Wind Speed avg]]</f>
        <v>0.49</v>
      </c>
      <c r="CN561" s="16">
        <f>RecData[[#This Row],[Wind Dir. avg]]</f>
        <v>195.7</v>
      </c>
      <c r="CO561" s="16">
        <f>RecData[[#This Row],[Amb. Humidity]]</f>
        <v>74.7</v>
      </c>
      <c r="CP561" s="16">
        <f>RecData[[#This Row],[Amb. Temperature]]</f>
        <v>13.7</v>
      </c>
      <c r="CQ561" s="17">
        <f>RecData[[#This Row],[Amb. Rain Gauge]]</f>
        <v>0</v>
      </c>
      <c r="CR561" s="4" t="s">
        <v>1</v>
      </c>
      <c r="CS561" s="4" t="s">
        <v>49</v>
      </c>
      <c r="CT561" s="70">
        <v>1619.64074707031</v>
      </c>
      <c r="CU561" s="70">
        <v>39.000328063964801</v>
      </c>
      <c r="CV561" s="70">
        <v>10.1781663894653</v>
      </c>
      <c r="CW561" s="70">
        <v>15.298280715942299</v>
      </c>
      <c r="CX561" s="4"/>
      <c r="CY561" s="69"/>
      <c r="CZ561" s="2" t="b">
        <f>IF($DP$1="YES",IF(RecData[[#This Row],[Power (kW)]]&gt;=$CR$3, TRUE,FALSE),TRUE)</f>
        <v>1</v>
      </c>
      <c r="DA561" s="16">
        <f>MIN(MOD(180-ABS(ABS($DA$1-RecData[Yaw Angle (°)])-180),360),MOD(180-ABS(ABS($DB$1-RecData[Yaw Angle (°)])-180),360))</f>
        <v>31.470401286277252</v>
      </c>
      <c r="DB561" s="2" t="str">
        <f>IF($DP$2="None","None",IF(RecData[[#This Row],[Relative Wind Direction]]&lt;=45,"DW",IF(RecData[[#This Row],[Relative Wind Direction]]&lt;=135,"CW","UW")))</f>
        <v>DW</v>
      </c>
      <c r="DC561" s="61">
        <f>IF($CL561-$CL558&gt;1/24,#REF!,IF(SUM($CQ558:$CQ561)&gt;$DS$1,$DS$5,DC562-1))</f>
        <v>-7</v>
      </c>
      <c r="DD561" s="61">
        <f>IF($CL562-$CL561&gt;1/24,#REF!,IF(SUM($CQ558:$CQ561)&gt;$DS$1,$DS$6,DD560-1))</f>
        <v>-4</v>
      </c>
      <c r="DE561" s="18" t="b">
        <v>0</v>
      </c>
      <c r="DF561" s="2" t="b">
        <f>IF(OR(RecData[[#This Row],[WSpd_Avg '[m/s']]]-RecData[[#This Row],[Wind Speed min]]&gt;=$DF$3,RecData[[#This Row],[Wind Speed max]]-RecData[[#This Row],[WSpd_Avg '[m/s']]]&gt;=$DF$2),TRUE,FALSE)</f>
        <v>0</v>
      </c>
      <c r="DG561" s="2" t="b">
        <f>RecData[[#This Row],[Temperature '[°C']]]&lt;=-20</f>
        <v>0</v>
      </c>
      <c r="DH561" s="18" t="b">
        <f>NOT(OR(MOD(RecData[[#This Row],[TIMESTAMP]],1)&gt;0.91632,MOD(RecData[[#This Row],[TIMESTAMP]],1)&lt;0.208681))</f>
        <v>0</v>
      </c>
      <c r="DI561" s="18" t="b">
        <f>RecData[[#This Row],[Overall (dBA)]]-RecData[[#This Row],[L90]]&gt;=$DS$4</f>
        <v>0</v>
      </c>
      <c r="DJ561" s="18" t="b">
        <f>RecData[[#This Row],[Overall (dBA)]]&gt;$DS$2</f>
        <v>0</v>
      </c>
      <c r="DK561" s="18" t="b">
        <f>RecData[[#This Row],[Overall (dBA)]]&lt;$DS$3</f>
        <v>0</v>
      </c>
      <c r="DL5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1" s="2">
        <f>IF(AND(RecData[[#This Row],[Turbines ON/OFF]] = "OFF", NOT(OR(RecData[[#This Row],[Junk?]]="YES",RecData[[#This Row],[Gust?]],RecData[[#This Row],[Rain?]:[Min SPL Threshold?]]))),1,0)</f>
        <v>0</v>
      </c>
      <c r="DN561" s="16">
        <f>RecData[[#This Row],[dBA Sum]]</f>
        <v>39.621757319926161</v>
      </c>
      <c r="DO561" s="16">
        <f>RecData[[#This Row],[LAF90.0]]</f>
        <v>38.6</v>
      </c>
      <c r="DP561" s="55">
        <f>IF(AND(RecData[[#This Row],[Useable TON Data?]],RecData[[#This Row],[Turbines ON/OFF]]="ON"),RecData[[#This Row],[dBA Sum]],"")</f>
        <v>39.621757319926161</v>
      </c>
      <c r="DQ561" s="55" t="str">
        <f>IF(AND(RecData[[#This Row],[Useable Background Data?]],RecData[[#This Row],[Turbines ON/OFF]]="OFF"),RecData[[#This Row],[dBA Sum]],"")</f>
        <v/>
      </c>
      <c r="DR561" s="3">
        <f>IF(OR(RecData[[#This Row],[Useable TON Data?]],RecData[[#This Row],[Useable Background Data?]]),ROUND(RecData[[#This Row],[WSpd_Avg '[m/s']]],0),"")</f>
        <v>0</v>
      </c>
      <c r="DS561" s="85">
        <f>(0.00002)^2*(10^(RecData[[#This Row],[Overall (dBA)]]/10))</f>
        <v>3.6663652105750231E-6</v>
      </c>
    </row>
    <row r="562" spans="1:123" ht="15" x14ac:dyDescent="0.25">
      <c r="A562" s="3" t="s">
        <v>249</v>
      </c>
      <c r="B562" s="12">
        <v>43270.106250000004</v>
      </c>
      <c r="C562" s="3"/>
      <c r="D562" s="3">
        <v>39.9</v>
      </c>
      <c r="E562" s="3"/>
      <c r="F562" s="3"/>
      <c r="G562" s="3"/>
      <c r="H562" s="3"/>
      <c r="I562" s="3"/>
      <c r="J562" s="3"/>
      <c r="K562" s="3">
        <v>38.799999999999997</v>
      </c>
      <c r="L562" s="3"/>
      <c r="M562" s="3"/>
      <c r="N562" s="3">
        <v>185.7</v>
      </c>
      <c r="O562" s="3"/>
      <c r="P562" s="3"/>
      <c r="Q562" s="3">
        <v>0.71</v>
      </c>
      <c r="R562" s="3">
        <v>0.4</v>
      </c>
      <c r="S562" s="3">
        <v>1.4</v>
      </c>
      <c r="T562" s="3">
        <v>13.7</v>
      </c>
      <c r="U562" s="3">
        <v>74.400000000000006</v>
      </c>
      <c r="V562" s="3">
        <v>972.8</v>
      </c>
      <c r="W562" s="3">
        <v>0</v>
      </c>
      <c r="X562" s="3">
        <v>45.1</v>
      </c>
      <c r="Y562" s="3">
        <v>43.7</v>
      </c>
      <c r="Z562" s="3">
        <v>43.5</v>
      </c>
      <c r="AA562" s="3">
        <v>39.700000000000003</v>
      </c>
      <c r="AB562" s="3">
        <v>34</v>
      </c>
      <c r="AC562" s="3">
        <v>32.1</v>
      </c>
      <c r="AD562" s="3">
        <v>37.1</v>
      </c>
      <c r="AE562" s="3">
        <v>39.299999999999997</v>
      </c>
      <c r="AF562" s="3">
        <v>44.9</v>
      </c>
      <c r="AG562" s="3">
        <v>39.6</v>
      </c>
      <c r="AH562" s="3">
        <v>37.299999999999997</v>
      </c>
      <c r="AI562" s="3">
        <v>37.5</v>
      </c>
      <c r="AJ562" s="3">
        <v>36.1</v>
      </c>
      <c r="AK562" s="3">
        <v>34.6</v>
      </c>
      <c r="AL562" s="3">
        <v>32.9</v>
      </c>
      <c r="AM562" s="3">
        <v>33</v>
      </c>
      <c r="AN562" s="3">
        <v>31</v>
      </c>
      <c r="AO562" s="3">
        <v>28.3</v>
      </c>
      <c r="AP562" s="3">
        <v>25.9</v>
      </c>
      <c r="AQ562" s="3">
        <v>23.7</v>
      </c>
      <c r="AR562" s="3">
        <v>20.2</v>
      </c>
      <c r="AS562" s="3">
        <v>16.899999999999999</v>
      </c>
      <c r="AT562" s="3">
        <v>26.2</v>
      </c>
      <c r="AU562" s="3">
        <v>10.5</v>
      </c>
      <c r="AV562" s="3">
        <v>9.1999999999999993</v>
      </c>
      <c r="AW562" s="3">
        <v>9.1999999999999993</v>
      </c>
      <c r="AX562" s="3">
        <v>9.1999999999999993</v>
      </c>
      <c r="AY562" s="3">
        <v>9.4</v>
      </c>
      <c r="AZ562" s="3">
        <v>0</v>
      </c>
      <c r="BA562" s="3">
        <v>0</v>
      </c>
      <c r="BB562" s="3">
        <v>0</v>
      </c>
      <c r="BC562" s="3">
        <v>39.924668515719326</v>
      </c>
      <c r="BD562" s="3">
        <v>45.075331484280674</v>
      </c>
      <c r="BE562" s="3">
        <v>43.675331484280669</v>
      </c>
      <c r="BF562" s="3">
        <v>42.235331484280671</v>
      </c>
      <c r="BG562" s="3">
        <v>38.761998150947342</v>
      </c>
      <c r="BH562" s="3">
        <v>33.20199815094734</v>
      </c>
      <c r="BI562" s="3">
        <v>31.715331484280675</v>
      </c>
      <c r="BJ562" s="3">
        <v>37.508664817614012</v>
      </c>
      <c r="BK562" s="3">
        <v>39.581998150947335</v>
      </c>
      <c r="BL562" s="3">
        <v>44.755331484280681</v>
      </c>
      <c r="BM562" s="3">
        <v>39.58866481761401</v>
      </c>
      <c r="BN562" s="3">
        <v>37.571998150947344</v>
      </c>
      <c r="BO562" s="3">
        <v>37.138664817614007</v>
      </c>
      <c r="BP562" s="3">
        <v>35.45533148428067</v>
      </c>
      <c r="BQ562" s="3">
        <v>34.371998150947327</v>
      </c>
      <c r="BR562" s="3">
        <v>32.998664817614006</v>
      </c>
      <c r="BS562" s="3">
        <v>32.901998150947342</v>
      </c>
      <c r="BT562" s="3">
        <v>31.098664817614015</v>
      </c>
      <c r="BU562" s="3">
        <v>28.365331484280681</v>
      </c>
      <c r="BV562" s="3">
        <v>25.681998150947344</v>
      </c>
      <c r="BW562" s="3">
        <v>24.015331484280672</v>
      </c>
      <c r="BX562" s="3">
        <v>20.435331484280674</v>
      </c>
      <c r="BY562" s="3">
        <v>16.95533148428067</v>
      </c>
      <c r="BZ562" s="3">
        <v>26.385331484280677</v>
      </c>
      <c r="CA562" s="3">
        <v>10.785331484280668</v>
      </c>
      <c r="CB562" s="3">
        <v>8.9219981509473385</v>
      </c>
      <c r="CC562" s="3">
        <v>9.1353314842806697</v>
      </c>
      <c r="CD562" s="3">
        <v>8.4419981509473416</v>
      </c>
      <c r="CE562" s="3">
        <v>8.8353314842806725</v>
      </c>
      <c r="CF562" s="3">
        <v>-0.95133518238599635</v>
      </c>
      <c r="CG562" s="3">
        <v>-1.4846685157193278</v>
      </c>
      <c r="CH562" s="3">
        <v>-2.5613351823859958</v>
      </c>
      <c r="CI562" s="13">
        <f>[1]!dbasum(RecData[[#This Row],[20]:[2000]],RecData[[#Headers],[20]:[2000]])</f>
        <v>39.535075273955044</v>
      </c>
      <c r="CJ562" s="14">
        <v>8330</v>
      </c>
      <c r="CK562" s="15" t="s">
        <v>249</v>
      </c>
      <c r="CL562" s="15">
        <f>RecData[[#This Row],[Start Time]]</f>
        <v>43270.106250000004</v>
      </c>
      <c r="CM562" s="16">
        <f>RecData[[#This Row],[Wind Speed avg]]</f>
        <v>0.71</v>
      </c>
      <c r="CN562" s="16">
        <f>RecData[[#This Row],[Wind Dir. avg]]</f>
        <v>185.7</v>
      </c>
      <c r="CO562" s="16">
        <f>RecData[[#This Row],[Amb. Humidity]]</f>
        <v>74.400000000000006</v>
      </c>
      <c r="CP562" s="16">
        <f>RecData[[#This Row],[Amb. Temperature]]</f>
        <v>13.7</v>
      </c>
      <c r="CQ562" s="17">
        <f>RecData[[#This Row],[Amb. Rain Gauge]]</f>
        <v>0</v>
      </c>
      <c r="CR562" s="4" t="s">
        <v>1</v>
      </c>
      <c r="CS562" s="4" t="s">
        <v>49</v>
      </c>
      <c r="CT562" s="70">
        <v>1619.64074707031</v>
      </c>
      <c r="CU562" s="70">
        <v>39.000328063964801</v>
      </c>
      <c r="CV562" s="70">
        <v>10.1781663894653</v>
      </c>
      <c r="CW562" s="70">
        <v>15.298280715942299</v>
      </c>
      <c r="CX562" s="4"/>
      <c r="CY562" s="69"/>
      <c r="CZ562" s="2" t="b">
        <f>IF($DP$1="YES",IF(RecData[[#This Row],[Power (kW)]]&gt;=$CR$3, TRUE,FALSE),TRUE)</f>
        <v>1</v>
      </c>
      <c r="DA562" s="16">
        <f>MIN(MOD(180-ABS(ABS($DA$1-RecData[Yaw Angle (°)])-180),360),MOD(180-ABS(ABS($DB$1-RecData[Yaw Angle (°)])-180),360))</f>
        <v>31.470401286277252</v>
      </c>
      <c r="DB562" s="2" t="str">
        <f>IF($DP$2="None","None",IF(RecData[[#This Row],[Relative Wind Direction]]&lt;=45,"DW",IF(RecData[[#This Row],[Relative Wind Direction]]&lt;=135,"CW","UW")))</f>
        <v>DW</v>
      </c>
      <c r="DC562" s="61">
        <f>IF($CL562-$CL558&gt;1/24,#REF!,IF(SUM($CQ558:$CQ562)&gt;$DS$1,$DS$5,DC563-1))</f>
        <v>-6</v>
      </c>
      <c r="DD562" s="61">
        <f>IF($CL563-$CL562&gt;1/24,#REF!,IF(SUM($CQ558:$CQ562)&gt;$DS$1,$DS$6,DD561-1))</f>
        <v>-5</v>
      </c>
      <c r="DE562" s="18" t="b">
        <v>0</v>
      </c>
      <c r="DF562" s="2" t="b">
        <f>IF(OR(RecData[[#This Row],[WSpd_Avg '[m/s']]]-RecData[[#This Row],[Wind Speed min]]&gt;=$DF$3,RecData[[#This Row],[Wind Speed max]]-RecData[[#This Row],[WSpd_Avg '[m/s']]]&gt;=$DF$2),TRUE,FALSE)</f>
        <v>0</v>
      </c>
      <c r="DG562" s="2" t="b">
        <f>RecData[[#This Row],[Temperature '[°C']]]&lt;=-20</f>
        <v>0</v>
      </c>
      <c r="DH562" s="18" t="b">
        <f>NOT(OR(MOD(RecData[[#This Row],[TIMESTAMP]],1)&gt;0.91632,MOD(RecData[[#This Row],[TIMESTAMP]],1)&lt;0.208681))</f>
        <v>0</v>
      </c>
      <c r="DI562" s="18" t="b">
        <f>RecData[[#This Row],[Overall (dBA)]]-RecData[[#This Row],[L90]]&gt;=$DS$4</f>
        <v>0</v>
      </c>
      <c r="DJ562" s="18" t="b">
        <f>RecData[[#This Row],[Overall (dBA)]]&gt;$DS$2</f>
        <v>0</v>
      </c>
      <c r="DK562" s="18" t="b">
        <f>RecData[[#This Row],[Overall (dBA)]]&lt;$DS$3</f>
        <v>0</v>
      </c>
      <c r="DL5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2" s="2">
        <f>IF(AND(RecData[[#This Row],[Turbines ON/OFF]] = "OFF", NOT(OR(RecData[[#This Row],[Junk?]]="YES",RecData[[#This Row],[Gust?]],RecData[[#This Row],[Rain?]:[Min SPL Threshold?]]))),1,0)</f>
        <v>0</v>
      </c>
      <c r="DN562" s="16">
        <f>RecData[[#This Row],[dBA Sum]]</f>
        <v>39.535075273955044</v>
      </c>
      <c r="DO562" s="16">
        <f>RecData[[#This Row],[LAF90.0]]</f>
        <v>38.799999999999997</v>
      </c>
      <c r="DP562" s="55">
        <f>IF(AND(RecData[[#This Row],[Useable TON Data?]],RecData[[#This Row],[Turbines ON/OFF]]="ON"),RecData[[#This Row],[dBA Sum]],"")</f>
        <v>39.535075273955044</v>
      </c>
      <c r="DQ562" s="55" t="str">
        <f>IF(AND(RecData[[#This Row],[Useable Background Data?]],RecData[[#This Row],[Turbines ON/OFF]]="OFF"),RecData[[#This Row],[dBA Sum]],"")</f>
        <v/>
      </c>
      <c r="DR562" s="3">
        <f>IF(OR(RecData[[#This Row],[Useable TON Data?]],RecData[[#This Row],[Useable Background Data?]]),ROUND(RecData[[#This Row],[WSpd_Avg '[m/s']]],0),"")</f>
        <v>1</v>
      </c>
      <c r="DS562" s="85">
        <f>(0.00002)^2*(10^(RecData[[#This Row],[Overall (dBA)]]/10))</f>
        <v>3.5939126611215468E-6</v>
      </c>
    </row>
    <row r="563" spans="1:123" ht="15" x14ac:dyDescent="0.25">
      <c r="A563" s="3" t="s">
        <v>249</v>
      </c>
      <c r="B563" s="12">
        <v>43270.106944444444</v>
      </c>
      <c r="C563" s="3"/>
      <c r="D563" s="3">
        <v>40.1</v>
      </c>
      <c r="E563" s="3"/>
      <c r="F563" s="3"/>
      <c r="G563" s="3"/>
      <c r="H563" s="3"/>
      <c r="I563" s="3"/>
      <c r="J563" s="3"/>
      <c r="K563" s="3">
        <v>38.700000000000003</v>
      </c>
      <c r="L563" s="3"/>
      <c r="M563" s="3"/>
      <c r="N563" s="3">
        <v>165.6</v>
      </c>
      <c r="O563" s="3"/>
      <c r="P563" s="3"/>
      <c r="Q563" s="3">
        <v>1</v>
      </c>
      <c r="R563" s="3">
        <v>0.6</v>
      </c>
      <c r="S563" s="3">
        <v>1.9</v>
      </c>
      <c r="T563" s="3">
        <v>13.7</v>
      </c>
      <c r="U563" s="3">
        <v>74.5</v>
      </c>
      <c r="V563" s="3">
        <v>972.8</v>
      </c>
      <c r="W563" s="3">
        <v>0</v>
      </c>
      <c r="X563" s="3">
        <v>46</v>
      </c>
      <c r="Y563" s="3">
        <v>44.3</v>
      </c>
      <c r="Z563" s="3">
        <v>43.6</v>
      </c>
      <c r="AA563" s="3">
        <v>39.6</v>
      </c>
      <c r="AB563" s="3">
        <v>34.6</v>
      </c>
      <c r="AC563" s="3">
        <v>33</v>
      </c>
      <c r="AD563" s="3">
        <v>37.4</v>
      </c>
      <c r="AE563" s="3">
        <v>39.9</v>
      </c>
      <c r="AF563" s="3">
        <v>45.1</v>
      </c>
      <c r="AG563" s="3">
        <v>38.9</v>
      </c>
      <c r="AH563" s="3">
        <v>37.6</v>
      </c>
      <c r="AI563" s="3">
        <v>38</v>
      </c>
      <c r="AJ563" s="3">
        <v>36.5</v>
      </c>
      <c r="AK563" s="3">
        <v>35.200000000000003</v>
      </c>
      <c r="AL563" s="3">
        <v>33.200000000000003</v>
      </c>
      <c r="AM563" s="3">
        <v>33.1</v>
      </c>
      <c r="AN563" s="3">
        <v>31.3</v>
      </c>
      <c r="AO563" s="3">
        <v>28.2</v>
      </c>
      <c r="AP563" s="3">
        <v>26.1</v>
      </c>
      <c r="AQ563" s="3">
        <v>23.6</v>
      </c>
      <c r="AR563" s="3">
        <v>20.100000000000001</v>
      </c>
      <c r="AS563" s="3">
        <v>17.100000000000001</v>
      </c>
      <c r="AT563" s="3">
        <v>25.7</v>
      </c>
      <c r="AU563" s="3">
        <v>11.1</v>
      </c>
      <c r="AV563" s="3">
        <v>9.6999999999999993</v>
      </c>
      <c r="AW563" s="3">
        <v>9.5</v>
      </c>
      <c r="AX563" s="3">
        <v>9.3000000000000007</v>
      </c>
      <c r="AY563" s="3">
        <v>9.4</v>
      </c>
      <c r="AZ563" s="3">
        <v>0</v>
      </c>
      <c r="BA563" s="3">
        <v>0</v>
      </c>
      <c r="BB563" s="3">
        <v>0</v>
      </c>
      <c r="BC563" s="3">
        <v>40.121290778079945</v>
      </c>
      <c r="BD563" s="3">
        <v>45.978709221920049</v>
      </c>
      <c r="BE563" s="3">
        <v>44.27870922192006</v>
      </c>
      <c r="BF563" s="3">
        <v>42.338709221920062</v>
      </c>
      <c r="BG563" s="3">
        <v>38.665375888586716</v>
      </c>
      <c r="BH563" s="3">
        <v>33.805375888586731</v>
      </c>
      <c r="BI563" s="3">
        <v>32.618709221920064</v>
      </c>
      <c r="BJ563" s="3">
        <v>37.812042555253392</v>
      </c>
      <c r="BK563" s="3">
        <v>40.185375888586726</v>
      </c>
      <c r="BL563" s="3">
        <v>44.958709221920067</v>
      </c>
      <c r="BM563" s="3">
        <v>38.89204255525339</v>
      </c>
      <c r="BN563" s="3">
        <v>37.875375888586724</v>
      </c>
      <c r="BO563" s="3">
        <v>37.64204255525339</v>
      </c>
      <c r="BP563" s="3">
        <v>35.858709221920058</v>
      </c>
      <c r="BQ563" s="3">
        <v>34.975375888586719</v>
      </c>
      <c r="BR563" s="3">
        <v>33.302042555253401</v>
      </c>
      <c r="BS563" s="3">
        <v>33.00537588858672</v>
      </c>
      <c r="BT563" s="3">
        <v>31.402042555253395</v>
      </c>
      <c r="BU563" s="3">
        <v>28.268709221920055</v>
      </c>
      <c r="BV563" s="3">
        <v>25.885375888586729</v>
      </c>
      <c r="BW563" s="3">
        <v>23.918709221920061</v>
      </c>
      <c r="BX563" s="3">
        <v>20.338709221920062</v>
      </c>
      <c r="BY563" s="3">
        <v>17.158709221920056</v>
      </c>
      <c r="BZ563" s="3">
        <v>25.88870922192006</v>
      </c>
      <c r="CA563" s="3">
        <v>11.388709221920045</v>
      </c>
      <c r="CB563" s="3">
        <v>9.4253758885867214</v>
      </c>
      <c r="CC563" s="3">
        <v>9.4387092219200568</v>
      </c>
      <c r="CD563" s="3">
        <v>8.5453758885867259</v>
      </c>
      <c r="CE563" s="3">
        <v>8.8387092219200554</v>
      </c>
      <c r="CF563" s="3">
        <v>-0.94795744474661348</v>
      </c>
      <c r="CG563" s="3">
        <v>-1.4812907780799449</v>
      </c>
      <c r="CH563" s="3">
        <v>-2.5579574447466129</v>
      </c>
      <c r="CI563" s="13">
        <f>[1]!dbasum(RecData[[#This Row],[20]:[2000]],RecData[[#Headers],[20]:[2000]])</f>
        <v>39.76642584979794</v>
      </c>
      <c r="CJ563" s="14">
        <v>8331</v>
      </c>
      <c r="CK563" s="15" t="s">
        <v>249</v>
      </c>
      <c r="CL563" s="15">
        <f>RecData[[#This Row],[Start Time]]</f>
        <v>43270.106944444444</v>
      </c>
      <c r="CM563" s="16">
        <f>RecData[[#This Row],[Wind Speed avg]]</f>
        <v>1</v>
      </c>
      <c r="CN563" s="16">
        <f>RecData[[#This Row],[Wind Dir. avg]]</f>
        <v>165.6</v>
      </c>
      <c r="CO563" s="16">
        <f>RecData[[#This Row],[Amb. Humidity]]</f>
        <v>74.5</v>
      </c>
      <c r="CP563" s="16">
        <f>RecData[[#This Row],[Amb. Temperature]]</f>
        <v>13.7</v>
      </c>
      <c r="CQ563" s="17">
        <f>RecData[[#This Row],[Amb. Rain Gauge]]</f>
        <v>0</v>
      </c>
      <c r="CR563" s="4" t="s">
        <v>1</v>
      </c>
      <c r="CS563" s="4" t="s">
        <v>49</v>
      </c>
      <c r="CT563" s="70">
        <v>1619.64074707031</v>
      </c>
      <c r="CU563" s="70">
        <v>39.000328063964801</v>
      </c>
      <c r="CV563" s="70">
        <v>10.1781663894653</v>
      </c>
      <c r="CW563" s="70">
        <v>15.298280715942299</v>
      </c>
      <c r="CX563" s="4"/>
      <c r="CY563" s="69"/>
      <c r="CZ563" s="2" t="b">
        <f>IF($DP$1="YES",IF(RecData[[#This Row],[Power (kW)]]&gt;=$CR$3, TRUE,FALSE),TRUE)</f>
        <v>1</v>
      </c>
      <c r="DA563" s="16">
        <f>MIN(MOD(180-ABS(ABS($DA$1-RecData[Yaw Angle (°)])-180),360),MOD(180-ABS(ABS($DB$1-RecData[Yaw Angle (°)])-180),360))</f>
        <v>31.470401286277252</v>
      </c>
      <c r="DB563" s="2" t="str">
        <f>IF($DP$2="None","None",IF(RecData[[#This Row],[Relative Wind Direction]]&lt;=45,"DW",IF(RecData[[#This Row],[Relative Wind Direction]]&lt;=135,"CW","UW")))</f>
        <v>DW</v>
      </c>
      <c r="DC563" s="61">
        <f>IF($CL563-$CL559&gt;1/24,#REF!,IF(SUM($CQ559:$CQ563)&gt;$DS$1,$DS$5,DC564-1))</f>
        <v>-5</v>
      </c>
      <c r="DD563" s="61">
        <f>IF($CL564-$CL563&gt;1/24,#REF!,IF(SUM($CQ559:$CQ563)&gt;$DS$1,$DS$6,DD562-1))</f>
        <v>-6</v>
      </c>
      <c r="DE563" s="18" t="b">
        <v>0</v>
      </c>
      <c r="DF563" s="2" t="b">
        <f>IF(OR(RecData[[#This Row],[WSpd_Avg '[m/s']]]-RecData[[#This Row],[Wind Speed min]]&gt;=$DF$3,RecData[[#This Row],[Wind Speed max]]-RecData[[#This Row],[WSpd_Avg '[m/s']]]&gt;=$DF$2),TRUE,FALSE)</f>
        <v>0</v>
      </c>
      <c r="DG563" s="2" t="b">
        <f>RecData[[#This Row],[Temperature '[°C']]]&lt;=-20</f>
        <v>0</v>
      </c>
      <c r="DH563" s="18" t="b">
        <f>NOT(OR(MOD(RecData[[#This Row],[TIMESTAMP]],1)&gt;0.91632,MOD(RecData[[#This Row],[TIMESTAMP]],1)&lt;0.208681))</f>
        <v>0</v>
      </c>
      <c r="DI563" s="18" t="b">
        <f>RecData[[#This Row],[Overall (dBA)]]-RecData[[#This Row],[L90]]&gt;=$DS$4</f>
        <v>0</v>
      </c>
      <c r="DJ563" s="18" t="b">
        <f>RecData[[#This Row],[Overall (dBA)]]&gt;$DS$2</f>
        <v>0</v>
      </c>
      <c r="DK563" s="18" t="b">
        <f>RecData[[#This Row],[Overall (dBA)]]&lt;$DS$3</f>
        <v>0</v>
      </c>
      <c r="DL5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3" s="2">
        <f>IF(AND(RecData[[#This Row],[Turbines ON/OFF]] = "OFF", NOT(OR(RecData[[#This Row],[Junk?]]="YES",RecData[[#This Row],[Gust?]],RecData[[#This Row],[Rain?]:[Min SPL Threshold?]]))),1,0)</f>
        <v>0</v>
      </c>
      <c r="DN563" s="16">
        <f>RecData[[#This Row],[dBA Sum]]</f>
        <v>39.76642584979794</v>
      </c>
      <c r="DO563" s="16">
        <f>RecData[[#This Row],[LAF90.0]]</f>
        <v>38.700000000000003</v>
      </c>
      <c r="DP563" s="55">
        <f>IF(AND(RecData[[#This Row],[Useable TON Data?]],RecData[[#This Row],[Turbines ON/OFF]]="ON"),RecData[[#This Row],[dBA Sum]],"")</f>
        <v>39.76642584979794</v>
      </c>
      <c r="DQ563" s="55" t="str">
        <f>IF(AND(RecData[[#This Row],[Useable Background Data?]],RecData[[#This Row],[Turbines ON/OFF]]="OFF"),RecData[[#This Row],[dBA Sum]],"")</f>
        <v/>
      </c>
      <c r="DR563" s="3">
        <f>IF(OR(RecData[[#This Row],[Useable TON Data?]],RecData[[#This Row],[Useable Background Data?]]),ROUND(RecData[[#This Row],[WSpd_Avg '[m/s']]],0),"")</f>
        <v>1</v>
      </c>
      <c r="DS563" s="85">
        <f>(0.00002)^2*(10^(RecData[[#This Row],[Overall (dBA)]]/10))</f>
        <v>3.7905530255588977E-6</v>
      </c>
    </row>
    <row r="564" spans="1:123" ht="15" x14ac:dyDescent="0.25">
      <c r="A564" s="3" t="s">
        <v>249</v>
      </c>
      <c r="B564" s="12">
        <v>43270.107638888891</v>
      </c>
      <c r="C564" s="3"/>
      <c r="D564" s="3">
        <v>39</v>
      </c>
      <c r="E564" s="3"/>
      <c r="F564" s="3"/>
      <c r="G564" s="3"/>
      <c r="H564" s="3"/>
      <c r="I564" s="3"/>
      <c r="J564" s="3"/>
      <c r="K564" s="3">
        <v>37.9</v>
      </c>
      <c r="L564" s="3"/>
      <c r="M564" s="3"/>
      <c r="N564" s="3">
        <v>200.1</v>
      </c>
      <c r="O564" s="3"/>
      <c r="P564" s="3"/>
      <c r="Q564" s="3">
        <v>0.83</v>
      </c>
      <c r="R564" s="3">
        <v>0.5</v>
      </c>
      <c r="S564" s="3">
        <v>1.2</v>
      </c>
      <c r="T564" s="3">
        <v>13.7</v>
      </c>
      <c r="U564" s="3">
        <v>74.400000000000006</v>
      </c>
      <c r="V564" s="3">
        <v>972.9</v>
      </c>
      <c r="W564" s="3">
        <v>0</v>
      </c>
      <c r="X564" s="3">
        <v>44.6</v>
      </c>
      <c r="Y564" s="3">
        <v>43.6</v>
      </c>
      <c r="Z564" s="3">
        <v>43.3</v>
      </c>
      <c r="AA564" s="3">
        <v>39.700000000000003</v>
      </c>
      <c r="AB564" s="3">
        <v>34.1</v>
      </c>
      <c r="AC564" s="3">
        <v>32.799999999999997</v>
      </c>
      <c r="AD564" s="3">
        <v>36.200000000000003</v>
      </c>
      <c r="AE564" s="3">
        <v>38.5</v>
      </c>
      <c r="AF564" s="3">
        <v>43.2</v>
      </c>
      <c r="AG564" s="3">
        <v>37.700000000000003</v>
      </c>
      <c r="AH564" s="3">
        <v>36.5</v>
      </c>
      <c r="AI564" s="3">
        <v>36.799999999999997</v>
      </c>
      <c r="AJ564" s="3">
        <v>35.5</v>
      </c>
      <c r="AK564" s="3">
        <v>34.1</v>
      </c>
      <c r="AL564" s="3">
        <v>32.299999999999997</v>
      </c>
      <c r="AM564" s="3">
        <v>32</v>
      </c>
      <c r="AN564" s="3">
        <v>30.2</v>
      </c>
      <c r="AO564" s="3">
        <v>27</v>
      </c>
      <c r="AP564" s="3">
        <v>24.9</v>
      </c>
      <c r="AQ564" s="3">
        <v>22.5</v>
      </c>
      <c r="AR564" s="3">
        <v>19.100000000000001</v>
      </c>
      <c r="AS564" s="3">
        <v>16.3</v>
      </c>
      <c r="AT564" s="3">
        <v>24.9</v>
      </c>
      <c r="AU564" s="3">
        <v>9.9</v>
      </c>
      <c r="AV564" s="3">
        <v>9</v>
      </c>
      <c r="AW564" s="3">
        <v>9.1999999999999993</v>
      </c>
      <c r="AX564" s="3">
        <v>9.1999999999999993</v>
      </c>
      <c r="AY564" s="3">
        <v>9.4</v>
      </c>
      <c r="AZ564" s="3">
        <v>0</v>
      </c>
      <c r="BA564" s="3">
        <v>0</v>
      </c>
      <c r="BB564" s="3">
        <v>0</v>
      </c>
      <c r="BC564" s="3">
        <v>38.990728133744852</v>
      </c>
      <c r="BD564" s="3">
        <v>44.609271866255142</v>
      </c>
      <c r="BE564" s="3">
        <v>43.609271866255142</v>
      </c>
      <c r="BF564" s="3">
        <v>42.06927186625515</v>
      </c>
      <c r="BG564" s="3">
        <v>38.795938532921809</v>
      </c>
      <c r="BH564" s="3">
        <v>33.335938532921816</v>
      </c>
      <c r="BI564" s="3">
        <v>32.449271866255145</v>
      </c>
      <c r="BJ564" s="3">
        <v>36.642605199588473</v>
      </c>
      <c r="BK564" s="3">
        <v>38.81593853292182</v>
      </c>
      <c r="BL564" s="3">
        <v>43.08927186625516</v>
      </c>
      <c r="BM564" s="3">
        <v>37.722605199588486</v>
      </c>
      <c r="BN564" s="3">
        <v>36.805938532921814</v>
      </c>
      <c r="BO564" s="3">
        <v>36.472605199588486</v>
      </c>
      <c r="BP564" s="3">
        <v>34.889271866255143</v>
      </c>
      <c r="BQ564" s="3">
        <v>33.905938532921809</v>
      </c>
      <c r="BR564" s="3">
        <v>32.43260519958848</v>
      </c>
      <c r="BS564" s="3">
        <v>31.93593853292181</v>
      </c>
      <c r="BT564" s="3">
        <v>30.332605199588485</v>
      </c>
      <c r="BU564" s="3">
        <v>27.099271866255151</v>
      </c>
      <c r="BV564" s="3">
        <v>24.715938532921811</v>
      </c>
      <c r="BW564" s="3">
        <v>22.849271866255151</v>
      </c>
      <c r="BX564" s="3">
        <v>19.369271866255154</v>
      </c>
      <c r="BY564" s="3">
        <v>16.389271866255143</v>
      </c>
      <c r="BZ564" s="3">
        <v>25.119271866255147</v>
      </c>
      <c r="CA564" s="3">
        <v>10.219271866255141</v>
      </c>
      <c r="CB564" s="3">
        <v>8.7559385329218102</v>
      </c>
      <c r="CC564" s="3">
        <v>9.1692718662551442</v>
      </c>
      <c r="CD564" s="3">
        <v>8.4759385329218162</v>
      </c>
      <c r="CE564" s="3">
        <v>8.8692718662551471</v>
      </c>
      <c r="CF564" s="3">
        <v>-0.91739480041152177</v>
      </c>
      <c r="CG564" s="3">
        <v>-1.4507281337448532</v>
      </c>
      <c r="CH564" s="3">
        <v>-2.5273948004115212</v>
      </c>
      <c r="CI564" s="13">
        <f>[1]!dbasum(RecData[[#This Row],[20]:[2000]],RecData[[#Headers],[20]:[2000]])</f>
        <v>38.644222623668078</v>
      </c>
      <c r="CJ564" s="14">
        <v>8332</v>
      </c>
      <c r="CK564" s="15" t="s">
        <v>249</v>
      </c>
      <c r="CL564" s="15">
        <f>RecData[[#This Row],[Start Time]]</f>
        <v>43270.107638888891</v>
      </c>
      <c r="CM564" s="16">
        <f>RecData[[#This Row],[Wind Speed avg]]</f>
        <v>0.83</v>
      </c>
      <c r="CN564" s="16">
        <f>RecData[[#This Row],[Wind Dir. avg]]</f>
        <v>200.1</v>
      </c>
      <c r="CO564" s="16">
        <f>RecData[[#This Row],[Amb. Humidity]]</f>
        <v>74.400000000000006</v>
      </c>
      <c r="CP564" s="16">
        <f>RecData[[#This Row],[Amb. Temperature]]</f>
        <v>13.7</v>
      </c>
      <c r="CQ564" s="17">
        <f>RecData[[#This Row],[Amb. Rain Gauge]]</f>
        <v>0</v>
      </c>
      <c r="CR564" s="4" t="s">
        <v>1</v>
      </c>
      <c r="CS564" s="4" t="s">
        <v>49</v>
      </c>
      <c r="CT564" s="70">
        <v>1619.64074707031</v>
      </c>
      <c r="CU564" s="70">
        <v>39.000328063964801</v>
      </c>
      <c r="CV564" s="70">
        <v>10.1781663894653</v>
      </c>
      <c r="CW564" s="70">
        <v>15.298280715942299</v>
      </c>
      <c r="CX564" s="4"/>
      <c r="CY564" s="69"/>
      <c r="CZ564" s="2" t="b">
        <f>IF($DP$1="YES",IF(RecData[[#This Row],[Power (kW)]]&gt;=$CR$3, TRUE,FALSE),TRUE)</f>
        <v>1</v>
      </c>
      <c r="DA564" s="16">
        <f>MIN(MOD(180-ABS(ABS($DA$1-RecData[Yaw Angle (°)])-180),360),MOD(180-ABS(ABS($DB$1-RecData[Yaw Angle (°)])-180),360))</f>
        <v>31.470401286277252</v>
      </c>
      <c r="DB564" s="2" t="str">
        <f>IF($DP$2="None","None",IF(RecData[[#This Row],[Relative Wind Direction]]&lt;=45,"DW",IF(RecData[[#This Row],[Relative Wind Direction]]&lt;=135,"CW","UW")))</f>
        <v>DW</v>
      </c>
      <c r="DC564" s="61">
        <f>IF($CL564-$CL560&gt;1/24,#REF!,IF(SUM($CQ560:$CQ564)&gt;$DS$1,$DS$5,DC565-1))</f>
        <v>-4</v>
      </c>
      <c r="DD564" s="61">
        <f>IF($CL565-$CL564&gt;1/24,#REF!,IF(SUM($CQ560:$CQ564)&gt;$DS$1,$DS$6,DD563-1))</f>
        <v>-7</v>
      </c>
      <c r="DE564" s="18" t="b">
        <v>0</v>
      </c>
      <c r="DF564" s="2" t="b">
        <f>IF(OR(RecData[[#This Row],[WSpd_Avg '[m/s']]]-RecData[[#This Row],[Wind Speed min]]&gt;=$DF$3,RecData[[#This Row],[Wind Speed max]]-RecData[[#This Row],[WSpd_Avg '[m/s']]]&gt;=$DF$2),TRUE,FALSE)</f>
        <v>0</v>
      </c>
      <c r="DG564" s="2" t="b">
        <f>RecData[[#This Row],[Temperature '[°C']]]&lt;=-20</f>
        <v>0</v>
      </c>
      <c r="DH564" s="18" t="b">
        <f>NOT(OR(MOD(RecData[[#This Row],[TIMESTAMP]],1)&gt;0.91632,MOD(RecData[[#This Row],[TIMESTAMP]],1)&lt;0.208681))</f>
        <v>0</v>
      </c>
      <c r="DI564" s="18" t="b">
        <f>RecData[[#This Row],[Overall (dBA)]]-RecData[[#This Row],[L90]]&gt;=$DS$4</f>
        <v>0</v>
      </c>
      <c r="DJ564" s="18" t="b">
        <f>RecData[[#This Row],[Overall (dBA)]]&gt;$DS$2</f>
        <v>0</v>
      </c>
      <c r="DK564" s="18" t="b">
        <f>RecData[[#This Row],[Overall (dBA)]]&lt;$DS$3</f>
        <v>0</v>
      </c>
      <c r="DL5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4" s="2">
        <f>IF(AND(RecData[[#This Row],[Turbines ON/OFF]] = "OFF", NOT(OR(RecData[[#This Row],[Junk?]]="YES",RecData[[#This Row],[Gust?]],RecData[[#This Row],[Rain?]:[Min SPL Threshold?]]))),1,0)</f>
        <v>0</v>
      </c>
      <c r="DN564" s="16">
        <f>RecData[[#This Row],[dBA Sum]]</f>
        <v>38.644222623668078</v>
      </c>
      <c r="DO564" s="16">
        <f>RecData[[#This Row],[LAF90.0]]</f>
        <v>37.9</v>
      </c>
      <c r="DP564" s="55">
        <f>IF(AND(RecData[[#This Row],[Useable TON Data?]],RecData[[#This Row],[Turbines ON/OFF]]="ON"),RecData[[#This Row],[dBA Sum]],"")</f>
        <v>38.644222623668078</v>
      </c>
      <c r="DQ564" s="55" t="str">
        <f>IF(AND(RecData[[#This Row],[Useable Background Data?]],RecData[[#This Row],[Turbines ON/OFF]]="OFF"),RecData[[#This Row],[dBA Sum]],"")</f>
        <v/>
      </c>
      <c r="DR564" s="3">
        <f>IF(OR(RecData[[#This Row],[Useable TON Data?]],RecData[[#This Row],[Useable Background Data?]]),ROUND(RecData[[#This Row],[WSpd_Avg '[m/s']]],0),"")</f>
        <v>1</v>
      </c>
      <c r="DS564" s="85">
        <f>(0.00002)^2*(10^(RecData[[#This Row],[Overall (dBA)]]/10))</f>
        <v>2.9274012483494108E-6</v>
      </c>
    </row>
    <row r="565" spans="1:123" ht="15" x14ac:dyDescent="0.25">
      <c r="A565" s="3" t="s">
        <v>249</v>
      </c>
      <c r="B565" s="12">
        <v>43270.108333333337</v>
      </c>
      <c r="C565" s="3"/>
      <c r="D565" s="3">
        <v>40.200000000000003</v>
      </c>
      <c r="E565" s="3"/>
      <c r="F565" s="3"/>
      <c r="G565" s="3"/>
      <c r="H565" s="3"/>
      <c r="I565" s="3"/>
      <c r="J565" s="3"/>
      <c r="K565" s="3">
        <v>39.200000000000003</v>
      </c>
      <c r="L565" s="3"/>
      <c r="M565" s="3"/>
      <c r="N565" s="3">
        <v>194.1</v>
      </c>
      <c r="O565" s="3"/>
      <c r="P565" s="3"/>
      <c r="Q565" s="3">
        <v>0.81</v>
      </c>
      <c r="R565" s="3">
        <v>0.6</v>
      </c>
      <c r="S565" s="3">
        <v>1.2</v>
      </c>
      <c r="T565" s="3">
        <v>13.7</v>
      </c>
      <c r="U565" s="3">
        <v>74.3</v>
      </c>
      <c r="V565" s="3">
        <v>972.9</v>
      </c>
      <c r="W565" s="3">
        <v>0</v>
      </c>
      <c r="X565" s="3">
        <v>45.2</v>
      </c>
      <c r="Y565" s="3">
        <v>44.2</v>
      </c>
      <c r="Z565" s="3">
        <v>43.9</v>
      </c>
      <c r="AA565" s="3">
        <v>40.299999999999997</v>
      </c>
      <c r="AB565" s="3">
        <v>35.299999999999997</v>
      </c>
      <c r="AC565" s="3">
        <v>33.6</v>
      </c>
      <c r="AD565" s="3">
        <v>38.700000000000003</v>
      </c>
      <c r="AE565" s="3">
        <v>40.299999999999997</v>
      </c>
      <c r="AF565" s="3">
        <v>45.7</v>
      </c>
      <c r="AG565" s="3">
        <v>39.4</v>
      </c>
      <c r="AH565" s="3">
        <v>37.4</v>
      </c>
      <c r="AI565" s="3">
        <v>38.299999999999997</v>
      </c>
      <c r="AJ565" s="3">
        <v>36.700000000000003</v>
      </c>
      <c r="AK565" s="3">
        <v>35.299999999999997</v>
      </c>
      <c r="AL565" s="3">
        <v>33.299999999999997</v>
      </c>
      <c r="AM565" s="3">
        <v>33</v>
      </c>
      <c r="AN565" s="3">
        <v>31</v>
      </c>
      <c r="AO565" s="3">
        <v>28.3</v>
      </c>
      <c r="AP565" s="3">
        <v>26.3</v>
      </c>
      <c r="AQ565" s="3">
        <v>23.7</v>
      </c>
      <c r="AR565" s="3">
        <v>20.100000000000001</v>
      </c>
      <c r="AS565" s="3">
        <v>17</v>
      </c>
      <c r="AT565" s="3">
        <v>24.3</v>
      </c>
      <c r="AU565" s="3">
        <v>9.6</v>
      </c>
      <c r="AV565" s="3">
        <v>9.1</v>
      </c>
      <c r="AW565" s="3">
        <v>9.3000000000000007</v>
      </c>
      <c r="AX565" s="3">
        <v>9.1999999999999993</v>
      </c>
      <c r="AY565" s="3">
        <v>9.4</v>
      </c>
      <c r="AZ565" s="3">
        <v>0</v>
      </c>
      <c r="BA565" s="3">
        <v>0</v>
      </c>
      <c r="BB565" s="3">
        <v>0</v>
      </c>
      <c r="BC565" s="3">
        <v>40.169394399409065</v>
      </c>
      <c r="BD565" s="3">
        <v>45.230605600590941</v>
      </c>
      <c r="BE565" s="3">
        <v>44.230605600590941</v>
      </c>
      <c r="BF565" s="3">
        <v>42.690605600590935</v>
      </c>
      <c r="BG565" s="3">
        <v>39.417272267257609</v>
      </c>
      <c r="BH565" s="3">
        <v>34.557272267257595</v>
      </c>
      <c r="BI565" s="3">
        <v>33.270605600590933</v>
      </c>
      <c r="BJ565" s="3">
        <v>39.163938933924278</v>
      </c>
      <c r="BK565" s="3">
        <v>40.637272267257607</v>
      </c>
      <c r="BL565" s="3">
        <v>45.610605600590937</v>
      </c>
      <c r="BM565" s="3">
        <v>39.443938933924279</v>
      </c>
      <c r="BN565" s="3">
        <v>37.727272267257611</v>
      </c>
      <c r="BO565" s="3">
        <v>37.993938933924262</v>
      </c>
      <c r="BP565" s="3">
        <v>36.110605600590937</v>
      </c>
      <c r="BQ565" s="3">
        <v>35.127272267257588</v>
      </c>
      <c r="BR565" s="3">
        <v>33.45393893392427</v>
      </c>
      <c r="BS565" s="3">
        <v>32.957272267257601</v>
      </c>
      <c r="BT565" s="3">
        <v>31.153938933924273</v>
      </c>
      <c r="BU565" s="3">
        <v>28.420605600590939</v>
      </c>
      <c r="BV565" s="3">
        <v>26.137272267257607</v>
      </c>
      <c r="BW565" s="3">
        <v>24.070605600590945</v>
      </c>
      <c r="BX565" s="3">
        <v>20.390605600590945</v>
      </c>
      <c r="BY565" s="3">
        <v>17.110605600590937</v>
      </c>
      <c r="BZ565" s="3">
        <v>24.540605600590943</v>
      </c>
      <c r="CA565" s="3">
        <v>9.9406056005909349</v>
      </c>
      <c r="CB565" s="3">
        <v>8.8772722672576023</v>
      </c>
      <c r="CC565" s="3">
        <v>9.2906056005909363</v>
      </c>
      <c r="CD565" s="3">
        <v>8.4972722672576069</v>
      </c>
      <c r="CE565" s="3">
        <v>8.8906056005909377</v>
      </c>
      <c r="CF565" s="3">
        <v>-0.89606106607573111</v>
      </c>
      <c r="CG565" s="3">
        <v>-1.4293943994090625</v>
      </c>
      <c r="CH565" s="3">
        <v>-2.5060610660757305</v>
      </c>
      <c r="CI565" s="13">
        <f>[1]!dbasum(RecData[[#This Row],[20]:[2000]],RecData[[#Headers],[20]:[2000]])</f>
        <v>39.927269850865088</v>
      </c>
      <c r="CJ565" s="14">
        <v>8333</v>
      </c>
      <c r="CK565" s="15" t="s">
        <v>249</v>
      </c>
      <c r="CL565" s="15">
        <f>RecData[[#This Row],[Start Time]]</f>
        <v>43270.108333333337</v>
      </c>
      <c r="CM565" s="16">
        <f>RecData[[#This Row],[Wind Speed avg]]</f>
        <v>0.81</v>
      </c>
      <c r="CN565" s="16">
        <f>RecData[[#This Row],[Wind Dir. avg]]</f>
        <v>194.1</v>
      </c>
      <c r="CO565" s="16">
        <f>RecData[[#This Row],[Amb. Humidity]]</f>
        <v>74.3</v>
      </c>
      <c r="CP565" s="16">
        <f>RecData[[#This Row],[Amb. Temperature]]</f>
        <v>13.7</v>
      </c>
      <c r="CQ565" s="17">
        <f>RecData[[#This Row],[Amb. Rain Gauge]]</f>
        <v>0</v>
      </c>
      <c r="CR565" s="4" t="s">
        <v>1</v>
      </c>
      <c r="CS565" s="4" t="s">
        <v>49</v>
      </c>
      <c r="CT565" s="70">
        <v>1619.64074707031</v>
      </c>
      <c r="CU565" s="70">
        <v>39.000328063964801</v>
      </c>
      <c r="CV565" s="70">
        <v>10.1781663894653</v>
      </c>
      <c r="CW565" s="70">
        <v>15.298280715942299</v>
      </c>
      <c r="CX565" s="4"/>
      <c r="CY565" s="69"/>
      <c r="CZ565" s="2" t="b">
        <f>IF($DP$1="YES",IF(RecData[[#This Row],[Power (kW)]]&gt;=$CR$3, TRUE,FALSE),TRUE)</f>
        <v>1</v>
      </c>
      <c r="DA565" s="16">
        <f>MIN(MOD(180-ABS(ABS($DA$1-RecData[Yaw Angle (°)])-180),360),MOD(180-ABS(ABS($DB$1-RecData[Yaw Angle (°)])-180),360))</f>
        <v>31.470401286277252</v>
      </c>
      <c r="DB565" s="2" t="str">
        <f>IF($DP$2="None","None",IF(RecData[[#This Row],[Relative Wind Direction]]&lt;=45,"DW",IF(RecData[[#This Row],[Relative Wind Direction]]&lt;=135,"CW","UW")))</f>
        <v>DW</v>
      </c>
      <c r="DC565" s="61">
        <f>IF($CL565-$CL561&gt;1/24,#REF!,IF(SUM($CQ561:$CQ565)&gt;$DS$1,$DS$5,DC566-1))</f>
        <v>-3</v>
      </c>
      <c r="DD565" s="61">
        <f>IF($CL566-$CL565&gt;1/24,#REF!,IF(SUM($CQ561:$CQ565)&gt;$DS$1,$DS$6,DD564-1))</f>
        <v>-8</v>
      </c>
      <c r="DE565" s="18" t="b">
        <v>0</v>
      </c>
      <c r="DF565" s="2" t="b">
        <f>IF(OR(RecData[[#This Row],[WSpd_Avg '[m/s']]]-RecData[[#This Row],[Wind Speed min]]&gt;=$DF$3,RecData[[#This Row],[Wind Speed max]]-RecData[[#This Row],[WSpd_Avg '[m/s']]]&gt;=$DF$2),TRUE,FALSE)</f>
        <v>0</v>
      </c>
      <c r="DG565" s="2" t="b">
        <f>RecData[[#This Row],[Temperature '[°C']]]&lt;=-20</f>
        <v>0</v>
      </c>
      <c r="DH565" s="18" t="b">
        <f>NOT(OR(MOD(RecData[[#This Row],[TIMESTAMP]],1)&gt;0.91632,MOD(RecData[[#This Row],[TIMESTAMP]],1)&lt;0.208681))</f>
        <v>0</v>
      </c>
      <c r="DI565" s="18" t="b">
        <f>RecData[[#This Row],[Overall (dBA)]]-RecData[[#This Row],[L90]]&gt;=$DS$4</f>
        <v>0</v>
      </c>
      <c r="DJ565" s="18" t="b">
        <f>RecData[[#This Row],[Overall (dBA)]]&gt;$DS$2</f>
        <v>0</v>
      </c>
      <c r="DK565" s="18" t="b">
        <f>RecData[[#This Row],[Overall (dBA)]]&lt;$DS$3</f>
        <v>0</v>
      </c>
      <c r="DL5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5" s="2">
        <f>IF(AND(RecData[[#This Row],[Turbines ON/OFF]] = "OFF", NOT(OR(RecData[[#This Row],[Junk?]]="YES",RecData[[#This Row],[Gust?]],RecData[[#This Row],[Rain?]:[Min SPL Threshold?]]))),1,0)</f>
        <v>0</v>
      </c>
      <c r="DN565" s="16">
        <f>RecData[[#This Row],[dBA Sum]]</f>
        <v>39.927269850865088</v>
      </c>
      <c r="DO565" s="16">
        <f>RecData[[#This Row],[LAF90.0]]</f>
        <v>39.200000000000003</v>
      </c>
      <c r="DP565" s="55">
        <f>IF(AND(RecData[[#This Row],[Useable TON Data?]],RecData[[#This Row],[Turbines ON/OFF]]="ON"),RecData[[#This Row],[dBA Sum]],"")</f>
        <v>39.927269850865088</v>
      </c>
      <c r="DQ565" s="55" t="str">
        <f>IF(AND(RecData[[#This Row],[Useable Background Data?]],RecData[[#This Row],[Turbines ON/OFF]]="OFF"),RecData[[#This Row],[dBA Sum]],"")</f>
        <v/>
      </c>
      <c r="DR565" s="3">
        <f>IF(OR(RecData[[#This Row],[Useable TON Data?]],RecData[[#This Row],[Useable Background Data?]]),ROUND(RecData[[#This Row],[WSpd_Avg '[m/s']]],0),"")</f>
        <v>1</v>
      </c>
      <c r="DS565" s="85">
        <f>(0.00002)^2*(10^(RecData[[#This Row],[Overall (dBA)]]/10))</f>
        <v>3.933570845379508E-6</v>
      </c>
    </row>
    <row r="566" spans="1:123" ht="15" x14ac:dyDescent="0.25">
      <c r="A566" s="3" t="s">
        <v>249</v>
      </c>
      <c r="B566" s="12">
        <v>43270.109027777777</v>
      </c>
      <c r="C566" s="3"/>
      <c r="D566" s="3">
        <v>40.4</v>
      </c>
      <c r="E566" s="3"/>
      <c r="F566" s="3"/>
      <c r="G566" s="3"/>
      <c r="H566" s="3"/>
      <c r="I566" s="3"/>
      <c r="J566" s="3"/>
      <c r="K566" s="3">
        <v>39.299999999999997</v>
      </c>
      <c r="L566" s="3"/>
      <c r="M566" s="3"/>
      <c r="N566" s="3">
        <v>173.9</v>
      </c>
      <c r="O566" s="3"/>
      <c r="P566" s="3"/>
      <c r="Q566" s="3">
        <v>0.85</v>
      </c>
      <c r="R566" s="3">
        <v>0.4</v>
      </c>
      <c r="S566" s="3">
        <v>1.4</v>
      </c>
      <c r="T566" s="3">
        <v>13.7</v>
      </c>
      <c r="U566" s="3">
        <v>74.3</v>
      </c>
      <c r="V566" s="3">
        <v>972.9</v>
      </c>
      <c r="W566" s="3">
        <v>0</v>
      </c>
      <c r="X566" s="3">
        <v>45.7</v>
      </c>
      <c r="Y566" s="3">
        <v>44.5</v>
      </c>
      <c r="Z566" s="3">
        <v>43.6</v>
      </c>
      <c r="AA566" s="3">
        <v>39.799999999999997</v>
      </c>
      <c r="AB566" s="3">
        <v>35.4</v>
      </c>
      <c r="AC566" s="3">
        <v>33.9</v>
      </c>
      <c r="AD566" s="3">
        <v>37.799999999999997</v>
      </c>
      <c r="AE566" s="3">
        <v>39.700000000000003</v>
      </c>
      <c r="AF566" s="3">
        <v>44.6</v>
      </c>
      <c r="AG566" s="3">
        <v>39.299999999999997</v>
      </c>
      <c r="AH566" s="3">
        <v>37.9</v>
      </c>
      <c r="AI566" s="3">
        <v>38.6</v>
      </c>
      <c r="AJ566" s="3">
        <v>37.1</v>
      </c>
      <c r="AK566" s="3">
        <v>35.799999999999997</v>
      </c>
      <c r="AL566" s="3">
        <v>33.6</v>
      </c>
      <c r="AM566" s="3">
        <v>33.299999999999997</v>
      </c>
      <c r="AN566" s="3">
        <v>31.1</v>
      </c>
      <c r="AO566" s="3">
        <v>28.2</v>
      </c>
      <c r="AP566" s="3">
        <v>25.9</v>
      </c>
      <c r="AQ566" s="3">
        <v>23.5</v>
      </c>
      <c r="AR566" s="3">
        <v>20.100000000000001</v>
      </c>
      <c r="AS566" s="3">
        <v>17.399999999999999</v>
      </c>
      <c r="AT566" s="3">
        <v>27.1</v>
      </c>
      <c r="AU566" s="3">
        <v>10.9</v>
      </c>
      <c r="AV566" s="3">
        <v>9.5</v>
      </c>
      <c r="AW566" s="3">
        <v>9.4</v>
      </c>
      <c r="AX566" s="3">
        <v>9.1999999999999993</v>
      </c>
      <c r="AY566" s="3">
        <v>9.4</v>
      </c>
      <c r="AZ566" s="3">
        <v>0</v>
      </c>
      <c r="BA566" s="3">
        <v>0</v>
      </c>
      <c r="BB566" s="3">
        <v>0</v>
      </c>
      <c r="BC566" s="3">
        <v>40.401860635336753</v>
      </c>
      <c r="BD566" s="3">
        <v>45.698139364663241</v>
      </c>
      <c r="BE566" s="3">
        <v>44.498139364663253</v>
      </c>
      <c r="BF566" s="3">
        <v>42.358139364663238</v>
      </c>
      <c r="BG566" s="3">
        <v>38.884806031329909</v>
      </c>
      <c r="BH566" s="3">
        <v>34.624806031329918</v>
      </c>
      <c r="BI566" s="3">
        <v>33.538139364663245</v>
      </c>
      <c r="BJ566" s="3">
        <v>38.231472697996573</v>
      </c>
      <c r="BK566" s="3">
        <v>40.004806031329913</v>
      </c>
      <c r="BL566" s="3">
        <v>44.478139364663242</v>
      </c>
      <c r="BM566" s="3">
        <v>39.311472697996585</v>
      </c>
      <c r="BN566" s="3">
        <v>38.194806031329911</v>
      </c>
      <c r="BO566" s="3">
        <v>38.261472697996574</v>
      </c>
      <c r="BP566" s="3">
        <v>36.478139364663242</v>
      </c>
      <c r="BQ566" s="3">
        <v>35.594806031329902</v>
      </c>
      <c r="BR566" s="3">
        <v>33.721472697996582</v>
      </c>
      <c r="BS566" s="3">
        <v>33.224806031329912</v>
      </c>
      <c r="BT566" s="3">
        <v>31.221472697996582</v>
      </c>
      <c r="BU566" s="3">
        <v>28.288139364663245</v>
      </c>
      <c r="BV566" s="3">
        <v>25.704806031329916</v>
      </c>
      <c r="BW566" s="3">
        <v>23.838139364663256</v>
      </c>
      <c r="BX566" s="3">
        <v>20.358139364663252</v>
      </c>
      <c r="BY566" s="3">
        <v>17.478139364663242</v>
      </c>
      <c r="BZ566" s="3">
        <v>27.308139364663255</v>
      </c>
      <c r="CA566" s="3">
        <v>11.208139364663239</v>
      </c>
      <c r="CB566" s="3">
        <v>9.2448060313299081</v>
      </c>
      <c r="CC566" s="3">
        <v>9.3581393646632449</v>
      </c>
      <c r="CD566" s="3">
        <v>8.464806031329914</v>
      </c>
      <c r="CE566" s="3">
        <v>8.8581393646632449</v>
      </c>
      <c r="CF566" s="3">
        <v>-0.92852730200342393</v>
      </c>
      <c r="CG566" s="3">
        <v>-1.4618606353367554</v>
      </c>
      <c r="CH566" s="3">
        <v>-2.5385273020034234</v>
      </c>
      <c r="CI566" s="13">
        <f>[1]!dbasum(RecData[[#This Row],[20]:[2000]],RecData[[#Headers],[20]:[2000]])</f>
        <v>39.993290703371059</v>
      </c>
      <c r="CJ566" s="14">
        <v>8334</v>
      </c>
      <c r="CK566" s="15" t="s">
        <v>249</v>
      </c>
      <c r="CL566" s="15">
        <f>RecData[[#This Row],[Start Time]]</f>
        <v>43270.109027777777</v>
      </c>
      <c r="CM566" s="16">
        <f>RecData[[#This Row],[Wind Speed avg]]</f>
        <v>0.85</v>
      </c>
      <c r="CN566" s="16">
        <f>RecData[[#This Row],[Wind Dir. avg]]</f>
        <v>173.9</v>
      </c>
      <c r="CO566" s="16">
        <f>RecData[[#This Row],[Amb. Humidity]]</f>
        <v>74.3</v>
      </c>
      <c r="CP566" s="16">
        <f>RecData[[#This Row],[Amb. Temperature]]</f>
        <v>13.7</v>
      </c>
      <c r="CQ566" s="17">
        <f>RecData[[#This Row],[Amb. Rain Gauge]]</f>
        <v>0</v>
      </c>
      <c r="CR566" s="4" t="s">
        <v>1</v>
      </c>
      <c r="CS566" s="4" t="s">
        <v>49</v>
      </c>
      <c r="CT566" s="70">
        <v>1619.64074707031</v>
      </c>
      <c r="CU566" s="70">
        <v>39.000328063964801</v>
      </c>
      <c r="CV566" s="70">
        <v>10.1781663894653</v>
      </c>
      <c r="CW566" s="70">
        <v>15.298280715942299</v>
      </c>
      <c r="CX566" s="4"/>
      <c r="CY566" s="69"/>
      <c r="CZ566" s="2" t="b">
        <f>IF($DP$1="YES",IF(RecData[[#This Row],[Power (kW)]]&gt;=$CR$3, TRUE,FALSE),TRUE)</f>
        <v>1</v>
      </c>
      <c r="DA566" s="16">
        <f>MIN(MOD(180-ABS(ABS($DA$1-RecData[Yaw Angle (°)])-180),360),MOD(180-ABS(ABS($DB$1-RecData[Yaw Angle (°)])-180),360))</f>
        <v>31.470401286277252</v>
      </c>
      <c r="DB566" s="2" t="str">
        <f>IF($DP$2="None","None",IF(RecData[[#This Row],[Relative Wind Direction]]&lt;=45,"DW",IF(RecData[[#This Row],[Relative Wind Direction]]&lt;=135,"CW","UW")))</f>
        <v>DW</v>
      </c>
      <c r="DC566" s="61">
        <f>IF($CL566-$CL562&gt;1/24,#REF!,IF(SUM($CQ562:$CQ566)&gt;$DS$1,$DS$5,DC567-1))</f>
        <v>-2</v>
      </c>
      <c r="DD566" s="61">
        <f>IF($CL567-$CL566&gt;1/24,#REF!,IF(SUM($CQ562:$CQ566)&gt;$DS$1,$DS$6,DD565-1))</f>
        <v>-9</v>
      </c>
      <c r="DE566" s="18" t="b">
        <v>0</v>
      </c>
      <c r="DF566" s="2" t="b">
        <f>IF(OR(RecData[[#This Row],[WSpd_Avg '[m/s']]]-RecData[[#This Row],[Wind Speed min]]&gt;=$DF$3,RecData[[#This Row],[Wind Speed max]]-RecData[[#This Row],[WSpd_Avg '[m/s']]]&gt;=$DF$2),TRUE,FALSE)</f>
        <v>0</v>
      </c>
      <c r="DG566" s="2" t="b">
        <f>RecData[[#This Row],[Temperature '[°C']]]&lt;=-20</f>
        <v>0</v>
      </c>
      <c r="DH566" s="18" t="b">
        <f>NOT(OR(MOD(RecData[[#This Row],[TIMESTAMP]],1)&gt;0.91632,MOD(RecData[[#This Row],[TIMESTAMP]],1)&lt;0.208681))</f>
        <v>0</v>
      </c>
      <c r="DI566" s="18" t="b">
        <f>RecData[[#This Row],[Overall (dBA)]]-RecData[[#This Row],[L90]]&gt;=$DS$4</f>
        <v>0</v>
      </c>
      <c r="DJ566" s="18" t="b">
        <f>RecData[[#This Row],[Overall (dBA)]]&gt;$DS$2</f>
        <v>0</v>
      </c>
      <c r="DK566" s="18" t="b">
        <f>RecData[[#This Row],[Overall (dBA)]]&lt;$DS$3</f>
        <v>0</v>
      </c>
      <c r="DL5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6" s="2">
        <f>IF(AND(RecData[[#This Row],[Turbines ON/OFF]] = "OFF", NOT(OR(RecData[[#This Row],[Junk?]]="YES",RecData[[#This Row],[Gust?]],RecData[[#This Row],[Rain?]:[Min SPL Threshold?]]))),1,0)</f>
        <v>0</v>
      </c>
      <c r="DN566" s="16">
        <f>RecData[[#This Row],[dBA Sum]]</f>
        <v>39.993290703371059</v>
      </c>
      <c r="DO566" s="16">
        <f>RecData[[#This Row],[LAF90.0]]</f>
        <v>39.299999999999997</v>
      </c>
      <c r="DP566" s="55">
        <f>IF(AND(RecData[[#This Row],[Useable TON Data?]],RecData[[#This Row],[Turbines ON/OFF]]="ON"),RecData[[#This Row],[dBA Sum]],"")</f>
        <v>39.993290703371059</v>
      </c>
      <c r="DQ566" s="55" t="str">
        <f>IF(AND(RecData[[#This Row],[Useable Background Data?]],RecData[[#This Row],[Turbines ON/OFF]]="OFF"),RecData[[#This Row],[dBA Sum]],"")</f>
        <v/>
      </c>
      <c r="DR566" s="3">
        <f>IF(OR(RecData[[#This Row],[Useable TON Data?]],RecData[[#This Row],[Useable Background Data?]]),ROUND(RecData[[#This Row],[WSpd_Avg '[m/s']]],0),"")</f>
        <v>1</v>
      </c>
      <c r="DS566" s="85">
        <f>(0.00002)^2*(10^(RecData[[#This Row],[Overall (dBA)]]/10))</f>
        <v>3.9938252802449645E-6</v>
      </c>
    </row>
    <row r="567" spans="1:123" ht="15" x14ac:dyDescent="0.25">
      <c r="A567" s="3" t="s">
        <v>249</v>
      </c>
      <c r="B567" s="12">
        <v>43270.109722222223</v>
      </c>
      <c r="C567" s="3"/>
      <c r="D567" s="3">
        <v>40.4</v>
      </c>
      <c r="E567" s="3"/>
      <c r="F567" s="3"/>
      <c r="G567" s="3"/>
      <c r="H567" s="3"/>
      <c r="I567" s="3"/>
      <c r="J567" s="3"/>
      <c r="K567" s="3">
        <v>39.200000000000003</v>
      </c>
      <c r="L567" s="3"/>
      <c r="M567" s="3"/>
      <c r="N567" s="3">
        <v>180.5</v>
      </c>
      <c r="O567" s="3"/>
      <c r="P567" s="3"/>
      <c r="Q567" s="3">
        <v>0.78</v>
      </c>
      <c r="R567" s="3">
        <v>0.2</v>
      </c>
      <c r="S567" s="3">
        <v>1.2</v>
      </c>
      <c r="T567" s="3">
        <v>13.7</v>
      </c>
      <c r="U567" s="3">
        <v>74.3</v>
      </c>
      <c r="V567" s="3">
        <v>972.9</v>
      </c>
      <c r="W567" s="3">
        <v>0</v>
      </c>
      <c r="X567" s="3">
        <v>45.6</v>
      </c>
      <c r="Y567" s="3">
        <v>44.3</v>
      </c>
      <c r="Z567" s="3">
        <v>43.4</v>
      </c>
      <c r="AA567" s="3">
        <v>39.700000000000003</v>
      </c>
      <c r="AB567" s="3">
        <v>34.6</v>
      </c>
      <c r="AC567" s="3">
        <v>33.1</v>
      </c>
      <c r="AD567" s="3">
        <v>37.1</v>
      </c>
      <c r="AE567" s="3">
        <v>39.5</v>
      </c>
      <c r="AF567" s="3">
        <v>45.5</v>
      </c>
      <c r="AG567" s="3">
        <v>39.9</v>
      </c>
      <c r="AH567" s="3">
        <v>37</v>
      </c>
      <c r="AI567" s="3">
        <v>38.4</v>
      </c>
      <c r="AJ567" s="3">
        <v>36.6</v>
      </c>
      <c r="AK567" s="3">
        <v>35.6</v>
      </c>
      <c r="AL567" s="3">
        <v>33.5</v>
      </c>
      <c r="AM567" s="3">
        <v>33</v>
      </c>
      <c r="AN567" s="3">
        <v>31</v>
      </c>
      <c r="AO567" s="3">
        <v>27.9</v>
      </c>
      <c r="AP567" s="3">
        <v>25.3</v>
      </c>
      <c r="AQ567" s="3">
        <v>23.2</v>
      </c>
      <c r="AR567" s="3">
        <v>19.7</v>
      </c>
      <c r="AS567" s="3">
        <v>16.899999999999999</v>
      </c>
      <c r="AT567" s="3">
        <v>28.6</v>
      </c>
      <c r="AU567" s="3">
        <v>11.1</v>
      </c>
      <c r="AV567" s="3">
        <v>9</v>
      </c>
      <c r="AW567" s="3">
        <v>9.1</v>
      </c>
      <c r="AX567" s="3">
        <v>9.1999999999999993</v>
      </c>
      <c r="AY567" s="3">
        <v>9.4</v>
      </c>
      <c r="AZ567" s="3">
        <v>0</v>
      </c>
      <c r="BA567" s="3">
        <v>0</v>
      </c>
      <c r="BB567" s="3">
        <v>0</v>
      </c>
      <c r="BC567" s="3">
        <v>40.357064365719324</v>
      </c>
      <c r="BD567" s="3">
        <v>45.642935634280676</v>
      </c>
      <c r="BE567" s="3">
        <v>44.342935634280664</v>
      </c>
      <c r="BF567" s="3">
        <v>42.202935634280678</v>
      </c>
      <c r="BG567" s="3">
        <v>38.829602300947343</v>
      </c>
      <c r="BH567" s="3">
        <v>33.869602300947335</v>
      </c>
      <c r="BI567" s="3">
        <v>32.782935634280676</v>
      </c>
      <c r="BJ567" s="3">
        <v>37.576268967614013</v>
      </c>
      <c r="BK567" s="3">
        <v>39.849602300947339</v>
      </c>
      <c r="BL567" s="3">
        <v>45.422935634280677</v>
      </c>
      <c r="BM567" s="3">
        <v>39.956268967614008</v>
      </c>
      <c r="BN567" s="3">
        <v>37.339602300947334</v>
      </c>
      <c r="BO567" s="3">
        <v>38.106268967614014</v>
      </c>
      <c r="BP567" s="3">
        <v>36.022935634280671</v>
      </c>
      <c r="BQ567" s="3">
        <v>35.439602300947328</v>
      </c>
      <c r="BR567" s="3">
        <v>33.666268967614016</v>
      </c>
      <c r="BS567" s="3">
        <v>32.969602300947344</v>
      </c>
      <c r="BT567" s="3">
        <v>31.166268967614016</v>
      </c>
      <c r="BU567" s="3">
        <v>28.032935634280676</v>
      </c>
      <c r="BV567" s="3">
        <v>25.149602300947336</v>
      </c>
      <c r="BW567" s="3">
        <v>23.582935634280673</v>
      </c>
      <c r="BX567" s="3">
        <v>20.002935634280675</v>
      </c>
      <c r="BY567" s="3">
        <v>17.022935634280671</v>
      </c>
      <c r="BZ567" s="3">
        <v>28.852935634280684</v>
      </c>
      <c r="CA567" s="3">
        <v>11.452935634280664</v>
      </c>
      <c r="CB567" s="3">
        <v>8.7896023009473367</v>
      </c>
      <c r="CC567" s="3">
        <v>9.1029356342806693</v>
      </c>
      <c r="CD567" s="3">
        <v>8.5096023009473427</v>
      </c>
      <c r="CE567" s="3">
        <v>8.9029356342806736</v>
      </c>
      <c r="CF567" s="3">
        <v>-0.88373103238599526</v>
      </c>
      <c r="CG567" s="3">
        <v>-1.4170643657193267</v>
      </c>
      <c r="CH567" s="3">
        <v>-2.4937310323859947</v>
      </c>
      <c r="CI567" s="13">
        <f>[1]!dbasum(RecData[[#This Row],[20]:[2000]],RecData[[#Headers],[20]:[2000]])</f>
        <v>39.873007188873622</v>
      </c>
      <c r="CJ567" s="14">
        <v>8335</v>
      </c>
      <c r="CK567" s="15" t="s">
        <v>249</v>
      </c>
      <c r="CL567" s="15">
        <f>RecData[[#This Row],[Start Time]]</f>
        <v>43270.109722222223</v>
      </c>
      <c r="CM567" s="16">
        <f>RecData[[#This Row],[Wind Speed avg]]</f>
        <v>0.78</v>
      </c>
      <c r="CN567" s="16">
        <f>RecData[[#This Row],[Wind Dir. avg]]</f>
        <v>180.5</v>
      </c>
      <c r="CO567" s="16">
        <f>RecData[[#This Row],[Amb. Humidity]]</f>
        <v>74.3</v>
      </c>
      <c r="CP567" s="16">
        <f>RecData[[#This Row],[Amb. Temperature]]</f>
        <v>13.7</v>
      </c>
      <c r="CQ567" s="17">
        <f>RecData[[#This Row],[Amb. Rain Gauge]]</f>
        <v>0</v>
      </c>
      <c r="CR567" s="4" t="s">
        <v>1</v>
      </c>
      <c r="CS567" s="4" t="s">
        <v>49</v>
      </c>
      <c r="CT567" s="70">
        <v>1619.64074707031</v>
      </c>
      <c r="CU567" s="70">
        <v>39.000328063964801</v>
      </c>
      <c r="CV567" s="70">
        <v>10.1781663894653</v>
      </c>
      <c r="CW567" s="70">
        <v>15.298280715942299</v>
      </c>
      <c r="CX567" s="4"/>
      <c r="CY567" s="69"/>
      <c r="CZ567" s="2" t="b">
        <f>IF($DP$1="YES",IF(RecData[[#This Row],[Power (kW)]]&gt;=$CR$3, TRUE,FALSE),TRUE)</f>
        <v>1</v>
      </c>
      <c r="DA567" s="16">
        <f>MIN(MOD(180-ABS(ABS($DA$1-RecData[Yaw Angle (°)])-180),360),MOD(180-ABS(ABS($DB$1-RecData[Yaw Angle (°)])-180),360))</f>
        <v>31.470401286277252</v>
      </c>
      <c r="DB567" s="2" t="str">
        <f>IF($DP$2="None","None",IF(RecData[[#This Row],[Relative Wind Direction]]&lt;=45,"DW",IF(RecData[[#This Row],[Relative Wind Direction]]&lt;=135,"CW","UW")))</f>
        <v>DW</v>
      </c>
      <c r="DC567" s="61">
        <v>-1</v>
      </c>
      <c r="DD567" s="61">
        <v>-1</v>
      </c>
      <c r="DE567" s="18" t="b">
        <v>0</v>
      </c>
      <c r="DF567" s="2" t="b">
        <f>IF(OR(RecData[[#This Row],[WSpd_Avg '[m/s']]]-RecData[[#This Row],[Wind Speed min]]&gt;=$DF$3,RecData[[#This Row],[Wind Speed max]]-RecData[[#This Row],[WSpd_Avg '[m/s']]]&gt;=$DF$2),TRUE,FALSE)</f>
        <v>0</v>
      </c>
      <c r="DG567" s="2" t="b">
        <f>RecData[[#This Row],[Temperature '[°C']]]&lt;=-20</f>
        <v>0</v>
      </c>
      <c r="DH567" s="18" t="b">
        <f>NOT(OR(MOD(RecData[[#This Row],[TIMESTAMP]],1)&gt;0.91632,MOD(RecData[[#This Row],[TIMESTAMP]],1)&lt;0.208681))</f>
        <v>0</v>
      </c>
      <c r="DI567" s="18" t="b">
        <f>RecData[[#This Row],[Overall (dBA)]]-RecData[[#This Row],[L90]]&gt;=$DS$4</f>
        <v>0</v>
      </c>
      <c r="DJ567" s="18" t="b">
        <f>RecData[[#This Row],[Overall (dBA)]]&gt;$DS$2</f>
        <v>0</v>
      </c>
      <c r="DK567" s="18" t="b">
        <f>RecData[[#This Row],[Overall (dBA)]]&lt;$DS$3</f>
        <v>0</v>
      </c>
      <c r="DL5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7" s="2">
        <f>IF(AND(RecData[[#This Row],[Turbines ON/OFF]] = "OFF", NOT(OR(RecData[[#This Row],[Junk?]]="YES",RecData[[#This Row],[Gust?]],RecData[[#This Row],[Rain?]:[Min SPL Threshold?]]))),1,0)</f>
        <v>0</v>
      </c>
      <c r="DN567" s="16">
        <f>RecData[[#This Row],[dBA Sum]]</f>
        <v>39.873007188873622</v>
      </c>
      <c r="DO567" s="16">
        <f>RecData[[#This Row],[LAF90.0]]</f>
        <v>39.200000000000003</v>
      </c>
      <c r="DP567" s="55">
        <f>IF(AND(RecData[[#This Row],[Useable TON Data?]],RecData[[#This Row],[Turbines ON/OFF]]="ON"),RecData[[#This Row],[dBA Sum]],"")</f>
        <v>39.873007188873622</v>
      </c>
      <c r="DQ567" s="55" t="str">
        <f>IF(AND(RecData[[#This Row],[Useable Background Data?]],RecData[[#This Row],[Turbines ON/OFF]]="OFF"),RecData[[#This Row],[dBA Sum]],"")</f>
        <v/>
      </c>
      <c r="DR567" s="3">
        <f>IF(OR(RecData[[#This Row],[Useable TON Data?]],RecData[[#This Row],[Useable Background Data?]]),ROUND(RecData[[#This Row],[WSpd_Avg '[m/s']]],0),"")</f>
        <v>1</v>
      </c>
      <c r="DS567" s="85">
        <f>(0.00002)^2*(10^(RecData[[#This Row],[Overall (dBA)]]/10))</f>
        <v>3.8847288439168801E-6</v>
      </c>
    </row>
    <row r="568" spans="1:123" ht="15" x14ac:dyDescent="0.25">
      <c r="A568" s="3" t="s">
        <v>249</v>
      </c>
      <c r="B568" s="12">
        <v>43270.11041666667</v>
      </c>
      <c r="C568" s="3"/>
      <c r="D568" s="3">
        <v>39.4</v>
      </c>
      <c r="E568" s="3"/>
      <c r="F568" s="3"/>
      <c r="G568" s="3"/>
      <c r="H568" s="3"/>
      <c r="I568" s="3"/>
      <c r="J568" s="3"/>
      <c r="K568" s="3">
        <v>38.4</v>
      </c>
      <c r="L568" s="3"/>
      <c r="M568" s="3"/>
      <c r="N568" s="3">
        <v>167.1</v>
      </c>
      <c r="O568" s="3"/>
      <c r="P568" s="3"/>
      <c r="Q568" s="3">
        <v>0.55000000000000004</v>
      </c>
      <c r="R568" s="3">
        <v>0.2</v>
      </c>
      <c r="S568" s="3">
        <v>1</v>
      </c>
      <c r="T568" s="3">
        <v>13.7</v>
      </c>
      <c r="U568" s="3">
        <v>74.400000000000006</v>
      </c>
      <c r="V568" s="3">
        <v>972.9</v>
      </c>
      <c r="W568" s="3">
        <v>0</v>
      </c>
      <c r="X568" s="3">
        <v>44.6</v>
      </c>
      <c r="Y568" s="3">
        <v>43.4</v>
      </c>
      <c r="Z568" s="3">
        <v>42.6</v>
      </c>
      <c r="AA568" s="3">
        <v>39.200000000000003</v>
      </c>
      <c r="AB568" s="3">
        <v>34.1</v>
      </c>
      <c r="AC568" s="3">
        <v>33.299999999999997</v>
      </c>
      <c r="AD568" s="3">
        <v>37.299999999999997</v>
      </c>
      <c r="AE568" s="3">
        <v>38.6</v>
      </c>
      <c r="AF568" s="3">
        <v>44.6</v>
      </c>
      <c r="AG568" s="3">
        <v>38.5</v>
      </c>
      <c r="AH568" s="3">
        <v>37.200000000000003</v>
      </c>
      <c r="AI568" s="3">
        <v>37.5</v>
      </c>
      <c r="AJ568" s="3">
        <v>36</v>
      </c>
      <c r="AK568" s="3">
        <v>34.700000000000003</v>
      </c>
      <c r="AL568" s="3">
        <v>32.6</v>
      </c>
      <c r="AM568" s="3">
        <v>32.1</v>
      </c>
      <c r="AN568" s="3">
        <v>30</v>
      </c>
      <c r="AO568" s="3">
        <v>27.3</v>
      </c>
      <c r="AP568" s="3">
        <v>25.1</v>
      </c>
      <c r="AQ568" s="3">
        <v>22.9</v>
      </c>
      <c r="AR568" s="3">
        <v>19.399999999999999</v>
      </c>
      <c r="AS568" s="3">
        <v>16.2</v>
      </c>
      <c r="AT568" s="3">
        <v>26</v>
      </c>
      <c r="AU568" s="3">
        <v>10</v>
      </c>
      <c r="AV568" s="3">
        <v>8.8000000000000007</v>
      </c>
      <c r="AW568" s="3">
        <v>9</v>
      </c>
      <c r="AX568" s="3">
        <v>9.1999999999999993</v>
      </c>
      <c r="AY568" s="3">
        <v>9.4</v>
      </c>
      <c r="AZ568" s="3">
        <v>0</v>
      </c>
      <c r="BA568" s="3">
        <v>0</v>
      </c>
      <c r="BB568" s="3">
        <v>0</v>
      </c>
      <c r="BC568" s="3">
        <v>39.454501409266364</v>
      </c>
      <c r="BD568" s="3">
        <v>44.545498590733636</v>
      </c>
      <c r="BE568" s="3">
        <v>43.345498590733634</v>
      </c>
      <c r="BF568" s="3">
        <v>41.305498590733627</v>
      </c>
      <c r="BG568" s="3">
        <v>38.232165257400304</v>
      </c>
      <c r="BH568" s="3">
        <v>33.272165257400296</v>
      </c>
      <c r="BI568" s="3">
        <v>32.88549859073364</v>
      </c>
      <c r="BJ568" s="3">
        <v>37.678831924066962</v>
      </c>
      <c r="BK568" s="3">
        <v>38.852165257400308</v>
      </c>
      <c r="BL568" s="3">
        <v>44.425498590733632</v>
      </c>
      <c r="BM568" s="3">
        <v>38.458831924066963</v>
      </c>
      <c r="BN568" s="3">
        <v>37.442165257400312</v>
      </c>
      <c r="BO568" s="3">
        <v>37.108831924066969</v>
      </c>
      <c r="BP568" s="3">
        <v>35.325498590733638</v>
      </c>
      <c r="BQ568" s="3">
        <v>34.442165257400298</v>
      </c>
      <c r="BR568" s="3">
        <v>32.668831924066971</v>
      </c>
      <c r="BS568" s="3">
        <v>31.972165257400313</v>
      </c>
      <c r="BT568" s="3">
        <v>30.068831924066977</v>
      </c>
      <c r="BU568" s="3">
        <v>27.335498590733643</v>
      </c>
      <c r="BV568" s="3">
        <v>24.852165257400308</v>
      </c>
      <c r="BW568" s="3">
        <v>23.185498590733637</v>
      </c>
      <c r="BX568" s="3">
        <v>19.605498590733639</v>
      </c>
      <c r="BY568" s="3">
        <v>16.225498590733629</v>
      </c>
      <c r="BZ568" s="3">
        <v>26.155498590733636</v>
      </c>
      <c r="CA568" s="3">
        <v>10.25549859073363</v>
      </c>
      <c r="CB568" s="3">
        <v>8.4921652574003019</v>
      </c>
      <c r="CC568" s="3">
        <v>8.9054985907336359</v>
      </c>
      <c r="CD568" s="3">
        <v>8.4121652574003036</v>
      </c>
      <c r="CE568" s="3">
        <v>8.8054985907336345</v>
      </c>
      <c r="CF568" s="3">
        <v>-0.98116807593303434</v>
      </c>
      <c r="CG568" s="3">
        <v>-1.5145014092663658</v>
      </c>
      <c r="CH568" s="3">
        <v>-2.5911680759330338</v>
      </c>
      <c r="CI568" s="13">
        <f>[1]!dbasum(RecData[[#This Row],[20]:[2000]],RecData[[#Headers],[20]:[2000]])</f>
        <v>39.007100247326534</v>
      </c>
      <c r="CJ568" s="14">
        <v>8336</v>
      </c>
      <c r="CK568" s="15" t="s">
        <v>249</v>
      </c>
      <c r="CL568" s="15">
        <f>RecData[[#This Row],[Start Time]]</f>
        <v>43270.11041666667</v>
      </c>
      <c r="CM568" s="16">
        <f>RecData[[#This Row],[Wind Speed avg]]</f>
        <v>0.55000000000000004</v>
      </c>
      <c r="CN568" s="16">
        <f>RecData[[#This Row],[Wind Dir. avg]]</f>
        <v>167.1</v>
      </c>
      <c r="CO568" s="16">
        <f>RecData[[#This Row],[Amb. Humidity]]</f>
        <v>74.400000000000006</v>
      </c>
      <c r="CP568" s="16">
        <f>RecData[[#This Row],[Amb. Temperature]]</f>
        <v>13.7</v>
      </c>
      <c r="CQ568" s="17">
        <f>RecData[[#This Row],[Amb. Rain Gauge]]</f>
        <v>0</v>
      </c>
      <c r="CR568" s="4" t="s">
        <v>1</v>
      </c>
      <c r="CS568" s="4" t="s">
        <v>49</v>
      </c>
      <c r="CT568" s="70">
        <v>1619.64074707031</v>
      </c>
      <c r="CU568" s="70">
        <v>39.000328063964801</v>
      </c>
      <c r="CV568" s="70">
        <v>10.1781663894653</v>
      </c>
      <c r="CW568" s="70">
        <v>15.298280715942299</v>
      </c>
      <c r="CX568" s="4"/>
      <c r="CY568" s="69"/>
      <c r="CZ568" s="2" t="b">
        <f>IF($DP$1="YES",IF(RecData[[#This Row],[Power (kW)]]&gt;=$CR$3, TRUE,FALSE),TRUE)</f>
        <v>1</v>
      </c>
      <c r="DA568" s="16">
        <f>MIN(MOD(180-ABS(ABS($DA$1-RecData[Yaw Angle (°)])-180),360),MOD(180-ABS(ABS($DB$1-RecData[Yaw Angle (°)])-180),360))</f>
        <v>31.470401286277252</v>
      </c>
      <c r="DB568" s="2" t="str">
        <f>IF($DP$2="None","None",IF(RecData[[#This Row],[Relative Wind Direction]]&lt;=45,"DW",IF(RecData[[#This Row],[Relative Wind Direction]]&lt;=135,"CW","UW")))</f>
        <v>DW</v>
      </c>
      <c r="DC568" s="61">
        <f>IF($CL568-$CL567&gt;1/24,#REF!,IF(SUM($CQ567:$CQ568)&gt;$DS$1,$DS$5,DC569-1))</f>
        <v>-9</v>
      </c>
      <c r="DD568" s="61">
        <f>IF($CL569-$CL568&gt;1/24,#REF!,IF(SUM($CQ567:$CQ568)&gt;$DS$1,$DS$6,DD567-1))</f>
        <v>-2</v>
      </c>
      <c r="DE568" s="18" t="b">
        <v>0</v>
      </c>
      <c r="DF568" s="2" t="b">
        <f>IF(OR(RecData[[#This Row],[WSpd_Avg '[m/s']]]-RecData[[#This Row],[Wind Speed min]]&gt;=$DF$3,RecData[[#This Row],[Wind Speed max]]-RecData[[#This Row],[WSpd_Avg '[m/s']]]&gt;=$DF$2),TRUE,FALSE)</f>
        <v>0</v>
      </c>
      <c r="DG568" s="2" t="b">
        <f>RecData[[#This Row],[Temperature '[°C']]]&lt;=-20</f>
        <v>0</v>
      </c>
      <c r="DH568" s="18" t="b">
        <f>NOT(OR(MOD(RecData[[#This Row],[TIMESTAMP]],1)&gt;0.91632,MOD(RecData[[#This Row],[TIMESTAMP]],1)&lt;0.208681))</f>
        <v>0</v>
      </c>
      <c r="DI568" s="18" t="b">
        <f>RecData[[#This Row],[Overall (dBA)]]-RecData[[#This Row],[L90]]&gt;=$DS$4</f>
        <v>0</v>
      </c>
      <c r="DJ568" s="18" t="b">
        <f>RecData[[#This Row],[Overall (dBA)]]&gt;$DS$2</f>
        <v>0</v>
      </c>
      <c r="DK568" s="18" t="b">
        <f>RecData[[#This Row],[Overall (dBA)]]&lt;$DS$3</f>
        <v>0</v>
      </c>
      <c r="DL5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8" s="2">
        <f>IF(AND(RecData[[#This Row],[Turbines ON/OFF]] = "OFF", NOT(OR(RecData[[#This Row],[Junk?]]="YES",RecData[[#This Row],[Gust?]],RecData[[#This Row],[Rain?]:[Min SPL Threshold?]]))),1,0)</f>
        <v>0</v>
      </c>
      <c r="DN568" s="16">
        <f>RecData[[#This Row],[dBA Sum]]</f>
        <v>39.007100247326534</v>
      </c>
      <c r="DO568" s="16">
        <f>RecData[[#This Row],[LAF90.0]]</f>
        <v>38.4</v>
      </c>
      <c r="DP568" s="55">
        <f>IF(AND(RecData[[#This Row],[Useable TON Data?]],RecData[[#This Row],[Turbines ON/OFF]]="ON"),RecData[[#This Row],[dBA Sum]],"")</f>
        <v>39.007100247326534</v>
      </c>
      <c r="DQ568" s="55" t="str">
        <f>IF(AND(RecData[[#This Row],[Useable Background Data?]],RecData[[#This Row],[Turbines ON/OFF]]="OFF"),RecData[[#This Row],[dBA Sum]],"")</f>
        <v/>
      </c>
      <c r="DR568" s="3">
        <f>IF(OR(RecData[[#This Row],[Useable TON Data?]],RecData[[#This Row],[Useable Background Data?]]),ROUND(RecData[[#This Row],[WSpd_Avg '[m/s']]],0),"")</f>
        <v>1</v>
      </c>
      <c r="DS568" s="85">
        <f>(0.00002)^2*(10^(RecData[[#This Row],[Overall (dBA)]]/10))</f>
        <v>3.1825117521544267E-6</v>
      </c>
    </row>
    <row r="569" spans="1:123" ht="15" x14ac:dyDescent="0.25">
      <c r="A569" s="3" t="s">
        <v>249</v>
      </c>
      <c r="B569" s="12">
        <v>43270.111111111117</v>
      </c>
      <c r="C569" s="3"/>
      <c r="D569" s="3">
        <v>39.799999999999997</v>
      </c>
      <c r="E569" s="3"/>
      <c r="F569" s="3"/>
      <c r="G569" s="3"/>
      <c r="H569" s="3"/>
      <c r="I569" s="3"/>
      <c r="J569" s="3"/>
      <c r="K569" s="3">
        <v>38.5</v>
      </c>
      <c r="L569" s="3"/>
      <c r="M569" s="3"/>
      <c r="N569" s="3">
        <v>193.4</v>
      </c>
      <c r="O569" s="3"/>
      <c r="P569" s="3"/>
      <c r="Q569" s="3">
        <v>0.5</v>
      </c>
      <c r="R569" s="3">
        <v>0.3</v>
      </c>
      <c r="S569" s="3">
        <v>0.8</v>
      </c>
      <c r="T569" s="3">
        <v>13.7</v>
      </c>
      <c r="U569" s="3">
        <v>74.400000000000006</v>
      </c>
      <c r="V569" s="3">
        <v>972.9</v>
      </c>
      <c r="W569" s="3">
        <v>0</v>
      </c>
      <c r="X569" s="3">
        <v>45</v>
      </c>
      <c r="Y569" s="3">
        <v>43.8</v>
      </c>
      <c r="Z569" s="3">
        <v>42.6</v>
      </c>
      <c r="AA569" s="3">
        <v>39.4</v>
      </c>
      <c r="AB569" s="3">
        <v>34.799999999999997</v>
      </c>
      <c r="AC569" s="3">
        <v>33.200000000000003</v>
      </c>
      <c r="AD569" s="3">
        <v>38.1</v>
      </c>
      <c r="AE569" s="3">
        <v>39.9</v>
      </c>
      <c r="AF569" s="3">
        <v>45.7</v>
      </c>
      <c r="AG569" s="3">
        <v>38.700000000000003</v>
      </c>
      <c r="AH569" s="3">
        <v>37.700000000000003</v>
      </c>
      <c r="AI569" s="3">
        <v>38.200000000000003</v>
      </c>
      <c r="AJ569" s="3">
        <v>36.5</v>
      </c>
      <c r="AK569" s="3">
        <v>35.1</v>
      </c>
      <c r="AL569" s="3">
        <v>32.799999999999997</v>
      </c>
      <c r="AM569" s="3">
        <v>32.1</v>
      </c>
      <c r="AN569" s="3">
        <v>30.1</v>
      </c>
      <c r="AO569" s="3">
        <v>27.3</v>
      </c>
      <c r="AP569" s="3">
        <v>25.6</v>
      </c>
      <c r="AQ569" s="3">
        <v>22.9</v>
      </c>
      <c r="AR569" s="3">
        <v>19.7</v>
      </c>
      <c r="AS569" s="3">
        <v>16.100000000000001</v>
      </c>
      <c r="AT569" s="3">
        <v>25.5</v>
      </c>
      <c r="AU569" s="3">
        <v>9.6</v>
      </c>
      <c r="AV569" s="3">
        <v>8.9</v>
      </c>
      <c r="AW569" s="3">
        <v>9.1</v>
      </c>
      <c r="AX569" s="3">
        <v>9.1999999999999993</v>
      </c>
      <c r="AY569" s="3">
        <v>9.4</v>
      </c>
      <c r="AZ569" s="3">
        <v>0</v>
      </c>
      <c r="BA569" s="3">
        <v>0</v>
      </c>
      <c r="BB569" s="3">
        <v>0</v>
      </c>
      <c r="BC569" s="3">
        <v>39.78299479835897</v>
      </c>
      <c r="BD569" s="3">
        <v>45.017005201641027</v>
      </c>
      <c r="BE569" s="3">
        <v>43.817005201641024</v>
      </c>
      <c r="BF569" s="3">
        <v>41.377005201641026</v>
      </c>
      <c r="BG569" s="3">
        <v>38.503671868307691</v>
      </c>
      <c r="BH569" s="3">
        <v>34.043671868307683</v>
      </c>
      <c r="BI569" s="3">
        <v>32.85700520164103</v>
      </c>
      <c r="BJ569" s="3">
        <v>38.550338534974358</v>
      </c>
      <c r="BK569" s="3">
        <v>40.22367186830769</v>
      </c>
      <c r="BL569" s="3">
        <v>45.597005201641025</v>
      </c>
      <c r="BM569" s="3">
        <v>38.730338534974365</v>
      </c>
      <c r="BN569" s="3">
        <v>38.013671868307696</v>
      </c>
      <c r="BO569" s="3">
        <v>37.880338534974356</v>
      </c>
      <c r="BP569" s="3">
        <v>35.897005201641036</v>
      </c>
      <c r="BQ569" s="3">
        <v>34.913671868307688</v>
      </c>
      <c r="BR569" s="3">
        <v>32.940338534974359</v>
      </c>
      <c r="BS569" s="3">
        <v>32.043671868307698</v>
      </c>
      <c r="BT569" s="3">
        <v>30.24033853497437</v>
      </c>
      <c r="BU569" s="3">
        <v>27.407005201641027</v>
      </c>
      <c r="BV569" s="3">
        <v>25.423671868307693</v>
      </c>
      <c r="BW569" s="3">
        <v>23.257005201641029</v>
      </c>
      <c r="BX569" s="3">
        <v>19.977005201641035</v>
      </c>
      <c r="BY569" s="3">
        <v>16.197005201641026</v>
      </c>
      <c r="BZ569" s="3">
        <v>25.727005201641035</v>
      </c>
      <c r="CA569" s="3">
        <v>9.9270052016410233</v>
      </c>
      <c r="CB569" s="3">
        <v>8.6636718683076879</v>
      </c>
      <c r="CC569" s="3">
        <v>9.077005201641029</v>
      </c>
      <c r="CD569" s="3">
        <v>8.4836718683076953</v>
      </c>
      <c r="CE569" s="3">
        <v>8.8770052016410261</v>
      </c>
      <c r="CF569" s="3">
        <v>-0.90966146502564271</v>
      </c>
      <c r="CG569" s="3">
        <v>-1.4429947983589742</v>
      </c>
      <c r="CH569" s="3">
        <v>-2.5196614650256421</v>
      </c>
      <c r="CI569" s="13">
        <f>[1]!dbasum(RecData[[#This Row],[20]:[2000]],RecData[[#Headers],[20]:[2000]])</f>
        <v>39.452900654485305</v>
      </c>
      <c r="CJ569" s="14">
        <v>8337</v>
      </c>
      <c r="CK569" s="15" t="s">
        <v>249</v>
      </c>
      <c r="CL569" s="15">
        <f>RecData[[#This Row],[Start Time]]</f>
        <v>43270.111111111117</v>
      </c>
      <c r="CM569" s="16">
        <f>RecData[[#This Row],[Wind Speed avg]]</f>
        <v>0.5</v>
      </c>
      <c r="CN569" s="16">
        <f>RecData[[#This Row],[Wind Dir. avg]]</f>
        <v>193.4</v>
      </c>
      <c r="CO569" s="16">
        <f>RecData[[#This Row],[Amb. Humidity]]</f>
        <v>74.400000000000006</v>
      </c>
      <c r="CP569" s="16">
        <f>RecData[[#This Row],[Amb. Temperature]]</f>
        <v>13.7</v>
      </c>
      <c r="CQ569" s="17">
        <f>RecData[[#This Row],[Amb. Rain Gauge]]</f>
        <v>0</v>
      </c>
      <c r="CR569" s="4" t="s">
        <v>1</v>
      </c>
      <c r="CS569" s="4" t="s">
        <v>49</v>
      </c>
      <c r="CT569" s="70">
        <v>1619.64074707031</v>
      </c>
      <c r="CU569" s="70">
        <v>39.000328063964801</v>
      </c>
      <c r="CV569" s="70">
        <v>10.1781663894653</v>
      </c>
      <c r="CW569" s="70">
        <v>15.298280715942299</v>
      </c>
      <c r="CX569" s="4"/>
      <c r="CY569" s="69"/>
      <c r="CZ569" s="2" t="b">
        <f>IF($DP$1="YES",IF(RecData[[#This Row],[Power (kW)]]&gt;=$CR$3, TRUE,FALSE),TRUE)</f>
        <v>1</v>
      </c>
      <c r="DA569" s="16">
        <f>MIN(MOD(180-ABS(ABS($DA$1-RecData[Yaw Angle (°)])-180),360),MOD(180-ABS(ABS($DB$1-RecData[Yaw Angle (°)])-180),360))</f>
        <v>31.470401286277252</v>
      </c>
      <c r="DB569" s="2" t="str">
        <f>IF($DP$2="None","None",IF(RecData[[#This Row],[Relative Wind Direction]]&lt;=45,"DW",IF(RecData[[#This Row],[Relative Wind Direction]]&lt;=135,"CW","UW")))</f>
        <v>DW</v>
      </c>
      <c r="DC569" s="61">
        <f>IF($CL569-$CL567&gt;1/24,#REF!,IF(SUM($CQ567:$CQ569)&gt;$DS$1,$DS$5,DC570-1))</f>
        <v>-8</v>
      </c>
      <c r="DD569" s="61">
        <f>IF($CL570-$CL569&gt;1/24,#REF!,IF(SUM($CQ567:$CQ569)&gt;$DS$1,$DS$6,DD568-1))</f>
        <v>-3</v>
      </c>
      <c r="DE569" s="18" t="b">
        <v>0</v>
      </c>
      <c r="DF569" s="2" t="b">
        <f>IF(OR(RecData[[#This Row],[WSpd_Avg '[m/s']]]-RecData[[#This Row],[Wind Speed min]]&gt;=$DF$3,RecData[[#This Row],[Wind Speed max]]-RecData[[#This Row],[WSpd_Avg '[m/s']]]&gt;=$DF$2),TRUE,FALSE)</f>
        <v>0</v>
      </c>
      <c r="DG569" s="2" t="b">
        <f>RecData[[#This Row],[Temperature '[°C']]]&lt;=-20</f>
        <v>0</v>
      </c>
      <c r="DH569" s="18" t="b">
        <f>NOT(OR(MOD(RecData[[#This Row],[TIMESTAMP]],1)&gt;0.91632,MOD(RecData[[#This Row],[TIMESTAMP]],1)&lt;0.208681))</f>
        <v>0</v>
      </c>
      <c r="DI569" s="18" t="b">
        <f>RecData[[#This Row],[Overall (dBA)]]-RecData[[#This Row],[L90]]&gt;=$DS$4</f>
        <v>0</v>
      </c>
      <c r="DJ569" s="18" t="b">
        <f>RecData[[#This Row],[Overall (dBA)]]&gt;$DS$2</f>
        <v>0</v>
      </c>
      <c r="DK569" s="18" t="b">
        <f>RecData[[#This Row],[Overall (dBA)]]&lt;$DS$3</f>
        <v>0</v>
      </c>
      <c r="DL5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69" s="2">
        <f>IF(AND(RecData[[#This Row],[Turbines ON/OFF]] = "OFF", NOT(OR(RecData[[#This Row],[Junk?]]="YES",RecData[[#This Row],[Gust?]],RecData[[#This Row],[Rain?]:[Min SPL Threshold?]]))),1,0)</f>
        <v>0</v>
      </c>
      <c r="DN569" s="16">
        <f>RecData[[#This Row],[dBA Sum]]</f>
        <v>39.452900654485305</v>
      </c>
      <c r="DO569" s="16">
        <f>RecData[[#This Row],[LAF90.0]]</f>
        <v>38.5</v>
      </c>
      <c r="DP569" s="55">
        <f>IF(AND(RecData[[#This Row],[Useable TON Data?]],RecData[[#This Row],[Turbines ON/OFF]]="ON"),RecData[[#This Row],[dBA Sum]],"")</f>
        <v>39.452900654485305</v>
      </c>
      <c r="DQ569" s="55" t="str">
        <f>IF(AND(RecData[[#This Row],[Useable Background Data?]],RecData[[#This Row],[Turbines ON/OFF]]="OFF"),RecData[[#This Row],[dBA Sum]],"")</f>
        <v/>
      </c>
      <c r="DR569" s="3">
        <f>IF(OR(RecData[[#This Row],[Useable TON Data?]],RecData[[#This Row],[Useable Background Data?]]),ROUND(RecData[[#This Row],[WSpd_Avg '[m/s']]],0),"")</f>
        <v>1</v>
      </c>
      <c r="DS569" s="85">
        <f>(0.00002)^2*(10^(RecData[[#This Row],[Overall (dBA)]]/10))</f>
        <v>3.5265500897633854E-6</v>
      </c>
    </row>
    <row r="570" spans="1:123" ht="15" x14ac:dyDescent="0.25">
      <c r="A570" s="3" t="s">
        <v>249</v>
      </c>
      <c r="B570" s="12">
        <v>43270.111805555556</v>
      </c>
      <c r="C570" s="3"/>
      <c r="D570" s="3">
        <v>39.4</v>
      </c>
      <c r="E570" s="3"/>
      <c r="F570" s="3"/>
      <c r="G570" s="3"/>
      <c r="H570" s="3"/>
      <c r="I570" s="3"/>
      <c r="J570" s="3"/>
      <c r="K570" s="3">
        <v>37.9</v>
      </c>
      <c r="L570" s="3"/>
      <c r="M570" s="3"/>
      <c r="N570" s="3">
        <v>207.5</v>
      </c>
      <c r="O570" s="3"/>
      <c r="P570" s="3"/>
      <c r="Q570" s="3">
        <v>0.51</v>
      </c>
      <c r="R570" s="3">
        <v>0.1</v>
      </c>
      <c r="S570" s="3">
        <v>0.9</v>
      </c>
      <c r="T570" s="3">
        <v>13.7</v>
      </c>
      <c r="U570" s="3">
        <v>74.400000000000006</v>
      </c>
      <c r="V570" s="3">
        <v>972.9</v>
      </c>
      <c r="W570" s="3">
        <v>0</v>
      </c>
      <c r="X570" s="3">
        <v>44.3</v>
      </c>
      <c r="Y570" s="3">
        <v>43.8</v>
      </c>
      <c r="Z570" s="3">
        <v>42.6</v>
      </c>
      <c r="AA570" s="3">
        <v>39</v>
      </c>
      <c r="AB570" s="3">
        <v>34.700000000000003</v>
      </c>
      <c r="AC570" s="3">
        <v>32.799999999999997</v>
      </c>
      <c r="AD570" s="3">
        <v>37.1</v>
      </c>
      <c r="AE570" s="3">
        <v>39.799999999999997</v>
      </c>
      <c r="AF570" s="3">
        <v>44.9</v>
      </c>
      <c r="AG570" s="3">
        <v>37.9</v>
      </c>
      <c r="AH570" s="3">
        <v>37.5</v>
      </c>
      <c r="AI570" s="3">
        <v>37.6</v>
      </c>
      <c r="AJ570" s="3">
        <v>36</v>
      </c>
      <c r="AK570" s="3">
        <v>34.299999999999997</v>
      </c>
      <c r="AL570" s="3">
        <v>32.200000000000003</v>
      </c>
      <c r="AM570" s="3">
        <v>31.9</v>
      </c>
      <c r="AN570" s="3">
        <v>29.7</v>
      </c>
      <c r="AO570" s="3">
        <v>26.9</v>
      </c>
      <c r="AP570" s="3">
        <v>25.2</v>
      </c>
      <c r="AQ570" s="3">
        <v>22.6</v>
      </c>
      <c r="AR570" s="3">
        <v>19.5</v>
      </c>
      <c r="AS570" s="3">
        <v>15.9</v>
      </c>
      <c r="AT570" s="3">
        <v>26.7</v>
      </c>
      <c r="AU570" s="3">
        <v>10.7</v>
      </c>
      <c r="AV570" s="3">
        <v>9</v>
      </c>
      <c r="AW570" s="3">
        <v>9.1</v>
      </c>
      <c r="AX570" s="3">
        <v>9.1999999999999993</v>
      </c>
      <c r="AY570" s="3">
        <v>9.4</v>
      </c>
      <c r="AZ570" s="3">
        <v>0</v>
      </c>
      <c r="BA570" s="3">
        <v>0</v>
      </c>
      <c r="BB570" s="3">
        <v>0</v>
      </c>
      <c r="BC570" s="3">
        <v>39.382576839600965</v>
      </c>
      <c r="BD570" s="3">
        <v>44.317423160399024</v>
      </c>
      <c r="BE570" s="3">
        <v>43.817423160399024</v>
      </c>
      <c r="BF570" s="3">
        <v>41.377423160399026</v>
      </c>
      <c r="BG570" s="3">
        <v>38.1040898270657</v>
      </c>
      <c r="BH570" s="3">
        <v>33.944089827065703</v>
      </c>
      <c r="BI570" s="3">
        <v>32.457423160399038</v>
      </c>
      <c r="BJ570" s="3">
        <v>37.550756493732372</v>
      </c>
      <c r="BK570" s="3">
        <v>40.124089827065696</v>
      </c>
      <c r="BL570" s="3">
        <v>44.797423160399042</v>
      </c>
      <c r="BM570" s="3">
        <v>37.930756493732368</v>
      </c>
      <c r="BN570" s="3">
        <v>37.814089827065693</v>
      </c>
      <c r="BO570" s="3">
        <v>37.280756493732362</v>
      </c>
      <c r="BP570" s="3">
        <v>35.397423160399036</v>
      </c>
      <c r="BQ570" s="3">
        <v>34.11408982706569</v>
      </c>
      <c r="BR570" s="3">
        <v>32.340756493732364</v>
      </c>
      <c r="BS570" s="3">
        <v>31.844089827065694</v>
      </c>
      <c r="BT570" s="3">
        <v>29.840756493732364</v>
      </c>
      <c r="BU570" s="3">
        <v>27.007423160399036</v>
      </c>
      <c r="BV570" s="3">
        <v>25.024089827065701</v>
      </c>
      <c r="BW570" s="3">
        <v>22.957423160399038</v>
      </c>
      <c r="BX570" s="3">
        <v>19.777423160399039</v>
      </c>
      <c r="BY570" s="3">
        <v>15.99742316039903</v>
      </c>
      <c r="BZ570" s="3">
        <v>26.927423160399037</v>
      </c>
      <c r="CA570" s="3">
        <v>11.027423160399024</v>
      </c>
      <c r="CB570" s="3">
        <v>8.7640898270656962</v>
      </c>
      <c r="CC570" s="3">
        <v>9.0774231603990287</v>
      </c>
      <c r="CD570" s="3">
        <v>8.4840898270657021</v>
      </c>
      <c r="CE570" s="3">
        <v>8.877423160399033</v>
      </c>
      <c r="CF570" s="3">
        <v>-0.90924350626763584</v>
      </c>
      <c r="CG570" s="3">
        <v>-1.4425768396009673</v>
      </c>
      <c r="CH570" s="3">
        <v>-2.5192435062676353</v>
      </c>
      <c r="CI570" s="13">
        <f>[1]!dbasum(RecData[[#This Row],[20]:[2000]],RecData[[#Headers],[20]:[2000]])</f>
        <v>38.949954463641475</v>
      </c>
      <c r="CJ570" s="14">
        <v>8338</v>
      </c>
      <c r="CK570" s="15" t="s">
        <v>249</v>
      </c>
      <c r="CL570" s="15">
        <f>RecData[[#This Row],[Start Time]]</f>
        <v>43270.111805555556</v>
      </c>
      <c r="CM570" s="16">
        <f>RecData[[#This Row],[Wind Speed avg]]</f>
        <v>0.51</v>
      </c>
      <c r="CN570" s="16">
        <f>RecData[[#This Row],[Wind Dir. avg]]</f>
        <v>207.5</v>
      </c>
      <c r="CO570" s="16">
        <f>RecData[[#This Row],[Amb. Humidity]]</f>
        <v>74.400000000000006</v>
      </c>
      <c r="CP570" s="16">
        <f>RecData[[#This Row],[Amb. Temperature]]</f>
        <v>13.7</v>
      </c>
      <c r="CQ570" s="17">
        <f>RecData[[#This Row],[Amb. Rain Gauge]]</f>
        <v>0</v>
      </c>
      <c r="CR570" s="4" t="s">
        <v>1</v>
      </c>
      <c r="CS570" s="4" t="s">
        <v>49</v>
      </c>
      <c r="CT570" s="70">
        <v>1524.74926757812</v>
      </c>
      <c r="CU570" s="70">
        <v>39.000331878662102</v>
      </c>
      <c r="CV570" s="70">
        <v>9.5001068115234304</v>
      </c>
      <c r="CW570" s="70">
        <v>15.288963317871</v>
      </c>
      <c r="CX570" s="4"/>
      <c r="CY570" s="69"/>
      <c r="CZ570" s="2" t="b">
        <f>IF($DP$1="YES",IF(RecData[[#This Row],[Power (kW)]]&gt;=$CR$3, TRUE,FALSE),TRUE)</f>
        <v>1</v>
      </c>
      <c r="DA570" s="16">
        <f>MIN(MOD(180-ABS(ABS($DA$1-RecData[Yaw Angle (°)])-180),360),MOD(180-ABS(ABS($DB$1-RecData[Yaw Angle (°)])-180),360))</f>
        <v>31.470405100974546</v>
      </c>
      <c r="DB570" s="2" t="str">
        <f>IF($DP$2="None","None",IF(RecData[[#This Row],[Relative Wind Direction]]&lt;=45,"DW",IF(RecData[[#This Row],[Relative Wind Direction]]&lt;=135,"CW","UW")))</f>
        <v>DW</v>
      </c>
      <c r="DC570" s="61">
        <f>IF($CL570-$CL567&gt;1/24,#REF!,IF(SUM($CQ567:$CQ570)&gt;$DS$1,$DS$5,DC571-1))</f>
        <v>-7</v>
      </c>
      <c r="DD570" s="61">
        <f>IF($CL571-$CL570&gt;1/24,#REF!,IF(SUM($CQ567:$CQ570)&gt;$DS$1,$DS$6,DD569-1))</f>
        <v>-4</v>
      </c>
      <c r="DE570" s="18" t="b">
        <v>0</v>
      </c>
      <c r="DF570" s="2" t="b">
        <f>IF(OR(RecData[[#This Row],[WSpd_Avg '[m/s']]]-RecData[[#This Row],[Wind Speed min]]&gt;=$DF$3,RecData[[#This Row],[Wind Speed max]]-RecData[[#This Row],[WSpd_Avg '[m/s']]]&gt;=$DF$2),TRUE,FALSE)</f>
        <v>0</v>
      </c>
      <c r="DG570" s="2" t="b">
        <f>RecData[[#This Row],[Temperature '[°C']]]&lt;=-20</f>
        <v>0</v>
      </c>
      <c r="DH570" s="18" t="b">
        <f>NOT(OR(MOD(RecData[[#This Row],[TIMESTAMP]],1)&gt;0.91632,MOD(RecData[[#This Row],[TIMESTAMP]],1)&lt;0.208681))</f>
        <v>0</v>
      </c>
      <c r="DI570" s="18" t="b">
        <f>RecData[[#This Row],[Overall (dBA)]]-RecData[[#This Row],[L90]]&gt;=$DS$4</f>
        <v>0</v>
      </c>
      <c r="DJ570" s="18" t="b">
        <f>RecData[[#This Row],[Overall (dBA)]]&gt;$DS$2</f>
        <v>0</v>
      </c>
      <c r="DK570" s="18" t="b">
        <f>RecData[[#This Row],[Overall (dBA)]]&lt;$DS$3</f>
        <v>0</v>
      </c>
      <c r="DL5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0" s="2">
        <f>IF(AND(RecData[[#This Row],[Turbines ON/OFF]] = "OFF", NOT(OR(RecData[[#This Row],[Junk?]]="YES",RecData[[#This Row],[Gust?]],RecData[[#This Row],[Rain?]:[Min SPL Threshold?]]))),1,0)</f>
        <v>0</v>
      </c>
      <c r="DN570" s="16">
        <f>RecData[[#This Row],[dBA Sum]]</f>
        <v>38.949954463641475</v>
      </c>
      <c r="DO570" s="16">
        <f>RecData[[#This Row],[LAF90.0]]</f>
        <v>37.9</v>
      </c>
      <c r="DP570" s="55">
        <f>IF(AND(RecData[[#This Row],[Useable TON Data?]],RecData[[#This Row],[Turbines ON/OFF]]="ON"),RecData[[#This Row],[dBA Sum]],"")</f>
        <v>38.949954463641475</v>
      </c>
      <c r="DQ570" s="55" t="str">
        <f>IF(AND(RecData[[#This Row],[Useable Background Data?]],RecData[[#This Row],[Turbines ON/OFF]]="OFF"),RecData[[#This Row],[dBA Sum]],"")</f>
        <v/>
      </c>
      <c r="DR570" s="3">
        <f>IF(OR(RecData[[#This Row],[Useable TON Data?]],RecData[[#This Row],[Useable Background Data?]]),ROUND(RecData[[#This Row],[WSpd_Avg '[m/s']]],0),"")</f>
        <v>1</v>
      </c>
      <c r="DS570" s="85">
        <f>(0.00002)^2*(10^(RecData[[#This Row],[Overall (dBA)]]/10))</f>
        <v>3.1409096054094391E-6</v>
      </c>
    </row>
    <row r="571" spans="1:123" ht="15" x14ac:dyDescent="0.25">
      <c r="A571" s="3" t="s">
        <v>249</v>
      </c>
      <c r="B571" s="12">
        <v>43270.112500000003</v>
      </c>
      <c r="C571" s="3"/>
      <c r="D571" s="3">
        <v>40.200000000000003</v>
      </c>
      <c r="E571" s="3"/>
      <c r="F571" s="3"/>
      <c r="G571" s="3"/>
      <c r="H571" s="3"/>
      <c r="I571" s="3"/>
      <c r="J571" s="3"/>
      <c r="K571" s="3">
        <v>39.1</v>
      </c>
      <c r="L571" s="3"/>
      <c r="M571" s="3"/>
      <c r="N571" s="3">
        <v>198.6</v>
      </c>
      <c r="O571" s="3"/>
      <c r="P571" s="3"/>
      <c r="Q571" s="3">
        <v>0.56999999999999995</v>
      </c>
      <c r="R571" s="3">
        <v>0.4</v>
      </c>
      <c r="S571" s="3">
        <v>0.9</v>
      </c>
      <c r="T571" s="3">
        <v>13.7</v>
      </c>
      <c r="U571" s="3">
        <v>74.5</v>
      </c>
      <c r="V571" s="3">
        <v>972.9</v>
      </c>
      <c r="W571" s="3">
        <v>0</v>
      </c>
      <c r="X571" s="3">
        <v>44.3</v>
      </c>
      <c r="Y571" s="3">
        <v>42.9</v>
      </c>
      <c r="Z571" s="3">
        <v>42.4</v>
      </c>
      <c r="AA571" s="3">
        <v>39</v>
      </c>
      <c r="AB571" s="3">
        <v>35</v>
      </c>
      <c r="AC571" s="3">
        <v>33.4</v>
      </c>
      <c r="AD571" s="3">
        <v>38.200000000000003</v>
      </c>
      <c r="AE571" s="3">
        <v>40.700000000000003</v>
      </c>
      <c r="AF571" s="3">
        <v>46.3</v>
      </c>
      <c r="AG571" s="3">
        <v>39.4</v>
      </c>
      <c r="AH571" s="3">
        <v>38.6</v>
      </c>
      <c r="AI571" s="3">
        <v>39.200000000000003</v>
      </c>
      <c r="AJ571" s="3">
        <v>37.200000000000003</v>
      </c>
      <c r="AK571" s="3">
        <v>35.5</v>
      </c>
      <c r="AL571" s="3">
        <v>32.799999999999997</v>
      </c>
      <c r="AM571" s="3">
        <v>32.1</v>
      </c>
      <c r="AN571" s="3">
        <v>29.8</v>
      </c>
      <c r="AO571" s="3">
        <v>27.1</v>
      </c>
      <c r="AP571" s="3">
        <v>25.4</v>
      </c>
      <c r="AQ571" s="3">
        <v>23</v>
      </c>
      <c r="AR571" s="3">
        <v>19.7</v>
      </c>
      <c r="AS571" s="3">
        <v>16.7</v>
      </c>
      <c r="AT571" s="3">
        <v>26.5</v>
      </c>
      <c r="AU571" s="3">
        <v>9.8000000000000007</v>
      </c>
      <c r="AV571" s="3">
        <v>8.8000000000000007</v>
      </c>
      <c r="AW571" s="3">
        <v>9</v>
      </c>
      <c r="AX571" s="3">
        <v>9.1999999999999993</v>
      </c>
      <c r="AY571" s="3">
        <v>9.4</v>
      </c>
      <c r="AZ571" s="3">
        <v>0</v>
      </c>
      <c r="BA571" s="3">
        <v>0</v>
      </c>
      <c r="BB571" s="3">
        <v>0</v>
      </c>
      <c r="BC571" s="3">
        <v>40.163036267006341</v>
      </c>
      <c r="BD571" s="3">
        <v>44.336963732993659</v>
      </c>
      <c r="BE571" s="3">
        <v>42.936963732993654</v>
      </c>
      <c r="BF571" s="3">
        <v>41.196963732993659</v>
      </c>
      <c r="BG571" s="3">
        <v>38.123630399660321</v>
      </c>
      <c r="BH571" s="3">
        <v>34.263630399660336</v>
      </c>
      <c r="BI571" s="3">
        <v>33.076963732993669</v>
      </c>
      <c r="BJ571" s="3">
        <v>38.670297066327002</v>
      </c>
      <c r="BK571" s="3">
        <v>41.043630399660337</v>
      </c>
      <c r="BL571" s="3">
        <v>46.216963732993655</v>
      </c>
      <c r="BM571" s="3">
        <v>39.450297066327003</v>
      </c>
      <c r="BN571" s="3">
        <v>38.933630399660323</v>
      </c>
      <c r="BO571" s="3">
        <v>38.900297066326992</v>
      </c>
      <c r="BP571" s="3">
        <v>36.616963732993661</v>
      </c>
      <c r="BQ571" s="3">
        <v>35.333630399660329</v>
      </c>
      <c r="BR571" s="3">
        <v>32.960297066326994</v>
      </c>
      <c r="BS571" s="3">
        <v>32.063630399660333</v>
      </c>
      <c r="BT571" s="3">
        <v>29.960297066326994</v>
      </c>
      <c r="BU571" s="3">
        <v>27.226963732993674</v>
      </c>
      <c r="BV571" s="3">
        <v>25.243630399660326</v>
      </c>
      <c r="BW571" s="3">
        <v>23.376963732993666</v>
      </c>
      <c r="BX571" s="3">
        <v>19.99696373299367</v>
      </c>
      <c r="BY571" s="3">
        <v>16.816963732993663</v>
      </c>
      <c r="BZ571" s="3">
        <v>26.74696373299367</v>
      </c>
      <c r="CA571" s="3">
        <v>10.146963732993655</v>
      </c>
      <c r="CB571" s="3">
        <v>8.5836303996603291</v>
      </c>
      <c r="CC571" s="3">
        <v>8.9969637329936631</v>
      </c>
      <c r="CD571" s="3">
        <v>8.5036303996603309</v>
      </c>
      <c r="CE571" s="3">
        <v>8.8969637329936617</v>
      </c>
      <c r="CF571" s="3">
        <v>-0.88970293367300712</v>
      </c>
      <c r="CG571" s="3">
        <v>-1.4230362670063386</v>
      </c>
      <c r="CH571" s="3">
        <v>-2.4997029336730066</v>
      </c>
      <c r="CI571" s="13">
        <f>[1]!dbasum(RecData[[#This Row],[20]:[2000]],RecData[[#Headers],[20]:[2000]])</f>
        <v>39.806661823366184</v>
      </c>
      <c r="CJ571" s="14">
        <v>8339</v>
      </c>
      <c r="CK571" s="15" t="s">
        <v>249</v>
      </c>
      <c r="CL571" s="15">
        <f>RecData[[#This Row],[Start Time]]</f>
        <v>43270.112500000003</v>
      </c>
      <c r="CM571" s="16">
        <f>RecData[[#This Row],[Wind Speed avg]]</f>
        <v>0.56999999999999995</v>
      </c>
      <c r="CN571" s="16">
        <f>RecData[[#This Row],[Wind Dir. avg]]</f>
        <v>198.6</v>
      </c>
      <c r="CO571" s="16">
        <f>RecData[[#This Row],[Amb. Humidity]]</f>
        <v>74.5</v>
      </c>
      <c r="CP571" s="16">
        <f>RecData[[#This Row],[Amb. Temperature]]</f>
        <v>13.7</v>
      </c>
      <c r="CQ571" s="17">
        <f>RecData[[#This Row],[Amb. Rain Gauge]]</f>
        <v>0</v>
      </c>
      <c r="CR571" s="4" t="s">
        <v>1</v>
      </c>
      <c r="CS571" s="4" t="s">
        <v>49</v>
      </c>
      <c r="CT571" s="70">
        <v>1524.74926757812</v>
      </c>
      <c r="CU571" s="70">
        <v>39.000331878662102</v>
      </c>
      <c r="CV571" s="70">
        <v>9.5001068115234304</v>
      </c>
      <c r="CW571" s="70">
        <v>15.288963317871</v>
      </c>
      <c r="CX571" s="4"/>
      <c r="CY571" s="69"/>
      <c r="CZ571" s="2" t="b">
        <f>IF($DP$1="YES",IF(RecData[[#This Row],[Power (kW)]]&gt;=$CR$3, TRUE,FALSE),TRUE)</f>
        <v>1</v>
      </c>
      <c r="DA571" s="16">
        <f>MIN(MOD(180-ABS(ABS($DA$1-RecData[Yaw Angle (°)])-180),360),MOD(180-ABS(ABS($DB$1-RecData[Yaw Angle (°)])-180),360))</f>
        <v>31.470405100974546</v>
      </c>
      <c r="DB571" s="2" t="str">
        <f>IF($DP$2="None","None",IF(RecData[[#This Row],[Relative Wind Direction]]&lt;=45,"DW",IF(RecData[[#This Row],[Relative Wind Direction]]&lt;=135,"CW","UW")))</f>
        <v>DW</v>
      </c>
      <c r="DC571" s="61">
        <f>IF($CL571-$CL567&gt;1/24,#REF!,IF(SUM($CQ567:$CQ571)&gt;$DS$1,$DS$5,DC572-1))</f>
        <v>-6</v>
      </c>
      <c r="DD571" s="61">
        <f>IF($CL572-$CL571&gt;1/24,#REF!,IF(SUM($CQ567:$CQ571)&gt;$DS$1,$DS$6,DD570-1))</f>
        <v>-5</v>
      </c>
      <c r="DE571" s="18" t="b">
        <v>0</v>
      </c>
      <c r="DF571" s="2" t="b">
        <f>IF(OR(RecData[[#This Row],[WSpd_Avg '[m/s']]]-RecData[[#This Row],[Wind Speed min]]&gt;=$DF$3,RecData[[#This Row],[Wind Speed max]]-RecData[[#This Row],[WSpd_Avg '[m/s']]]&gt;=$DF$2),TRUE,FALSE)</f>
        <v>0</v>
      </c>
      <c r="DG571" s="2" t="b">
        <f>RecData[[#This Row],[Temperature '[°C']]]&lt;=-20</f>
        <v>0</v>
      </c>
      <c r="DH571" s="18" t="b">
        <f>NOT(OR(MOD(RecData[[#This Row],[TIMESTAMP]],1)&gt;0.91632,MOD(RecData[[#This Row],[TIMESTAMP]],1)&lt;0.208681))</f>
        <v>0</v>
      </c>
      <c r="DI571" s="18" t="b">
        <f>RecData[[#This Row],[Overall (dBA)]]-RecData[[#This Row],[L90]]&gt;=$DS$4</f>
        <v>0</v>
      </c>
      <c r="DJ571" s="18" t="b">
        <f>RecData[[#This Row],[Overall (dBA)]]&gt;$DS$2</f>
        <v>0</v>
      </c>
      <c r="DK571" s="18" t="b">
        <f>RecData[[#This Row],[Overall (dBA)]]&lt;$DS$3</f>
        <v>0</v>
      </c>
      <c r="DL5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1" s="2">
        <f>IF(AND(RecData[[#This Row],[Turbines ON/OFF]] = "OFF", NOT(OR(RecData[[#This Row],[Junk?]]="YES",RecData[[#This Row],[Gust?]],RecData[[#This Row],[Rain?]:[Min SPL Threshold?]]))),1,0)</f>
        <v>0</v>
      </c>
      <c r="DN571" s="16">
        <f>RecData[[#This Row],[dBA Sum]]</f>
        <v>39.806661823366184</v>
      </c>
      <c r="DO571" s="16">
        <f>RecData[[#This Row],[LAF90.0]]</f>
        <v>39.1</v>
      </c>
      <c r="DP571" s="55">
        <f>IF(AND(RecData[[#This Row],[Useable TON Data?]],RecData[[#This Row],[Turbines ON/OFF]]="ON"),RecData[[#This Row],[dBA Sum]],"")</f>
        <v>39.806661823366184</v>
      </c>
      <c r="DQ571" s="55" t="str">
        <f>IF(AND(RecData[[#This Row],[Useable Background Data?]],RecData[[#This Row],[Turbines ON/OFF]]="OFF"),RecData[[#This Row],[dBA Sum]],"")</f>
        <v/>
      </c>
      <c r="DR571" s="3">
        <f>IF(OR(RecData[[#This Row],[Useable TON Data?]],RecData[[#This Row],[Useable Background Data?]]),ROUND(RecData[[#This Row],[WSpd_Avg '[m/s']]],0),"")</f>
        <v>1</v>
      </c>
      <c r="DS571" s="85">
        <f>(0.00002)^2*(10^(RecData[[#This Row],[Overall (dBA)]]/10))</f>
        <v>3.8258344516413899E-6</v>
      </c>
    </row>
    <row r="572" spans="1:123" ht="15" x14ac:dyDescent="0.25">
      <c r="A572" s="3" t="s">
        <v>249</v>
      </c>
      <c r="B572" s="12">
        <v>43270.11319444445</v>
      </c>
      <c r="C572" s="3"/>
      <c r="D572" s="3">
        <v>40.299999999999997</v>
      </c>
      <c r="E572" s="3"/>
      <c r="F572" s="3"/>
      <c r="G572" s="3"/>
      <c r="H572" s="3"/>
      <c r="I572" s="3"/>
      <c r="J572" s="3"/>
      <c r="K572" s="3">
        <v>38.299999999999997</v>
      </c>
      <c r="L572" s="3"/>
      <c r="M572" s="3"/>
      <c r="N572" s="3">
        <v>173.2</v>
      </c>
      <c r="O572" s="3"/>
      <c r="P572" s="3"/>
      <c r="Q572" s="3">
        <v>0.75</v>
      </c>
      <c r="R572" s="3">
        <v>0.3</v>
      </c>
      <c r="S572" s="3">
        <v>1.1000000000000001</v>
      </c>
      <c r="T572" s="3">
        <v>13.6</v>
      </c>
      <c r="U572" s="3">
        <v>74.599999999999994</v>
      </c>
      <c r="V572" s="3">
        <v>972.9</v>
      </c>
      <c r="W572" s="3">
        <v>0</v>
      </c>
      <c r="X572" s="3">
        <v>44.3</v>
      </c>
      <c r="Y572" s="3">
        <v>43.4</v>
      </c>
      <c r="Z572" s="3">
        <v>42.7</v>
      </c>
      <c r="AA572" s="3">
        <v>39.4</v>
      </c>
      <c r="AB572" s="3">
        <v>34.9</v>
      </c>
      <c r="AC572" s="3">
        <v>33.299999999999997</v>
      </c>
      <c r="AD572" s="3">
        <v>37.700000000000003</v>
      </c>
      <c r="AE572" s="3">
        <v>40.4</v>
      </c>
      <c r="AF572" s="3">
        <v>45.8</v>
      </c>
      <c r="AG572" s="3">
        <v>39.799999999999997</v>
      </c>
      <c r="AH572" s="3">
        <v>38.6</v>
      </c>
      <c r="AI572" s="3">
        <v>39.5</v>
      </c>
      <c r="AJ572" s="3">
        <v>37.200000000000003</v>
      </c>
      <c r="AK572" s="3">
        <v>35.9</v>
      </c>
      <c r="AL572" s="3">
        <v>33.4</v>
      </c>
      <c r="AM572" s="3">
        <v>32.299999999999997</v>
      </c>
      <c r="AN572" s="3">
        <v>30.2</v>
      </c>
      <c r="AO572" s="3">
        <v>27</v>
      </c>
      <c r="AP572" s="3">
        <v>25.4</v>
      </c>
      <c r="AQ572" s="3">
        <v>22.5</v>
      </c>
      <c r="AR572" s="3">
        <v>19.100000000000001</v>
      </c>
      <c r="AS572" s="3">
        <v>15.4</v>
      </c>
      <c r="AT572" s="3">
        <v>26.2</v>
      </c>
      <c r="AU572" s="3">
        <v>9.9</v>
      </c>
      <c r="AV572" s="3">
        <v>8.6999999999999993</v>
      </c>
      <c r="AW572" s="3">
        <v>9.1</v>
      </c>
      <c r="AX572" s="3">
        <v>9.1</v>
      </c>
      <c r="AY572" s="3">
        <v>9.4</v>
      </c>
      <c r="AZ572" s="3">
        <v>0</v>
      </c>
      <c r="BA572" s="3">
        <v>0</v>
      </c>
      <c r="BB572" s="3">
        <v>0</v>
      </c>
      <c r="BC572" s="3">
        <v>40.269938083133098</v>
      </c>
      <c r="BD572" s="3">
        <v>44.330061916866896</v>
      </c>
      <c r="BE572" s="3">
        <v>43.43006191686689</v>
      </c>
      <c r="BF572" s="3">
        <v>41.490061916866892</v>
      </c>
      <c r="BG572" s="3">
        <v>38.516728583533563</v>
      </c>
      <c r="BH572" s="3">
        <v>34.156728583533564</v>
      </c>
      <c r="BI572" s="3">
        <v>32.970061916866896</v>
      </c>
      <c r="BJ572" s="3">
        <v>38.163395250200239</v>
      </c>
      <c r="BK572" s="3">
        <v>40.736728583533562</v>
      </c>
      <c r="BL572" s="3">
        <v>45.710061916866891</v>
      </c>
      <c r="BM572" s="3">
        <v>39.843395250200231</v>
      </c>
      <c r="BN572" s="3">
        <v>38.92672858353356</v>
      </c>
      <c r="BO572" s="3">
        <v>39.19339525020024</v>
      </c>
      <c r="BP572" s="3">
        <v>36.610061916866897</v>
      </c>
      <c r="BQ572" s="3">
        <v>35.726728583533557</v>
      </c>
      <c r="BR572" s="3">
        <v>33.553395250200225</v>
      </c>
      <c r="BS572" s="3">
        <v>32.256728583533572</v>
      </c>
      <c r="BT572" s="3">
        <v>30.353395250200236</v>
      </c>
      <c r="BU572" s="3">
        <v>27.120061916866902</v>
      </c>
      <c r="BV572" s="3">
        <v>25.236728583533562</v>
      </c>
      <c r="BW572" s="3">
        <v>22.870061916866902</v>
      </c>
      <c r="BX572" s="3">
        <v>19.390061916866905</v>
      </c>
      <c r="BY572" s="3">
        <v>15.510061916866896</v>
      </c>
      <c r="BZ572" s="3">
        <v>26.44006191686691</v>
      </c>
      <c r="CA572" s="3">
        <v>10.240061916866892</v>
      </c>
      <c r="CB572" s="3">
        <v>8.4767285835335642</v>
      </c>
      <c r="CC572" s="3">
        <v>9.090061916866901</v>
      </c>
      <c r="CD572" s="3">
        <v>8.396728583533573</v>
      </c>
      <c r="CE572" s="3">
        <v>8.8900619168668982</v>
      </c>
      <c r="CF572" s="3">
        <v>-0.89660474979977067</v>
      </c>
      <c r="CG572" s="3">
        <v>-1.4299380831331021</v>
      </c>
      <c r="CH572" s="3">
        <v>-2.5066047497997701</v>
      </c>
      <c r="CI572" s="13">
        <f>[1]!dbasum(RecData[[#This Row],[20]:[2000]],RecData[[#Headers],[20]:[2000]])</f>
        <v>39.937956319234615</v>
      </c>
      <c r="CJ572" s="14">
        <v>8340</v>
      </c>
      <c r="CK572" s="15" t="s">
        <v>249</v>
      </c>
      <c r="CL572" s="15">
        <f>RecData[[#This Row],[Start Time]]</f>
        <v>43270.11319444445</v>
      </c>
      <c r="CM572" s="16">
        <f>RecData[[#This Row],[Wind Speed avg]]</f>
        <v>0.75</v>
      </c>
      <c r="CN572" s="16">
        <f>RecData[[#This Row],[Wind Dir. avg]]</f>
        <v>173.2</v>
      </c>
      <c r="CO572" s="16">
        <f>RecData[[#This Row],[Amb. Humidity]]</f>
        <v>74.599999999999994</v>
      </c>
      <c r="CP572" s="16">
        <f>RecData[[#This Row],[Amb. Temperature]]</f>
        <v>13.6</v>
      </c>
      <c r="CQ572" s="17">
        <f>RecData[[#This Row],[Amb. Rain Gauge]]</f>
        <v>0</v>
      </c>
      <c r="CR572" s="4" t="s">
        <v>1</v>
      </c>
      <c r="CS572" s="4" t="s">
        <v>49</v>
      </c>
      <c r="CT572" s="70">
        <v>1524.74926757812</v>
      </c>
      <c r="CU572" s="70">
        <v>39.000331878662102</v>
      </c>
      <c r="CV572" s="70">
        <v>9.5001068115234304</v>
      </c>
      <c r="CW572" s="70">
        <v>15.288963317871</v>
      </c>
      <c r="CX572" s="4"/>
      <c r="CY572" s="69"/>
      <c r="CZ572" s="2" t="b">
        <f>IF($DP$1="YES",IF(RecData[[#This Row],[Power (kW)]]&gt;=$CR$3, TRUE,FALSE),TRUE)</f>
        <v>1</v>
      </c>
      <c r="DA572" s="16">
        <f>MIN(MOD(180-ABS(ABS($DA$1-RecData[Yaw Angle (°)])-180),360),MOD(180-ABS(ABS($DB$1-RecData[Yaw Angle (°)])-180),360))</f>
        <v>31.470405100974546</v>
      </c>
      <c r="DB572" s="2" t="str">
        <f>IF($DP$2="None","None",IF(RecData[[#This Row],[Relative Wind Direction]]&lt;=45,"DW",IF(RecData[[#This Row],[Relative Wind Direction]]&lt;=135,"CW","UW")))</f>
        <v>DW</v>
      </c>
      <c r="DC572" s="61">
        <f>IF($CL572-$CL568&gt;1/24,#REF!,IF(SUM($CQ568:$CQ572)&gt;$DS$1,$DS$5,DC573-1))</f>
        <v>-5</v>
      </c>
      <c r="DD572" s="61">
        <f>IF($CL573-$CL572&gt;1/24,#REF!,IF(SUM($CQ568:$CQ572)&gt;$DS$1,$DS$6,DD571-1))</f>
        <v>-6</v>
      </c>
      <c r="DE572" s="18" t="b">
        <v>0</v>
      </c>
      <c r="DF572" s="2" t="b">
        <f>IF(OR(RecData[[#This Row],[WSpd_Avg '[m/s']]]-RecData[[#This Row],[Wind Speed min]]&gt;=$DF$3,RecData[[#This Row],[Wind Speed max]]-RecData[[#This Row],[WSpd_Avg '[m/s']]]&gt;=$DF$2),TRUE,FALSE)</f>
        <v>0</v>
      </c>
      <c r="DG572" s="2" t="b">
        <f>RecData[[#This Row],[Temperature '[°C']]]&lt;=-20</f>
        <v>0</v>
      </c>
      <c r="DH572" s="18" t="b">
        <f>NOT(OR(MOD(RecData[[#This Row],[TIMESTAMP]],1)&gt;0.91632,MOD(RecData[[#This Row],[TIMESTAMP]],1)&lt;0.208681))</f>
        <v>0</v>
      </c>
      <c r="DI572" s="18" t="b">
        <f>RecData[[#This Row],[Overall (dBA)]]-RecData[[#This Row],[L90]]&gt;=$DS$4</f>
        <v>0</v>
      </c>
      <c r="DJ572" s="18" t="b">
        <f>RecData[[#This Row],[Overall (dBA)]]&gt;$DS$2</f>
        <v>0</v>
      </c>
      <c r="DK572" s="18" t="b">
        <f>RecData[[#This Row],[Overall (dBA)]]&lt;$DS$3</f>
        <v>0</v>
      </c>
      <c r="DL5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2" s="2">
        <f>IF(AND(RecData[[#This Row],[Turbines ON/OFF]] = "OFF", NOT(OR(RecData[[#This Row],[Junk?]]="YES",RecData[[#This Row],[Gust?]],RecData[[#This Row],[Rain?]:[Min SPL Threshold?]]))),1,0)</f>
        <v>0</v>
      </c>
      <c r="DN572" s="16">
        <f>RecData[[#This Row],[dBA Sum]]</f>
        <v>39.937956319234615</v>
      </c>
      <c r="DO572" s="16">
        <f>RecData[[#This Row],[LAF90.0]]</f>
        <v>38.299999999999997</v>
      </c>
      <c r="DP572" s="55">
        <f>IF(AND(RecData[[#This Row],[Useable TON Data?]],RecData[[#This Row],[Turbines ON/OFF]]="ON"),RecData[[#This Row],[dBA Sum]],"")</f>
        <v>39.937956319234615</v>
      </c>
      <c r="DQ572" s="55" t="str">
        <f>IF(AND(RecData[[#This Row],[Useable Background Data?]],RecData[[#This Row],[Turbines ON/OFF]]="OFF"),RecData[[#This Row],[dBA Sum]],"")</f>
        <v/>
      </c>
      <c r="DR572" s="3">
        <f>IF(OR(RecData[[#This Row],[Useable TON Data?]],RecData[[#This Row],[Useable Background Data?]]),ROUND(RecData[[#This Row],[WSpd_Avg '[m/s']]],0),"")</f>
        <v>1</v>
      </c>
      <c r="DS572" s="85">
        <f>(0.00002)^2*(10^(RecData[[#This Row],[Overall (dBA)]]/10))</f>
        <v>3.9432619058331071E-6</v>
      </c>
    </row>
    <row r="573" spans="1:123" ht="15" x14ac:dyDescent="0.25">
      <c r="A573" s="3" t="s">
        <v>249</v>
      </c>
      <c r="B573" s="12">
        <v>43270.113888888889</v>
      </c>
      <c r="C573" s="3"/>
      <c r="D573" s="3">
        <v>40.1</v>
      </c>
      <c r="E573" s="3"/>
      <c r="F573" s="3"/>
      <c r="G573" s="3"/>
      <c r="H573" s="3"/>
      <c r="I573" s="3"/>
      <c r="J573" s="3"/>
      <c r="K573" s="3">
        <v>39.299999999999997</v>
      </c>
      <c r="L573" s="3"/>
      <c r="M573" s="3"/>
      <c r="N573" s="3">
        <v>185.4</v>
      </c>
      <c r="O573" s="3"/>
      <c r="P573" s="3"/>
      <c r="Q573" s="3">
        <v>0.49</v>
      </c>
      <c r="R573" s="3">
        <v>0.3</v>
      </c>
      <c r="S573" s="3">
        <v>0.9</v>
      </c>
      <c r="T573" s="3">
        <v>13.6</v>
      </c>
      <c r="U573" s="3">
        <v>74.7</v>
      </c>
      <c r="V573" s="3">
        <v>972.9</v>
      </c>
      <c r="W573" s="3">
        <v>0</v>
      </c>
      <c r="X573" s="3">
        <v>45.2</v>
      </c>
      <c r="Y573" s="3">
        <v>42.7</v>
      </c>
      <c r="Z573" s="3">
        <v>42.3</v>
      </c>
      <c r="AA573" s="3">
        <v>39.1</v>
      </c>
      <c r="AB573" s="3">
        <v>34.5</v>
      </c>
      <c r="AC573" s="3">
        <v>33.9</v>
      </c>
      <c r="AD573" s="3">
        <v>39.200000000000003</v>
      </c>
      <c r="AE573" s="3">
        <v>41.1</v>
      </c>
      <c r="AF573" s="3">
        <v>45.1</v>
      </c>
      <c r="AG573" s="3">
        <v>39.700000000000003</v>
      </c>
      <c r="AH573" s="3">
        <v>39.5</v>
      </c>
      <c r="AI573" s="3">
        <v>39.5</v>
      </c>
      <c r="AJ573" s="3">
        <v>37.4</v>
      </c>
      <c r="AK573" s="3">
        <v>35.700000000000003</v>
      </c>
      <c r="AL573" s="3">
        <v>32.9</v>
      </c>
      <c r="AM573" s="3">
        <v>31.9</v>
      </c>
      <c r="AN573" s="3">
        <v>29.6</v>
      </c>
      <c r="AO573" s="3">
        <v>27.4</v>
      </c>
      <c r="AP573" s="3">
        <v>25.1</v>
      </c>
      <c r="AQ573" s="3">
        <v>23</v>
      </c>
      <c r="AR573" s="3">
        <v>19.600000000000001</v>
      </c>
      <c r="AS573" s="3">
        <v>16.5</v>
      </c>
      <c r="AT573" s="3">
        <v>25.3</v>
      </c>
      <c r="AU573" s="3">
        <v>9.1999999999999993</v>
      </c>
      <c r="AV573" s="3">
        <v>8.8000000000000007</v>
      </c>
      <c r="AW573" s="3">
        <v>9.1</v>
      </c>
      <c r="AX573" s="3">
        <v>9.1999999999999993</v>
      </c>
      <c r="AY573" s="3">
        <v>9.4</v>
      </c>
      <c r="AZ573" s="3">
        <v>0</v>
      </c>
      <c r="BA573" s="3">
        <v>0</v>
      </c>
      <c r="BB573" s="3">
        <v>0</v>
      </c>
      <c r="BC573" s="3">
        <v>40.134678080426873</v>
      </c>
      <c r="BD573" s="3">
        <v>45.165321919573138</v>
      </c>
      <c r="BE573" s="3">
        <v>42.665321919573138</v>
      </c>
      <c r="BF573" s="3">
        <v>41.025321919573123</v>
      </c>
      <c r="BG573" s="3">
        <v>38.151988586239789</v>
      </c>
      <c r="BH573" s="3">
        <v>33.691988586239795</v>
      </c>
      <c r="BI573" s="3">
        <v>33.505321919573127</v>
      </c>
      <c r="BJ573" s="3">
        <v>39.598655252906461</v>
      </c>
      <c r="BK573" s="3">
        <v>41.371988586239787</v>
      </c>
      <c r="BL573" s="3">
        <v>44.945321919573139</v>
      </c>
      <c r="BM573" s="3">
        <v>39.678655252906459</v>
      </c>
      <c r="BN573" s="3">
        <v>39.761988586239802</v>
      </c>
      <c r="BO573" s="3">
        <v>39.128655252906462</v>
      </c>
      <c r="BP573" s="3">
        <v>36.745321919573122</v>
      </c>
      <c r="BQ573" s="3">
        <v>35.461988586239791</v>
      </c>
      <c r="BR573" s="3">
        <v>32.988655252906462</v>
      </c>
      <c r="BS573" s="3">
        <v>31.791988586239789</v>
      </c>
      <c r="BT573" s="3">
        <v>29.688655252906464</v>
      </c>
      <c r="BU573" s="3">
        <v>27.45532191957313</v>
      </c>
      <c r="BV573" s="3">
        <v>24.871988586239802</v>
      </c>
      <c r="BW573" s="3">
        <v>23.305321919573132</v>
      </c>
      <c r="BX573" s="3">
        <v>19.825321919573135</v>
      </c>
      <c r="BY573" s="3">
        <v>16.545321919573126</v>
      </c>
      <c r="BZ573" s="3">
        <v>25.47532191957314</v>
      </c>
      <c r="CA573" s="3">
        <v>9.4753219195731191</v>
      </c>
      <c r="CB573" s="3">
        <v>8.511988586239795</v>
      </c>
      <c r="CC573" s="3">
        <v>9.0253219195731234</v>
      </c>
      <c r="CD573" s="3">
        <v>8.4319885862397967</v>
      </c>
      <c r="CE573" s="3">
        <v>8.8253219195731276</v>
      </c>
      <c r="CF573" s="3">
        <v>-0.96134474709354123</v>
      </c>
      <c r="CG573" s="3">
        <v>-1.4946780804268727</v>
      </c>
      <c r="CH573" s="3">
        <v>-2.5713447470935407</v>
      </c>
      <c r="CI573" s="13">
        <f>[1]!dbasum(RecData[[#This Row],[20]:[2000]],RecData[[#Headers],[20]:[2000]])</f>
        <v>39.77317134891927</v>
      </c>
      <c r="CJ573" s="14">
        <v>8341</v>
      </c>
      <c r="CK573" s="15" t="s">
        <v>249</v>
      </c>
      <c r="CL573" s="15">
        <f>RecData[[#This Row],[Start Time]]</f>
        <v>43270.113888888889</v>
      </c>
      <c r="CM573" s="16">
        <f>RecData[[#This Row],[Wind Speed avg]]</f>
        <v>0.49</v>
      </c>
      <c r="CN573" s="16">
        <f>RecData[[#This Row],[Wind Dir. avg]]</f>
        <v>185.4</v>
      </c>
      <c r="CO573" s="16">
        <f>RecData[[#This Row],[Amb. Humidity]]</f>
        <v>74.7</v>
      </c>
      <c r="CP573" s="16">
        <f>RecData[[#This Row],[Amb. Temperature]]</f>
        <v>13.6</v>
      </c>
      <c r="CQ573" s="17">
        <f>RecData[[#This Row],[Amb. Rain Gauge]]</f>
        <v>0</v>
      </c>
      <c r="CR573" s="4" t="s">
        <v>1</v>
      </c>
      <c r="CS573" s="4" t="s">
        <v>49</v>
      </c>
      <c r="CT573" s="70">
        <v>1524.74926757812</v>
      </c>
      <c r="CU573" s="70">
        <v>39.000331878662102</v>
      </c>
      <c r="CV573" s="70">
        <v>9.5001068115234304</v>
      </c>
      <c r="CW573" s="70">
        <v>15.288963317871</v>
      </c>
      <c r="CX573" s="4"/>
      <c r="CY573" s="69"/>
      <c r="CZ573" s="2" t="b">
        <f>IF($DP$1="YES",IF(RecData[[#This Row],[Power (kW)]]&gt;=$CR$3, TRUE,FALSE),TRUE)</f>
        <v>1</v>
      </c>
      <c r="DA573" s="16">
        <f>MIN(MOD(180-ABS(ABS($DA$1-RecData[Yaw Angle (°)])-180),360),MOD(180-ABS(ABS($DB$1-RecData[Yaw Angle (°)])-180),360))</f>
        <v>31.470405100974546</v>
      </c>
      <c r="DB573" s="2" t="str">
        <f>IF($DP$2="None","None",IF(RecData[[#This Row],[Relative Wind Direction]]&lt;=45,"DW",IF(RecData[[#This Row],[Relative Wind Direction]]&lt;=135,"CW","UW")))</f>
        <v>DW</v>
      </c>
      <c r="DC573" s="61">
        <f>IF($CL573-$CL569&gt;1/24,#REF!,IF(SUM($CQ569:$CQ573)&gt;$DS$1,$DS$5,DC574-1))</f>
        <v>-4</v>
      </c>
      <c r="DD573" s="61">
        <f>IF($CL574-$CL573&gt;1/24,#REF!,IF(SUM($CQ569:$CQ573)&gt;$DS$1,$DS$6,DD572-1))</f>
        <v>-7</v>
      </c>
      <c r="DE573" s="18" t="b">
        <v>0</v>
      </c>
      <c r="DF573" s="2" t="b">
        <f>IF(OR(RecData[[#This Row],[WSpd_Avg '[m/s']]]-RecData[[#This Row],[Wind Speed min]]&gt;=$DF$3,RecData[[#This Row],[Wind Speed max]]-RecData[[#This Row],[WSpd_Avg '[m/s']]]&gt;=$DF$2),TRUE,FALSE)</f>
        <v>0</v>
      </c>
      <c r="DG573" s="2" t="b">
        <f>RecData[[#This Row],[Temperature '[°C']]]&lt;=-20</f>
        <v>0</v>
      </c>
      <c r="DH573" s="18" t="b">
        <f>NOT(OR(MOD(RecData[[#This Row],[TIMESTAMP]],1)&gt;0.91632,MOD(RecData[[#This Row],[TIMESTAMP]],1)&lt;0.208681))</f>
        <v>0</v>
      </c>
      <c r="DI573" s="18" t="b">
        <f>RecData[[#This Row],[Overall (dBA)]]-RecData[[#This Row],[L90]]&gt;=$DS$4</f>
        <v>0</v>
      </c>
      <c r="DJ573" s="18" t="b">
        <f>RecData[[#This Row],[Overall (dBA)]]&gt;$DS$2</f>
        <v>0</v>
      </c>
      <c r="DK573" s="18" t="b">
        <f>RecData[[#This Row],[Overall (dBA)]]&lt;$DS$3</f>
        <v>0</v>
      </c>
      <c r="DL5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3" s="2">
        <f>IF(AND(RecData[[#This Row],[Turbines ON/OFF]] = "OFF", NOT(OR(RecData[[#This Row],[Junk?]]="YES",RecData[[#This Row],[Gust?]],RecData[[#This Row],[Rain?]:[Min SPL Threshold?]]))),1,0)</f>
        <v>0</v>
      </c>
      <c r="DN573" s="16">
        <f>RecData[[#This Row],[dBA Sum]]</f>
        <v>39.77317134891927</v>
      </c>
      <c r="DO573" s="16">
        <f>RecData[[#This Row],[LAF90.0]]</f>
        <v>39.299999999999997</v>
      </c>
      <c r="DP573" s="55">
        <f>IF(AND(RecData[[#This Row],[Useable TON Data?]],RecData[[#This Row],[Turbines ON/OFF]]="ON"),RecData[[#This Row],[dBA Sum]],"")</f>
        <v>39.77317134891927</v>
      </c>
      <c r="DQ573" s="55" t="str">
        <f>IF(AND(RecData[[#This Row],[Useable Background Data?]],RecData[[#This Row],[Turbines ON/OFF]]="OFF"),RecData[[#This Row],[dBA Sum]],"")</f>
        <v/>
      </c>
      <c r="DR573" s="3">
        <f>IF(OR(RecData[[#This Row],[Useable TON Data?]],RecData[[#This Row],[Useable Background Data?]]),ROUND(RecData[[#This Row],[WSpd_Avg '[m/s']]],0),"")</f>
        <v>0</v>
      </c>
      <c r="DS573" s="85">
        <f>(0.00002)^2*(10^(RecData[[#This Row],[Overall (dBA)]]/10))</f>
        <v>3.7964451196524073E-6</v>
      </c>
    </row>
    <row r="574" spans="1:123" ht="15" x14ac:dyDescent="0.25">
      <c r="A574" s="3" t="s">
        <v>249</v>
      </c>
      <c r="B574" s="12">
        <v>43270.114583333336</v>
      </c>
      <c r="C574" s="3"/>
      <c r="D574" s="3">
        <v>40.4</v>
      </c>
      <c r="E574" s="3"/>
      <c r="F574" s="3"/>
      <c r="G574" s="3"/>
      <c r="H574" s="3"/>
      <c r="I574" s="3"/>
      <c r="J574" s="3"/>
      <c r="K574" s="3">
        <v>39.299999999999997</v>
      </c>
      <c r="L574" s="3"/>
      <c r="M574" s="3"/>
      <c r="N574" s="3">
        <v>201.2</v>
      </c>
      <c r="O574" s="3"/>
      <c r="P574" s="3"/>
      <c r="Q574" s="3">
        <v>0.5</v>
      </c>
      <c r="R574" s="3">
        <v>0.2</v>
      </c>
      <c r="S574" s="3">
        <v>0.8</v>
      </c>
      <c r="T574" s="3">
        <v>13.6</v>
      </c>
      <c r="U574" s="3">
        <v>74.8</v>
      </c>
      <c r="V574" s="3">
        <v>973</v>
      </c>
      <c r="W574" s="3">
        <v>0</v>
      </c>
      <c r="X574" s="3">
        <v>45</v>
      </c>
      <c r="Y574" s="3">
        <v>43.5</v>
      </c>
      <c r="Z574" s="3">
        <v>42.5</v>
      </c>
      <c r="AA574" s="3">
        <v>39.700000000000003</v>
      </c>
      <c r="AB574" s="3">
        <v>35.4</v>
      </c>
      <c r="AC574" s="3">
        <v>33.6</v>
      </c>
      <c r="AD574" s="3">
        <v>37.9</v>
      </c>
      <c r="AE574" s="3">
        <v>40.799999999999997</v>
      </c>
      <c r="AF574" s="3">
        <v>45.7</v>
      </c>
      <c r="AG574" s="3">
        <v>40.200000000000003</v>
      </c>
      <c r="AH574" s="3">
        <v>39</v>
      </c>
      <c r="AI574" s="3">
        <v>40</v>
      </c>
      <c r="AJ574" s="3">
        <v>37.6</v>
      </c>
      <c r="AK574" s="3">
        <v>36</v>
      </c>
      <c r="AL574" s="3">
        <v>33.6</v>
      </c>
      <c r="AM574" s="3">
        <v>32.6</v>
      </c>
      <c r="AN574" s="3">
        <v>30.3</v>
      </c>
      <c r="AO574" s="3">
        <v>27</v>
      </c>
      <c r="AP574" s="3">
        <v>24.6</v>
      </c>
      <c r="AQ574" s="3">
        <v>22.2</v>
      </c>
      <c r="AR574" s="3">
        <v>18.8</v>
      </c>
      <c r="AS574" s="3">
        <v>15</v>
      </c>
      <c r="AT574" s="3">
        <v>24.3</v>
      </c>
      <c r="AU574" s="3">
        <v>9.4</v>
      </c>
      <c r="AV574" s="3">
        <v>8.8000000000000007</v>
      </c>
      <c r="AW574" s="3">
        <v>9</v>
      </c>
      <c r="AX574" s="3">
        <v>9.1</v>
      </c>
      <c r="AY574" s="3">
        <v>9.4</v>
      </c>
      <c r="AZ574" s="3">
        <v>0</v>
      </c>
      <c r="BA574" s="3">
        <v>0</v>
      </c>
      <c r="BB574" s="3">
        <v>0</v>
      </c>
      <c r="BC574" s="3">
        <v>40.367347930259065</v>
      </c>
      <c r="BD574" s="3">
        <v>45.032652069740941</v>
      </c>
      <c r="BE574" s="3">
        <v>43.532652069740941</v>
      </c>
      <c r="BF574" s="3">
        <v>41.292652069740932</v>
      </c>
      <c r="BG574" s="3">
        <v>38.819318736407602</v>
      </c>
      <c r="BH574" s="3">
        <v>34.659318736407606</v>
      </c>
      <c r="BI574" s="3">
        <v>33.272652069740936</v>
      </c>
      <c r="BJ574" s="3">
        <v>38.365985403074255</v>
      </c>
      <c r="BK574" s="3">
        <v>41.139318736407596</v>
      </c>
      <c r="BL574" s="3">
        <v>45.612652069740939</v>
      </c>
      <c r="BM574" s="3">
        <v>40.245985403074279</v>
      </c>
      <c r="BN574" s="3">
        <v>39.329318736407593</v>
      </c>
      <c r="BO574" s="3">
        <v>39.695985403074268</v>
      </c>
      <c r="BP574" s="3">
        <v>37.01265206974093</v>
      </c>
      <c r="BQ574" s="3">
        <v>35.829318736407593</v>
      </c>
      <c r="BR574" s="3">
        <v>33.75598540307427</v>
      </c>
      <c r="BS574" s="3">
        <v>32.559318736407612</v>
      </c>
      <c r="BT574" s="3">
        <v>30.455985403074273</v>
      </c>
      <c r="BU574" s="3">
        <v>27.122652069740944</v>
      </c>
      <c r="BV574" s="3">
        <v>24.439318736407607</v>
      </c>
      <c r="BW574" s="3">
        <v>22.572652069740933</v>
      </c>
      <c r="BX574" s="3">
        <v>19.092652069740943</v>
      </c>
      <c r="BY574" s="3">
        <v>15.112652069740932</v>
      </c>
      <c r="BZ574" s="3">
        <v>24.542652069740932</v>
      </c>
      <c r="CA574" s="3">
        <v>9.7426520697409273</v>
      </c>
      <c r="CB574" s="3">
        <v>8.5793187364076005</v>
      </c>
      <c r="CC574" s="3">
        <v>8.9926520697409345</v>
      </c>
      <c r="CD574" s="3">
        <v>8.3993187364076007</v>
      </c>
      <c r="CE574" s="3">
        <v>8.892652069740933</v>
      </c>
      <c r="CF574" s="3">
        <v>-0.89401459692573582</v>
      </c>
      <c r="CG574" s="3">
        <v>-1.4273479302590673</v>
      </c>
      <c r="CH574" s="3">
        <v>-2.5040145969257352</v>
      </c>
      <c r="CI574" s="13">
        <f>[1]!dbasum(RecData[[#This Row],[20]:[2000]],RecData[[#Headers],[20]:[2000]])</f>
        <v>40.123879269197943</v>
      </c>
      <c r="CJ574" s="14">
        <v>8342</v>
      </c>
      <c r="CK574" s="15" t="s">
        <v>249</v>
      </c>
      <c r="CL574" s="15">
        <f>RecData[[#This Row],[Start Time]]</f>
        <v>43270.114583333336</v>
      </c>
      <c r="CM574" s="16">
        <f>RecData[[#This Row],[Wind Speed avg]]</f>
        <v>0.5</v>
      </c>
      <c r="CN574" s="16">
        <f>RecData[[#This Row],[Wind Dir. avg]]</f>
        <v>201.2</v>
      </c>
      <c r="CO574" s="16">
        <f>RecData[[#This Row],[Amb. Humidity]]</f>
        <v>74.8</v>
      </c>
      <c r="CP574" s="16">
        <f>RecData[[#This Row],[Amb. Temperature]]</f>
        <v>13.6</v>
      </c>
      <c r="CQ574" s="17">
        <f>RecData[[#This Row],[Amb. Rain Gauge]]</f>
        <v>0</v>
      </c>
      <c r="CR574" s="4" t="s">
        <v>1</v>
      </c>
      <c r="CS574" s="4" t="s">
        <v>49</v>
      </c>
      <c r="CT574" s="70">
        <v>1524.74926757812</v>
      </c>
      <c r="CU574" s="70">
        <v>39.000331878662102</v>
      </c>
      <c r="CV574" s="70">
        <v>9.5001068115234304</v>
      </c>
      <c r="CW574" s="70">
        <v>15.288963317871</v>
      </c>
      <c r="CX574" s="4"/>
      <c r="CY574" s="69"/>
      <c r="CZ574" s="2" t="b">
        <f>IF($DP$1="YES",IF(RecData[[#This Row],[Power (kW)]]&gt;=$CR$3, TRUE,FALSE),TRUE)</f>
        <v>1</v>
      </c>
      <c r="DA574" s="16">
        <f>MIN(MOD(180-ABS(ABS($DA$1-RecData[Yaw Angle (°)])-180),360),MOD(180-ABS(ABS($DB$1-RecData[Yaw Angle (°)])-180),360))</f>
        <v>31.470405100974546</v>
      </c>
      <c r="DB574" s="2" t="str">
        <f>IF($DP$2="None","None",IF(RecData[[#This Row],[Relative Wind Direction]]&lt;=45,"DW",IF(RecData[[#This Row],[Relative Wind Direction]]&lt;=135,"CW","UW")))</f>
        <v>DW</v>
      </c>
      <c r="DC574" s="61">
        <f>IF($CL574-$CL570&gt;1/24,#REF!,IF(SUM($CQ570:$CQ574)&gt;$DS$1,$DS$5,DC575-1))</f>
        <v>-3</v>
      </c>
      <c r="DD574" s="61">
        <f>IF($CL575-$CL574&gt;1/24,#REF!,IF(SUM($CQ570:$CQ574)&gt;$DS$1,$DS$6,DD573-1))</f>
        <v>-8</v>
      </c>
      <c r="DE574" s="18" t="b">
        <v>0</v>
      </c>
      <c r="DF574" s="2" t="b">
        <f>IF(OR(RecData[[#This Row],[WSpd_Avg '[m/s']]]-RecData[[#This Row],[Wind Speed min]]&gt;=$DF$3,RecData[[#This Row],[Wind Speed max]]-RecData[[#This Row],[WSpd_Avg '[m/s']]]&gt;=$DF$2),TRUE,FALSE)</f>
        <v>0</v>
      </c>
      <c r="DG574" s="2" t="b">
        <f>RecData[[#This Row],[Temperature '[°C']]]&lt;=-20</f>
        <v>0</v>
      </c>
      <c r="DH574" s="18" t="b">
        <f>NOT(OR(MOD(RecData[[#This Row],[TIMESTAMP]],1)&gt;0.91632,MOD(RecData[[#This Row],[TIMESTAMP]],1)&lt;0.208681))</f>
        <v>0</v>
      </c>
      <c r="DI574" s="18" t="b">
        <f>RecData[[#This Row],[Overall (dBA)]]-RecData[[#This Row],[L90]]&gt;=$DS$4</f>
        <v>0</v>
      </c>
      <c r="DJ574" s="18" t="b">
        <f>RecData[[#This Row],[Overall (dBA)]]&gt;$DS$2</f>
        <v>0</v>
      </c>
      <c r="DK574" s="18" t="b">
        <f>RecData[[#This Row],[Overall (dBA)]]&lt;$DS$3</f>
        <v>0</v>
      </c>
      <c r="DL5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4" s="2">
        <f>IF(AND(RecData[[#This Row],[Turbines ON/OFF]] = "OFF", NOT(OR(RecData[[#This Row],[Junk?]]="YES",RecData[[#This Row],[Gust?]],RecData[[#This Row],[Rain?]:[Min SPL Threshold?]]))),1,0)</f>
        <v>0</v>
      </c>
      <c r="DN574" s="16">
        <f>RecData[[#This Row],[dBA Sum]]</f>
        <v>40.123879269197943</v>
      </c>
      <c r="DO574" s="16">
        <f>RecData[[#This Row],[LAF90.0]]</f>
        <v>39.299999999999997</v>
      </c>
      <c r="DP574" s="55">
        <f>IF(AND(RecData[[#This Row],[Useable TON Data?]],RecData[[#This Row],[Turbines ON/OFF]]="ON"),RecData[[#This Row],[dBA Sum]],"")</f>
        <v>40.123879269197943</v>
      </c>
      <c r="DQ574" s="55" t="str">
        <f>IF(AND(RecData[[#This Row],[Useable Background Data?]],RecData[[#This Row],[Turbines ON/OFF]]="OFF"),RecData[[#This Row],[dBA Sum]],"")</f>
        <v/>
      </c>
      <c r="DR574" s="3">
        <f>IF(OR(RecData[[#This Row],[Useable TON Data?]],RecData[[#This Row],[Useable Background Data?]]),ROUND(RecData[[#This Row],[WSpd_Avg '[m/s']]],0),"")</f>
        <v>1</v>
      </c>
      <c r="DS574" s="85">
        <f>(0.00002)^2*(10^(RecData[[#This Row],[Overall (dBA)]]/10))</f>
        <v>4.1157398729318379E-6</v>
      </c>
    </row>
    <row r="575" spans="1:123" ht="15" x14ac:dyDescent="0.25">
      <c r="A575" s="3" t="s">
        <v>249</v>
      </c>
      <c r="B575" s="12">
        <v>43270.115277777782</v>
      </c>
      <c r="C575" s="3"/>
      <c r="D575" s="3">
        <v>40.700000000000003</v>
      </c>
      <c r="E575" s="3"/>
      <c r="F575" s="3"/>
      <c r="G575" s="3"/>
      <c r="H575" s="3"/>
      <c r="I575" s="3"/>
      <c r="J575" s="3"/>
      <c r="K575" s="3">
        <v>39.4</v>
      </c>
      <c r="L575" s="3"/>
      <c r="M575" s="3"/>
      <c r="N575" s="3">
        <v>167.3</v>
      </c>
      <c r="O575" s="3"/>
      <c r="P575" s="3"/>
      <c r="Q575" s="3">
        <v>0.24</v>
      </c>
      <c r="R575" s="3">
        <v>0.1</v>
      </c>
      <c r="S575" s="3">
        <v>0.9</v>
      </c>
      <c r="T575" s="3">
        <v>13.5</v>
      </c>
      <c r="U575" s="3">
        <v>75.099999999999994</v>
      </c>
      <c r="V575" s="3">
        <v>973</v>
      </c>
      <c r="W575" s="3">
        <v>0</v>
      </c>
      <c r="X575" s="3">
        <v>45.1</v>
      </c>
      <c r="Y575" s="3">
        <v>43.3</v>
      </c>
      <c r="Z575" s="3">
        <v>42.9</v>
      </c>
      <c r="AA575" s="3">
        <v>40</v>
      </c>
      <c r="AB575" s="3">
        <v>35.5</v>
      </c>
      <c r="AC575" s="3">
        <v>33.700000000000003</v>
      </c>
      <c r="AD575" s="3">
        <v>38.799999999999997</v>
      </c>
      <c r="AE575" s="3">
        <v>40.9</v>
      </c>
      <c r="AF575" s="3">
        <v>45.8</v>
      </c>
      <c r="AG575" s="3">
        <v>40.9</v>
      </c>
      <c r="AH575" s="3">
        <v>39.5</v>
      </c>
      <c r="AI575" s="3">
        <v>40.299999999999997</v>
      </c>
      <c r="AJ575" s="3">
        <v>38.1</v>
      </c>
      <c r="AK575" s="3">
        <v>36.5</v>
      </c>
      <c r="AL575" s="3">
        <v>33.6</v>
      </c>
      <c r="AM575" s="3">
        <v>32.700000000000003</v>
      </c>
      <c r="AN575" s="3">
        <v>30.3</v>
      </c>
      <c r="AO575" s="3">
        <v>27.6</v>
      </c>
      <c r="AP575" s="3">
        <v>25</v>
      </c>
      <c r="AQ575" s="3">
        <v>23.2</v>
      </c>
      <c r="AR575" s="3">
        <v>19.8</v>
      </c>
      <c r="AS575" s="3">
        <v>16.3</v>
      </c>
      <c r="AT575" s="3">
        <v>25.5</v>
      </c>
      <c r="AU575" s="3">
        <v>9.8000000000000007</v>
      </c>
      <c r="AV575" s="3">
        <v>8.8000000000000007</v>
      </c>
      <c r="AW575" s="3">
        <v>9.1</v>
      </c>
      <c r="AX575" s="3">
        <v>9.1999999999999993</v>
      </c>
      <c r="AY575" s="3">
        <v>9.4</v>
      </c>
      <c r="AZ575" s="3">
        <v>0</v>
      </c>
      <c r="BA575" s="3">
        <v>0</v>
      </c>
      <c r="BB575" s="3">
        <v>0</v>
      </c>
      <c r="BC575" s="3">
        <v>40.731510023970863</v>
      </c>
      <c r="BD575" s="3">
        <v>45.068489976029149</v>
      </c>
      <c r="BE575" s="3">
        <v>43.268489976029137</v>
      </c>
      <c r="BF575" s="3">
        <v>41.628489976029137</v>
      </c>
      <c r="BG575" s="3">
        <v>39.055156642695799</v>
      </c>
      <c r="BH575" s="3">
        <v>34.695156642695814</v>
      </c>
      <c r="BI575" s="3">
        <v>33.308489976029144</v>
      </c>
      <c r="BJ575" s="3">
        <v>39.201823309362474</v>
      </c>
      <c r="BK575" s="3">
        <v>41.175156642695804</v>
      </c>
      <c r="BL575" s="3">
        <v>45.648489976029133</v>
      </c>
      <c r="BM575" s="3">
        <v>40.881823309362481</v>
      </c>
      <c r="BN575" s="3">
        <v>39.765156642695807</v>
      </c>
      <c r="BO575" s="3">
        <v>39.931823309362464</v>
      </c>
      <c r="BP575" s="3">
        <v>37.448489976029144</v>
      </c>
      <c r="BQ575" s="3">
        <v>36.265156642695807</v>
      </c>
      <c r="BR575" s="3">
        <v>33.691823309362483</v>
      </c>
      <c r="BS575" s="3">
        <v>32.595156642695819</v>
      </c>
      <c r="BT575" s="3">
        <v>30.391823309362472</v>
      </c>
      <c r="BU575" s="3">
        <v>27.658489976029152</v>
      </c>
      <c r="BV575" s="3">
        <v>24.775156642695812</v>
      </c>
      <c r="BW575" s="3">
        <v>23.508489976029146</v>
      </c>
      <c r="BX575" s="3">
        <v>20.028489976029142</v>
      </c>
      <c r="BY575" s="3">
        <v>16.348489976029136</v>
      </c>
      <c r="BZ575" s="3">
        <v>25.678489976029148</v>
      </c>
      <c r="CA575" s="3">
        <v>10.078489976029132</v>
      </c>
      <c r="CB575" s="3">
        <v>8.515156642695807</v>
      </c>
      <c r="CC575" s="3">
        <v>9.0284899760291424</v>
      </c>
      <c r="CD575" s="3">
        <v>8.4351566426958087</v>
      </c>
      <c r="CE575" s="3">
        <v>8.8284899760291395</v>
      </c>
      <c r="CF575" s="3">
        <v>-0.9581766906375293</v>
      </c>
      <c r="CG575" s="3">
        <v>-1.4915100239708607</v>
      </c>
      <c r="CH575" s="3">
        <v>-2.5681766906375287</v>
      </c>
      <c r="CI575" s="13">
        <f>[1]!dbasum(RecData[[#This Row],[20]:[2000]],RecData[[#Headers],[20]:[2000]])</f>
        <v>40.387287589798277</v>
      </c>
      <c r="CJ575" s="14">
        <v>8343</v>
      </c>
      <c r="CK575" s="15" t="s">
        <v>249</v>
      </c>
      <c r="CL575" s="15">
        <f>RecData[[#This Row],[Start Time]]</f>
        <v>43270.115277777782</v>
      </c>
      <c r="CM575" s="16">
        <f>RecData[[#This Row],[Wind Speed avg]]</f>
        <v>0.24</v>
      </c>
      <c r="CN575" s="16">
        <f>RecData[[#This Row],[Wind Dir. avg]]</f>
        <v>167.3</v>
      </c>
      <c r="CO575" s="16">
        <f>RecData[[#This Row],[Amb. Humidity]]</f>
        <v>75.099999999999994</v>
      </c>
      <c r="CP575" s="16">
        <f>RecData[[#This Row],[Amb. Temperature]]</f>
        <v>13.5</v>
      </c>
      <c r="CQ575" s="17">
        <f>RecData[[#This Row],[Amb. Rain Gauge]]</f>
        <v>0</v>
      </c>
      <c r="CR575" s="4" t="s">
        <v>1</v>
      </c>
      <c r="CS575" s="4" t="s">
        <v>49</v>
      </c>
      <c r="CT575" s="70">
        <v>1524.74926757812</v>
      </c>
      <c r="CU575" s="70">
        <v>39.000331878662102</v>
      </c>
      <c r="CV575" s="70">
        <v>9.5001068115234304</v>
      </c>
      <c r="CW575" s="70">
        <v>15.288963317871</v>
      </c>
      <c r="CX575" s="4"/>
      <c r="CY575" s="69"/>
      <c r="CZ575" s="2" t="b">
        <f>IF($DP$1="YES",IF(RecData[[#This Row],[Power (kW)]]&gt;=$CR$3, TRUE,FALSE),TRUE)</f>
        <v>1</v>
      </c>
      <c r="DA575" s="16">
        <f>MIN(MOD(180-ABS(ABS($DA$1-RecData[Yaw Angle (°)])-180),360),MOD(180-ABS(ABS($DB$1-RecData[Yaw Angle (°)])-180),360))</f>
        <v>31.470405100974546</v>
      </c>
      <c r="DB575" s="2" t="str">
        <f>IF($DP$2="None","None",IF(RecData[[#This Row],[Relative Wind Direction]]&lt;=45,"DW",IF(RecData[[#This Row],[Relative Wind Direction]]&lt;=135,"CW","UW")))</f>
        <v>DW</v>
      </c>
      <c r="DC575" s="61">
        <f>IF($CL575-$CL571&gt;1/24,#REF!,IF(SUM($CQ571:$CQ575)&gt;$DS$1,$DS$5,DC576-1))</f>
        <v>-2</v>
      </c>
      <c r="DD575" s="61">
        <f>IF($CL576-$CL575&gt;1/24,#REF!,IF(SUM($CQ571:$CQ575)&gt;$DS$1,$DS$6,DD574-1))</f>
        <v>-9</v>
      </c>
      <c r="DE575" s="18" t="b">
        <v>0</v>
      </c>
      <c r="DF575" s="2" t="b">
        <f>IF(OR(RecData[[#This Row],[WSpd_Avg '[m/s']]]-RecData[[#This Row],[Wind Speed min]]&gt;=$DF$3,RecData[[#This Row],[Wind Speed max]]-RecData[[#This Row],[WSpd_Avg '[m/s']]]&gt;=$DF$2),TRUE,FALSE)</f>
        <v>0</v>
      </c>
      <c r="DG575" s="2" t="b">
        <f>RecData[[#This Row],[Temperature '[°C']]]&lt;=-20</f>
        <v>0</v>
      </c>
      <c r="DH575" s="18" t="b">
        <f>NOT(OR(MOD(RecData[[#This Row],[TIMESTAMP]],1)&gt;0.91632,MOD(RecData[[#This Row],[TIMESTAMP]],1)&lt;0.208681))</f>
        <v>0</v>
      </c>
      <c r="DI575" s="18" t="b">
        <f>RecData[[#This Row],[Overall (dBA)]]-RecData[[#This Row],[L90]]&gt;=$DS$4</f>
        <v>0</v>
      </c>
      <c r="DJ575" s="18" t="b">
        <f>RecData[[#This Row],[Overall (dBA)]]&gt;$DS$2</f>
        <v>0</v>
      </c>
      <c r="DK575" s="18" t="b">
        <f>RecData[[#This Row],[Overall (dBA)]]&lt;$DS$3</f>
        <v>0</v>
      </c>
      <c r="DL5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5" s="2">
        <f>IF(AND(RecData[[#This Row],[Turbines ON/OFF]] = "OFF", NOT(OR(RecData[[#This Row],[Junk?]]="YES",RecData[[#This Row],[Gust?]],RecData[[#This Row],[Rain?]:[Min SPL Threshold?]]))),1,0)</f>
        <v>0</v>
      </c>
      <c r="DN575" s="16">
        <f>RecData[[#This Row],[dBA Sum]]</f>
        <v>40.387287589798277</v>
      </c>
      <c r="DO575" s="16">
        <f>RecData[[#This Row],[LAF90.0]]</f>
        <v>39.4</v>
      </c>
      <c r="DP575" s="55">
        <f>IF(AND(RecData[[#This Row],[Useable TON Data?]],RecData[[#This Row],[Turbines ON/OFF]]="ON"),RecData[[#This Row],[dBA Sum]],"")</f>
        <v>40.387287589798277</v>
      </c>
      <c r="DQ575" s="55" t="str">
        <f>IF(AND(RecData[[#This Row],[Useable Background Data?]],RecData[[#This Row],[Turbines ON/OFF]]="OFF"),RecData[[#This Row],[dBA Sum]],"")</f>
        <v/>
      </c>
      <c r="DR575" s="3">
        <f>IF(OR(RecData[[#This Row],[Useable TON Data?]],RecData[[#This Row],[Useable Background Data?]]),ROUND(RecData[[#This Row],[WSpd_Avg '[m/s']]],0),"")</f>
        <v>0</v>
      </c>
      <c r="DS575" s="85">
        <f>(0.00002)^2*(10^(RecData[[#This Row],[Overall (dBA)]]/10))</f>
        <v>4.3730933723579635E-6</v>
      </c>
    </row>
    <row r="576" spans="1:123" ht="15" x14ac:dyDescent="0.25">
      <c r="A576" s="3" t="s">
        <v>249</v>
      </c>
      <c r="B576" s="12">
        <v>43270.115972222222</v>
      </c>
      <c r="C576" s="3"/>
      <c r="D576" s="3">
        <v>39.700000000000003</v>
      </c>
      <c r="E576" s="3"/>
      <c r="F576" s="3"/>
      <c r="G576" s="3"/>
      <c r="H576" s="3"/>
      <c r="I576" s="3"/>
      <c r="J576" s="3"/>
      <c r="K576" s="3">
        <v>38.4</v>
      </c>
      <c r="L576" s="3"/>
      <c r="M576" s="3"/>
      <c r="N576" s="3">
        <v>223.1</v>
      </c>
      <c r="O576" s="3"/>
      <c r="P576" s="3"/>
      <c r="Q576" s="3">
        <v>0.35</v>
      </c>
      <c r="R576" s="3">
        <v>0</v>
      </c>
      <c r="S576" s="3">
        <v>0.9</v>
      </c>
      <c r="T576" s="3">
        <v>13.5</v>
      </c>
      <c r="U576" s="3">
        <v>75</v>
      </c>
      <c r="V576" s="3">
        <v>973</v>
      </c>
      <c r="W576" s="3">
        <v>0</v>
      </c>
      <c r="X576" s="3">
        <v>44.6</v>
      </c>
      <c r="Y576" s="3">
        <v>42.7</v>
      </c>
      <c r="Z576" s="3">
        <v>42.3</v>
      </c>
      <c r="AA576" s="3">
        <v>39.4</v>
      </c>
      <c r="AB576" s="3">
        <v>35</v>
      </c>
      <c r="AC576" s="3">
        <v>32.9</v>
      </c>
      <c r="AD576" s="3">
        <v>37.799999999999997</v>
      </c>
      <c r="AE576" s="3">
        <v>40.1</v>
      </c>
      <c r="AF576" s="3">
        <v>44.4</v>
      </c>
      <c r="AG576" s="3">
        <v>38.700000000000003</v>
      </c>
      <c r="AH576" s="3">
        <v>38.5</v>
      </c>
      <c r="AI576" s="3">
        <v>38.700000000000003</v>
      </c>
      <c r="AJ576" s="3">
        <v>36.700000000000003</v>
      </c>
      <c r="AK576" s="3">
        <v>34.9</v>
      </c>
      <c r="AL576" s="3">
        <v>32.200000000000003</v>
      </c>
      <c r="AM576" s="3">
        <v>31</v>
      </c>
      <c r="AN576" s="3">
        <v>28.9</v>
      </c>
      <c r="AO576" s="3">
        <v>26.5</v>
      </c>
      <c r="AP576" s="3">
        <v>24.1</v>
      </c>
      <c r="AQ576" s="3">
        <v>22.1</v>
      </c>
      <c r="AR576" s="3">
        <v>18.7</v>
      </c>
      <c r="AS576" s="3">
        <v>16.8</v>
      </c>
      <c r="AT576" s="3">
        <v>29.5</v>
      </c>
      <c r="AU576" s="3">
        <v>11</v>
      </c>
      <c r="AV576" s="3">
        <v>8.9</v>
      </c>
      <c r="AW576" s="3">
        <v>9</v>
      </c>
      <c r="AX576" s="3">
        <v>9.1</v>
      </c>
      <c r="AY576" s="3">
        <v>9.4</v>
      </c>
      <c r="AZ576" s="3">
        <v>0</v>
      </c>
      <c r="BA576" s="3">
        <v>0</v>
      </c>
      <c r="BB576" s="3">
        <v>0</v>
      </c>
      <c r="BC576" s="3">
        <v>39.720061746813798</v>
      </c>
      <c r="BD576" s="3">
        <v>44.579938253186214</v>
      </c>
      <c r="BE576" s="3">
        <v>42.679938253186208</v>
      </c>
      <c r="BF576" s="3">
        <v>41.039938253186193</v>
      </c>
      <c r="BG576" s="3">
        <v>38.46660491985287</v>
      </c>
      <c r="BH576" s="3">
        <v>34.206604919852879</v>
      </c>
      <c r="BI576" s="3">
        <v>32.519938253186211</v>
      </c>
      <c r="BJ576" s="3">
        <v>38.213271586519539</v>
      </c>
      <c r="BK576" s="3">
        <v>40.386604919852871</v>
      </c>
      <c r="BL576" s="3">
        <v>44.259938253186206</v>
      </c>
      <c r="BM576" s="3">
        <v>38.693271586519543</v>
      </c>
      <c r="BN576" s="3">
        <v>38.776604919852872</v>
      </c>
      <c r="BO576" s="3">
        <v>38.343271586519535</v>
      </c>
      <c r="BP576" s="3">
        <v>36.059938253186203</v>
      </c>
      <c r="BQ576" s="3">
        <v>34.676604919852863</v>
      </c>
      <c r="BR576" s="3">
        <v>32.303271586519543</v>
      </c>
      <c r="BS576" s="3">
        <v>30.906604919852867</v>
      </c>
      <c r="BT576" s="3">
        <v>29.003271586519531</v>
      </c>
      <c r="BU576" s="3">
        <v>26.569938253186208</v>
      </c>
      <c r="BV576" s="3">
        <v>23.886604919852871</v>
      </c>
      <c r="BW576" s="3">
        <v>22.41993825318621</v>
      </c>
      <c r="BX576" s="3">
        <v>18.939938253186213</v>
      </c>
      <c r="BY576" s="3">
        <v>16.859938253186201</v>
      </c>
      <c r="BZ576" s="3">
        <v>29.689938253186213</v>
      </c>
      <c r="CA576" s="3">
        <v>11.2899382531862</v>
      </c>
      <c r="CB576" s="3">
        <v>8.6266049198528663</v>
      </c>
      <c r="CC576" s="3">
        <v>8.9399382531862059</v>
      </c>
      <c r="CD576" s="3">
        <v>8.3466049198528793</v>
      </c>
      <c r="CE576" s="3">
        <v>8.8399382531862045</v>
      </c>
      <c r="CF576" s="3">
        <v>-0.94672841348046433</v>
      </c>
      <c r="CG576" s="3">
        <v>-1.4800617468137958</v>
      </c>
      <c r="CH576" s="3">
        <v>-2.5567284134804638</v>
      </c>
      <c r="CI576" s="13">
        <f>[1]!dbasum(RecData[[#This Row],[20]:[2000]],RecData[[#Headers],[20]:[2000]])</f>
        <v>38.966790359295814</v>
      </c>
      <c r="CJ576" s="14">
        <v>8344</v>
      </c>
      <c r="CK576" s="15" t="s">
        <v>249</v>
      </c>
      <c r="CL576" s="15">
        <f>RecData[[#This Row],[Start Time]]</f>
        <v>43270.115972222222</v>
      </c>
      <c r="CM576" s="16">
        <f>RecData[[#This Row],[Wind Speed avg]]</f>
        <v>0.35</v>
      </c>
      <c r="CN576" s="16">
        <f>RecData[[#This Row],[Wind Dir. avg]]</f>
        <v>223.1</v>
      </c>
      <c r="CO576" s="16">
        <f>RecData[[#This Row],[Amb. Humidity]]</f>
        <v>75</v>
      </c>
      <c r="CP576" s="16">
        <f>RecData[[#This Row],[Amb. Temperature]]</f>
        <v>13.5</v>
      </c>
      <c r="CQ576" s="17">
        <f>RecData[[#This Row],[Amb. Rain Gauge]]</f>
        <v>0</v>
      </c>
      <c r="CR576" s="4" t="s">
        <v>1</v>
      </c>
      <c r="CS576" s="4" t="s">
        <v>49</v>
      </c>
      <c r="CT576" s="70">
        <v>1524.74926757812</v>
      </c>
      <c r="CU576" s="70">
        <v>39.000331878662102</v>
      </c>
      <c r="CV576" s="70">
        <v>9.5001068115234304</v>
      </c>
      <c r="CW576" s="70">
        <v>15.288963317871</v>
      </c>
      <c r="CX576" s="4"/>
      <c r="CY576" s="69"/>
      <c r="CZ576" s="2" t="b">
        <f>IF($DP$1="YES",IF(RecData[[#This Row],[Power (kW)]]&gt;=$CR$3, TRUE,FALSE),TRUE)</f>
        <v>1</v>
      </c>
      <c r="DA576" s="16">
        <f>MIN(MOD(180-ABS(ABS($DA$1-RecData[Yaw Angle (°)])-180),360),MOD(180-ABS(ABS($DB$1-RecData[Yaw Angle (°)])-180),360))</f>
        <v>31.470405100974546</v>
      </c>
      <c r="DB576" s="2" t="str">
        <f>IF($DP$2="None","None",IF(RecData[[#This Row],[Relative Wind Direction]]&lt;=45,"DW",IF(RecData[[#This Row],[Relative Wind Direction]]&lt;=135,"CW","UW")))</f>
        <v>DW</v>
      </c>
      <c r="DC576" s="61">
        <v>-1</v>
      </c>
      <c r="DD576" s="61">
        <v>-1</v>
      </c>
      <c r="DE576" s="18" t="b">
        <v>0</v>
      </c>
      <c r="DF576" s="2" t="b">
        <f>IF(OR(RecData[[#This Row],[WSpd_Avg '[m/s']]]-RecData[[#This Row],[Wind Speed min]]&gt;=$DF$3,RecData[[#This Row],[Wind Speed max]]-RecData[[#This Row],[WSpd_Avg '[m/s']]]&gt;=$DF$2),TRUE,FALSE)</f>
        <v>0</v>
      </c>
      <c r="DG576" s="2" t="b">
        <f>RecData[[#This Row],[Temperature '[°C']]]&lt;=-20</f>
        <v>0</v>
      </c>
      <c r="DH576" s="18" t="b">
        <f>NOT(OR(MOD(RecData[[#This Row],[TIMESTAMP]],1)&gt;0.91632,MOD(RecData[[#This Row],[TIMESTAMP]],1)&lt;0.208681))</f>
        <v>0</v>
      </c>
      <c r="DI576" s="18" t="b">
        <f>RecData[[#This Row],[Overall (dBA)]]-RecData[[#This Row],[L90]]&gt;=$DS$4</f>
        <v>0</v>
      </c>
      <c r="DJ576" s="18" t="b">
        <f>RecData[[#This Row],[Overall (dBA)]]&gt;$DS$2</f>
        <v>0</v>
      </c>
      <c r="DK576" s="18" t="b">
        <f>RecData[[#This Row],[Overall (dBA)]]&lt;$DS$3</f>
        <v>0</v>
      </c>
      <c r="DL5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6" s="2">
        <f>IF(AND(RecData[[#This Row],[Turbines ON/OFF]] = "OFF", NOT(OR(RecData[[#This Row],[Junk?]]="YES",RecData[[#This Row],[Gust?]],RecData[[#This Row],[Rain?]:[Min SPL Threshold?]]))),1,0)</f>
        <v>0</v>
      </c>
      <c r="DN576" s="16">
        <f>RecData[[#This Row],[dBA Sum]]</f>
        <v>38.966790359295814</v>
      </c>
      <c r="DO576" s="16">
        <f>RecData[[#This Row],[LAF90.0]]</f>
        <v>38.4</v>
      </c>
      <c r="DP576" s="55">
        <f>IF(AND(RecData[[#This Row],[Useable TON Data?]],RecData[[#This Row],[Turbines ON/OFF]]="ON"),RecData[[#This Row],[dBA Sum]],"")</f>
        <v>38.966790359295814</v>
      </c>
      <c r="DQ576" s="55" t="str">
        <f>IF(AND(RecData[[#This Row],[Useable Background Data?]],RecData[[#This Row],[Turbines ON/OFF]]="OFF"),RecData[[#This Row],[dBA Sum]],"")</f>
        <v/>
      </c>
      <c r="DR576" s="3">
        <f>IF(OR(RecData[[#This Row],[Useable TON Data?]],RecData[[#This Row],[Useable Background Data?]]),ROUND(RecData[[#This Row],[WSpd_Avg '[m/s']]],0),"")</f>
        <v>0</v>
      </c>
      <c r="DS576" s="85">
        <f>(0.00002)^2*(10^(RecData[[#This Row],[Overall (dBA)]]/10))</f>
        <v>3.1531093129196972E-6</v>
      </c>
    </row>
    <row r="577" spans="1:123" ht="15" x14ac:dyDescent="0.25">
      <c r="A577" s="3" t="s">
        <v>249</v>
      </c>
      <c r="B577" s="12">
        <v>43270.116666666669</v>
      </c>
      <c r="C577" s="3"/>
      <c r="D577" s="3">
        <v>39.6</v>
      </c>
      <c r="E577" s="3"/>
      <c r="F577" s="3"/>
      <c r="G577" s="3"/>
      <c r="H577" s="3"/>
      <c r="I577" s="3"/>
      <c r="J577" s="3"/>
      <c r="K577" s="3">
        <v>38.5</v>
      </c>
      <c r="L577" s="3"/>
      <c r="M577" s="3"/>
      <c r="N577" s="3">
        <v>191.2</v>
      </c>
      <c r="O577" s="3"/>
      <c r="P577" s="3"/>
      <c r="Q577" s="3">
        <v>0.33</v>
      </c>
      <c r="R577" s="3">
        <v>0.1</v>
      </c>
      <c r="S577" s="3">
        <v>0.8</v>
      </c>
      <c r="T577" s="3">
        <v>13.5</v>
      </c>
      <c r="U577" s="3">
        <v>75.2</v>
      </c>
      <c r="V577" s="3">
        <v>973</v>
      </c>
      <c r="W577" s="3">
        <v>0</v>
      </c>
      <c r="X577" s="3">
        <v>44.6</v>
      </c>
      <c r="Y577" s="3">
        <v>42.7</v>
      </c>
      <c r="Z577" s="3">
        <v>42.3</v>
      </c>
      <c r="AA577" s="3">
        <v>39.6</v>
      </c>
      <c r="AB577" s="3">
        <v>35.4</v>
      </c>
      <c r="AC577" s="3">
        <v>33.799999999999997</v>
      </c>
      <c r="AD577" s="3">
        <v>37.6</v>
      </c>
      <c r="AE577" s="3">
        <v>39.9</v>
      </c>
      <c r="AF577" s="3">
        <v>45.5</v>
      </c>
      <c r="AG577" s="3">
        <v>39.9</v>
      </c>
      <c r="AH577" s="3">
        <v>38.5</v>
      </c>
      <c r="AI577" s="3">
        <v>39.4</v>
      </c>
      <c r="AJ577" s="3">
        <v>36.9</v>
      </c>
      <c r="AK577" s="3">
        <v>35.200000000000003</v>
      </c>
      <c r="AL577" s="3">
        <v>32.299999999999997</v>
      </c>
      <c r="AM577" s="3">
        <v>31.4</v>
      </c>
      <c r="AN577" s="3">
        <v>28.8</v>
      </c>
      <c r="AO577" s="3">
        <v>26.3</v>
      </c>
      <c r="AP577" s="3">
        <v>23.9</v>
      </c>
      <c r="AQ577" s="3">
        <v>21.9</v>
      </c>
      <c r="AR577" s="3">
        <v>18.600000000000001</v>
      </c>
      <c r="AS577" s="3">
        <v>15</v>
      </c>
      <c r="AT577" s="3">
        <v>23.6</v>
      </c>
      <c r="AU577" s="3">
        <v>8.9</v>
      </c>
      <c r="AV577" s="3">
        <v>8.6999999999999993</v>
      </c>
      <c r="AW577" s="3">
        <v>9</v>
      </c>
      <c r="AX577" s="3">
        <v>9.1</v>
      </c>
      <c r="AY577" s="3">
        <v>9.4</v>
      </c>
      <c r="AZ577" s="3">
        <v>0</v>
      </c>
      <c r="BA577" s="3">
        <v>0</v>
      </c>
      <c r="BB577" s="3">
        <v>0</v>
      </c>
      <c r="BC577" s="3">
        <v>39.593260383338283</v>
      </c>
      <c r="BD577" s="3">
        <v>44.60673961666172</v>
      </c>
      <c r="BE577" s="3">
        <v>42.706739616661729</v>
      </c>
      <c r="BF577" s="3">
        <v>41.066739616661714</v>
      </c>
      <c r="BG577" s="3">
        <v>38.693406283328379</v>
      </c>
      <c r="BH577" s="3">
        <v>34.633406283328377</v>
      </c>
      <c r="BI577" s="3">
        <v>33.446739616661709</v>
      </c>
      <c r="BJ577" s="3">
        <v>38.040072949995043</v>
      </c>
      <c r="BK577" s="3">
        <v>40.213406283328389</v>
      </c>
      <c r="BL577" s="3">
        <v>45.386739616661721</v>
      </c>
      <c r="BM577" s="3">
        <v>39.920072949995053</v>
      </c>
      <c r="BN577" s="3">
        <v>38.803406283328393</v>
      </c>
      <c r="BO577" s="3">
        <v>39.070072949995044</v>
      </c>
      <c r="BP577" s="3">
        <v>36.286739616661713</v>
      </c>
      <c r="BQ577" s="3">
        <v>35.003406283328381</v>
      </c>
      <c r="BR577" s="3">
        <v>32.430072949995058</v>
      </c>
      <c r="BS577" s="3">
        <v>31.33340628332838</v>
      </c>
      <c r="BT577" s="3">
        <v>28.930072949995058</v>
      </c>
      <c r="BU577" s="3">
        <v>26.396739616661726</v>
      </c>
      <c r="BV577" s="3">
        <v>23.713406283328389</v>
      </c>
      <c r="BW577" s="3">
        <v>22.246739616661721</v>
      </c>
      <c r="BX577" s="3">
        <v>18.866739616661725</v>
      </c>
      <c r="BY577" s="3">
        <v>15.086739616661717</v>
      </c>
      <c r="BZ577" s="3">
        <v>23.816739616661728</v>
      </c>
      <c r="CA577" s="3">
        <v>9.2167396166617124</v>
      </c>
      <c r="CB577" s="3">
        <v>8.4534062833283841</v>
      </c>
      <c r="CC577" s="3">
        <v>8.9667396166617195</v>
      </c>
      <c r="CD577" s="3">
        <v>8.3734062833283858</v>
      </c>
      <c r="CE577" s="3">
        <v>8.8667396166617181</v>
      </c>
      <c r="CF577" s="3">
        <v>-0.91992705000495079</v>
      </c>
      <c r="CG577" s="3">
        <v>-1.4532603833382822</v>
      </c>
      <c r="CH577" s="3">
        <v>-2.5299270500049502</v>
      </c>
      <c r="CI577" s="13">
        <f>[1]!dbasum(RecData[[#This Row],[20]:[2000]],RecData[[#Headers],[20]:[2000]])</f>
        <v>39.310992829207308</v>
      </c>
      <c r="CJ577" s="14">
        <v>8345</v>
      </c>
      <c r="CK577" s="15" t="s">
        <v>249</v>
      </c>
      <c r="CL577" s="15">
        <f>RecData[[#This Row],[Start Time]]</f>
        <v>43270.116666666669</v>
      </c>
      <c r="CM577" s="16">
        <f>RecData[[#This Row],[Wind Speed avg]]</f>
        <v>0.33</v>
      </c>
      <c r="CN577" s="16">
        <f>RecData[[#This Row],[Wind Dir. avg]]</f>
        <v>191.2</v>
      </c>
      <c r="CO577" s="16">
        <f>RecData[[#This Row],[Amb. Humidity]]</f>
        <v>75.2</v>
      </c>
      <c r="CP577" s="16">
        <f>RecData[[#This Row],[Amb. Temperature]]</f>
        <v>13.5</v>
      </c>
      <c r="CQ577" s="17">
        <f>RecData[[#This Row],[Amb. Rain Gauge]]</f>
        <v>0</v>
      </c>
      <c r="CR577" s="4" t="s">
        <v>1</v>
      </c>
      <c r="CS577" s="4" t="s">
        <v>49</v>
      </c>
      <c r="CT577" s="70">
        <v>1524.74926757812</v>
      </c>
      <c r="CU577" s="70">
        <v>39.000331878662102</v>
      </c>
      <c r="CV577" s="70">
        <v>9.5001068115234304</v>
      </c>
      <c r="CW577" s="70">
        <v>15.288963317871</v>
      </c>
      <c r="CX577" s="4"/>
      <c r="CY577" s="69"/>
      <c r="CZ577" s="2" t="b">
        <f>IF($DP$1="YES",IF(RecData[[#This Row],[Power (kW)]]&gt;=$CR$3, TRUE,FALSE),TRUE)</f>
        <v>1</v>
      </c>
      <c r="DA577" s="16">
        <f>MIN(MOD(180-ABS(ABS($DA$1-RecData[Yaw Angle (°)])-180),360),MOD(180-ABS(ABS($DB$1-RecData[Yaw Angle (°)])-180),360))</f>
        <v>31.470405100974546</v>
      </c>
      <c r="DB577" s="2" t="str">
        <f>IF($DP$2="None","None",IF(RecData[[#This Row],[Relative Wind Direction]]&lt;=45,"DW",IF(RecData[[#This Row],[Relative Wind Direction]]&lt;=135,"CW","UW")))</f>
        <v>DW</v>
      </c>
      <c r="DC577" s="61">
        <f>IF($CL577-$CL576&gt;1/24,#REF!,IF(SUM($CQ576:$CQ577)&gt;$DS$1,$DS$5,DC578-1))</f>
        <v>-9</v>
      </c>
      <c r="DD577" s="61">
        <f>IF($CL578-$CL577&gt;1/24,#REF!,IF(SUM($CQ576:$CQ577)&gt;$DS$1,$DS$6,DD576-1))</f>
        <v>-2</v>
      </c>
      <c r="DE577" s="18" t="b">
        <v>0</v>
      </c>
      <c r="DF577" s="2" t="b">
        <f>IF(OR(RecData[[#This Row],[WSpd_Avg '[m/s']]]-RecData[[#This Row],[Wind Speed min]]&gt;=$DF$3,RecData[[#This Row],[Wind Speed max]]-RecData[[#This Row],[WSpd_Avg '[m/s']]]&gt;=$DF$2),TRUE,FALSE)</f>
        <v>0</v>
      </c>
      <c r="DG577" s="2" t="b">
        <f>RecData[[#This Row],[Temperature '[°C']]]&lt;=-20</f>
        <v>0</v>
      </c>
      <c r="DH577" s="18" t="b">
        <f>NOT(OR(MOD(RecData[[#This Row],[TIMESTAMP]],1)&gt;0.91632,MOD(RecData[[#This Row],[TIMESTAMP]],1)&lt;0.208681))</f>
        <v>0</v>
      </c>
      <c r="DI577" s="18" t="b">
        <f>RecData[[#This Row],[Overall (dBA)]]-RecData[[#This Row],[L90]]&gt;=$DS$4</f>
        <v>0</v>
      </c>
      <c r="DJ577" s="18" t="b">
        <f>RecData[[#This Row],[Overall (dBA)]]&gt;$DS$2</f>
        <v>0</v>
      </c>
      <c r="DK577" s="18" t="b">
        <f>RecData[[#This Row],[Overall (dBA)]]&lt;$DS$3</f>
        <v>0</v>
      </c>
      <c r="DL5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7" s="2">
        <f>IF(AND(RecData[[#This Row],[Turbines ON/OFF]] = "OFF", NOT(OR(RecData[[#This Row],[Junk?]]="YES",RecData[[#This Row],[Gust?]],RecData[[#This Row],[Rain?]:[Min SPL Threshold?]]))),1,0)</f>
        <v>0</v>
      </c>
      <c r="DN577" s="16">
        <f>RecData[[#This Row],[dBA Sum]]</f>
        <v>39.310992829207308</v>
      </c>
      <c r="DO577" s="16">
        <f>RecData[[#This Row],[LAF90.0]]</f>
        <v>38.5</v>
      </c>
      <c r="DP577" s="55">
        <f>IF(AND(RecData[[#This Row],[Useable TON Data?]],RecData[[#This Row],[Turbines ON/OFF]]="ON"),RecData[[#This Row],[dBA Sum]],"")</f>
        <v>39.310992829207308</v>
      </c>
      <c r="DQ577" s="55" t="str">
        <f>IF(AND(RecData[[#This Row],[Useable Background Data?]],RecData[[#This Row],[Turbines ON/OFF]]="OFF"),RecData[[#This Row],[dBA Sum]],"")</f>
        <v/>
      </c>
      <c r="DR577" s="3">
        <f>IF(OR(RecData[[#This Row],[Useable TON Data?]],RecData[[#This Row],[Useable Background Data?]]),ROUND(RecData[[#This Row],[WSpd_Avg '[m/s']]],0),"")</f>
        <v>0</v>
      </c>
      <c r="DS577" s="85">
        <f>(0.00002)^2*(10^(RecData[[#This Row],[Overall (dBA)]]/10))</f>
        <v>3.4131806451502384E-6</v>
      </c>
    </row>
    <row r="578" spans="1:123" ht="15" x14ac:dyDescent="0.25">
      <c r="A578" s="3" t="s">
        <v>249</v>
      </c>
      <c r="B578" s="12">
        <v>43270.117361111115</v>
      </c>
      <c r="C578" s="3"/>
      <c r="D578" s="3">
        <v>39.9</v>
      </c>
      <c r="E578" s="3"/>
      <c r="F578" s="3"/>
      <c r="G578" s="3"/>
      <c r="H578" s="3"/>
      <c r="I578" s="3"/>
      <c r="J578" s="3"/>
      <c r="K578" s="3">
        <v>38.799999999999997</v>
      </c>
      <c r="L578" s="3"/>
      <c r="M578" s="3"/>
      <c r="N578" s="3">
        <v>208.2</v>
      </c>
      <c r="O578" s="3"/>
      <c r="P578" s="3"/>
      <c r="Q578" s="3">
        <v>0.34</v>
      </c>
      <c r="R578" s="3">
        <v>0.2</v>
      </c>
      <c r="S578" s="3">
        <v>0.5</v>
      </c>
      <c r="T578" s="3">
        <v>13.4</v>
      </c>
      <c r="U578" s="3">
        <v>75.400000000000006</v>
      </c>
      <c r="V578" s="3">
        <v>973</v>
      </c>
      <c r="W578" s="3">
        <v>0</v>
      </c>
      <c r="X578" s="3">
        <v>44.1</v>
      </c>
      <c r="Y578" s="3">
        <v>42.5</v>
      </c>
      <c r="Z578" s="3">
        <v>42.1</v>
      </c>
      <c r="AA578" s="3">
        <v>39.1</v>
      </c>
      <c r="AB578" s="3">
        <v>35</v>
      </c>
      <c r="AC578" s="3">
        <v>33.5</v>
      </c>
      <c r="AD578" s="3">
        <v>38</v>
      </c>
      <c r="AE578" s="3">
        <v>40.200000000000003</v>
      </c>
      <c r="AF578" s="3">
        <v>44.2</v>
      </c>
      <c r="AG578" s="3">
        <v>40.299999999999997</v>
      </c>
      <c r="AH578" s="3">
        <v>38.9</v>
      </c>
      <c r="AI578" s="3">
        <v>39.6</v>
      </c>
      <c r="AJ578" s="3">
        <v>37.200000000000003</v>
      </c>
      <c r="AK578" s="3">
        <v>35.6</v>
      </c>
      <c r="AL578" s="3">
        <v>32.799999999999997</v>
      </c>
      <c r="AM578" s="3">
        <v>31.8</v>
      </c>
      <c r="AN578" s="3">
        <v>29.1</v>
      </c>
      <c r="AO578" s="3">
        <v>26.6</v>
      </c>
      <c r="AP578" s="3">
        <v>24</v>
      </c>
      <c r="AQ578" s="3">
        <v>22.3</v>
      </c>
      <c r="AR578" s="3">
        <v>18.899999999999999</v>
      </c>
      <c r="AS578" s="3">
        <v>15.6</v>
      </c>
      <c r="AT578" s="3">
        <v>25.8</v>
      </c>
      <c r="AU578" s="3">
        <v>9.6</v>
      </c>
      <c r="AV578" s="3">
        <v>8.6999999999999993</v>
      </c>
      <c r="AW578" s="3">
        <v>9</v>
      </c>
      <c r="AX578" s="3">
        <v>9.1</v>
      </c>
      <c r="AY578" s="3">
        <v>9.4</v>
      </c>
      <c r="AZ578" s="3">
        <v>0</v>
      </c>
      <c r="BA578" s="3">
        <v>0</v>
      </c>
      <c r="BB578" s="3">
        <v>0</v>
      </c>
      <c r="BC578" s="3">
        <v>39.882481173080144</v>
      </c>
      <c r="BD578" s="3">
        <v>44.117518826919856</v>
      </c>
      <c r="BE578" s="3">
        <v>42.517518826919861</v>
      </c>
      <c r="BF578" s="3">
        <v>40.877518826919847</v>
      </c>
      <c r="BG578" s="3">
        <v>38.204185493586529</v>
      </c>
      <c r="BH578" s="3">
        <v>34.244185493586521</v>
      </c>
      <c r="BI578" s="3">
        <v>33.157518826919848</v>
      </c>
      <c r="BJ578" s="3">
        <v>38.450852160253184</v>
      </c>
      <c r="BK578" s="3">
        <v>40.524185493586522</v>
      </c>
      <c r="BL578" s="3">
        <v>44.09751882691986</v>
      </c>
      <c r="BM578" s="3">
        <v>40.330852160253194</v>
      </c>
      <c r="BN578" s="3">
        <v>39.21418549358652</v>
      </c>
      <c r="BO578" s="3">
        <v>39.280852160253183</v>
      </c>
      <c r="BP578" s="3">
        <v>36.59751882691986</v>
      </c>
      <c r="BQ578" s="3">
        <v>35.414185493586508</v>
      </c>
      <c r="BR578" s="3">
        <v>32.940852160253179</v>
      </c>
      <c r="BS578" s="3">
        <v>31.744185493586521</v>
      </c>
      <c r="BT578" s="3">
        <v>29.240852160253191</v>
      </c>
      <c r="BU578" s="3">
        <v>26.707518826919859</v>
      </c>
      <c r="BV578" s="3">
        <v>23.824185493586519</v>
      </c>
      <c r="BW578" s="3">
        <v>22.657518826919862</v>
      </c>
      <c r="BX578" s="3">
        <v>19.177518826919858</v>
      </c>
      <c r="BY578" s="3">
        <v>15.697518826919854</v>
      </c>
      <c r="BZ578" s="3">
        <v>26.027518826919852</v>
      </c>
      <c r="CA578" s="3">
        <v>9.9275188269198438</v>
      </c>
      <c r="CB578" s="3">
        <v>8.4641854935865197</v>
      </c>
      <c r="CC578" s="3">
        <v>8.9775188269198551</v>
      </c>
      <c r="CD578" s="3">
        <v>8.3841854935865214</v>
      </c>
      <c r="CE578" s="3">
        <v>8.8775188269198537</v>
      </c>
      <c r="CF578" s="3">
        <v>-0.90914783974681512</v>
      </c>
      <c r="CG578" s="3">
        <v>-1.4424811730801466</v>
      </c>
      <c r="CH578" s="3">
        <v>-2.5191478397468146</v>
      </c>
      <c r="CI578" s="13">
        <f>[1]!dbasum(RecData[[#This Row],[20]:[2000]],RecData[[#Headers],[20]:[2000]])</f>
        <v>39.529372952805517</v>
      </c>
      <c r="CJ578" s="14">
        <v>8346</v>
      </c>
      <c r="CK578" s="15" t="s">
        <v>249</v>
      </c>
      <c r="CL578" s="15">
        <f>RecData[[#This Row],[Start Time]]</f>
        <v>43270.117361111115</v>
      </c>
      <c r="CM578" s="16">
        <f>RecData[[#This Row],[Wind Speed avg]]</f>
        <v>0.34</v>
      </c>
      <c r="CN578" s="16">
        <f>RecData[[#This Row],[Wind Dir. avg]]</f>
        <v>208.2</v>
      </c>
      <c r="CO578" s="16">
        <f>RecData[[#This Row],[Amb. Humidity]]</f>
        <v>75.400000000000006</v>
      </c>
      <c r="CP578" s="16">
        <f>RecData[[#This Row],[Amb. Temperature]]</f>
        <v>13.4</v>
      </c>
      <c r="CQ578" s="17">
        <f>RecData[[#This Row],[Amb. Rain Gauge]]</f>
        <v>0</v>
      </c>
      <c r="CR578" s="4" t="s">
        <v>1</v>
      </c>
      <c r="CS578" s="4" t="s">
        <v>49</v>
      </c>
      <c r="CT578" s="70">
        <v>1524.74926757812</v>
      </c>
      <c r="CU578" s="70">
        <v>39.000331878662102</v>
      </c>
      <c r="CV578" s="70">
        <v>9.5001068115234304</v>
      </c>
      <c r="CW578" s="70">
        <v>15.288963317871</v>
      </c>
      <c r="CX578" s="4"/>
      <c r="CY578" s="69"/>
      <c r="CZ578" s="2" t="b">
        <f>IF($DP$1="YES",IF(RecData[[#This Row],[Power (kW)]]&gt;=$CR$3, TRUE,FALSE),TRUE)</f>
        <v>1</v>
      </c>
      <c r="DA578" s="16">
        <f>MIN(MOD(180-ABS(ABS($DA$1-RecData[Yaw Angle (°)])-180),360),MOD(180-ABS(ABS($DB$1-RecData[Yaw Angle (°)])-180),360))</f>
        <v>31.470405100974546</v>
      </c>
      <c r="DB578" s="2" t="str">
        <f>IF($DP$2="None","None",IF(RecData[[#This Row],[Relative Wind Direction]]&lt;=45,"DW",IF(RecData[[#This Row],[Relative Wind Direction]]&lt;=135,"CW","UW")))</f>
        <v>DW</v>
      </c>
      <c r="DC578" s="61">
        <f>IF($CL578-$CL576&gt;1/24,#REF!,IF(SUM($CQ576:$CQ578)&gt;$DS$1,$DS$5,DC579-1))</f>
        <v>-8</v>
      </c>
      <c r="DD578" s="61">
        <f>IF($CL579-$CL578&gt;1/24,#REF!,IF(SUM($CQ576:$CQ578)&gt;$DS$1,$DS$6,DD577-1))</f>
        <v>-3</v>
      </c>
      <c r="DE578" s="18" t="b">
        <v>0</v>
      </c>
      <c r="DF578" s="2" t="b">
        <f>IF(OR(RecData[[#This Row],[WSpd_Avg '[m/s']]]-RecData[[#This Row],[Wind Speed min]]&gt;=$DF$3,RecData[[#This Row],[Wind Speed max]]-RecData[[#This Row],[WSpd_Avg '[m/s']]]&gt;=$DF$2),TRUE,FALSE)</f>
        <v>0</v>
      </c>
      <c r="DG578" s="2" t="b">
        <f>RecData[[#This Row],[Temperature '[°C']]]&lt;=-20</f>
        <v>0</v>
      </c>
      <c r="DH578" s="18" t="b">
        <f>NOT(OR(MOD(RecData[[#This Row],[TIMESTAMP]],1)&gt;0.91632,MOD(RecData[[#This Row],[TIMESTAMP]],1)&lt;0.208681))</f>
        <v>0</v>
      </c>
      <c r="DI578" s="18" t="b">
        <f>RecData[[#This Row],[Overall (dBA)]]-RecData[[#This Row],[L90]]&gt;=$DS$4</f>
        <v>0</v>
      </c>
      <c r="DJ578" s="18" t="b">
        <f>RecData[[#This Row],[Overall (dBA)]]&gt;$DS$2</f>
        <v>0</v>
      </c>
      <c r="DK578" s="18" t="b">
        <f>RecData[[#This Row],[Overall (dBA)]]&lt;$DS$3</f>
        <v>0</v>
      </c>
      <c r="DL5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8" s="2">
        <f>IF(AND(RecData[[#This Row],[Turbines ON/OFF]] = "OFF", NOT(OR(RecData[[#This Row],[Junk?]]="YES",RecData[[#This Row],[Gust?]],RecData[[#This Row],[Rain?]:[Min SPL Threshold?]]))),1,0)</f>
        <v>0</v>
      </c>
      <c r="DN578" s="16">
        <f>RecData[[#This Row],[dBA Sum]]</f>
        <v>39.529372952805517</v>
      </c>
      <c r="DO578" s="16">
        <f>RecData[[#This Row],[LAF90.0]]</f>
        <v>38.799999999999997</v>
      </c>
      <c r="DP578" s="55">
        <f>IF(AND(RecData[[#This Row],[Useable TON Data?]],RecData[[#This Row],[Turbines ON/OFF]]="ON"),RecData[[#This Row],[dBA Sum]],"")</f>
        <v>39.529372952805517</v>
      </c>
      <c r="DQ578" s="55" t="str">
        <f>IF(AND(RecData[[#This Row],[Useable Background Data?]],RecData[[#This Row],[Turbines ON/OFF]]="OFF"),RecData[[#This Row],[dBA Sum]],"")</f>
        <v/>
      </c>
      <c r="DR578" s="3">
        <f>IF(OR(RecData[[#This Row],[Useable TON Data?]],RecData[[#This Row],[Useable Background Data?]]),ROUND(RecData[[#This Row],[WSpd_Avg '[m/s']]],0),"")</f>
        <v>0</v>
      </c>
      <c r="DS578" s="85">
        <f>(0.00002)^2*(10^(RecData[[#This Row],[Overall (dBA)]]/10))</f>
        <v>3.5891969217424041E-6</v>
      </c>
    </row>
    <row r="579" spans="1:123" ht="15" x14ac:dyDescent="0.25">
      <c r="A579" s="3" t="s">
        <v>249</v>
      </c>
      <c r="B579" s="12">
        <v>43270.118055555555</v>
      </c>
      <c r="C579" s="3"/>
      <c r="D579" s="3">
        <v>40.1</v>
      </c>
      <c r="E579" s="3"/>
      <c r="F579" s="3"/>
      <c r="G579" s="3"/>
      <c r="H579" s="3"/>
      <c r="I579" s="3"/>
      <c r="J579" s="3"/>
      <c r="K579" s="3">
        <v>39</v>
      </c>
      <c r="L579" s="3"/>
      <c r="M579" s="3"/>
      <c r="N579" s="3">
        <v>190.9</v>
      </c>
      <c r="O579" s="3"/>
      <c r="P579" s="3"/>
      <c r="Q579" s="3">
        <v>0.23</v>
      </c>
      <c r="R579" s="3">
        <v>0.1</v>
      </c>
      <c r="S579" s="3">
        <v>0.5</v>
      </c>
      <c r="T579" s="3">
        <v>13.4</v>
      </c>
      <c r="U579" s="3">
        <v>75.599999999999994</v>
      </c>
      <c r="V579" s="3">
        <v>973</v>
      </c>
      <c r="W579" s="3">
        <v>0</v>
      </c>
      <c r="X579" s="3">
        <v>44.5</v>
      </c>
      <c r="Y579" s="3">
        <v>43.2</v>
      </c>
      <c r="Z579" s="3">
        <v>42.8</v>
      </c>
      <c r="AA579" s="3">
        <v>39.200000000000003</v>
      </c>
      <c r="AB579" s="3">
        <v>35.9</v>
      </c>
      <c r="AC579" s="3">
        <v>33.6</v>
      </c>
      <c r="AD579" s="3">
        <v>37.9</v>
      </c>
      <c r="AE579" s="3">
        <v>40.1</v>
      </c>
      <c r="AF579" s="3">
        <v>45.4</v>
      </c>
      <c r="AG579" s="3">
        <v>41</v>
      </c>
      <c r="AH579" s="3">
        <v>38.1</v>
      </c>
      <c r="AI579" s="3">
        <v>39.299999999999997</v>
      </c>
      <c r="AJ579" s="3">
        <v>37.4</v>
      </c>
      <c r="AK579" s="3">
        <v>35.5</v>
      </c>
      <c r="AL579" s="3">
        <v>32.9</v>
      </c>
      <c r="AM579" s="3">
        <v>32</v>
      </c>
      <c r="AN579" s="3">
        <v>29.7</v>
      </c>
      <c r="AO579" s="3">
        <v>27.2</v>
      </c>
      <c r="AP579" s="3">
        <v>24.6</v>
      </c>
      <c r="AQ579" s="3">
        <v>22.7</v>
      </c>
      <c r="AR579" s="3">
        <v>19.3</v>
      </c>
      <c r="AS579" s="3">
        <v>15.5</v>
      </c>
      <c r="AT579" s="3">
        <v>25</v>
      </c>
      <c r="AU579" s="3">
        <v>9.4</v>
      </c>
      <c r="AV579" s="3">
        <v>8.6999999999999993</v>
      </c>
      <c r="AW579" s="3">
        <v>9</v>
      </c>
      <c r="AX579" s="3">
        <v>9.1</v>
      </c>
      <c r="AY579" s="3">
        <v>9.4</v>
      </c>
      <c r="AZ579" s="3">
        <v>0</v>
      </c>
      <c r="BA579" s="3">
        <v>0</v>
      </c>
      <c r="BB579" s="3">
        <v>0</v>
      </c>
      <c r="BC579" s="3">
        <v>40.033878784351501</v>
      </c>
      <c r="BD579" s="3">
        <v>44.566121215648494</v>
      </c>
      <c r="BE579" s="3">
        <v>43.266121215648511</v>
      </c>
      <c r="BF579" s="3">
        <v>41.626121215648496</v>
      </c>
      <c r="BG579" s="3">
        <v>38.35278788231517</v>
      </c>
      <c r="BH579" s="3">
        <v>35.192787882315159</v>
      </c>
      <c r="BI579" s="3">
        <v>33.306121215648503</v>
      </c>
      <c r="BJ579" s="3">
        <v>38.399454548981836</v>
      </c>
      <c r="BK579" s="3">
        <v>40.47278788231516</v>
      </c>
      <c r="BL579" s="3">
        <v>45.346121215648495</v>
      </c>
      <c r="BM579" s="3">
        <v>41.079454548981843</v>
      </c>
      <c r="BN579" s="3">
        <v>38.462787882315169</v>
      </c>
      <c r="BO579" s="3">
        <v>39.029454548981832</v>
      </c>
      <c r="BP579" s="3">
        <v>36.846121215648495</v>
      </c>
      <c r="BQ579" s="3">
        <v>35.36278788231516</v>
      </c>
      <c r="BR579" s="3">
        <v>33.089454548981834</v>
      </c>
      <c r="BS579" s="3">
        <v>31.99278788231517</v>
      </c>
      <c r="BT579" s="3">
        <v>29.889454548981831</v>
      </c>
      <c r="BU579" s="3">
        <v>27.3561212156485</v>
      </c>
      <c r="BV579" s="3">
        <v>24.472787882315174</v>
      </c>
      <c r="BW579" s="3">
        <v>23.1061212156485</v>
      </c>
      <c r="BX579" s="3">
        <v>19.62612121564851</v>
      </c>
      <c r="BY579" s="3">
        <v>15.646121215648499</v>
      </c>
      <c r="BZ579" s="3">
        <v>25.276121215648502</v>
      </c>
      <c r="CA579" s="3">
        <v>9.7761212156484945</v>
      </c>
      <c r="CB579" s="3">
        <v>8.5127878823151661</v>
      </c>
      <c r="CC579" s="3">
        <v>9.0261212156485016</v>
      </c>
      <c r="CD579" s="3">
        <v>8.4327878823151678</v>
      </c>
      <c r="CE579" s="3">
        <v>8.9261212156485001</v>
      </c>
      <c r="CF579" s="3">
        <v>-0.86054545101816871</v>
      </c>
      <c r="CG579" s="3">
        <v>-1.3938787843515001</v>
      </c>
      <c r="CH579" s="3">
        <v>-2.4705454510181681</v>
      </c>
      <c r="CI579" s="13">
        <f>[1]!dbasum(RecData[[#This Row],[20]:[2000]],RecData[[#Headers],[20]:[2000]])</f>
        <v>39.778694744806906</v>
      </c>
      <c r="CJ579" s="14">
        <v>8347</v>
      </c>
      <c r="CK579" s="15" t="s">
        <v>249</v>
      </c>
      <c r="CL579" s="15">
        <f>RecData[[#This Row],[Start Time]]</f>
        <v>43270.118055555555</v>
      </c>
      <c r="CM579" s="16">
        <f>RecData[[#This Row],[Wind Speed avg]]</f>
        <v>0.23</v>
      </c>
      <c r="CN579" s="16">
        <f>RecData[[#This Row],[Wind Dir. avg]]</f>
        <v>190.9</v>
      </c>
      <c r="CO579" s="16">
        <f>RecData[[#This Row],[Amb. Humidity]]</f>
        <v>75.599999999999994</v>
      </c>
      <c r="CP579" s="16">
        <f>RecData[[#This Row],[Amb. Temperature]]</f>
        <v>13.4</v>
      </c>
      <c r="CQ579" s="17">
        <f>RecData[[#This Row],[Amb. Rain Gauge]]</f>
        <v>0</v>
      </c>
      <c r="CR579" s="4" t="s">
        <v>1</v>
      </c>
      <c r="CS579" s="4" t="s">
        <v>49</v>
      </c>
      <c r="CT579" s="70">
        <v>1524.74926757812</v>
      </c>
      <c r="CU579" s="70">
        <v>39.000331878662102</v>
      </c>
      <c r="CV579" s="70">
        <v>9.5001068115234304</v>
      </c>
      <c r="CW579" s="70">
        <v>15.288963317871</v>
      </c>
      <c r="CX579" s="4"/>
      <c r="CY579" s="69"/>
      <c r="CZ579" s="2" t="b">
        <f>IF($DP$1="YES",IF(RecData[[#This Row],[Power (kW)]]&gt;=$CR$3, TRUE,FALSE),TRUE)</f>
        <v>1</v>
      </c>
      <c r="DA579" s="16">
        <f>MIN(MOD(180-ABS(ABS($DA$1-RecData[Yaw Angle (°)])-180),360),MOD(180-ABS(ABS($DB$1-RecData[Yaw Angle (°)])-180),360))</f>
        <v>31.470405100974546</v>
      </c>
      <c r="DB579" s="2" t="str">
        <f>IF($DP$2="None","None",IF(RecData[[#This Row],[Relative Wind Direction]]&lt;=45,"DW",IF(RecData[[#This Row],[Relative Wind Direction]]&lt;=135,"CW","UW")))</f>
        <v>DW</v>
      </c>
      <c r="DC579" s="61">
        <f>IF($CL579-$CL576&gt;1/24,#REF!,IF(SUM($CQ576:$CQ579)&gt;$DS$1,$DS$5,DC580-1))</f>
        <v>-7</v>
      </c>
      <c r="DD579" s="61">
        <f>IF($CL580-$CL579&gt;1/24,#REF!,IF(SUM($CQ576:$CQ579)&gt;$DS$1,$DS$6,DD578-1))</f>
        <v>-4</v>
      </c>
      <c r="DE579" s="18" t="b">
        <v>0</v>
      </c>
      <c r="DF579" s="2" t="b">
        <f>IF(OR(RecData[[#This Row],[WSpd_Avg '[m/s']]]-RecData[[#This Row],[Wind Speed min]]&gt;=$DF$3,RecData[[#This Row],[Wind Speed max]]-RecData[[#This Row],[WSpd_Avg '[m/s']]]&gt;=$DF$2),TRUE,FALSE)</f>
        <v>0</v>
      </c>
      <c r="DG579" s="2" t="b">
        <f>RecData[[#This Row],[Temperature '[°C']]]&lt;=-20</f>
        <v>0</v>
      </c>
      <c r="DH579" s="18" t="b">
        <f>NOT(OR(MOD(RecData[[#This Row],[TIMESTAMP]],1)&gt;0.91632,MOD(RecData[[#This Row],[TIMESTAMP]],1)&lt;0.208681))</f>
        <v>0</v>
      </c>
      <c r="DI579" s="18" t="b">
        <f>RecData[[#This Row],[Overall (dBA)]]-RecData[[#This Row],[L90]]&gt;=$DS$4</f>
        <v>0</v>
      </c>
      <c r="DJ579" s="18" t="b">
        <f>RecData[[#This Row],[Overall (dBA)]]&gt;$DS$2</f>
        <v>0</v>
      </c>
      <c r="DK579" s="18" t="b">
        <f>RecData[[#This Row],[Overall (dBA)]]&lt;$DS$3</f>
        <v>0</v>
      </c>
      <c r="DL5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79" s="2">
        <f>IF(AND(RecData[[#This Row],[Turbines ON/OFF]] = "OFF", NOT(OR(RecData[[#This Row],[Junk?]]="YES",RecData[[#This Row],[Gust?]],RecData[[#This Row],[Rain?]:[Min SPL Threshold?]]))),1,0)</f>
        <v>0</v>
      </c>
      <c r="DN579" s="16">
        <f>RecData[[#This Row],[dBA Sum]]</f>
        <v>39.778694744806906</v>
      </c>
      <c r="DO579" s="16">
        <f>RecData[[#This Row],[LAF90.0]]</f>
        <v>39</v>
      </c>
      <c r="DP579" s="55">
        <f>IF(AND(RecData[[#This Row],[Useable TON Data?]],RecData[[#This Row],[Turbines ON/OFF]]="ON"),RecData[[#This Row],[dBA Sum]],"")</f>
        <v>39.778694744806906</v>
      </c>
      <c r="DQ579" s="55" t="str">
        <f>IF(AND(RecData[[#This Row],[Useable Background Data?]],RecData[[#This Row],[Turbines ON/OFF]]="OFF"),RecData[[#This Row],[dBA Sum]],"")</f>
        <v/>
      </c>
      <c r="DR579" s="3">
        <f>IF(OR(RecData[[#This Row],[Useable TON Data?]],RecData[[#This Row],[Useable Background Data?]]),ROUND(RecData[[#This Row],[WSpd_Avg '[m/s']]],0),"")</f>
        <v>0</v>
      </c>
      <c r="DS579" s="85">
        <f>(0.00002)^2*(10^(RecData[[#This Row],[Overall (dBA)]]/10))</f>
        <v>3.8012765440297245E-6</v>
      </c>
    </row>
    <row r="580" spans="1:123" ht="15" x14ac:dyDescent="0.25">
      <c r="A580" s="3" t="s">
        <v>249</v>
      </c>
      <c r="B580" s="12">
        <v>43270.118750000001</v>
      </c>
      <c r="C580" s="3"/>
      <c r="D580" s="3">
        <v>39.4</v>
      </c>
      <c r="E580" s="3"/>
      <c r="F580" s="3"/>
      <c r="G580" s="3"/>
      <c r="H580" s="3"/>
      <c r="I580" s="3"/>
      <c r="J580" s="3"/>
      <c r="K580" s="3">
        <v>38</v>
      </c>
      <c r="L580" s="3"/>
      <c r="M580" s="3"/>
      <c r="N580" s="3">
        <v>182.9</v>
      </c>
      <c r="O580" s="3"/>
      <c r="P580" s="3"/>
      <c r="Q580" s="3">
        <v>0.62</v>
      </c>
      <c r="R580" s="3">
        <v>0.2</v>
      </c>
      <c r="S580" s="3">
        <v>0.8</v>
      </c>
      <c r="T580" s="3">
        <v>13.4</v>
      </c>
      <c r="U580" s="3">
        <v>75.8</v>
      </c>
      <c r="V580" s="3">
        <v>973</v>
      </c>
      <c r="W580" s="3">
        <v>0</v>
      </c>
      <c r="X580" s="3">
        <v>44.5</v>
      </c>
      <c r="Y580" s="3">
        <v>43.7</v>
      </c>
      <c r="Z580" s="3">
        <v>43</v>
      </c>
      <c r="AA580" s="3">
        <v>38.700000000000003</v>
      </c>
      <c r="AB580" s="3">
        <v>35.1</v>
      </c>
      <c r="AC580" s="3">
        <v>32.799999999999997</v>
      </c>
      <c r="AD580" s="3">
        <v>37.799999999999997</v>
      </c>
      <c r="AE580" s="3">
        <v>40.1</v>
      </c>
      <c r="AF580" s="3">
        <v>44.7</v>
      </c>
      <c r="AG580" s="3">
        <v>38.4</v>
      </c>
      <c r="AH580" s="3">
        <v>38</v>
      </c>
      <c r="AI580" s="3">
        <v>38.200000000000003</v>
      </c>
      <c r="AJ580" s="3">
        <v>36.4</v>
      </c>
      <c r="AK580" s="3">
        <v>35</v>
      </c>
      <c r="AL580" s="3">
        <v>32.5</v>
      </c>
      <c r="AM580" s="3">
        <v>31.6</v>
      </c>
      <c r="AN580" s="3">
        <v>29.3</v>
      </c>
      <c r="AO580" s="3">
        <v>26.4</v>
      </c>
      <c r="AP580" s="3">
        <v>24.1</v>
      </c>
      <c r="AQ580" s="3">
        <v>21.9</v>
      </c>
      <c r="AR580" s="3">
        <v>18.5</v>
      </c>
      <c r="AS580" s="3">
        <v>15.2</v>
      </c>
      <c r="AT580" s="3">
        <v>26.5</v>
      </c>
      <c r="AU580" s="3">
        <v>9.8000000000000007</v>
      </c>
      <c r="AV580" s="3">
        <v>8.6999999999999993</v>
      </c>
      <c r="AW580" s="3">
        <v>9</v>
      </c>
      <c r="AX580" s="3">
        <v>9.1999999999999993</v>
      </c>
      <c r="AY580" s="3">
        <v>9.4</v>
      </c>
      <c r="AZ580" s="3">
        <v>0</v>
      </c>
      <c r="BA580" s="3">
        <v>0</v>
      </c>
      <c r="BB580" s="3">
        <v>0</v>
      </c>
      <c r="BC580" s="3">
        <v>39.439280368189969</v>
      </c>
      <c r="BD580" s="3">
        <v>44.460719631810036</v>
      </c>
      <c r="BE580" s="3">
        <v>43.660719631810025</v>
      </c>
      <c r="BF580" s="3">
        <v>41.720719631810027</v>
      </c>
      <c r="BG580" s="3">
        <v>37.747386298476698</v>
      </c>
      <c r="BH580" s="3">
        <v>34.28738629847669</v>
      </c>
      <c r="BI580" s="3">
        <v>32.400719631810034</v>
      </c>
      <c r="BJ580" s="3">
        <v>38.194052965143356</v>
      </c>
      <c r="BK580" s="3">
        <v>40.367386298476703</v>
      </c>
      <c r="BL580" s="3">
        <v>44.540719631810035</v>
      </c>
      <c r="BM580" s="3">
        <v>38.374052965143363</v>
      </c>
      <c r="BN580" s="3">
        <v>38.257386298476689</v>
      </c>
      <c r="BO580" s="3">
        <v>37.824052965143366</v>
      </c>
      <c r="BP580" s="3">
        <v>35.740719631810038</v>
      </c>
      <c r="BQ580" s="3">
        <v>34.757386298476689</v>
      </c>
      <c r="BR580" s="3">
        <v>32.584052965143371</v>
      </c>
      <c r="BS580" s="3">
        <v>31.487386298476693</v>
      </c>
      <c r="BT580" s="3">
        <v>29.384052965143368</v>
      </c>
      <c r="BU580" s="3">
        <v>26.450719631810031</v>
      </c>
      <c r="BV580" s="3">
        <v>23.867386298476703</v>
      </c>
      <c r="BW580" s="3">
        <v>22.200719631810031</v>
      </c>
      <c r="BX580" s="3">
        <v>18.720719631810034</v>
      </c>
      <c r="BY580" s="3">
        <v>15.240719631810023</v>
      </c>
      <c r="BZ580" s="3">
        <v>26.67071963181003</v>
      </c>
      <c r="CA580" s="3">
        <v>10.070719631810022</v>
      </c>
      <c r="CB580" s="3">
        <v>8.4073862984766947</v>
      </c>
      <c r="CC580" s="3">
        <v>8.9207196318100301</v>
      </c>
      <c r="CD580" s="3">
        <v>8.4273862984766978</v>
      </c>
      <c r="CE580" s="3">
        <v>8.8207196318100287</v>
      </c>
      <c r="CF580" s="3">
        <v>-0.96594703485664013</v>
      </c>
      <c r="CG580" s="3">
        <v>-1.4992803681899716</v>
      </c>
      <c r="CH580" s="3">
        <v>-2.5759470348566396</v>
      </c>
      <c r="CI580" s="13">
        <f>[1]!dbasum(RecData[[#This Row],[20]:[2000]],RecData[[#Headers],[20]:[2000]])</f>
        <v>38.965582544740343</v>
      </c>
      <c r="CJ580" s="14">
        <v>8348</v>
      </c>
      <c r="CK580" s="15" t="s">
        <v>249</v>
      </c>
      <c r="CL580" s="15">
        <f>RecData[[#This Row],[Start Time]]</f>
        <v>43270.118750000001</v>
      </c>
      <c r="CM580" s="16">
        <f>RecData[[#This Row],[Wind Speed avg]]</f>
        <v>0.62</v>
      </c>
      <c r="CN580" s="16">
        <f>RecData[[#This Row],[Wind Dir. avg]]</f>
        <v>182.9</v>
      </c>
      <c r="CO580" s="16">
        <f>RecData[[#This Row],[Amb. Humidity]]</f>
        <v>75.8</v>
      </c>
      <c r="CP580" s="16">
        <f>RecData[[#This Row],[Amb. Temperature]]</f>
        <v>13.4</v>
      </c>
      <c r="CQ580" s="17">
        <f>RecData[[#This Row],[Amb. Rain Gauge]]</f>
        <v>0</v>
      </c>
      <c r="CR580" s="4" t="s">
        <v>1</v>
      </c>
      <c r="CS580" s="4" t="s">
        <v>49</v>
      </c>
      <c r="CT580" s="70">
        <v>1447.7529296875</v>
      </c>
      <c r="CU580" s="70">
        <v>39.000335693359297</v>
      </c>
      <c r="CV580" s="70">
        <v>9.2391586303710902</v>
      </c>
      <c r="CW580" s="70">
        <v>15.293469429016101</v>
      </c>
      <c r="CX580" s="4"/>
      <c r="CY580" s="69"/>
      <c r="CZ580" s="2" t="b">
        <f>IF($DP$1="YES",IF(RecData[[#This Row],[Power (kW)]]&gt;=$CR$3, TRUE,FALSE),TRUE)</f>
        <v>1</v>
      </c>
      <c r="DA580" s="16">
        <f>MIN(MOD(180-ABS(ABS($DA$1-RecData[Yaw Angle (°)])-180),360),MOD(180-ABS(ABS($DB$1-RecData[Yaw Angle (°)])-180),360))</f>
        <v>31.470408915671754</v>
      </c>
      <c r="DB580" s="2" t="str">
        <f>IF($DP$2="None","None",IF(RecData[[#This Row],[Relative Wind Direction]]&lt;=45,"DW",IF(RecData[[#This Row],[Relative Wind Direction]]&lt;=135,"CW","UW")))</f>
        <v>DW</v>
      </c>
      <c r="DC580" s="61">
        <f>IF($CL580-$CL576&gt;1/24,#REF!,IF(SUM($CQ576:$CQ580)&gt;$DS$1,$DS$5,DC581-1))</f>
        <v>-6</v>
      </c>
      <c r="DD580" s="61">
        <f>IF($CL581-$CL580&gt;1/24,#REF!,IF(SUM($CQ576:$CQ580)&gt;$DS$1,$DS$6,DD579-1))</f>
        <v>-5</v>
      </c>
      <c r="DE580" s="18" t="b">
        <v>0</v>
      </c>
      <c r="DF580" s="2" t="b">
        <f>IF(OR(RecData[[#This Row],[WSpd_Avg '[m/s']]]-RecData[[#This Row],[Wind Speed min]]&gt;=$DF$3,RecData[[#This Row],[Wind Speed max]]-RecData[[#This Row],[WSpd_Avg '[m/s']]]&gt;=$DF$2),TRUE,FALSE)</f>
        <v>0</v>
      </c>
      <c r="DG580" s="2" t="b">
        <f>RecData[[#This Row],[Temperature '[°C']]]&lt;=-20</f>
        <v>0</v>
      </c>
      <c r="DH580" s="18" t="b">
        <f>NOT(OR(MOD(RecData[[#This Row],[TIMESTAMP]],1)&gt;0.91632,MOD(RecData[[#This Row],[TIMESTAMP]],1)&lt;0.208681))</f>
        <v>0</v>
      </c>
      <c r="DI580" s="18" t="b">
        <f>RecData[[#This Row],[Overall (dBA)]]-RecData[[#This Row],[L90]]&gt;=$DS$4</f>
        <v>0</v>
      </c>
      <c r="DJ580" s="18" t="b">
        <f>RecData[[#This Row],[Overall (dBA)]]&gt;$DS$2</f>
        <v>0</v>
      </c>
      <c r="DK580" s="18" t="b">
        <f>RecData[[#This Row],[Overall (dBA)]]&lt;$DS$3</f>
        <v>0</v>
      </c>
      <c r="DL5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0" s="2">
        <f>IF(AND(RecData[[#This Row],[Turbines ON/OFF]] = "OFF", NOT(OR(RecData[[#This Row],[Junk?]]="YES",RecData[[#This Row],[Gust?]],RecData[[#This Row],[Rain?]:[Min SPL Threshold?]]))),1,0)</f>
        <v>0</v>
      </c>
      <c r="DN580" s="16">
        <f>RecData[[#This Row],[dBA Sum]]</f>
        <v>38.965582544740343</v>
      </c>
      <c r="DO580" s="16">
        <f>RecData[[#This Row],[LAF90.0]]</f>
        <v>38</v>
      </c>
      <c r="DP580" s="55">
        <f>IF(AND(RecData[[#This Row],[Useable TON Data?]],RecData[[#This Row],[Turbines ON/OFF]]="ON"),RecData[[#This Row],[dBA Sum]],"")</f>
        <v>38.965582544740343</v>
      </c>
      <c r="DQ580" s="55" t="str">
        <f>IF(AND(RecData[[#This Row],[Useable Background Data?]],RecData[[#This Row],[Turbines ON/OFF]]="OFF"),RecData[[#This Row],[dBA Sum]],"")</f>
        <v/>
      </c>
      <c r="DR580" s="3">
        <f>IF(OR(RecData[[#This Row],[Useable TON Data?]],RecData[[#This Row],[Useable Background Data?]]),ROUND(RecData[[#This Row],[WSpd_Avg '[m/s']]],0),"")</f>
        <v>1</v>
      </c>
      <c r="DS580" s="85">
        <f>(0.00002)^2*(10^(RecData[[#This Row],[Overall (dBA)]]/10))</f>
        <v>3.152232524943191E-6</v>
      </c>
    </row>
    <row r="581" spans="1:123" ht="15" x14ac:dyDescent="0.25">
      <c r="A581" s="3" t="s">
        <v>249</v>
      </c>
      <c r="B581" s="12">
        <v>43270.119444444448</v>
      </c>
      <c r="C581" s="3"/>
      <c r="D581" s="3">
        <v>39.799999999999997</v>
      </c>
      <c r="E581" s="3"/>
      <c r="F581" s="3"/>
      <c r="G581" s="3"/>
      <c r="H581" s="3"/>
      <c r="I581" s="3"/>
      <c r="J581" s="3"/>
      <c r="K581" s="3">
        <v>38.200000000000003</v>
      </c>
      <c r="L581" s="3"/>
      <c r="M581" s="3"/>
      <c r="N581" s="3">
        <v>199.1</v>
      </c>
      <c r="O581" s="3"/>
      <c r="P581" s="3"/>
      <c r="Q581" s="3">
        <v>0.41</v>
      </c>
      <c r="R581" s="3">
        <v>0.2</v>
      </c>
      <c r="S581" s="3">
        <v>0.6</v>
      </c>
      <c r="T581" s="3">
        <v>13.3</v>
      </c>
      <c r="U581" s="3">
        <v>76.099999999999994</v>
      </c>
      <c r="V581" s="3">
        <v>973</v>
      </c>
      <c r="W581" s="3">
        <v>0</v>
      </c>
      <c r="X581" s="3">
        <v>44.9</v>
      </c>
      <c r="Y581" s="3">
        <v>43.7</v>
      </c>
      <c r="Z581" s="3">
        <v>43.2</v>
      </c>
      <c r="AA581" s="3">
        <v>40</v>
      </c>
      <c r="AB581" s="3">
        <v>35.6</v>
      </c>
      <c r="AC581" s="3">
        <v>33</v>
      </c>
      <c r="AD581" s="3">
        <v>37.700000000000003</v>
      </c>
      <c r="AE581" s="3">
        <v>40.4</v>
      </c>
      <c r="AF581" s="3">
        <v>45.5</v>
      </c>
      <c r="AG581" s="3">
        <v>39.6</v>
      </c>
      <c r="AH581" s="3">
        <v>38.6</v>
      </c>
      <c r="AI581" s="3">
        <v>39.4</v>
      </c>
      <c r="AJ581" s="3">
        <v>37.1</v>
      </c>
      <c r="AK581" s="3">
        <v>35.5</v>
      </c>
      <c r="AL581" s="3">
        <v>33</v>
      </c>
      <c r="AM581" s="3">
        <v>31.8</v>
      </c>
      <c r="AN581" s="3">
        <v>29.4</v>
      </c>
      <c r="AO581" s="3">
        <v>26.5</v>
      </c>
      <c r="AP581" s="3">
        <v>24</v>
      </c>
      <c r="AQ581" s="3">
        <v>22</v>
      </c>
      <c r="AR581" s="3">
        <v>18.600000000000001</v>
      </c>
      <c r="AS581" s="3">
        <v>14.9</v>
      </c>
      <c r="AT581" s="3">
        <v>23.8</v>
      </c>
      <c r="AU581" s="3">
        <v>9.1999999999999993</v>
      </c>
      <c r="AV581" s="3">
        <v>8.6</v>
      </c>
      <c r="AW581" s="3">
        <v>9</v>
      </c>
      <c r="AX581" s="3">
        <v>9.1</v>
      </c>
      <c r="AY581" s="3">
        <v>9.4</v>
      </c>
      <c r="AZ581" s="3">
        <v>0</v>
      </c>
      <c r="BA581" s="3">
        <v>0</v>
      </c>
      <c r="BB581" s="3">
        <v>0</v>
      </c>
      <c r="BC581" s="3">
        <v>39.821531441149489</v>
      </c>
      <c r="BD581" s="3">
        <v>44.8784685588505</v>
      </c>
      <c r="BE581" s="3">
        <v>43.678468558850511</v>
      </c>
      <c r="BF581" s="3">
        <v>41.938468558850502</v>
      </c>
      <c r="BG581" s="3">
        <v>39.065135225517167</v>
      </c>
      <c r="BH581" s="3">
        <v>34.805135225517176</v>
      </c>
      <c r="BI581" s="3">
        <v>32.618468558850509</v>
      </c>
      <c r="BJ581" s="3">
        <v>38.111801892183848</v>
      </c>
      <c r="BK581" s="3">
        <v>40.685135225517172</v>
      </c>
      <c r="BL581" s="3">
        <v>45.358468558850518</v>
      </c>
      <c r="BM581" s="3">
        <v>39.591801892183838</v>
      </c>
      <c r="BN581" s="3">
        <v>38.87513522551717</v>
      </c>
      <c r="BO581" s="3">
        <v>39.041801892183841</v>
      </c>
      <c r="BP581" s="3">
        <v>36.458468558850512</v>
      </c>
      <c r="BQ581" s="3">
        <v>35.275135225517175</v>
      </c>
      <c r="BR581" s="3">
        <v>33.101801892183843</v>
      </c>
      <c r="BS581" s="3">
        <v>31.705135225517182</v>
      </c>
      <c r="BT581" s="3">
        <v>29.501801892183835</v>
      </c>
      <c r="BU581" s="3">
        <v>26.568468558850512</v>
      </c>
      <c r="BV581" s="3">
        <v>23.78513522551718</v>
      </c>
      <c r="BW581" s="3">
        <v>22.318468558850512</v>
      </c>
      <c r="BX581" s="3">
        <v>18.838468558850515</v>
      </c>
      <c r="BY581" s="3">
        <v>14.958468558850505</v>
      </c>
      <c r="BZ581" s="3">
        <v>23.988468558850514</v>
      </c>
      <c r="CA581" s="3">
        <v>9.4884685588504993</v>
      </c>
      <c r="CB581" s="3">
        <v>8.3251352255171724</v>
      </c>
      <c r="CC581" s="3">
        <v>8.9384685588505093</v>
      </c>
      <c r="CD581" s="3">
        <v>8.3451352255171827</v>
      </c>
      <c r="CE581" s="3">
        <v>8.8384685588505079</v>
      </c>
      <c r="CF581" s="3">
        <v>-0.94819810781616098</v>
      </c>
      <c r="CG581" s="3">
        <v>-1.4815314411494924</v>
      </c>
      <c r="CH581" s="3">
        <v>-2.5581981078161604</v>
      </c>
      <c r="CI581" s="13">
        <f>[1]!dbasum(RecData[[#This Row],[20]:[2000]],RecData[[#Headers],[20]:[2000]])</f>
        <v>39.518399264711455</v>
      </c>
      <c r="CJ581" s="14">
        <v>8349</v>
      </c>
      <c r="CK581" s="15" t="s">
        <v>249</v>
      </c>
      <c r="CL581" s="15">
        <f>RecData[[#This Row],[Start Time]]</f>
        <v>43270.119444444448</v>
      </c>
      <c r="CM581" s="16">
        <f>RecData[[#This Row],[Wind Speed avg]]</f>
        <v>0.41</v>
      </c>
      <c r="CN581" s="16">
        <f>RecData[[#This Row],[Wind Dir. avg]]</f>
        <v>199.1</v>
      </c>
      <c r="CO581" s="16">
        <f>RecData[[#This Row],[Amb. Humidity]]</f>
        <v>76.099999999999994</v>
      </c>
      <c r="CP581" s="16">
        <f>RecData[[#This Row],[Amb. Temperature]]</f>
        <v>13.3</v>
      </c>
      <c r="CQ581" s="17">
        <f>RecData[[#This Row],[Amb. Rain Gauge]]</f>
        <v>0</v>
      </c>
      <c r="CR581" s="4" t="s">
        <v>1</v>
      </c>
      <c r="CS581" s="4" t="s">
        <v>49</v>
      </c>
      <c r="CT581" s="70">
        <v>1447.7529296875</v>
      </c>
      <c r="CU581" s="70">
        <v>39.000335693359297</v>
      </c>
      <c r="CV581" s="70">
        <v>9.2391586303710902</v>
      </c>
      <c r="CW581" s="70">
        <v>15.293469429016101</v>
      </c>
      <c r="CX581" s="4"/>
      <c r="CY581" s="69"/>
      <c r="CZ581" s="2" t="b">
        <f>IF($DP$1="YES",IF(RecData[[#This Row],[Power (kW)]]&gt;=$CR$3, TRUE,FALSE),TRUE)</f>
        <v>1</v>
      </c>
      <c r="DA581" s="16">
        <f>MIN(MOD(180-ABS(ABS($DA$1-RecData[Yaw Angle (°)])-180),360),MOD(180-ABS(ABS($DB$1-RecData[Yaw Angle (°)])-180),360))</f>
        <v>31.470408915671754</v>
      </c>
      <c r="DB581" s="2" t="str">
        <f>IF($DP$2="None","None",IF(RecData[[#This Row],[Relative Wind Direction]]&lt;=45,"DW",IF(RecData[[#This Row],[Relative Wind Direction]]&lt;=135,"CW","UW")))</f>
        <v>DW</v>
      </c>
      <c r="DC581" s="61">
        <f>IF($CL581-$CL577&gt;1/24,#REF!,IF(SUM($CQ577:$CQ581)&gt;$DS$1,$DS$5,DC582-1))</f>
        <v>-5</v>
      </c>
      <c r="DD581" s="61">
        <f>IF($CL582-$CL581&gt;1/24,#REF!,IF(SUM($CQ577:$CQ581)&gt;$DS$1,$DS$6,DD580-1))</f>
        <v>-6</v>
      </c>
      <c r="DE581" s="18" t="b">
        <v>0</v>
      </c>
      <c r="DF581" s="2" t="b">
        <f>IF(OR(RecData[[#This Row],[WSpd_Avg '[m/s']]]-RecData[[#This Row],[Wind Speed min]]&gt;=$DF$3,RecData[[#This Row],[Wind Speed max]]-RecData[[#This Row],[WSpd_Avg '[m/s']]]&gt;=$DF$2),TRUE,FALSE)</f>
        <v>0</v>
      </c>
      <c r="DG581" s="2" t="b">
        <f>RecData[[#This Row],[Temperature '[°C']]]&lt;=-20</f>
        <v>0</v>
      </c>
      <c r="DH581" s="18" t="b">
        <f>NOT(OR(MOD(RecData[[#This Row],[TIMESTAMP]],1)&gt;0.91632,MOD(RecData[[#This Row],[TIMESTAMP]],1)&lt;0.208681))</f>
        <v>0</v>
      </c>
      <c r="DI581" s="18" t="b">
        <f>RecData[[#This Row],[Overall (dBA)]]-RecData[[#This Row],[L90]]&gt;=$DS$4</f>
        <v>0</v>
      </c>
      <c r="DJ581" s="18" t="b">
        <f>RecData[[#This Row],[Overall (dBA)]]&gt;$DS$2</f>
        <v>0</v>
      </c>
      <c r="DK581" s="18" t="b">
        <f>RecData[[#This Row],[Overall (dBA)]]&lt;$DS$3</f>
        <v>0</v>
      </c>
      <c r="DL5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1" s="2">
        <f>IF(AND(RecData[[#This Row],[Turbines ON/OFF]] = "OFF", NOT(OR(RecData[[#This Row],[Junk?]]="YES",RecData[[#This Row],[Gust?]],RecData[[#This Row],[Rain?]:[Min SPL Threshold?]]))),1,0)</f>
        <v>0</v>
      </c>
      <c r="DN581" s="16">
        <f>RecData[[#This Row],[dBA Sum]]</f>
        <v>39.518399264711455</v>
      </c>
      <c r="DO581" s="16">
        <f>RecData[[#This Row],[LAF90.0]]</f>
        <v>38.200000000000003</v>
      </c>
      <c r="DP581" s="55">
        <f>IF(AND(RecData[[#This Row],[Useable TON Data?]],RecData[[#This Row],[Turbines ON/OFF]]="ON"),RecData[[#This Row],[dBA Sum]],"")</f>
        <v>39.518399264711455</v>
      </c>
      <c r="DQ581" s="55" t="str">
        <f>IF(AND(RecData[[#This Row],[Useable Background Data?]],RecData[[#This Row],[Turbines ON/OFF]]="OFF"),RecData[[#This Row],[dBA Sum]],"")</f>
        <v/>
      </c>
      <c r="DR581" s="3">
        <f>IF(OR(RecData[[#This Row],[Useable TON Data?]],RecData[[#This Row],[Useable Background Data?]]),ROUND(RecData[[#This Row],[WSpd_Avg '[m/s']]],0),"")</f>
        <v>0</v>
      </c>
      <c r="DS581" s="85">
        <f>(0.00002)^2*(10^(RecData[[#This Row],[Overall (dBA)]]/10))</f>
        <v>3.5801392408013879E-6</v>
      </c>
    </row>
    <row r="582" spans="1:123" ht="15" x14ac:dyDescent="0.25">
      <c r="A582" s="3" t="s">
        <v>249</v>
      </c>
      <c r="B582" s="12">
        <v>43270.120138888895</v>
      </c>
      <c r="C582" s="3"/>
      <c r="D582" s="3">
        <v>40.4</v>
      </c>
      <c r="E582" s="3"/>
      <c r="F582" s="3"/>
      <c r="G582" s="3"/>
      <c r="H582" s="3"/>
      <c r="I582" s="3"/>
      <c r="J582" s="3"/>
      <c r="K582" s="3">
        <v>38.9</v>
      </c>
      <c r="L582" s="3"/>
      <c r="M582" s="3"/>
      <c r="N582" s="3">
        <v>175.3</v>
      </c>
      <c r="O582" s="3"/>
      <c r="P582" s="3"/>
      <c r="Q582" s="3">
        <v>0.33</v>
      </c>
      <c r="R582" s="3">
        <v>0.1</v>
      </c>
      <c r="S582" s="3">
        <v>0.6</v>
      </c>
      <c r="T582" s="3">
        <v>13.3</v>
      </c>
      <c r="U582" s="3">
        <v>77.7</v>
      </c>
      <c r="V582" s="3">
        <v>973</v>
      </c>
      <c r="W582" s="3">
        <v>0</v>
      </c>
      <c r="X582" s="3">
        <v>45.5</v>
      </c>
      <c r="Y582" s="3">
        <v>43.8</v>
      </c>
      <c r="Z582" s="3">
        <v>43.4</v>
      </c>
      <c r="AA582" s="3">
        <v>39.5</v>
      </c>
      <c r="AB582" s="3">
        <v>35.4</v>
      </c>
      <c r="AC582" s="3">
        <v>34.1</v>
      </c>
      <c r="AD582" s="3">
        <v>38.299999999999997</v>
      </c>
      <c r="AE582" s="3">
        <v>40.799999999999997</v>
      </c>
      <c r="AF582" s="3">
        <v>44.9</v>
      </c>
      <c r="AG582" s="3">
        <v>39.5</v>
      </c>
      <c r="AH582" s="3">
        <v>39.299999999999997</v>
      </c>
      <c r="AI582" s="3">
        <v>39.6</v>
      </c>
      <c r="AJ582" s="3">
        <v>37.5</v>
      </c>
      <c r="AK582" s="3">
        <v>36</v>
      </c>
      <c r="AL582" s="3">
        <v>33.5</v>
      </c>
      <c r="AM582" s="3">
        <v>32.6</v>
      </c>
      <c r="AN582" s="3">
        <v>30.2</v>
      </c>
      <c r="AO582" s="3">
        <v>27</v>
      </c>
      <c r="AP582" s="3">
        <v>24.4</v>
      </c>
      <c r="AQ582" s="3">
        <v>22.3</v>
      </c>
      <c r="AR582" s="3">
        <v>18.8</v>
      </c>
      <c r="AS582" s="3">
        <v>15.7</v>
      </c>
      <c r="AT582" s="3">
        <v>28</v>
      </c>
      <c r="AU582" s="3">
        <v>10.4</v>
      </c>
      <c r="AV582" s="3">
        <v>8.6999999999999993</v>
      </c>
      <c r="AW582" s="3">
        <v>9</v>
      </c>
      <c r="AX582" s="3">
        <v>9.1</v>
      </c>
      <c r="AY582" s="3">
        <v>9.4</v>
      </c>
      <c r="AZ582" s="3">
        <v>0</v>
      </c>
      <c r="BA582" s="3">
        <v>0</v>
      </c>
      <c r="BB582" s="3">
        <v>0</v>
      </c>
      <c r="BC582" s="3">
        <v>40.411599851640567</v>
      </c>
      <c r="BD582" s="3">
        <v>45.488400148359439</v>
      </c>
      <c r="BE582" s="3">
        <v>43.788400148359422</v>
      </c>
      <c r="BF582" s="3">
        <v>42.148400148359435</v>
      </c>
      <c r="BG582" s="3">
        <v>38.575066815026098</v>
      </c>
      <c r="BH582" s="3">
        <v>34.615066815026104</v>
      </c>
      <c r="BI582" s="3">
        <v>33.728400148359434</v>
      </c>
      <c r="BJ582" s="3">
        <v>38.721733481692759</v>
      </c>
      <c r="BK582" s="3">
        <v>41.095066815026094</v>
      </c>
      <c r="BL582" s="3">
        <v>44.76840014835944</v>
      </c>
      <c r="BM582" s="3">
        <v>39.50173348169276</v>
      </c>
      <c r="BN582" s="3">
        <v>39.585066815026103</v>
      </c>
      <c r="BO582" s="3">
        <v>39.25173348169276</v>
      </c>
      <c r="BP582" s="3">
        <v>36.868400148359434</v>
      </c>
      <c r="BQ582" s="3">
        <v>35.785066815026092</v>
      </c>
      <c r="BR582" s="3">
        <v>33.611733481692774</v>
      </c>
      <c r="BS582" s="3">
        <v>32.51506681502611</v>
      </c>
      <c r="BT582" s="3">
        <v>30.311733481692762</v>
      </c>
      <c r="BU582" s="3">
        <v>27.078400148359442</v>
      </c>
      <c r="BV582" s="3">
        <v>24.195066815026102</v>
      </c>
      <c r="BW582" s="3">
        <v>22.628400148359439</v>
      </c>
      <c r="BX582" s="3">
        <v>19.048400148359441</v>
      </c>
      <c r="BY582" s="3">
        <v>15.768400148359426</v>
      </c>
      <c r="BZ582" s="3">
        <v>28.198400148359433</v>
      </c>
      <c r="CA582" s="3">
        <v>10.698400148359426</v>
      </c>
      <c r="CB582" s="3">
        <v>8.4350668150260972</v>
      </c>
      <c r="CC582" s="3">
        <v>8.9484001483594326</v>
      </c>
      <c r="CD582" s="3">
        <v>8.3550668150260989</v>
      </c>
      <c r="CE582" s="3">
        <v>8.8484001483594312</v>
      </c>
      <c r="CF582" s="3">
        <v>-0.93826651830723762</v>
      </c>
      <c r="CG582" s="3">
        <v>-1.4715998516405691</v>
      </c>
      <c r="CH582" s="3">
        <v>-2.548266518307237</v>
      </c>
      <c r="CI582" s="13">
        <f>[1]!dbasum(RecData[[#This Row],[20]:[2000]],RecData[[#Headers],[20]:[2000]])</f>
        <v>39.925771325364622</v>
      </c>
      <c r="CJ582" s="14">
        <v>8350</v>
      </c>
      <c r="CK582" s="15" t="s">
        <v>249</v>
      </c>
      <c r="CL582" s="15">
        <f>RecData[[#This Row],[Start Time]]</f>
        <v>43270.120138888895</v>
      </c>
      <c r="CM582" s="16">
        <f>RecData[[#This Row],[Wind Speed avg]]</f>
        <v>0.33</v>
      </c>
      <c r="CN582" s="16">
        <f>RecData[[#This Row],[Wind Dir. avg]]</f>
        <v>175.3</v>
      </c>
      <c r="CO582" s="16">
        <f>RecData[[#This Row],[Amb. Humidity]]</f>
        <v>77.7</v>
      </c>
      <c r="CP582" s="16">
        <f>RecData[[#This Row],[Amb. Temperature]]</f>
        <v>13.3</v>
      </c>
      <c r="CQ582" s="17">
        <f>RecData[[#This Row],[Amb. Rain Gauge]]</f>
        <v>0</v>
      </c>
      <c r="CR582" s="4" t="s">
        <v>1</v>
      </c>
      <c r="CS582" s="4" t="s">
        <v>49</v>
      </c>
      <c r="CT582" s="70">
        <v>1447.7529296875</v>
      </c>
      <c r="CU582" s="70">
        <v>39.000335693359297</v>
      </c>
      <c r="CV582" s="70">
        <v>9.2391586303710902</v>
      </c>
      <c r="CW582" s="70">
        <v>15.293469429016101</v>
      </c>
      <c r="CX582" s="4"/>
      <c r="CY582" s="69"/>
      <c r="CZ582" s="2" t="b">
        <f>IF($DP$1="YES",IF(RecData[[#This Row],[Power (kW)]]&gt;=$CR$3, TRUE,FALSE),TRUE)</f>
        <v>1</v>
      </c>
      <c r="DA582" s="16">
        <f>MIN(MOD(180-ABS(ABS($DA$1-RecData[Yaw Angle (°)])-180),360),MOD(180-ABS(ABS($DB$1-RecData[Yaw Angle (°)])-180),360))</f>
        <v>31.470408915671754</v>
      </c>
      <c r="DB582" s="2" t="str">
        <f>IF($DP$2="None","None",IF(RecData[[#This Row],[Relative Wind Direction]]&lt;=45,"DW",IF(RecData[[#This Row],[Relative Wind Direction]]&lt;=135,"CW","UW")))</f>
        <v>DW</v>
      </c>
      <c r="DC582" s="61">
        <f>IF($CL582-$CL578&gt;1/24,#REF!,IF(SUM($CQ578:$CQ582)&gt;$DS$1,$DS$5,DC583-1))</f>
        <v>-4</v>
      </c>
      <c r="DD582" s="61">
        <f>IF($CL583-$CL582&gt;1/24,#REF!,IF(SUM($CQ578:$CQ582)&gt;$DS$1,$DS$6,DD581-1))</f>
        <v>-7</v>
      </c>
      <c r="DE582" s="18" t="b">
        <v>0</v>
      </c>
      <c r="DF582" s="2" t="b">
        <f>IF(OR(RecData[[#This Row],[WSpd_Avg '[m/s']]]-RecData[[#This Row],[Wind Speed min]]&gt;=$DF$3,RecData[[#This Row],[Wind Speed max]]-RecData[[#This Row],[WSpd_Avg '[m/s']]]&gt;=$DF$2),TRUE,FALSE)</f>
        <v>0</v>
      </c>
      <c r="DG582" s="2" t="b">
        <f>RecData[[#This Row],[Temperature '[°C']]]&lt;=-20</f>
        <v>0</v>
      </c>
      <c r="DH582" s="18" t="b">
        <f>NOT(OR(MOD(RecData[[#This Row],[TIMESTAMP]],1)&gt;0.91632,MOD(RecData[[#This Row],[TIMESTAMP]],1)&lt;0.208681))</f>
        <v>0</v>
      </c>
      <c r="DI582" s="18" t="b">
        <f>RecData[[#This Row],[Overall (dBA)]]-RecData[[#This Row],[L90]]&gt;=$DS$4</f>
        <v>0</v>
      </c>
      <c r="DJ582" s="18" t="b">
        <f>RecData[[#This Row],[Overall (dBA)]]&gt;$DS$2</f>
        <v>0</v>
      </c>
      <c r="DK582" s="18" t="b">
        <f>RecData[[#This Row],[Overall (dBA)]]&lt;$DS$3</f>
        <v>0</v>
      </c>
      <c r="DL5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2" s="2">
        <f>IF(AND(RecData[[#This Row],[Turbines ON/OFF]] = "OFF", NOT(OR(RecData[[#This Row],[Junk?]]="YES",RecData[[#This Row],[Gust?]],RecData[[#This Row],[Rain?]:[Min SPL Threshold?]]))),1,0)</f>
        <v>0</v>
      </c>
      <c r="DN582" s="16">
        <f>RecData[[#This Row],[dBA Sum]]</f>
        <v>39.925771325364622</v>
      </c>
      <c r="DO582" s="16">
        <f>RecData[[#This Row],[LAF90.0]]</f>
        <v>38.9</v>
      </c>
      <c r="DP582" s="55">
        <f>IF(AND(RecData[[#This Row],[Useable TON Data?]],RecData[[#This Row],[Turbines ON/OFF]]="ON"),RecData[[#This Row],[dBA Sum]],"")</f>
        <v>39.925771325364622</v>
      </c>
      <c r="DQ582" s="55" t="str">
        <f>IF(AND(RecData[[#This Row],[Useable Background Data?]],RecData[[#This Row],[Turbines ON/OFF]]="OFF"),RecData[[#This Row],[dBA Sum]],"")</f>
        <v/>
      </c>
      <c r="DR582" s="3">
        <f>IF(OR(RecData[[#This Row],[Useable TON Data?]],RecData[[#This Row],[Useable Background Data?]]),ROUND(RecData[[#This Row],[WSpd_Avg '[m/s']]],0),"")</f>
        <v>0</v>
      </c>
      <c r="DS582" s="85">
        <f>(0.00002)^2*(10^(RecData[[#This Row],[Overall (dBA)]]/10))</f>
        <v>3.9322138077865701E-6</v>
      </c>
    </row>
    <row r="583" spans="1:123" ht="15" x14ac:dyDescent="0.25">
      <c r="A583" s="3" t="s">
        <v>249</v>
      </c>
      <c r="B583" s="12">
        <v>43270.120833333334</v>
      </c>
      <c r="C583" s="3"/>
      <c r="D583" s="3">
        <v>39.700000000000003</v>
      </c>
      <c r="E583" s="3"/>
      <c r="F583" s="3"/>
      <c r="G583" s="3"/>
      <c r="H583" s="3"/>
      <c r="I583" s="3"/>
      <c r="J583" s="3"/>
      <c r="K583" s="3">
        <v>38.200000000000003</v>
      </c>
      <c r="L583" s="3"/>
      <c r="M583" s="3"/>
      <c r="N583" s="3">
        <v>146.80000000000001</v>
      </c>
      <c r="O583" s="3"/>
      <c r="P583" s="3"/>
      <c r="Q583" s="3">
        <v>0.65</v>
      </c>
      <c r="R583" s="3">
        <v>0.2</v>
      </c>
      <c r="S583" s="3">
        <v>1</v>
      </c>
      <c r="T583" s="3">
        <v>13.2</v>
      </c>
      <c r="U583" s="3">
        <v>77.900000000000006</v>
      </c>
      <c r="V583" s="3">
        <v>973.1</v>
      </c>
      <c r="W583" s="3">
        <v>0</v>
      </c>
      <c r="X583" s="3">
        <v>44.8</v>
      </c>
      <c r="Y583" s="3">
        <v>44.2</v>
      </c>
      <c r="Z583" s="3">
        <v>43</v>
      </c>
      <c r="AA583" s="3">
        <v>40.1</v>
      </c>
      <c r="AB583" s="3">
        <v>36.5</v>
      </c>
      <c r="AC583" s="3">
        <v>33.6</v>
      </c>
      <c r="AD583" s="3">
        <v>38.5</v>
      </c>
      <c r="AE583" s="3">
        <v>40.799999999999997</v>
      </c>
      <c r="AF583" s="3">
        <v>44.9</v>
      </c>
      <c r="AG583" s="3">
        <v>39.299999999999997</v>
      </c>
      <c r="AH583" s="3">
        <v>38.9</v>
      </c>
      <c r="AI583" s="3">
        <v>39</v>
      </c>
      <c r="AJ583" s="3">
        <v>37.200000000000003</v>
      </c>
      <c r="AK583" s="3">
        <v>35.4</v>
      </c>
      <c r="AL583" s="3">
        <v>32.6</v>
      </c>
      <c r="AM583" s="3">
        <v>31.5</v>
      </c>
      <c r="AN583" s="3">
        <v>29.2</v>
      </c>
      <c r="AO583" s="3">
        <v>26.7</v>
      </c>
      <c r="AP583" s="3">
        <v>24.1</v>
      </c>
      <c r="AQ583" s="3">
        <v>22.5</v>
      </c>
      <c r="AR583" s="3">
        <v>19</v>
      </c>
      <c r="AS583" s="3">
        <v>15.4</v>
      </c>
      <c r="AT583" s="3">
        <v>24.3</v>
      </c>
      <c r="AU583" s="3">
        <v>8.6</v>
      </c>
      <c r="AV583" s="3">
        <v>8.6</v>
      </c>
      <c r="AW583" s="3">
        <v>9</v>
      </c>
      <c r="AX583" s="3">
        <v>9.1999999999999993</v>
      </c>
      <c r="AY583" s="3">
        <v>9.4</v>
      </c>
      <c r="AZ583" s="3">
        <v>0</v>
      </c>
      <c r="BA583" s="3">
        <v>0</v>
      </c>
      <c r="BB583" s="3">
        <v>0</v>
      </c>
      <c r="BC583" s="3">
        <v>39.703700623165645</v>
      </c>
      <c r="BD583" s="3">
        <v>44.796299376834355</v>
      </c>
      <c r="BE583" s="3">
        <v>44.196299376834361</v>
      </c>
      <c r="BF583" s="3">
        <v>41.756299376834363</v>
      </c>
      <c r="BG583" s="3">
        <v>39.182966043501025</v>
      </c>
      <c r="BH583" s="3">
        <v>35.722966043501032</v>
      </c>
      <c r="BI583" s="3">
        <v>33.236299376834353</v>
      </c>
      <c r="BJ583" s="3">
        <v>38.929632710167681</v>
      </c>
      <c r="BK583" s="3">
        <v>41.102966043501027</v>
      </c>
      <c r="BL583" s="3">
        <v>44.776299376834359</v>
      </c>
      <c r="BM583" s="3">
        <v>39.309632710167691</v>
      </c>
      <c r="BN583" s="3">
        <v>39.192966043501031</v>
      </c>
      <c r="BO583" s="3">
        <v>38.659632710167699</v>
      </c>
      <c r="BP583" s="3">
        <v>36.576299376834356</v>
      </c>
      <c r="BQ583" s="3">
        <v>35.192966043501016</v>
      </c>
      <c r="BR583" s="3">
        <v>32.719632710167701</v>
      </c>
      <c r="BS583" s="3">
        <v>31.42296604350102</v>
      </c>
      <c r="BT583" s="3">
        <v>29.319632710167696</v>
      </c>
      <c r="BU583" s="3">
        <v>26.786299376834364</v>
      </c>
      <c r="BV583" s="3">
        <v>23.902966043501024</v>
      </c>
      <c r="BW583" s="3">
        <v>22.836299376834361</v>
      </c>
      <c r="BX583" s="3">
        <v>19.256299376834363</v>
      </c>
      <c r="BY583" s="3">
        <v>15.476299376834355</v>
      </c>
      <c r="BZ583" s="3">
        <v>24.506299376834363</v>
      </c>
      <c r="CA583" s="3">
        <v>8.9062993768343546</v>
      </c>
      <c r="CB583" s="3">
        <v>8.342966043501022</v>
      </c>
      <c r="CC583" s="3">
        <v>8.9562993768343588</v>
      </c>
      <c r="CD583" s="3">
        <v>8.4629660435010265</v>
      </c>
      <c r="CE583" s="3">
        <v>8.8562993768343574</v>
      </c>
      <c r="CF583" s="3">
        <v>-0.93036728983231143</v>
      </c>
      <c r="CG583" s="3">
        <v>-1.4637006231656429</v>
      </c>
      <c r="CH583" s="3">
        <v>-2.5403672898323109</v>
      </c>
      <c r="CI583" s="13">
        <f>[1]!dbasum(RecData[[#This Row],[20]:[2000]],RecData[[#Headers],[20]:[2000]])</f>
        <v>39.395942737214888</v>
      </c>
      <c r="CJ583" s="14">
        <v>8351</v>
      </c>
      <c r="CK583" s="15" t="s">
        <v>249</v>
      </c>
      <c r="CL583" s="15">
        <f>RecData[[#This Row],[Start Time]]</f>
        <v>43270.120833333334</v>
      </c>
      <c r="CM583" s="16">
        <f>RecData[[#This Row],[Wind Speed avg]]</f>
        <v>0.65</v>
      </c>
      <c r="CN583" s="16">
        <f>RecData[[#This Row],[Wind Dir. avg]]</f>
        <v>146.80000000000001</v>
      </c>
      <c r="CO583" s="16">
        <f>RecData[[#This Row],[Amb. Humidity]]</f>
        <v>77.900000000000006</v>
      </c>
      <c r="CP583" s="16">
        <f>RecData[[#This Row],[Amb. Temperature]]</f>
        <v>13.2</v>
      </c>
      <c r="CQ583" s="17">
        <f>RecData[[#This Row],[Amb. Rain Gauge]]</f>
        <v>0</v>
      </c>
      <c r="CR583" s="4" t="s">
        <v>1</v>
      </c>
      <c r="CS583" s="4" t="s">
        <v>49</v>
      </c>
      <c r="CT583" s="70">
        <v>1447.7529296875</v>
      </c>
      <c r="CU583" s="70">
        <v>39.000335693359297</v>
      </c>
      <c r="CV583" s="70">
        <v>9.2391586303710902</v>
      </c>
      <c r="CW583" s="70">
        <v>15.293469429016101</v>
      </c>
      <c r="CX583" s="4"/>
      <c r="CY583" s="69"/>
      <c r="CZ583" s="2" t="b">
        <f>IF($DP$1="YES",IF(RecData[[#This Row],[Power (kW)]]&gt;=$CR$3, TRUE,FALSE),TRUE)</f>
        <v>1</v>
      </c>
      <c r="DA583" s="16">
        <f>MIN(MOD(180-ABS(ABS($DA$1-RecData[Yaw Angle (°)])-180),360),MOD(180-ABS(ABS($DB$1-RecData[Yaw Angle (°)])-180),360))</f>
        <v>31.470408915671754</v>
      </c>
      <c r="DB583" s="2" t="str">
        <f>IF($DP$2="None","None",IF(RecData[[#This Row],[Relative Wind Direction]]&lt;=45,"DW",IF(RecData[[#This Row],[Relative Wind Direction]]&lt;=135,"CW","UW")))</f>
        <v>DW</v>
      </c>
      <c r="DC583" s="61">
        <f>IF($CL583-$CL579&gt;1/24,#REF!,IF(SUM($CQ579:$CQ583)&gt;$DS$1,$DS$5,DC584-1))</f>
        <v>-3</v>
      </c>
      <c r="DD583" s="61">
        <f>IF($CL584-$CL583&gt;1/24,#REF!,IF(SUM($CQ579:$CQ583)&gt;$DS$1,$DS$6,DD582-1))</f>
        <v>-8</v>
      </c>
      <c r="DE583" s="18" t="b">
        <v>0</v>
      </c>
      <c r="DF583" s="2" t="b">
        <f>IF(OR(RecData[[#This Row],[WSpd_Avg '[m/s']]]-RecData[[#This Row],[Wind Speed min]]&gt;=$DF$3,RecData[[#This Row],[Wind Speed max]]-RecData[[#This Row],[WSpd_Avg '[m/s']]]&gt;=$DF$2),TRUE,FALSE)</f>
        <v>0</v>
      </c>
      <c r="DG583" s="2" t="b">
        <f>RecData[[#This Row],[Temperature '[°C']]]&lt;=-20</f>
        <v>0</v>
      </c>
      <c r="DH583" s="18" t="b">
        <f>NOT(OR(MOD(RecData[[#This Row],[TIMESTAMP]],1)&gt;0.91632,MOD(RecData[[#This Row],[TIMESTAMP]],1)&lt;0.208681))</f>
        <v>0</v>
      </c>
      <c r="DI583" s="18" t="b">
        <f>RecData[[#This Row],[Overall (dBA)]]-RecData[[#This Row],[L90]]&gt;=$DS$4</f>
        <v>0</v>
      </c>
      <c r="DJ583" s="18" t="b">
        <f>RecData[[#This Row],[Overall (dBA)]]&gt;$DS$2</f>
        <v>0</v>
      </c>
      <c r="DK583" s="18" t="b">
        <f>RecData[[#This Row],[Overall (dBA)]]&lt;$DS$3</f>
        <v>0</v>
      </c>
      <c r="DL5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3" s="2">
        <f>IF(AND(RecData[[#This Row],[Turbines ON/OFF]] = "OFF", NOT(OR(RecData[[#This Row],[Junk?]]="YES",RecData[[#This Row],[Gust?]],RecData[[#This Row],[Rain?]:[Min SPL Threshold?]]))),1,0)</f>
        <v>0</v>
      </c>
      <c r="DN583" s="16">
        <f>RecData[[#This Row],[dBA Sum]]</f>
        <v>39.395942737214888</v>
      </c>
      <c r="DO583" s="16">
        <f>RecData[[#This Row],[LAF90.0]]</f>
        <v>38.200000000000003</v>
      </c>
      <c r="DP583" s="55">
        <f>IF(AND(RecData[[#This Row],[Useable TON Data?]],RecData[[#This Row],[Turbines ON/OFF]]="ON"),RecData[[#This Row],[dBA Sum]],"")</f>
        <v>39.395942737214888</v>
      </c>
      <c r="DQ583" s="55" t="str">
        <f>IF(AND(RecData[[#This Row],[Useable Background Data?]],RecData[[#This Row],[Turbines ON/OFF]]="OFF"),RecData[[#This Row],[dBA Sum]],"")</f>
        <v/>
      </c>
      <c r="DR583" s="3">
        <f>IF(OR(RecData[[#This Row],[Useable TON Data?]],RecData[[#This Row],[Useable Background Data?]]),ROUND(RecData[[#This Row],[WSpd_Avg '[m/s']]],0),"")</f>
        <v>1</v>
      </c>
      <c r="DS583" s="85">
        <f>(0.00002)^2*(10^(RecData[[#This Row],[Overall (dBA)]]/10))</f>
        <v>3.4806011957310152E-6</v>
      </c>
    </row>
    <row r="584" spans="1:123" ht="15" x14ac:dyDescent="0.25">
      <c r="A584" s="3" t="s">
        <v>249</v>
      </c>
      <c r="B584" s="12">
        <v>43270.121527777781</v>
      </c>
      <c r="C584" s="3"/>
      <c r="D584" s="3">
        <v>40.6</v>
      </c>
      <c r="E584" s="3"/>
      <c r="F584" s="3"/>
      <c r="G584" s="3"/>
      <c r="H584" s="3"/>
      <c r="I584" s="3"/>
      <c r="J584" s="3"/>
      <c r="K584" s="3">
        <v>39.200000000000003</v>
      </c>
      <c r="L584" s="3"/>
      <c r="M584" s="3"/>
      <c r="N584" s="3">
        <v>126.3</v>
      </c>
      <c r="O584" s="3"/>
      <c r="P584" s="3"/>
      <c r="Q584" s="3">
        <v>0.54</v>
      </c>
      <c r="R584" s="3">
        <v>0.2</v>
      </c>
      <c r="S584" s="3">
        <v>0.8</v>
      </c>
      <c r="T584" s="3">
        <v>13.1</v>
      </c>
      <c r="U584" s="3">
        <v>78.7</v>
      </c>
      <c r="V584" s="3">
        <v>973.1</v>
      </c>
      <c r="W584" s="3">
        <v>0</v>
      </c>
      <c r="X584" s="3">
        <v>45</v>
      </c>
      <c r="Y584" s="3">
        <v>44.7</v>
      </c>
      <c r="Z584" s="3">
        <v>44</v>
      </c>
      <c r="AA584" s="3">
        <v>40</v>
      </c>
      <c r="AB584" s="3">
        <v>35.700000000000003</v>
      </c>
      <c r="AC584" s="3">
        <v>33.700000000000003</v>
      </c>
      <c r="AD584" s="3">
        <v>38.4</v>
      </c>
      <c r="AE584" s="3">
        <v>41</v>
      </c>
      <c r="AF584" s="3">
        <v>46</v>
      </c>
      <c r="AG584" s="3">
        <v>39.9</v>
      </c>
      <c r="AH584" s="3">
        <v>39.200000000000003</v>
      </c>
      <c r="AI584" s="3">
        <v>39.9</v>
      </c>
      <c r="AJ584" s="3">
        <v>37.799999999999997</v>
      </c>
      <c r="AK584" s="3">
        <v>36.1</v>
      </c>
      <c r="AL584" s="3">
        <v>33.9</v>
      </c>
      <c r="AM584" s="3">
        <v>32.700000000000003</v>
      </c>
      <c r="AN584" s="3">
        <v>30.6</v>
      </c>
      <c r="AO584" s="3">
        <v>27.5</v>
      </c>
      <c r="AP584" s="3">
        <v>24.8</v>
      </c>
      <c r="AQ584" s="3">
        <v>22.6</v>
      </c>
      <c r="AR584" s="3">
        <v>19.100000000000001</v>
      </c>
      <c r="AS584" s="3">
        <v>15.5</v>
      </c>
      <c r="AT584" s="3">
        <v>27.2</v>
      </c>
      <c r="AU584" s="3">
        <v>9.9</v>
      </c>
      <c r="AV584" s="3">
        <v>8.6999999999999993</v>
      </c>
      <c r="AW584" s="3">
        <v>9</v>
      </c>
      <c r="AX584" s="3">
        <v>9.1999999999999993</v>
      </c>
      <c r="AY584" s="3">
        <v>9.4</v>
      </c>
      <c r="AZ584" s="3">
        <v>0</v>
      </c>
      <c r="BA584" s="3">
        <v>0</v>
      </c>
      <c r="BB584" s="3">
        <v>0</v>
      </c>
      <c r="BC584" s="3">
        <v>40.656310043321078</v>
      </c>
      <c r="BD584" s="3">
        <v>44.943689956678917</v>
      </c>
      <c r="BE584" s="3">
        <v>44.643689956678934</v>
      </c>
      <c r="BF584" s="3">
        <v>42.703689956678922</v>
      </c>
      <c r="BG584" s="3">
        <v>39.03035662334559</v>
      </c>
      <c r="BH584" s="3">
        <v>34.870356623345593</v>
      </c>
      <c r="BI584" s="3">
        <v>33.28368995667892</v>
      </c>
      <c r="BJ584" s="3">
        <v>38.777023290012259</v>
      </c>
      <c r="BK584" s="3">
        <v>41.250356623345589</v>
      </c>
      <c r="BL584" s="3">
        <v>45.823689956678926</v>
      </c>
      <c r="BM584" s="3">
        <v>39.857023290012258</v>
      </c>
      <c r="BN584" s="3">
        <v>39.440356623345586</v>
      </c>
      <c r="BO584" s="3">
        <v>39.507023290012249</v>
      </c>
      <c r="BP584" s="3">
        <v>37.123689956678923</v>
      </c>
      <c r="BQ584" s="3">
        <v>35.840356623345592</v>
      </c>
      <c r="BR584" s="3">
        <v>33.967023290012257</v>
      </c>
      <c r="BS584" s="3">
        <v>32.570356623345596</v>
      </c>
      <c r="BT584" s="3">
        <v>30.66702329001226</v>
      </c>
      <c r="BU584" s="3">
        <v>27.53368995667892</v>
      </c>
      <c r="BV584" s="3">
        <v>24.5503566233456</v>
      </c>
      <c r="BW584" s="3">
        <v>22.883689956678928</v>
      </c>
      <c r="BX584" s="3">
        <v>19.30368995667893</v>
      </c>
      <c r="BY584" s="3">
        <v>15.523689956678922</v>
      </c>
      <c r="BZ584" s="3">
        <v>27.353689956678927</v>
      </c>
      <c r="CA584" s="3">
        <v>10.153689956678917</v>
      </c>
      <c r="CB584" s="3">
        <v>8.3903566233455891</v>
      </c>
      <c r="CC584" s="3">
        <v>8.9036899566789245</v>
      </c>
      <c r="CD584" s="3">
        <v>8.4103566233455922</v>
      </c>
      <c r="CE584" s="3">
        <v>8.8036899566789231</v>
      </c>
      <c r="CF584" s="3">
        <v>-0.98297670998774578</v>
      </c>
      <c r="CG584" s="3">
        <v>-1.5163100433210772</v>
      </c>
      <c r="CH584" s="3">
        <v>-2.5929767099877452</v>
      </c>
      <c r="CI584" s="13">
        <f>[1]!dbasum(RecData[[#This Row],[20]:[2000]],RecData[[#Headers],[20]:[2000]])</f>
        <v>40.204159853532637</v>
      </c>
      <c r="CJ584" s="14">
        <v>8352</v>
      </c>
      <c r="CK584" s="15" t="s">
        <v>249</v>
      </c>
      <c r="CL584" s="15">
        <f>RecData[[#This Row],[Start Time]]</f>
        <v>43270.121527777781</v>
      </c>
      <c r="CM584" s="16">
        <f>RecData[[#This Row],[Wind Speed avg]]</f>
        <v>0.54</v>
      </c>
      <c r="CN584" s="16">
        <f>RecData[[#This Row],[Wind Dir. avg]]</f>
        <v>126.3</v>
      </c>
      <c r="CO584" s="16">
        <f>RecData[[#This Row],[Amb. Humidity]]</f>
        <v>78.7</v>
      </c>
      <c r="CP584" s="16">
        <f>RecData[[#This Row],[Amb. Temperature]]</f>
        <v>13.1</v>
      </c>
      <c r="CQ584" s="17">
        <f>RecData[[#This Row],[Amb. Rain Gauge]]</f>
        <v>0</v>
      </c>
      <c r="CR584" s="4" t="s">
        <v>1</v>
      </c>
      <c r="CS584" s="4" t="s">
        <v>49</v>
      </c>
      <c r="CT584" s="70">
        <v>1447.7529296875</v>
      </c>
      <c r="CU584" s="70">
        <v>39.000335693359297</v>
      </c>
      <c r="CV584" s="70">
        <v>9.2391586303710902</v>
      </c>
      <c r="CW584" s="70">
        <v>15.293469429016101</v>
      </c>
      <c r="CX584" s="4"/>
      <c r="CY584" s="69"/>
      <c r="CZ584" s="2" t="b">
        <f>IF($DP$1="YES",IF(RecData[[#This Row],[Power (kW)]]&gt;=$CR$3, TRUE,FALSE),TRUE)</f>
        <v>1</v>
      </c>
      <c r="DA584" s="16">
        <f>MIN(MOD(180-ABS(ABS($DA$1-RecData[Yaw Angle (°)])-180),360),MOD(180-ABS(ABS($DB$1-RecData[Yaw Angle (°)])-180),360))</f>
        <v>31.470408915671754</v>
      </c>
      <c r="DB584" s="2" t="str">
        <f>IF($DP$2="None","None",IF(RecData[[#This Row],[Relative Wind Direction]]&lt;=45,"DW",IF(RecData[[#This Row],[Relative Wind Direction]]&lt;=135,"CW","UW")))</f>
        <v>DW</v>
      </c>
      <c r="DC584" s="61">
        <f>IF($CL584-$CL580&gt;1/24,#REF!,IF(SUM($CQ580:$CQ584)&gt;$DS$1,$DS$5,DC585-1))</f>
        <v>-2</v>
      </c>
      <c r="DD584" s="61">
        <f>IF($CL585-$CL584&gt;1/24,#REF!,IF(SUM($CQ580:$CQ584)&gt;$DS$1,$DS$6,DD583-1))</f>
        <v>-9</v>
      </c>
      <c r="DE584" s="18" t="b">
        <v>0</v>
      </c>
      <c r="DF584" s="2" t="b">
        <f>IF(OR(RecData[[#This Row],[WSpd_Avg '[m/s']]]-RecData[[#This Row],[Wind Speed min]]&gt;=$DF$3,RecData[[#This Row],[Wind Speed max]]-RecData[[#This Row],[WSpd_Avg '[m/s']]]&gt;=$DF$2),TRUE,FALSE)</f>
        <v>0</v>
      </c>
      <c r="DG584" s="2" t="b">
        <f>RecData[[#This Row],[Temperature '[°C']]]&lt;=-20</f>
        <v>0</v>
      </c>
      <c r="DH584" s="18" t="b">
        <f>NOT(OR(MOD(RecData[[#This Row],[TIMESTAMP]],1)&gt;0.91632,MOD(RecData[[#This Row],[TIMESTAMP]],1)&lt;0.208681))</f>
        <v>0</v>
      </c>
      <c r="DI584" s="18" t="b">
        <f>RecData[[#This Row],[Overall (dBA)]]-RecData[[#This Row],[L90]]&gt;=$DS$4</f>
        <v>0</v>
      </c>
      <c r="DJ584" s="18" t="b">
        <f>RecData[[#This Row],[Overall (dBA)]]&gt;$DS$2</f>
        <v>0</v>
      </c>
      <c r="DK584" s="18" t="b">
        <f>RecData[[#This Row],[Overall (dBA)]]&lt;$DS$3</f>
        <v>0</v>
      </c>
      <c r="DL5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4" s="2">
        <f>IF(AND(RecData[[#This Row],[Turbines ON/OFF]] = "OFF", NOT(OR(RecData[[#This Row],[Junk?]]="YES",RecData[[#This Row],[Gust?]],RecData[[#This Row],[Rain?]:[Min SPL Threshold?]]))),1,0)</f>
        <v>0</v>
      </c>
      <c r="DN584" s="16">
        <f>RecData[[#This Row],[dBA Sum]]</f>
        <v>40.204159853532637</v>
      </c>
      <c r="DO584" s="16">
        <f>RecData[[#This Row],[LAF90.0]]</f>
        <v>39.200000000000003</v>
      </c>
      <c r="DP584" s="55">
        <f>IF(AND(RecData[[#This Row],[Useable TON Data?]],RecData[[#This Row],[Turbines ON/OFF]]="ON"),RecData[[#This Row],[dBA Sum]],"")</f>
        <v>40.204159853532637</v>
      </c>
      <c r="DQ584" s="55" t="str">
        <f>IF(AND(RecData[[#This Row],[Useable Background Data?]],RecData[[#This Row],[Turbines ON/OFF]]="OFF"),RecData[[#This Row],[dBA Sum]],"")</f>
        <v/>
      </c>
      <c r="DR584" s="3">
        <f>IF(OR(RecData[[#This Row],[Useable TON Data?]],RecData[[#This Row],[Useable Background Data?]]),ROUND(RecData[[#This Row],[WSpd_Avg '[m/s']]],0),"")</f>
        <v>1</v>
      </c>
      <c r="DS584" s="85">
        <f>(0.00002)^2*(10^(RecData[[#This Row],[Overall (dBA)]]/10))</f>
        <v>4.1925280476583605E-6</v>
      </c>
    </row>
    <row r="585" spans="1:123" ht="15" x14ac:dyDescent="0.25">
      <c r="A585" s="3" t="s">
        <v>249</v>
      </c>
      <c r="B585" s="12">
        <v>43270.122222222228</v>
      </c>
      <c r="C585" s="3"/>
      <c r="D585" s="3">
        <v>39.700000000000003</v>
      </c>
      <c r="E585" s="3"/>
      <c r="F585" s="3"/>
      <c r="G585" s="3"/>
      <c r="H585" s="3"/>
      <c r="I585" s="3"/>
      <c r="J585" s="3"/>
      <c r="K585" s="3">
        <v>38.700000000000003</v>
      </c>
      <c r="L585" s="3"/>
      <c r="M585" s="3"/>
      <c r="N585" s="3">
        <v>181</v>
      </c>
      <c r="O585" s="3"/>
      <c r="P585" s="3"/>
      <c r="Q585" s="3">
        <v>0.62</v>
      </c>
      <c r="R585" s="3">
        <v>0.4</v>
      </c>
      <c r="S585" s="3">
        <v>0.8</v>
      </c>
      <c r="T585" s="3">
        <v>12.9</v>
      </c>
      <c r="U585" s="3">
        <v>78.7</v>
      </c>
      <c r="V585" s="3">
        <v>973.1</v>
      </c>
      <c r="W585" s="3">
        <v>0</v>
      </c>
      <c r="X585" s="3">
        <v>45.4</v>
      </c>
      <c r="Y585" s="3">
        <v>44.2</v>
      </c>
      <c r="Z585" s="3">
        <v>43.3</v>
      </c>
      <c r="AA585" s="3">
        <v>39.6</v>
      </c>
      <c r="AB585" s="3">
        <v>35.200000000000003</v>
      </c>
      <c r="AC585" s="3">
        <v>33.6</v>
      </c>
      <c r="AD585" s="3">
        <v>37.9</v>
      </c>
      <c r="AE585" s="3">
        <v>40.700000000000003</v>
      </c>
      <c r="AF585" s="3">
        <v>44.4</v>
      </c>
      <c r="AG585" s="3">
        <v>38.799999999999997</v>
      </c>
      <c r="AH585" s="3">
        <v>38.4</v>
      </c>
      <c r="AI585" s="3">
        <v>38.799999999999997</v>
      </c>
      <c r="AJ585" s="3">
        <v>36.700000000000003</v>
      </c>
      <c r="AK585" s="3">
        <v>35.1</v>
      </c>
      <c r="AL585" s="3">
        <v>32.799999999999997</v>
      </c>
      <c r="AM585" s="3">
        <v>31.8</v>
      </c>
      <c r="AN585" s="3">
        <v>29.5</v>
      </c>
      <c r="AO585" s="3">
        <v>26.2</v>
      </c>
      <c r="AP585" s="3">
        <v>24.1</v>
      </c>
      <c r="AQ585" s="3">
        <v>21.8</v>
      </c>
      <c r="AR585" s="3">
        <v>18.399999999999999</v>
      </c>
      <c r="AS585" s="3">
        <v>15.8</v>
      </c>
      <c r="AT585" s="3">
        <v>26.9</v>
      </c>
      <c r="AU585" s="3">
        <v>9.6</v>
      </c>
      <c r="AV585" s="3">
        <v>8.6</v>
      </c>
      <c r="AW585" s="3">
        <v>9</v>
      </c>
      <c r="AX585" s="3">
        <v>9.1</v>
      </c>
      <c r="AY585" s="3">
        <v>9.3000000000000007</v>
      </c>
      <c r="AZ585" s="3">
        <v>0</v>
      </c>
      <c r="BA585" s="3">
        <v>0</v>
      </c>
      <c r="BB585" s="3">
        <v>0</v>
      </c>
      <c r="BC585" s="3">
        <v>39.657903491188293</v>
      </c>
      <c r="BD585" s="3">
        <v>45.442096508811701</v>
      </c>
      <c r="BE585" s="3">
        <v>44.242096508811713</v>
      </c>
      <c r="BF585" s="3">
        <v>42.102096508811698</v>
      </c>
      <c r="BG585" s="3">
        <v>38.728763175478377</v>
      </c>
      <c r="BH585" s="3">
        <v>34.468763175478372</v>
      </c>
      <c r="BI585" s="3">
        <v>33.282096508811705</v>
      </c>
      <c r="BJ585" s="3">
        <v>38.375429842145039</v>
      </c>
      <c r="BK585" s="3">
        <v>41.048763175478385</v>
      </c>
      <c r="BL585" s="3">
        <v>44.322096508811711</v>
      </c>
      <c r="BM585" s="3">
        <v>38.855429842145043</v>
      </c>
      <c r="BN585" s="3">
        <v>38.738763175478383</v>
      </c>
      <c r="BO585" s="3">
        <v>38.505429842145034</v>
      </c>
      <c r="BP585" s="3">
        <v>36.122096508811708</v>
      </c>
      <c r="BQ585" s="3">
        <v>34.938763175478371</v>
      </c>
      <c r="BR585" s="3">
        <v>32.965429842145042</v>
      </c>
      <c r="BS585" s="3">
        <v>31.768763175478384</v>
      </c>
      <c r="BT585" s="3">
        <v>29.665429842145045</v>
      </c>
      <c r="BU585" s="3">
        <v>26.332096508811716</v>
      </c>
      <c r="BV585" s="3">
        <v>23.948763175478376</v>
      </c>
      <c r="BW585" s="3">
        <v>22.182096508811711</v>
      </c>
      <c r="BX585" s="3">
        <v>18.702096508811714</v>
      </c>
      <c r="BY585" s="3">
        <v>15.922096508811705</v>
      </c>
      <c r="BZ585" s="3">
        <v>27.152096508811709</v>
      </c>
      <c r="CA585" s="3">
        <v>9.9520965088117066</v>
      </c>
      <c r="CB585" s="3">
        <v>8.388763175478374</v>
      </c>
      <c r="CC585" s="3">
        <v>9.0020965088117109</v>
      </c>
      <c r="CD585" s="3">
        <v>8.4087631754783843</v>
      </c>
      <c r="CE585" s="3">
        <v>8.802096508811708</v>
      </c>
      <c r="CF585" s="3">
        <v>-0.8845701578549594</v>
      </c>
      <c r="CG585" s="3">
        <v>-1.4179034911882908</v>
      </c>
      <c r="CH585" s="3">
        <v>-2.4945701578549588</v>
      </c>
      <c r="CI585" s="13">
        <f>[1]!dbasum(RecData[[#This Row],[20]:[2000]],RecData[[#Headers],[20]:[2000]])</f>
        <v>39.24893399240559</v>
      </c>
      <c r="CJ585" s="14">
        <v>8353</v>
      </c>
      <c r="CK585" s="15" t="s">
        <v>249</v>
      </c>
      <c r="CL585" s="15">
        <f>RecData[[#This Row],[Start Time]]</f>
        <v>43270.122222222228</v>
      </c>
      <c r="CM585" s="16">
        <f>RecData[[#This Row],[Wind Speed avg]]</f>
        <v>0.62</v>
      </c>
      <c r="CN585" s="16">
        <f>RecData[[#This Row],[Wind Dir. avg]]</f>
        <v>181</v>
      </c>
      <c r="CO585" s="16">
        <f>RecData[[#This Row],[Amb. Humidity]]</f>
        <v>78.7</v>
      </c>
      <c r="CP585" s="16">
        <f>RecData[[#This Row],[Amb. Temperature]]</f>
        <v>12.9</v>
      </c>
      <c r="CQ585" s="17">
        <f>RecData[[#This Row],[Amb. Rain Gauge]]</f>
        <v>0</v>
      </c>
      <c r="CR585" s="4" t="s">
        <v>1</v>
      </c>
      <c r="CS585" s="4" t="s">
        <v>49</v>
      </c>
      <c r="CT585" s="70">
        <v>1447.7529296875</v>
      </c>
      <c r="CU585" s="70">
        <v>39.000335693359297</v>
      </c>
      <c r="CV585" s="70">
        <v>9.2391586303710902</v>
      </c>
      <c r="CW585" s="70">
        <v>15.293469429016101</v>
      </c>
      <c r="CX585" s="4"/>
      <c r="CY585" s="69"/>
      <c r="CZ585" s="2" t="b">
        <f>IF($DP$1="YES",IF(RecData[[#This Row],[Power (kW)]]&gt;=$CR$3, TRUE,FALSE),TRUE)</f>
        <v>1</v>
      </c>
      <c r="DA585" s="16">
        <f>MIN(MOD(180-ABS(ABS($DA$1-RecData[Yaw Angle (°)])-180),360),MOD(180-ABS(ABS($DB$1-RecData[Yaw Angle (°)])-180),360))</f>
        <v>31.470408915671754</v>
      </c>
      <c r="DB585" s="2" t="str">
        <f>IF($DP$2="None","None",IF(RecData[[#This Row],[Relative Wind Direction]]&lt;=45,"DW",IF(RecData[[#This Row],[Relative Wind Direction]]&lt;=135,"CW","UW")))</f>
        <v>DW</v>
      </c>
      <c r="DC585" s="61">
        <v>-1</v>
      </c>
      <c r="DD585" s="61">
        <v>-1</v>
      </c>
      <c r="DE585" s="18" t="b">
        <v>0</v>
      </c>
      <c r="DF585" s="2" t="b">
        <f>IF(OR(RecData[[#This Row],[WSpd_Avg '[m/s']]]-RecData[[#This Row],[Wind Speed min]]&gt;=$DF$3,RecData[[#This Row],[Wind Speed max]]-RecData[[#This Row],[WSpd_Avg '[m/s']]]&gt;=$DF$2),TRUE,FALSE)</f>
        <v>0</v>
      </c>
      <c r="DG585" s="2" t="b">
        <f>RecData[[#This Row],[Temperature '[°C']]]&lt;=-20</f>
        <v>0</v>
      </c>
      <c r="DH585" s="18" t="b">
        <f>NOT(OR(MOD(RecData[[#This Row],[TIMESTAMP]],1)&gt;0.91632,MOD(RecData[[#This Row],[TIMESTAMP]],1)&lt;0.208681))</f>
        <v>0</v>
      </c>
      <c r="DI585" s="18" t="b">
        <f>RecData[[#This Row],[Overall (dBA)]]-RecData[[#This Row],[L90]]&gt;=$DS$4</f>
        <v>0</v>
      </c>
      <c r="DJ585" s="18" t="b">
        <f>RecData[[#This Row],[Overall (dBA)]]&gt;$DS$2</f>
        <v>0</v>
      </c>
      <c r="DK585" s="18" t="b">
        <f>RecData[[#This Row],[Overall (dBA)]]&lt;$DS$3</f>
        <v>0</v>
      </c>
      <c r="DL5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5" s="2">
        <f>IF(AND(RecData[[#This Row],[Turbines ON/OFF]] = "OFF", NOT(OR(RecData[[#This Row],[Junk?]]="YES",RecData[[#This Row],[Gust?]],RecData[[#This Row],[Rain?]:[Min SPL Threshold?]]))),1,0)</f>
        <v>0</v>
      </c>
      <c r="DN585" s="16">
        <f>RecData[[#This Row],[dBA Sum]]</f>
        <v>39.24893399240559</v>
      </c>
      <c r="DO585" s="16">
        <f>RecData[[#This Row],[LAF90.0]]</f>
        <v>38.700000000000003</v>
      </c>
      <c r="DP585" s="55">
        <f>IF(AND(RecData[[#This Row],[Useable TON Data?]],RecData[[#This Row],[Turbines ON/OFF]]="ON"),RecData[[#This Row],[dBA Sum]],"")</f>
        <v>39.24893399240559</v>
      </c>
      <c r="DQ585" s="55" t="str">
        <f>IF(AND(RecData[[#This Row],[Useable Background Data?]],RecData[[#This Row],[Turbines ON/OFF]]="OFF"),RecData[[#This Row],[dBA Sum]],"")</f>
        <v/>
      </c>
      <c r="DR585" s="3">
        <f>IF(OR(RecData[[#This Row],[Useable TON Data?]],RecData[[#This Row],[Useable Background Data?]]),ROUND(RecData[[#This Row],[WSpd_Avg '[m/s']]],0),"")</f>
        <v>1</v>
      </c>
      <c r="DS585" s="85">
        <f>(0.00002)^2*(10^(RecData[[#This Row],[Overall (dBA)]]/10))</f>
        <v>3.3647545615746782E-6</v>
      </c>
    </row>
    <row r="586" spans="1:123" ht="15" x14ac:dyDescent="0.25">
      <c r="A586" s="3" t="s">
        <v>249</v>
      </c>
      <c r="B586" s="12">
        <v>43270.122916666667</v>
      </c>
      <c r="C586" s="3"/>
      <c r="D586" s="3">
        <v>40.299999999999997</v>
      </c>
      <c r="E586" s="3"/>
      <c r="F586" s="3"/>
      <c r="G586" s="3"/>
      <c r="H586" s="3"/>
      <c r="I586" s="3"/>
      <c r="J586" s="3"/>
      <c r="K586" s="3">
        <v>39.1</v>
      </c>
      <c r="L586" s="3"/>
      <c r="M586" s="3"/>
      <c r="N586" s="3">
        <v>178.6</v>
      </c>
      <c r="O586" s="3"/>
      <c r="P586" s="3"/>
      <c r="Q586" s="3">
        <v>0.71</v>
      </c>
      <c r="R586" s="3">
        <v>0.3</v>
      </c>
      <c r="S586" s="3">
        <v>0.9</v>
      </c>
      <c r="T586" s="3">
        <v>12.8</v>
      </c>
      <c r="U586" s="3">
        <v>78.7</v>
      </c>
      <c r="V586" s="3">
        <v>973.1</v>
      </c>
      <c r="W586" s="3">
        <v>0</v>
      </c>
      <c r="X586" s="3">
        <v>44.8</v>
      </c>
      <c r="Y586" s="3">
        <v>43.2</v>
      </c>
      <c r="Z586" s="3">
        <v>42.9</v>
      </c>
      <c r="AA586" s="3">
        <v>39.5</v>
      </c>
      <c r="AB586" s="3">
        <v>35.700000000000003</v>
      </c>
      <c r="AC586" s="3">
        <v>33.299999999999997</v>
      </c>
      <c r="AD586" s="3">
        <v>38</v>
      </c>
      <c r="AE586" s="3">
        <v>40.6</v>
      </c>
      <c r="AF586" s="3">
        <v>45.5</v>
      </c>
      <c r="AG586" s="3">
        <v>39.9</v>
      </c>
      <c r="AH586" s="3">
        <v>38.700000000000003</v>
      </c>
      <c r="AI586" s="3">
        <v>39.700000000000003</v>
      </c>
      <c r="AJ586" s="3">
        <v>37.200000000000003</v>
      </c>
      <c r="AK586" s="3">
        <v>35.799999999999997</v>
      </c>
      <c r="AL586" s="3">
        <v>33.200000000000003</v>
      </c>
      <c r="AM586" s="3">
        <v>32.200000000000003</v>
      </c>
      <c r="AN586" s="3">
        <v>30.1</v>
      </c>
      <c r="AO586" s="3">
        <v>27.3</v>
      </c>
      <c r="AP586" s="3">
        <v>24.9</v>
      </c>
      <c r="AQ586" s="3">
        <v>22.6</v>
      </c>
      <c r="AR586" s="3">
        <v>19.2</v>
      </c>
      <c r="AS586" s="3">
        <v>16.2</v>
      </c>
      <c r="AT586" s="3">
        <v>26.7</v>
      </c>
      <c r="AU586" s="3">
        <v>9.8000000000000007</v>
      </c>
      <c r="AV586" s="3">
        <v>8.6999999999999993</v>
      </c>
      <c r="AW586" s="3">
        <v>9</v>
      </c>
      <c r="AX586" s="3">
        <v>9.1</v>
      </c>
      <c r="AY586" s="3">
        <v>9.3000000000000007</v>
      </c>
      <c r="AZ586" s="3">
        <v>0</v>
      </c>
      <c r="BA586" s="3">
        <v>0</v>
      </c>
      <c r="BB586" s="3">
        <v>0</v>
      </c>
      <c r="BC586" s="3">
        <v>40.263979375746437</v>
      </c>
      <c r="BD586" s="3">
        <v>44.836020624253557</v>
      </c>
      <c r="BE586" s="3">
        <v>43.236020624253563</v>
      </c>
      <c r="BF586" s="3">
        <v>41.696020624253556</v>
      </c>
      <c r="BG586" s="3">
        <v>38.622687290920219</v>
      </c>
      <c r="BH586" s="3">
        <v>34.962687290920222</v>
      </c>
      <c r="BI586" s="3">
        <v>32.976020624253557</v>
      </c>
      <c r="BJ586" s="3">
        <v>38.469353957586883</v>
      </c>
      <c r="BK586" s="3">
        <v>40.942687290920226</v>
      </c>
      <c r="BL586" s="3">
        <v>45.416020624253569</v>
      </c>
      <c r="BM586" s="3">
        <v>39.949353957586901</v>
      </c>
      <c r="BN586" s="3">
        <v>39.032687290920229</v>
      </c>
      <c r="BO586" s="3">
        <v>39.399353957586889</v>
      </c>
      <c r="BP586" s="3">
        <v>36.616020624253558</v>
      </c>
      <c r="BQ586" s="3">
        <v>35.632687290920209</v>
      </c>
      <c r="BR586" s="3">
        <v>33.359353957586897</v>
      </c>
      <c r="BS586" s="3">
        <v>32.162687290920239</v>
      </c>
      <c r="BT586" s="3">
        <v>30.259353957586903</v>
      </c>
      <c r="BU586" s="3">
        <v>27.42602062425356</v>
      </c>
      <c r="BV586" s="3">
        <v>24.742687290920223</v>
      </c>
      <c r="BW586" s="3">
        <v>22.976020624253565</v>
      </c>
      <c r="BX586" s="3">
        <v>19.496020624253568</v>
      </c>
      <c r="BY586" s="3">
        <v>16.316020624253561</v>
      </c>
      <c r="BZ586" s="3">
        <v>26.94602062425357</v>
      </c>
      <c r="CA586" s="3">
        <v>10.146020624253552</v>
      </c>
      <c r="CB586" s="3">
        <v>8.4826872909202251</v>
      </c>
      <c r="CC586" s="3">
        <v>8.9960206242535605</v>
      </c>
      <c r="CD586" s="3">
        <v>8.4026872909202339</v>
      </c>
      <c r="CE586" s="3">
        <v>8.7960206242535577</v>
      </c>
      <c r="CF586" s="3">
        <v>-0.89064604241310974</v>
      </c>
      <c r="CG586" s="3">
        <v>-1.4239793757464412</v>
      </c>
      <c r="CH586" s="3">
        <v>-2.5006460424131092</v>
      </c>
      <c r="CI586" s="13">
        <f>[1]!dbasum(RecData[[#This Row],[20]:[2000]],RecData[[#Headers],[20]:[2000]])</f>
        <v>39.904537453508809</v>
      </c>
      <c r="CJ586" s="14">
        <v>8354</v>
      </c>
      <c r="CK586" s="15" t="s">
        <v>249</v>
      </c>
      <c r="CL586" s="15">
        <f>RecData[[#This Row],[Start Time]]</f>
        <v>43270.122916666667</v>
      </c>
      <c r="CM586" s="16">
        <f>RecData[[#This Row],[Wind Speed avg]]</f>
        <v>0.71</v>
      </c>
      <c r="CN586" s="16">
        <f>RecData[[#This Row],[Wind Dir. avg]]</f>
        <v>178.6</v>
      </c>
      <c r="CO586" s="16">
        <f>RecData[[#This Row],[Amb. Humidity]]</f>
        <v>78.7</v>
      </c>
      <c r="CP586" s="16">
        <f>RecData[[#This Row],[Amb. Temperature]]</f>
        <v>12.8</v>
      </c>
      <c r="CQ586" s="17">
        <f>RecData[[#This Row],[Amb. Rain Gauge]]</f>
        <v>0</v>
      </c>
      <c r="CR586" s="4" t="s">
        <v>1</v>
      </c>
      <c r="CS586" s="4" t="s">
        <v>49</v>
      </c>
      <c r="CT586" s="70">
        <v>1447.7529296875</v>
      </c>
      <c r="CU586" s="70">
        <v>39.000335693359297</v>
      </c>
      <c r="CV586" s="70">
        <v>9.2391586303710902</v>
      </c>
      <c r="CW586" s="70">
        <v>15.293469429016101</v>
      </c>
      <c r="CX586" s="4"/>
      <c r="CY586" s="69"/>
      <c r="CZ586" s="2" t="b">
        <f>IF($DP$1="YES",IF(RecData[[#This Row],[Power (kW)]]&gt;=$CR$3, TRUE,FALSE),TRUE)</f>
        <v>1</v>
      </c>
      <c r="DA586" s="16">
        <f>MIN(MOD(180-ABS(ABS($DA$1-RecData[Yaw Angle (°)])-180),360),MOD(180-ABS(ABS($DB$1-RecData[Yaw Angle (°)])-180),360))</f>
        <v>31.470408915671754</v>
      </c>
      <c r="DB586" s="2" t="str">
        <f>IF($DP$2="None","None",IF(RecData[[#This Row],[Relative Wind Direction]]&lt;=45,"DW",IF(RecData[[#This Row],[Relative Wind Direction]]&lt;=135,"CW","UW")))</f>
        <v>DW</v>
      </c>
      <c r="DC586" s="61">
        <f>IF($CL586-$CL585&gt;1/24,#REF!,IF(SUM($CQ585:$CQ586)&gt;$DS$1,$DS$5,DC587-1))</f>
        <v>-9</v>
      </c>
      <c r="DD586" s="61">
        <f>IF($CL587-$CL586&gt;1/24,#REF!,IF(SUM($CQ585:$CQ586)&gt;$DS$1,$DS$6,DD585-1))</f>
        <v>-2</v>
      </c>
      <c r="DE586" s="18" t="b">
        <v>0</v>
      </c>
      <c r="DF586" s="2" t="b">
        <f>IF(OR(RecData[[#This Row],[WSpd_Avg '[m/s']]]-RecData[[#This Row],[Wind Speed min]]&gt;=$DF$3,RecData[[#This Row],[Wind Speed max]]-RecData[[#This Row],[WSpd_Avg '[m/s']]]&gt;=$DF$2),TRUE,FALSE)</f>
        <v>0</v>
      </c>
      <c r="DG586" s="2" t="b">
        <f>RecData[[#This Row],[Temperature '[°C']]]&lt;=-20</f>
        <v>0</v>
      </c>
      <c r="DH586" s="18" t="b">
        <f>NOT(OR(MOD(RecData[[#This Row],[TIMESTAMP]],1)&gt;0.91632,MOD(RecData[[#This Row],[TIMESTAMP]],1)&lt;0.208681))</f>
        <v>0</v>
      </c>
      <c r="DI586" s="18" t="b">
        <f>RecData[[#This Row],[Overall (dBA)]]-RecData[[#This Row],[L90]]&gt;=$DS$4</f>
        <v>0</v>
      </c>
      <c r="DJ586" s="18" t="b">
        <f>RecData[[#This Row],[Overall (dBA)]]&gt;$DS$2</f>
        <v>0</v>
      </c>
      <c r="DK586" s="18" t="b">
        <f>RecData[[#This Row],[Overall (dBA)]]&lt;$DS$3</f>
        <v>0</v>
      </c>
      <c r="DL5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6" s="2">
        <f>IF(AND(RecData[[#This Row],[Turbines ON/OFF]] = "OFF", NOT(OR(RecData[[#This Row],[Junk?]]="YES",RecData[[#This Row],[Gust?]],RecData[[#This Row],[Rain?]:[Min SPL Threshold?]]))),1,0)</f>
        <v>0</v>
      </c>
      <c r="DN586" s="16">
        <f>RecData[[#This Row],[dBA Sum]]</f>
        <v>39.904537453508809</v>
      </c>
      <c r="DO586" s="16">
        <f>RecData[[#This Row],[LAF90.0]]</f>
        <v>39.1</v>
      </c>
      <c r="DP586" s="55">
        <f>IF(AND(RecData[[#This Row],[Useable TON Data?]],RecData[[#This Row],[Turbines ON/OFF]]="ON"),RecData[[#This Row],[dBA Sum]],"")</f>
        <v>39.904537453508809</v>
      </c>
      <c r="DQ586" s="55" t="str">
        <f>IF(AND(RecData[[#This Row],[Useable Background Data?]],RecData[[#This Row],[Turbines ON/OFF]]="OFF"),RecData[[#This Row],[dBA Sum]],"")</f>
        <v/>
      </c>
      <c r="DR586" s="3">
        <f>IF(OR(RecData[[#This Row],[Useable TON Data?]],RecData[[#This Row],[Useable Background Data?]]),ROUND(RecData[[#This Row],[WSpd_Avg '[m/s']]],0),"")</f>
        <v>1</v>
      </c>
      <c r="DS586" s="85">
        <f>(0.00002)^2*(10^(RecData[[#This Row],[Overall (dBA)]]/10))</f>
        <v>3.9130350381082787E-6</v>
      </c>
    </row>
    <row r="587" spans="1:123" ht="15" x14ac:dyDescent="0.25">
      <c r="A587" s="3" t="s">
        <v>249</v>
      </c>
      <c r="B587" s="12">
        <v>43270.123611111114</v>
      </c>
      <c r="C587" s="3"/>
      <c r="D587" s="3">
        <v>39.700000000000003</v>
      </c>
      <c r="E587" s="3"/>
      <c r="F587" s="3"/>
      <c r="G587" s="3"/>
      <c r="H587" s="3"/>
      <c r="I587" s="3"/>
      <c r="J587" s="3"/>
      <c r="K587" s="3">
        <v>38.4</v>
      </c>
      <c r="L587" s="3"/>
      <c r="M587" s="3"/>
      <c r="N587" s="3">
        <v>166.1</v>
      </c>
      <c r="O587" s="3"/>
      <c r="P587" s="3"/>
      <c r="Q587" s="3">
        <v>0.5</v>
      </c>
      <c r="R587" s="3">
        <v>0.1</v>
      </c>
      <c r="S587" s="3">
        <v>0.8</v>
      </c>
      <c r="T587" s="3">
        <v>12.8</v>
      </c>
      <c r="U587" s="3">
        <v>79.599999999999994</v>
      </c>
      <c r="V587" s="3">
        <v>973.1</v>
      </c>
      <c r="W587" s="3">
        <v>0</v>
      </c>
      <c r="X587" s="3">
        <v>45.2</v>
      </c>
      <c r="Y587" s="3">
        <v>44.6</v>
      </c>
      <c r="Z587" s="3">
        <v>43.4</v>
      </c>
      <c r="AA587" s="3">
        <v>39.9</v>
      </c>
      <c r="AB587" s="3">
        <v>35.799999999999997</v>
      </c>
      <c r="AC587" s="3">
        <v>33.9</v>
      </c>
      <c r="AD587" s="3">
        <v>37.4</v>
      </c>
      <c r="AE587" s="3">
        <v>40.5</v>
      </c>
      <c r="AF587" s="3">
        <v>44.5</v>
      </c>
      <c r="AG587" s="3">
        <v>38.9</v>
      </c>
      <c r="AH587" s="3">
        <v>38.6</v>
      </c>
      <c r="AI587" s="3">
        <v>39.299999999999997</v>
      </c>
      <c r="AJ587" s="3">
        <v>36.700000000000003</v>
      </c>
      <c r="AK587" s="3">
        <v>35.5</v>
      </c>
      <c r="AL587" s="3">
        <v>32.9</v>
      </c>
      <c r="AM587" s="3">
        <v>31.4</v>
      </c>
      <c r="AN587" s="3">
        <v>29.5</v>
      </c>
      <c r="AO587" s="3">
        <v>26.6</v>
      </c>
      <c r="AP587" s="3">
        <v>24.7</v>
      </c>
      <c r="AQ587" s="3">
        <v>22</v>
      </c>
      <c r="AR587" s="3">
        <v>18.600000000000001</v>
      </c>
      <c r="AS587" s="3">
        <v>15.1</v>
      </c>
      <c r="AT587" s="3">
        <v>25.1</v>
      </c>
      <c r="AU587" s="3">
        <v>9.4</v>
      </c>
      <c r="AV587" s="3">
        <v>8.6999999999999993</v>
      </c>
      <c r="AW587" s="3">
        <v>9</v>
      </c>
      <c r="AX587" s="3">
        <v>9.1</v>
      </c>
      <c r="AY587" s="3">
        <v>9.4</v>
      </c>
      <c r="AZ587" s="3">
        <v>0</v>
      </c>
      <c r="BA587" s="3">
        <v>0</v>
      </c>
      <c r="BB587" s="3">
        <v>0</v>
      </c>
      <c r="BC587" s="3">
        <v>39.693580432099694</v>
      </c>
      <c r="BD587" s="3">
        <v>45.206419567900312</v>
      </c>
      <c r="BE587" s="3">
        <v>44.606419567900318</v>
      </c>
      <c r="BF587" s="3">
        <v>42.166419567900306</v>
      </c>
      <c r="BG587" s="3">
        <v>38.993086234566974</v>
      </c>
      <c r="BH587" s="3">
        <v>35.033086234566966</v>
      </c>
      <c r="BI587" s="3">
        <v>33.546419567900315</v>
      </c>
      <c r="BJ587" s="3">
        <v>37.839752901233638</v>
      </c>
      <c r="BK587" s="3">
        <v>40.813086234566967</v>
      </c>
      <c r="BL587" s="3">
        <v>44.386419567900319</v>
      </c>
      <c r="BM587" s="3">
        <v>38.91975290123365</v>
      </c>
      <c r="BN587" s="3">
        <v>38.90308623456697</v>
      </c>
      <c r="BO587" s="3">
        <v>38.969752901233633</v>
      </c>
      <c r="BP587" s="3">
        <v>36.086419567900307</v>
      </c>
      <c r="BQ587" s="3">
        <v>35.303086234566976</v>
      </c>
      <c r="BR587" s="3">
        <v>33.029752901233635</v>
      </c>
      <c r="BS587" s="3">
        <v>31.333086234566977</v>
      </c>
      <c r="BT587" s="3">
        <v>29.629752901233644</v>
      </c>
      <c r="BU587" s="3">
        <v>26.696419567900321</v>
      </c>
      <c r="BV587" s="3">
        <v>24.513086234566984</v>
      </c>
      <c r="BW587" s="3">
        <v>22.346419567900313</v>
      </c>
      <c r="BX587" s="3">
        <v>18.866419567900316</v>
      </c>
      <c r="BY587" s="3">
        <v>15.186419567900309</v>
      </c>
      <c r="BZ587" s="3">
        <v>25.316419567900311</v>
      </c>
      <c r="CA587" s="3">
        <v>9.7164195679003029</v>
      </c>
      <c r="CB587" s="3">
        <v>8.4530862345669746</v>
      </c>
      <c r="CC587" s="3">
        <v>8.96641956790031</v>
      </c>
      <c r="CD587" s="3">
        <v>8.3730862345669834</v>
      </c>
      <c r="CE587" s="3">
        <v>8.8664195679003086</v>
      </c>
      <c r="CF587" s="3">
        <v>-0.92024709876636024</v>
      </c>
      <c r="CG587" s="3">
        <v>-1.4535804320996917</v>
      </c>
      <c r="CH587" s="3">
        <v>-2.5302470987663597</v>
      </c>
      <c r="CI587" s="13">
        <f>[1]!dbasum(RecData[[#This Row],[20]:[2000]],RecData[[#Headers],[20]:[2000]])</f>
        <v>39.362528264871329</v>
      </c>
      <c r="CJ587" s="14">
        <v>8355</v>
      </c>
      <c r="CK587" s="15" t="s">
        <v>249</v>
      </c>
      <c r="CL587" s="15">
        <f>RecData[[#This Row],[Start Time]]</f>
        <v>43270.123611111114</v>
      </c>
      <c r="CM587" s="16">
        <f>RecData[[#This Row],[Wind Speed avg]]</f>
        <v>0.5</v>
      </c>
      <c r="CN587" s="16">
        <f>RecData[[#This Row],[Wind Dir. avg]]</f>
        <v>166.1</v>
      </c>
      <c r="CO587" s="16">
        <f>RecData[[#This Row],[Amb. Humidity]]</f>
        <v>79.599999999999994</v>
      </c>
      <c r="CP587" s="16">
        <f>RecData[[#This Row],[Amb. Temperature]]</f>
        <v>12.8</v>
      </c>
      <c r="CQ587" s="17">
        <f>RecData[[#This Row],[Amb. Rain Gauge]]</f>
        <v>0</v>
      </c>
      <c r="CR587" s="4" t="s">
        <v>1</v>
      </c>
      <c r="CS587" s="4" t="s">
        <v>49</v>
      </c>
      <c r="CT587" s="70">
        <v>1447.7529296875</v>
      </c>
      <c r="CU587" s="70">
        <v>39.000335693359297</v>
      </c>
      <c r="CV587" s="70">
        <v>9.2391586303710902</v>
      </c>
      <c r="CW587" s="70">
        <v>15.293469429016101</v>
      </c>
      <c r="CX587" s="4"/>
      <c r="CY587" s="69"/>
      <c r="CZ587" s="2" t="b">
        <f>IF($DP$1="YES",IF(RecData[[#This Row],[Power (kW)]]&gt;=$CR$3, TRUE,FALSE),TRUE)</f>
        <v>1</v>
      </c>
      <c r="DA587" s="16">
        <f>MIN(MOD(180-ABS(ABS($DA$1-RecData[Yaw Angle (°)])-180),360),MOD(180-ABS(ABS($DB$1-RecData[Yaw Angle (°)])-180),360))</f>
        <v>31.470408915671754</v>
      </c>
      <c r="DB587" s="2" t="str">
        <f>IF($DP$2="None","None",IF(RecData[[#This Row],[Relative Wind Direction]]&lt;=45,"DW",IF(RecData[[#This Row],[Relative Wind Direction]]&lt;=135,"CW","UW")))</f>
        <v>DW</v>
      </c>
      <c r="DC587" s="61">
        <f>IF($CL587-$CL585&gt;1/24,#REF!,IF(SUM($CQ585:$CQ587)&gt;$DS$1,$DS$5,DC588-1))</f>
        <v>-8</v>
      </c>
      <c r="DD587" s="61">
        <f>IF($CL588-$CL587&gt;1/24,#REF!,IF(SUM($CQ585:$CQ587)&gt;$DS$1,$DS$6,DD586-1))</f>
        <v>-3</v>
      </c>
      <c r="DE587" s="18" t="b">
        <v>0</v>
      </c>
      <c r="DF587" s="2" t="b">
        <f>IF(OR(RecData[[#This Row],[WSpd_Avg '[m/s']]]-RecData[[#This Row],[Wind Speed min]]&gt;=$DF$3,RecData[[#This Row],[Wind Speed max]]-RecData[[#This Row],[WSpd_Avg '[m/s']]]&gt;=$DF$2),TRUE,FALSE)</f>
        <v>0</v>
      </c>
      <c r="DG587" s="2" t="b">
        <f>RecData[[#This Row],[Temperature '[°C']]]&lt;=-20</f>
        <v>0</v>
      </c>
      <c r="DH587" s="18" t="b">
        <f>NOT(OR(MOD(RecData[[#This Row],[TIMESTAMP]],1)&gt;0.91632,MOD(RecData[[#This Row],[TIMESTAMP]],1)&lt;0.208681))</f>
        <v>0</v>
      </c>
      <c r="DI587" s="18" t="b">
        <f>RecData[[#This Row],[Overall (dBA)]]-RecData[[#This Row],[L90]]&gt;=$DS$4</f>
        <v>0</v>
      </c>
      <c r="DJ587" s="18" t="b">
        <f>RecData[[#This Row],[Overall (dBA)]]&gt;$DS$2</f>
        <v>0</v>
      </c>
      <c r="DK587" s="18" t="b">
        <f>RecData[[#This Row],[Overall (dBA)]]&lt;$DS$3</f>
        <v>0</v>
      </c>
      <c r="DL5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7" s="2">
        <f>IF(AND(RecData[[#This Row],[Turbines ON/OFF]] = "OFF", NOT(OR(RecData[[#This Row],[Junk?]]="YES",RecData[[#This Row],[Gust?]],RecData[[#This Row],[Rain?]:[Min SPL Threshold?]]))),1,0)</f>
        <v>0</v>
      </c>
      <c r="DN587" s="16">
        <f>RecData[[#This Row],[dBA Sum]]</f>
        <v>39.362528264871329</v>
      </c>
      <c r="DO587" s="16">
        <f>RecData[[#This Row],[LAF90.0]]</f>
        <v>38.4</v>
      </c>
      <c r="DP587" s="55">
        <f>IF(AND(RecData[[#This Row],[Useable TON Data?]],RecData[[#This Row],[Turbines ON/OFF]]="ON"),RecData[[#This Row],[dBA Sum]],"")</f>
        <v>39.362528264871329</v>
      </c>
      <c r="DQ587" s="55" t="str">
        <f>IF(AND(RecData[[#This Row],[Useable Background Data?]],RecData[[#This Row],[Turbines ON/OFF]]="OFF"),RecData[[#This Row],[dBA Sum]],"")</f>
        <v/>
      </c>
      <c r="DR587" s="3">
        <f>IF(OR(RecData[[#This Row],[Useable TON Data?]],RecData[[#This Row],[Useable Background Data?]]),ROUND(RecData[[#This Row],[WSpd_Avg '[m/s']]],0),"")</f>
        <v>1</v>
      </c>
      <c r="DS587" s="85">
        <f>(0.00002)^2*(10^(RecData[[#This Row],[Overall (dBA)]]/10))</f>
        <v>3.4539243234962134E-6</v>
      </c>
    </row>
    <row r="588" spans="1:123" ht="15" x14ac:dyDescent="0.25">
      <c r="A588" s="3" t="s">
        <v>249</v>
      </c>
      <c r="B588" s="12">
        <v>43270.124305555561</v>
      </c>
      <c r="C588" s="3"/>
      <c r="D588" s="3">
        <v>40.1</v>
      </c>
      <c r="E588" s="3"/>
      <c r="F588" s="3"/>
      <c r="G588" s="3"/>
      <c r="H588" s="3"/>
      <c r="I588" s="3"/>
      <c r="J588" s="3"/>
      <c r="K588" s="3">
        <v>37.9</v>
      </c>
      <c r="L588" s="3"/>
      <c r="M588" s="3"/>
      <c r="N588" s="3">
        <v>172.4</v>
      </c>
      <c r="O588" s="3"/>
      <c r="P588" s="3"/>
      <c r="Q588" s="3">
        <v>0.42</v>
      </c>
      <c r="R588" s="3">
        <v>0.1</v>
      </c>
      <c r="S588" s="3">
        <v>0.6</v>
      </c>
      <c r="T588" s="3">
        <v>12.7</v>
      </c>
      <c r="U588" s="3">
        <v>80.099999999999994</v>
      </c>
      <c r="V588" s="3">
        <v>973.1</v>
      </c>
      <c r="W588" s="3">
        <v>0</v>
      </c>
      <c r="X588" s="3">
        <v>45.1</v>
      </c>
      <c r="Y588" s="3">
        <v>43.6</v>
      </c>
      <c r="Z588" s="3">
        <v>43.1</v>
      </c>
      <c r="AA588" s="3">
        <v>39.700000000000003</v>
      </c>
      <c r="AB588" s="3">
        <v>35.799999999999997</v>
      </c>
      <c r="AC588" s="3">
        <v>33.299999999999997</v>
      </c>
      <c r="AD588" s="3">
        <v>38</v>
      </c>
      <c r="AE588" s="3">
        <v>40.6</v>
      </c>
      <c r="AF588" s="3">
        <v>45.3</v>
      </c>
      <c r="AG588" s="3">
        <v>39.6</v>
      </c>
      <c r="AH588" s="3">
        <v>38.799999999999997</v>
      </c>
      <c r="AI588" s="3">
        <v>39.6</v>
      </c>
      <c r="AJ588" s="3">
        <v>37.200000000000003</v>
      </c>
      <c r="AK588" s="3">
        <v>35.799999999999997</v>
      </c>
      <c r="AL588" s="3">
        <v>33.5</v>
      </c>
      <c r="AM588" s="3">
        <v>32</v>
      </c>
      <c r="AN588" s="3">
        <v>30</v>
      </c>
      <c r="AO588" s="3">
        <v>27</v>
      </c>
      <c r="AP588" s="3">
        <v>24.6</v>
      </c>
      <c r="AQ588" s="3">
        <v>22.6</v>
      </c>
      <c r="AR588" s="3">
        <v>19.100000000000001</v>
      </c>
      <c r="AS588" s="3">
        <v>16</v>
      </c>
      <c r="AT588" s="3">
        <v>24.8</v>
      </c>
      <c r="AU588" s="3">
        <v>9.1</v>
      </c>
      <c r="AV588" s="3">
        <v>8.5</v>
      </c>
      <c r="AW588" s="3">
        <v>8.9</v>
      </c>
      <c r="AX588" s="3">
        <v>9.1</v>
      </c>
      <c r="AY588" s="3">
        <v>9.3000000000000007</v>
      </c>
      <c r="AZ588" s="3">
        <v>0</v>
      </c>
      <c r="BA588" s="3">
        <v>0</v>
      </c>
      <c r="BB588" s="3">
        <v>0</v>
      </c>
      <c r="BC588" s="3">
        <v>40.112080823629405</v>
      </c>
      <c r="BD588" s="3">
        <v>45.087919176370598</v>
      </c>
      <c r="BE588" s="3">
        <v>43.587919176370598</v>
      </c>
      <c r="BF588" s="3">
        <v>41.847919176370603</v>
      </c>
      <c r="BG588" s="3">
        <v>38.774585843037265</v>
      </c>
      <c r="BH588" s="3">
        <v>35.01458584303726</v>
      </c>
      <c r="BI588" s="3">
        <v>32.927919176370587</v>
      </c>
      <c r="BJ588" s="3">
        <v>38.421252509703926</v>
      </c>
      <c r="BK588" s="3">
        <v>40.894585843037255</v>
      </c>
      <c r="BL588" s="3">
        <v>45.167919176370596</v>
      </c>
      <c r="BM588" s="3">
        <v>39.601252509703933</v>
      </c>
      <c r="BN588" s="3">
        <v>39.084585843037253</v>
      </c>
      <c r="BO588" s="3">
        <v>39.251252509703939</v>
      </c>
      <c r="BP588" s="3">
        <v>36.567919176370602</v>
      </c>
      <c r="BQ588" s="3">
        <v>35.584585843037253</v>
      </c>
      <c r="BR588" s="3">
        <v>33.611252509703924</v>
      </c>
      <c r="BS588" s="3">
        <v>31.914585843037266</v>
      </c>
      <c r="BT588" s="3">
        <v>30.111252509703924</v>
      </c>
      <c r="BU588" s="3">
        <v>27.077919176370592</v>
      </c>
      <c r="BV588" s="3">
        <v>24.39458584303727</v>
      </c>
      <c r="BW588" s="3">
        <v>22.927919176370601</v>
      </c>
      <c r="BX588" s="3">
        <v>19.347919176370603</v>
      </c>
      <c r="BY588" s="3">
        <v>16.067919176370594</v>
      </c>
      <c r="BZ588" s="3">
        <v>24.997919176370608</v>
      </c>
      <c r="CA588" s="3">
        <v>9.3979191763705856</v>
      </c>
      <c r="CB588" s="3">
        <v>8.2345858430372587</v>
      </c>
      <c r="CC588" s="3">
        <v>8.8479191763705956</v>
      </c>
      <c r="CD588" s="3">
        <v>8.3545858430372633</v>
      </c>
      <c r="CE588" s="3">
        <v>8.7479191763705941</v>
      </c>
      <c r="CF588" s="3">
        <v>-0.93874749029607329</v>
      </c>
      <c r="CG588" s="3">
        <v>-1.4720808236294047</v>
      </c>
      <c r="CH588" s="3">
        <v>-2.5487474902960727</v>
      </c>
      <c r="CI588" s="13">
        <f>[1]!dbasum(RecData[[#This Row],[20]:[2000]],RecData[[#Headers],[20]:[2000]])</f>
        <v>39.795303212173906</v>
      </c>
      <c r="CJ588" s="14">
        <v>8356</v>
      </c>
      <c r="CK588" s="15" t="s">
        <v>249</v>
      </c>
      <c r="CL588" s="15">
        <f>RecData[[#This Row],[Start Time]]</f>
        <v>43270.124305555561</v>
      </c>
      <c r="CM588" s="16">
        <f>RecData[[#This Row],[Wind Speed avg]]</f>
        <v>0.42</v>
      </c>
      <c r="CN588" s="16">
        <f>RecData[[#This Row],[Wind Dir. avg]]</f>
        <v>172.4</v>
      </c>
      <c r="CO588" s="16">
        <f>RecData[[#This Row],[Amb. Humidity]]</f>
        <v>80.099999999999994</v>
      </c>
      <c r="CP588" s="16">
        <f>RecData[[#This Row],[Amb. Temperature]]</f>
        <v>12.7</v>
      </c>
      <c r="CQ588" s="17">
        <f>RecData[[#This Row],[Amb. Rain Gauge]]</f>
        <v>0</v>
      </c>
      <c r="CR588" s="4" t="s">
        <v>1</v>
      </c>
      <c r="CS588" s="4" t="s">
        <v>49</v>
      </c>
      <c r="CT588" s="70">
        <v>1447.7529296875</v>
      </c>
      <c r="CU588" s="70">
        <v>39.000335693359297</v>
      </c>
      <c r="CV588" s="70">
        <v>9.2391586303710902</v>
      </c>
      <c r="CW588" s="70">
        <v>15.293469429016101</v>
      </c>
      <c r="CX588" s="4"/>
      <c r="CY588" s="69"/>
      <c r="CZ588" s="2" t="b">
        <f>IF($DP$1="YES",IF(RecData[[#This Row],[Power (kW)]]&gt;=$CR$3, TRUE,FALSE),TRUE)</f>
        <v>1</v>
      </c>
      <c r="DA588" s="16">
        <f>MIN(MOD(180-ABS(ABS($DA$1-RecData[Yaw Angle (°)])-180),360),MOD(180-ABS(ABS($DB$1-RecData[Yaw Angle (°)])-180),360))</f>
        <v>31.470408915671754</v>
      </c>
      <c r="DB588" s="2" t="str">
        <f>IF($DP$2="None","None",IF(RecData[[#This Row],[Relative Wind Direction]]&lt;=45,"DW",IF(RecData[[#This Row],[Relative Wind Direction]]&lt;=135,"CW","UW")))</f>
        <v>DW</v>
      </c>
      <c r="DC588" s="61">
        <f>IF($CL588-$CL585&gt;1/24,#REF!,IF(SUM($CQ585:$CQ588)&gt;$DS$1,$DS$5,DC589-1))</f>
        <v>-7</v>
      </c>
      <c r="DD588" s="61">
        <f>IF($CL589-$CL588&gt;1/24,#REF!,IF(SUM($CQ585:$CQ588)&gt;$DS$1,$DS$6,DD587-1))</f>
        <v>-4</v>
      </c>
      <c r="DE588" s="18" t="b">
        <v>0</v>
      </c>
      <c r="DF588" s="2" t="b">
        <f>IF(OR(RecData[[#This Row],[WSpd_Avg '[m/s']]]-RecData[[#This Row],[Wind Speed min]]&gt;=$DF$3,RecData[[#This Row],[Wind Speed max]]-RecData[[#This Row],[WSpd_Avg '[m/s']]]&gt;=$DF$2),TRUE,FALSE)</f>
        <v>0</v>
      </c>
      <c r="DG588" s="2" t="b">
        <f>RecData[[#This Row],[Temperature '[°C']]]&lt;=-20</f>
        <v>0</v>
      </c>
      <c r="DH588" s="18" t="b">
        <f>NOT(OR(MOD(RecData[[#This Row],[TIMESTAMP]],1)&gt;0.91632,MOD(RecData[[#This Row],[TIMESTAMP]],1)&lt;0.208681))</f>
        <v>0</v>
      </c>
      <c r="DI588" s="18" t="b">
        <f>RecData[[#This Row],[Overall (dBA)]]-RecData[[#This Row],[L90]]&gt;=$DS$4</f>
        <v>0</v>
      </c>
      <c r="DJ588" s="18" t="b">
        <f>RecData[[#This Row],[Overall (dBA)]]&gt;$DS$2</f>
        <v>0</v>
      </c>
      <c r="DK588" s="18" t="b">
        <f>RecData[[#This Row],[Overall (dBA)]]&lt;$DS$3</f>
        <v>0</v>
      </c>
      <c r="DL5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8" s="2">
        <f>IF(AND(RecData[[#This Row],[Turbines ON/OFF]] = "OFF", NOT(OR(RecData[[#This Row],[Junk?]]="YES",RecData[[#This Row],[Gust?]],RecData[[#This Row],[Rain?]:[Min SPL Threshold?]]))),1,0)</f>
        <v>0</v>
      </c>
      <c r="DN588" s="16">
        <f>RecData[[#This Row],[dBA Sum]]</f>
        <v>39.795303212173906</v>
      </c>
      <c r="DO588" s="16">
        <f>RecData[[#This Row],[LAF90.0]]</f>
        <v>37.9</v>
      </c>
      <c r="DP588" s="55">
        <f>IF(AND(RecData[[#This Row],[Useable TON Data?]],RecData[[#This Row],[Turbines ON/OFF]]="ON"),RecData[[#This Row],[dBA Sum]],"")</f>
        <v>39.795303212173906</v>
      </c>
      <c r="DQ588" s="55" t="str">
        <f>IF(AND(RecData[[#This Row],[Useable Background Data?]],RecData[[#This Row],[Turbines ON/OFF]]="OFF"),RecData[[#This Row],[dBA Sum]],"")</f>
        <v/>
      </c>
      <c r="DR588" s="3">
        <f>IF(OR(RecData[[#This Row],[Useable TON Data?]],RecData[[#This Row],[Useable Background Data?]]),ROUND(RecData[[#This Row],[WSpd_Avg '[m/s']]],0),"")</f>
        <v>0</v>
      </c>
      <c r="DS588" s="85">
        <f>(0.00002)^2*(10^(RecData[[#This Row],[Overall (dBA)]]/10))</f>
        <v>3.8158413733624513E-6</v>
      </c>
    </row>
    <row r="589" spans="1:123" ht="15" x14ac:dyDescent="0.25">
      <c r="A589" s="3" t="s">
        <v>249</v>
      </c>
      <c r="B589" s="12">
        <v>43270.125</v>
      </c>
      <c r="C589" s="3"/>
      <c r="D589" s="3">
        <v>40.200000000000003</v>
      </c>
      <c r="E589" s="3"/>
      <c r="F589" s="3"/>
      <c r="G589" s="3"/>
      <c r="H589" s="3"/>
      <c r="I589" s="3"/>
      <c r="J589" s="3"/>
      <c r="K589" s="3">
        <v>39</v>
      </c>
      <c r="L589" s="3"/>
      <c r="M589" s="3"/>
      <c r="N589" s="3">
        <v>206.8</v>
      </c>
      <c r="O589" s="3"/>
      <c r="P589" s="3"/>
      <c r="Q589" s="3">
        <v>0.54</v>
      </c>
      <c r="R589" s="3">
        <v>0.3</v>
      </c>
      <c r="S589" s="3">
        <v>0.7</v>
      </c>
      <c r="T589" s="3">
        <v>12.6</v>
      </c>
      <c r="U589" s="3">
        <v>80</v>
      </c>
      <c r="V589" s="3">
        <v>973.1</v>
      </c>
      <c r="W589" s="3">
        <v>0</v>
      </c>
      <c r="X589" s="3">
        <v>45</v>
      </c>
      <c r="Y589" s="3">
        <v>43.6</v>
      </c>
      <c r="Z589" s="3">
        <v>43</v>
      </c>
      <c r="AA589" s="3">
        <v>39.9</v>
      </c>
      <c r="AB589" s="3">
        <v>36</v>
      </c>
      <c r="AC589" s="3">
        <v>33.200000000000003</v>
      </c>
      <c r="AD589" s="3">
        <v>37.700000000000003</v>
      </c>
      <c r="AE589" s="3">
        <v>40.299999999999997</v>
      </c>
      <c r="AF589" s="3">
        <v>45.8</v>
      </c>
      <c r="AG589" s="3">
        <v>39.700000000000003</v>
      </c>
      <c r="AH589" s="3">
        <v>38.799999999999997</v>
      </c>
      <c r="AI589" s="3">
        <v>39.4</v>
      </c>
      <c r="AJ589" s="3">
        <v>37.1</v>
      </c>
      <c r="AK589" s="3">
        <v>35.6</v>
      </c>
      <c r="AL589" s="3">
        <v>33.4</v>
      </c>
      <c r="AM589" s="3">
        <v>32.299999999999997</v>
      </c>
      <c r="AN589" s="3">
        <v>30.1</v>
      </c>
      <c r="AO589" s="3">
        <v>27.1</v>
      </c>
      <c r="AP589" s="3">
        <v>24.8</v>
      </c>
      <c r="AQ589" s="3">
        <v>22.4</v>
      </c>
      <c r="AR589" s="3">
        <v>19</v>
      </c>
      <c r="AS589" s="3">
        <v>15.7</v>
      </c>
      <c r="AT589" s="3">
        <v>25.6</v>
      </c>
      <c r="AU589" s="3">
        <v>9.5</v>
      </c>
      <c r="AV589" s="3">
        <v>8.6</v>
      </c>
      <c r="AW589" s="3">
        <v>8.9</v>
      </c>
      <c r="AX589" s="3">
        <v>9.1</v>
      </c>
      <c r="AY589" s="3">
        <v>9.3000000000000007</v>
      </c>
      <c r="AZ589" s="3">
        <v>0</v>
      </c>
      <c r="BA589" s="3">
        <v>0</v>
      </c>
      <c r="BB589" s="3">
        <v>0</v>
      </c>
      <c r="BC589" s="3">
        <v>40.162627118218197</v>
      </c>
      <c r="BD589" s="3">
        <v>45.037372881781806</v>
      </c>
      <c r="BE589" s="3">
        <v>43.637372881781815</v>
      </c>
      <c r="BF589" s="3">
        <v>41.797372881781811</v>
      </c>
      <c r="BG589" s="3">
        <v>39.024039548448471</v>
      </c>
      <c r="BH589" s="3">
        <v>35.26403954844848</v>
      </c>
      <c r="BI589" s="3">
        <v>32.87737288178181</v>
      </c>
      <c r="BJ589" s="3">
        <v>38.170706215115146</v>
      </c>
      <c r="BK589" s="3">
        <v>40.644039548448475</v>
      </c>
      <c r="BL589" s="3">
        <v>45.717372881781799</v>
      </c>
      <c r="BM589" s="3">
        <v>39.750706215115144</v>
      </c>
      <c r="BN589" s="3">
        <v>39.13403954844847</v>
      </c>
      <c r="BO589" s="3">
        <v>39.100706215115139</v>
      </c>
      <c r="BP589" s="3">
        <v>36.51737288178181</v>
      </c>
      <c r="BQ589" s="3">
        <v>35.434039548448467</v>
      </c>
      <c r="BR589" s="3">
        <v>33.560706215115133</v>
      </c>
      <c r="BS589" s="3">
        <v>32.26403954844848</v>
      </c>
      <c r="BT589" s="3">
        <v>30.26070621511515</v>
      </c>
      <c r="BU589" s="3">
        <v>27.227372881781818</v>
      </c>
      <c r="BV589" s="3">
        <v>24.644039548448475</v>
      </c>
      <c r="BW589" s="3">
        <v>22.777372881781808</v>
      </c>
      <c r="BX589" s="3">
        <v>19.297372881781811</v>
      </c>
      <c r="BY589" s="3">
        <v>15.817372881781807</v>
      </c>
      <c r="BZ589" s="3">
        <v>25.847372881781808</v>
      </c>
      <c r="CA589" s="3">
        <v>9.8473728817818014</v>
      </c>
      <c r="CB589" s="3">
        <v>8.3840395484484702</v>
      </c>
      <c r="CC589" s="3">
        <v>8.8973728817818056</v>
      </c>
      <c r="CD589" s="3">
        <v>8.4040395484484804</v>
      </c>
      <c r="CE589" s="3">
        <v>8.7973728817818042</v>
      </c>
      <c r="CF589" s="3">
        <v>-0.88929378488486321</v>
      </c>
      <c r="CG589" s="3">
        <v>-1.4226271182181947</v>
      </c>
      <c r="CH589" s="3">
        <v>-2.4992937848848626</v>
      </c>
      <c r="CI589" s="13">
        <f>[1]!dbasum(RecData[[#This Row],[20]:[2000]],RecData[[#Headers],[20]:[2000]])</f>
        <v>39.865505237515023</v>
      </c>
      <c r="CJ589" s="14">
        <v>8357</v>
      </c>
      <c r="CK589" s="15" t="s">
        <v>249</v>
      </c>
      <c r="CL589" s="15">
        <f>RecData[[#This Row],[Start Time]]</f>
        <v>43270.125</v>
      </c>
      <c r="CM589" s="16">
        <f>RecData[[#This Row],[Wind Speed avg]]</f>
        <v>0.54</v>
      </c>
      <c r="CN589" s="16">
        <f>RecData[[#This Row],[Wind Dir. avg]]</f>
        <v>206.8</v>
      </c>
      <c r="CO589" s="16">
        <f>RecData[[#This Row],[Amb. Humidity]]</f>
        <v>80</v>
      </c>
      <c r="CP589" s="16">
        <f>RecData[[#This Row],[Amb. Temperature]]</f>
        <v>12.6</v>
      </c>
      <c r="CQ589" s="17">
        <f>RecData[[#This Row],[Amb. Rain Gauge]]</f>
        <v>0</v>
      </c>
      <c r="CR589" s="4" t="s">
        <v>1</v>
      </c>
      <c r="CS589" s="4" t="s">
        <v>49</v>
      </c>
      <c r="CT589" s="70">
        <v>1447.7529296875</v>
      </c>
      <c r="CU589" s="70">
        <v>39.000335693359297</v>
      </c>
      <c r="CV589" s="70">
        <v>9.2391586303710902</v>
      </c>
      <c r="CW589" s="70">
        <v>15.293469429016101</v>
      </c>
      <c r="CX589" s="4"/>
      <c r="CY589" s="69"/>
      <c r="CZ589" s="2" t="b">
        <f>IF($DP$1="YES",IF(RecData[[#This Row],[Power (kW)]]&gt;=$CR$3, TRUE,FALSE),TRUE)</f>
        <v>1</v>
      </c>
      <c r="DA589" s="16">
        <f>MIN(MOD(180-ABS(ABS($DA$1-RecData[Yaw Angle (°)])-180),360),MOD(180-ABS(ABS($DB$1-RecData[Yaw Angle (°)])-180),360))</f>
        <v>31.470408915671754</v>
      </c>
      <c r="DB589" s="2" t="str">
        <f>IF($DP$2="None","None",IF(RecData[[#This Row],[Relative Wind Direction]]&lt;=45,"DW",IF(RecData[[#This Row],[Relative Wind Direction]]&lt;=135,"CW","UW")))</f>
        <v>DW</v>
      </c>
      <c r="DC589" s="61">
        <f>IF($CL589-$CL585&gt;1/24,#REF!,IF(SUM($CQ585:$CQ589)&gt;$DS$1,$DS$5,DC590-1))</f>
        <v>-6</v>
      </c>
      <c r="DD589" s="61">
        <f>IF($CL590-$CL589&gt;1/24,#REF!,IF(SUM($CQ585:$CQ589)&gt;$DS$1,$DS$6,DD588-1))</f>
        <v>-5</v>
      </c>
      <c r="DE589" s="18" t="b">
        <v>0</v>
      </c>
      <c r="DF589" s="2" t="b">
        <f>IF(OR(RecData[[#This Row],[WSpd_Avg '[m/s']]]-RecData[[#This Row],[Wind Speed min]]&gt;=$DF$3,RecData[[#This Row],[Wind Speed max]]-RecData[[#This Row],[WSpd_Avg '[m/s']]]&gt;=$DF$2),TRUE,FALSE)</f>
        <v>0</v>
      </c>
      <c r="DG589" s="2" t="b">
        <f>RecData[[#This Row],[Temperature '[°C']]]&lt;=-20</f>
        <v>0</v>
      </c>
      <c r="DH589" s="18" t="b">
        <f>NOT(OR(MOD(RecData[[#This Row],[TIMESTAMP]],1)&gt;0.91632,MOD(RecData[[#This Row],[TIMESTAMP]],1)&lt;0.208681))</f>
        <v>0</v>
      </c>
      <c r="DI589" s="18" t="b">
        <f>RecData[[#This Row],[Overall (dBA)]]-RecData[[#This Row],[L90]]&gt;=$DS$4</f>
        <v>0</v>
      </c>
      <c r="DJ589" s="18" t="b">
        <f>RecData[[#This Row],[Overall (dBA)]]&gt;$DS$2</f>
        <v>0</v>
      </c>
      <c r="DK589" s="18" t="b">
        <f>RecData[[#This Row],[Overall (dBA)]]&lt;$DS$3</f>
        <v>0</v>
      </c>
      <c r="DL5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89" s="2">
        <f>IF(AND(RecData[[#This Row],[Turbines ON/OFF]] = "OFF", NOT(OR(RecData[[#This Row],[Junk?]]="YES",RecData[[#This Row],[Gust?]],RecData[[#This Row],[Rain?]:[Min SPL Threshold?]]))),1,0)</f>
        <v>0</v>
      </c>
      <c r="DN589" s="16">
        <f>RecData[[#This Row],[dBA Sum]]</f>
        <v>39.865505237515023</v>
      </c>
      <c r="DO589" s="16">
        <f>RecData[[#This Row],[LAF90.0]]</f>
        <v>39</v>
      </c>
      <c r="DP589" s="55">
        <f>IF(AND(RecData[[#This Row],[Useable TON Data?]],RecData[[#This Row],[Turbines ON/OFF]]="ON"),RecData[[#This Row],[dBA Sum]],"")</f>
        <v>39.865505237515023</v>
      </c>
      <c r="DQ589" s="55" t="str">
        <f>IF(AND(RecData[[#This Row],[Useable Background Data?]],RecData[[#This Row],[Turbines ON/OFF]]="OFF"),RecData[[#This Row],[dBA Sum]],"")</f>
        <v/>
      </c>
      <c r="DR589" s="3">
        <f>IF(OR(RecData[[#This Row],[Useable TON Data?]],RecData[[#This Row],[Useable Background Data?]]),ROUND(RecData[[#This Row],[WSpd_Avg '[m/s']]],0),"")</f>
        <v>1</v>
      </c>
      <c r="DS589" s="85">
        <f>(0.00002)^2*(10^(RecData[[#This Row],[Overall (dBA)]]/10))</f>
        <v>3.8780242018244858E-6</v>
      </c>
    </row>
    <row r="590" spans="1:123" ht="15" x14ac:dyDescent="0.25">
      <c r="A590" s="3" t="s">
        <v>249</v>
      </c>
      <c r="B590" s="12">
        <v>43270.125694444447</v>
      </c>
      <c r="C590" s="3"/>
      <c r="D590" s="3">
        <v>40.6</v>
      </c>
      <c r="E590" s="3"/>
      <c r="F590" s="3"/>
      <c r="G590" s="3"/>
      <c r="H590" s="3"/>
      <c r="I590" s="3"/>
      <c r="J590" s="3"/>
      <c r="K590" s="3">
        <v>39.299999999999997</v>
      </c>
      <c r="L590" s="3"/>
      <c r="M590" s="3"/>
      <c r="N590" s="3">
        <v>163.4</v>
      </c>
      <c r="O590" s="3"/>
      <c r="P590" s="3"/>
      <c r="Q590" s="3">
        <v>0.65</v>
      </c>
      <c r="R590" s="3">
        <v>0.5</v>
      </c>
      <c r="S590" s="3">
        <v>0.8</v>
      </c>
      <c r="T590" s="3">
        <v>12.5</v>
      </c>
      <c r="U590" s="3">
        <v>80.599999999999994</v>
      </c>
      <c r="V590" s="3">
        <v>973.1</v>
      </c>
      <c r="W590" s="3">
        <v>0</v>
      </c>
      <c r="X590" s="3">
        <v>44.9</v>
      </c>
      <c r="Y590" s="3">
        <v>44</v>
      </c>
      <c r="Z590" s="3">
        <v>43.8</v>
      </c>
      <c r="AA590" s="3">
        <v>39.9</v>
      </c>
      <c r="AB590" s="3">
        <v>35.4</v>
      </c>
      <c r="AC590" s="3">
        <v>32.6</v>
      </c>
      <c r="AD590" s="3">
        <v>38.200000000000003</v>
      </c>
      <c r="AE590" s="3">
        <v>40.799999999999997</v>
      </c>
      <c r="AF590" s="3">
        <v>46.5</v>
      </c>
      <c r="AG590" s="3">
        <v>39.700000000000003</v>
      </c>
      <c r="AH590" s="3">
        <v>38.799999999999997</v>
      </c>
      <c r="AI590" s="3">
        <v>39.4</v>
      </c>
      <c r="AJ590" s="3">
        <v>37.4</v>
      </c>
      <c r="AK590" s="3">
        <v>35.700000000000003</v>
      </c>
      <c r="AL590" s="3">
        <v>33.5</v>
      </c>
      <c r="AM590" s="3">
        <v>32.6</v>
      </c>
      <c r="AN590" s="3">
        <v>30.4</v>
      </c>
      <c r="AO590" s="3">
        <v>27</v>
      </c>
      <c r="AP590" s="3">
        <v>24.6</v>
      </c>
      <c r="AQ590" s="3">
        <v>22.3</v>
      </c>
      <c r="AR590" s="3">
        <v>19</v>
      </c>
      <c r="AS590" s="3">
        <v>16.2</v>
      </c>
      <c r="AT590" s="3">
        <v>29.1</v>
      </c>
      <c r="AU590" s="3">
        <v>11.1</v>
      </c>
      <c r="AV590" s="3">
        <v>8.6999999999999993</v>
      </c>
      <c r="AW590" s="3">
        <v>9</v>
      </c>
      <c r="AX590" s="3">
        <v>9.1</v>
      </c>
      <c r="AY590" s="3">
        <v>9.3000000000000007</v>
      </c>
      <c r="AZ590" s="3">
        <v>0</v>
      </c>
      <c r="BA590" s="3">
        <v>0</v>
      </c>
      <c r="BB590" s="3">
        <v>0</v>
      </c>
      <c r="BC590" s="3">
        <v>40.570271407506617</v>
      </c>
      <c r="BD590" s="3">
        <v>44.929728592493383</v>
      </c>
      <c r="BE590" s="3">
        <v>44.029728592493377</v>
      </c>
      <c r="BF590" s="3">
        <v>42.58972859249338</v>
      </c>
      <c r="BG590" s="3">
        <v>39.016395259160056</v>
      </c>
      <c r="BH590" s="3">
        <v>34.656395259160043</v>
      </c>
      <c r="BI590" s="3">
        <v>32.269728592493387</v>
      </c>
      <c r="BJ590" s="3">
        <v>38.663061925826717</v>
      </c>
      <c r="BK590" s="3">
        <v>41.136395259160047</v>
      </c>
      <c r="BL590" s="3">
        <v>46.409728592493387</v>
      </c>
      <c r="BM590" s="3">
        <v>39.743061925826716</v>
      </c>
      <c r="BN590" s="3">
        <v>39.126395259160041</v>
      </c>
      <c r="BO590" s="3">
        <v>39.09306192582671</v>
      </c>
      <c r="BP590" s="3">
        <v>36.809728592493379</v>
      </c>
      <c r="BQ590" s="3">
        <v>35.526395259160047</v>
      </c>
      <c r="BR590" s="3">
        <v>33.653061925826712</v>
      </c>
      <c r="BS590" s="3">
        <v>32.556395259160048</v>
      </c>
      <c r="BT590" s="3">
        <v>30.553061925826718</v>
      </c>
      <c r="BU590" s="3">
        <v>27.119728592493381</v>
      </c>
      <c r="BV590" s="3">
        <v>24.436395259160058</v>
      </c>
      <c r="BW590" s="3">
        <v>22.669728592493392</v>
      </c>
      <c r="BX590" s="3">
        <v>19.28972859249339</v>
      </c>
      <c r="BY590" s="3">
        <v>16.309728592493379</v>
      </c>
      <c r="BZ590" s="3">
        <v>29.339728592493394</v>
      </c>
      <c r="CA590" s="3">
        <v>11.439728592493374</v>
      </c>
      <c r="CB590" s="3">
        <v>8.47639525916005</v>
      </c>
      <c r="CC590" s="3">
        <v>8.9897285924933854</v>
      </c>
      <c r="CD590" s="3">
        <v>8.3963952591600517</v>
      </c>
      <c r="CE590" s="3">
        <v>8.7897285924933826</v>
      </c>
      <c r="CF590" s="3">
        <v>-0.89693807417328486</v>
      </c>
      <c r="CG590" s="3">
        <v>-1.4302714075066163</v>
      </c>
      <c r="CH590" s="3">
        <v>-2.5069380741732843</v>
      </c>
      <c r="CI590" s="13">
        <f>[1]!dbasum(RecData[[#This Row],[20]:[2000]],RecData[[#Headers],[20]:[2000]])</f>
        <v>40.036788959803374</v>
      </c>
      <c r="CJ590" s="14">
        <v>8358</v>
      </c>
      <c r="CK590" s="15" t="s">
        <v>249</v>
      </c>
      <c r="CL590" s="15">
        <f>RecData[[#This Row],[Start Time]]</f>
        <v>43270.125694444447</v>
      </c>
      <c r="CM590" s="16">
        <f>RecData[[#This Row],[Wind Speed avg]]</f>
        <v>0.65</v>
      </c>
      <c r="CN590" s="16">
        <f>RecData[[#This Row],[Wind Dir. avg]]</f>
        <v>163.4</v>
      </c>
      <c r="CO590" s="16">
        <f>RecData[[#This Row],[Amb. Humidity]]</f>
        <v>80.599999999999994</v>
      </c>
      <c r="CP590" s="16">
        <f>RecData[[#This Row],[Amb. Temperature]]</f>
        <v>12.5</v>
      </c>
      <c r="CQ590" s="17">
        <f>RecData[[#This Row],[Amb. Rain Gauge]]</f>
        <v>0</v>
      </c>
      <c r="CR590" s="4" t="s">
        <v>1</v>
      </c>
      <c r="CS590" s="4" t="s">
        <v>49</v>
      </c>
      <c r="CT590" s="70">
        <v>1591.94165039062</v>
      </c>
      <c r="CU590" s="70">
        <v>38.868030548095703</v>
      </c>
      <c r="CV590" s="70">
        <v>9.7373723983764595</v>
      </c>
      <c r="CW590" s="70">
        <v>15.3728008270263</v>
      </c>
      <c r="CX590" s="4"/>
      <c r="CY590" s="69"/>
      <c r="CZ590" s="2" t="b">
        <f>IF($DP$1="YES",IF(RecData[[#This Row],[Power (kW)]]&gt;=$CR$3, TRUE,FALSE),TRUE)</f>
        <v>1</v>
      </c>
      <c r="DA590" s="16">
        <f>MIN(MOD(180-ABS(ABS($DA$1-RecData[Yaw Angle (°)])-180),360),MOD(180-ABS(ABS($DB$1-RecData[Yaw Angle (°)])-180),360))</f>
        <v>31.338103770408168</v>
      </c>
      <c r="DB590" s="2" t="str">
        <f>IF($DP$2="None","None",IF(RecData[[#This Row],[Relative Wind Direction]]&lt;=45,"DW",IF(RecData[[#This Row],[Relative Wind Direction]]&lt;=135,"CW","UW")))</f>
        <v>DW</v>
      </c>
      <c r="DC590" s="61">
        <f>IF($CL590-$CL586&gt;1/24,#REF!,IF(SUM($CQ586:$CQ590)&gt;$DS$1,$DS$5,DC591-1))</f>
        <v>-5</v>
      </c>
      <c r="DD590" s="61">
        <f>IF($CL591-$CL590&gt;1/24,#REF!,IF(SUM($CQ586:$CQ590)&gt;$DS$1,$DS$6,DD589-1))</f>
        <v>-6</v>
      </c>
      <c r="DE590" s="18" t="b">
        <v>0</v>
      </c>
      <c r="DF590" s="2" t="b">
        <f>IF(OR(RecData[[#This Row],[WSpd_Avg '[m/s']]]-RecData[[#This Row],[Wind Speed min]]&gt;=$DF$3,RecData[[#This Row],[Wind Speed max]]-RecData[[#This Row],[WSpd_Avg '[m/s']]]&gt;=$DF$2),TRUE,FALSE)</f>
        <v>0</v>
      </c>
      <c r="DG590" s="2" t="b">
        <f>RecData[[#This Row],[Temperature '[°C']]]&lt;=-20</f>
        <v>0</v>
      </c>
      <c r="DH590" s="18" t="b">
        <f>NOT(OR(MOD(RecData[[#This Row],[TIMESTAMP]],1)&gt;0.91632,MOD(RecData[[#This Row],[TIMESTAMP]],1)&lt;0.208681))</f>
        <v>0</v>
      </c>
      <c r="DI590" s="18" t="b">
        <f>RecData[[#This Row],[Overall (dBA)]]-RecData[[#This Row],[L90]]&gt;=$DS$4</f>
        <v>0</v>
      </c>
      <c r="DJ590" s="18" t="b">
        <f>RecData[[#This Row],[Overall (dBA)]]&gt;$DS$2</f>
        <v>0</v>
      </c>
      <c r="DK590" s="18" t="b">
        <f>RecData[[#This Row],[Overall (dBA)]]&lt;$DS$3</f>
        <v>0</v>
      </c>
      <c r="DL5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0" s="2">
        <f>IF(AND(RecData[[#This Row],[Turbines ON/OFF]] = "OFF", NOT(OR(RecData[[#This Row],[Junk?]]="YES",RecData[[#This Row],[Gust?]],RecData[[#This Row],[Rain?]:[Min SPL Threshold?]]))),1,0)</f>
        <v>0</v>
      </c>
      <c r="DN590" s="16">
        <f>RecData[[#This Row],[dBA Sum]]</f>
        <v>40.036788959803374</v>
      </c>
      <c r="DO590" s="16">
        <f>RecData[[#This Row],[LAF90.0]]</f>
        <v>39.299999999999997</v>
      </c>
      <c r="DP590" s="55">
        <f>IF(AND(RecData[[#This Row],[Useable TON Data?]],RecData[[#This Row],[Turbines ON/OFF]]="ON"),RecData[[#This Row],[dBA Sum]],"")</f>
        <v>40.036788959803374</v>
      </c>
      <c r="DQ590" s="55" t="str">
        <f>IF(AND(RecData[[#This Row],[Useable Background Data?]],RecData[[#This Row],[Turbines ON/OFF]]="OFF"),RecData[[#This Row],[dBA Sum]],"")</f>
        <v/>
      </c>
      <c r="DR590" s="3">
        <f>IF(OR(RecData[[#This Row],[Useable TON Data?]],RecData[[#This Row],[Useable Background Data?]]),ROUND(RecData[[#This Row],[WSpd_Avg '[m/s']]],0),"")</f>
        <v>1</v>
      </c>
      <c r="DS590" s="85">
        <f>(0.00002)^2*(10^(RecData[[#This Row],[Overall (dBA)]]/10))</f>
        <v>4.0340278049687671E-6</v>
      </c>
    </row>
    <row r="591" spans="1:123" ht="15" x14ac:dyDescent="0.25">
      <c r="A591" s="3" t="s">
        <v>249</v>
      </c>
      <c r="B591" s="12">
        <v>43270.126388888886</v>
      </c>
      <c r="C591" s="3"/>
      <c r="D591" s="3">
        <v>40.299999999999997</v>
      </c>
      <c r="E591" s="3"/>
      <c r="F591" s="3"/>
      <c r="G591" s="3"/>
      <c r="H591" s="3"/>
      <c r="I591" s="3"/>
      <c r="J591" s="3"/>
      <c r="K591" s="3">
        <v>39.200000000000003</v>
      </c>
      <c r="L591" s="3"/>
      <c r="M591" s="3"/>
      <c r="N591" s="3">
        <v>173.2</v>
      </c>
      <c r="O591" s="3"/>
      <c r="P591" s="3"/>
      <c r="Q591" s="3">
        <v>0.62</v>
      </c>
      <c r="R591" s="3">
        <v>0.2</v>
      </c>
      <c r="S591" s="3">
        <v>0.8</v>
      </c>
      <c r="T591" s="3">
        <v>12.5</v>
      </c>
      <c r="U591" s="3">
        <v>80.5</v>
      </c>
      <c r="V591" s="3">
        <v>973.1</v>
      </c>
      <c r="W591" s="3">
        <v>0</v>
      </c>
      <c r="X591" s="3">
        <v>46</v>
      </c>
      <c r="Y591" s="3">
        <v>44.8</v>
      </c>
      <c r="Z591" s="3">
        <v>44.2</v>
      </c>
      <c r="AA591" s="3">
        <v>40.5</v>
      </c>
      <c r="AB591" s="3">
        <v>36.200000000000003</v>
      </c>
      <c r="AC591" s="3">
        <v>34.4</v>
      </c>
      <c r="AD591" s="3">
        <v>38.200000000000003</v>
      </c>
      <c r="AE591" s="3">
        <v>40.299999999999997</v>
      </c>
      <c r="AF591" s="3">
        <v>45.6</v>
      </c>
      <c r="AG591" s="3">
        <v>40</v>
      </c>
      <c r="AH591" s="3">
        <v>38.9</v>
      </c>
      <c r="AI591" s="3">
        <v>39.299999999999997</v>
      </c>
      <c r="AJ591" s="3">
        <v>37.299999999999997</v>
      </c>
      <c r="AK591" s="3">
        <v>35.9</v>
      </c>
      <c r="AL591" s="3">
        <v>33.700000000000003</v>
      </c>
      <c r="AM591" s="3">
        <v>32.4</v>
      </c>
      <c r="AN591" s="3">
        <v>30.1</v>
      </c>
      <c r="AO591" s="3">
        <v>26.8</v>
      </c>
      <c r="AP591" s="3">
        <v>24</v>
      </c>
      <c r="AQ591" s="3">
        <v>22.1</v>
      </c>
      <c r="AR591" s="3">
        <v>18.7</v>
      </c>
      <c r="AS591" s="3">
        <v>15.7</v>
      </c>
      <c r="AT591" s="3">
        <v>27.1</v>
      </c>
      <c r="AU591" s="3">
        <v>9.6</v>
      </c>
      <c r="AV591" s="3">
        <v>8.6</v>
      </c>
      <c r="AW591" s="3">
        <v>9</v>
      </c>
      <c r="AX591" s="3">
        <v>9.1999999999999993</v>
      </c>
      <c r="AY591" s="3">
        <v>9.4</v>
      </c>
      <c r="AZ591" s="3">
        <v>0</v>
      </c>
      <c r="BA591" s="3">
        <v>0</v>
      </c>
      <c r="BB591" s="3">
        <v>0</v>
      </c>
      <c r="BC591" s="3">
        <v>40.289624731710028</v>
      </c>
      <c r="BD591" s="3">
        <v>46.01037526828997</v>
      </c>
      <c r="BE591" s="3">
        <v>44.810375268289967</v>
      </c>
      <c r="BF591" s="3">
        <v>42.970375268289963</v>
      </c>
      <c r="BG591" s="3">
        <v>39.597041934956628</v>
      </c>
      <c r="BH591" s="3">
        <v>35.437041934956632</v>
      </c>
      <c r="BI591" s="3">
        <v>34.050375268289976</v>
      </c>
      <c r="BJ591" s="3">
        <v>38.64370860162331</v>
      </c>
      <c r="BK591" s="3">
        <v>40.617041934956639</v>
      </c>
      <c r="BL591" s="3">
        <v>45.490375268289974</v>
      </c>
      <c r="BM591" s="3">
        <v>40.023708601623305</v>
      </c>
      <c r="BN591" s="3">
        <v>39.207041934956642</v>
      </c>
      <c r="BO591" s="3">
        <v>38.973708601623294</v>
      </c>
      <c r="BP591" s="3">
        <v>36.690375268289962</v>
      </c>
      <c r="BQ591" s="3">
        <v>35.707041934956628</v>
      </c>
      <c r="BR591" s="3">
        <v>33.833708601623307</v>
      </c>
      <c r="BS591" s="3">
        <v>32.337041934956638</v>
      </c>
      <c r="BT591" s="3">
        <v>30.233708601623313</v>
      </c>
      <c r="BU591" s="3">
        <v>26.90037526828997</v>
      </c>
      <c r="BV591" s="3">
        <v>23.817041934956642</v>
      </c>
      <c r="BW591" s="3">
        <v>22.450375268289974</v>
      </c>
      <c r="BX591" s="3">
        <v>18.970375268289978</v>
      </c>
      <c r="BY591" s="3">
        <v>15.790375268289971</v>
      </c>
      <c r="BZ591" s="3">
        <v>27.320375268289972</v>
      </c>
      <c r="CA591" s="3">
        <v>9.9203752682899662</v>
      </c>
      <c r="CB591" s="3">
        <v>8.3570419349566336</v>
      </c>
      <c r="CC591" s="3">
        <v>8.9703752682899704</v>
      </c>
      <c r="CD591" s="3">
        <v>8.4770419349566382</v>
      </c>
      <c r="CE591" s="3">
        <v>8.870375268289969</v>
      </c>
      <c r="CF591" s="3">
        <v>-0.91629139837669982</v>
      </c>
      <c r="CG591" s="3">
        <v>-1.4496247317100313</v>
      </c>
      <c r="CH591" s="3">
        <v>-2.5262913983766992</v>
      </c>
      <c r="CI591" s="13">
        <f>[1]!dbasum(RecData[[#This Row],[20]:[2000]],RecData[[#Headers],[20]:[2000]])</f>
        <v>39.885812088107969</v>
      </c>
      <c r="CJ591" s="14">
        <v>8359</v>
      </c>
      <c r="CK591" s="15" t="s">
        <v>249</v>
      </c>
      <c r="CL591" s="15">
        <f>RecData[[#This Row],[Start Time]]</f>
        <v>43270.126388888886</v>
      </c>
      <c r="CM591" s="16">
        <f>RecData[[#This Row],[Wind Speed avg]]</f>
        <v>0.62</v>
      </c>
      <c r="CN591" s="16">
        <f>RecData[[#This Row],[Wind Dir. avg]]</f>
        <v>173.2</v>
      </c>
      <c r="CO591" s="16">
        <f>RecData[[#This Row],[Amb. Humidity]]</f>
        <v>80.5</v>
      </c>
      <c r="CP591" s="16">
        <f>RecData[[#This Row],[Amb. Temperature]]</f>
        <v>12.5</v>
      </c>
      <c r="CQ591" s="17">
        <f>RecData[[#This Row],[Amb. Rain Gauge]]</f>
        <v>0</v>
      </c>
      <c r="CR591" s="4" t="s">
        <v>1</v>
      </c>
      <c r="CS591" s="4" t="s">
        <v>49</v>
      </c>
      <c r="CT591" s="70">
        <v>1591.94165039062</v>
      </c>
      <c r="CU591" s="70">
        <v>38.868030548095703</v>
      </c>
      <c r="CV591" s="70">
        <v>9.7373723983764595</v>
      </c>
      <c r="CW591" s="70">
        <v>15.3728008270263</v>
      </c>
      <c r="CX591" s="4"/>
      <c r="CY591" s="69"/>
      <c r="CZ591" s="2" t="b">
        <f>IF($DP$1="YES",IF(RecData[[#This Row],[Power (kW)]]&gt;=$CR$3, TRUE,FALSE),TRUE)</f>
        <v>1</v>
      </c>
      <c r="DA591" s="16">
        <f>MIN(MOD(180-ABS(ABS($DA$1-RecData[Yaw Angle (°)])-180),360),MOD(180-ABS(ABS($DB$1-RecData[Yaw Angle (°)])-180),360))</f>
        <v>31.338103770408168</v>
      </c>
      <c r="DB591" s="2" t="str">
        <f>IF($DP$2="None","None",IF(RecData[[#This Row],[Relative Wind Direction]]&lt;=45,"DW",IF(RecData[[#This Row],[Relative Wind Direction]]&lt;=135,"CW","UW")))</f>
        <v>DW</v>
      </c>
      <c r="DC591" s="61">
        <f>IF($CL591-$CL587&gt;1/24,#REF!,IF(SUM($CQ587:$CQ591)&gt;$DS$1,$DS$5,DC592-1))</f>
        <v>-4</v>
      </c>
      <c r="DD591" s="61">
        <f>IF($CL592-$CL591&gt;1/24,#REF!,IF(SUM($CQ587:$CQ591)&gt;$DS$1,$DS$6,DD590-1))</f>
        <v>-7</v>
      </c>
      <c r="DE591" s="18" t="b">
        <v>0</v>
      </c>
      <c r="DF591" s="2" t="b">
        <f>IF(OR(RecData[[#This Row],[WSpd_Avg '[m/s']]]-RecData[[#This Row],[Wind Speed min]]&gt;=$DF$3,RecData[[#This Row],[Wind Speed max]]-RecData[[#This Row],[WSpd_Avg '[m/s']]]&gt;=$DF$2),TRUE,FALSE)</f>
        <v>0</v>
      </c>
      <c r="DG591" s="2" t="b">
        <f>RecData[[#This Row],[Temperature '[°C']]]&lt;=-20</f>
        <v>0</v>
      </c>
      <c r="DH591" s="18" t="b">
        <f>NOT(OR(MOD(RecData[[#This Row],[TIMESTAMP]],1)&gt;0.91632,MOD(RecData[[#This Row],[TIMESTAMP]],1)&lt;0.208681))</f>
        <v>0</v>
      </c>
      <c r="DI591" s="18" t="b">
        <f>RecData[[#This Row],[Overall (dBA)]]-RecData[[#This Row],[L90]]&gt;=$DS$4</f>
        <v>0</v>
      </c>
      <c r="DJ591" s="18" t="b">
        <f>RecData[[#This Row],[Overall (dBA)]]&gt;$DS$2</f>
        <v>0</v>
      </c>
      <c r="DK591" s="18" t="b">
        <f>RecData[[#This Row],[Overall (dBA)]]&lt;$DS$3</f>
        <v>0</v>
      </c>
      <c r="DL5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1" s="2">
        <f>IF(AND(RecData[[#This Row],[Turbines ON/OFF]] = "OFF", NOT(OR(RecData[[#This Row],[Junk?]]="YES",RecData[[#This Row],[Gust?]],RecData[[#This Row],[Rain?]:[Min SPL Threshold?]]))),1,0)</f>
        <v>0</v>
      </c>
      <c r="DN591" s="16">
        <f>RecData[[#This Row],[dBA Sum]]</f>
        <v>39.885812088107969</v>
      </c>
      <c r="DO591" s="16">
        <f>RecData[[#This Row],[LAF90.0]]</f>
        <v>39.200000000000003</v>
      </c>
      <c r="DP591" s="55">
        <f>IF(AND(RecData[[#This Row],[Useable TON Data?]],RecData[[#This Row],[Turbines ON/OFF]]="ON"),RecData[[#This Row],[dBA Sum]],"")</f>
        <v>39.885812088107969</v>
      </c>
      <c r="DQ591" s="55" t="str">
        <f>IF(AND(RecData[[#This Row],[Useable Background Data?]],RecData[[#This Row],[Turbines ON/OFF]]="OFF"),RecData[[#This Row],[dBA Sum]],"")</f>
        <v/>
      </c>
      <c r="DR591" s="3">
        <f>IF(OR(RecData[[#This Row],[Useable TON Data?]],RecData[[#This Row],[Useable Background Data?]]),ROUND(RecData[[#This Row],[WSpd_Avg '[m/s']]],0),"")</f>
        <v>1</v>
      </c>
      <c r="DS591" s="85">
        <f>(0.00002)^2*(10^(RecData[[#This Row],[Overall (dBA)]]/10))</f>
        <v>3.8961996243387602E-6</v>
      </c>
    </row>
    <row r="592" spans="1:123" ht="15" x14ac:dyDescent="0.25">
      <c r="A592" s="3" t="s">
        <v>249</v>
      </c>
      <c r="B592" s="12">
        <v>43270.127083333333</v>
      </c>
      <c r="C592" s="3"/>
      <c r="D592" s="3">
        <v>40.4</v>
      </c>
      <c r="E592" s="3"/>
      <c r="F592" s="3"/>
      <c r="G592" s="3"/>
      <c r="H592" s="3"/>
      <c r="I592" s="3"/>
      <c r="J592" s="3"/>
      <c r="K592" s="3">
        <v>39</v>
      </c>
      <c r="L592" s="3"/>
      <c r="M592" s="3"/>
      <c r="N592" s="3">
        <v>160.9</v>
      </c>
      <c r="O592" s="3"/>
      <c r="P592" s="3"/>
      <c r="Q592" s="3">
        <v>0.49</v>
      </c>
      <c r="R592" s="3">
        <v>0.1</v>
      </c>
      <c r="S592" s="3">
        <v>0.7</v>
      </c>
      <c r="T592" s="3">
        <v>12.4</v>
      </c>
      <c r="U592" s="3">
        <v>81.2</v>
      </c>
      <c r="V592" s="3">
        <v>973.1</v>
      </c>
      <c r="W592" s="3">
        <v>0</v>
      </c>
      <c r="X592" s="3">
        <v>45.2</v>
      </c>
      <c r="Y592" s="3">
        <v>43.8</v>
      </c>
      <c r="Z592" s="3">
        <v>43.4</v>
      </c>
      <c r="AA592" s="3">
        <v>39.700000000000003</v>
      </c>
      <c r="AB592" s="3">
        <v>35.4</v>
      </c>
      <c r="AC592" s="3">
        <v>33.5</v>
      </c>
      <c r="AD592" s="3">
        <v>38.700000000000003</v>
      </c>
      <c r="AE592" s="3">
        <v>40.700000000000003</v>
      </c>
      <c r="AF592" s="3">
        <v>45.9</v>
      </c>
      <c r="AG592" s="3">
        <v>39.700000000000003</v>
      </c>
      <c r="AH592" s="3">
        <v>39</v>
      </c>
      <c r="AI592" s="3">
        <v>39.299999999999997</v>
      </c>
      <c r="AJ592" s="3">
        <v>37.200000000000003</v>
      </c>
      <c r="AK592" s="3">
        <v>35.5</v>
      </c>
      <c r="AL592" s="3">
        <v>33.200000000000003</v>
      </c>
      <c r="AM592" s="3">
        <v>32.6</v>
      </c>
      <c r="AN592" s="3">
        <v>30.4</v>
      </c>
      <c r="AO592" s="3">
        <v>27.5</v>
      </c>
      <c r="AP592" s="3">
        <v>25.3</v>
      </c>
      <c r="AQ592" s="3">
        <v>23.1</v>
      </c>
      <c r="AR592" s="3">
        <v>19.600000000000001</v>
      </c>
      <c r="AS592" s="3">
        <v>16.899999999999999</v>
      </c>
      <c r="AT592" s="3">
        <v>27.6</v>
      </c>
      <c r="AU592" s="3">
        <v>10.5</v>
      </c>
      <c r="AV592" s="3">
        <v>8.6999999999999993</v>
      </c>
      <c r="AW592" s="3">
        <v>9</v>
      </c>
      <c r="AX592" s="3">
        <v>9.1</v>
      </c>
      <c r="AY592" s="3">
        <v>9.4</v>
      </c>
      <c r="AZ592" s="3">
        <v>0</v>
      </c>
      <c r="BA592" s="3">
        <v>0</v>
      </c>
      <c r="BB592" s="3">
        <v>0</v>
      </c>
      <c r="BC592" s="3">
        <v>40.39875805753794</v>
      </c>
      <c r="BD592" s="3">
        <v>45.201241942462055</v>
      </c>
      <c r="BE592" s="3">
        <v>43.801241942462049</v>
      </c>
      <c r="BF592" s="3">
        <v>42.161241942462063</v>
      </c>
      <c r="BG592" s="3">
        <v>38.787908609128728</v>
      </c>
      <c r="BH592" s="3">
        <v>34.627908609128731</v>
      </c>
      <c r="BI592" s="3">
        <v>33.141241942462052</v>
      </c>
      <c r="BJ592" s="3">
        <v>39.134575275795392</v>
      </c>
      <c r="BK592" s="3">
        <v>41.007908609128727</v>
      </c>
      <c r="BL592" s="3">
        <v>45.781241942462067</v>
      </c>
      <c r="BM592" s="3">
        <v>39.714575275795404</v>
      </c>
      <c r="BN592" s="3">
        <v>39.297908609128719</v>
      </c>
      <c r="BO592" s="3">
        <v>38.96457527579539</v>
      </c>
      <c r="BP592" s="3">
        <v>36.581241942462064</v>
      </c>
      <c r="BQ592" s="3">
        <v>35.297908609128719</v>
      </c>
      <c r="BR592" s="3">
        <v>33.324575275795389</v>
      </c>
      <c r="BS592" s="3">
        <v>32.527908609128737</v>
      </c>
      <c r="BT592" s="3">
        <v>30.524575275795392</v>
      </c>
      <c r="BU592" s="3">
        <v>27.591241942462069</v>
      </c>
      <c r="BV592" s="3">
        <v>25.107908609128721</v>
      </c>
      <c r="BW592" s="3">
        <v>23.441241942462064</v>
      </c>
      <c r="BX592" s="3">
        <v>19.861241942462065</v>
      </c>
      <c r="BY592" s="3">
        <v>16.981241942462056</v>
      </c>
      <c r="BZ592" s="3">
        <v>27.811241942462068</v>
      </c>
      <c r="CA592" s="3">
        <v>10.811241942462054</v>
      </c>
      <c r="CB592" s="3">
        <v>8.4479086091287243</v>
      </c>
      <c r="CC592" s="3">
        <v>8.9612419424620597</v>
      </c>
      <c r="CD592" s="3">
        <v>8.367908609128726</v>
      </c>
      <c r="CE592" s="3">
        <v>8.8612419424620583</v>
      </c>
      <c r="CF592" s="3">
        <v>-0.92542472420461053</v>
      </c>
      <c r="CG592" s="3">
        <v>-1.458758057537942</v>
      </c>
      <c r="CH592" s="3">
        <v>-2.53542472420461</v>
      </c>
      <c r="CI592" s="13">
        <f>[1]!dbasum(RecData[[#This Row],[20]:[2000]],RecData[[#Headers],[20]:[2000]])</f>
        <v>39.957003596636248</v>
      </c>
      <c r="CJ592" s="14">
        <v>8360</v>
      </c>
      <c r="CK592" s="15" t="s">
        <v>249</v>
      </c>
      <c r="CL592" s="15">
        <f>RecData[[#This Row],[Start Time]]</f>
        <v>43270.127083333333</v>
      </c>
      <c r="CM592" s="16">
        <f>RecData[[#This Row],[Wind Speed avg]]</f>
        <v>0.49</v>
      </c>
      <c r="CN592" s="16">
        <f>RecData[[#This Row],[Wind Dir. avg]]</f>
        <v>160.9</v>
      </c>
      <c r="CO592" s="16">
        <f>RecData[[#This Row],[Amb. Humidity]]</f>
        <v>81.2</v>
      </c>
      <c r="CP592" s="16">
        <f>RecData[[#This Row],[Amb. Temperature]]</f>
        <v>12.4</v>
      </c>
      <c r="CQ592" s="17">
        <f>RecData[[#This Row],[Amb. Rain Gauge]]</f>
        <v>0</v>
      </c>
      <c r="CR592" s="4" t="s">
        <v>1</v>
      </c>
      <c r="CS592" s="4" t="s">
        <v>49</v>
      </c>
      <c r="CT592" s="70">
        <v>1591.94165039062</v>
      </c>
      <c r="CU592" s="70">
        <v>38.868030548095703</v>
      </c>
      <c r="CV592" s="70">
        <v>9.7373723983764595</v>
      </c>
      <c r="CW592" s="70">
        <v>15.3728008270263</v>
      </c>
      <c r="CX592" s="4"/>
      <c r="CY592" s="69"/>
      <c r="CZ592" s="2" t="b">
        <f>IF($DP$1="YES",IF(RecData[[#This Row],[Power (kW)]]&gt;=$CR$3, TRUE,FALSE),TRUE)</f>
        <v>1</v>
      </c>
      <c r="DA592" s="16">
        <f>MIN(MOD(180-ABS(ABS($DA$1-RecData[Yaw Angle (°)])-180),360),MOD(180-ABS(ABS($DB$1-RecData[Yaw Angle (°)])-180),360))</f>
        <v>31.338103770408168</v>
      </c>
      <c r="DB592" s="2" t="str">
        <f>IF($DP$2="None","None",IF(RecData[[#This Row],[Relative Wind Direction]]&lt;=45,"DW",IF(RecData[[#This Row],[Relative Wind Direction]]&lt;=135,"CW","UW")))</f>
        <v>DW</v>
      </c>
      <c r="DC592" s="61">
        <f>IF($CL592-$CL588&gt;1/24,#REF!,IF(SUM($CQ588:$CQ592)&gt;$DS$1,$DS$5,DC593-1))</f>
        <v>-3</v>
      </c>
      <c r="DD592" s="61">
        <f>IF($CL593-$CL592&gt;1/24,#REF!,IF(SUM($CQ588:$CQ592)&gt;$DS$1,$DS$6,DD591-1))</f>
        <v>-8</v>
      </c>
      <c r="DE592" s="18" t="b">
        <v>0</v>
      </c>
      <c r="DF592" s="2" t="b">
        <f>IF(OR(RecData[[#This Row],[WSpd_Avg '[m/s']]]-RecData[[#This Row],[Wind Speed min]]&gt;=$DF$3,RecData[[#This Row],[Wind Speed max]]-RecData[[#This Row],[WSpd_Avg '[m/s']]]&gt;=$DF$2),TRUE,FALSE)</f>
        <v>0</v>
      </c>
      <c r="DG592" s="2" t="b">
        <f>RecData[[#This Row],[Temperature '[°C']]]&lt;=-20</f>
        <v>0</v>
      </c>
      <c r="DH592" s="18" t="b">
        <f>NOT(OR(MOD(RecData[[#This Row],[TIMESTAMP]],1)&gt;0.91632,MOD(RecData[[#This Row],[TIMESTAMP]],1)&lt;0.208681))</f>
        <v>0</v>
      </c>
      <c r="DI592" s="18" t="b">
        <f>RecData[[#This Row],[Overall (dBA)]]-RecData[[#This Row],[L90]]&gt;=$DS$4</f>
        <v>0</v>
      </c>
      <c r="DJ592" s="18" t="b">
        <f>RecData[[#This Row],[Overall (dBA)]]&gt;$DS$2</f>
        <v>0</v>
      </c>
      <c r="DK592" s="18" t="b">
        <f>RecData[[#This Row],[Overall (dBA)]]&lt;$DS$3</f>
        <v>0</v>
      </c>
      <c r="DL5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2" s="2">
        <f>IF(AND(RecData[[#This Row],[Turbines ON/OFF]] = "OFF", NOT(OR(RecData[[#This Row],[Junk?]]="YES",RecData[[#This Row],[Gust?]],RecData[[#This Row],[Rain?]:[Min SPL Threshold?]]))),1,0)</f>
        <v>0</v>
      </c>
      <c r="DN592" s="16">
        <f>RecData[[#This Row],[dBA Sum]]</f>
        <v>39.957003596636248</v>
      </c>
      <c r="DO592" s="16">
        <f>RecData[[#This Row],[LAF90.0]]</f>
        <v>39</v>
      </c>
      <c r="DP592" s="55">
        <f>IF(AND(RecData[[#This Row],[Useable TON Data?]],RecData[[#This Row],[Turbines ON/OFF]]="ON"),RecData[[#This Row],[dBA Sum]],"")</f>
        <v>39.957003596636248</v>
      </c>
      <c r="DQ592" s="55" t="str">
        <f>IF(AND(RecData[[#This Row],[Useable Background Data?]],RecData[[#This Row],[Turbines ON/OFF]]="OFF"),RecData[[#This Row],[dBA Sum]],"")</f>
        <v/>
      </c>
      <c r="DR592" s="3">
        <f>IF(OR(RecData[[#This Row],[Useable TON Data?]],RecData[[#This Row],[Useable Background Data?]]),ROUND(RecData[[#This Row],[WSpd_Avg '[m/s']]],0),"")</f>
        <v>0</v>
      </c>
      <c r="DS592" s="85">
        <f>(0.00002)^2*(10^(RecData[[#This Row],[Overall (dBA)]]/10))</f>
        <v>3.9605942350953371E-6</v>
      </c>
    </row>
    <row r="593" spans="1:123" ht="15" x14ac:dyDescent="0.25">
      <c r="A593" s="3" t="s">
        <v>249</v>
      </c>
      <c r="B593" s="12">
        <v>43270.12777777778</v>
      </c>
      <c r="C593" s="3"/>
      <c r="D593" s="3">
        <v>40.9</v>
      </c>
      <c r="E593" s="3"/>
      <c r="F593" s="3"/>
      <c r="G593" s="3"/>
      <c r="H593" s="3"/>
      <c r="I593" s="3"/>
      <c r="J593" s="3"/>
      <c r="K593" s="3">
        <v>39</v>
      </c>
      <c r="L593" s="3"/>
      <c r="M593" s="3"/>
      <c r="N593" s="3">
        <v>209.4</v>
      </c>
      <c r="O593" s="3"/>
      <c r="P593" s="3"/>
      <c r="Q593" s="3">
        <v>0.57999999999999996</v>
      </c>
      <c r="R593" s="3">
        <v>0.4</v>
      </c>
      <c r="S593" s="3">
        <v>0.8</v>
      </c>
      <c r="T593" s="3">
        <v>12.4</v>
      </c>
      <c r="U593" s="3">
        <v>81.099999999999994</v>
      </c>
      <c r="V593" s="3">
        <v>973.1</v>
      </c>
      <c r="W593" s="3">
        <v>0</v>
      </c>
      <c r="X593" s="3">
        <v>45.6</v>
      </c>
      <c r="Y593" s="3">
        <v>44.8</v>
      </c>
      <c r="Z593" s="3">
        <v>43.5</v>
      </c>
      <c r="AA593" s="3">
        <v>39.299999999999997</v>
      </c>
      <c r="AB593" s="3">
        <v>35.299999999999997</v>
      </c>
      <c r="AC593" s="3">
        <v>33.200000000000003</v>
      </c>
      <c r="AD593" s="3">
        <v>38.4</v>
      </c>
      <c r="AE593" s="3">
        <v>41</v>
      </c>
      <c r="AF593" s="3">
        <v>46.2</v>
      </c>
      <c r="AG593" s="3">
        <v>40.1</v>
      </c>
      <c r="AH593" s="3">
        <v>39.200000000000003</v>
      </c>
      <c r="AI593" s="3">
        <v>39.299999999999997</v>
      </c>
      <c r="AJ593" s="3">
        <v>37.799999999999997</v>
      </c>
      <c r="AK593" s="3">
        <v>36.1</v>
      </c>
      <c r="AL593" s="3">
        <v>34.4</v>
      </c>
      <c r="AM593" s="3">
        <v>33.6</v>
      </c>
      <c r="AN593" s="3">
        <v>31.3</v>
      </c>
      <c r="AO593" s="3">
        <v>27.7</v>
      </c>
      <c r="AP593" s="3">
        <v>25.9</v>
      </c>
      <c r="AQ593" s="3">
        <v>22.7</v>
      </c>
      <c r="AR593" s="3">
        <v>19.2</v>
      </c>
      <c r="AS593" s="3">
        <v>15.4</v>
      </c>
      <c r="AT593" s="3">
        <v>27.4</v>
      </c>
      <c r="AU593" s="3">
        <v>9.8000000000000007</v>
      </c>
      <c r="AV593" s="3">
        <v>8.6999999999999993</v>
      </c>
      <c r="AW593" s="3">
        <v>9</v>
      </c>
      <c r="AX593" s="3">
        <v>9.1</v>
      </c>
      <c r="AY593" s="3">
        <v>9.4</v>
      </c>
      <c r="AZ593" s="3">
        <v>0</v>
      </c>
      <c r="BA593" s="3">
        <v>0</v>
      </c>
      <c r="BB593" s="3">
        <v>0</v>
      </c>
      <c r="BC593" s="3">
        <v>40.890238484653707</v>
      </c>
      <c r="BD593" s="3">
        <v>45.609761515346293</v>
      </c>
      <c r="BE593" s="3">
        <v>44.809761515346281</v>
      </c>
      <c r="BF593" s="3">
        <v>42.269761515346289</v>
      </c>
      <c r="BG593" s="3">
        <v>38.396428182012954</v>
      </c>
      <c r="BH593" s="3">
        <v>34.536428182012955</v>
      </c>
      <c r="BI593" s="3">
        <v>32.849761515346302</v>
      </c>
      <c r="BJ593" s="3">
        <v>38.843094848679613</v>
      </c>
      <c r="BK593" s="3">
        <v>41.316428182012956</v>
      </c>
      <c r="BL593" s="3">
        <v>46.089761515346297</v>
      </c>
      <c r="BM593" s="3">
        <v>40.123094848679628</v>
      </c>
      <c r="BN593" s="3">
        <v>39.506428182012968</v>
      </c>
      <c r="BO593" s="3">
        <v>38.973094848679622</v>
      </c>
      <c r="BP593" s="3">
        <v>37.189761515346291</v>
      </c>
      <c r="BQ593" s="3">
        <v>35.906428182012945</v>
      </c>
      <c r="BR593" s="3">
        <v>34.533094848679625</v>
      </c>
      <c r="BS593" s="3">
        <v>33.536428182012969</v>
      </c>
      <c r="BT593" s="3">
        <v>31.43309484867963</v>
      </c>
      <c r="BU593" s="3">
        <v>27.79976151534629</v>
      </c>
      <c r="BV593" s="3">
        <v>25.716428182012962</v>
      </c>
      <c r="BW593" s="3">
        <v>23.04976151534629</v>
      </c>
      <c r="BX593" s="3">
        <v>19.469761515346292</v>
      </c>
      <c r="BY593" s="3">
        <v>15.489761515346288</v>
      </c>
      <c r="BZ593" s="3">
        <v>27.619761515346298</v>
      </c>
      <c r="CA593" s="3">
        <v>10.119761515346283</v>
      </c>
      <c r="CB593" s="3">
        <v>8.4564281820129565</v>
      </c>
      <c r="CC593" s="3">
        <v>8.969761515346292</v>
      </c>
      <c r="CD593" s="3">
        <v>8.3764281820129582</v>
      </c>
      <c r="CE593" s="3">
        <v>8.8697615153462905</v>
      </c>
      <c r="CF593" s="3">
        <v>-0.91690515132037831</v>
      </c>
      <c r="CG593" s="3">
        <v>-1.4502384846537097</v>
      </c>
      <c r="CH593" s="3">
        <v>-2.5269051513203777</v>
      </c>
      <c r="CI593" s="13">
        <f>[1]!dbasum(RecData[[#This Row],[20]:[2000]],RecData[[#Headers],[20]:[2000]])</f>
        <v>40.518840184522624</v>
      </c>
      <c r="CJ593" s="14">
        <v>8361</v>
      </c>
      <c r="CK593" s="15" t="s">
        <v>249</v>
      </c>
      <c r="CL593" s="15">
        <f>RecData[[#This Row],[Start Time]]</f>
        <v>43270.12777777778</v>
      </c>
      <c r="CM593" s="16">
        <f>RecData[[#This Row],[Wind Speed avg]]</f>
        <v>0.57999999999999996</v>
      </c>
      <c r="CN593" s="16">
        <f>RecData[[#This Row],[Wind Dir. avg]]</f>
        <v>209.4</v>
      </c>
      <c r="CO593" s="16">
        <f>RecData[[#This Row],[Amb. Humidity]]</f>
        <v>81.099999999999994</v>
      </c>
      <c r="CP593" s="16">
        <f>RecData[[#This Row],[Amb. Temperature]]</f>
        <v>12.4</v>
      </c>
      <c r="CQ593" s="17">
        <f>RecData[[#This Row],[Amb. Rain Gauge]]</f>
        <v>0</v>
      </c>
      <c r="CR593" s="4" t="s">
        <v>1</v>
      </c>
      <c r="CS593" s="4" t="s">
        <v>49</v>
      </c>
      <c r="CT593" s="70">
        <v>1591.94165039062</v>
      </c>
      <c r="CU593" s="70">
        <v>38.868030548095703</v>
      </c>
      <c r="CV593" s="70">
        <v>9.7373723983764595</v>
      </c>
      <c r="CW593" s="70">
        <v>15.3728008270263</v>
      </c>
      <c r="CX593" s="4"/>
      <c r="CY593" s="69"/>
      <c r="CZ593" s="2" t="b">
        <f>IF($DP$1="YES",IF(RecData[[#This Row],[Power (kW)]]&gt;=$CR$3, TRUE,FALSE),TRUE)</f>
        <v>1</v>
      </c>
      <c r="DA593" s="16">
        <f>MIN(MOD(180-ABS(ABS($DA$1-RecData[Yaw Angle (°)])-180),360),MOD(180-ABS(ABS($DB$1-RecData[Yaw Angle (°)])-180),360))</f>
        <v>31.338103770408168</v>
      </c>
      <c r="DB593" s="2" t="str">
        <f>IF($DP$2="None","None",IF(RecData[[#This Row],[Relative Wind Direction]]&lt;=45,"DW",IF(RecData[[#This Row],[Relative Wind Direction]]&lt;=135,"CW","UW")))</f>
        <v>DW</v>
      </c>
      <c r="DC593" s="61">
        <f>IF($CL593-$CL589&gt;1/24,#REF!,IF(SUM($CQ589:$CQ593)&gt;$DS$1,$DS$5,DC594-1))</f>
        <v>-2</v>
      </c>
      <c r="DD593" s="61">
        <f>IF($CL594-$CL593&gt;1/24,#REF!,IF(SUM($CQ589:$CQ593)&gt;$DS$1,$DS$6,DD592-1))</f>
        <v>-9</v>
      </c>
      <c r="DE593" s="18" t="b">
        <v>0</v>
      </c>
      <c r="DF593" s="2" t="b">
        <f>IF(OR(RecData[[#This Row],[WSpd_Avg '[m/s']]]-RecData[[#This Row],[Wind Speed min]]&gt;=$DF$3,RecData[[#This Row],[Wind Speed max]]-RecData[[#This Row],[WSpd_Avg '[m/s']]]&gt;=$DF$2),TRUE,FALSE)</f>
        <v>0</v>
      </c>
      <c r="DG593" s="2" t="b">
        <f>RecData[[#This Row],[Temperature '[°C']]]&lt;=-20</f>
        <v>0</v>
      </c>
      <c r="DH593" s="18" t="b">
        <f>NOT(OR(MOD(RecData[[#This Row],[TIMESTAMP]],1)&gt;0.91632,MOD(RecData[[#This Row],[TIMESTAMP]],1)&lt;0.208681))</f>
        <v>0</v>
      </c>
      <c r="DI593" s="18" t="b">
        <f>RecData[[#This Row],[Overall (dBA)]]-RecData[[#This Row],[L90]]&gt;=$DS$4</f>
        <v>0</v>
      </c>
      <c r="DJ593" s="18" t="b">
        <f>RecData[[#This Row],[Overall (dBA)]]&gt;$DS$2</f>
        <v>0</v>
      </c>
      <c r="DK593" s="18" t="b">
        <f>RecData[[#This Row],[Overall (dBA)]]&lt;$DS$3</f>
        <v>0</v>
      </c>
      <c r="DL5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3" s="2">
        <f>IF(AND(RecData[[#This Row],[Turbines ON/OFF]] = "OFF", NOT(OR(RecData[[#This Row],[Junk?]]="YES",RecData[[#This Row],[Gust?]],RecData[[#This Row],[Rain?]:[Min SPL Threshold?]]))),1,0)</f>
        <v>0</v>
      </c>
      <c r="DN593" s="16">
        <f>RecData[[#This Row],[dBA Sum]]</f>
        <v>40.518840184522624</v>
      </c>
      <c r="DO593" s="16">
        <f>RecData[[#This Row],[LAF90.0]]</f>
        <v>39</v>
      </c>
      <c r="DP593" s="55">
        <f>IF(AND(RecData[[#This Row],[Useable TON Data?]],RecData[[#This Row],[Turbines ON/OFF]]="ON"),RecData[[#This Row],[dBA Sum]],"")</f>
        <v>40.518840184522624</v>
      </c>
      <c r="DQ593" s="55" t="str">
        <f>IF(AND(RecData[[#This Row],[Useable Background Data?]],RecData[[#This Row],[Turbines ON/OFF]]="OFF"),RecData[[#This Row],[dBA Sum]],"")</f>
        <v/>
      </c>
      <c r="DR593" s="3">
        <f>IF(OR(RecData[[#This Row],[Useable TON Data?]],RecData[[#This Row],[Useable Background Data?]]),ROUND(RecData[[#This Row],[WSpd_Avg '[m/s']]],0),"")</f>
        <v>1</v>
      </c>
      <c r="DS593" s="85">
        <f>(0.00002)^2*(10^(RecData[[#This Row],[Overall (dBA)]]/10))</f>
        <v>4.5075858798598206E-6</v>
      </c>
    </row>
    <row r="594" spans="1:123" ht="15" x14ac:dyDescent="0.25">
      <c r="A594" s="3" t="s">
        <v>249</v>
      </c>
      <c r="B594" s="12">
        <v>43270.128472222219</v>
      </c>
      <c r="C594" s="3"/>
      <c r="D594" s="3">
        <v>40.799999999999997</v>
      </c>
      <c r="E594" s="3"/>
      <c r="F594" s="3"/>
      <c r="G594" s="3"/>
      <c r="H594" s="3"/>
      <c r="I594" s="3"/>
      <c r="J594" s="3"/>
      <c r="K594" s="3">
        <v>39.4</v>
      </c>
      <c r="L594" s="3"/>
      <c r="M594" s="3"/>
      <c r="N594" s="3">
        <v>170.8</v>
      </c>
      <c r="O594" s="3"/>
      <c r="P594" s="3"/>
      <c r="Q594" s="3">
        <v>0.44</v>
      </c>
      <c r="R594" s="3">
        <v>0.3</v>
      </c>
      <c r="S594" s="3">
        <v>0.7</v>
      </c>
      <c r="T594" s="3">
        <v>12.3</v>
      </c>
      <c r="U594" s="3">
        <v>81.8</v>
      </c>
      <c r="V594" s="3">
        <v>973.1</v>
      </c>
      <c r="W594" s="3">
        <v>0</v>
      </c>
      <c r="X594" s="3">
        <v>45.2</v>
      </c>
      <c r="Y594" s="3">
        <v>44.4</v>
      </c>
      <c r="Z594" s="3">
        <v>43.6</v>
      </c>
      <c r="AA594" s="3">
        <v>39.700000000000003</v>
      </c>
      <c r="AB594" s="3">
        <v>35.1</v>
      </c>
      <c r="AC594" s="3">
        <v>33.700000000000003</v>
      </c>
      <c r="AD594" s="3">
        <v>38.1</v>
      </c>
      <c r="AE594" s="3">
        <v>40.4</v>
      </c>
      <c r="AF594" s="3">
        <v>45.2</v>
      </c>
      <c r="AG594" s="3">
        <v>40.200000000000003</v>
      </c>
      <c r="AH594" s="3">
        <v>39</v>
      </c>
      <c r="AI594" s="3">
        <v>39.4</v>
      </c>
      <c r="AJ594" s="3">
        <v>37.6</v>
      </c>
      <c r="AK594" s="3">
        <v>36.299999999999997</v>
      </c>
      <c r="AL594" s="3">
        <v>34</v>
      </c>
      <c r="AM594" s="3">
        <v>33.4</v>
      </c>
      <c r="AN594" s="3">
        <v>30.9</v>
      </c>
      <c r="AO594" s="3">
        <v>27.8</v>
      </c>
      <c r="AP594" s="3">
        <v>25.6</v>
      </c>
      <c r="AQ594" s="3">
        <v>23.1</v>
      </c>
      <c r="AR594" s="3">
        <v>19.600000000000001</v>
      </c>
      <c r="AS594" s="3">
        <v>16</v>
      </c>
      <c r="AT594" s="3">
        <v>28</v>
      </c>
      <c r="AU594" s="3">
        <v>10.3</v>
      </c>
      <c r="AV594" s="3">
        <v>8.8000000000000007</v>
      </c>
      <c r="AW594" s="3">
        <v>8.9</v>
      </c>
      <c r="AX594" s="3">
        <v>9.1</v>
      </c>
      <c r="AY594" s="3">
        <v>9.4</v>
      </c>
      <c r="AZ594" s="3">
        <v>0</v>
      </c>
      <c r="BA594" s="3">
        <v>0</v>
      </c>
      <c r="BB594" s="3">
        <v>0</v>
      </c>
      <c r="BC594" s="3">
        <v>40.760244439207518</v>
      </c>
      <c r="BD594" s="3">
        <v>45.239755560792482</v>
      </c>
      <c r="BE594" s="3">
        <v>44.43975556079247</v>
      </c>
      <c r="BF594" s="3">
        <v>42.399755560792478</v>
      </c>
      <c r="BG594" s="3">
        <v>38.826422227459155</v>
      </c>
      <c r="BH594" s="3">
        <v>34.366422227459147</v>
      </c>
      <c r="BI594" s="3">
        <v>33.379755560792482</v>
      </c>
      <c r="BJ594" s="3">
        <v>38.57308889412581</v>
      </c>
      <c r="BK594" s="3">
        <v>40.746422227459142</v>
      </c>
      <c r="BL594" s="3">
        <v>45.119755560792477</v>
      </c>
      <c r="BM594" s="3">
        <v>40.253088894125817</v>
      </c>
      <c r="BN594" s="3">
        <v>39.336422227459146</v>
      </c>
      <c r="BO594" s="3">
        <v>39.103088894125811</v>
      </c>
      <c r="BP594" s="3">
        <v>37.019755560792483</v>
      </c>
      <c r="BQ594" s="3">
        <v>36.136422227459128</v>
      </c>
      <c r="BR594" s="3">
        <v>34.163088894125814</v>
      </c>
      <c r="BS594" s="3">
        <v>33.366422227459147</v>
      </c>
      <c r="BT594" s="3">
        <v>31.063088894125805</v>
      </c>
      <c r="BU594" s="3">
        <v>27.929755560792479</v>
      </c>
      <c r="BV594" s="3">
        <v>25.446422227459145</v>
      </c>
      <c r="BW594" s="3">
        <v>23.479755560792491</v>
      </c>
      <c r="BX594" s="3">
        <v>19.899755560792485</v>
      </c>
      <c r="BY594" s="3">
        <v>16.119755560792477</v>
      </c>
      <c r="BZ594" s="3">
        <v>28.249755560792487</v>
      </c>
      <c r="CA594" s="3">
        <v>10.649755560792471</v>
      </c>
      <c r="CB594" s="3">
        <v>8.5864222274591455</v>
      </c>
      <c r="CC594" s="3">
        <v>8.8997555607924781</v>
      </c>
      <c r="CD594" s="3">
        <v>8.4064222274591529</v>
      </c>
      <c r="CE594" s="3">
        <v>8.8997555607924781</v>
      </c>
      <c r="CF594" s="3">
        <v>-0.88691110587419075</v>
      </c>
      <c r="CG594" s="3">
        <v>-1.4202444392075222</v>
      </c>
      <c r="CH594" s="3">
        <v>-2.4969111058741902</v>
      </c>
      <c r="CI594" s="13">
        <f>[1]!dbasum(RecData[[#This Row],[20]:[2000]],RecData[[#Headers],[20]:[2000]])</f>
        <v>40.361765006803871</v>
      </c>
      <c r="CJ594" s="14">
        <v>8362</v>
      </c>
      <c r="CK594" s="15" t="s">
        <v>249</v>
      </c>
      <c r="CL594" s="15">
        <f>RecData[[#This Row],[Start Time]]</f>
        <v>43270.128472222219</v>
      </c>
      <c r="CM594" s="16">
        <f>RecData[[#This Row],[Wind Speed avg]]</f>
        <v>0.44</v>
      </c>
      <c r="CN594" s="16">
        <f>RecData[[#This Row],[Wind Dir. avg]]</f>
        <v>170.8</v>
      </c>
      <c r="CO594" s="16">
        <f>RecData[[#This Row],[Amb. Humidity]]</f>
        <v>81.8</v>
      </c>
      <c r="CP594" s="16">
        <f>RecData[[#This Row],[Amb. Temperature]]</f>
        <v>12.3</v>
      </c>
      <c r="CQ594" s="17">
        <f>RecData[[#This Row],[Amb. Rain Gauge]]</f>
        <v>0</v>
      </c>
      <c r="CR594" s="4" t="s">
        <v>1</v>
      </c>
      <c r="CS594" s="4" t="s">
        <v>49</v>
      </c>
      <c r="CT594" s="70">
        <v>1591.94165039062</v>
      </c>
      <c r="CU594" s="70">
        <v>38.868030548095703</v>
      </c>
      <c r="CV594" s="70">
        <v>9.7373723983764595</v>
      </c>
      <c r="CW594" s="70">
        <v>15.3728008270263</v>
      </c>
      <c r="CX594" s="4"/>
      <c r="CY594" s="69"/>
      <c r="CZ594" s="2" t="b">
        <f>IF($DP$1="YES",IF(RecData[[#This Row],[Power (kW)]]&gt;=$CR$3, TRUE,FALSE),TRUE)</f>
        <v>1</v>
      </c>
      <c r="DA594" s="16">
        <f>MIN(MOD(180-ABS(ABS($DA$1-RecData[Yaw Angle (°)])-180),360),MOD(180-ABS(ABS($DB$1-RecData[Yaw Angle (°)])-180),360))</f>
        <v>31.338103770408168</v>
      </c>
      <c r="DB594" s="2" t="str">
        <f>IF($DP$2="None","None",IF(RecData[[#This Row],[Relative Wind Direction]]&lt;=45,"DW",IF(RecData[[#This Row],[Relative Wind Direction]]&lt;=135,"CW","UW")))</f>
        <v>DW</v>
      </c>
      <c r="DC594" s="61">
        <v>-1</v>
      </c>
      <c r="DD594" s="61">
        <v>-1</v>
      </c>
      <c r="DE594" s="18" t="b">
        <v>0</v>
      </c>
      <c r="DF594" s="2" t="b">
        <f>IF(OR(RecData[[#This Row],[WSpd_Avg '[m/s']]]-RecData[[#This Row],[Wind Speed min]]&gt;=$DF$3,RecData[[#This Row],[Wind Speed max]]-RecData[[#This Row],[WSpd_Avg '[m/s']]]&gt;=$DF$2),TRUE,FALSE)</f>
        <v>0</v>
      </c>
      <c r="DG594" s="2" t="b">
        <f>RecData[[#This Row],[Temperature '[°C']]]&lt;=-20</f>
        <v>0</v>
      </c>
      <c r="DH594" s="18" t="b">
        <f>NOT(OR(MOD(RecData[[#This Row],[TIMESTAMP]],1)&gt;0.91632,MOD(RecData[[#This Row],[TIMESTAMP]],1)&lt;0.208681))</f>
        <v>0</v>
      </c>
      <c r="DI594" s="18" t="b">
        <f>RecData[[#This Row],[Overall (dBA)]]-RecData[[#This Row],[L90]]&gt;=$DS$4</f>
        <v>0</v>
      </c>
      <c r="DJ594" s="18" t="b">
        <f>RecData[[#This Row],[Overall (dBA)]]&gt;$DS$2</f>
        <v>0</v>
      </c>
      <c r="DK594" s="18" t="b">
        <f>RecData[[#This Row],[Overall (dBA)]]&lt;$DS$3</f>
        <v>0</v>
      </c>
      <c r="DL5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4" s="2">
        <f>IF(AND(RecData[[#This Row],[Turbines ON/OFF]] = "OFF", NOT(OR(RecData[[#This Row],[Junk?]]="YES",RecData[[#This Row],[Gust?]],RecData[[#This Row],[Rain?]:[Min SPL Threshold?]]))),1,0)</f>
        <v>0</v>
      </c>
      <c r="DN594" s="16">
        <f>RecData[[#This Row],[dBA Sum]]</f>
        <v>40.361765006803871</v>
      </c>
      <c r="DO594" s="16">
        <f>RecData[[#This Row],[LAF90.0]]</f>
        <v>39.4</v>
      </c>
      <c r="DP594" s="55">
        <f>IF(AND(RecData[[#This Row],[Useable TON Data?]],RecData[[#This Row],[Turbines ON/OFF]]="ON"),RecData[[#This Row],[dBA Sum]],"")</f>
        <v>40.361765006803871</v>
      </c>
      <c r="DQ594" s="55" t="str">
        <f>IF(AND(RecData[[#This Row],[Useable Background Data?]],RecData[[#This Row],[Turbines ON/OFF]]="OFF"),RecData[[#This Row],[dBA Sum]],"")</f>
        <v/>
      </c>
      <c r="DR594" s="3">
        <f>IF(OR(RecData[[#This Row],[Useable TON Data?]],RecData[[#This Row],[Useable Background Data?]]),ROUND(RecData[[#This Row],[WSpd_Avg '[m/s']]],0),"")</f>
        <v>0</v>
      </c>
      <c r="DS594" s="85">
        <f>(0.00002)^2*(10^(RecData[[#This Row],[Overall (dBA)]]/10))</f>
        <v>4.347468980945703E-6</v>
      </c>
    </row>
    <row r="595" spans="1:123" ht="15" x14ac:dyDescent="0.25">
      <c r="A595" s="3" t="s">
        <v>249</v>
      </c>
      <c r="B595" s="12">
        <v>43270.129166666666</v>
      </c>
      <c r="C595" s="3"/>
      <c r="D595" s="3">
        <v>41.6</v>
      </c>
      <c r="E595" s="3"/>
      <c r="F595" s="3"/>
      <c r="G595" s="3"/>
      <c r="H595" s="3"/>
      <c r="I595" s="3"/>
      <c r="J595" s="3"/>
      <c r="K595" s="3">
        <v>40.299999999999997</v>
      </c>
      <c r="L595" s="3"/>
      <c r="M595" s="3"/>
      <c r="N595" s="3">
        <v>167</v>
      </c>
      <c r="O595" s="3"/>
      <c r="P595" s="3"/>
      <c r="Q595" s="3">
        <v>0.44</v>
      </c>
      <c r="R595" s="3">
        <v>0.3</v>
      </c>
      <c r="S595" s="3">
        <v>0.7</v>
      </c>
      <c r="T595" s="3">
        <v>12.3</v>
      </c>
      <c r="U595" s="3">
        <v>82.3</v>
      </c>
      <c r="V595" s="3">
        <v>973.1</v>
      </c>
      <c r="W595" s="3">
        <v>0</v>
      </c>
      <c r="X595" s="3">
        <v>46</v>
      </c>
      <c r="Y595" s="3">
        <v>44.8</v>
      </c>
      <c r="Z595" s="3">
        <v>44.1</v>
      </c>
      <c r="AA595" s="3">
        <v>40.700000000000003</v>
      </c>
      <c r="AB595" s="3">
        <v>35.799999999999997</v>
      </c>
      <c r="AC595" s="3">
        <v>33.299999999999997</v>
      </c>
      <c r="AD595" s="3">
        <v>38.200000000000003</v>
      </c>
      <c r="AE595" s="3">
        <v>40.6</v>
      </c>
      <c r="AF595" s="3">
        <v>45.7</v>
      </c>
      <c r="AG595" s="3">
        <v>41.4</v>
      </c>
      <c r="AH595" s="3">
        <v>39</v>
      </c>
      <c r="AI595" s="3">
        <v>39.9</v>
      </c>
      <c r="AJ595" s="3">
        <v>38.1</v>
      </c>
      <c r="AK595" s="3">
        <v>36.9</v>
      </c>
      <c r="AL595" s="3">
        <v>34.799999999999997</v>
      </c>
      <c r="AM595" s="3">
        <v>34.4</v>
      </c>
      <c r="AN595" s="3">
        <v>32.299999999999997</v>
      </c>
      <c r="AO595" s="3">
        <v>29.1</v>
      </c>
      <c r="AP595" s="3">
        <v>26.6</v>
      </c>
      <c r="AQ595" s="3">
        <v>24.2</v>
      </c>
      <c r="AR595" s="3">
        <v>20.399999999999999</v>
      </c>
      <c r="AS595" s="3">
        <v>16.600000000000001</v>
      </c>
      <c r="AT595" s="3">
        <v>28.8</v>
      </c>
      <c r="AU595" s="3">
        <v>10.7</v>
      </c>
      <c r="AV595" s="3">
        <v>8.9</v>
      </c>
      <c r="AW595" s="3">
        <v>9.1</v>
      </c>
      <c r="AX595" s="3">
        <v>9.1</v>
      </c>
      <c r="AY595" s="3">
        <v>9.3000000000000007</v>
      </c>
      <c r="AZ595" s="3">
        <v>0</v>
      </c>
      <c r="BA595" s="3">
        <v>0</v>
      </c>
      <c r="BB595" s="3">
        <v>0</v>
      </c>
      <c r="BC595" s="3">
        <v>41.544307089640967</v>
      </c>
      <c r="BD595" s="3">
        <v>46.055692910359028</v>
      </c>
      <c r="BE595" s="3">
        <v>44.855692910359039</v>
      </c>
      <c r="BF595" s="3">
        <v>42.915692910359041</v>
      </c>
      <c r="BG595" s="3">
        <v>39.842359577025704</v>
      </c>
      <c r="BH595" s="3">
        <v>35.082359577025699</v>
      </c>
      <c r="BI595" s="3">
        <v>32.995692910359026</v>
      </c>
      <c r="BJ595" s="3">
        <v>38.689026243692368</v>
      </c>
      <c r="BK595" s="3">
        <v>40.962359577025694</v>
      </c>
      <c r="BL595" s="3">
        <v>45.63569291035904</v>
      </c>
      <c r="BM595" s="3">
        <v>41.469026243692369</v>
      </c>
      <c r="BN595" s="3">
        <v>39.352359577025709</v>
      </c>
      <c r="BO595" s="3">
        <v>39.61902624369236</v>
      </c>
      <c r="BP595" s="3">
        <v>37.535692910359046</v>
      </c>
      <c r="BQ595" s="3">
        <v>36.752359577025686</v>
      </c>
      <c r="BR595" s="3">
        <v>34.979026243692374</v>
      </c>
      <c r="BS595" s="3">
        <v>34.38235957702571</v>
      </c>
      <c r="BT595" s="3">
        <v>32.479026243692374</v>
      </c>
      <c r="BU595" s="3">
        <v>29.24569291035904</v>
      </c>
      <c r="BV595" s="3">
        <v>26.462359577025708</v>
      </c>
      <c r="BW595" s="3">
        <v>24.595692910359034</v>
      </c>
      <c r="BX595" s="3">
        <v>20.715692910359039</v>
      </c>
      <c r="BY595" s="3">
        <v>16.735692910359035</v>
      </c>
      <c r="BZ595" s="3">
        <v>29.065692910359047</v>
      </c>
      <c r="CA595" s="3">
        <v>11.065692910359026</v>
      </c>
      <c r="CB595" s="3">
        <v>8.7023595770257032</v>
      </c>
      <c r="CC595" s="3">
        <v>9.1156929103590301</v>
      </c>
      <c r="CD595" s="3">
        <v>8.422359577025702</v>
      </c>
      <c r="CE595" s="3">
        <v>8.8156929103590329</v>
      </c>
      <c r="CF595" s="3">
        <v>-0.87097375630763452</v>
      </c>
      <c r="CG595" s="3">
        <v>-1.404307089640966</v>
      </c>
      <c r="CH595" s="3">
        <v>-2.4809737563076339</v>
      </c>
      <c r="CI595" s="13">
        <f>[1]!dbasum(RecData[[#This Row],[20]:[2000]],RecData[[#Headers],[20]:[2000]])</f>
        <v>41.170266527356894</v>
      </c>
      <c r="CJ595" s="14">
        <v>8363</v>
      </c>
      <c r="CK595" s="15" t="s">
        <v>249</v>
      </c>
      <c r="CL595" s="15">
        <f>RecData[[#This Row],[Start Time]]</f>
        <v>43270.129166666666</v>
      </c>
      <c r="CM595" s="16">
        <f>RecData[[#This Row],[Wind Speed avg]]</f>
        <v>0.44</v>
      </c>
      <c r="CN595" s="16">
        <f>RecData[[#This Row],[Wind Dir. avg]]</f>
        <v>167</v>
      </c>
      <c r="CO595" s="16">
        <f>RecData[[#This Row],[Amb. Humidity]]</f>
        <v>82.3</v>
      </c>
      <c r="CP595" s="16">
        <f>RecData[[#This Row],[Amb. Temperature]]</f>
        <v>12.3</v>
      </c>
      <c r="CQ595" s="17">
        <f>RecData[[#This Row],[Amb. Rain Gauge]]</f>
        <v>0</v>
      </c>
      <c r="CR595" s="4" t="s">
        <v>1</v>
      </c>
      <c r="CS595" s="4" t="s">
        <v>49</v>
      </c>
      <c r="CT595" s="70">
        <v>1591.94165039062</v>
      </c>
      <c r="CU595" s="70">
        <v>38.868030548095703</v>
      </c>
      <c r="CV595" s="70">
        <v>9.7373723983764595</v>
      </c>
      <c r="CW595" s="70">
        <v>15.3728008270263</v>
      </c>
      <c r="CX595" s="4"/>
      <c r="CY595" s="69"/>
      <c r="CZ595" s="2" t="b">
        <f>IF($DP$1="YES",IF(RecData[[#This Row],[Power (kW)]]&gt;=$CR$3, TRUE,FALSE),TRUE)</f>
        <v>1</v>
      </c>
      <c r="DA595" s="16">
        <f>MIN(MOD(180-ABS(ABS($DA$1-RecData[Yaw Angle (°)])-180),360),MOD(180-ABS(ABS($DB$1-RecData[Yaw Angle (°)])-180),360))</f>
        <v>31.338103770408168</v>
      </c>
      <c r="DB595" s="2" t="str">
        <f>IF($DP$2="None","None",IF(RecData[[#This Row],[Relative Wind Direction]]&lt;=45,"DW",IF(RecData[[#This Row],[Relative Wind Direction]]&lt;=135,"CW","UW")))</f>
        <v>DW</v>
      </c>
      <c r="DC595" s="61">
        <f>IF($CL595-$CL594&gt;1/24,#REF!,IF(SUM($CQ594:$CQ595)&gt;$DS$1,$DS$5,DC596-1))</f>
        <v>-9</v>
      </c>
      <c r="DD595" s="61">
        <f>IF($CL596-$CL595&gt;1/24,#REF!,IF(SUM($CQ594:$CQ595)&gt;$DS$1,$DS$6,DD594-1))</f>
        <v>-2</v>
      </c>
      <c r="DE595" s="18" t="b">
        <v>0</v>
      </c>
      <c r="DF595" s="2" t="b">
        <f>IF(OR(RecData[[#This Row],[WSpd_Avg '[m/s']]]-RecData[[#This Row],[Wind Speed min]]&gt;=$DF$3,RecData[[#This Row],[Wind Speed max]]-RecData[[#This Row],[WSpd_Avg '[m/s']]]&gt;=$DF$2),TRUE,FALSE)</f>
        <v>0</v>
      </c>
      <c r="DG595" s="2" t="b">
        <f>RecData[[#This Row],[Temperature '[°C']]]&lt;=-20</f>
        <v>0</v>
      </c>
      <c r="DH595" s="18" t="b">
        <f>NOT(OR(MOD(RecData[[#This Row],[TIMESTAMP]],1)&gt;0.91632,MOD(RecData[[#This Row],[TIMESTAMP]],1)&lt;0.208681))</f>
        <v>0</v>
      </c>
      <c r="DI595" s="18" t="b">
        <f>RecData[[#This Row],[Overall (dBA)]]-RecData[[#This Row],[L90]]&gt;=$DS$4</f>
        <v>0</v>
      </c>
      <c r="DJ595" s="18" t="b">
        <f>RecData[[#This Row],[Overall (dBA)]]&gt;$DS$2</f>
        <v>0</v>
      </c>
      <c r="DK595" s="18" t="b">
        <f>RecData[[#This Row],[Overall (dBA)]]&lt;$DS$3</f>
        <v>0</v>
      </c>
      <c r="DL5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5" s="2">
        <f>IF(AND(RecData[[#This Row],[Turbines ON/OFF]] = "OFF", NOT(OR(RecData[[#This Row],[Junk?]]="YES",RecData[[#This Row],[Gust?]],RecData[[#This Row],[Rain?]:[Min SPL Threshold?]]))),1,0)</f>
        <v>0</v>
      </c>
      <c r="DN595" s="16">
        <f>RecData[[#This Row],[dBA Sum]]</f>
        <v>41.170266527356894</v>
      </c>
      <c r="DO595" s="16">
        <f>RecData[[#This Row],[LAF90.0]]</f>
        <v>40.299999999999997</v>
      </c>
      <c r="DP595" s="55">
        <f>IF(AND(RecData[[#This Row],[Useable TON Data?]],RecData[[#This Row],[Turbines ON/OFF]]="ON"),RecData[[#This Row],[dBA Sum]],"")</f>
        <v>41.170266527356894</v>
      </c>
      <c r="DQ595" s="55" t="str">
        <f>IF(AND(RecData[[#This Row],[Useable Background Data?]],RecData[[#This Row],[Turbines ON/OFF]]="OFF"),RecData[[#This Row],[dBA Sum]],"")</f>
        <v/>
      </c>
      <c r="DR595" s="3">
        <f>IF(OR(RecData[[#This Row],[Useable TON Data?]],RecData[[#This Row],[Useable Background Data?]]),ROUND(RecData[[#This Row],[WSpd_Avg '[m/s']]],0),"")</f>
        <v>0</v>
      </c>
      <c r="DS595" s="85">
        <f>(0.00002)^2*(10^(RecData[[#This Row],[Overall (dBA)]]/10))</f>
        <v>5.2370490808426971E-6</v>
      </c>
    </row>
    <row r="596" spans="1:123" ht="15" x14ac:dyDescent="0.25">
      <c r="A596" s="3" t="s">
        <v>249</v>
      </c>
      <c r="B596" s="12">
        <v>43270.129861111112</v>
      </c>
      <c r="C596" s="3"/>
      <c r="D596" s="3">
        <v>40.5</v>
      </c>
      <c r="E596" s="3"/>
      <c r="F596" s="3"/>
      <c r="G596" s="3"/>
      <c r="H596" s="3"/>
      <c r="I596" s="3"/>
      <c r="J596" s="3"/>
      <c r="K596" s="3">
        <v>38.799999999999997</v>
      </c>
      <c r="L596" s="3"/>
      <c r="M596" s="3"/>
      <c r="N596" s="3">
        <v>174.8</v>
      </c>
      <c r="O596" s="3"/>
      <c r="P596" s="3"/>
      <c r="Q596" s="3">
        <v>0.5</v>
      </c>
      <c r="R596" s="3">
        <v>0.4</v>
      </c>
      <c r="S596" s="3">
        <v>0.6</v>
      </c>
      <c r="T596" s="3">
        <v>12.3</v>
      </c>
      <c r="U596" s="3">
        <v>82.4</v>
      </c>
      <c r="V596" s="3">
        <v>973.1</v>
      </c>
      <c r="W596" s="3">
        <v>0</v>
      </c>
      <c r="X596" s="3">
        <v>45.8</v>
      </c>
      <c r="Y596" s="3">
        <v>45</v>
      </c>
      <c r="Z596" s="3">
        <v>44.3</v>
      </c>
      <c r="AA596" s="3">
        <v>40</v>
      </c>
      <c r="AB596" s="3">
        <v>35.1</v>
      </c>
      <c r="AC596" s="3">
        <v>33.4</v>
      </c>
      <c r="AD596" s="3">
        <v>38.1</v>
      </c>
      <c r="AE596" s="3">
        <v>39.9</v>
      </c>
      <c r="AF596" s="3">
        <v>45.2</v>
      </c>
      <c r="AG596" s="3">
        <v>40.4</v>
      </c>
      <c r="AH596" s="3">
        <v>38</v>
      </c>
      <c r="AI596" s="3">
        <v>38.6</v>
      </c>
      <c r="AJ596" s="3">
        <v>37</v>
      </c>
      <c r="AK596" s="3">
        <v>35.799999999999997</v>
      </c>
      <c r="AL596" s="3">
        <v>33.9</v>
      </c>
      <c r="AM596" s="3">
        <v>33.4</v>
      </c>
      <c r="AN596" s="3">
        <v>31.6</v>
      </c>
      <c r="AO596" s="3">
        <v>28.6</v>
      </c>
      <c r="AP596" s="3">
        <v>25.9</v>
      </c>
      <c r="AQ596" s="3">
        <v>23.7</v>
      </c>
      <c r="AR596" s="3">
        <v>20</v>
      </c>
      <c r="AS596" s="3">
        <v>16.8</v>
      </c>
      <c r="AT596" s="3">
        <v>24.6</v>
      </c>
      <c r="AU596" s="3">
        <v>9.1</v>
      </c>
      <c r="AV596" s="3">
        <v>8.6</v>
      </c>
      <c r="AW596" s="3">
        <v>9</v>
      </c>
      <c r="AX596" s="3">
        <v>9.1</v>
      </c>
      <c r="AY596" s="3">
        <v>9.4</v>
      </c>
      <c r="AZ596" s="3">
        <v>0</v>
      </c>
      <c r="BA596" s="3">
        <v>0</v>
      </c>
      <c r="BB596" s="3">
        <v>0</v>
      </c>
      <c r="BC596" s="3">
        <v>40.485756881635126</v>
      </c>
      <c r="BD596" s="3">
        <v>45.814243118364871</v>
      </c>
      <c r="BE596" s="3">
        <v>45.014243118364874</v>
      </c>
      <c r="BF596" s="3">
        <v>43.074243118364876</v>
      </c>
      <c r="BG596" s="3">
        <v>39.100909785031547</v>
      </c>
      <c r="BH596" s="3">
        <v>34.340909785031542</v>
      </c>
      <c r="BI596" s="3">
        <v>33.054243118364866</v>
      </c>
      <c r="BJ596" s="3">
        <v>38.547576451698205</v>
      </c>
      <c r="BK596" s="3">
        <v>40.220909785031537</v>
      </c>
      <c r="BL596" s="3">
        <v>45.094243118364886</v>
      </c>
      <c r="BM596" s="3">
        <v>40.427576451698201</v>
      </c>
      <c r="BN596" s="3">
        <v>38.310909785031541</v>
      </c>
      <c r="BO596" s="3">
        <v>38.277576451698209</v>
      </c>
      <c r="BP596" s="3">
        <v>36.394243118364869</v>
      </c>
      <c r="BQ596" s="3">
        <v>35.610909785031538</v>
      </c>
      <c r="BR596" s="3">
        <v>34.037576451698214</v>
      </c>
      <c r="BS596" s="3">
        <v>33.340909785031542</v>
      </c>
      <c r="BT596" s="3">
        <v>31.737576451698203</v>
      </c>
      <c r="BU596" s="3">
        <v>28.704243118364872</v>
      </c>
      <c r="BV596" s="3">
        <v>25.720909785031537</v>
      </c>
      <c r="BW596" s="3">
        <v>24.05424311836488</v>
      </c>
      <c r="BX596" s="3">
        <v>20.274243118364879</v>
      </c>
      <c r="BY596" s="3">
        <v>16.894243118364869</v>
      </c>
      <c r="BZ596" s="3">
        <v>24.824243118364876</v>
      </c>
      <c r="CA596" s="3">
        <v>9.4242431183648705</v>
      </c>
      <c r="CB596" s="3">
        <v>8.3609097850315379</v>
      </c>
      <c r="CC596" s="3">
        <v>8.9742431183648748</v>
      </c>
      <c r="CD596" s="3">
        <v>8.3809097850315482</v>
      </c>
      <c r="CE596" s="3">
        <v>8.8742431183648733</v>
      </c>
      <c r="CF596" s="3">
        <v>-0.91242354830179551</v>
      </c>
      <c r="CG596" s="3">
        <v>-1.4457568816351269</v>
      </c>
      <c r="CH596" s="3">
        <v>-2.5224235483017949</v>
      </c>
      <c r="CI596" s="13">
        <f>[1]!dbasum(RecData[[#This Row],[20]:[2000]],RecData[[#Headers],[20]:[2000]])</f>
        <v>40.236901304732356</v>
      </c>
      <c r="CJ596" s="14">
        <v>8364</v>
      </c>
      <c r="CK596" s="15" t="s">
        <v>249</v>
      </c>
      <c r="CL596" s="15">
        <f>RecData[[#This Row],[Start Time]]</f>
        <v>43270.129861111112</v>
      </c>
      <c r="CM596" s="16">
        <f>RecData[[#This Row],[Wind Speed avg]]</f>
        <v>0.5</v>
      </c>
      <c r="CN596" s="16">
        <f>RecData[[#This Row],[Wind Dir. avg]]</f>
        <v>174.8</v>
      </c>
      <c r="CO596" s="16">
        <f>RecData[[#This Row],[Amb. Humidity]]</f>
        <v>82.4</v>
      </c>
      <c r="CP596" s="16">
        <f>RecData[[#This Row],[Amb. Temperature]]</f>
        <v>12.3</v>
      </c>
      <c r="CQ596" s="17">
        <f>RecData[[#This Row],[Amb. Rain Gauge]]</f>
        <v>0</v>
      </c>
      <c r="CR596" s="4" t="s">
        <v>1</v>
      </c>
      <c r="CS596" s="4" t="s">
        <v>49</v>
      </c>
      <c r="CT596" s="70">
        <v>1591.94165039062</v>
      </c>
      <c r="CU596" s="70">
        <v>38.868030548095703</v>
      </c>
      <c r="CV596" s="70">
        <v>9.7373723983764595</v>
      </c>
      <c r="CW596" s="70">
        <v>15.3728008270263</v>
      </c>
      <c r="CX596" s="4"/>
      <c r="CY596" s="69"/>
      <c r="CZ596" s="2" t="b">
        <f>IF($DP$1="YES",IF(RecData[[#This Row],[Power (kW)]]&gt;=$CR$3, TRUE,FALSE),TRUE)</f>
        <v>1</v>
      </c>
      <c r="DA596" s="16">
        <f>MIN(MOD(180-ABS(ABS($DA$1-RecData[Yaw Angle (°)])-180),360),MOD(180-ABS(ABS($DB$1-RecData[Yaw Angle (°)])-180),360))</f>
        <v>31.338103770408168</v>
      </c>
      <c r="DB596" s="2" t="str">
        <f>IF($DP$2="None","None",IF(RecData[[#This Row],[Relative Wind Direction]]&lt;=45,"DW",IF(RecData[[#This Row],[Relative Wind Direction]]&lt;=135,"CW","UW")))</f>
        <v>DW</v>
      </c>
      <c r="DC596" s="61">
        <f>IF($CL596-$CL594&gt;1/24,#REF!,IF(SUM($CQ594:$CQ596)&gt;$DS$1,$DS$5,DC597-1))</f>
        <v>-8</v>
      </c>
      <c r="DD596" s="61">
        <f>IF($CL597-$CL596&gt;1/24,#REF!,IF(SUM($CQ594:$CQ596)&gt;$DS$1,$DS$6,DD595-1))</f>
        <v>-3</v>
      </c>
      <c r="DE596" s="18" t="b">
        <v>0</v>
      </c>
      <c r="DF596" s="2" t="b">
        <f>IF(OR(RecData[[#This Row],[WSpd_Avg '[m/s']]]-RecData[[#This Row],[Wind Speed min]]&gt;=$DF$3,RecData[[#This Row],[Wind Speed max]]-RecData[[#This Row],[WSpd_Avg '[m/s']]]&gt;=$DF$2),TRUE,FALSE)</f>
        <v>0</v>
      </c>
      <c r="DG596" s="2" t="b">
        <f>RecData[[#This Row],[Temperature '[°C']]]&lt;=-20</f>
        <v>0</v>
      </c>
      <c r="DH596" s="18" t="b">
        <f>NOT(OR(MOD(RecData[[#This Row],[TIMESTAMP]],1)&gt;0.91632,MOD(RecData[[#This Row],[TIMESTAMP]],1)&lt;0.208681))</f>
        <v>0</v>
      </c>
      <c r="DI596" s="18" t="b">
        <f>RecData[[#This Row],[Overall (dBA)]]-RecData[[#This Row],[L90]]&gt;=$DS$4</f>
        <v>0</v>
      </c>
      <c r="DJ596" s="18" t="b">
        <f>RecData[[#This Row],[Overall (dBA)]]&gt;$DS$2</f>
        <v>0</v>
      </c>
      <c r="DK596" s="18" t="b">
        <f>RecData[[#This Row],[Overall (dBA)]]&lt;$DS$3</f>
        <v>0</v>
      </c>
      <c r="DL5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6" s="2">
        <f>IF(AND(RecData[[#This Row],[Turbines ON/OFF]] = "OFF", NOT(OR(RecData[[#This Row],[Junk?]]="YES",RecData[[#This Row],[Gust?]],RecData[[#This Row],[Rain?]:[Min SPL Threshold?]]))),1,0)</f>
        <v>0</v>
      </c>
      <c r="DN596" s="16">
        <f>RecData[[#This Row],[dBA Sum]]</f>
        <v>40.236901304732356</v>
      </c>
      <c r="DO596" s="16">
        <f>RecData[[#This Row],[LAF90.0]]</f>
        <v>38.799999999999997</v>
      </c>
      <c r="DP596" s="55">
        <f>IF(AND(RecData[[#This Row],[Useable TON Data?]],RecData[[#This Row],[Turbines ON/OFF]]="ON"),RecData[[#This Row],[dBA Sum]],"")</f>
        <v>40.236901304732356</v>
      </c>
      <c r="DQ596" s="55" t="str">
        <f>IF(AND(RecData[[#This Row],[Useable Background Data?]],RecData[[#This Row],[Turbines ON/OFF]]="OFF"),RecData[[#This Row],[dBA Sum]],"")</f>
        <v/>
      </c>
      <c r="DR596" s="3">
        <f>IF(OR(RecData[[#This Row],[Useable TON Data?]],RecData[[#This Row],[Useable Background Data?]]),ROUND(RecData[[#This Row],[WSpd_Avg '[m/s']]],0),"")</f>
        <v>1</v>
      </c>
      <c r="DS596" s="85">
        <f>(0.00002)^2*(10^(RecData[[#This Row],[Overall (dBA)]]/10))</f>
        <v>4.2242549514154113E-6</v>
      </c>
    </row>
    <row r="597" spans="1:123" ht="15" x14ac:dyDescent="0.25">
      <c r="A597" s="3" t="s">
        <v>249</v>
      </c>
      <c r="B597" s="12">
        <v>43270.130555555559</v>
      </c>
      <c r="C597" s="3"/>
      <c r="D597" s="3">
        <v>40.5</v>
      </c>
      <c r="E597" s="3"/>
      <c r="F597" s="3"/>
      <c r="G597" s="3"/>
      <c r="H597" s="3"/>
      <c r="I597" s="3"/>
      <c r="J597" s="3"/>
      <c r="K597" s="3">
        <v>38.9</v>
      </c>
      <c r="L597" s="3"/>
      <c r="M597" s="3"/>
      <c r="N597" s="3">
        <v>175.8</v>
      </c>
      <c r="O597" s="3"/>
      <c r="P597" s="3"/>
      <c r="Q597" s="3">
        <v>0.55000000000000004</v>
      </c>
      <c r="R597" s="3">
        <v>0.4</v>
      </c>
      <c r="S597" s="3">
        <v>0.7</v>
      </c>
      <c r="T597" s="3">
        <v>12.2</v>
      </c>
      <c r="U597" s="3">
        <v>82.6</v>
      </c>
      <c r="V597" s="3">
        <v>973.1</v>
      </c>
      <c r="W597" s="3">
        <v>0</v>
      </c>
      <c r="X597" s="3">
        <v>46.3</v>
      </c>
      <c r="Y597" s="3">
        <v>45</v>
      </c>
      <c r="Z597" s="3">
        <v>44.1</v>
      </c>
      <c r="AA597" s="3">
        <v>39.700000000000003</v>
      </c>
      <c r="AB597" s="3">
        <v>34.9</v>
      </c>
      <c r="AC597" s="3">
        <v>33.200000000000003</v>
      </c>
      <c r="AD597" s="3">
        <v>38.1</v>
      </c>
      <c r="AE597" s="3">
        <v>39.700000000000003</v>
      </c>
      <c r="AF597" s="3">
        <v>45.2</v>
      </c>
      <c r="AG597" s="3">
        <v>40.700000000000003</v>
      </c>
      <c r="AH597" s="3">
        <v>37.1</v>
      </c>
      <c r="AI597" s="3">
        <v>38.200000000000003</v>
      </c>
      <c r="AJ597" s="3">
        <v>36.4</v>
      </c>
      <c r="AK597" s="3">
        <v>35.299999999999997</v>
      </c>
      <c r="AL597" s="3">
        <v>33.4</v>
      </c>
      <c r="AM597" s="3">
        <v>33.299999999999997</v>
      </c>
      <c r="AN597" s="3">
        <v>31.6</v>
      </c>
      <c r="AO597" s="3">
        <v>29</v>
      </c>
      <c r="AP597" s="3">
        <v>26.5</v>
      </c>
      <c r="AQ597" s="3">
        <v>24.4</v>
      </c>
      <c r="AR597" s="3">
        <v>20.6</v>
      </c>
      <c r="AS597" s="3">
        <v>16.8</v>
      </c>
      <c r="AT597" s="3">
        <v>27.1</v>
      </c>
      <c r="AU597" s="3">
        <v>10.199999999999999</v>
      </c>
      <c r="AV597" s="3">
        <v>8.6999999999999993</v>
      </c>
      <c r="AW597" s="3">
        <v>9</v>
      </c>
      <c r="AX597" s="3">
        <v>9.1</v>
      </c>
      <c r="AY597" s="3">
        <v>9.3000000000000007</v>
      </c>
      <c r="AZ597" s="3">
        <v>0</v>
      </c>
      <c r="BA597" s="3">
        <v>0</v>
      </c>
      <c r="BB597" s="3">
        <v>0</v>
      </c>
      <c r="BC597" s="3">
        <v>40.453439439313222</v>
      </c>
      <c r="BD597" s="3">
        <v>46.346560560686775</v>
      </c>
      <c r="BE597" s="3">
        <v>45.046560560686778</v>
      </c>
      <c r="BF597" s="3">
        <v>42.906560560686778</v>
      </c>
      <c r="BG597" s="3">
        <v>38.83322722735344</v>
      </c>
      <c r="BH597" s="3">
        <v>34.173227227353443</v>
      </c>
      <c r="BI597" s="3">
        <v>32.886560560686782</v>
      </c>
      <c r="BJ597" s="3">
        <v>38.57989389402011</v>
      </c>
      <c r="BK597" s="3">
        <v>40.053227227353439</v>
      </c>
      <c r="BL597" s="3">
        <v>45.126560560686791</v>
      </c>
      <c r="BM597" s="3">
        <v>40.759893894020117</v>
      </c>
      <c r="BN597" s="3">
        <v>37.443227227353454</v>
      </c>
      <c r="BO597" s="3">
        <v>37.909893894020122</v>
      </c>
      <c r="BP597" s="3">
        <v>35.826560560686779</v>
      </c>
      <c r="BQ597" s="3">
        <v>35.143227227353442</v>
      </c>
      <c r="BR597" s="3">
        <v>33.569893894020119</v>
      </c>
      <c r="BS597" s="3">
        <v>33.273227227353438</v>
      </c>
      <c r="BT597" s="3">
        <v>31.769893894020107</v>
      </c>
      <c r="BU597" s="3">
        <v>29.136560560686782</v>
      </c>
      <c r="BV597" s="3">
        <v>26.35322722735345</v>
      </c>
      <c r="BW597" s="3">
        <v>24.786560560686787</v>
      </c>
      <c r="BX597" s="3">
        <v>20.906560560686785</v>
      </c>
      <c r="BY597" s="3">
        <v>16.926560560686774</v>
      </c>
      <c r="BZ597" s="3">
        <v>27.356560560686781</v>
      </c>
      <c r="CA597" s="3">
        <v>10.556560560686769</v>
      </c>
      <c r="CB597" s="3">
        <v>8.4932272273534437</v>
      </c>
      <c r="CC597" s="3">
        <v>9.0065605606867791</v>
      </c>
      <c r="CD597" s="3">
        <v>8.4132272273534525</v>
      </c>
      <c r="CE597" s="3">
        <v>8.8065605606867763</v>
      </c>
      <c r="CF597" s="3">
        <v>-0.88010610597989114</v>
      </c>
      <c r="CG597" s="3">
        <v>-1.4134394393132226</v>
      </c>
      <c r="CH597" s="3">
        <v>-2.4901061059798906</v>
      </c>
      <c r="CI597" s="13">
        <f>[1]!dbasum(RecData[[#This Row],[20]:[2000]],RecData[[#Headers],[20]:[2000]])</f>
        <v>40.119618638989976</v>
      </c>
      <c r="CJ597" s="14">
        <v>8365</v>
      </c>
      <c r="CK597" s="15" t="s">
        <v>249</v>
      </c>
      <c r="CL597" s="15">
        <f>RecData[[#This Row],[Start Time]]</f>
        <v>43270.130555555559</v>
      </c>
      <c r="CM597" s="16">
        <f>RecData[[#This Row],[Wind Speed avg]]</f>
        <v>0.55000000000000004</v>
      </c>
      <c r="CN597" s="16">
        <f>RecData[[#This Row],[Wind Dir. avg]]</f>
        <v>175.8</v>
      </c>
      <c r="CO597" s="16">
        <f>RecData[[#This Row],[Amb. Humidity]]</f>
        <v>82.6</v>
      </c>
      <c r="CP597" s="16">
        <f>RecData[[#This Row],[Amb. Temperature]]</f>
        <v>12.2</v>
      </c>
      <c r="CQ597" s="17">
        <f>RecData[[#This Row],[Amb. Rain Gauge]]</f>
        <v>0</v>
      </c>
      <c r="CR597" s="4" t="s">
        <v>1</v>
      </c>
      <c r="CS597" s="4" t="s">
        <v>49</v>
      </c>
      <c r="CT597" s="70">
        <v>1591.94165039062</v>
      </c>
      <c r="CU597" s="70">
        <v>38.868030548095703</v>
      </c>
      <c r="CV597" s="70">
        <v>9.7373723983764595</v>
      </c>
      <c r="CW597" s="70">
        <v>15.3728008270263</v>
      </c>
      <c r="CX597" s="4"/>
      <c r="CY597" s="69"/>
      <c r="CZ597" s="2" t="b">
        <f>IF($DP$1="YES",IF(RecData[[#This Row],[Power (kW)]]&gt;=$CR$3, TRUE,FALSE),TRUE)</f>
        <v>1</v>
      </c>
      <c r="DA597" s="16">
        <f>MIN(MOD(180-ABS(ABS($DA$1-RecData[Yaw Angle (°)])-180),360),MOD(180-ABS(ABS($DB$1-RecData[Yaw Angle (°)])-180),360))</f>
        <v>31.338103770408168</v>
      </c>
      <c r="DB597" s="2" t="str">
        <f>IF($DP$2="None","None",IF(RecData[[#This Row],[Relative Wind Direction]]&lt;=45,"DW",IF(RecData[[#This Row],[Relative Wind Direction]]&lt;=135,"CW","UW")))</f>
        <v>DW</v>
      </c>
      <c r="DC597" s="61">
        <f>IF($CL597-$CL594&gt;1/24,#REF!,IF(SUM($CQ594:$CQ597)&gt;$DS$1,$DS$5,DC598-1))</f>
        <v>-7</v>
      </c>
      <c r="DD597" s="61">
        <f>IF($CL598-$CL597&gt;1/24,#REF!,IF(SUM($CQ594:$CQ597)&gt;$DS$1,$DS$6,DD596-1))</f>
        <v>-4</v>
      </c>
      <c r="DE597" s="18" t="b">
        <v>0</v>
      </c>
      <c r="DF597" s="2" t="b">
        <f>IF(OR(RecData[[#This Row],[WSpd_Avg '[m/s']]]-RecData[[#This Row],[Wind Speed min]]&gt;=$DF$3,RecData[[#This Row],[Wind Speed max]]-RecData[[#This Row],[WSpd_Avg '[m/s']]]&gt;=$DF$2),TRUE,FALSE)</f>
        <v>0</v>
      </c>
      <c r="DG597" s="2" t="b">
        <f>RecData[[#This Row],[Temperature '[°C']]]&lt;=-20</f>
        <v>0</v>
      </c>
      <c r="DH597" s="18" t="b">
        <f>NOT(OR(MOD(RecData[[#This Row],[TIMESTAMP]],1)&gt;0.91632,MOD(RecData[[#This Row],[TIMESTAMP]],1)&lt;0.208681))</f>
        <v>0</v>
      </c>
      <c r="DI597" s="18" t="b">
        <f>RecData[[#This Row],[Overall (dBA)]]-RecData[[#This Row],[L90]]&gt;=$DS$4</f>
        <v>0</v>
      </c>
      <c r="DJ597" s="18" t="b">
        <f>RecData[[#This Row],[Overall (dBA)]]&gt;$DS$2</f>
        <v>0</v>
      </c>
      <c r="DK597" s="18" t="b">
        <f>RecData[[#This Row],[Overall (dBA)]]&lt;$DS$3</f>
        <v>0</v>
      </c>
      <c r="DL5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7" s="2">
        <f>IF(AND(RecData[[#This Row],[Turbines ON/OFF]] = "OFF", NOT(OR(RecData[[#This Row],[Junk?]]="YES",RecData[[#This Row],[Gust?]],RecData[[#This Row],[Rain?]:[Min SPL Threshold?]]))),1,0)</f>
        <v>0</v>
      </c>
      <c r="DN597" s="16">
        <f>RecData[[#This Row],[dBA Sum]]</f>
        <v>40.119618638989976</v>
      </c>
      <c r="DO597" s="16">
        <f>RecData[[#This Row],[LAF90.0]]</f>
        <v>38.9</v>
      </c>
      <c r="DP597" s="55">
        <f>IF(AND(RecData[[#This Row],[Useable TON Data?]],RecData[[#This Row],[Turbines ON/OFF]]="ON"),RecData[[#This Row],[dBA Sum]],"")</f>
        <v>40.119618638989976</v>
      </c>
      <c r="DQ597" s="55" t="str">
        <f>IF(AND(RecData[[#This Row],[Useable Background Data?]],RecData[[#This Row],[Turbines ON/OFF]]="OFF"),RecData[[#This Row],[dBA Sum]],"")</f>
        <v/>
      </c>
      <c r="DR597" s="3">
        <f>IF(OR(RecData[[#This Row],[Useable TON Data?]],RecData[[#This Row],[Useable Background Data?]]),ROUND(RecData[[#This Row],[WSpd_Avg '[m/s']]],0),"")</f>
        <v>1</v>
      </c>
      <c r="DS597" s="85">
        <f>(0.00002)^2*(10^(RecData[[#This Row],[Overall (dBA)]]/10))</f>
        <v>4.1117041212627284E-6</v>
      </c>
    </row>
    <row r="598" spans="1:123" ht="15" x14ac:dyDescent="0.25">
      <c r="A598" s="3" t="s">
        <v>249</v>
      </c>
      <c r="B598" s="12">
        <v>43270.131249999999</v>
      </c>
      <c r="C598" s="3"/>
      <c r="D598" s="3">
        <v>41</v>
      </c>
      <c r="E598" s="3"/>
      <c r="F598" s="3"/>
      <c r="G598" s="3"/>
      <c r="H598" s="3"/>
      <c r="I598" s="3"/>
      <c r="J598" s="3"/>
      <c r="K598" s="3">
        <v>40</v>
      </c>
      <c r="L598" s="3"/>
      <c r="M598" s="3"/>
      <c r="N598" s="3">
        <v>171.3</v>
      </c>
      <c r="O598" s="3"/>
      <c r="P598" s="3"/>
      <c r="Q598" s="3">
        <v>0.43</v>
      </c>
      <c r="R598" s="3">
        <v>0.4</v>
      </c>
      <c r="S598" s="3">
        <v>0.5</v>
      </c>
      <c r="T598" s="3">
        <v>12.2</v>
      </c>
      <c r="U598" s="3">
        <v>82.2</v>
      </c>
      <c r="V598" s="3">
        <v>973.1</v>
      </c>
      <c r="W598" s="3">
        <v>0</v>
      </c>
      <c r="X598" s="3">
        <v>46.6</v>
      </c>
      <c r="Y598" s="3">
        <v>45.5</v>
      </c>
      <c r="Z598" s="3">
        <v>44.5</v>
      </c>
      <c r="AA598" s="3">
        <v>40.5</v>
      </c>
      <c r="AB598" s="3">
        <v>35.9</v>
      </c>
      <c r="AC598" s="3">
        <v>34.700000000000003</v>
      </c>
      <c r="AD598" s="3">
        <v>39</v>
      </c>
      <c r="AE598" s="3">
        <v>40.4</v>
      </c>
      <c r="AF598" s="3">
        <v>46.4</v>
      </c>
      <c r="AG598" s="3">
        <v>40.9</v>
      </c>
      <c r="AH598" s="3">
        <v>37.4</v>
      </c>
      <c r="AI598" s="3">
        <v>39.200000000000003</v>
      </c>
      <c r="AJ598" s="3">
        <v>37.4</v>
      </c>
      <c r="AK598" s="3">
        <v>35.799999999999997</v>
      </c>
      <c r="AL598" s="3">
        <v>33.799999999999997</v>
      </c>
      <c r="AM598" s="3">
        <v>33.700000000000003</v>
      </c>
      <c r="AN598" s="3">
        <v>31.7</v>
      </c>
      <c r="AO598" s="3">
        <v>29.1</v>
      </c>
      <c r="AP598" s="3">
        <v>26.7</v>
      </c>
      <c r="AQ598" s="3">
        <v>24.4</v>
      </c>
      <c r="AR598" s="3">
        <v>20.6</v>
      </c>
      <c r="AS598" s="3">
        <v>17</v>
      </c>
      <c r="AT598" s="3">
        <v>28.1</v>
      </c>
      <c r="AU598" s="3">
        <v>10.199999999999999</v>
      </c>
      <c r="AV598" s="3">
        <v>8.6</v>
      </c>
      <c r="AW598" s="3">
        <v>8.9</v>
      </c>
      <c r="AX598" s="3">
        <v>9.1</v>
      </c>
      <c r="AY598" s="3">
        <v>9.4</v>
      </c>
      <c r="AZ598" s="3">
        <v>0</v>
      </c>
      <c r="BA598" s="3">
        <v>0</v>
      </c>
      <c r="BB598" s="3">
        <v>0</v>
      </c>
      <c r="BC598" s="3">
        <v>40.982002568337847</v>
      </c>
      <c r="BD598" s="3">
        <v>46.617997431662147</v>
      </c>
      <c r="BE598" s="3">
        <v>45.517997431662153</v>
      </c>
      <c r="BF598" s="3">
        <v>43.277997431662143</v>
      </c>
      <c r="BG598" s="3">
        <v>39.604664098328826</v>
      </c>
      <c r="BH598" s="3">
        <v>35.144664098328818</v>
      </c>
      <c r="BI598" s="3">
        <v>34.357997431662156</v>
      </c>
      <c r="BJ598" s="3">
        <v>39.45133076499549</v>
      </c>
      <c r="BK598" s="3">
        <v>40.724664098328816</v>
      </c>
      <c r="BL598" s="3">
        <v>46.297997431662154</v>
      </c>
      <c r="BM598" s="3">
        <v>40.931330764995479</v>
      </c>
      <c r="BN598" s="3">
        <v>37.714664098328811</v>
      </c>
      <c r="BO598" s="3">
        <v>38.881330764995496</v>
      </c>
      <c r="BP598" s="3">
        <v>36.797997431662154</v>
      </c>
      <c r="BQ598" s="3">
        <v>35.614664098328817</v>
      </c>
      <c r="BR598" s="3">
        <v>33.941330764995485</v>
      </c>
      <c r="BS598" s="3">
        <v>33.644664098328818</v>
      </c>
      <c r="BT598" s="3">
        <v>31.84133076499549</v>
      </c>
      <c r="BU598" s="3">
        <v>29.20799743166215</v>
      </c>
      <c r="BV598" s="3">
        <v>26.524664098328813</v>
      </c>
      <c r="BW598" s="3">
        <v>24.757997431662162</v>
      </c>
      <c r="BX598" s="3">
        <v>20.877997431662159</v>
      </c>
      <c r="BY598" s="3">
        <v>17.097997431662151</v>
      </c>
      <c r="BZ598" s="3">
        <v>28.327997431662155</v>
      </c>
      <c r="CA598" s="3">
        <v>10.527997431662143</v>
      </c>
      <c r="CB598" s="3">
        <v>8.3646640983288165</v>
      </c>
      <c r="CC598" s="3">
        <v>8.8779974316621519</v>
      </c>
      <c r="CD598" s="3">
        <v>8.3846640983288268</v>
      </c>
      <c r="CE598" s="3">
        <v>8.8779974316621519</v>
      </c>
      <c r="CF598" s="3">
        <v>-0.90866923500451691</v>
      </c>
      <c r="CG598" s="3">
        <v>-1.4420025683378483</v>
      </c>
      <c r="CH598" s="3">
        <v>-2.5186692350045163</v>
      </c>
      <c r="CI598" s="13">
        <f>[1]!dbasum(RecData[[#This Row],[20]:[2000]],RecData[[#Headers],[20]:[2000]])</f>
        <v>40.575769761215355</v>
      </c>
      <c r="CJ598" s="14">
        <v>8366</v>
      </c>
      <c r="CK598" s="15" t="s">
        <v>249</v>
      </c>
      <c r="CL598" s="15">
        <f>RecData[[#This Row],[Start Time]]</f>
        <v>43270.131249999999</v>
      </c>
      <c r="CM598" s="16">
        <f>RecData[[#This Row],[Wind Speed avg]]</f>
        <v>0.43</v>
      </c>
      <c r="CN598" s="16">
        <f>RecData[[#This Row],[Wind Dir. avg]]</f>
        <v>171.3</v>
      </c>
      <c r="CO598" s="16">
        <f>RecData[[#This Row],[Amb. Humidity]]</f>
        <v>82.2</v>
      </c>
      <c r="CP598" s="16">
        <f>RecData[[#This Row],[Amb. Temperature]]</f>
        <v>12.2</v>
      </c>
      <c r="CQ598" s="17">
        <f>RecData[[#This Row],[Amb. Rain Gauge]]</f>
        <v>0</v>
      </c>
      <c r="CR598" s="4" t="s">
        <v>1</v>
      </c>
      <c r="CS598" s="4" t="s">
        <v>49</v>
      </c>
      <c r="CT598" s="70">
        <v>1591.94165039062</v>
      </c>
      <c r="CU598" s="70">
        <v>38.868030548095703</v>
      </c>
      <c r="CV598" s="70">
        <v>9.7373723983764595</v>
      </c>
      <c r="CW598" s="70">
        <v>15.3728008270263</v>
      </c>
      <c r="CX598" s="4"/>
      <c r="CY598" s="69"/>
      <c r="CZ598" s="2" t="b">
        <f>IF($DP$1="YES",IF(RecData[[#This Row],[Power (kW)]]&gt;=$CR$3, TRUE,FALSE),TRUE)</f>
        <v>1</v>
      </c>
      <c r="DA598" s="16">
        <f>MIN(MOD(180-ABS(ABS($DA$1-RecData[Yaw Angle (°)])-180),360),MOD(180-ABS(ABS($DB$1-RecData[Yaw Angle (°)])-180),360))</f>
        <v>31.338103770408168</v>
      </c>
      <c r="DB598" s="2" t="str">
        <f>IF($DP$2="None","None",IF(RecData[[#This Row],[Relative Wind Direction]]&lt;=45,"DW",IF(RecData[[#This Row],[Relative Wind Direction]]&lt;=135,"CW","UW")))</f>
        <v>DW</v>
      </c>
      <c r="DC598" s="61">
        <f>IF($CL598-$CL594&gt;1/24,#REF!,IF(SUM($CQ594:$CQ598)&gt;$DS$1,$DS$5,DC599-1))</f>
        <v>-6</v>
      </c>
      <c r="DD598" s="61">
        <f>IF($CL599-$CL598&gt;1/24,#REF!,IF(SUM($CQ594:$CQ598)&gt;$DS$1,$DS$6,DD597-1))</f>
        <v>-5</v>
      </c>
      <c r="DE598" s="18" t="b">
        <v>0</v>
      </c>
      <c r="DF598" s="2" t="b">
        <f>IF(OR(RecData[[#This Row],[WSpd_Avg '[m/s']]]-RecData[[#This Row],[Wind Speed min]]&gt;=$DF$3,RecData[[#This Row],[Wind Speed max]]-RecData[[#This Row],[WSpd_Avg '[m/s']]]&gt;=$DF$2),TRUE,FALSE)</f>
        <v>0</v>
      </c>
      <c r="DG598" s="2" t="b">
        <f>RecData[[#This Row],[Temperature '[°C']]]&lt;=-20</f>
        <v>0</v>
      </c>
      <c r="DH598" s="18" t="b">
        <f>NOT(OR(MOD(RecData[[#This Row],[TIMESTAMP]],1)&gt;0.91632,MOD(RecData[[#This Row],[TIMESTAMP]],1)&lt;0.208681))</f>
        <v>0</v>
      </c>
      <c r="DI598" s="18" t="b">
        <f>RecData[[#This Row],[Overall (dBA)]]-RecData[[#This Row],[L90]]&gt;=$DS$4</f>
        <v>0</v>
      </c>
      <c r="DJ598" s="18" t="b">
        <f>RecData[[#This Row],[Overall (dBA)]]&gt;$DS$2</f>
        <v>0</v>
      </c>
      <c r="DK598" s="18" t="b">
        <f>RecData[[#This Row],[Overall (dBA)]]&lt;$DS$3</f>
        <v>0</v>
      </c>
      <c r="DL5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8" s="2">
        <f>IF(AND(RecData[[#This Row],[Turbines ON/OFF]] = "OFF", NOT(OR(RecData[[#This Row],[Junk?]]="YES",RecData[[#This Row],[Gust?]],RecData[[#This Row],[Rain?]:[Min SPL Threshold?]]))),1,0)</f>
        <v>0</v>
      </c>
      <c r="DN598" s="16">
        <f>RecData[[#This Row],[dBA Sum]]</f>
        <v>40.575769761215355</v>
      </c>
      <c r="DO598" s="16">
        <f>RecData[[#This Row],[LAF90.0]]</f>
        <v>40</v>
      </c>
      <c r="DP598" s="55">
        <f>IF(AND(RecData[[#This Row],[Useable TON Data?]],RecData[[#This Row],[Turbines ON/OFF]]="ON"),RecData[[#This Row],[dBA Sum]],"")</f>
        <v>40.575769761215355</v>
      </c>
      <c r="DQ598" s="55" t="str">
        <f>IF(AND(RecData[[#This Row],[Useable Background Data?]],RecData[[#This Row],[Turbines ON/OFF]]="OFF"),RecData[[#This Row],[dBA Sum]],"")</f>
        <v/>
      </c>
      <c r="DR598" s="3">
        <f>IF(OR(RecData[[#This Row],[Useable TON Data?]],RecData[[#This Row],[Useable Background Data?]]),ROUND(RecData[[#This Row],[WSpd_Avg '[m/s']]],0),"")</f>
        <v>0</v>
      </c>
      <c r="DS598" s="85">
        <f>(0.00002)^2*(10^(RecData[[#This Row],[Overall (dBA)]]/10))</f>
        <v>4.5670626315100294E-6</v>
      </c>
    </row>
    <row r="599" spans="1:123" ht="15" x14ac:dyDescent="0.25">
      <c r="A599" s="3" t="s">
        <v>249</v>
      </c>
      <c r="B599" s="12">
        <v>43270.131944444445</v>
      </c>
      <c r="C599" s="3"/>
      <c r="D599" s="3">
        <v>40.799999999999997</v>
      </c>
      <c r="E599" s="3"/>
      <c r="F599" s="3"/>
      <c r="G599" s="3"/>
      <c r="H599" s="3"/>
      <c r="I599" s="3"/>
      <c r="J599" s="3"/>
      <c r="K599" s="3">
        <v>39.6</v>
      </c>
      <c r="L599" s="3"/>
      <c r="M599" s="3"/>
      <c r="N599" s="3">
        <v>153.30000000000001</v>
      </c>
      <c r="O599" s="3"/>
      <c r="P599" s="3"/>
      <c r="Q599" s="3">
        <v>0.4</v>
      </c>
      <c r="R599" s="3">
        <v>0.2</v>
      </c>
      <c r="S599" s="3">
        <v>0.6</v>
      </c>
      <c r="T599" s="3">
        <v>12.2</v>
      </c>
      <c r="U599" s="3">
        <v>82.8</v>
      </c>
      <c r="V599" s="3">
        <v>973.1</v>
      </c>
      <c r="W599" s="3">
        <v>0</v>
      </c>
      <c r="X599" s="3">
        <v>47.3</v>
      </c>
      <c r="Y599" s="3">
        <v>46.5</v>
      </c>
      <c r="Z599" s="3">
        <v>45.7</v>
      </c>
      <c r="AA599" s="3">
        <v>41.4</v>
      </c>
      <c r="AB599" s="3">
        <v>36.5</v>
      </c>
      <c r="AC599" s="3">
        <v>34.9</v>
      </c>
      <c r="AD599" s="3">
        <v>39.9</v>
      </c>
      <c r="AE599" s="3">
        <v>41.3</v>
      </c>
      <c r="AF599" s="3">
        <v>45.6</v>
      </c>
      <c r="AG599" s="3">
        <v>40.9</v>
      </c>
      <c r="AH599" s="3">
        <v>37.9</v>
      </c>
      <c r="AI599" s="3">
        <v>38.4</v>
      </c>
      <c r="AJ599" s="3">
        <v>37.1</v>
      </c>
      <c r="AK599" s="3">
        <v>35.799999999999997</v>
      </c>
      <c r="AL599" s="3">
        <v>33.799999999999997</v>
      </c>
      <c r="AM599" s="3">
        <v>33.799999999999997</v>
      </c>
      <c r="AN599" s="3">
        <v>32.299999999999997</v>
      </c>
      <c r="AO599" s="3">
        <v>29.6</v>
      </c>
      <c r="AP599" s="3">
        <v>26.9</v>
      </c>
      <c r="AQ599" s="3">
        <v>24.8</v>
      </c>
      <c r="AR599" s="3">
        <v>20.9</v>
      </c>
      <c r="AS599" s="3">
        <v>16.8</v>
      </c>
      <c r="AT599" s="3">
        <v>22.1</v>
      </c>
      <c r="AU599" s="3">
        <v>9.5</v>
      </c>
      <c r="AV599" s="3">
        <v>8.6</v>
      </c>
      <c r="AW599" s="3">
        <v>9</v>
      </c>
      <c r="AX599" s="3">
        <v>9.1</v>
      </c>
      <c r="AY599" s="3">
        <v>9.4</v>
      </c>
      <c r="AZ599" s="3">
        <v>0</v>
      </c>
      <c r="BA599" s="3">
        <v>0</v>
      </c>
      <c r="BB599" s="3">
        <v>0</v>
      </c>
      <c r="BC599" s="3">
        <v>40.768355544438435</v>
      </c>
      <c r="BD599" s="3">
        <v>47.331644455561559</v>
      </c>
      <c r="BE599" s="3">
        <v>46.531644455561562</v>
      </c>
      <c r="BF599" s="3">
        <v>44.491644455561556</v>
      </c>
      <c r="BG599" s="3">
        <v>40.518311122228226</v>
      </c>
      <c r="BH599" s="3">
        <v>35.758311122228235</v>
      </c>
      <c r="BI599" s="3">
        <v>34.571644455561568</v>
      </c>
      <c r="BJ599" s="3">
        <v>40.36497778889489</v>
      </c>
      <c r="BK599" s="3">
        <v>41.638311122228231</v>
      </c>
      <c r="BL599" s="3">
        <v>45.511644455561566</v>
      </c>
      <c r="BM599" s="3">
        <v>40.944977788894903</v>
      </c>
      <c r="BN599" s="3">
        <v>38.228311122228234</v>
      </c>
      <c r="BO599" s="3">
        <v>38.094977788894894</v>
      </c>
      <c r="BP599" s="3">
        <v>36.511644455561566</v>
      </c>
      <c r="BQ599" s="3">
        <v>35.628311122228212</v>
      </c>
      <c r="BR599" s="3">
        <v>33.954977788894894</v>
      </c>
      <c r="BS599" s="3">
        <v>33.758311122228235</v>
      </c>
      <c r="BT599" s="3">
        <v>32.454977788894894</v>
      </c>
      <c r="BU599" s="3">
        <v>29.721644455561574</v>
      </c>
      <c r="BV599" s="3">
        <v>26.738311122228225</v>
      </c>
      <c r="BW599" s="3">
        <v>25.171644455561562</v>
      </c>
      <c r="BX599" s="3">
        <v>21.191644455561566</v>
      </c>
      <c r="BY599" s="3">
        <v>16.911644455561557</v>
      </c>
      <c r="BZ599" s="3">
        <v>22.341644455561564</v>
      </c>
      <c r="CA599" s="3">
        <v>9.841644455561557</v>
      </c>
      <c r="CB599" s="3">
        <v>8.3783111222282258</v>
      </c>
      <c r="CC599" s="3">
        <v>8.9916444555615627</v>
      </c>
      <c r="CD599" s="3">
        <v>8.3983111222282361</v>
      </c>
      <c r="CE599" s="3">
        <v>8.8916444555615612</v>
      </c>
      <c r="CF599" s="3">
        <v>-0.8950222111051076</v>
      </c>
      <c r="CG599" s="3">
        <v>-1.428355544438439</v>
      </c>
      <c r="CH599" s="3">
        <v>-2.505022211105107</v>
      </c>
      <c r="CI599" s="13">
        <f>[1]!dbasum(RecData[[#This Row],[20]:[2000]],RecData[[#Headers],[20]:[2000]])</f>
        <v>40.621837332289928</v>
      </c>
      <c r="CJ599" s="14">
        <v>8367</v>
      </c>
      <c r="CK599" s="15" t="s">
        <v>249</v>
      </c>
      <c r="CL599" s="15">
        <f>RecData[[#This Row],[Start Time]]</f>
        <v>43270.131944444445</v>
      </c>
      <c r="CM599" s="16">
        <f>RecData[[#This Row],[Wind Speed avg]]</f>
        <v>0.4</v>
      </c>
      <c r="CN599" s="16">
        <f>RecData[[#This Row],[Wind Dir. avg]]</f>
        <v>153.30000000000001</v>
      </c>
      <c r="CO599" s="16">
        <f>RecData[[#This Row],[Amb. Humidity]]</f>
        <v>82.8</v>
      </c>
      <c r="CP599" s="16">
        <f>RecData[[#This Row],[Amb. Temperature]]</f>
        <v>12.2</v>
      </c>
      <c r="CQ599" s="17">
        <f>RecData[[#This Row],[Amb. Rain Gauge]]</f>
        <v>0</v>
      </c>
      <c r="CR599" s="4" t="s">
        <v>1</v>
      </c>
      <c r="CS599" s="4" t="s">
        <v>49</v>
      </c>
      <c r="CT599" s="70">
        <v>1591.94165039062</v>
      </c>
      <c r="CU599" s="70">
        <v>38.868030548095703</v>
      </c>
      <c r="CV599" s="70">
        <v>9.7373723983764595</v>
      </c>
      <c r="CW599" s="70">
        <v>15.3728008270263</v>
      </c>
      <c r="CX599" s="4"/>
      <c r="CY599" s="69"/>
      <c r="CZ599" s="2" t="b">
        <f>IF($DP$1="YES",IF(RecData[[#This Row],[Power (kW)]]&gt;=$CR$3, TRUE,FALSE),TRUE)</f>
        <v>1</v>
      </c>
      <c r="DA599" s="16">
        <f>MIN(MOD(180-ABS(ABS($DA$1-RecData[Yaw Angle (°)])-180),360),MOD(180-ABS(ABS($DB$1-RecData[Yaw Angle (°)])-180),360))</f>
        <v>31.338103770408168</v>
      </c>
      <c r="DB599" s="2" t="str">
        <f>IF($DP$2="None","None",IF(RecData[[#This Row],[Relative Wind Direction]]&lt;=45,"DW",IF(RecData[[#This Row],[Relative Wind Direction]]&lt;=135,"CW","UW")))</f>
        <v>DW</v>
      </c>
      <c r="DC599" s="61">
        <f>IF($CL599-$CL595&gt;1/24,#REF!,IF(SUM($CQ595:$CQ599)&gt;$DS$1,$DS$5,DC600-1))</f>
        <v>-5</v>
      </c>
      <c r="DD599" s="61">
        <f>IF($CL600-$CL599&gt;1/24,#REF!,IF(SUM($CQ595:$CQ599)&gt;$DS$1,$DS$6,DD598-1))</f>
        <v>-6</v>
      </c>
      <c r="DE599" s="18" t="b">
        <v>0</v>
      </c>
      <c r="DF599" s="2" t="b">
        <f>IF(OR(RecData[[#This Row],[WSpd_Avg '[m/s']]]-RecData[[#This Row],[Wind Speed min]]&gt;=$DF$3,RecData[[#This Row],[Wind Speed max]]-RecData[[#This Row],[WSpd_Avg '[m/s']]]&gt;=$DF$2),TRUE,FALSE)</f>
        <v>0</v>
      </c>
      <c r="DG599" s="2" t="b">
        <f>RecData[[#This Row],[Temperature '[°C']]]&lt;=-20</f>
        <v>0</v>
      </c>
      <c r="DH599" s="18" t="b">
        <f>NOT(OR(MOD(RecData[[#This Row],[TIMESTAMP]],1)&gt;0.91632,MOD(RecData[[#This Row],[TIMESTAMP]],1)&lt;0.208681))</f>
        <v>0</v>
      </c>
      <c r="DI599" s="18" t="b">
        <f>RecData[[#This Row],[Overall (dBA)]]-RecData[[#This Row],[L90]]&gt;=$DS$4</f>
        <v>0</v>
      </c>
      <c r="DJ599" s="18" t="b">
        <f>RecData[[#This Row],[Overall (dBA)]]&gt;$DS$2</f>
        <v>0</v>
      </c>
      <c r="DK599" s="18" t="b">
        <f>RecData[[#This Row],[Overall (dBA)]]&lt;$DS$3</f>
        <v>0</v>
      </c>
      <c r="DL5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599" s="2">
        <f>IF(AND(RecData[[#This Row],[Turbines ON/OFF]] = "OFF", NOT(OR(RecData[[#This Row],[Junk?]]="YES",RecData[[#This Row],[Gust?]],RecData[[#This Row],[Rain?]:[Min SPL Threshold?]]))),1,0)</f>
        <v>0</v>
      </c>
      <c r="DN599" s="16">
        <f>RecData[[#This Row],[dBA Sum]]</f>
        <v>40.621837332289928</v>
      </c>
      <c r="DO599" s="16">
        <f>RecData[[#This Row],[LAF90.0]]</f>
        <v>39.6</v>
      </c>
      <c r="DP599" s="55">
        <f>IF(AND(RecData[[#This Row],[Useable TON Data?]],RecData[[#This Row],[Turbines ON/OFF]]="ON"),RecData[[#This Row],[dBA Sum]],"")</f>
        <v>40.621837332289928</v>
      </c>
      <c r="DQ599" s="55" t="str">
        <f>IF(AND(RecData[[#This Row],[Useable Background Data?]],RecData[[#This Row],[Turbines ON/OFF]]="OFF"),RecData[[#This Row],[dBA Sum]],"")</f>
        <v/>
      </c>
      <c r="DR599" s="3">
        <f>IF(OR(RecData[[#This Row],[Useable TON Data?]],RecData[[#This Row],[Useable Background Data?]]),ROUND(RecData[[#This Row],[WSpd_Avg '[m/s']]],0),"")</f>
        <v>0</v>
      </c>
      <c r="DS599" s="85">
        <f>(0.00002)^2*(10^(RecData[[#This Row],[Overall (dBA)]]/10))</f>
        <v>4.6157653704083498E-6</v>
      </c>
    </row>
    <row r="600" spans="1:123" ht="15" x14ac:dyDescent="0.25">
      <c r="A600" s="3" t="s">
        <v>249</v>
      </c>
      <c r="B600" s="12">
        <v>43270.132638888892</v>
      </c>
      <c r="C600" s="3"/>
      <c r="D600" s="3">
        <v>40.799999999999997</v>
      </c>
      <c r="E600" s="3"/>
      <c r="F600" s="3"/>
      <c r="G600" s="3"/>
      <c r="H600" s="3"/>
      <c r="I600" s="3"/>
      <c r="J600" s="3"/>
      <c r="K600" s="3">
        <v>39.5</v>
      </c>
      <c r="L600" s="3"/>
      <c r="M600" s="3"/>
      <c r="N600" s="3">
        <v>141.4</v>
      </c>
      <c r="O600" s="3"/>
      <c r="P600" s="3"/>
      <c r="Q600" s="3">
        <v>0.63</v>
      </c>
      <c r="R600" s="3">
        <v>0.3</v>
      </c>
      <c r="S600" s="3">
        <v>1</v>
      </c>
      <c r="T600" s="3">
        <v>12.2</v>
      </c>
      <c r="U600" s="3">
        <v>82.2</v>
      </c>
      <c r="V600" s="3">
        <v>973</v>
      </c>
      <c r="W600" s="3">
        <v>0</v>
      </c>
      <c r="X600" s="3">
        <v>47</v>
      </c>
      <c r="Y600" s="3">
        <v>46.2</v>
      </c>
      <c r="Z600" s="3">
        <v>45.5</v>
      </c>
      <c r="AA600" s="3">
        <v>41.2</v>
      </c>
      <c r="AB600" s="3">
        <v>36.5</v>
      </c>
      <c r="AC600" s="3">
        <v>34.5</v>
      </c>
      <c r="AD600" s="3">
        <v>39.6</v>
      </c>
      <c r="AE600" s="3">
        <v>40.9</v>
      </c>
      <c r="AF600" s="3">
        <v>46.4</v>
      </c>
      <c r="AG600" s="3">
        <v>41</v>
      </c>
      <c r="AH600" s="3">
        <v>37.5</v>
      </c>
      <c r="AI600" s="3">
        <v>38.200000000000003</v>
      </c>
      <c r="AJ600" s="3">
        <v>36.9</v>
      </c>
      <c r="AK600" s="3">
        <v>35.5</v>
      </c>
      <c r="AL600" s="3">
        <v>33.700000000000003</v>
      </c>
      <c r="AM600" s="3">
        <v>33.799999999999997</v>
      </c>
      <c r="AN600" s="3">
        <v>32.5</v>
      </c>
      <c r="AO600" s="3">
        <v>29.7</v>
      </c>
      <c r="AP600" s="3">
        <v>27.1</v>
      </c>
      <c r="AQ600" s="3">
        <v>24.8</v>
      </c>
      <c r="AR600" s="3">
        <v>20.8</v>
      </c>
      <c r="AS600" s="3">
        <v>16.399999999999999</v>
      </c>
      <c r="AT600" s="3">
        <v>20.100000000000001</v>
      </c>
      <c r="AU600" s="3">
        <v>8.8000000000000007</v>
      </c>
      <c r="AV600" s="3">
        <v>8.5</v>
      </c>
      <c r="AW600" s="3">
        <v>8.9</v>
      </c>
      <c r="AX600" s="3">
        <v>9.1</v>
      </c>
      <c r="AY600" s="3">
        <v>9.3000000000000007</v>
      </c>
      <c r="AZ600" s="3">
        <v>0</v>
      </c>
      <c r="BA600" s="3">
        <v>0</v>
      </c>
      <c r="BB600" s="3">
        <v>0</v>
      </c>
      <c r="BC600" s="3">
        <v>40.749177551488593</v>
      </c>
      <c r="BD600" s="3">
        <v>47.050822448511404</v>
      </c>
      <c r="BE600" s="3">
        <v>46.250822448511407</v>
      </c>
      <c r="BF600" s="3">
        <v>44.310822448511409</v>
      </c>
      <c r="BG600" s="3">
        <v>40.33748911517808</v>
      </c>
      <c r="BH600" s="3">
        <v>35.777489115178078</v>
      </c>
      <c r="BI600" s="3">
        <v>34.190822448511405</v>
      </c>
      <c r="BJ600" s="3">
        <v>40.084155781844736</v>
      </c>
      <c r="BK600" s="3">
        <v>41.257489115178068</v>
      </c>
      <c r="BL600" s="3">
        <v>46.330822448511405</v>
      </c>
      <c r="BM600" s="3">
        <v>41.06415578184474</v>
      </c>
      <c r="BN600" s="3">
        <v>37.847489115178071</v>
      </c>
      <c r="BO600" s="3">
        <v>37.914155781844734</v>
      </c>
      <c r="BP600" s="3">
        <v>36.330822448511405</v>
      </c>
      <c r="BQ600" s="3">
        <v>35.347489115178071</v>
      </c>
      <c r="BR600" s="3">
        <v>33.874155781844742</v>
      </c>
      <c r="BS600" s="3">
        <v>33.777489115178078</v>
      </c>
      <c r="BT600" s="3">
        <v>32.674155781844739</v>
      </c>
      <c r="BU600" s="3">
        <v>29.84082244851141</v>
      </c>
      <c r="BV600" s="3">
        <v>26.95748911517807</v>
      </c>
      <c r="BW600" s="3">
        <v>25.190822448511405</v>
      </c>
      <c r="BX600" s="3">
        <v>21.110822448511406</v>
      </c>
      <c r="BY600" s="3">
        <v>16.530822448511401</v>
      </c>
      <c r="BZ600" s="3">
        <v>20.360822448511406</v>
      </c>
      <c r="CA600" s="3">
        <v>9.1608224485113965</v>
      </c>
      <c r="CB600" s="3">
        <v>8.2974891151780668</v>
      </c>
      <c r="CC600" s="3">
        <v>8.9108224485114036</v>
      </c>
      <c r="CD600" s="3">
        <v>8.4174891151780784</v>
      </c>
      <c r="CE600" s="3">
        <v>8.8108224485114022</v>
      </c>
      <c r="CF600" s="3">
        <v>-0.87584421815526525</v>
      </c>
      <c r="CG600" s="3">
        <v>-1.4091775514885967</v>
      </c>
      <c r="CH600" s="3">
        <v>-2.4858442181552647</v>
      </c>
      <c r="CI600" s="13">
        <f>[1]!dbasum(RecData[[#This Row],[20]:[2000]],RecData[[#Headers],[20]:[2000]])</f>
        <v>40.655664010293613</v>
      </c>
      <c r="CJ600" s="14">
        <v>8368</v>
      </c>
      <c r="CK600" s="15" t="s">
        <v>249</v>
      </c>
      <c r="CL600" s="15">
        <f>RecData[[#This Row],[Start Time]]</f>
        <v>43270.132638888892</v>
      </c>
      <c r="CM600" s="16">
        <f>RecData[[#This Row],[Wind Speed avg]]</f>
        <v>0.63</v>
      </c>
      <c r="CN600" s="16">
        <f>RecData[[#This Row],[Wind Dir. avg]]</f>
        <v>141.4</v>
      </c>
      <c r="CO600" s="16">
        <f>RecData[[#This Row],[Amb. Humidity]]</f>
        <v>82.2</v>
      </c>
      <c r="CP600" s="16">
        <f>RecData[[#This Row],[Amb. Temperature]]</f>
        <v>12.2</v>
      </c>
      <c r="CQ600" s="17">
        <f>RecData[[#This Row],[Amb. Rain Gauge]]</f>
        <v>0</v>
      </c>
      <c r="CR600" s="4" t="s">
        <v>1</v>
      </c>
      <c r="CS600" s="4" t="s">
        <v>49</v>
      </c>
      <c r="CT600" s="70">
        <v>1620.09265136718</v>
      </c>
      <c r="CU600" s="70">
        <v>30.1280002593994</v>
      </c>
      <c r="CV600" s="70">
        <v>11.645037651061999</v>
      </c>
      <c r="CW600" s="70">
        <v>15.3230123519897</v>
      </c>
      <c r="CX600" s="4"/>
      <c r="CY600" s="69"/>
      <c r="CZ600" s="2" t="b">
        <f>IF($DP$1="YES",IF(RecData[[#This Row],[Power (kW)]]&gt;=$CR$3, TRUE,FALSE),TRUE)</f>
        <v>1</v>
      </c>
      <c r="DA600" s="16">
        <f>MIN(MOD(180-ABS(ABS($DA$1-RecData[Yaw Angle (°)])-180),360),MOD(180-ABS(ABS($DB$1-RecData[Yaw Angle (°)])-180),360))</f>
        <v>22.59807348171185</v>
      </c>
      <c r="DB600" s="2" t="str">
        <f>IF($DP$2="None","None",IF(RecData[[#This Row],[Relative Wind Direction]]&lt;=45,"DW",IF(RecData[[#This Row],[Relative Wind Direction]]&lt;=135,"CW","UW")))</f>
        <v>DW</v>
      </c>
      <c r="DC600" s="61">
        <f>IF($CL600-$CL596&gt;1/24,#REF!,IF(SUM($CQ596:$CQ600)&gt;$DS$1,$DS$5,DC601-1))</f>
        <v>-4</v>
      </c>
      <c r="DD600" s="61">
        <f>IF($CL601-$CL600&gt;1/24,#REF!,IF(SUM($CQ596:$CQ600)&gt;$DS$1,$DS$6,DD599-1))</f>
        <v>-7</v>
      </c>
      <c r="DE600" s="18" t="b">
        <v>0</v>
      </c>
      <c r="DF600" s="2" t="b">
        <f>IF(OR(RecData[[#This Row],[WSpd_Avg '[m/s']]]-RecData[[#This Row],[Wind Speed min]]&gt;=$DF$3,RecData[[#This Row],[Wind Speed max]]-RecData[[#This Row],[WSpd_Avg '[m/s']]]&gt;=$DF$2),TRUE,FALSE)</f>
        <v>0</v>
      </c>
      <c r="DG600" s="2" t="b">
        <f>RecData[[#This Row],[Temperature '[°C']]]&lt;=-20</f>
        <v>0</v>
      </c>
      <c r="DH600" s="18" t="b">
        <f>NOT(OR(MOD(RecData[[#This Row],[TIMESTAMP]],1)&gt;0.91632,MOD(RecData[[#This Row],[TIMESTAMP]],1)&lt;0.208681))</f>
        <v>0</v>
      </c>
      <c r="DI600" s="18" t="b">
        <f>RecData[[#This Row],[Overall (dBA)]]-RecData[[#This Row],[L90]]&gt;=$DS$4</f>
        <v>0</v>
      </c>
      <c r="DJ600" s="18" t="b">
        <f>RecData[[#This Row],[Overall (dBA)]]&gt;$DS$2</f>
        <v>0</v>
      </c>
      <c r="DK600" s="18" t="b">
        <f>RecData[[#This Row],[Overall (dBA)]]&lt;$DS$3</f>
        <v>0</v>
      </c>
      <c r="DL6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0" s="2">
        <f>IF(AND(RecData[[#This Row],[Turbines ON/OFF]] = "OFF", NOT(OR(RecData[[#This Row],[Junk?]]="YES",RecData[[#This Row],[Gust?]],RecData[[#This Row],[Rain?]:[Min SPL Threshold?]]))),1,0)</f>
        <v>0</v>
      </c>
      <c r="DN600" s="16">
        <f>RecData[[#This Row],[dBA Sum]]</f>
        <v>40.655664010293613</v>
      </c>
      <c r="DO600" s="16">
        <f>RecData[[#This Row],[LAF90.0]]</f>
        <v>39.5</v>
      </c>
      <c r="DP600" s="55">
        <f>IF(AND(RecData[[#This Row],[Useable TON Data?]],RecData[[#This Row],[Turbines ON/OFF]]="ON"),RecData[[#This Row],[dBA Sum]],"")</f>
        <v>40.655664010293613</v>
      </c>
      <c r="DQ600" s="55" t="str">
        <f>IF(AND(RecData[[#This Row],[Useable Background Data?]],RecData[[#This Row],[Turbines ON/OFF]]="OFF"),RecData[[#This Row],[dBA Sum]],"")</f>
        <v/>
      </c>
      <c r="DR600" s="3">
        <f>IF(OR(RecData[[#This Row],[Useable TON Data?]],RecData[[#This Row],[Useable Background Data?]]),ROUND(RecData[[#This Row],[WSpd_Avg '[m/s']]],0),"")</f>
        <v>1</v>
      </c>
      <c r="DS600" s="85">
        <f>(0.00002)^2*(10^(RecData[[#This Row],[Overall (dBA)]]/10))</f>
        <v>4.6518573908225885E-6</v>
      </c>
    </row>
    <row r="601" spans="1:123" ht="15" x14ac:dyDescent="0.25">
      <c r="A601" s="3" t="s">
        <v>249</v>
      </c>
      <c r="B601" s="12">
        <v>43270.133333333331</v>
      </c>
      <c r="C601" s="3"/>
      <c r="D601" s="3">
        <v>40.299999999999997</v>
      </c>
      <c r="E601" s="3"/>
      <c r="F601" s="3"/>
      <c r="G601" s="3"/>
      <c r="H601" s="3"/>
      <c r="I601" s="3"/>
      <c r="J601" s="3"/>
      <c r="K601" s="3">
        <v>39.1</v>
      </c>
      <c r="L601" s="3"/>
      <c r="M601" s="3"/>
      <c r="N601" s="3">
        <v>177.2</v>
      </c>
      <c r="O601" s="3"/>
      <c r="P601" s="3"/>
      <c r="Q601" s="3">
        <v>0.49</v>
      </c>
      <c r="R601" s="3">
        <v>0.2</v>
      </c>
      <c r="S601" s="3">
        <v>0.8</v>
      </c>
      <c r="T601" s="3">
        <v>12.2</v>
      </c>
      <c r="U601" s="3">
        <v>81.3</v>
      </c>
      <c r="V601" s="3">
        <v>973</v>
      </c>
      <c r="W601" s="3">
        <v>0</v>
      </c>
      <c r="X601" s="3">
        <v>47.3</v>
      </c>
      <c r="Y601" s="3">
        <v>46.5</v>
      </c>
      <c r="Z601" s="3">
        <v>45.2</v>
      </c>
      <c r="AA601" s="3">
        <v>40.9</v>
      </c>
      <c r="AB601" s="3">
        <v>36.299999999999997</v>
      </c>
      <c r="AC601" s="3">
        <v>35.9</v>
      </c>
      <c r="AD601" s="3">
        <v>39.6</v>
      </c>
      <c r="AE601" s="3">
        <v>40.6</v>
      </c>
      <c r="AF601" s="3">
        <v>45.5</v>
      </c>
      <c r="AG601" s="3">
        <v>39.799999999999997</v>
      </c>
      <c r="AH601" s="3">
        <v>37.5</v>
      </c>
      <c r="AI601" s="3">
        <v>37.700000000000003</v>
      </c>
      <c r="AJ601" s="3">
        <v>36.6</v>
      </c>
      <c r="AK601" s="3">
        <v>35.200000000000003</v>
      </c>
      <c r="AL601" s="3">
        <v>33.299999999999997</v>
      </c>
      <c r="AM601" s="3">
        <v>33.299999999999997</v>
      </c>
      <c r="AN601" s="3">
        <v>31.9</v>
      </c>
      <c r="AO601" s="3">
        <v>28.9</v>
      </c>
      <c r="AP601" s="3">
        <v>26.3</v>
      </c>
      <c r="AQ601" s="3">
        <v>24.2</v>
      </c>
      <c r="AR601" s="3">
        <v>20.100000000000001</v>
      </c>
      <c r="AS601" s="3">
        <v>16.100000000000001</v>
      </c>
      <c r="AT601" s="3">
        <v>23.9</v>
      </c>
      <c r="AU601" s="3">
        <v>9.1999999999999993</v>
      </c>
      <c r="AV601" s="3">
        <v>8.5</v>
      </c>
      <c r="AW601" s="3">
        <v>9.1</v>
      </c>
      <c r="AX601" s="3">
        <v>9.1999999999999993</v>
      </c>
      <c r="AY601" s="3">
        <v>9.4</v>
      </c>
      <c r="AZ601" s="3">
        <v>0</v>
      </c>
      <c r="BA601" s="3">
        <v>0</v>
      </c>
      <c r="BB601" s="3">
        <v>0</v>
      </c>
      <c r="BC601" s="3">
        <v>40.289657419426412</v>
      </c>
      <c r="BD601" s="3">
        <v>47.310342580573582</v>
      </c>
      <c r="BE601" s="3">
        <v>46.510342580573585</v>
      </c>
      <c r="BF601" s="3">
        <v>43.970342580573579</v>
      </c>
      <c r="BG601" s="3">
        <v>39.99700924724025</v>
      </c>
      <c r="BH601" s="3">
        <v>35.537009247240242</v>
      </c>
      <c r="BI601" s="3">
        <v>35.550342580573592</v>
      </c>
      <c r="BJ601" s="3">
        <v>40.043675913906917</v>
      </c>
      <c r="BK601" s="3">
        <v>40.917009247240252</v>
      </c>
      <c r="BL601" s="3">
        <v>45.390342580573595</v>
      </c>
      <c r="BM601" s="3">
        <v>39.823675913906918</v>
      </c>
      <c r="BN601" s="3">
        <v>37.807009247240252</v>
      </c>
      <c r="BO601" s="3">
        <v>37.373675913906915</v>
      </c>
      <c r="BP601" s="3">
        <v>35.990342580573589</v>
      </c>
      <c r="BQ601" s="3">
        <v>35.007009247240241</v>
      </c>
      <c r="BR601" s="3">
        <v>33.433675913906917</v>
      </c>
      <c r="BS601" s="3">
        <v>33.237009247240259</v>
      </c>
      <c r="BT601" s="3">
        <v>32.033675913906912</v>
      </c>
      <c r="BU601" s="3">
        <v>29.00034258057358</v>
      </c>
      <c r="BV601" s="3">
        <v>26.117009247240254</v>
      </c>
      <c r="BW601" s="3">
        <v>24.550342580573592</v>
      </c>
      <c r="BX601" s="3">
        <v>20.370342580573592</v>
      </c>
      <c r="BY601" s="3">
        <v>16.190342580573585</v>
      </c>
      <c r="BZ601" s="3">
        <v>24.120342580573585</v>
      </c>
      <c r="CA601" s="3">
        <v>9.5203425805735762</v>
      </c>
      <c r="CB601" s="3">
        <v>8.2570092472402479</v>
      </c>
      <c r="CC601" s="3">
        <v>9.0703425805735876</v>
      </c>
      <c r="CD601" s="3">
        <v>8.4770092472402538</v>
      </c>
      <c r="CE601" s="3">
        <v>8.8703425805735847</v>
      </c>
      <c r="CF601" s="3">
        <v>-0.91632408609308413</v>
      </c>
      <c r="CG601" s="3">
        <v>-1.4496574194264156</v>
      </c>
      <c r="CH601" s="3">
        <v>-2.5263240860930836</v>
      </c>
      <c r="CI601" s="13">
        <f>[1]!dbasum(RecData[[#This Row],[20]:[2000]],RecData[[#Headers],[20]:[2000]])</f>
        <v>40.066235290972202</v>
      </c>
      <c r="CJ601" s="14">
        <v>8369</v>
      </c>
      <c r="CK601" s="15" t="s">
        <v>249</v>
      </c>
      <c r="CL601" s="15">
        <f>RecData[[#This Row],[Start Time]]</f>
        <v>43270.133333333331</v>
      </c>
      <c r="CM601" s="16">
        <f>RecData[[#This Row],[Wind Speed avg]]</f>
        <v>0.49</v>
      </c>
      <c r="CN601" s="16">
        <f>RecData[[#This Row],[Wind Dir. avg]]</f>
        <v>177.2</v>
      </c>
      <c r="CO601" s="16">
        <f>RecData[[#This Row],[Amb. Humidity]]</f>
        <v>81.3</v>
      </c>
      <c r="CP601" s="16">
        <f>RecData[[#This Row],[Amb. Temperature]]</f>
        <v>12.2</v>
      </c>
      <c r="CQ601" s="17">
        <f>RecData[[#This Row],[Amb. Rain Gauge]]</f>
        <v>0</v>
      </c>
      <c r="CR601" s="4" t="s">
        <v>1</v>
      </c>
      <c r="CS601" s="4" t="s">
        <v>49</v>
      </c>
      <c r="CT601" s="70">
        <v>1620.09265136718</v>
      </c>
      <c r="CU601" s="70">
        <v>30.1280002593994</v>
      </c>
      <c r="CV601" s="70">
        <v>11.645037651061999</v>
      </c>
      <c r="CW601" s="70">
        <v>15.3230123519897</v>
      </c>
      <c r="CX601" s="4"/>
      <c r="CY601" s="69"/>
      <c r="CZ601" s="2" t="b">
        <f>IF($DP$1="YES",IF(RecData[[#This Row],[Power (kW)]]&gt;=$CR$3, TRUE,FALSE),TRUE)</f>
        <v>1</v>
      </c>
      <c r="DA601" s="16">
        <f>MIN(MOD(180-ABS(ABS($DA$1-RecData[Yaw Angle (°)])-180),360),MOD(180-ABS(ABS($DB$1-RecData[Yaw Angle (°)])-180),360))</f>
        <v>22.59807348171185</v>
      </c>
      <c r="DB601" s="2" t="str">
        <f>IF($DP$2="None","None",IF(RecData[[#This Row],[Relative Wind Direction]]&lt;=45,"DW",IF(RecData[[#This Row],[Relative Wind Direction]]&lt;=135,"CW","UW")))</f>
        <v>DW</v>
      </c>
      <c r="DC601" s="61">
        <f>IF($CL601-$CL597&gt;1/24,#REF!,IF(SUM($CQ597:$CQ601)&gt;$DS$1,$DS$5,DC602-1))</f>
        <v>-3</v>
      </c>
      <c r="DD601" s="61">
        <f>IF($CL602-$CL601&gt;1/24,#REF!,IF(SUM($CQ597:$CQ601)&gt;$DS$1,$DS$6,DD600-1))</f>
        <v>-8</v>
      </c>
      <c r="DE601" s="18" t="b">
        <v>0</v>
      </c>
      <c r="DF601" s="2" t="b">
        <f>IF(OR(RecData[[#This Row],[WSpd_Avg '[m/s']]]-RecData[[#This Row],[Wind Speed min]]&gt;=$DF$3,RecData[[#This Row],[Wind Speed max]]-RecData[[#This Row],[WSpd_Avg '[m/s']]]&gt;=$DF$2),TRUE,FALSE)</f>
        <v>0</v>
      </c>
      <c r="DG601" s="2" t="b">
        <f>RecData[[#This Row],[Temperature '[°C']]]&lt;=-20</f>
        <v>0</v>
      </c>
      <c r="DH601" s="18" t="b">
        <f>NOT(OR(MOD(RecData[[#This Row],[TIMESTAMP]],1)&gt;0.91632,MOD(RecData[[#This Row],[TIMESTAMP]],1)&lt;0.208681))</f>
        <v>0</v>
      </c>
      <c r="DI601" s="18" t="b">
        <f>RecData[[#This Row],[Overall (dBA)]]-RecData[[#This Row],[L90]]&gt;=$DS$4</f>
        <v>0</v>
      </c>
      <c r="DJ601" s="18" t="b">
        <f>RecData[[#This Row],[Overall (dBA)]]&gt;$DS$2</f>
        <v>0</v>
      </c>
      <c r="DK601" s="18" t="b">
        <f>RecData[[#This Row],[Overall (dBA)]]&lt;$DS$3</f>
        <v>0</v>
      </c>
      <c r="DL6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1" s="2">
        <f>IF(AND(RecData[[#This Row],[Turbines ON/OFF]] = "OFF", NOT(OR(RecData[[#This Row],[Junk?]]="YES",RecData[[#This Row],[Gust?]],RecData[[#This Row],[Rain?]:[Min SPL Threshold?]]))),1,0)</f>
        <v>0</v>
      </c>
      <c r="DN601" s="16">
        <f>RecData[[#This Row],[dBA Sum]]</f>
        <v>40.066235290972202</v>
      </c>
      <c r="DO601" s="16">
        <f>RecData[[#This Row],[LAF90.0]]</f>
        <v>39.1</v>
      </c>
      <c r="DP601" s="55">
        <f>IF(AND(RecData[[#This Row],[Useable TON Data?]],RecData[[#This Row],[Turbines ON/OFF]]="ON"),RecData[[#This Row],[dBA Sum]],"")</f>
        <v>40.066235290972202</v>
      </c>
      <c r="DQ601" s="55" t="str">
        <f>IF(AND(RecData[[#This Row],[Useable Background Data?]],RecData[[#This Row],[Turbines ON/OFF]]="OFF"),RecData[[#This Row],[dBA Sum]],"")</f>
        <v/>
      </c>
      <c r="DR601" s="3">
        <f>IF(OR(RecData[[#This Row],[Useable TON Data?]],RecData[[#This Row],[Useable Background Data?]]),ROUND(RecData[[#This Row],[WSpd_Avg '[m/s']]],0),"")</f>
        <v>0</v>
      </c>
      <c r="DS601" s="85">
        <f>(0.00002)^2*(10^(RecData[[#This Row],[Overall (dBA)]]/10))</f>
        <v>4.0614725320599071E-6</v>
      </c>
    </row>
    <row r="602" spans="1:123" ht="15" x14ac:dyDescent="0.25">
      <c r="A602" s="3" t="s">
        <v>249</v>
      </c>
      <c r="B602" s="12">
        <v>43270.134027777778</v>
      </c>
      <c r="C602" s="3"/>
      <c r="D602" s="3">
        <v>40.700000000000003</v>
      </c>
      <c r="E602" s="3"/>
      <c r="F602" s="3"/>
      <c r="G602" s="3"/>
      <c r="H602" s="3"/>
      <c r="I602" s="3"/>
      <c r="J602" s="3"/>
      <c r="K602" s="3">
        <v>39.6</v>
      </c>
      <c r="L602" s="3"/>
      <c r="M602" s="3"/>
      <c r="N602" s="3">
        <v>162.4</v>
      </c>
      <c r="O602" s="3"/>
      <c r="P602" s="3"/>
      <c r="Q602" s="3">
        <v>0.49</v>
      </c>
      <c r="R602" s="3">
        <v>0</v>
      </c>
      <c r="S602" s="3">
        <v>0.8</v>
      </c>
      <c r="T602" s="3">
        <v>12.2</v>
      </c>
      <c r="U602" s="3">
        <v>81.8</v>
      </c>
      <c r="V602" s="3">
        <v>973</v>
      </c>
      <c r="W602" s="3">
        <v>0</v>
      </c>
      <c r="X602" s="3">
        <v>47.6</v>
      </c>
      <c r="Y602" s="3">
        <v>46.7</v>
      </c>
      <c r="Z602" s="3">
        <v>45.5</v>
      </c>
      <c r="AA602" s="3">
        <v>41.2</v>
      </c>
      <c r="AB602" s="3">
        <v>36.4</v>
      </c>
      <c r="AC602" s="3">
        <v>36.200000000000003</v>
      </c>
      <c r="AD602" s="3">
        <v>39.9</v>
      </c>
      <c r="AE602" s="3">
        <v>41.4</v>
      </c>
      <c r="AF602" s="3">
        <v>46</v>
      </c>
      <c r="AG602" s="3">
        <v>39.799999999999997</v>
      </c>
      <c r="AH602" s="3">
        <v>37.799999999999997</v>
      </c>
      <c r="AI602" s="3">
        <v>37.9</v>
      </c>
      <c r="AJ602" s="3">
        <v>37</v>
      </c>
      <c r="AK602" s="3">
        <v>35.4</v>
      </c>
      <c r="AL602" s="3">
        <v>33.6</v>
      </c>
      <c r="AM602" s="3">
        <v>33.700000000000003</v>
      </c>
      <c r="AN602" s="3">
        <v>32.5</v>
      </c>
      <c r="AO602" s="3">
        <v>29.4</v>
      </c>
      <c r="AP602" s="3">
        <v>27</v>
      </c>
      <c r="AQ602" s="3">
        <v>24.7</v>
      </c>
      <c r="AR602" s="3">
        <v>20.7</v>
      </c>
      <c r="AS602" s="3">
        <v>16.399999999999999</v>
      </c>
      <c r="AT602" s="3">
        <v>23.7</v>
      </c>
      <c r="AU602" s="3">
        <v>9.4</v>
      </c>
      <c r="AV602" s="3">
        <v>8.6</v>
      </c>
      <c r="AW602" s="3">
        <v>8.9</v>
      </c>
      <c r="AX602" s="3">
        <v>9.1</v>
      </c>
      <c r="AY602" s="3">
        <v>9.4</v>
      </c>
      <c r="AZ602" s="3">
        <v>0</v>
      </c>
      <c r="BA602" s="3">
        <v>0</v>
      </c>
      <c r="BB602" s="3">
        <v>0</v>
      </c>
      <c r="BC602" s="3">
        <v>40.670964185637253</v>
      </c>
      <c r="BD602" s="3">
        <v>47.629035814362759</v>
      </c>
      <c r="BE602" s="3">
        <v>46.729035814362753</v>
      </c>
      <c r="BF602" s="3">
        <v>44.289035814362755</v>
      </c>
      <c r="BG602" s="3">
        <v>40.315702481029426</v>
      </c>
      <c r="BH602" s="3">
        <v>35.655702481029415</v>
      </c>
      <c r="BI602" s="3">
        <v>35.869035814362753</v>
      </c>
      <c r="BJ602" s="3">
        <v>40.362369147696079</v>
      </c>
      <c r="BK602" s="3">
        <v>41.735702481029413</v>
      </c>
      <c r="BL602" s="3">
        <v>45.90903581436276</v>
      </c>
      <c r="BM602" s="3">
        <v>39.842369147696083</v>
      </c>
      <c r="BN602" s="3">
        <v>38.125702481029414</v>
      </c>
      <c r="BO602" s="3">
        <v>37.592369147696083</v>
      </c>
      <c r="BP602" s="3">
        <v>36.40903581436276</v>
      </c>
      <c r="BQ602" s="3">
        <v>35.225702481029408</v>
      </c>
      <c r="BR602" s="3">
        <v>33.752369147696093</v>
      </c>
      <c r="BS602" s="3">
        <v>33.655702481029429</v>
      </c>
      <c r="BT602" s="3">
        <v>32.652369147696085</v>
      </c>
      <c r="BU602" s="3">
        <v>29.519035814362745</v>
      </c>
      <c r="BV602" s="3">
        <v>26.835702481029422</v>
      </c>
      <c r="BW602" s="3">
        <v>25.069035814362756</v>
      </c>
      <c r="BX602" s="3">
        <v>20.989035814362758</v>
      </c>
      <c r="BY602" s="3">
        <v>16.509035814362747</v>
      </c>
      <c r="BZ602" s="3">
        <v>23.939035814362761</v>
      </c>
      <c r="CA602" s="3">
        <v>9.7390358143627438</v>
      </c>
      <c r="CB602" s="3">
        <v>8.3757024810294141</v>
      </c>
      <c r="CC602" s="3">
        <v>8.8890358143627495</v>
      </c>
      <c r="CD602" s="3">
        <v>8.3957024810294243</v>
      </c>
      <c r="CE602" s="3">
        <v>8.8890358143627495</v>
      </c>
      <c r="CF602" s="3">
        <v>-0.89763085230391937</v>
      </c>
      <c r="CG602" s="3">
        <v>-1.4309641856372508</v>
      </c>
      <c r="CH602" s="3">
        <v>-2.5076308523039188</v>
      </c>
      <c r="CI602" s="13">
        <f>[1]!dbasum(RecData[[#This Row],[20]:[2000]],RecData[[#Headers],[20]:[2000]])</f>
        <v>40.48736317478523</v>
      </c>
      <c r="CJ602" s="14">
        <v>8370</v>
      </c>
      <c r="CK602" s="15" t="s">
        <v>249</v>
      </c>
      <c r="CL602" s="15">
        <f>RecData[[#This Row],[Start Time]]</f>
        <v>43270.134027777778</v>
      </c>
      <c r="CM602" s="16">
        <f>RecData[[#This Row],[Wind Speed avg]]</f>
        <v>0.49</v>
      </c>
      <c r="CN602" s="16">
        <f>RecData[[#This Row],[Wind Dir. avg]]</f>
        <v>162.4</v>
      </c>
      <c r="CO602" s="16">
        <f>RecData[[#This Row],[Amb. Humidity]]</f>
        <v>81.8</v>
      </c>
      <c r="CP602" s="16">
        <f>RecData[[#This Row],[Amb. Temperature]]</f>
        <v>12.2</v>
      </c>
      <c r="CQ602" s="17">
        <f>RecData[[#This Row],[Amb. Rain Gauge]]</f>
        <v>0</v>
      </c>
      <c r="CR602" s="4" t="s">
        <v>1</v>
      </c>
      <c r="CS602" s="4" t="s">
        <v>49</v>
      </c>
      <c r="CT602" s="70">
        <v>1620.09265136718</v>
      </c>
      <c r="CU602" s="70">
        <v>30.1280002593994</v>
      </c>
      <c r="CV602" s="70">
        <v>11.645037651061999</v>
      </c>
      <c r="CW602" s="70">
        <v>15.3230123519897</v>
      </c>
      <c r="CX602" s="4"/>
      <c r="CY602" s="69"/>
      <c r="CZ602" s="2" t="b">
        <f>IF($DP$1="YES",IF(RecData[[#This Row],[Power (kW)]]&gt;=$CR$3, TRUE,FALSE),TRUE)</f>
        <v>1</v>
      </c>
      <c r="DA602" s="16">
        <f>MIN(MOD(180-ABS(ABS($DA$1-RecData[Yaw Angle (°)])-180),360),MOD(180-ABS(ABS($DB$1-RecData[Yaw Angle (°)])-180),360))</f>
        <v>22.59807348171185</v>
      </c>
      <c r="DB602" s="2" t="str">
        <f>IF($DP$2="None","None",IF(RecData[[#This Row],[Relative Wind Direction]]&lt;=45,"DW",IF(RecData[[#This Row],[Relative Wind Direction]]&lt;=135,"CW","UW")))</f>
        <v>DW</v>
      </c>
      <c r="DC602" s="61">
        <f>IF($CL602-$CL598&gt;1/24,#REF!,IF(SUM($CQ598:$CQ602)&gt;$DS$1,$DS$5,DC603-1))</f>
        <v>-2</v>
      </c>
      <c r="DD602" s="61">
        <f>IF($CL603-$CL602&gt;1/24,#REF!,IF(SUM($CQ598:$CQ602)&gt;$DS$1,$DS$6,DD601-1))</f>
        <v>-9</v>
      </c>
      <c r="DE602" s="18" t="b">
        <v>0</v>
      </c>
      <c r="DF602" s="2" t="b">
        <f>IF(OR(RecData[[#This Row],[WSpd_Avg '[m/s']]]-RecData[[#This Row],[Wind Speed min]]&gt;=$DF$3,RecData[[#This Row],[Wind Speed max]]-RecData[[#This Row],[WSpd_Avg '[m/s']]]&gt;=$DF$2),TRUE,FALSE)</f>
        <v>0</v>
      </c>
      <c r="DG602" s="2" t="b">
        <f>RecData[[#This Row],[Temperature '[°C']]]&lt;=-20</f>
        <v>0</v>
      </c>
      <c r="DH602" s="18" t="b">
        <f>NOT(OR(MOD(RecData[[#This Row],[TIMESTAMP]],1)&gt;0.91632,MOD(RecData[[#This Row],[TIMESTAMP]],1)&lt;0.208681))</f>
        <v>0</v>
      </c>
      <c r="DI602" s="18" t="b">
        <f>RecData[[#This Row],[Overall (dBA)]]-RecData[[#This Row],[L90]]&gt;=$DS$4</f>
        <v>0</v>
      </c>
      <c r="DJ602" s="18" t="b">
        <f>RecData[[#This Row],[Overall (dBA)]]&gt;$DS$2</f>
        <v>0</v>
      </c>
      <c r="DK602" s="18" t="b">
        <f>RecData[[#This Row],[Overall (dBA)]]&lt;$DS$3</f>
        <v>0</v>
      </c>
      <c r="DL6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2" s="2">
        <f>IF(AND(RecData[[#This Row],[Turbines ON/OFF]] = "OFF", NOT(OR(RecData[[#This Row],[Junk?]]="YES",RecData[[#This Row],[Gust?]],RecData[[#This Row],[Rain?]:[Min SPL Threshold?]]))),1,0)</f>
        <v>0</v>
      </c>
      <c r="DN602" s="16">
        <f>RecData[[#This Row],[dBA Sum]]</f>
        <v>40.48736317478523</v>
      </c>
      <c r="DO602" s="16">
        <f>RecData[[#This Row],[LAF90.0]]</f>
        <v>39.6</v>
      </c>
      <c r="DP602" s="55">
        <f>IF(AND(RecData[[#This Row],[Useable TON Data?]],RecData[[#This Row],[Turbines ON/OFF]]="ON"),RecData[[#This Row],[dBA Sum]],"")</f>
        <v>40.48736317478523</v>
      </c>
      <c r="DQ602" s="55" t="str">
        <f>IF(AND(RecData[[#This Row],[Useable Background Data?]],RecData[[#This Row],[Turbines ON/OFF]]="OFF"),RecData[[#This Row],[dBA Sum]],"")</f>
        <v/>
      </c>
      <c r="DR602" s="3">
        <f>IF(OR(RecData[[#This Row],[Useable TON Data?]],RecData[[#This Row],[Useable Background Data?]]),ROUND(RecData[[#This Row],[WSpd_Avg '[m/s']]],0),"")</f>
        <v>0</v>
      </c>
      <c r="DS602" s="85">
        <f>(0.00002)^2*(10^(RecData[[#This Row],[Overall (dBA)]]/10))</f>
        <v>4.47503368571858E-6</v>
      </c>
    </row>
    <row r="603" spans="1:123" ht="15" x14ac:dyDescent="0.25">
      <c r="A603" s="3" t="s">
        <v>249</v>
      </c>
      <c r="B603" s="12">
        <v>43270.134722222225</v>
      </c>
      <c r="C603" s="3"/>
      <c r="D603" s="3">
        <v>41</v>
      </c>
      <c r="E603" s="3"/>
      <c r="F603" s="3"/>
      <c r="G603" s="3"/>
      <c r="H603" s="3"/>
      <c r="I603" s="3"/>
      <c r="J603" s="3"/>
      <c r="K603" s="3">
        <v>40</v>
      </c>
      <c r="L603" s="3"/>
      <c r="M603" s="3"/>
      <c r="N603" s="3">
        <v>169.3</v>
      </c>
      <c r="O603" s="3"/>
      <c r="P603" s="3"/>
      <c r="Q603" s="3">
        <v>0.33</v>
      </c>
      <c r="R603" s="3">
        <v>0.1</v>
      </c>
      <c r="S603" s="3">
        <v>0.6</v>
      </c>
      <c r="T603" s="3">
        <v>12.3</v>
      </c>
      <c r="U603" s="3">
        <v>83.7</v>
      </c>
      <c r="V603" s="3">
        <v>973</v>
      </c>
      <c r="W603" s="3">
        <v>0</v>
      </c>
      <c r="X603" s="3">
        <v>48.1</v>
      </c>
      <c r="Y603" s="3">
        <v>47</v>
      </c>
      <c r="Z603" s="3">
        <v>45.7</v>
      </c>
      <c r="AA603" s="3">
        <v>41.5</v>
      </c>
      <c r="AB603" s="3">
        <v>36.799999999999997</v>
      </c>
      <c r="AC603" s="3">
        <v>36.6</v>
      </c>
      <c r="AD603" s="3">
        <v>40.700000000000003</v>
      </c>
      <c r="AE603" s="3">
        <v>41.8</v>
      </c>
      <c r="AF603" s="3">
        <v>46.3</v>
      </c>
      <c r="AG603" s="3">
        <v>40.299999999999997</v>
      </c>
      <c r="AH603" s="3">
        <v>38.1</v>
      </c>
      <c r="AI603" s="3">
        <v>37.9</v>
      </c>
      <c r="AJ603" s="3">
        <v>37.1</v>
      </c>
      <c r="AK603" s="3">
        <v>35.6</v>
      </c>
      <c r="AL603" s="3">
        <v>34</v>
      </c>
      <c r="AM603" s="3">
        <v>34.4</v>
      </c>
      <c r="AN603" s="3">
        <v>33</v>
      </c>
      <c r="AO603" s="3">
        <v>30</v>
      </c>
      <c r="AP603" s="3">
        <v>27.5</v>
      </c>
      <c r="AQ603" s="3">
        <v>25.3</v>
      </c>
      <c r="AR603" s="3">
        <v>21.2</v>
      </c>
      <c r="AS603" s="3">
        <v>16.8</v>
      </c>
      <c r="AT603" s="3">
        <v>21.9</v>
      </c>
      <c r="AU603" s="3">
        <v>8.9</v>
      </c>
      <c r="AV603" s="3">
        <v>8.5</v>
      </c>
      <c r="AW603" s="3">
        <v>9</v>
      </c>
      <c r="AX603" s="3">
        <v>9.1</v>
      </c>
      <c r="AY603" s="3">
        <v>9.4</v>
      </c>
      <c r="AZ603" s="3">
        <v>0</v>
      </c>
      <c r="BA603" s="3">
        <v>0</v>
      </c>
      <c r="BB603" s="3">
        <v>0</v>
      </c>
      <c r="BC603" s="3">
        <v>41.024338480502671</v>
      </c>
      <c r="BD603" s="3">
        <v>48.075661519497324</v>
      </c>
      <c r="BE603" s="3">
        <v>46.975661519497329</v>
      </c>
      <c r="BF603" s="3">
        <v>44.435661519497337</v>
      </c>
      <c r="BG603" s="3">
        <v>40.562328186164002</v>
      </c>
      <c r="BH603" s="3">
        <v>36.002328186164</v>
      </c>
      <c r="BI603" s="3">
        <v>36.215661519497338</v>
      </c>
      <c r="BJ603" s="3">
        <v>41.108994852830655</v>
      </c>
      <c r="BK603" s="3">
        <v>42.082328186163984</v>
      </c>
      <c r="BL603" s="3">
        <v>46.155661519497336</v>
      </c>
      <c r="BM603" s="3">
        <v>40.288994852830662</v>
      </c>
      <c r="BN603" s="3">
        <v>38.372328186164005</v>
      </c>
      <c r="BO603" s="3">
        <v>37.538994852830662</v>
      </c>
      <c r="BP603" s="3">
        <v>36.455661519497333</v>
      </c>
      <c r="BQ603" s="3">
        <v>35.37232818616399</v>
      </c>
      <c r="BR603" s="3">
        <v>34.098994852830664</v>
      </c>
      <c r="BS603" s="3">
        <v>34.302328186163997</v>
      </c>
      <c r="BT603" s="3">
        <v>33.098994852830664</v>
      </c>
      <c r="BU603" s="3">
        <v>30.065661519497333</v>
      </c>
      <c r="BV603" s="3">
        <v>27.282328186164001</v>
      </c>
      <c r="BW603" s="3">
        <v>25.61566151949733</v>
      </c>
      <c r="BX603" s="3">
        <v>21.435661519497337</v>
      </c>
      <c r="BY603" s="3">
        <v>16.855661519497325</v>
      </c>
      <c r="BZ603" s="3">
        <v>22.085661519497329</v>
      </c>
      <c r="CA603" s="3">
        <v>9.185661519497323</v>
      </c>
      <c r="CB603" s="3">
        <v>8.2223281861639919</v>
      </c>
      <c r="CC603" s="3">
        <v>8.9356615194973301</v>
      </c>
      <c r="CD603" s="3">
        <v>8.3423281861640035</v>
      </c>
      <c r="CE603" s="3">
        <v>8.8356615194973287</v>
      </c>
      <c r="CF603" s="3">
        <v>-0.95100514716934015</v>
      </c>
      <c r="CG603" s="3">
        <v>-1.4843384805026716</v>
      </c>
      <c r="CH603" s="3">
        <v>-2.5610051471693396</v>
      </c>
      <c r="CI603" s="13">
        <f>[1]!dbasum(RecData[[#This Row],[20]:[2000]],RecData[[#Headers],[20]:[2000]])</f>
        <v>40.842421942563625</v>
      </c>
      <c r="CJ603" s="14">
        <v>8371</v>
      </c>
      <c r="CK603" s="15" t="s">
        <v>249</v>
      </c>
      <c r="CL603" s="15">
        <f>RecData[[#This Row],[Start Time]]</f>
        <v>43270.134722222225</v>
      </c>
      <c r="CM603" s="16">
        <f>RecData[[#This Row],[Wind Speed avg]]</f>
        <v>0.33</v>
      </c>
      <c r="CN603" s="16">
        <f>RecData[[#This Row],[Wind Dir. avg]]</f>
        <v>169.3</v>
      </c>
      <c r="CO603" s="16">
        <f>RecData[[#This Row],[Amb. Humidity]]</f>
        <v>83.7</v>
      </c>
      <c r="CP603" s="16">
        <f>RecData[[#This Row],[Amb. Temperature]]</f>
        <v>12.3</v>
      </c>
      <c r="CQ603" s="17">
        <f>RecData[[#This Row],[Amb. Rain Gauge]]</f>
        <v>0</v>
      </c>
      <c r="CR603" s="4" t="s">
        <v>1</v>
      </c>
      <c r="CS603" s="4" t="s">
        <v>49</v>
      </c>
      <c r="CT603" s="70">
        <v>1620.09265136718</v>
      </c>
      <c r="CU603" s="70">
        <v>30.1280002593994</v>
      </c>
      <c r="CV603" s="70">
        <v>11.645037651061999</v>
      </c>
      <c r="CW603" s="70">
        <v>15.3230123519897</v>
      </c>
      <c r="CX603" s="4"/>
      <c r="CY603" s="69"/>
      <c r="CZ603" s="2" t="b">
        <f>IF($DP$1="YES",IF(RecData[[#This Row],[Power (kW)]]&gt;=$CR$3, TRUE,FALSE),TRUE)</f>
        <v>1</v>
      </c>
      <c r="DA603" s="16">
        <f>MIN(MOD(180-ABS(ABS($DA$1-RecData[Yaw Angle (°)])-180),360),MOD(180-ABS(ABS($DB$1-RecData[Yaw Angle (°)])-180),360))</f>
        <v>22.59807348171185</v>
      </c>
      <c r="DB603" s="2" t="str">
        <f>IF($DP$2="None","None",IF(RecData[[#This Row],[Relative Wind Direction]]&lt;=45,"DW",IF(RecData[[#This Row],[Relative Wind Direction]]&lt;=135,"CW","UW")))</f>
        <v>DW</v>
      </c>
      <c r="DC603" s="61">
        <v>-1</v>
      </c>
      <c r="DD603" s="61">
        <v>-1</v>
      </c>
      <c r="DE603" s="18" t="b">
        <v>0</v>
      </c>
      <c r="DF603" s="2" t="b">
        <f>IF(OR(RecData[[#This Row],[WSpd_Avg '[m/s']]]-RecData[[#This Row],[Wind Speed min]]&gt;=$DF$3,RecData[[#This Row],[Wind Speed max]]-RecData[[#This Row],[WSpd_Avg '[m/s']]]&gt;=$DF$2),TRUE,FALSE)</f>
        <v>0</v>
      </c>
      <c r="DG603" s="2" t="b">
        <f>RecData[[#This Row],[Temperature '[°C']]]&lt;=-20</f>
        <v>0</v>
      </c>
      <c r="DH603" s="18" t="b">
        <f>NOT(OR(MOD(RecData[[#This Row],[TIMESTAMP]],1)&gt;0.91632,MOD(RecData[[#This Row],[TIMESTAMP]],1)&lt;0.208681))</f>
        <v>0</v>
      </c>
      <c r="DI603" s="18" t="b">
        <f>RecData[[#This Row],[Overall (dBA)]]-RecData[[#This Row],[L90]]&gt;=$DS$4</f>
        <v>0</v>
      </c>
      <c r="DJ603" s="18" t="b">
        <f>RecData[[#This Row],[Overall (dBA)]]&gt;$DS$2</f>
        <v>0</v>
      </c>
      <c r="DK603" s="18" t="b">
        <f>RecData[[#This Row],[Overall (dBA)]]&lt;$DS$3</f>
        <v>0</v>
      </c>
      <c r="DL6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3" s="2">
        <f>IF(AND(RecData[[#This Row],[Turbines ON/OFF]] = "OFF", NOT(OR(RecData[[#This Row],[Junk?]]="YES",RecData[[#This Row],[Gust?]],RecData[[#This Row],[Rain?]:[Min SPL Threshold?]]))),1,0)</f>
        <v>0</v>
      </c>
      <c r="DN603" s="16">
        <f>RecData[[#This Row],[dBA Sum]]</f>
        <v>40.842421942563625</v>
      </c>
      <c r="DO603" s="16">
        <f>RecData[[#This Row],[LAF90.0]]</f>
        <v>40</v>
      </c>
      <c r="DP603" s="55">
        <f>IF(AND(RecData[[#This Row],[Useable TON Data?]],RecData[[#This Row],[Turbines ON/OFF]]="ON"),RecData[[#This Row],[dBA Sum]],"")</f>
        <v>40.842421942563625</v>
      </c>
      <c r="DQ603" s="55" t="str">
        <f>IF(AND(RecData[[#This Row],[Useable Background Data?]],RecData[[#This Row],[Turbines ON/OFF]]="OFF"),RecData[[#This Row],[dBA Sum]],"")</f>
        <v/>
      </c>
      <c r="DR603" s="3">
        <f>IF(OR(RecData[[#This Row],[Useable TON Data?]],RecData[[#This Row],[Useable Background Data?]]),ROUND(RecData[[#This Row],[WSpd_Avg '[m/s']]],0),"")</f>
        <v>0</v>
      </c>
      <c r="DS603" s="85">
        <f>(0.00002)^2*(10^(RecData[[#This Row],[Overall (dBA)]]/10))</f>
        <v>4.8562628529658894E-6</v>
      </c>
    </row>
    <row r="604" spans="1:123" ht="15" x14ac:dyDescent="0.25">
      <c r="A604" s="3" t="s">
        <v>249</v>
      </c>
      <c r="B604" s="12">
        <v>43270.135416666664</v>
      </c>
      <c r="C604" s="3"/>
      <c r="D604" s="3">
        <v>41.3</v>
      </c>
      <c r="E604" s="3"/>
      <c r="F604" s="3"/>
      <c r="G604" s="3"/>
      <c r="H604" s="3"/>
      <c r="I604" s="3"/>
      <c r="J604" s="3"/>
      <c r="K604" s="3">
        <v>40.299999999999997</v>
      </c>
      <c r="L604" s="3"/>
      <c r="M604" s="3"/>
      <c r="N604" s="3">
        <v>163.19999999999999</v>
      </c>
      <c r="O604" s="3"/>
      <c r="P604" s="3"/>
      <c r="Q604" s="3">
        <v>0.84</v>
      </c>
      <c r="R604" s="3">
        <v>0.6</v>
      </c>
      <c r="S604" s="3">
        <v>1</v>
      </c>
      <c r="T604" s="3">
        <v>12.2</v>
      </c>
      <c r="U604" s="3">
        <v>82.8</v>
      </c>
      <c r="V604" s="3">
        <v>973</v>
      </c>
      <c r="W604" s="3">
        <v>0</v>
      </c>
      <c r="X604" s="3">
        <v>47.4</v>
      </c>
      <c r="Y604" s="3">
        <v>46.4</v>
      </c>
      <c r="Z604" s="3">
        <v>45.8</v>
      </c>
      <c r="AA604" s="3">
        <v>41.2</v>
      </c>
      <c r="AB604" s="3">
        <v>36.4</v>
      </c>
      <c r="AC604" s="3">
        <v>36.200000000000003</v>
      </c>
      <c r="AD604" s="3">
        <v>40.700000000000003</v>
      </c>
      <c r="AE604" s="3">
        <v>41.8</v>
      </c>
      <c r="AF604" s="3">
        <v>46.8</v>
      </c>
      <c r="AG604" s="3">
        <v>40.700000000000003</v>
      </c>
      <c r="AH604" s="3">
        <v>38.5</v>
      </c>
      <c r="AI604" s="3">
        <v>38.200000000000003</v>
      </c>
      <c r="AJ604" s="3">
        <v>37.200000000000003</v>
      </c>
      <c r="AK604" s="3">
        <v>35.700000000000003</v>
      </c>
      <c r="AL604" s="3">
        <v>34</v>
      </c>
      <c r="AM604" s="3">
        <v>34.4</v>
      </c>
      <c r="AN604" s="3">
        <v>33.1</v>
      </c>
      <c r="AO604" s="3">
        <v>30.1</v>
      </c>
      <c r="AP604" s="3">
        <v>27.9</v>
      </c>
      <c r="AQ604" s="3">
        <v>25.2</v>
      </c>
      <c r="AR604" s="3">
        <v>21.2</v>
      </c>
      <c r="AS604" s="3">
        <v>17</v>
      </c>
      <c r="AT604" s="3">
        <v>26</v>
      </c>
      <c r="AU604" s="3">
        <v>10.9</v>
      </c>
      <c r="AV604" s="3">
        <v>8.8000000000000007</v>
      </c>
      <c r="AW604" s="3">
        <v>9</v>
      </c>
      <c r="AX604" s="3">
        <v>9.1999999999999993</v>
      </c>
      <c r="AY604" s="3">
        <v>9.4</v>
      </c>
      <c r="AZ604" s="3">
        <v>0</v>
      </c>
      <c r="BA604" s="3">
        <v>0</v>
      </c>
      <c r="BB604" s="3">
        <v>0</v>
      </c>
      <c r="BC604" s="3">
        <v>41.284329379965293</v>
      </c>
      <c r="BD604" s="3">
        <v>47.415670620034696</v>
      </c>
      <c r="BE604" s="3">
        <v>46.415670620034696</v>
      </c>
      <c r="BF604" s="3">
        <v>44.575670620034693</v>
      </c>
      <c r="BG604" s="3">
        <v>40.30233728670138</v>
      </c>
      <c r="BH604" s="3">
        <v>35.64233728670137</v>
      </c>
      <c r="BI604" s="3">
        <v>35.855670620034708</v>
      </c>
      <c r="BJ604" s="3">
        <v>41.149003953368045</v>
      </c>
      <c r="BK604" s="3">
        <v>42.122337286701374</v>
      </c>
      <c r="BL604" s="3">
        <v>46.695670620034697</v>
      </c>
      <c r="BM604" s="3">
        <v>40.729003953368043</v>
      </c>
      <c r="BN604" s="3">
        <v>38.812337286701371</v>
      </c>
      <c r="BO604" s="3">
        <v>37.879003953368034</v>
      </c>
      <c r="BP604" s="3">
        <v>36.595670620034703</v>
      </c>
      <c r="BQ604" s="3">
        <v>35.51233728670136</v>
      </c>
      <c r="BR604" s="3">
        <v>34.139003953368039</v>
      </c>
      <c r="BS604" s="3">
        <v>34.342337286701373</v>
      </c>
      <c r="BT604" s="3">
        <v>33.239003953368048</v>
      </c>
      <c r="BU604" s="3">
        <v>30.205670620034716</v>
      </c>
      <c r="BV604" s="3">
        <v>27.722337286701368</v>
      </c>
      <c r="BW604" s="3">
        <v>25.555670620034711</v>
      </c>
      <c r="BX604" s="3">
        <v>21.475670620034712</v>
      </c>
      <c r="BY604" s="3">
        <v>17.095670620034703</v>
      </c>
      <c r="BZ604" s="3">
        <v>26.225670620034712</v>
      </c>
      <c r="CA604" s="3">
        <v>11.225670620034698</v>
      </c>
      <c r="CB604" s="3">
        <v>8.5623372867013714</v>
      </c>
      <c r="CC604" s="3">
        <v>8.9756706200347054</v>
      </c>
      <c r="CD604" s="3">
        <v>8.4823372867013731</v>
      </c>
      <c r="CE604" s="3">
        <v>8.875670620034704</v>
      </c>
      <c r="CF604" s="3">
        <v>-0.91099604663196487</v>
      </c>
      <c r="CG604" s="3">
        <v>-1.4443293799652963</v>
      </c>
      <c r="CH604" s="3">
        <v>-2.5209960466319643</v>
      </c>
      <c r="CI604" s="13">
        <f>[1]!dbasum(RecData[[#This Row],[20]:[2000]],RecData[[#Headers],[20]:[2000]])</f>
        <v>41.03641811186435</v>
      </c>
      <c r="CJ604" s="14">
        <v>8372</v>
      </c>
      <c r="CK604" s="15" t="s">
        <v>249</v>
      </c>
      <c r="CL604" s="15">
        <f>RecData[[#This Row],[Start Time]]</f>
        <v>43270.135416666664</v>
      </c>
      <c r="CM604" s="16">
        <f>RecData[[#This Row],[Wind Speed avg]]</f>
        <v>0.84</v>
      </c>
      <c r="CN604" s="16">
        <f>RecData[[#This Row],[Wind Dir. avg]]</f>
        <v>163.19999999999999</v>
      </c>
      <c r="CO604" s="16">
        <f>RecData[[#This Row],[Amb. Humidity]]</f>
        <v>82.8</v>
      </c>
      <c r="CP604" s="16">
        <f>RecData[[#This Row],[Amb. Temperature]]</f>
        <v>12.2</v>
      </c>
      <c r="CQ604" s="17">
        <f>RecData[[#This Row],[Amb. Rain Gauge]]</f>
        <v>0</v>
      </c>
      <c r="CR604" s="4" t="s">
        <v>1</v>
      </c>
      <c r="CS604" s="4" t="s">
        <v>49</v>
      </c>
      <c r="CT604" s="70">
        <v>1620.09265136718</v>
      </c>
      <c r="CU604" s="70">
        <v>30.1280002593994</v>
      </c>
      <c r="CV604" s="70">
        <v>11.645037651061999</v>
      </c>
      <c r="CW604" s="70">
        <v>15.3230123519897</v>
      </c>
      <c r="CX604" s="4"/>
      <c r="CY604" s="69"/>
      <c r="CZ604" s="2" t="b">
        <f>IF($DP$1="YES",IF(RecData[[#This Row],[Power (kW)]]&gt;=$CR$3, TRUE,FALSE),TRUE)</f>
        <v>1</v>
      </c>
      <c r="DA604" s="16">
        <f>MIN(MOD(180-ABS(ABS($DA$1-RecData[Yaw Angle (°)])-180),360),MOD(180-ABS(ABS($DB$1-RecData[Yaw Angle (°)])-180),360))</f>
        <v>22.59807348171185</v>
      </c>
      <c r="DB604" s="2" t="str">
        <f>IF($DP$2="None","None",IF(RecData[[#This Row],[Relative Wind Direction]]&lt;=45,"DW",IF(RecData[[#This Row],[Relative Wind Direction]]&lt;=135,"CW","UW")))</f>
        <v>DW</v>
      </c>
      <c r="DC604" s="61">
        <f>IF($CL604-$CL603&gt;1/24,#REF!,IF(SUM($CQ603:$CQ604)&gt;$DS$1,$DS$5,DC605-1))</f>
        <v>-9</v>
      </c>
      <c r="DD604" s="61">
        <f>IF($CL605-$CL604&gt;1/24,#REF!,IF(SUM($CQ603:$CQ604)&gt;$DS$1,$DS$6,DD603-1))</f>
        <v>-2</v>
      </c>
      <c r="DE604" s="18" t="b">
        <v>0</v>
      </c>
      <c r="DF604" s="2" t="b">
        <f>IF(OR(RecData[[#This Row],[WSpd_Avg '[m/s']]]-RecData[[#This Row],[Wind Speed min]]&gt;=$DF$3,RecData[[#This Row],[Wind Speed max]]-RecData[[#This Row],[WSpd_Avg '[m/s']]]&gt;=$DF$2),TRUE,FALSE)</f>
        <v>0</v>
      </c>
      <c r="DG604" s="2" t="b">
        <f>RecData[[#This Row],[Temperature '[°C']]]&lt;=-20</f>
        <v>0</v>
      </c>
      <c r="DH604" s="18" t="b">
        <f>NOT(OR(MOD(RecData[[#This Row],[TIMESTAMP]],1)&gt;0.91632,MOD(RecData[[#This Row],[TIMESTAMP]],1)&lt;0.208681))</f>
        <v>0</v>
      </c>
      <c r="DI604" s="18" t="b">
        <f>RecData[[#This Row],[Overall (dBA)]]-RecData[[#This Row],[L90]]&gt;=$DS$4</f>
        <v>0</v>
      </c>
      <c r="DJ604" s="18" t="b">
        <f>RecData[[#This Row],[Overall (dBA)]]&gt;$DS$2</f>
        <v>0</v>
      </c>
      <c r="DK604" s="18" t="b">
        <f>RecData[[#This Row],[Overall (dBA)]]&lt;$DS$3</f>
        <v>0</v>
      </c>
      <c r="DL6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4" s="2">
        <f>IF(AND(RecData[[#This Row],[Turbines ON/OFF]] = "OFF", NOT(OR(RecData[[#This Row],[Junk?]]="YES",RecData[[#This Row],[Gust?]],RecData[[#This Row],[Rain?]:[Min SPL Threshold?]]))),1,0)</f>
        <v>0</v>
      </c>
      <c r="DN604" s="16">
        <f>RecData[[#This Row],[dBA Sum]]</f>
        <v>41.03641811186435</v>
      </c>
      <c r="DO604" s="16">
        <f>RecData[[#This Row],[LAF90.0]]</f>
        <v>40.299999999999997</v>
      </c>
      <c r="DP604" s="55">
        <f>IF(AND(RecData[[#This Row],[Useable TON Data?]],RecData[[#This Row],[Turbines ON/OFF]]="ON"),RecData[[#This Row],[dBA Sum]],"")</f>
        <v>41.03641811186435</v>
      </c>
      <c r="DQ604" s="55" t="str">
        <f>IF(AND(RecData[[#This Row],[Useable Background Data?]],RecData[[#This Row],[Turbines ON/OFF]]="OFF"),RecData[[#This Row],[dBA Sum]],"")</f>
        <v/>
      </c>
      <c r="DR604" s="3">
        <f>IF(OR(RecData[[#This Row],[Useable TON Data?]],RecData[[#This Row],[Useable Background Data?]]),ROUND(RecData[[#This Row],[WSpd_Avg '[m/s']]],0),"")</f>
        <v>1</v>
      </c>
      <c r="DS604" s="85">
        <f>(0.00002)^2*(10^(RecData[[#This Row],[Overall (dBA)]]/10))</f>
        <v>5.0781064729955122E-6</v>
      </c>
    </row>
    <row r="605" spans="1:123" ht="15" x14ac:dyDescent="0.25">
      <c r="A605" s="3" t="s">
        <v>249</v>
      </c>
      <c r="B605" s="12">
        <v>43270.136111111111</v>
      </c>
      <c r="C605" s="3"/>
      <c r="D605" s="3">
        <v>40.5</v>
      </c>
      <c r="E605" s="3"/>
      <c r="F605" s="3"/>
      <c r="G605" s="3"/>
      <c r="H605" s="3"/>
      <c r="I605" s="3"/>
      <c r="J605" s="3"/>
      <c r="K605" s="3">
        <v>39.299999999999997</v>
      </c>
      <c r="L605" s="3"/>
      <c r="M605" s="3"/>
      <c r="N605" s="3">
        <v>188.1</v>
      </c>
      <c r="O605" s="3"/>
      <c r="P605" s="3"/>
      <c r="Q605" s="3">
        <v>0.52</v>
      </c>
      <c r="R605" s="3">
        <v>0.1</v>
      </c>
      <c r="S605" s="3">
        <v>1</v>
      </c>
      <c r="T605" s="3">
        <v>12.2</v>
      </c>
      <c r="U605" s="3">
        <v>80.7</v>
      </c>
      <c r="V605" s="3">
        <v>973</v>
      </c>
      <c r="W605" s="3">
        <v>0</v>
      </c>
      <c r="X605" s="3">
        <v>49.2</v>
      </c>
      <c r="Y605" s="3">
        <v>47.3</v>
      </c>
      <c r="Z605" s="3">
        <v>46.2</v>
      </c>
      <c r="AA605" s="3">
        <v>41.9</v>
      </c>
      <c r="AB605" s="3">
        <v>37.1</v>
      </c>
      <c r="AC605" s="3">
        <v>37</v>
      </c>
      <c r="AD605" s="3">
        <v>40.4</v>
      </c>
      <c r="AE605" s="3">
        <v>41.4</v>
      </c>
      <c r="AF605" s="3">
        <v>45.2</v>
      </c>
      <c r="AG605" s="3">
        <v>39.1</v>
      </c>
      <c r="AH605" s="3">
        <v>37.700000000000003</v>
      </c>
      <c r="AI605" s="3">
        <v>37.200000000000003</v>
      </c>
      <c r="AJ605" s="3">
        <v>36.5</v>
      </c>
      <c r="AK605" s="3">
        <v>34.9</v>
      </c>
      <c r="AL605" s="3">
        <v>33.200000000000003</v>
      </c>
      <c r="AM605" s="3">
        <v>33.5</v>
      </c>
      <c r="AN605" s="3">
        <v>32.5</v>
      </c>
      <c r="AO605" s="3">
        <v>29.5</v>
      </c>
      <c r="AP605" s="3">
        <v>27.1</v>
      </c>
      <c r="AQ605" s="3">
        <v>24.8</v>
      </c>
      <c r="AR605" s="3">
        <v>20.9</v>
      </c>
      <c r="AS605" s="3">
        <v>17.100000000000001</v>
      </c>
      <c r="AT605" s="3">
        <v>25.6</v>
      </c>
      <c r="AU605" s="3">
        <v>9.8000000000000007</v>
      </c>
      <c r="AV605" s="3">
        <v>8.5</v>
      </c>
      <c r="AW605" s="3">
        <v>8.9</v>
      </c>
      <c r="AX605" s="3">
        <v>9.1</v>
      </c>
      <c r="AY605" s="3">
        <v>9.3000000000000007</v>
      </c>
      <c r="AZ605" s="3">
        <v>0</v>
      </c>
      <c r="BA605" s="3">
        <v>0</v>
      </c>
      <c r="BB605" s="3">
        <v>0</v>
      </c>
      <c r="BC605" s="3">
        <v>40.469517933441665</v>
      </c>
      <c r="BD605" s="3">
        <v>49.230482066558338</v>
      </c>
      <c r="BE605" s="3">
        <v>47.330482066558332</v>
      </c>
      <c r="BF605" s="3">
        <v>44.990482066558343</v>
      </c>
      <c r="BG605" s="3">
        <v>41.017148733225</v>
      </c>
      <c r="BH605" s="3">
        <v>36.357148733225003</v>
      </c>
      <c r="BI605" s="3">
        <v>36.670482066558336</v>
      </c>
      <c r="BJ605" s="3">
        <v>40.863815399891664</v>
      </c>
      <c r="BK605" s="3">
        <v>41.737148733224998</v>
      </c>
      <c r="BL605" s="3">
        <v>45.110482066558347</v>
      </c>
      <c r="BM605" s="3">
        <v>39.143815399891679</v>
      </c>
      <c r="BN605" s="3">
        <v>38.027148733225005</v>
      </c>
      <c r="BO605" s="3">
        <v>36.893815399891679</v>
      </c>
      <c r="BP605" s="3">
        <v>35.91048206655833</v>
      </c>
      <c r="BQ605" s="3">
        <v>34.727148733224993</v>
      </c>
      <c r="BR605" s="3">
        <v>33.353815399891673</v>
      </c>
      <c r="BS605" s="3">
        <v>33.457148733225011</v>
      </c>
      <c r="BT605" s="3">
        <v>32.65381539989167</v>
      </c>
      <c r="BU605" s="3">
        <v>29.620482066558338</v>
      </c>
      <c r="BV605" s="3">
        <v>26.937148733225001</v>
      </c>
      <c r="BW605" s="3">
        <v>25.170482066558336</v>
      </c>
      <c r="BX605" s="3">
        <v>21.190482066558339</v>
      </c>
      <c r="BY605" s="3">
        <v>17.210482066558335</v>
      </c>
      <c r="BZ605" s="3">
        <v>25.840482066558337</v>
      </c>
      <c r="CA605" s="3">
        <v>10.140482066558327</v>
      </c>
      <c r="CB605" s="3">
        <v>8.2771487332249976</v>
      </c>
      <c r="CC605" s="3">
        <v>8.8904820665583344</v>
      </c>
      <c r="CD605" s="3">
        <v>8.3971487332250092</v>
      </c>
      <c r="CE605" s="3">
        <v>8.790482066558333</v>
      </c>
      <c r="CF605" s="3">
        <v>-0.89618460010833445</v>
      </c>
      <c r="CG605" s="3">
        <v>-1.4295179334416659</v>
      </c>
      <c r="CH605" s="3">
        <v>-2.5061846001083339</v>
      </c>
      <c r="CI605" s="13">
        <f>[1]!dbasum(RecData[[#This Row],[20]:[2000]],RecData[[#Headers],[20]:[2000]])</f>
        <v>40.216312829470155</v>
      </c>
      <c r="CJ605" s="14">
        <v>8373</v>
      </c>
      <c r="CK605" s="15" t="s">
        <v>249</v>
      </c>
      <c r="CL605" s="15">
        <f>RecData[[#This Row],[Start Time]]</f>
        <v>43270.136111111111</v>
      </c>
      <c r="CM605" s="16">
        <f>RecData[[#This Row],[Wind Speed avg]]</f>
        <v>0.52</v>
      </c>
      <c r="CN605" s="16">
        <f>RecData[[#This Row],[Wind Dir. avg]]</f>
        <v>188.1</v>
      </c>
      <c r="CO605" s="16">
        <f>RecData[[#This Row],[Amb. Humidity]]</f>
        <v>80.7</v>
      </c>
      <c r="CP605" s="16">
        <f>RecData[[#This Row],[Amb. Temperature]]</f>
        <v>12.2</v>
      </c>
      <c r="CQ605" s="17">
        <f>RecData[[#This Row],[Amb. Rain Gauge]]</f>
        <v>0</v>
      </c>
      <c r="CR605" s="4" t="s">
        <v>1</v>
      </c>
      <c r="CS605" s="4" t="s">
        <v>49</v>
      </c>
      <c r="CT605" s="70">
        <v>1620.09265136718</v>
      </c>
      <c r="CU605" s="70">
        <v>30.1280002593994</v>
      </c>
      <c r="CV605" s="70">
        <v>11.645037651061999</v>
      </c>
      <c r="CW605" s="70">
        <v>15.3230123519897</v>
      </c>
      <c r="CX605" s="4"/>
      <c r="CY605" s="69"/>
      <c r="CZ605" s="2" t="b">
        <f>IF($DP$1="YES",IF(RecData[[#This Row],[Power (kW)]]&gt;=$CR$3, TRUE,FALSE),TRUE)</f>
        <v>1</v>
      </c>
      <c r="DA605" s="16">
        <f>MIN(MOD(180-ABS(ABS($DA$1-RecData[Yaw Angle (°)])-180),360),MOD(180-ABS(ABS($DB$1-RecData[Yaw Angle (°)])-180),360))</f>
        <v>22.59807348171185</v>
      </c>
      <c r="DB605" s="2" t="str">
        <f>IF($DP$2="None","None",IF(RecData[[#This Row],[Relative Wind Direction]]&lt;=45,"DW",IF(RecData[[#This Row],[Relative Wind Direction]]&lt;=135,"CW","UW")))</f>
        <v>DW</v>
      </c>
      <c r="DC605" s="61">
        <f>IF($CL605-$CL603&gt;1/24,#REF!,IF(SUM($CQ603:$CQ605)&gt;$DS$1,$DS$5,DC606-1))</f>
        <v>-8</v>
      </c>
      <c r="DD605" s="61">
        <f>IF($CL606-$CL605&gt;1/24,#REF!,IF(SUM($CQ603:$CQ605)&gt;$DS$1,$DS$6,DD604-1))</f>
        <v>-3</v>
      </c>
      <c r="DE605" s="18" t="b">
        <v>0</v>
      </c>
      <c r="DF605" s="2" t="b">
        <f>IF(OR(RecData[[#This Row],[WSpd_Avg '[m/s']]]-RecData[[#This Row],[Wind Speed min]]&gt;=$DF$3,RecData[[#This Row],[Wind Speed max]]-RecData[[#This Row],[WSpd_Avg '[m/s']]]&gt;=$DF$2),TRUE,FALSE)</f>
        <v>0</v>
      </c>
      <c r="DG605" s="2" t="b">
        <f>RecData[[#This Row],[Temperature '[°C']]]&lt;=-20</f>
        <v>0</v>
      </c>
      <c r="DH605" s="18" t="b">
        <f>NOT(OR(MOD(RecData[[#This Row],[TIMESTAMP]],1)&gt;0.91632,MOD(RecData[[#This Row],[TIMESTAMP]],1)&lt;0.208681))</f>
        <v>0</v>
      </c>
      <c r="DI605" s="18" t="b">
        <f>RecData[[#This Row],[Overall (dBA)]]-RecData[[#This Row],[L90]]&gt;=$DS$4</f>
        <v>0</v>
      </c>
      <c r="DJ605" s="18" t="b">
        <f>RecData[[#This Row],[Overall (dBA)]]&gt;$DS$2</f>
        <v>0</v>
      </c>
      <c r="DK605" s="18" t="b">
        <f>RecData[[#This Row],[Overall (dBA)]]&lt;$DS$3</f>
        <v>0</v>
      </c>
      <c r="DL6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5" s="2">
        <f>IF(AND(RecData[[#This Row],[Turbines ON/OFF]] = "OFF", NOT(OR(RecData[[#This Row],[Junk?]]="YES",RecData[[#This Row],[Gust?]],RecData[[#This Row],[Rain?]:[Min SPL Threshold?]]))),1,0)</f>
        <v>0</v>
      </c>
      <c r="DN605" s="16">
        <f>RecData[[#This Row],[dBA Sum]]</f>
        <v>40.216312829470155</v>
      </c>
      <c r="DO605" s="16">
        <f>RecData[[#This Row],[LAF90.0]]</f>
        <v>39.299999999999997</v>
      </c>
      <c r="DP605" s="55">
        <f>IF(AND(RecData[[#This Row],[Useable TON Data?]],RecData[[#This Row],[Turbines ON/OFF]]="ON"),RecData[[#This Row],[dBA Sum]],"")</f>
        <v>40.216312829470155</v>
      </c>
      <c r="DQ605" s="55" t="str">
        <f>IF(AND(RecData[[#This Row],[Useable Background Data?]],RecData[[#This Row],[Turbines ON/OFF]]="OFF"),RecData[[#This Row],[dBA Sum]],"")</f>
        <v/>
      </c>
      <c r="DR605" s="3">
        <f>IF(OR(RecData[[#This Row],[Useable TON Data?]],RecData[[#This Row],[Useable Background Data?]]),ROUND(RecData[[#This Row],[WSpd_Avg '[m/s']]],0),"")</f>
        <v>1</v>
      </c>
      <c r="DS605" s="85">
        <f>(0.00002)^2*(10^(RecData[[#This Row],[Overall (dBA)]]/10))</f>
        <v>4.204276538803542E-6</v>
      </c>
    </row>
    <row r="606" spans="1:123" ht="15" x14ac:dyDescent="0.25">
      <c r="A606" s="3" t="s">
        <v>249</v>
      </c>
      <c r="B606" s="12">
        <v>43270.136805555558</v>
      </c>
      <c r="C606" s="3"/>
      <c r="D606" s="3">
        <v>41.4</v>
      </c>
      <c r="E606" s="3"/>
      <c r="F606" s="3"/>
      <c r="G606" s="3"/>
      <c r="H606" s="3"/>
      <c r="I606" s="3"/>
      <c r="J606" s="3"/>
      <c r="K606" s="3">
        <v>40.299999999999997</v>
      </c>
      <c r="L606" s="3"/>
      <c r="M606" s="3"/>
      <c r="N606" s="3">
        <v>179.7</v>
      </c>
      <c r="O606" s="3"/>
      <c r="P606" s="3"/>
      <c r="Q606" s="3">
        <v>0.38</v>
      </c>
      <c r="R606" s="3">
        <v>0.1</v>
      </c>
      <c r="S606" s="3">
        <v>0.9</v>
      </c>
      <c r="T606" s="3">
        <v>12.3</v>
      </c>
      <c r="U606" s="3">
        <v>80.3</v>
      </c>
      <c r="V606" s="3">
        <v>973.1</v>
      </c>
      <c r="W606" s="3">
        <v>0</v>
      </c>
      <c r="X606" s="3">
        <v>48.2</v>
      </c>
      <c r="Y606" s="3">
        <v>47.3</v>
      </c>
      <c r="Z606" s="3">
        <v>46.5</v>
      </c>
      <c r="AA606" s="3">
        <v>42.4</v>
      </c>
      <c r="AB606" s="3">
        <v>36.700000000000003</v>
      </c>
      <c r="AC606" s="3">
        <v>36.799999999999997</v>
      </c>
      <c r="AD606" s="3">
        <v>41.3</v>
      </c>
      <c r="AE606" s="3">
        <v>42.2</v>
      </c>
      <c r="AF606" s="3">
        <v>46.2</v>
      </c>
      <c r="AG606" s="3">
        <v>40.299999999999997</v>
      </c>
      <c r="AH606" s="3">
        <v>38.4</v>
      </c>
      <c r="AI606" s="3">
        <v>38.5</v>
      </c>
      <c r="AJ606" s="3">
        <v>37.6</v>
      </c>
      <c r="AK606" s="3">
        <v>36</v>
      </c>
      <c r="AL606" s="3">
        <v>34.299999999999997</v>
      </c>
      <c r="AM606" s="3">
        <v>34.6</v>
      </c>
      <c r="AN606" s="3">
        <v>33.5</v>
      </c>
      <c r="AO606" s="3">
        <v>30.4</v>
      </c>
      <c r="AP606" s="3">
        <v>28</v>
      </c>
      <c r="AQ606" s="3">
        <v>25.7</v>
      </c>
      <c r="AR606" s="3">
        <v>21.7</v>
      </c>
      <c r="AS606" s="3">
        <v>17.5</v>
      </c>
      <c r="AT606" s="3">
        <v>23.1</v>
      </c>
      <c r="AU606" s="3">
        <v>10.1</v>
      </c>
      <c r="AV606" s="3">
        <v>8.8000000000000007</v>
      </c>
      <c r="AW606" s="3">
        <v>9.1</v>
      </c>
      <c r="AX606" s="3">
        <v>9.1</v>
      </c>
      <c r="AY606" s="3">
        <v>9.4</v>
      </c>
      <c r="AZ606" s="3">
        <v>0</v>
      </c>
      <c r="BA606" s="3">
        <v>0</v>
      </c>
      <c r="BB606" s="3">
        <v>0</v>
      </c>
      <c r="BC606" s="3">
        <v>41.388922849884899</v>
      </c>
      <c r="BD606" s="3">
        <v>48.211077150115095</v>
      </c>
      <c r="BE606" s="3">
        <v>47.311077150115089</v>
      </c>
      <c r="BF606" s="3">
        <v>45.271077150115097</v>
      </c>
      <c r="BG606" s="3">
        <v>41.497743816781757</v>
      </c>
      <c r="BH606" s="3">
        <v>35.937743816781769</v>
      </c>
      <c r="BI606" s="3">
        <v>36.451077150115104</v>
      </c>
      <c r="BJ606" s="3">
        <v>41.744410483448426</v>
      </c>
      <c r="BK606" s="3">
        <v>42.517743816781767</v>
      </c>
      <c r="BL606" s="3">
        <v>46.091077150115105</v>
      </c>
      <c r="BM606" s="3">
        <v>40.324410483448439</v>
      </c>
      <c r="BN606" s="3">
        <v>38.707743816781765</v>
      </c>
      <c r="BO606" s="3">
        <v>38.174410483448433</v>
      </c>
      <c r="BP606" s="3">
        <v>36.991077150115096</v>
      </c>
      <c r="BQ606" s="3">
        <v>35.807743816781759</v>
      </c>
      <c r="BR606" s="3">
        <v>34.434410483448424</v>
      </c>
      <c r="BS606" s="3">
        <v>34.537743816781777</v>
      </c>
      <c r="BT606" s="3">
        <v>33.634410483448441</v>
      </c>
      <c r="BU606" s="3">
        <v>30.501077150115101</v>
      </c>
      <c r="BV606" s="3">
        <v>27.817743816781764</v>
      </c>
      <c r="BW606" s="3">
        <v>26.051077150115098</v>
      </c>
      <c r="BX606" s="3">
        <v>21.9710771501151</v>
      </c>
      <c r="BY606" s="3">
        <v>17.591077150115098</v>
      </c>
      <c r="BZ606" s="3">
        <v>23.321077150115109</v>
      </c>
      <c r="CA606" s="3">
        <v>10.421077150115089</v>
      </c>
      <c r="CB606" s="3">
        <v>8.5577438167817661</v>
      </c>
      <c r="CC606" s="3">
        <v>9.0710771501150944</v>
      </c>
      <c r="CD606" s="3">
        <v>8.3777438167817664</v>
      </c>
      <c r="CE606" s="3">
        <v>8.8710771501150987</v>
      </c>
      <c r="CF606" s="3">
        <v>-0.91558951655157017</v>
      </c>
      <c r="CG606" s="3">
        <v>-1.4489228498849016</v>
      </c>
      <c r="CH606" s="3">
        <v>-2.5255895165515696</v>
      </c>
      <c r="CI606" s="13">
        <f>[1]!dbasum(RecData[[#This Row],[20]:[2000]],RecData[[#Headers],[20]:[2000]])</f>
        <v>41.223508995695298</v>
      </c>
      <c r="CJ606" s="14">
        <v>8374</v>
      </c>
      <c r="CK606" s="15" t="s">
        <v>249</v>
      </c>
      <c r="CL606" s="15">
        <f>RecData[[#This Row],[Start Time]]</f>
        <v>43270.136805555558</v>
      </c>
      <c r="CM606" s="16">
        <f>RecData[[#This Row],[Wind Speed avg]]</f>
        <v>0.38</v>
      </c>
      <c r="CN606" s="16">
        <f>RecData[[#This Row],[Wind Dir. avg]]</f>
        <v>179.7</v>
      </c>
      <c r="CO606" s="16">
        <f>RecData[[#This Row],[Amb. Humidity]]</f>
        <v>80.3</v>
      </c>
      <c r="CP606" s="16">
        <f>RecData[[#This Row],[Amb. Temperature]]</f>
        <v>12.3</v>
      </c>
      <c r="CQ606" s="17">
        <f>RecData[[#This Row],[Amb. Rain Gauge]]</f>
        <v>0</v>
      </c>
      <c r="CR606" s="4" t="s">
        <v>1</v>
      </c>
      <c r="CS606" s="4" t="s">
        <v>49</v>
      </c>
      <c r="CT606" s="70">
        <v>1620.09265136718</v>
      </c>
      <c r="CU606" s="70">
        <v>30.1280002593994</v>
      </c>
      <c r="CV606" s="70">
        <v>11.645037651061999</v>
      </c>
      <c r="CW606" s="70">
        <v>15.3230123519897</v>
      </c>
      <c r="CX606" s="4"/>
      <c r="CY606" s="69"/>
      <c r="CZ606" s="2" t="b">
        <f>IF($DP$1="YES",IF(RecData[[#This Row],[Power (kW)]]&gt;=$CR$3, TRUE,FALSE),TRUE)</f>
        <v>1</v>
      </c>
      <c r="DA606" s="16">
        <f>MIN(MOD(180-ABS(ABS($DA$1-RecData[Yaw Angle (°)])-180),360),MOD(180-ABS(ABS($DB$1-RecData[Yaw Angle (°)])-180),360))</f>
        <v>22.59807348171185</v>
      </c>
      <c r="DB606" s="2" t="str">
        <f>IF($DP$2="None","None",IF(RecData[[#This Row],[Relative Wind Direction]]&lt;=45,"DW",IF(RecData[[#This Row],[Relative Wind Direction]]&lt;=135,"CW","UW")))</f>
        <v>DW</v>
      </c>
      <c r="DC606" s="61">
        <f>IF($CL606-$CL603&gt;1/24,#REF!,IF(SUM($CQ603:$CQ606)&gt;$DS$1,$DS$5,DC607-1))</f>
        <v>-7</v>
      </c>
      <c r="DD606" s="61">
        <f>IF($CL607-$CL606&gt;1/24,#REF!,IF(SUM($CQ603:$CQ606)&gt;$DS$1,$DS$6,DD605-1))</f>
        <v>-4</v>
      </c>
      <c r="DE606" s="18" t="b">
        <v>0</v>
      </c>
      <c r="DF606" s="2" t="b">
        <f>IF(OR(RecData[[#This Row],[WSpd_Avg '[m/s']]]-RecData[[#This Row],[Wind Speed min]]&gt;=$DF$3,RecData[[#This Row],[Wind Speed max]]-RecData[[#This Row],[WSpd_Avg '[m/s']]]&gt;=$DF$2),TRUE,FALSE)</f>
        <v>0</v>
      </c>
      <c r="DG606" s="2" t="b">
        <f>RecData[[#This Row],[Temperature '[°C']]]&lt;=-20</f>
        <v>0</v>
      </c>
      <c r="DH606" s="18" t="b">
        <f>NOT(OR(MOD(RecData[[#This Row],[TIMESTAMP]],1)&gt;0.91632,MOD(RecData[[#This Row],[TIMESTAMP]],1)&lt;0.208681))</f>
        <v>0</v>
      </c>
      <c r="DI606" s="18" t="b">
        <f>RecData[[#This Row],[Overall (dBA)]]-RecData[[#This Row],[L90]]&gt;=$DS$4</f>
        <v>0</v>
      </c>
      <c r="DJ606" s="18" t="b">
        <f>RecData[[#This Row],[Overall (dBA)]]&gt;$DS$2</f>
        <v>0</v>
      </c>
      <c r="DK606" s="18" t="b">
        <f>RecData[[#This Row],[Overall (dBA)]]&lt;$DS$3</f>
        <v>0</v>
      </c>
      <c r="DL6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6" s="2">
        <f>IF(AND(RecData[[#This Row],[Turbines ON/OFF]] = "OFF", NOT(OR(RecData[[#This Row],[Junk?]]="YES",RecData[[#This Row],[Gust?]],RecData[[#This Row],[Rain?]:[Min SPL Threshold?]]))),1,0)</f>
        <v>0</v>
      </c>
      <c r="DN606" s="16">
        <f>RecData[[#This Row],[dBA Sum]]</f>
        <v>41.223508995695298</v>
      </c>
      <c r="DO606" s="16">
        <f>RecData[[#This Row],[LAF90.0]]</f>
        <v>40.299999999999997</v>
      </c>
      <c r="DP606" s="55">
        <f>IF(AND(RecData[[#This Row],[Useable TON Data?]],RecData[[#This Row],[Turbines ON/OFF]]="ON"),RecData[[#This Row],[dBA Sum]],"")</f>
        <v>41.223508995695298</v>
      </c>
      <c r="DQ606" s="55" t="str">
        <f>IF(AND(RecData[[#This Row],[Useable Background Data?]],RecData[[#This Row],[Turbines ON/OFF]]="OFF"),RecData[[#This Row],[dBA Sum]],"")</f>
        <v/>
      </c>
      <c r="DR606" s="3">
        <f>IF(OR(RecData[[#This Row],[Useable TON Data?]],RecData[[#This Row],[Useable Background Data?]]),ROUND(RecData[[#This Row],[WSpd_Avg '[m/s']]],0),"")</f>
        <v>0</v>
      </c>
      <c r="DS606" s="85">
        <f>(0.00002)^2*(10^(RecData[[#This Row],[Overall (dBA)]]/10))</f>
        <v>5.3016480157017765E-6</v>
      </c>
    </row>
    <row r="607" spans="1:123" ht="15" x14ac:dyDescent="0.25">
      <c r="A607" s="3" t="s">
        <v>249</v>
      </c>
      <c r="B607" s="12">
        <v>43270.137499999997</v>
      </c>
      <c r="C607" s="3"/>
      <c r="D607" s="3">
        <v>40.799999999999997</v>
      </c>
      <c r="E607" s="3"/>
      <c r="F607" s="3"/>
      <c r="G607" s="3"/>
      <c r="H607" s="3"/>
      <c r="I607" s="3"/>
      <c r="J607" s="3"/>
      <c r="K607" s="3">
        <v>39.5</v>
      </c>
      <c r="L607" s="3"/>
      <c r="M607" s="3"/>
      <c r="N607" s="3">
        <v>170.2</v>
      </c>
      <c r="O607" s="3"/>
      <c r="P607" s="3"/>
      <c r="Q607" s="3">
        <v>0.82</v>
      </c>
      <c r="R607" s="3">
        <v>0</v>
      </c>
      <c r="S607" s="3">
        <v>1.4</v>
      </c>
      <c r="T607" s="3">
        <v>12.3</v>
      </c>
      <c r="U607" s="3">
        <v>80.7</v>
      </c>
      <c r="V607" s="3">
        <v>973.1</v>
      </c>
      <c r="W607" s="3">
        <v>0</v>
      </c>
      <c r="X607" s="3">
        <v>47.8</v>
      </c>
      <c r="Y607" s="3">
        <v>46.8</v>
      </c>
      <c r="Z607" s="3">
        <v>45.2</v>
      </c>
      <c r="AA607" s="3">
        <v>41.9</v>
      </c>
      <c r="AB607" s="3">
        <v>36.9</v>
      </c>
      <c r="AC607" s="3">
        <v>36.5</v>
      </c>
      <c r="AD607" s="3">
        <v>39.6</v>
      </c>
      <c r="AE607" s="3">
        <v>41.2</v>
      </c>
      <c r="AF607" s="3">
        <v>45.4</v>
      </c>
      <c r="AG607" s="3">
        <v>38.700000000000003</v>
      </c>
      <c r="AH607" s="3">
        <v>37.700000000000003</v>
      </c>
      <c r="AI607" s="3">
        <v>37.299999999999997</v>
      </c>
      <c r="AJ607" s="3">
        <v>36.5</v>
      </c>
      <c r="AK607" s="3">
        <v>35.1</v>
      </c>
      <c r="AL607" s="3">
        <v>33.4</v>
      </c>
      <c r="AM607" s="3">
        <v>34</v>
      </c>
      <c r="AN607" s="3">
        <v>32.6</v>
      </c>
      <c r="AO607" s="3">
        <v>29.6</v>
      </c>
      <c r="AP607" s="3">
        <v>27.2</v>
      </c>
      <c r="AQ607" s="3">
        <v>24.8</v>
      </c>
      <c r="AR607" s="3">
        <v>20.8</v>
      </c>
      <c r="AS607" s="3">
        <v>16.8</v>
      </c>
      <c r="AT607" s="3">
        <v>28.8</v>
      </c>
      <c r="AU607" s="3">
        <v>12.1</v>
      </c>
      <c r="AV607" s="3">
        <v>9.1</v>
      </c>
      <c r="AW607" s="3">
        <v>9.3000000000000007</v>
      </c>
      <c r="AX607" s="3">
        <v>9.1999999999999993</v>
      </c>
      <c r="AY607" s="3">
        <v>9.4</v>
      </c>
      <c r="AZ607" s="3">
        <v>0</v>
      </c>
      <c r="BA607" s="3">
        <v>0</v>
      </c>
      <c r="BB607" s="3">
        <v>0</v>
      </c>
      <c r="BC607" s="3">
        <v>40.793220587782301</v>
      </c>
      <c r="BD607" s="3">
        <v>47.806779412217693</v>
      </c>
      <c r="BE607" s="3">
        <v>46.806779412217693</v>
      </c>
      <c r="BF607" s="3">
        <v>43.96677941221769</v>
      </c>
      <c r="BG607" s="3">
        <v>40.993446078884361</v>
      </c>
      <c r="BH607" s="3">
        <v>36.133446078884361</v>
      </c>
      <c r="BI607" s="3">
        <v>36.146779412217697</v>
      </c>
      <c r="BJ607" s="3">
        <v>40.040112745551028</v>
      </c>
      <c r="BK607" s="3">
        <v>41.513446078884371</v>
      </c>
      <c r="BL607" s="3">
        <v>45.286779412217697</v>
      </c>
      <c r="BM607" s="3">
        <v>38.720112745551035</v>
      </c>
      <c r="BN607" s="3">
        <v>38.003446078884366</v>
      </c>
      <c r="BO607" s="3">
        <v>36.97011274555102</v>
      </c>
      <c r="BP607" s="3">
        <v>35.886779412217706</v>
      </c>
      <c r="BQ607" s="3">
        <v>34.903446078884357</v>
      </c>
      <c r="BR607" s="3">
        <v>33.530112745551023</v>
      </c>
      <c r="BS607" s="3">
        <v>33.933446078884359</v>
      </c>
      <c r="BT607" s="3">
        <v>32.73011274555104</v>
      </c>
      <c r="BU607" s="3">
        <v>29.696779412217708</v>
      </c>
      <c r="BV607" s="3">
        <v>27.013446078884371</v>
      </c>
      <c r="BW607" s="3">
        <v>25.146779412217697</v>
      </c>
      <c r="BX607" s="3">
        <v>21.066779412217699</v>
      </c>
      <c r="BY607" s="3">
        <v>16.886779412217692</v>
      </c>
      <c r="BZ607" s="3">
        <v>29.016779412217701</v>
      </c>
      <c r="CA607" s="3">
        <v>12.416779412217693</v>
      </c>
      <c r="CB607" s="3">
        <v>8.8534460788843603</v>
      </c>
      <c r="CC607" s="3">
        <v>9.2667794122176943</v>
      </c>
      <c r="CD607" s="3">
        <v>8.4734460788843649</v>
      </c>
      <c r="CE607" s="3">
        <v>8.8667794122176957</v>
      </c>
      <c r="CF607" s="3">
        <v>-0.91988725444897312</v>
      </c>
      <c r="CG607" s="3">
        <v>-1.4532205877823046</v>
      </c>
      <c r="CH607" s="3">
        <v>-2.5298872544489726</v>
      </c>
      <c r="CI607" s="13">
        <f>[1]!dbasum(RecData[[#This Row],[20]:[2000]],RecData[[#Headers],[20]:[2000]])</f>
        <v>40.327122443155687</v>
      </c>
      <c r="CJ607" s="14">
        <v>8375</v>
      </c>
      <c r="CK607" s="15" t="s">
        <v>249</v>
      </c>
      <c r="CL607" s="15">
        <f>RecData[[#This Row],[Start Time]]</f>
        <v>43270.137499999997</v>
      </c>
      <c r="CM607" s="16">
        <f>RecData[[#This Row],[Wind Speed avg]]</f>
        <v>0.82</v>
      </c>
      <c r="CN607" s="16">
        <f>RecData[[#This Row],[Wind Dir. avg]]</f>
        <v>170.2</v>
      </c>
      <c r="CO607" s="16">
        <f>RecData[[#This Row],[Amb. Humidity]]</f>
        <v>80.7</v>
      </c>
      <c r="CP607" s="16">
        <f>RecData[[#This Row],[Amb. Temperature]]</f>
        <v>12.3</v>
      </c>
      <c r="CQ607" s="17">
        <f>RecData[[#This Row],[Amb. Rain Gauge]]</f>
        <v>0</v>
      </c>
      <c r="CR607" s="4" t="s">
        <v>1</v>
      </c>
      <c r="CS607" s="4" t="s">
        <v>49</v>
      </c>
      <c r="CT607" s="70">
        <v>1620.09265136718</v>
      </c>
      <c r="CU607" s="70">
        <v>30.1280002593994</v>
      </c>
      <c r="CV607" s="70">
        <v>11.645037651061999</v>
      </c>
      <c r="CW607" s="70">
        <v>15.3230123519897</v>
      </c>
      <c r="CX607" s="4"/>
      <c r="CY607" s="69"/>
      <c r="CZ607" s="2" t="b">
        <f>IF($DP$1="YES",IF(RecData[[#This Row],[Power (kW)]]&gt;=$CR$3, TRUE,FALSE),TRUE)</f>
        <v>1</v>
      </c>
      <c r="DA607" s="16">
        <f>MIN(MOD(180-ABS(ABS($DA$1-RecData[Yaw Angle (°)])-180),360),MOD(180-ABS(ABS($DB$1-RecData[Yaw Angle (°)])-180),360))</f>
        <v>22.59807348171185</v>
      </c>
      <c r="DB607" s="2" t="str">
        <f>IF($DP$2="None","None",IF(RecData[[#This Row],[Relative Wind Direction]]&lt;=45,"DW",IF(RecData[[#This Row],[Relative Wind Direction]]&lt;=135,"CW","UW")))</f>
        <v>DW</v>
      </c>
      <c r="DC607" s="61">
        <f>IF($CL607-$CL603&gt;1/24,#REF!,IF(SUM($CQ603:$CQ607)&gt;$DS$1,$DS$5,DC608-1))</f>
        <v>-6</v>
      </c>
      <c r="DD607" s="61">
        <f>IF($CL608-$CL607&gt;1/24,#REF!,IF(SUM($CQ603:$CQ607)&gt;$DS$1,$DS$6,DD606-1))</f>
        <v>-5</v>
      </c>
      <c r="DE607" s="18" t="b">
        <v>0</v>
      </c>
      <c r="DF607" s="2" t="b">
        <f>IF(OR(RecData[[#This Row],[WSpd_Avg '[m/s']]]-RecData[[#This Row],[Wind Speed min]]&gt;=$DF$3,RecData[[#This Row],[Wind Speed max]]-RecData[[#This Row],[WSpd_Avg '[m/s']]]&gt;=$DF$2),TRUE,FALSE)</f>
        <v>0</v>
      </c>
      <c r="DG607" s="2" t="b">
        <f>RecData[[#This Row],[Temperature '[°C']]]&lt;=-20</f>
        <v>0</v>
      </c>
      <c r="DH607" s="18" t="b">
        <f>NOT(OR(MOD(RecData[[#This Row],[TIMESTAMP]],1)&gt;0.91632,MOD(RecData[[#This Row],[TIMESTAMP]],1)&lt;0.208681))</f>
        <v>0</v>
      </c>
      <c r="DI607" s="18" t="b">
        <f>RecData[[#This Row],[Overall (dBA)]]-RecData[[#This Row],[L90]]&gt;=$DS$4</f>
        <v>0</v>
      </c>
      <c r="DJ607" s="18" t="b">
        <f>RecData[[#This Row],[Overall (dBA)]]&gt;$DS$2</f>
        <v>0</v>
      </c>
      <c r="DK607" s="18" t="b">
        <f>RecData[[#This Row],[Overall (dBA)]]&lt;$DS$3</f>
        <v>0</v>
      </c>
      <c r="DL6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7" s="2">
        <f>IF(AND(RecData[[#This Row],[Turbines ON/OFF]] = "OFF", NOT(OR(RecData[[#This Row],[Junk?]]="YES",RecData[[#This Row],[Gust?]],RecData[[#This Row],[Rain?]:[Min SPL Threshold?]]))),1,0)</f>
        <v>0</v>
      </c>
      <c r="DN607" s="16">
        <f>RecData[[#This Row],[dBA Sum]]</f>
        <v>40.327122443155687</v>
      </c>
      <c r="DO607" s="16">
        <f>RecData[[#This Row],[LAF90.0]]</f>
        <v>39.5</v>
      </c>
      <c r="DP607" s="55">
        <f>IF(AND(RecData[[#This Row],[Useable TON Data?]],RecData[[#This Row],[Turbines ON/OFF]]="ON"),RecData[[#This Row],[dBA Sum]],"")</f>
        <v>40.327122443155687</v>
      </c>
      <c r="DQ607" s="55" t="str">
        <f>IF(AND(RecData[[#This Row],[Useable Background Data?]],RecData[[#This Row],[Turbines ON/OFF]]="OFF"),RecData[[#This Row],[dBA Sum]],"")</f>
        <v/>
      </c>
      <c r="DR607" s="3">
        <f>IF(OR(RecData[[#This Row],[Useable TON Data?]],RecData[[#This Row],[Useable Background Data?]]),ROUND(RecData[[#This Row],[WSpd_Avg '[m/s']]],0),"")</f>
        <v>1</v>
      </c>
      <c r="DS607" s="85">
        <f>(0.00002)^2*(10^(RecData[[#This Row],[Overall (dBA)]]/10))</f>
        <v>4.3129282735673319E-6</v>
      </c>
    </row>
    <row r="608" spans="1:123" ht="15" x14ac:dyDescent="0.25">
      <c r="A608" s="3" t="s">
        <v>249</v>
      </c>
      <c r="B608" s="12">
        <v>43270.138194444444</v>
      </c>
      <c r="C608" s="3"/>
      <c r="D608" s="3">
        <v>41</v>
      </c>
      <c r="E608" s="3"/>
      <c r="F608" s="3"/>
      <c r="G608" s="3"/>
      <c r="H608" s="3"/>
      <c r="I608" s="3"/>
      <c r="J608" s="3"/>
      <c r="K608" s="3">
        <v>40</v>
      </c>
      <c r="L608" s="3"/>
      <c r="M608" s="3"/>
      <c r="N608" s="3">
        <v>176.7</v>
      </c>
      <c r="O608" s="3"/>
      <c r="P608" s="3"/>
      <c r="Q608" s="3">
        <v>0.79</v>
      </c>
      <c r="R608" s="3">
        <v>0.5</v>
      </c>
      <c r="S608" s="3">
        <v>1.3</v>
      </c>
      <c r="T608" s="3">
        <v>12.4</v>
      </c>
      <c r="U608" s="3">
        <v>79.599999999999994</v>
      </c>
      <c r="V608" s="3">
        <v>973.1</v>
      </c>
      <c r="W608" s="3">
        <v>0</v>
      </c>
      <c r="X608" s="3">
        <v>48.5</v>
      </c>
      <c r="Y608" s="3">
        <v>47</v>
      </c>
      <c r="Z608" s="3">
        <v>46</v>
      </c>
      <c r="AA608" s="3">
        <v>42</v>
      </c>
      <c r="AB608" s="3">
        <v>36.799999999999997</v>
      </c>
      <c r="AC608" s="3">
        <v>36.1</v>
      </c>
      <c r="AD608" s="3">
        <v>39.799999999999997</v>
      </c>
      <c r="AE608" s="3">
        <v>41.1</v>
      </c>
      <c r="AF608" s="3">
        <v>46.4</v>
      </c>
      <c r="AG608" s="3">
        <v>40</v>
      </c>
      <c r="AH608" s="3">
        <v>37.9</v>
      </c>
      <c r="AI608" s="3">
        <v>37.5</v>
      </c>
      <c r="AJ608" s="3">
        <v>36.6</v>
      </c>
      <c r="AK608" s="3">
        <v>35.200000000000003</v>
      </c>
      <c r="AL608" s="3">
        <v>33.6</v>
      </c>
      <c r="AM608" s="3">
        <v>34.299999999999997</v>
      </c>
      <c r="AN608" s="3">
        <v>32.9</v>
      </c>
      <c r="AO608" s="3">
        <v>30.1</v>
      </c>
      <c r="AP608" s="3">
        <v>27.8</v>
      </c>
      <c r="AQ608" s="3">
        <v>25.5</v>
      </c>
      <c r="AR608" s="3">
        <v>21.5</v>
      </c>
      <c r="AS608" s="3">
        <v>17.3</v>
      </c>
      <c r="AT608" s="3">
        <v>25.6</v>
      </c>
      <c r="AU608" s="3">
        <v>10.3</v>
      </c>
      <c r="AV608" s="3">
        <v>9.1</v>
      </c>
      <c r="AW608" s="3">
        <v>9.4</v>
      </c>
      <c r="AX608" s="3">
        <v>9.1999999999999993</v>
      </c>
      <c r="AY608" s="3">
        <v>9.4</v>
      </c>
      <c r="AZ608" s="3">
        <v>0</v>
      </c>
      <c r="BA608" s="3">
        <v>0</v>
      </c>
      <c r="BB608" s="3">
        <v>0</v>
      </c>
      <c r="BC608" s="3">
        <v>40.966379929705568</v>
      </c>
      <c r="BD608" s="3">
        <v>48.533620070294432</v>
      </c>
      <c r="BE608" s="3">
        <v>47.033620070294432</v>
      </c>
      <c r="BF608" s="3">
        <v>44.793620070294423</v>
      </c>
      <c r="BG608" s="3">
        <v>41.120286736961106</v>
      </c>
      <c r="BH608" s="3">
        <v>36.060286736961103</v>
      </c>
      <c r="BI608" s="3">
        <v>35.773620070294442</v>
      </c>
      <c r="BJ608" s="3">
        <v>40.266953403627753</v>
      </c>
      <c r="BK608" s="3">
        <v>41.440286736961099</v>
      </c>
      <c r="BL608" s="3">
        <v>46.313620070294434</v>
      </c>
      <c r="BM608" s="3">
        <v>40.046953403627768</v>
      </c>
      <c r="BN608" s="3">
        <v>38.230286736961091</v>
      </c>
      <c r="BO608" s="3">
        <v>37.196953403627759</v>
      </c>
      <c r="BP608" s="3">
        <v>36.013620070294436</v>
      </c>
      <c r="BQ608" s="3">
        <v>35.030286736961102</v>
      </c>
      <c r="BR608" s="3">
        <v>33.756953403627762</v>
      </c>
      <c r="BS608" s="3">
        <v>34.260286736961092</v>
      </c>
      <c r="BT608" s="3">
        <v>33.056953403627773</v>
      </c>
      <c r="BU608" s="3">
        <v>30.22362007029443</v>
      </c>
      <c r="BV608" s="3">
        <v>27.640286736961102</v>
      </c>
      <c r="BW608" s="3">
        <v>25.873620070294436</v>
      </c>
      <c r="BX608" s="3">
        <v>21.793620070294438</v>
      </c>
      <c r="BY608" s="3">
        <v>17.413620070294428</v>
      </c>
      <c r="BZ608" s="3">
        <v>25.843620070294435</v>
      </c>
      <c r="CA608" s="3">
        <v>10.643620070294425</v>
      </c>
      <c r="CB608" s="3">
        <v>8.8802867369610965</v>
      </c>
      <c r="CC608" s="3">
        <v>9.3936200702944319</v>
      </c>
      <c r="CD608" s="3">
        <v>8.500286736961101</v>
      </c>
      <c r="CE608" s="3">
        <v>8.8936200702944319</v>
      </c>
      <c r="CF608" s="3">
        <v>-0.89304659637223693</v>
      </c>
      <c r="CG608" s="3">
        <v>-1.4263799297055684</v>
      </c>
      <c r="CH608" s="3">
        <v>-2.5030465963722364</v>
      </c>
      <c r="CI608" s="13">
        <f>[1]!dbasum(RecData[[#This Row],[20]:[2000]],RecData[[#Headers],[20]:[2000]])</f>
        <v>40.741814887052598</v>
      </c>
      <c r="CJ608" s="14">
        <v>8376</v>
      </c>
      <c r="CK608" s="15" t="s">
        <v>249</v>
      </c>
      <c r="CL608" s="15">
        <f>RecData[[#This Row],[Start Time]]</f>
        <v>43270.138194444444</v>
      </c>
      <c r="CM608" s="16">
        <f>RecData[[#This Row],[Wind Speed avg]]</f>
        <v>0.79</v>
      </c>
      <c r="CN608" s="16">
        <f>RecData[[#This Row],[Wind Dir. avg]]</f>
        <v>176.7</v>
      </c>
      <c r="CO608" s="16">
        <f>RecData[[#This Row],[Amb. Humidity]]</f>
        <v>79.599999999999994</v>
      </c>
      <c r="CP608" s="16">
        <f>RecData[[#This Row],[Amb. Temperature]]</f>
        <v>12.4</v>
      </c>
      <c r="CQ608" s="17">
        <f>RecData[[#This Row],[Amb. Rain Gauge]]</f>
        <v>0</v>
      </c>
      <c r="CR608" s="4" t="s">
        <v>1</v>
      </c>
      <c r="CS608" s="4" t="s">
        <v>49</v>
      </c>
      <c r="CT608" s="70">
        <v>1620.09265136718</v>
      </c>
      <c r="CU608" s="70">
        <v>30.1280002593994</v>
      </c>
      <c r="CV608" s="70">
        <v>11.645037651061999</v>
      </c>
      <c r="CW608" s="70">
        <v>15.3230123519897</v>
      </c>
      <c r="CX608" s="4"/>
      <c r="CY608" s="69"/>
      <c r="CZ608" s="2" t="b">
        <f>IF($DP$1="YES",IF(RecData[[#This Row],[Power (kW)]]&gt;=$CR$3, TRUE,FALSE),TRUE)</f>
        <v>1</v>
      </c>
      <c r="DA608" s="16">
        <f>MIN(MOD(180-ABS(ABS($DA$1-RecData[Yaw Angle (°)])-180),360),MOD(180-ABS(ABS($DB$1-RecData[Yaw Angle (°)])-180),360))</f>
        <v>22.59807348171185</v>
      </c>
      <c r="DB608" s="2" t="str">
        <f>IF($DP$2="None","None",IF(RecData[[#This Row],[Relative Wind Direction]]&lt;=45,"DW",IF(RecData[[#This Row],[Relative Wind Direction]]&lt;=135,"CW","UW")))</f>
        <v>DW</v>
      </c>
      <c r="DC608" s="61">
        <f>IF($CL608-$CL604&gt;1/24,#REF!,IF(SUM($CQ604:$CQ608)&gt;$DS$1,$DS$5,DC609-1))</f>
        <v>-5</v>
      </c>
      <c r="DD608" s="61">
        <f>IF($CL609-$CL608&gt;1/24,#REF!,IF(SUM($CQ604:$CQ608)&gt;$DS$1,$DS$6,DD607-1))</f>
        <v>-6</v>
      </c>
      <c r="DE608" s="18" t="b">
        <v>0</v>
      </c>
      <c r="DF608" s="2" t="b">
        <f>IF(OR(RecData[[#This Row],[WSpd_Avg '[m/s']]]-RecData[[#This Row],[Wind Speed min]]&gt;=$DF$3,RecData[[#This Row],[Wind Speed max]]-RecData[[#This Row],[WSpd_Avg '[m/s']]]&gt;=$DF$2),TRUE,FALSE)</f>
        <v>0</v>
      </c>
      <c r="DG608" s="2" t="b">
        <f>RecData[[#This Row],[Temperature '[°C']]]&lt;=-20</f>
        <v>0</v>
      </c>
      <c r="DH608" s="18" t="b">
        <f>NOT(OR(MOD(RecData[[#This Row],[TIMESTAMP]],1)&gt;0.91632,MOD(RecData[[#This Row],[TIMESTAMP]],1)&lt;0.208681))</f>
        <v>0</v>
      </c>
      <c r="DI608" s="18" t="b">
        <f>RecData[[#This Row],[Overall (dBA)]]-RecData[[#This Row],[L90]]&gt;=$DS$4</f>
        <v>0</v>
      </c>
      <c r="DJ608" s="18" t="b">
        <f>RecData[[#This Row],[Overall (dBA)]]&gt;$DS$2</f>
        <v>0</v>
      </c>
      <c r="DK608" s="18" t="b">
        <f>RecData[[#This Row],[Overall (dBA)]]&lt;$DS$3</f>
        <v>0</v>
      </c>
      <c r="DL6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8" s="2">
        <f>IF(AND(RecData[[#This Row],[Turbines ON/OFF]] = "OFF", NOT(OR(RecData[[#This Row],[Junk?]]="YES",RecData[[#This Row],[Gust?]],RecData[[#This Row],[Rain?]:[Min SPL Threshold?]]))),1,0)</f>
        <v>0</v>
      </c>
      <c r="DN608" s="16">
        <f>RecData[[#This Row],[dBA Sum]]</f>
        <v>40.741814887052598</v>
      </c>
      <c r="DO608" s="16">
        <f>RecData[[#This Row],[LAF90.0]]</f>
        <v>40</v>
      </c>
      <c r="DP608" s="55">
        <f>IF(AND(RecData[[#This Row],[Useable TON Data?]],RecData[[#This Row],[Turbines ON/OFF]]="ON"),RecData[[#This Row],[dBA Sum]],"")</f>
        <v>40.741814887052598</v>
      </c>
      <c r="DQ608" s="55" t="str">
        <f>IF(AND(RecData[[#This Row],[Useable Background Data?]],RecData[[#This Row],[Turbines ON/OFF]]="OFF"),RecData[[#This Row],[dBA Sum]],"")</f>
        <v/>
      </c>
      <c r="DR608" s="3">
        <f>IF(OR(RecData[[#This Row],[Useable TON Data?]],RecData[[#This Row],[Useable Background Data?]]),ROUND(RecData[[#This Row],[WSpd_Avg '[m/s']]],0),"")</f>
        <v>1</v>
      </c>
      <c r="DS608" s="85">
        <f>(0.00002)^2*(10^(RecData[[#This Row],[Overall (dBA)]]/10))</f>
        <v>4.7450575056053033E-6</v>
      </c>
    </row>
    <row r="609" spans="1:123" ht="15" x14ac:dyDescent="0.25">
      <c r="A609" s="3" t="s">
        <v>249</v>
      </c>
      <c r="B609" s="12">
        <v>43270.138888888891</v>
      </c>
      <c r="C609" s="3"/>
      <c r="D609" s="3">
        <v>40.9</v>
      </c>
      <c r="E609" s="3"/>
      <c r="F609" s="3"/>
      <c r="G609" s="3"/>
      <c r="H609" s="3"/>
      <c r="I609" s="3"/>
      <c r="J609" s="3"/>
      <c r="K609" s="3">
        <v>40</v>
      </c>
      <c r="L609" s="3"/>
      <c r="M609" s="3"/>
      <c r="N609" s="3">
        <v>200.1</v>
      </c>
      <c r="O609" s="3"/>
      <c r="P609" s="3"/>
      <c r="Q609" s="3">
        <v>0.69</v>
      </c>
      <c r="R609" s="3">
        <v>0.4</v>
      </c>
      <c r="S609" s="3">
        <v>1.1000000000000001</v>
      </c>
      <c r="T609" s="3">
        <v>12.5</v>
      </c>
      <c r="U609" s="3">
        <v>79.2</v>
      </c>
      <c r="V609" s="3">
        <v>973.1</v>
      </c>
      <c r="W609" s="3">
        <v>0</v>
      </c>
      <c r="X609" s="3">
        <v>48.4</v>
      </c>
      <c r="Y609" s="3">
        <v>48</v>
      </c>
      <c r="Z609" s="3">
        <v>46.2</v>
      </c>
      <c r="AA609" s="3">
        <v>42.4</v>
      </c>
      <c r="AB609" s="3">
        <v>37.4</v>
      </c>
      <c r="AC609" s="3">
        <v>36.299999999999997</v>
      </c>
      <c r="AD609" s="3">
        <v>40.200000000000003</v>
      </c>
      <c r="AE609" s="3">
        <v>41.9</v>
      </c>
      <c r="AF609" s="3">
        <v>45.8</v>
      </c>
      <c r="AG609" s="3">
        <v>39.799999999999997</v>
      </c>
      <c r="AH609" s="3">
        <v>37.799999999999997</v>
      </c>
      <c r="AI609" s="3">
        <v>37.799999999999997</v>
      </c>
      <c r="AJ609" s="3">
        <v>36.9</v>
      </c>
      <c r="AK609" s="3">
        <v>35.4</v>
      </c>
      <c r="AL609" s="3">
        <v>33.6</v>
      </c>
      <c r="AM609" s="3">
        <v>34.299999999999997</v>
      </c>
      <c r="AN609" s="3">
        <v>32.799999999999997</v>
      </c>
      <c r="AO609" s="3">
        <v>30</v>
      </c>
      <c r="AP609" s="3">
        <v>28</v>
      </c>
      <c r="AQ609" s="3">
        <v>25.2</v>
      </c>
      <c r="AR609" s="3">
        <v>21.1</v>
      </c>
      <c r="AS609" s="3">
        <v>16.7</v>
      </c>
      <c r="AT609" s="3">
        <v>21.9</v>
      </c>
      <c r="AU609" s="3">
        <v>9.5</v>
      </c>
      <c r="AV609" s="3">
        <v>8.6999999999999993</v>
      </c>
      <c r="AW609" s="3">
        <v>9</v>
      </c>
      <c r="AX609" s="3">
        <v>9.1</v>
      </c>
      <c r="AY609" s="3">
        <v>9.4</v>
      </c>
      <c r="AZ609" s="3">
        <v>0</v>
      </c>
      <c r="BA609" s="3">
        <v>0</v>
      </c>
      <c r="BB609" s="3">
        <v>0</v>
      </c>
      <c r="BC609" s="3">
        <v>40.856130146718471</v>
      </c>
      <c r="BD609" s="3">
        <v>48.443869853281527</v>
      </c>
      <c r="BE609" s="3">
        <v>48.043869853281535</v>
      </c>
      <c r="BF609" s="3">
        <v>45.003869853281529</v>
      </c>
      <c r="BG609" s="3">
        <v>41.530536519948186</v>
      </c>
      <c r="BH609" s="3">
        <v>36.6705365199482</v>
      </c>
      <c r="BI609" s="3">
        <v>35.983869853281533</v>
      </c>
      <c r="BJ609" s="3">
        <v>40.677203186614861</v>
      </c>
      <c r="BK609" s="3">
        <v>42.250536519948184</v>
      </c>
      <c r="BL609" s="3">
        <v>45.723869853281528</v>
      </c>
      <c r="BM609" s="3">
        <v>39.857203186614868</v>
      </c>
      <c r="BN609" s="3">
        <v>38.140536519948199</v>
      </c>
      <c r="BO609" s="3">
        <v>37.507203186614859</v>
      </c>
      <c r="BP609" s="3">
        <v>36.323869853281536</v>
      </c>
      <c r="BQ609" s="3">
        <v>35.240536519948193</v>
      </c>
      <c r="BR609" s="3">
        <v>33.767203186614864</v>
      </c>
      <c r="BS609" s="3">
        <v>34.270536519948195</v>
      </c>
      <c r="BT609" s="3">
        <v>32.967203186614853</v>
      </c>
      <c r="BU609" s="3">
        <v>30.133869853281539</v>
      </c>
      <c r="BV609" s="3">
        <v>27.850536519948193</v>
      </c>
      <c r="BW609" s="3">
        <v>25.583869853281527</v>
      </c>
      <c r="BX609" s="3">
        <v>21.403869853281535</v>
      </c>
      <c r="BY609" s="3">
        <v>16.823869853281522</v>
      </c>
      <c r="BZ609" s="3">
        <v>22.153869853281535</v>
      </c>
      <c r="CA609" s="3">
        <v>9.8538698532815232</v>
      </c>
      <c r="CB609" s="3">
        <v>8.4905365199481935</v>
      </c>
      <c r="CC609" s="3">
        <v>9.0038698532815289</v>
      </c>
      <c r="CD609" s="3">
        <v>8.4105365199481952</v>
      </c>
      <c r="CE609" s="3">
        <v>8.9038698532815275</v>
      </c>
      <c r="CF609" s="3">
        <v>-0.88279681338514138</v>
      </c>
      <c r="CG609" s="3">
        <v>-1.4161301467184728</v>
      </c>
      <c r="CH609" s="3">
        <v>-2.4927968133851408</v>
      </c>
      <c r="CI609" s="13">
        <f>[1]!dbasum(RecData[[#This Row],[20]:[2000]],RecData[[#Headers],[20]:[2000]])</f>
        <v>40.736369295983685</v>
      </c>
      <c r="CJ609" s="14">
        <v>8377</v>
      </c>
      <c r="CK609" s="15" t="s">
        <v>249</v>
      </c>
      <c r="CL609" s="15">
        <f>RecData[[#This Row],[Start Time]]</f>
        <v>43270.138888888891</v>
      </c>
      <c r="CM609" s="16">
        <f>RecData[[#This Row],[Wind Speed avg]]</f>
        <v>0.69</v>
      </c>
      <c r="CN609" s="16">
        <f>RecData[[#This Row],[Wind Dir. avg]]</f>
        <v>200.1</v>
      </c>
      <c r="CO609" s="16">
        <f>RecData[[#This Row],[Amb. Humidity]]</f>
        <v>79.2</v>
      </c>
      <c r="CP609" s="16">
        <f>RecData[[#This Row],[Amb. Temperature]]</f>
        <v>12.5</v>
      </c>
      <c r="CQ609" s="17">
        <f>RecData[[#This Row],[Amb. Rain Gauge]]</f>
        <v>0</v>
      </c>
      <c r="CR609" s="4" t="s">
        <v>1</v>
      </c>
      <c r="CS609" s="4" t="s">
        <v>49</v>
      </c>
      <c r="CT609" s="70">
        <v>1620.09265136718</v>
      </c>
      <c r="CU609" s="70">
        <v>30.1280002593994</v>
      </c>
      <c r="CV609" s="70">
        <v>11.645037651061999</v>
      </c>
      <c r="CW609" s="70">
        <v>15.3230123519897</v>
      </c>
      <c r="CX609" s="4"/>
      <c r="CY609" s="69"/>
      <c r="CZ609" s="2" t="b">
        <f>IF($DP$1="YES",IF(RecData[[#This Row],[Power (kW)]]&gt;=$CR$3, TRUE,FALSE),TRUE)</f>
        <v>1</v>
      </c>
      <c r="DA609" s="16">
        <f>MIN(MOD(180-ABS(ABS($DA$1-RecData[Yaw Angle (°)])-180),360),MOD(180-ABS(ABS($DB$1-RecData[Yaw Angle (°)])-180),360))</f>
        <v>22.59807348171185</v>
      </c>
      <c r="DB609" s="2" t="str">
        <f>IF($DP$2="None","None",IF(RecData[[#This Row],[Relative Wind Direction]]&lt;=45,"DW",IF(RecData[[#This Row],[Relative Wind Direction]]&lt;=135,"CW","UW")))</f>
        <v>DW</v>
      </c>
      <c r="DC609" s="61">
        <f>IF($CL609-$CL605&gt;1/24,#REF!,IF(SUM($CQ605:$CQ609)&gt;$DS$1,$DS$5,DC610-1))</f>
        <v>-4</v>
      </c>
      <c r="DD609" s="61">
        <f>IF($CL610-$CL609&gt;1/24,#REF!,IF(SUM($CQ605:$CQ609)&gt;$DS$1,$DS$6,DD608-1))</f>
        <v>-7</v>
      </c>
      <c r="DE609" s="18" t="b">
        <v>0</v>
      </c>
      <c r="DF609" s="2" t="b">
        <f>IF(OR(RecData[[#This Row],[WSpd_Avg '[m/s']]]-RecData[[#This Row],[Wind Speed min]]&gt;=$DF$3,RecData[[#This Row],[Wind Speed max]]-RecData[[#This Row],[WSpd_Avg '[m/s']]]&gt;=$DF$2),TRUE,FALSE)</f>
        <v>0</v>
      </c>
      <c r="DG609" s="2" t="b">
        <f>RecData[[#This Row],[Temperature '[°C']]]&lt;=-20</f>
        <v>0</v>
      </c>
      <c r="DH609" s="18" t="b">
        <f>NOT(OR(MOD(RecData[[#This Row],[TIMESTAMP]],1)&gt;0.91632,MOD(RecData[[#This Row],[TIMESTAMP]],1)&lt;0.208681))</f>
        <v>0</v>
      </c>
      <c r="DI609" s="18" t="b">
        <f>RecData[[#This Row],[Overall (dBA)]]-RecData[[#This Row],[L90]]&gt;=$DS$4</f>
        <v>0</v>
      </c>
      <c r="DJ609" s="18" t="b">
        <f>RecData[[#This Row],[Overall (dBA)]]&gt;$DS$2</f>
        <v>0</v>
      </c>
      <c r="DK609" s="18" t="b">
        <f>RecData[[#This Row],[Overall (dBA)]]&lt;$DS$3</f>
        <v>0</v>
      </c>
      <c r="DL6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09" s="2">
        <f>IF(AND(RecData[[#This Row],[Turbines ON/OFF]] = "OFF", NOT(OR(RecData[[#This Row],[Junk?]]="YES",RecData[[#This Row],[Gust?]],RecData[[#This Row],[Rain?]:[Min SPL Threshold?]]))),1,0)</f>
        <v>0</v>
      </c>
      <c r="DN609" s="16">
        <f>RecData[[#This Row],[dBA Sum]]</f>
        <v>40.736369295983685</v>
      </c>
      <c r="DO609" s="16">
        <f>RecData[[#This Row],[LAF90.0]]</f>
        <v>40</v>
      </c>
      <c r="DP609" s="55">
        <f>IF(AND(RecData[[#This Row],[Useable TON Data?]],RecData[[#This Row],[Turbines ON/OFF]]="ON"),RecData[[#This Row],[dBA Sum]],"")</f>
        <v>40.736369295983685</v>
      </c>
      <c r="DQ609" s="55" t="str">
        <f>IF(AND(RecData[[#This Row],[Useable Background Data?]],RecData[[#This Row],[Turbines ON/OFF]]="OFF"),RecData[[#This Row],[dBA Sum]],"")</f>
        <v/>
      </c>
      <c r="DR609" s="3">
        <f>IF(OR(RecData[[#This Row],[Useable TON Data?]],RecData[[#This Row],[Useable Background Data?]]),ROUND(RecData[[#This Row],[WSpd_Avg '[m/s']]],0),"")</f>
        <v>1</v>
      </c>
      <c r="DS609" s="85">
        <f>(0.00002)^2*(10^(RecData[[#This Row],[Overall (dBA)]]/10))</f>
        <v>4.7391114366275562E-6</v>
      </c>
    </row>
    <row r="610" spans="1:123" ht="15" x14ac:dyDescent="0.25">
      <c r="A610" s="3" t="s">
        <v>249</v>
      </c>
      <c r="B610" s="12">
        <v>43270.13958333333</v>
      </c>
      <c r="C610" s="3"/>
      <c r="D610" s="3">
        <v>41</v>
      </c>
      <c r="E610" s="3"/>
      <c r="F610" s="3"/>
      <c r="G610" s="3"/>
      <c r="H610" s="3"/>
      <c r="I610" s="3"/>
      <c r="J610" s="3"/>
      <c r="K610" s="3">
        <v>40</v>
      </c>
      <c r="L610" s="3"/>
      <c r="M610" s="3"/>
      <c r="N610" s="3">
        <v>187.1</v>
      </c>
      <c r="O610" s="3"/>
      <c r="P610" s="3"/>
      <c r="Q610" s="3">
        <v>0.76</v>
      </c>
      <c r="R610" s="3">
        <v>0.5</v>
      </c>
      <c r="S610" s="3">
        <v>1.1000000000000001</v>
      </c>
      <c r="T610" s="3">
        <v>12.6</v>
      </c>
      <c r="U610" s="3">
        <v>78.8</v>
      </c>
      <c r="V610" s="3">
        <v>973.1</v>
      </c>
      <c r="W610" s="3">
        <v>0</v>
      </c>
      <c r="X610" s="3">
        <v>48.9</v>
      </c>
      <c r="Y610" s="3">
        <v>47</v>
      </c>
      <c r="Z610" s="3">
        <v>46.4</v>
      </c>
      <c r="AA610" s="3">
        <v>42.3</v>
      </c>
      <c r="AB610" s="3">
        <v>37.6</v>
      </c>
      <c r="AC610" s="3">
        <v>35.700000000000003</v>
      </c>
      <c r="AD610" s="3">
        <v>40</v>
      </c>
      <c r="AE610" s="3">
        <v>41.5</v>
      </c>
      <c r="AF610" s="3">
        <v>46.6</v>
      </c>
      <c r="AG610" s="3">
        <v>40.299999999999997</v>
      </c>
      <c r="AH610" s="3">
        <v>37.5</v>
      </c>
      <c r="AI610" s="3">
        <v>37.799999999999997</v>
      </c>
      <c r="AJ610" s="3">
        <v>36.5</v>
      </c>
      <c r="AK610" s="3">
        <v>35.299999999999997</v>
      </c>
      <c r="AL610" s="3">
        <v>33.700000000000003</v>
      </c>
      <c r="AM610" s="3">
        <v>34.4</v>
      </c>
      <c r="AN610" s="3">
        <v>33.1</v>
      </c>
      <c r="AO610" s="3">
        <v>30</v>
      </c>
      <c r="AP610" s="3">
        <v>27.7</v>
      </c>
      <c r="AQ610" s="3">
        <v>25.6</v>
      </c>
      <c r="AR610" s="3">
        <v>21.4</v>
      </c>
      <c r="AS610" s="3">
        <v>17.100000000000001</v>
      </c>
      <c r="AT610" s="3">
        <v>23.3</v>
      </c>
      <c r="AU610" s="3">
        <v>9.6</v>
      </c>
      <c r="AV610" s="3">
        <v>8.8000000000000007</v>
      </c>
      <c r="AW610" s="3">
        <v>9.1</v>
      </c>
      <c r="AX610" s="3">
        <v>9.1</v>
      </c>
      <c r="AY610" s="3">
        <v>9.4</v>
      </c>
      <c r="AZ610" s="3">
        <v>0</v>
      </c>
      <c r="BA610" s="3">
        <v>0</v>
      </c>
      <c r="BB610" s="3">
        <v>0</v>
      </c>
      <c r="BC610" s="3">
        <v>40.973683454304862</v>
      </c>
      <c r="BD610" s="3">
        <v>48.926316545695144</v>
      </c>
      <c r="BE610" s="3">
        <v>47.026316545695138</v>
      </c>
      <c r="BF610" s="3">
        <v>45.186316545695135</v>
      </c>
      <c r="BG610" s="3">
        <v>41.412983212361794</v>
      </c>
      <c r="BH610" s="3">
        <v>36.852983212361806</v>
      </c>
      <c r="BI610" s="3">
        <v>35.366316545695142</v>
      </c>
      <c r="BJ610" s="3">
        <v>40.459649879028476</v>
      </c>
      <c r="BK610" s="3">
        <v>41.83298321236181</v>
      </c>
      <c r="BL610" s="3">
        <v>46.506316545695142</v>
      </c>
      <c r="BM610" s="3">
        <v>40.339649879028471</v>
      </c>
      <c r="BN610" s="3">
        <v>37.822983212361805</v>
      </c>
      <c r="BO610" s="3">
        <v>37.489649879028477</v>
      </c>
      <c r="BP610" s="3">
        <v>35.906316545695134</v>
      </c>
      <c r="BQ610" s="3">
        <v>35.122983212361802</v>
      </c>
      <c r="BR610" s="3">
        <v>33.849649879028476</v>
      </c>
      <c r="BS610" s="3">
        <v>34.352983212361806</v>
      </c>
      <c r="BT610" s="3">
        <v>33.249649879028468</v>
      </c>
      <c r="BU610" s="3">
        <v>30.116316545695142</v>
      </c>
      <c r="BV610" s="3">
        <v>27.532983212361799</v>
      </c>
      <c r="BW610" s="3">
        <v>25.966316545695136</v>
      </c>
      <c r="BX610" s="3">
        <v>21.686316545695142</v>
      </c>
      <c r="BY610" s="3">
        <v>17.206316545695138</v>
      </c>
      <c r="BZ610" s="3">
        <v>23.536316545695144</v>
      </c>
      <c r="CA610" s="3">
        <v>9.936316545695135</v>
      </c>
      <c r="CB610" s="3">
        <v>8.5729832123618053</v>
      </c>
      <c r="CC610" s="3">
        <v>9.0863165456951407</v>
      </c>
      <c r="CD610" s="3">
        <v>8.3929832123618127</v>
      </c>
      <c r="CE610" s="3">
        <v>8.8863165456951378</v>
      </c>
      <c r="CF610" s="3">
        <v>-0.900350120971531</v>
      </c>
      <c r="CG610" s="3">
        <v>-1.4336834543048624</v>
      </c>
      <c r="CH610" s="3">
        <v>-2.5103501209715304</v>
      </c>
      <c r="CI610" s="13">
        <f>[1]!dbasum(RecData[[#This Row],[20]:[2000]],RecData[[#Headers],[20]:[2000]])</f>
        <v>40.815570568040336</v>
      </c>
      <c r="CJ610" s="14">
        <v>8378</v>
      </c>
      <c r="CK610" s="15" t="s">
        <v>249</v>
      </c>
      <c r="CL610" s="15">
        <f>RecData[[#This Row],[Start Time]]</f>
        <v>43270.13958333333</v>
      </c>
      <c r="CM610" s="16">
        <f>RecData[[#This Row],[Wind Speed avg]]</f>
        <v>0.76</v>
      </c>
      <c r="CN610" s="16">
        <f>RecData[[#This Row],[Wind Dir. avg]]</f>
        <v>187.1</v>
      </c>
      <c r="CO610" s="16">
        <f>RecData[[#This Row],[Amb. Humidity]]</f>
        <v>78.8</v>
      </c>
      <c r="CP610" s="16">
        <f>RecData[[#This Row],[Amb. Temperature]]</f>
        <v>12.6</v>
      </c>
      <c r="CQ610" s="17">
        <f>RecData[[#This Row],[Amb. Rain Gauge]]</f>
        <v>0</v>
      </c>
      <c r="CR610" s="4" t="s">
        <v>1</v>
      </c>
      <c r="CS610" s="4" t="s">
        <v>49</v>
      </c>
      <c r="CT610" s="70">
        <v>1619.19299316406</v>
      </c>
      <c r="CU610" s="70">
        <v>30.000257492065401</v>
      </c>
      <c r="CV610" s="70">
        <v>12.0840797424316</v>
      </c>
      <c r="CW610" s="70">
        <v>15.3107404708862</v>
      </c>
      <c r="CX610" s="4"/>
      <c r="CY610" s="69"/>
      <c r="CZ610" s="2" t="b">
        <f>IF($DP$1="YES",IF(RecData[[#This Row],[Power (kW)]]&gt;=$CR$3, TRUE,FALSE),TRUE)</f>
        <v>1</v>
      </c>
      <c r="DA610" s="16">
        <f>MIN(MOD(180-ABS(ABS($DA$1-RecData[Yaw Angle (°)])-180),360),MOD(180-ABS(ABS($DB$1-RecData[Yaw Angle (°)])-180),360))</f>
        <v>22.470330714377837</v>
      </c>
      <c r="DB610" s="2" t="str">
        <f>IF($DP$2="None","None",IF(RecData[[#This Row],[Relative Wind Direction]]&lt;=45,"DW",IF(RecData[[#This Row],[Relative Wind Direction]]&lt;=135,"CW","UW")))</f>
        <v>DW</v>
      </c>
      <c r="DC610" s="61">
        <f>IF($CL610-$CL606&gt;1/24,#REF!,IF(SUM($CQ606:$CQ610)&gt;$DS$1,$DS$5,DC611-1))</f>
        <v>-3</v>
      </c>
      <c r="DD610" s="61">
        <f>IF($CL611-$CL610&gt;1/24,#REF!,IF(SUM($CQ606:$CQ610)&gt;$DS$1,$DS$6,DD609-1))</f>
        <v>-8</v>
      </c>
      <c r="DE610" s="18" t="b">
        <v>0</v>
      </c>
      <c r="DF610" s="2" t="b">
        <f>IF(OR(RecData[[#This Row],[WSpd_Avg '[m/s']]]-RecData[[#This Row],[Wind Speed min]]&gt;=$DF$3,RecData[[#This Row],[Wind Speed max]]-RecData[[#This Row],[WSpd_Avg '[m/s']]]&gt;=$DF$2),TRUE,FALSE)</f>
        <v>0</v>
      </c>
      <c r="DG610" s="2" t="b">
        <f>RecData[[#This Row],[Temperature '[°C']]]&lt;=-20</f>
        <v>0</v>
      </c>
      <c r="DH610" s="18" t="b">
        <f>NOT(OR(MOD(RecData[[#This Row],[TIMESTAMP]],1)&gt;0.91632,MOD(RecData[[#This Row],[TIMESTAMP]],1)&lt;0.208681))</f>
        <v>0</v>
      </c>
      <c r="DI610" s="18" t="b">
        <f>RecData[[#This Row],[Overall (dBA)]]-RecData[[#This Row],[L90]]&gt;=$DS$4</f>
        <v>0</v>
      </c>
      <c r="DJ610" s="18" t="b">
        <f>RecData[[#This Row],[Overall (dBA)]]&gt;$DS$2</f>
        <v>0</v>
      </c>
      <c r="DK610" s="18" t="b">
        <f>RecData[[#This Row],[Overall (dBA)]]&lt;$DS$3</f>
        <v>0</v>
      </c>
      <c r="DL6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0" s="2">
        <f>IF(AND(RecData[[#This Row],[Turbines ON/OFF]] = "OFF", NOT(OR(RecData[[#This Row],[Junk?]]="YES",RecData[[#This Row],[Gust?]],RecData[[#This Row],[Rain?]:[Min SPL Threshold?]]))),1,0)</f>
        <v>0</v>
      </c>
      <c r="DN610" s="16">
        <f>RecData[[#This Row],[dBA Sum]]</f>
        <v>40.815570568040336</v>
      </c>
      <c r="DO610" s="16">
        <f>RecData[[#This Row],[LAF90.0]]</f>
        <v>40</v>
      </c>
      <c r="DP610" s="55">
        <f>IF(AND(RecData[[#This Row],[Useable TON Data?]],RecData[[#This Row],[Turbines ON/OFF]]="ON"),RecData[[#This Row],[dBA Sum]],"")</f>
        <v>40.815570568040336</v>
      </c>
      <c r="DQ610" s="55" t="str">
        <f>IF(AND(RecData[[#This Row],[Useable Background Data?]],RecData[[#This Row],[Turbines ON/OFF]]="OFF"),RecData[[#This Row],[dBA Sum]],"")</f>
        <v/>
      </c>
      <c r="DR610" s="3">
        <f>IF(OR(RecData[[#This Row],[Useable TON Data?]],RecData[[#This Row],[Useable Background Data?]]),ROUND(RecData[[#This Row],[WSpd_Avg '[m/s']]],0),"")</f>
        <v>1</v>
      </c>
      <c r="DS610" s="85">
        <f>(0.00002)^2*(10^(RecData[[#This Row],[Overall (dBA)]]/10))</f>
        <v>4.8263303854781368E-6</v>
      </c>
    </row>
    <row r="611" spans="1:123" ht="15" x14ac:dyDescent="0.25">
      <c r="A611" s="3" t="s">
        <v>249</v>
      </c>
      <c r="B611" s="12">
        <v>43270.140277777777</v>
      </c>
      <c r="C611" s="3"/>
      <c r="D611" s="3">
        <v>41</v>
      </c>
      <c r="E611" s="3"/>
      <c r="F611" s="3"/>
      <c r="G611" s="3"/>
      <c r="H611" s="3"/>
      <c r="I611" s="3"/>
      <c r="J611" s="3"/>
      <c r="K611" s="3">
        <v>39.9</v>
      </c>
      <c r="L611" s="3"/>
      <c r="M611" s="3"/>
      <c r="N611" s="3">
        <v>192</v>
      </c>
      <c r="O611" s="3"/>
      <c r="P611" s="3"/>
      <c r="Q611" s="3">
        <v>0.81</v>
      </c>
      <c r="R611" s="3">
        <v>0.4</v>
      </c>
      <c r="S611" s="3">
        <v>1.3</v>
      </c>
      <c r="T611" s="3">
        <v>12.7</v>
      </c>
      <c r="U611" s="3">
        <v>78.599999999999994</v>
      </c>
      <c r="V611" s="3">
        <v>973.1</v>
      </c>
      <c r="W611" s="3">
        <v>0</v>
      </c>
      <c r="X611" s="3">
        <v>49</v>
      </c>
      <c r="Y611" s="3">
        <v>47.6</v>
      </c>
      <c r="Z611" s="3">
        <v>46.3</v>
      </c>
      <c r="AA611" s="3">
        <v>42.8</v>
      </c>
      <c r="AB611" s="3">
        <v>37.9</v>
      </c>
      <c r="AC611" s="3">
        <v>37.799999999999997</v>
      </c>
      <c r="AD611" s="3">
        <v>41</v>
      </c>
      <c r="AE611" s="3">
        <v>42.2</v>
      </c>
      <c r="AF611" s="3">
        <v>45.9</v>
      </c>
      <c r="AG611" s="3">
        <v>39.799999999999997</v>
      </c>
      <c r="AH611" s="3">
        <v>38</v>
      </c>
      <c r="AI611" s="3">
        <v>38</v>
      </c>
      <c r="AJ611" s="3">
        <v>36.9</v>
      </c>
      <c r="AK611" s="3">
        <v>35.5</v>
      </c>
      <c r="AL611" s="3">
        <v>33.9</v>
      </c>
      <c r="AM611" s="3">
        <v>34.299999999999997</v>
      </c>
      <c r="AN611" s="3">
        <v>32.9</v>
      </c>
      <c r="AO611" s="3">
        <v>30.1</v>
      </c>
      <c r="AP611" s="3">
        <v>27.8</v>
      </c>
      <c r="AQ611" s="3">
        <v>25.4</v>
      </c>
      <c r="AR611" s="3">
        <v>21.6</v>
      </c>
      <c r="AS611" s="3">
        <v>17.399999999999999</v>
      </c>
      <c r="AT611" s="3">
        <v>22.1</v>
      </c>
      <c r="AU611" s="3">
        <v>9.8000000000000007</v>
      </c>
      <c r="AV611" s="3">
        <v>9.1999999999999993</v>
      </c>
      <c r="AW611" s="3">
        <v>9.4</v>
      </c>
      <c r="AX611" s="3">
        <v>9.3000000000000007</v>
      </c>
      <c r="AY611" s="3">
        <v>9.4</v>
      </c>
      <c r="AZ611" s="3">
        <v>0</v>
      </c>
      <c r="BA611" s="3">
        <v>0</v>
      </c>
      <c r="BB611" s="3">
        <v>0</v>
      </c>
      <c r="BC611" s="3">
        <v>40.965321946347174</v>
      </c>
      <c r="BD611" s="3">
        <v>49.034678053652826</v>
      </c>
      <c r="BE611" s="3">
        <v>47.63467805365282</v>
      </c>
      <c r="BF611" s="3">
        <v>45.094678053652828</v>
      </c>
      <c r="BG611" s="3">
        <v>41.921344720319482</v>
      </c>
      <c r="BH611" s="3">
        <v>37.161344720319491</v>
      </c>
      <c r="BI611" s="3">
        <v>37.474678053652823</v>
      </c>
      <c r="BJ611" s="3">
        <v>41.468011386986163</v>
      </c>
      <c r="BK611" s="3">
        <v>42.541344720319486</v>
      </c>
      <c r="BL611" s="3">
        <v>45.814678053652827</v>
      </c>
      <c r="BM611" s="3">
        <v>39.848011386986158</v>
      </c>
      <c r="BN611" s="3">
        <v>38.331344720319493</v>
      </c>
      <c r="BO611" s="3">
        <v>37.698011386986153</v>
      </c>
      <c r="BP611" s="3">
        <v>36.314678053652827</v>
      </c>
      <c r="BQ611" s="3">
        <v>35.331344720319478</v>
      </c>
      <c r="BR611" s="3">
        <v>34.058011386986166</v>
      </c>
      <c r="BS611" s="3">
        <v>34.261344720319485</v>
      </c>
      <c r="BT611" s="3">
        <v>33.058011386986166</v>
      </c>
      <c r="BU611" s="3">
        <v>30.224678053652823</v>
      </c>
      <c r="BV611" s="3">
        <v>27.641344720319495</v>
      </c>
      <c r="BW611" s="3">
        <v>25.774678053652835</v>
      </c>
      <c r="BX611" s="3">
        <v>21.894678053652832</v>
      </c>
      <c r="BY611" s="3">
        <v>17.514678053652823</v>
      </c>
      <c r="BZ611" s="3">
        <v>22.344678053652828</v>
      </c>
      <c r="CA611" s="3">
        <v>10.144678053652818</v>
      </c>
      <c r="CB611" s="3">
        <v>8.9813447203194912</v>
      </c>
      <c r="CC611" s="3">
        <v>9.3946780536528252</v>
      </c>
      <c r="CD611" s="3">
        <v>8.6013447203194957</v>
      </c>
      <c r="CE611" s="3">
        <v>8.8946780536528252</v>
      </c>
      <c r="CF611" s="3">
        <v>-0.89198861301384369</v>
      </c>
      <c r="CG611" s="3">
        <v>-1.4253219463471751</v>
      </c>
      <c r="CH611" s="3">
        <v>-2.5019886130138431</v>
      </c>
      <c r="CI611" s="13">
        <f>[1]!dbasum(RecData[[#This Row],[20]:[2000]],RecData[[#Headers],[20]:[2000]])</f>
        <v>40.834477343419138</v>
      </c>
      <c r="CJ611" s="14">
        <v>8379</v>
      </c>
      <c r="CK611" s="15" t="s">
        <v>249</v>
      </c>
      <c r="CL611" s="15">
        <f>RecData[[#This Row],[Start Time]]</f>
        <v>43270.140277777777</v>
      </c>
      <c r="CM611" s="16">
        <f>RecData[[#This Row],[Wind Speed avg]]</f>
        <v>0.81</v>
      </c>
      <c r="CN611" s="16">
        <f>RecData[[#This Row],[Wind Dir. avg]]</f>
        <v>192</v>
      </c>
      <c r="CO611" s="16">
        <f>RecData[[#This Row],[Amb. Humidity]]</f>
        <v>78.599999999999994</v>
      </c>
      <c r="CP611" s="16">
        <f>RecData[[#This Row],[Amb. Temperature]]</f>
        <v>12.7</v>
      </c>
      <c r="CQ611" s="17">
        <f>RecData[[#This Row],[Amb. Rain Gauge]]</f>
        <v>0</v>
      </c>
      <c r="CR611" s="4" t="s">
        <v>1</v>
      </c>
      <c r="CS611" s="4" t="s">
        <v>49</v>
      </c>
      <c r="CT611" s="70">
        <v>1619.19299316406</v>
      </c>
      <c r="CU611" s="70">
        <v>30.000257492065401</v>
      </c>
      <c r="CV611" s="70">
        <v>12.0840797424316</v>
      </c>
      <c r="CW611" s="70">
        <v>15.3107404708862</v>
      </c>
      <c r="CX611" s="4"/>
      <c r="CY611" s="69"/>
      <c r="CZ611" s="2" t="b">
        <f>IF($DP$1="YES",IF(RecData[[#This Row],[Power (kW)]]&gt;=$CR$3, TRUE,FALSE),TRUE)</f>
        <v>1</v>
      </c>
      <c r="DA611" s="16">
        <f>MIN(MOD(180-ABS(ABS($DA$1-RecData[Yaw Angle (°)])-180),360),MOD(180-ABS(ABS($DB$1-RecData[Yaw Angle (°)])-180),360))</f>
        <v>22.470330714377837</v>
      </c>
      <c r="DB611" s="2" t="str">
        <f>IF($DP$2="None","None",IF(RecData[[#This Row],[Relative Wind Direction]]&lt;=45,"DW",IF(RecData[[#This Row],[Relative Wind Direction]]&lt;=135,"CW","UW")))</f>
        <v>DW</v>
      </c>
      <c r="DC611" s="61">
        <f>IF($CL611-$CL607&gt;1/24,#REF!,IF(SUM($CQ607:$CQ611)&gt;$DS$1,$DS$5,DC612-1))</f>
        <v>-2</v>
      </c>
      <c r="DD611" s="61">
        <f>IF($CL612-$CL611&gt;1/24,#REF!,IF(SUM($CQ607:$CQ611)&gt;$DS$1,$DS$6,DD610-1))</f>
        <v>-9</v>
      </c>
      <c r="DE611" s="18" t="b">
        <v>0</v>
      </c>
      <c r="DF611" s="2" t="b">
        <f>IF(OR(RecData[[#This Row],[WSpd_Avg '[m/s']]]-RecData[[#This Row],[Wind Speed min]]&gt;=$DF$3,RecData[[#This Row],[Wind Speed max]]-RecData[[#This Row],[WSpd_Avg '[m/s']]]&gt;=$DF$2),TRUE,FALSE)</f>
        <v>0</v>
      </c>
      <c r="DG611" s="2" t="b">
        <f>RecData[[#This Row],[Temperature '[°C']]]&lt;=-20</f>
        <v>0</v>
      </c>
      <c r="DH611" s="18" t="b">
        <f>NOT(OR(MOD(RecData[[#This Row],[TIMESTAMP]],1)&gt;0.91632,MOD(RecData[[#This Row],[TIMESTAMP]],1)&lt;0.208681))</f>
        <v>0</v>
      </c>
      <c r="DI611" s="18" t="b">
        <f>RecData[[#This Row],[Overall (dBA)]]-RecData[[#This Row],[L90]]&gt;=$DS$4</f>
        <v>0</v>
      </c>
      <c r="DJ611" s="18" t="b">
        <f>RecData[[#This Row],[Overall (dBA)]]&gt;$DS$2</f>
        <v>0</v>
      </c>
      <c r="DK611" s="18" t="b">
        <f>RecData[[#This Row],[Overall (dBA)]]&lt;$DS$3</f>
        <v>0</v>
      </c>
      <c r="DL6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1" s="2">
        <f>IF(AND(RecData[[#This Row],[Turbines ON/OFF]] = "OFF", NOT(OR(RecData[[#This Row],[Junk?]]="YES",RecData[[#This Row],[Gust?]],RecData[[#This Row],[Rain?]:[Min SPL Threshold?]]))),1,0)</f>
        <v>0</v>
      </c>
      <c r="DN611" s="16">
        <f>RecData[[#This Row],[dBA Sum]]</f>
        <v>40.834477343419138</v>
      </c>
      <c r="DO611" s="16">
        <f>RecData[[#This Row],[LAF90.0]]</f>
        <v>39.9</v>
      </c>
      <c r="DP611" s="55">
        <f>IF(AND(RecData[[#This Row],[Useable TON Data?]],RecData[[#This Row],[Turbines ON/OFF]]="ON"),RecData[[#This Row],[dBA Sum]],"")</f>
        <v>40.834477343419138</v>
      </c>
      <c r="DQ611" s="55" t="str">
        <f>IF(AND(RecData[[#This Row],[Useable Background Data?]],RecData[[#This Row],[Turbines ON/OFF]]="OFF"),RecData[[#This Row],[dBA Sum]],"")</f>
        <v/>
      </c>
      <c r="DR611" s="3">
        <f>IF(OR(RecData[[#This Row],[Useable TON Data?]],RecData[[#This Row],[Useable Background Data?]]),ROUND(RecData[[#This Row],[WSpd_Avg '[m/s']]],0),"")</f>
        <v>1</v>
      </c>
      <c r="DS611" s="85">
        <f>(0.00002)^2*(10^(RecData[[#This Row],[Overall (dBA)]]/10))</f>
        <v>4.8473873557099444E-6</v>
      </c>
    </row>
    <row r="612" spans="1:123" ht="15" x14ac:dyDescent="0.25">
      <c r="A612" s="3" t="s">
        <v>249</v>
      </c>
      <c r="B612" s="12">
        <v>43270.140972222223</v>
      </c>
      <c r="C612" s="3"/>
      <c r="D612" s="3">
        <v>40.4</v>
      </c>
      <c r="E612" s="3"/>
      <c r="F612" s="3"/>
      <c r="G612" s="3"/>
      <c r="H612" s="3"/>
      <c r="I612" s="3"/>
      <c r="J612" s="3"/>
      <c r="K612" s="3">
        <v>39</v>
      </c>
      <c r="L612" s="3"/>
      <c r="M612" s="3"/>
      <c r="N612" s="3">
        <v>186.6</v>
      </c>
      <c r="O612" s="3"/>
      <c r="P612" s="3"/>
      <c r="Q612" s="3">
        <v>0.56000000000000005</v>
      </c>
      <c r="R612" s="3">
        <v>0.1</v>
      </c>
      <c r="S612" s="3">
        <v>1</v>
      </c>
      <c r="T612" s="3">
        <v>12.7</v>
      </c>
      <c r="U612" s="3">
        <v>78.400000000000006</v>
      </c>
      <c r="V612" s="3">
        <v>973.1</v>
      </c>
      <c r="W612" s="3">
        <v>0</v>
      </c>
      <c r="X612" s="3">
        <v>49.1</v>
      </c>
      <c r="Y612" s="3">
        <v>48.2</v>
      </c>
      <c r="Z612" s="3">
        <v>47</v>
      </c>
      <c r="AA612" s="3">
        <v>42.5</v>
      </c>
      <c r="AB612" s="3">
        <v>37.799999999999997</v>
      </c>
      <c r="AC612" s="3">
        <v>36.700000000000003</v>
      </c>
      <c r="AD612" s="3">
        <v>40.5</v>
      </c>
      <c r="AE612" s="3">
        <v>41.7</v>
      </c>
      <c r="AF612" s="3">
        <v>44.7</v>
      </c>
      <c r="AG612" s="3">
        <v>38.200000000000003</v>
      </c>
      <c r="AH612" s="3">
        <v>37.700000000000003</v>
      </c>
      <c r="AI612" s="3">
        <v>36.9</v>
      </c>
      <c r="AJ612" s="3">
        <v>36.4</v>
      </c>
      <c r="AK612" s="3">
        <v>34.799999999999997</v>
      </c>
      <c r="AL612" s="3">
        <v>33.1</v>
      </c>
      <c r="AM612" s="3">
        <v>33.799999999999997</v>
      </c>
      <c r="AN612" s="3">
        <v>32.5</v>
      </c>
      <c r="AO612" s="3">
        <v>29.6</v>
      </c>
      <c r="AP612" s="3">
        <v>27.5</v>
      </c>
      <c r="AQ612" s="3">
        <v>24.8</v>
      </c>
      <c r="AR612" s="3">
        <v>21</v>
      </c>
      <c r="AS612" s="3">
        <v>17.399999999999999</v>
      </c>
      <c r="AT612" s="3">
        <v>23.7</v>
      </c>
      <c r="AU612" s="3">
        <v>9.6</v>
      </c>
      <c r="AV612" s="3">
        <v>8.8000000000000007</v>
      </c>
      <c r="AW612" s="3">
        <v>9.1</v>
      </c>
      <c r="AX612" s="3">
        <v>9.1999999999999993</v>
      </c>
      <c r="AY612" s="3">
        <v>9.4</v>
      </c>
      <c r="AZ612" s="3">
        <v>0</v>
      </c>
      <c r="BA612" s="3">
        <v>0</v>
      </c>
      <c r="BB612" s="3">
        <v>0</v>
      </c>
      <c r="BC612" s="3">
        <v>40.375686282224379</v>
      </c>
      <c r="BD612" s="3">
        <v>49.124313717775621</v>
      </c>
      <c r="BE612" s="3">
        <v>48.224313717775615</v>
      </c>
      <c r="BF612" s="3">
        <v>45.784313717775618</v>
      </c>
      <c r="BG612" s="3">
        <v>41.610980384442286</v>
      </c>
      <c r="BH612" s="3">
        <v>37.050980384442283</v>
      </c>
      <c r="BI612" s="3">
        <v>36.36431371777563</v>
      </c>
      <c r="BJ612" s="3">
        <v>40.95764705110895</v>
      </c>
      <c r="BK612" s="3">
        <v>42.030980384442287</v>
      </c>
      <c r="BL612" s="3">
        <v>44.604313717775625</v>
      </c>
      <c r="BM612" s="3">
        <v>38.237647051108965</v>
      </c>
      <c r="BN612" s="3">
        <v>38.020980384442296</v>
      </c>
      <c r="BO612" s="3">
        <v>36.587647051108959</v>
      </c>
      <c r="BP612" s="3">
        <v>35.804313717775628</v>
      </c>
      <c r="BQ612" s="3">
        <v>34.620980384442277</v>
      </c>
      <c r="BR612" s="3">
        <v>33.247647051108956</v>
      </c>
      <c r="BS612" s="3">
        <v>33.750980384442286</v>
      </c>
      <c r="BT612" s="3">
        <v>32.647647051108962</v>
      </c>
      <c r="BU612" s="3">
        <v>29.714313717775624</v>
      </c>
      <c r="BV612" s="3">
        <v>27.330980384442285</v>
      </c>
      <c r="BW612" s="3">
        <v>25.164313717775627</v>
      </c>
      <c r="BX612" s="3">
        <v>21.284313717775625</v>
      </c>
      <c r="BY612" s="3">
        <v>17.504313717775617</v>
      </c>
      <c r="BZ612" s="3">
        <v>23.934313717775623</v>
      </c>
      <c r="CA612" s="3">
        <v>9.9343137177756091</v>
      </c>
      <c r="CB612" s="3">
        <v>8.5709803844422865</v>
      </c>
      <c r="CC612" s="3">
        <v>9.0843137177756148</v>
      </c>
      <c r="CD612" s="3">
        <v>8.4909803844422882</v>
      </c>
      <c r="CE612" s="3">
        <v>8.8843137177756191</v>
      </c>
      <c r="CF612" s="3">
        <v>-0.90235294889104978</v>
      </c>
      <c r="CG612" s="3">
        <v>-1.4356862822243812</v>
      </c>
      <c r="CH612" s="3">
        <v>-2.5123529488910492</v>
      </c>
      <c r="CI612" s="13">
        <f>[1]!dbasum(RecData[[#This Row],[20]:[2000]],RecData[[#Headers],[20]:[2000]])</f>
        <v>40.181709692397895</v>
      </c>
      <c r="CJ612" s="14">
        <v>8380</v>
      </c>
      <c r="CK612" s="15" t="s">
        <v>249</v>
      </c>
      <c r="CL612" s="15">
        <f>RecData[[#This Row],[Start Time]]</f>
        <v>43270.140972222223</v>
      </c>
      <c r="CM612" s="16">
        <f>RecData[[#This Row],[Wind Speed avg]]</f>
        <v>0.56000000000000005</v>
      </c>
      <c r="CN612" s="16">
        <f>RecData[[#This Row],[Wind Dir. avg]]</f>
        <v>186.6</v>
      </c>
      <c r="CO612" s="16">
        <f>RecData[[#This Row],[Amb. Humidity]]</f>
        <v>78.400000000000006</v>
      </c>
      <c r="CP612" s="16">
        <f>RecData[[#This Row],[Amb. Temperature]]</f>
        <v>12.7</v>
      </c>
      <c r="CQ612" s="17">
        <f>RecData[[#This Row],[Amb. Rain Gauge]]</f>
        <v>0</v>
      </c>
      <c r="CR612" s="4" t="s">
        <v>1</v>
      </c>
      <c r="CS612" s="4" t="s">
        <v>49</v>
      </c>
      <c r="CT612" s="70">
        <v>1619.19299316406</v>
      </c>
      <c r="CU612" s="70">
        <v>30.000257492065401</v>
      </c>
      <c r="CV612" s="70">
        <v>12.0840797424316</v>
      </c>
      <c r="CW612" s="70">
        <v>15.3107404708862</v>
      </c>
      <c r="CX612" s="4"/>
      <c r="CY612" s="69"/>
      <c r="CZ612" s="2" t="b">
        <f>IF($DP$1="YES",IF(RecData[[#This Row],[Power (kW)]]&gt;=$CR$3, TRUE,FALSE),TRUE)</f>
        <v>1</v>
      </c>
      <c r="DA612" s="16">
        <f>MIN(MOD(180-ABS(ABS($DA$1-RecData[Yaw Angle (°)])-180),360),MOD(180-ABS(ABS($DB$1-RecData[Yaw Angle (°)])-180),360))</f>
        <v>22.470330714377837</v>
      </c>
      <c r="DB612" s="2" t="str">
        <f>IF($DP$2="None","None",IF(RecData[[#This Row],[Relative Wind Direction]]&lt;=45,"DW",IF(RecData[[#This Row],[Relative Wind Direction]]&lt;=135,"CW","UW")))</f>
        <v>DW</v>
      </c>
      <c r="DC612" s="61">
        <v>-1</v>
      </c>
      <c r="DD612" s="61">
        <v>-1</v>
      </c>
      <c r="DE612" s="18" t="b">
        <v>0</v>
      </c>
      <c r="DF612" s="2" t="b">
        <f>IF(OR(RecData[[#This Row],[WSpd_Avg '[m/s']]]-RecData[[#This Row],[Wind Speed min]]&gt;=$DF$3,RecData[[#This Row],[Wind Speed max]]-RecData[[#This Row],[WSpd_Avg '[m/s']]]&gt;=$DF$2),TRUE,FALSE)</f>
        <v>0</v>
      </c>
      <c r="DG612" s="2" t="b">
        <f>RecData[[#This Row],[Temperature '[°C']]]&lt;=-20</f>
        <v>0</v>
      </c>
      <c r="DH612" s="18" t="b">
        <f>NOT(OR(MOD(RecData[[#This Row],[TIMESTAMP]],1)&gt;0.91632,MOD(RecData[[#This Row],[TIMESTAMP]],1)&lt;0.208681))</f>
        <v>0</v>
      </c>
      <c r="DI612" s="18" t="b">
        <f>RecData[[#This Row],[Overall (dBA)]]-RecData[[#This Row],[L90]]&gt;=$DS$4</f>
        <v>0</v>
      </c>
      <c r="DJ612" s="18" t="b">
        <f>RecData[[#This Row],[Overall (dBA)]]&gt;$DS$2</f>
        <v>0</v>
      </c>
      <c r="DK612" s="18" t="b">
        <f>RecData[[#This Row],[Overall (dBA)]]&lt;$DS$3</f>
        <v>0</v>
      </c>
      <c r="DL6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2" s="2">
        <f>IF(AND(RecData[[#This Row],[Turbines ON/OFF]] = "OFF", NOT(OR(RecData[[#This Row],[Junk?]]="YES",RecData[[#This Row],[Gust?]],RecData[[#This Row],[Rain?]:[Min SPL Threshold?]]))),1,0)</f>
        <v>0</v>
      </c>
      <c r="DN612" s="16">
        <f>RecData[[#This Row],[dBA Sum]]</f>
        <v>40.181709692397895</v>
      </c>
      <c r="DO612" s="16">
        <f>RecData[[#This Row],[LAF90.0]]</f>
        <v>39</v>
      </c>
      <c r="DP612" s="55">
        <f>IF(AND(RecData[[#This Row],[Useable TON Data?]],RecData[[#This Row],[Turbines ON/OFF]]="ON"),RecData[[#This Row],[dBA Sum]],"")</f>
        <v>40.181709692397895</v>
      </c>
      <c r="DQ612" s="55" t="str">
        <f>IF(AND(RecData[[#This Row],[Useable Background Data?]],RecData[[#This Row],[Turbines ON/OFF]]="OFF"),RecData[[#This Row],[dBA Sum]],"")</f>
        <v/>
      </c>
      <c r="DR612" s="3">
        <f>IF(OR(RecData[[#This Row],[Useable TON Data?]],RecData[[#This Row],[Useable Background Data?]]),ROUND(RecData[[#This Row],[WSpd_Avg '[m/s']]],0),"")</f>
        <v>1</v>
      </c>
      <c r="DS612" s="85">
        <f>(0.00002)^2*(10^(RecData[[#This Row],[Overall (dBA)]]/10))</f>
        <v>4.170911362194453E-6</v>
      </c>
    </row>
    <row r="613" spans="1:123" ht="15" x14ac:dyDescent="0.25">
      <c r="A613" s="3" t="s">
        <v>249</v>
      </c>
      <c r="B613" s="12">
        <v>43270.14166666667</v>
      </c>
      <c r="C613" s="3"/>
      <c r="D613" s="3">
        <v>40.5</v>
      </c>
      <c r="E613" s="3"/>
      <c r="F613" s="3"/>
      <c r="G613" s="3"/>
      <c r="H613" s="3"/>
      <c r="I613" s="3"/>
      <c r="J613" s="3"/>
      <c r="K613" s="3">
        <v>39.1</v>
      </c>
      <c r="L613" s="3"/>
      <c r="M613" s="3"/>
      <c r="N613" s="3">
        <v>185.5</v>
      </c>
      <c r="O613" s="3"/>
      <c r="P613" s="3"/>
      <c r="Q613" s="3">
        <v>0.85</v>
      </c>
      <c r="R613" s="3">
        <v>0.3</v>
      </c>
      <c r="S613" s="3">
        <v>1.3</v>
      </c>
      <c r="T613" s="3">
        <v>12.7</v>
      </c>
      <c r="U613" s="3">
        <v>78.2</v>
      </c>
      <c r="V613" s="3">
        <v>973.1</v>
      </c>
      <c r="W613" s="3">
        <v>0</v>
      </c>
      <c r="X613" s="3">
        <v>48.8</v>
      </c>
      <c r="Y613" s="3">
        <v>48.2</v>
      </c>
      <c r="Z613" s="3">
        <v>46.6</v>
      </c>
      <c r="AA613" s="3">
        <v>42.7</v>
      </c>
      <c r="AB613" s="3">
        <v>38.1</v>
      </c>
      <c r="AC613" s="3">
        <v>37.6</v>
      </c>
      <c r="AD613" s="3">
        <v>41</v>
      </c>
      <c r="AE613" s="3">
        <v>42.3</v>
      </c>
      <c r="AF613" s="3">
        <v>45.6</v>
      </c>
      <c r="AG613" s="3">
        <v>39</v>
      </c>
      <c r="AH613" s="3">
        <v>37.799999999999997</v>
      </c>
      <c r="AI613" s="3">
        <v>37</v>
      </c>
      <c r="AJ613" s="3">
        <v>36.6</v>
      </c>
      <c r="AK613" s="3">
        <v>34.9</v>
      </c>
      <c r="AL613" s="3">
        <v>33.4</v>
      </c>
      <c r="AM613" s="3">
        <v>33.700000000000003</v>
      </c>
      <c r="AN613" s="3">
        <v>32.5</v>
      </c>
      <c r="AO613" s="3">
        <v>29.7</v>
      </c>
      <c r="AP613" s="3">
        <v>27.3</v>
      </c>
      <c r="AQ613" s="3">
        <v>25.1</v>
      </c>
      <c r="AR613" s="3">
        <v>21.1</v>
      </c>
      <c r="AS613" s="3">
        <v>17.100000000000001</v>
      </c>
      <c r="AT613" s="3">
        <v>21</v>
      </c>
      <c r="AU613" s="3">
        <v>9.1999999999999993</v>
      </c>
      <c r="AV613" s="3">
        <v>8.8000000000000007</v>
      </c>
      <c r="AW613" s="3">
        <v>9.1</v>
      </c>
      <c r="AX613" s="3">
        <v>9.1999999999999993</v>
      </c>
      <c r="AY613" s="3">
        <v>9.4</v>
      </c>
      <c r="AZ613" s="3">
        <v>0</v>
      </c>
      <c r="BA613" s="3">
        <v>0</v>
      </c>
      <c r="BB613" s="3">
        <v>0</v>
      </c>
      <c r="BC613" s="3">
        <v>40.48065164484025</v>
      </c>
      <c r="BD613" s="3">
        <v>48.819348355159747</v>
      </c>
      <c r="BE613" s="3">
        <v>48.219348355159752</v>
      </c>
      <c r="BF613" s="3">
        <v>45.379348355159749</v>
      </c>
      <c r="BG613" s="3">
        <v>41.806015021826411</v>
      </c>
      <c r="BH613" s="3">
        <v>37.346015021826418</v>
      </c>
      <c r="BI613" s="3">
        <v>37.259348355159759</v>
      </c>
      <c r="BJ613" s="3">
        <v>41.452681688493087</v>
      </c>
      <c r="BK613" s="3">
        <v>42.626015021826404</v>
      </c>
      <c r="BL613" s="3">
        <v>45.499348355159754</v>
      </c>
      <c r="BM613" s="3">
        <v>39.032681688493085</v>
      </c>
      <c r="BN613" s="3">
        <v>38.116015021826414</v>
      </c>
      <c r="BO613" s="3">
        <v>36.682681688493076</v>
      </c>
      <c r="BP613" s="3">
        <v>35.999348355159754</v>
      </c>
      <c r="BQ613" s="3">
        <v>34.716015021826408</v>
      </c>
      <c r="BR613" s="3">
        <v>33.54268168849309</v>
      </c>
      <c r="BS613" s="3">
        <v>33.646015021826415</v>
      </c>
      <c r="BT613" s="3">
        <v>32.642681688493084</v>
      </c>
      <c r="BU613" s="3">
        <v>29.809348355159756</v>
      </c>
      <c r="BV613" s="3">
        <v>27.126015021826419</v>
      </c>
      <c r="BW613" s="3">
        <v>25.459348355159747</v>
      </c>
      <c r="BX613" s="3">
        <v>21.379348355159756</v>
      </c>
      <c r="BY613" s="3">
        <v>17.199348355159749</v>
      </c>
      <c r="BZ613" s="3">
        <v>21.229348355159757</v>
      </c>
      <c r="CA613" s="3">
        <v>9.5293483551597404</v>
      </c>
      <c r="CB613" s="3">
        <v>8.5660150218264164</v>
      </c>
      <c r="CC613" s="3">
        <v>9.0793483551597518</v>
      </c>
      <c r="CD613" s="3">
        <v>8.4860150218264181</v>
      </c>
      <c r="CE613" s="3">
        <v>8.879348355159749</v>
      </c>
      <c r="CF613" s="3">
        <v>-0.90731831150691988</v>
      </c>
      <c r="CG613" s="3">
        <v>-1.4406516448402513</v>
      </c>
      <c r="CH613" s="3">
        <v>-2.5173183115069193</v>
      </c>
      <c r="CI613" s="13">
        <f>[1]!dbasum(RecData[[#This Row],[20]:[2000]],RecData[[#Headers],[20]:[2000]])</f>
        <v>40.346504319642229</v>
      </c>
      <c r="CJ613" s="14">
        <v>8381</v>
      </c>
      <c r="CK613" s="15" t="s">
        <v>249</v>
      </c>
      <c r="CL613" s="15">
        <f>RecData[[#This Row],[Start Time]]</f>
        <v>43270.14166666667</v>
      </c>
      <c r="CM613" s="16">
        <f>RecData[[#This Row],[Wind Speed avg]]</f>
        <v>0.85</v>
      </c>
      <c r="CN613" s="16">
        <f>RecData[[#This Row],[Wind Dir. avg]]</f>
        <v>185.5</v>
      </c>
      <c r="CO613" s="16">
        <f>RecData[[#This Row],[Amb. Humidity]]</f>
        <v>78.2</v>
      </c>
      <c r="CP613" s="16">
        <f>RecData[[#This Row],[Amb. Temperature]]</f>
        <v>12.7</v>
      </c>
      <c r="CQ613" s="17">
        <f>RecData[[#This Row],[Amb. Rain Gauge]]</f>
        <v>0</v>
      </c>
      <c r="CR613" s="4" t="s">
        <v>1</v>
      </c>
      <c r="CS613" s="4" t="s">
        <v>49</v>
      </c>
      <c r="CT613" s="70">
        <v>1619.19299316406</v>
      </c>
      <c r="CU613" s="70">
        <v>30.000257492065401</v>
      </c>
      <c r="CV613" s="70">
        <v>12.0840797424316</v>
      </c>
      <c r="CW613" s="70">
        <v>15.3107404708862</v>
      </c>
      <c r="CX613" s="4"/>
      <c r="CY613" s="69"/>
      <c r="CZ613" s="2" t="b">
        <f>IF($DP$1="YES",IF(RecData[[#This Row],[Power (kW)]]&gt;=$CR$3, TRUE,FALSE),TRUE)</f>
        <v>1</v>
      </c>
      <c r="DA613" s="16">
        <f>MIN(MOD(180-ABS(ABS($DA$1-RecData[Yaw Angle (°)])-180),360),MOD(180-ABS(ABS($DB$1-RecData[Yaw Angle (°)])-180),360))</f>
        <v>22.470330714377837</v>
      </c>
      <c r="DB613" s="2" t="str">
        <f>IF($DP$2="None","None",IF(RecData[[#This Row],[Relative Wind Direction]]&lt;=45,"DW",IF(RecData[[#This Row],[Relative Wind Direction]]&lt;=135,"CW","UW")))</f>
        <v>DW</v>
      </c>
      <c r="DC613" s="61">
        <f>IF($CL613-$CL612&gt;1/24,#REF!,IF(SUM($CQ612:$CQ613)&gt;$DS$1,$DS$5,DC614-1))</f>
        <v>-9</v>
      </c>
      <c r="DD613" s="61">
        <f>IF($CL614-$CL613&gt;1/24,#REF!,IF(SUM($CQ612:$CQ613)&gt;$DS$1,$DS$6,DD612-1))</f>
        <v>-2</v>
      </c>
      <c r="DE613" s="18" t="b">
        <v>0</v>
      </c>
      <c r="DF613" s="2" t="b">
        <f>IF(OR(RecData[[#This Row],[WSpd_Avg '[m/s']]]-RecData[[#This Row],[Wind Speed min]]&gt;=$DF$3,RecData[[#This Row],[Wind Speed max]]-RecData[[#This Row],[WSpd_Avg '[m/s']]]&gt;=$DF$2),TRUE,FALSE)</f>
        <v>0</v>
      </c>
      <c r="DG613" s="2" t="b">
        <f>RecData[[#This Row],[Temperature '[°C']]]&lt;=-20</f>
        <v>0</v>
      </c>
      <c r="DH613" s="18" t="b">
        <f>NOT(OR(MOD(RecData[[#This Row],[TIMESTAMP]],1)&gt;0.91632,MOD(RecData[[#This Row],[TIMESTAMP]],1)&lt;0.208681))</f>
        <v>0</v>
      </c>
      <c r="DI613" s="18" t="b">
        <f>RecData[[#This Row],[Overall (dBA)]]-RecData[[#This Row],[L90]]&gt;=$DS$4</f>
        <v>0</v>
      </c>
      <c r="DJ613" s="18" t="b">
        <f>RecData[[#This Row],[Overall (dBA)]]&gt;$DS$2</f>
        <v>0</v>
      </c>
      <c r="DK613" s="18" t="b">
        <f>RecData[[#This Row],[Overall (dBA)]]&lt;$DS$3</f>
        <v>0</v>
      </c>
      <c r="DL6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3" s="2">
        <f>IF(AND(RecData[[#This Row],[Turbines ON/OFF]] = "OFF", NOT(OR(RecData[[#This Row],[Junk?]]="YES",RecData[[#This Row],[Gust?]],RecData[[#This Row],[Rain?]:[Min SPL Threshold?]]))),1,0)</f>
        <v>0</v>
      </c>
      <c r="DN613" s="16">
        <f>RecData[[#This Row],[dBA Sum]]</f>
        <v>40.346504319642229</v>
      </c>
      <c r="DO613" s="16">
        <f>RecData[[#This Row],[LAF90.0]]</f>
        <v>39.1</v>
      </c>
      <c r="DP613" s="55">
        <f>IF(AND(RecData[[#This Row],[Useable TON Data?]],RecData[[#This Row],[Turbines ON/OFF]]="ON"),RecData[[#This Row],[dBA Sum]],"")</f>
        <v>40.346504319642229</v>
      </c>
      <c r="DQ613" s="55" t="str">
        <f>IF(AND(RecData[[#This Row],[Useable Background Data?]],RecData[[#This Row],[Turbines ON/OFF]]="OFF"),RecData[[#This Row],[dBA Sum]],"")</f>
        <v/>
      </c>
      <c r="DR613" s="3">
        <f>IF(OR(RecData[[#This Row],[Useable TON Data?]],RecData[[#This Row],[Useable Background Data?]]),ROUND(RecData[[#This Row],[WSpd_Avg '[m/s']]],0),"")</f>
        <v>1</v>
      </c>
      <c r="DS613" s="85">
        <f>(0.00002)^2*(10^(RecData[[#This Row],[Overall (dBA)]]/10))</f>
        <v>4.3322192051260791E-6</v>
      </c>
    </row>
    <row r="614" spans="1:123" ht="15" x14ac:dyDescent="0.25">
      <c r="A614" s="3" t="s">
        <v>249</v>
      </c>
      <c r="B614" s="12">
        <v>43270.142361111109</v>
      </c>
      <c r="C614" s="3"/>
      <c r="D614" s="3">
        <v>40.700000000000003</v>
      </c>
      <c r="E614" s="3"/>
      <c r="F614" s="3"/>
      <c r="G614" s="3"/>
      <c r="H614" s="3"/>
      <c r="I614" s="3"/>
      <c r="J614" s="3"/>
      <c r="K614" s="3">
        <v>39.799999999999997</v>
      </c>
      <c r="L614" s="3"/>
      <c r="M614" s="3"/>
      <c r="N614" s="3">
        <v>191.7</v>
      </c>
      <c r="O614" s="3"/>
      <c r="P614" s="3"/>
      <c r="Q614" s="3">
        <v>0.75</v>
      </c>
      <c r="R614" s="3">
        <v>0.3</v>
      </c>
      <c r="S614" s="3">
        <v>1.1000000000000001</v>
      </c>
      <c r="T614" s="3">
        <v>12.8</v>
      </c>
      <c r="U614" s="3">
        <v>77.900000000000006</v>
      </c>
      <c r="V614" s="3">
        <v>973.1</v>
      </c>
      <c r="W614" s="3">
        <v>0</v>
      </c>
      <c r="X614" s="3">
        <v>49.4</v>
      </c>
      <c r="Y614" s="3">
        <v>48.2</v>
      </c>
      <c r="Z614" s="3">
        <v>46.9</v>
      </c>
      <c r="AA614" s="3">
        <v>43</v>
      </c>
      <c r="AB614" s="3">
        <v>37.5</v>
      </c>
      <c r="AC614" s="3">
        <v>37.4</v>
      </c>
      <c r="AD614" s="3">
        <v>40.5</v>
      </c>
      <c r="AE614" s="3">
        <v>41.7</v>
      </c>
      <c r="AF614" s="3">
        <v>46.5</v>
      </c>
      <c r="AG614" s="3">
        <v>39.9</v>
      </c>
      <c r="AH614" s="3">
        <v>37.6</v>
      </c>
      <c r="AI614" s="3">
        <v>37.4</v>
      </c>
      <c r="AJ614" s="3">
        <v>36.5</v>
      </c>
      <c r="AK614" s="3">
        <v>34.9</v>
      </c>
      <c r="AL614" s="3">
        <v>33.4</v>
      </c>
      <c r="AM614" s="3">
        <v>33.799999999999997</v>
      </c>
      <c r="AN614" s="3">
        <v>32.799999999999997</v>
      </c>
      <c r="AO614" s="3">
        <v>29.7</v>
      </c>
      <c r="AP614" s="3">
        <v>27.5</v>
      </c>
      <c r="AQ614" s="3">
        <v>25.1</v>
      </c>
      <c r="AR614" s="3">
        <v>21.2</v>
      </c>
      <c r="AS614" s="3">
        <v>17.2</v>
      </c>
      <c r="AT614" s="3">
        <v>24.4</v>
      </c>
      <c r="AU614" s="3">
        <v>9.5</v>
      </c>
      <c r="AV614" s="3">
        <v>8.6999999999999993</v>
      </c>
      <c r="AW614" s="3">
        <v>9</v>
      </c>
      <c r="AX614" s="3">
        <v>9.1</v>
      </c>
      <c r="AY614" s="3">
        <v>9.4</v>
      </c>
      <c r="AZ614" s="3">
        <v>0</v>
      </c>
      <c r="BA614" s="3">
        <v>0</v>
      </c>
      <c r="BB614" s="3">
        <v>0</v>
      </c>
      <c r="BC614" s="3">
        <v>40.72473005315571</v>
      </c>
      <c r="BD614" s="3">
        <v>49.375269946844284</v>
      </c>
      <c r="BE614" s="3">
        <v>48.175269946844296</v>
      </c>
      <c r="BF614" s="3">
        <v>45.635269946844289</v>
      </c>
      <c r="BG614" s="3">
        <v>42.061936613510952</v>
      </c>
      <c r="BH614" s="3">
        <v>36.701936613510966</v>
      </c>
      <c r="BI614" s="3">
        <v>37.015269946844299</v>
      </c>
      <c r="BJ614" s="3">
        <v>40.908603280177616</v>
      </c>
      <c r="BK614" s="3">
        <v>41.981936613510968</v>
      </c>
      <c r="BL614" s="3">
        <v>46.355269946844302</v>
      </c>
      <c r="BM614" s="3">
        <v>39.888603280177634</v>
      </c>
      <c r="BN614" s="3">
        <v>37.871936613510954</v>
      </c>
      <c r="BO614" s="3">
        <v>37.038603280177625</v>
      </c>
      <c r="BP614" s="3">
        <v>35.855269946844302</v>
      </c>
      <c r="BQ614" s="3">
        <v>34.671936613510951</v>
      </c>
      <c r="BR614" s="3">
        <v>33.498603280177619</v>
      </c>
      <c r="BS614" s="3">
        <v>33.701936613510966</v>
      </c>
      <c r="BT614" s="3">
        <v>32.898603280177625</v>
      </c>
      <c r="BU614" s="3">
        <v>29.765269946844299</v>
      </c>
      <c r="BV614" s="3">
        <v>27.281936613510965</v>
      </c>
      <c r="BW614" s="3">
        <v>25.415269946844305</v>
      </c>
      <c r="BX614" s="3">
        <v>21.435269946844301</v>
      </c>
      <c r="BY614" s="3">
        <v>17.255269946844294</v>
      </c>
      <c r="BZ614" s="3">
        <v>24.585269946844292</v>
      </c>
      <c r="CA614" s="3">
        <v>9.7852699468442879</v>
      </c>
      <c r="CB614" s="3">
        <v>8.4219366135109581</v>
      </c>
      <c r="CC614" s="3">
        <v>8.9352699468442935</v>
      </c>
      <c r="CD614" s="3">
        <v>8.3419366135109669</v>
      </c>
      <c r="CE614" s="3">
        <v>8.8352699468442921</v>
      </c>
      <c r="CF614" s="3">
        <v>-0.95139671982237672</v>
      </c>
      <c r="CG614" s="3">
        <v>-1.4847300531557082</v>
      </c>
      <c r="CH614" s="3">
        <v>-2.5613967198223762</v>
      </c>
      <c r="CI614" s="13">
        <f>[1]!dbasum(RecData[[#This Row],[20]:[2000]],RecData[[#Headers],[20]:[2000]])</f>
        <v>40.474937134721827</v>
      </c>
      <c r="CJ614" s="14">
        <v>8382</v>
      </c>
      <c r="CK614" s="15" t="s">
        <v>249</v>
      </c>
      <c r="CL614" s="15">
        <f>RecData[[#This Row],[Start Time]]</f>
        <v>43270.142361111109</v>
      </c>
      <c r="CM614" s="16">
        <f>RecData[[#This Row],[Wind Speed avg]]</f>
        <v>0.75</v>
      </c>
      <c r="CN614" s="16">
        <f>RecData[[#This Row],[Wind Dir. avg]]</f>
        <v>191.7</v>
      </c>
      <c r="CO614" s="16">
        <f>RecData[[#This Row],[Amb. Humidity]]</f>
        <v>77.900000000000006</v>
      </c>
      <c r="CP614" s="16">
        <f>RecData[[#This Row],[Amb. Temperature]]</f>
        <v>12.8</v>
      </c>
      <c r="CQ614" s="17">
        <f>RecData[[#This Row],[Amb. Rain Gauge]]</f>
        <v>0</v>
      </c>
      <c r="CR614" s="4" t="s">
        <v>1</v>
      </c>
      <c r="CS614" s="4" t="s">
        <v>49</v>
      </c>
      <c r="CT614" s="70">
        <v>1619.19299316406</v>
      </c>
      <c r="CU614" s="70">
        <v>30.000257492065401</v>
      </c>
      <c r="CV614" s="70">
        <v>12.0840797424316</v>
      </c>
      <c r="CW614" s="70">
        <v>15.3107404708862</v>
      </c>
      <c r="CX614" s="4"/>
      <c r="CY614" s="69"/>
      <c r="CZ614" s="2" t="b">
        <f>IF($DP$1="YES",IF(RecData[[#This Row],[Power (kW)]]&gt;=$CR$3, TRUE,FALSE),TRUE)</f>
        <v>1</v>
      </c>
      <c r="DA614" s="16">
        <f>MIN(MOD(180-ABS(ABS($DA$1-RecData[Yaw Angle (°)])-180),360),MOD(180-ABS(ABS($DB$1-RecData[Yaw Angle (°)])-180),360))</f>
        <v>22.470330714377837</v>
      </c>
      <c r="DB614" s="2" t="str">
        <f>IF($DP$2="None","None",IF(RecData[[#This Row],[Relative Wind Direction]]&lt;=45,"DW",IF(RecData[[#This Row],[Relative Wind Direction]]&lt;=135,"CW","UW")))</f>
        <v>DW</v>
      </c>
      <c r="DC614" s="61">
        <f>IF($CL614-$CL612&gt;1/24,#REF!,IF(SUM($CQ612:$CQ614)&gt;$DS$1,$DS$5,DC615-1))</f>
        <v>-8</v>
      </c>
      <c r="DD614" s="61">
        <f>IF($CL615-$CL614&gt;1/24,#REF!,IF(SUM($CQ612:$CQ614)&gt;$DS$1,$DS$6,DD613-1))</f>
        <v>-3</v>
      </c>
      <c r="DE614" s="18" t="b">
        <v>0</v>
      </c>
      <c r="DF614" s="2" t="b">
        <f>IF(OR(RecData[[#This Row],[WSpd_Avg '[m/s']]]-RecData[[#This Row],[Wind Speed min]]&gt;=$DF$3,RecData[[#This Row],[Wind Speed max]]-RecData[[#This Row],[WSpd_Avg '[m/s']]]&gt;=$DF$2),TRUE,FALSE)</f>
        <v>0</v>
      </c>
      <c r="DG614" s="2" t="b">
        <f>RecData[[#This Row],[Temperature '[°C']]]&lt;=-20</f>
        <v>0</v>
      </c>
      <c r="DH614" s="18" t="b">
        <f>NOT(OR(MOD(RecData[[#This Row],[TIMESTAMP]],1)&gt;0.91632,MOD(RecData[[#This Row],[TIMESTAMP]],1)&lt;0.208681))</f>
        <v>0</v>
      </c>
      <c r="DI614" s="18" t="b">
        <f>RecData[[#This Row],[Overall (dBA)]]-RecData[[#This Row],[L90]]&gt;=$DS$4</f>
        <v>0</v>
      </c>
      <c r="DJ614" s="18" t="b">
        <f>RecData[[#This Row],[Overall (dBA)]]&gt;$DS$2</f>
        <v>0</v>
      </c>
      <c r="DK614" s="18" t="b">
        <f>RecData[[#This Row],[Overall (dBA)]]&lt;$DS$3</f>
        <v>0</v>
      </c>
      <c r="DL6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4" s="2">
        <f>IF(AND(RecData[[#This Row],[Turbines ON/OFF]] = "OFF", NOT(OR(RecData[[#This Row],[Junk?]]="YES",RecData[[#This Row],[Gust?]],RecData[[#This Row],[Rain?]:[Min SPL Threshold?]]))),1,0)</f>
        <v>0</v>
      </c>
      <c r="DN614" s="16">
        <f>RecData[[#This Row],[dBA Sum]]</f>
        <v>40.474937134721827</v>
      </c>
      <c r="DO614" s="16">
        <f>RecData[[#This Row],[LAF90.0]]</f>
        <v>39.799999999999997</v>
      </c>
      <c r="DP614" s="55">
        <f>IF(AND(RecData[[#This Row],[Useable TON Data?]],RecData[[#This Row],[Turbines ON/OFF]]="ON"),RecData[[#This Row],[dBA Sum]],"")</f>
        <v>40.474937134721827</v>
      </c>
      <c r="DQ614" s="55" t="str">
        <f>IF(AND(RecData[[#This Row],[Useable Background Data?]],RecData[[#This Row],[Turbines ON/OFF]]="OFF"),RecData[[#This Row],[dBA Sum]],"")</f>
        <v/>
      </c>
      <c r="DR614" s="3">
        <f>IF(OR(RecData[[#This Row],[Useable TON Data?]],RecData[[#This Row],[Useable Background Data?]]),ROUND(RecData[[#This Row],[WSpd_Avg '[m/s']]],0),"")</f>
        <v>1</v>
      </c>
      <c r="DS614" s="85">
        <f>(0.00002)^2*(10^(RecData[[#This Row],[Overall (dBA)]]/10))</f>
        <v>4.4622480127123771E-6</v>
      </c>
    </row>
    <row r="615" spans="1:123" ht="15" x14ac:dyDescent="0.25">
      <c r="A615" s="3" t="s">
        <v>249</v>
      </c>
      <c r="B615" s="12">
        <v>43270.143055555556</v>
      </c>
      <c r="C615" s="3"/>
      <c r="D615" s="3">
        <v>40.799999999999997</v>
      </c>
      <c r="E615" s="3"/>
      <c r="F615" s="3"/>
      <c r="G615" s="3"/>
      <c r="H615" s="3"/>
      <c r="I615" s="3"/>
      <c r="J615" s="3"/>
      <c r="K615" s="3">
        <v>39.299999999999997</v>
      </c>
      <c r="L615" s="3"/>
      <c r="M615" s="3"/>
      <c r="N615" s="3">
        <v>192.2</v>
      </c>
      <c r="O615" s="3"/>
      <c r="P615" s="3"/>
      <c r="Q615" s="3">
        <v>0.6</v>
      </c>
      <c r="R615" s="3">
        <v>0.2</v>
      </c>
      <c r="S615" s="3">
        <v>1.1000000000000001</v>
      </c>
      <c r="T615" s="3">
        <v>12.8</v>
      </c>
      <c r="U615" s="3">
        <v>77.8</v>
      </c>
      <c r="V615" s="3">
        <v>973.1</v>
      </c>
      <c r="W615" s="3">
        <v>0</v>
      </c>
      <c r="X615" s="3">
        <v>49.3</v>
      </c>
      <c r="Y615" s="3">
        <v>48.5</v>
      </c>
      <c r="Z615" s="3">
        <v>46.5</v>
      </c>
      <c r="AA615" s="3">
        <v>43</v>
      </c>
      <c r="AB615" s="3">
        <v>38.1</v>
      </c>
      <c r="AC615" s="3">
        <v>37</v>
      </c>
      <c r="AD615" s="3">
        <v>40.9</v>
      </c>
      <c r="AE615" s="3">
        <v>41.9</v>
      </c>
      <c r="AF615" s="3">
        <v>45.8</v>
      </c>
      <c r="AG615" s="3">
        <v>39.6</v>
      </c>
      <c r="AH615" s="3">
        <v>37.9</v>
      </c>
      <c r="AI615" s="3">
        <v>37.700000000000003</v>
      </c>
      <c r="AJ615" s="3">
        <v>36.799999999999997</v>
      </c>
      <c r="AK615" s="3">
        <v>35.200000000000003</v>
      </c>
      <c r="AL615" s="3">
        <v>33.6</v>
      </c>
      <c r="AM615" s="3">
        <v>34</v>
      </c>
      <c r="AN615" s="3">
        <v>32.799999999999997</v>
      </c>
      <c r="AO615" s="3">
        <v>29.8</v>
      </c>
      <c r="AP615" s="3">
        <v>27.4</v>
      </c>
      <c r="AQ615" s="3">
        <v>25</v>
      </c>
      <c r="AR615" s="3">
        <v>21</v>
      </c>
      <c r="AS615" s="3">
        <v>16.8</v>
      </c>
      <c r="AT615" s="3">
        <v>23.7</v>
      </c>
      <c r="AU615" s="3">
        <v>9.6</v>
      </c>
      <c r="AV615" s="3">
        <v>8.6</v>
      </c>
      <c r="AW615" s="3">
        <v>9</v>
      </c>
      <c r="AX615" s="3">
        <v>9.1</v>
      </c>
      <c r="AY615" s="3">
        <v>9.4</v>
      </c>
      <c r="AZ615" s="3">
        <v>0</v>
      </c>
      <c r="BA615" s="3">
        <v>0</v>
      </c>
      <c r="BB615" s="3">
        <v>0</v>
      </c>
      <c r="BC615" s="3">
        <v>40.763013649456099</v>
      </c>
      <c r="BD615" s="3">
        <v>49.336986350543896</v>
      </c>
      <c r="BE615" s="3">
        <v>48.536986350543899</v>
      </c>
      <c r="BF615" s="3">
        <v>45.296986350543904</v>
      </c>
      <c r="BG615" s="3">
        <v>42.123653017210557</v>
      </c>
      <c r="BH615" s="3">
        <v>37.363653017210567</v>
      </c>
      <c r="BI615" s="3">
        <v>36.676986350543899</v>
      </c>
      <c r="BJ615" s="3">
        <v>41.370319683877227</v>
      </c>
      <c r="BK615" s="3">
        <v>42.243653017210562</v>
      </c>
      <c r="BL615" s="3">
        <v>45.716986350543891</v>
      </c>
      <c r="BM615" s="3">
        <v>39.650319683877228</v>
      </c>
      <c r="BN615" s="3">
        <v>38.233653017210571</v>
      </c>
      <c r="BO615" s="3">
        <v>37.400319683877228</v>
      </c>
      <c r="BP615" s="3">
        <v>36.216986350543891</v>
      </c>
      <c r="BQ615" s="3">
        <v>35.033653017210554</v>
      </c>
      <c r="BR615" s="3">
        <v>33.760319683877242</v>
      </c>
      <c r="BS615" s="3">
        <v>33.963653017210561</v>
      </c>
      <c r="BT615" s="3">
        <v>32.960319683877231</v>
      </c>
      <c r="BU615" s="3">
        <v>29.926986350543899</v>
      </c>
      <c r="BV615" s="3">
        <v>27.243653017210562</v>
      </c>
      <c r="BW615" s="3">
        <v>25.376986350543902</v>
      </c>
      <c r="BX615" s="3">
        <v>21.296986350543904</v>
      </c>
      <c r="BY615" s="3">
        <v>16.916986350543894</v>
      </c>
      <c r="BZ615" s="3">
        <v>23.946986350543909</v>
      </c>
      <c r="CA615" s="3">
        <v>9.9469863505438951</v>
      </c>
      <c r="CB615" s="3">
        <v>8.3836530172105626</v>
      </c>
      <c r="CC615" s="3">
        <v>8.9969863505438994</v>
      </c>
      <c r="CD615" s="3">
        <v>8.4036530172105728</v>
      </c>
      <c r="CE615" s="3">
        <v>8.896986350543898</v>
      </c>
      <c r="CF615" s="3">
        <v>-0.88968031612277088</v>
      </c>
      <c r="CG615" s="3">
        <v>-1.4230136494561023</v>
      </c>
      <c r="CH615" s="3">
        <v>-2.4996803161227703</v>
      </c>
      <c r="CI615" s="13">
        <f>[1]!dbasum(RecData[[#This Row],[20]:[2000]],RecData[[#Headers],[20]:[2000]])</f>
        <v>40.596726586310787</v>
      </c>
      <c r="CJ615" s="14">
        <v>8383</v>
      </c>
      <c r="CK615" s="15" t="s">
        <v>249</v>
      </c>
      <c r="CL615" s="15">
        <f>RecData[[#This Row],[Start Time]]</f>
        <v>43270.143055555556</v>
      </c>
      <c r="CM615" s="16">
        <f>RecData[[#This Row],[Wind Speed avg]]</f>
        <v>0.6</v>
      </c>
      <c r="CN615" s="16">
        <f>RecData[[#This Row],[Wind Dir. avg]]</f>
        <v>192.2</v>
      </c>
      <c r="CO615" s="16">
        <f>RecData[[#This Row],[Amb. Humidity]]</f>
        <v>77.8</v>
      </c>
      <c r="CP615" s="16">
        <f>RecData[[#This Row],[Amb. Temperature]]</f>
        <v>12.8</v>
      </c>
      <c r="CQ615" s="17">
        <f>RecData[[#This Row],[Amb. Rain Gauge]]</f>
        <v>0</v>
      </c>
      <c r="CR615" s="4" t="s">
        <v>1</v>
      </c>
      <c r="CS615" s="4" t="s">
        <v>49</v>
      </c>
      <c r="CT615" s="70">
        <v>1619.19299316406</v>
      </c>
      <c r="CU615" s="70">
        <v>30.000257492065401</v>
      </c>
      <c r="CV615" s="70">
        <v>12.0840797424316</v>
      </c>
      <c r="CW615" s="70">
        <v>15.3107404708862</v>
      </c>
      <c r="CX615" s="4"/>
      <c r="CY615" s="69"/>
      <c r="CZ615" s="2" t="b">
        <f>IF($DP$1="YES",IF(RecData[[#This Row],[Power (kW)]]&gt;=$CR$3, TRUE,FALSE),TRUE)</f>
        <v>1</v>
      </c>
      <c r="DA615" s="16">
        <f>MIN(MOD(180-ABS(ABS($DA$1-RecData[Yaw Angle (°)])-180),360),MOD(180-ABS(ABS($DB$1-RecData[Yaw Angle (°)])-180),360))</f>
        <v>22.470330714377837</v>
      </c>
      <c r="DB615" s="2" t="str">
        <f>IF($DP$2="None","None",IF(RecData[[#This Row],[Relative Wind Direction]]&lt;=45,"DW",IF(RecData[[#This Row],[Relative Wind Direction]]&lt;=135,"CW","UW")))</f>
        <v>DW</v>
      </c>
      <c r="DC615" s="61">
        <f>IF($CL615-$CL612&gt;1/24,#REF!,IF(SUM($CQ612:$CQ615)&gt;$DS$1,$DS$5,DC616-1))</f>
        <v>-7</v>
      </c>
      <c r="DD615" s="61">
        <f>IF($CL616-$CL615&gt;1/24,#REF!,IF(SUM($CQ612:$CQ615)&gt;$DS$1,$DS$6,DD614-1))</f>
        <v>-4</v>
      </c>
      <c r="DE615" s="18" t="b">
        <v>0</v>
      </c>
      <c r="DF615" s="2" t="b">
        <f>IF(OR(RecData[[#This Row],[WSpd_Avg '[m/s']]]-RecData[[#This Row],[Wind Speed min]]&gt;=$DF$3,RecData[[#This Row],[Wind Speed max]]-RecData[[#This Row],[WSpd_Avg '[m/s']]]&gt;=$DF$2),TRUE,FALSE)</f>
        <v>0</v>
      </c>
      <c r="DG615" s="2" t="b">
        <f>RecData[[#This Row],[Temperature '[°C']]]&lt;=-20</f>
        <v>0</v>
      </c>
      <c r="DH615" s="18" t="b">
        <f>NOT(OR(MOD(RecData[[#This Row],[TIMESTAMP]],1)&gt;0.91632,MOD(RecData[[#This Row],[TIMESTAMP]],1)&lt;0.208681))</f>
        <v>0</v>
      </c>
      <c r="DI615" s="18" t="b">
        <f>RecData[[#This Row],[Overall (dBA)]]-RecData[[#This Row],[L90]]&gt;=$DS$4</f>
        <v>0</v>
      </c>
      <c r="DJ615" s="18" t="b">
        <f>RecData[[#This Row],[Overall (dBA)]]&gt;$DS$2</f>
        <v>0</v>
      </c>
      <c r="DK615" s="18" t="b">
        <f>RecData[[#This Row],[Overall (dBA)]]&lt;$DS$3</f>
        <v>0</v>
      </c>
      <c r="DL6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5" s="2">
        <f>IF(AND(RecData[[#This Row],[Turbines ON/OFF]] = "OFF", NOT(OR(RecData[[#This Row],[Junk?]]="YES",RecData[[#This Row],[Gust?]],RecData[[#This Row],[Rain?]:[Min SPL Threshold?]]))),1,0)</f>
        <v>0</v>
      </c>
      <c r="DN615" s="16">
        <f>RecData[[#This Row],[dBA Sum]]</f>
        <v>40.596726586310787</v>
      </c>
      <c r="DO615" s="16">
        <f>RecData[[#This Row],[LAF90.0]]</f>
        <v>39.299999999999997</v>
      </c>
      <c r="DP615" s="55">
        <f>IF(AND(RecData[[#This Row],[Useable TON Data?]],RecData[[#This Row],[Turbines ON/OFF]]="ON"),RecData[[#This Row],[dBA Sum]],"")</f>
        <v>40.596726586310787</v>
      </c>
      <c r="DQ615" s="55" t="str">
        <f>IF(AND(RecData[[#This Row],[Useable Background Data?]],RecData[[#This Row],[Turbines ON/OFF]]="OFF"),RecData[[#This Row],[dBA Sum]],"")</f>
        <v/>
      </c>
      <c r="DR615" s="3">
        <f>IF(OR(RecData[[#This Row],[Useable TON Data?]],RecData[[#This Row],[Useable Background Data?]]),ROUND(RecData[[#This Row],[WSpd_Avg '[m/s']]],0),"")</f>
        <v>1</v>
      </c>
      <c r="DS615" s="85">
        <f>(0.00002)^2*(10^(RecData[[#This Row],[Overall (dBA)]]/10))</f>
        <v>4.589154192671199E-6</v>
      </c>
    </row>
    <row r="616" spans="1:123" ht="15" x14ac:dyDescent="0.25">
      <c r="A616" s="3" t="s">
        <v>249</v>
      </c>
      <c r="B616" s="12">
        <v>43270.143750000003</v>
      </c>
      <c r="C616" s="3"/>
      <c r="D616" s="3">
        <v>40.9</v>
      </c>
      <c r="E616" s="3"/>
      <c r="F616" s="3"/>
      <c r="G616" s="3"/>
      <c r="H616" s="3"/>
      <c r="I616" s="3"/>
      <c r="J616" s="3"/>
      <c r="K616" s="3">
        <v>40</v>
      </c>
      <c r="L616" s="3"/>
      <c r="M616" s="3"/>
      <c r="N616" s="3">
        <v>199.9</v>
      </c>
      <c r="O616" s="3"/>
      <c r="P616" s="3"/>
      <c r="Q616" s="3">
        <v>0.64</v>
      </c>
      <c r="R616" s="3">
        <v>0.4</v>
      </c>
      <c r="S616" s="3">
        <v>0.7</v>
      </c>
      <c r="T616" s="3">
        <v>12.8</v>
      </c>
      <c r="U616" s="3">
        <v>77.8</v>
      </c>
      <c r="V616" s="3">
        <v>973.1</v>
      </c>
      <c r="W616" s="3">
        <v>0</v>
      </c>
      <c r="X616" s="3">
        <v>49.6</v>
      </c>
      <c r="Y616" s="3">
        <v>48.9</v>
      </c>
      <c r="Z616" s="3">
        <v>47.5</v>
      </c>
      <c r="AA616" s="3">
        <v>42.8</v>
      </c>
      <c r="AB616" s="3">
        <v>38.299999999999997</v>
      </c>
      <c r="AC616" s="3">
        <v>36.9</v>
      </c>
      <c r="AD616" s="3">
        <v>41.1</v>
      </c>
      <c r="AE616" s="3">
        <v>42.5</v>
      </c>
      <c r="AF616" s="3">
        <v>45.6</v>
      </c>
      <c r="AG616" s="3">
        <v>39.200000000000003</v>
      </c>
      <c r="AH616" s="3">
        <v>38.5</v>
      </c>
      <c r="AI616" s="3">
        <v>37.299999999999997</v>
      </c>
      <c r="AJ616" s="3">
        <v>37.1</v>
      </c>
      <c r="AK616" s="3">
        <v>35.200000000000003</v>
      </c>
      <c r="AL616" s="3">
        <v>33.700000000000003</v>
      </c>
      <c r="AM616" s="3">
        <v>34.200000000000003</v>
      </c>
      <c r="AN616" s="3">
        <v>33</v>
      </c>
      <c r="AO616" s="3">
        <v>29.8</v>
      </c>
      <c r="AP616" s="3">
        <v>27.9</v>
      </c>
      <c r="AQ616" s="3">
        <v>25</v>
      </c>
      <c r="AR616" s="3">
        <v>20.9</v>
      </c>
      <c r="AS616" s="3">
        <v>16.7</v>
      </c>
      <c r="AT616" s="3">
        <v>23.3</v>
      </c>
      <c r="AU616" s="3">
        <v>9.1</v>
      </c>
      <c r="AV616" s="3">
        <v>8.6</v>
      </c>
      <c r="AW616" s="3">
        <v>9</v>
      </c>
      <c r="AX616" s="3">
        <v>9.1</v>
      </c>
      <c r="AY616" s="3">
        <v>9.4</v>
      </c>
      <c r="AZ616" s="3">
        <v>0</v>
      </c>
      <c r="BA616" s="3">
        <v>0</v>
      </c>
      <c r="BB616" s="3">
        <v>0</v>
      </c>
      <c r="BC616" s="3">
        <v>40.853634617603618</v>
      </c>
      <c r="BD616" s="3">
        <v>49.646365382396382</v>
      </c>
      <c r="BE616" s="3">
        <v>48.94636538239638</v>
      </c>
      <c r="BF616" s="3">
        <v>46.306365382396379</v>
      </c>
      <c r="BG616" s="3">
        <v>41.933032049063044</v>
      </c>
      <c r="BH616" s="3">
        <v>37.573032049063045</v>
      </c>
      <c r="BI616" s="3">
        <v>36.58636538239638</v>
      </c>
      <c r="BJ616" s="3">
        <v>41.57969871572972</v>
      </c>
      <c r="BK616" s="3">
        <v>42.853032049063046</v>
      </c>
      <c r="BL616" s="3">
        <v>45.526365382396378</v>
      </c>
      <c r="BM616" s="3">
        <v>39.259698715729726</v>
      </c>
      <c r="BN616" s="3">
        <v>38.843032049063041</v>
      </c>
      <c r="BO616" s="3">
        <v>37.009698715729712</v>
      </c>
      <c r="BP616" s="3">
        <v>36.526365382396378</v>
      </c>
      <c r="BQ616" s="3">
        <v>35.043032049063044</v>
      </c>
      <c r="BR616" s="3">
        <v>33.869698715729712</v>
      </c>
      <c r="BS616" s="3">
        <v>34.173032049063053</v>
      </c>
      <c r="BT616" s="3">
        <v>33.169698715729723</v>
      </c>
      <c r="BU616" s="3">
        <v>29.936365382396389</v>
      </c>
      <c r="BV616" s="3">
        <v>27.753032049063052</v>
      </c>
      <c r="BW616" s="3">
        <v>25.386365382396392</v>
      </c>
      <c r="BX616" s="3">
        <v>21.206365382396385</v>
      </c>
      <c r="BY616" s="3">
        <v>16.826365382396375</v>
      </c>
      <c r="BZ616" s="3">
        <v>23.556365382396379</v>
      </c>
      <c r="CA616" s="3">
        <v>9.4563653823963705</v>
      </c>
      <c r="CB616" s="3">
        <v>8.393032049063045</v>
      </c>
      <c r="CC616" s="3">
        <v>9.0063653823963818</v>
      </c>
      <c r="CD616" s="3">
        <v>8.4130320490630481</v>
      </c>
      <c r="CE616" s="3">
        <v>8.9063653823963804</v>
      </c>
      <c r="CF616" s="3">
        <v>-0.88030128427028842</v>
      </c>
      <c r="CG616" s="3">
        <v>-1.4136346176036199</v>
      </c>
      <c r="CH616" s="3">
        <v>-2.4903012842702879</v>
      </c>
      <c r="CI616" s="13">
        <f>[1]!dbasum(RecData[[#This Row],[20]:[2000]],RecData[[#Headers],[20]:[2000]])</f>
        <v>40.712852200449838</v>
      </c>
      <c r="CJ616" s="14">
        <v>8384</v>
      </c>
      <c r="CK616" s="15" t="s">
        <v>249</v>
      </c>
      <c r="CL616" s="15">
        <f>RecData[[#This Row],[Start Time]]</f>
        <v>43270.143750000003</v>
      </c>
      <c r="CM616" s="16">
        <f>RecData[[#This Row],[Wind Speed avg]]</f>
        <v>0.64</v>
      </c>
      <c r="CN616" s="16">
        <f>RecData[[#This Row],[Wind Dir. avg]]</f>
        <v>199.9</v>
      </c>
      <c r="CO616" s="16">
        <f>RecData[[#This Row],[Amb. Humidity]]</f>
        <v>77.8</v>
      </c>
      <c r="CP616" s="16">
        <f>RecData[[#This Row],[Amb. Temperature]]</f>
        <v>12.8</v>
      </c>
      <c r="CQ616" s="17">
        <f>RecData[[#This Row],[Amb. Rain Gauge]]</f>
        <v>0</v>
      </c>
      <c r="CR616" s="4" t="s">
        <v>1</v>
      </c>
      <c r="CS616" s="4" t="s">
        <v>49</v>
      </c>
      <c r="CT616" s="70">
        <v>1619.19299316406</v>
      </c>
      <c r="CU616" s="70">
        <v>30.000257492065401</v>
      </c>
      <c r="CV616" s="70">
        <v>12.0840797424316</v>
      </c>
      <c r="CW616" s="70">
        <v>15.3107404708862</v>
      </c>
      <c r="CX616" s="4"/>
      <c r="CY616" s="69"/>
      <c r="CZ616" s="2" t="b">
        <f>IF($DP$1="YES",IF(RecData[[#This Row],[Power (kW)]]&gt;=$CR$3, TRUE,FALSE),TRUE)</f>
        <v>1</v>
      </c>
      <c r="DA616" s="16">
        <f>MIN(MOD(180-ABS(ABS($DA$1-RecData[Yaw Angle (°)])-180),360),MOD(180-ABS(ABS($DB$1-RecData[Yaw Angle (°)])-180),360))</f>
        <v>22.470330714377837</v>
      </c>
      <c r="DB616" s="2" t="str">
        <f>IF($DP$2="None","None",IF(RecData[[#This Row],[Relative Wind Direction]]&lt;=45,"DW",IF(RecData[[#This Row],[Relative Wind Direction]]&lt;=135,"CW","UW")))</f>
        <v>DW</v>
      </c>
      <c r="DC616" s="61">
        <f>IF($CL616-$CL612&gt;1/24,#REF!,IF(SUM($CQ612:$CQ616)&gt;$DS$1,$DS$5,DC617-1))</f>
        <v>-6</v>
      </c>
      <c r="DD616" s="61">
        <f>IF($CL617-$CL616&gt;1/24,#REF!,IF(SUM($CQ612:$CQ616)&gt;$DS$1,$DS$6,DD615-1))</f>
        <v>-5</v>
      </c>
      <c r="DE616" s="18" t="b">
        <v>0</v>
      </c>
      <c r="DF616" s="2" t="b">
        <f>IF(OR(RecData[[#This Row],[WSpd_Avg '[m/s']]]-RecData[[#This Row],[Wind Speed min]]&gt;=$DF$3,RecData[[#This Row],[Wind Speed max]]-RecData[[#This Row],[WSpd_Avg '[m/s']]]&gt;=$DF$2),TRUE,FALSE)</f>
        <v>0</v>
      </c>
      <c r="DG616" s="2" t="b">
        <f>RecData[[#This Row],[Temperature '[°C']]]&lt;=-20</f>
        <v>0</v>
      </c>
      <c r="DH616" s="18" t="b">
        <f>NOT(OR(MOD(RecData[[#This Row],[TIMESTAMP]],1)&gt;0.91632,MOD(RecData[[#This Row],[TIMESTAMP]],1)&lt;0.208681))</f>
        <v>0</v>
      </c>
      <c r="DI616" s="18" t="b">
        <f>RecData[[#This Row],[Overall (dBA)]]-RecData[[#This Row],[L90]]&gt;=$DS$4</f>
        <v>0</v>
      </c>
      <c r="DJ616" s="18" t="b">
        <f>RecData[[#This Row],[Overall (dBA)]]&gt;$DS$2</f>
        <v>0</v>
      </c>
      <c r="DK616" s="18" t="b">
        <f>RecData[[#This Row],[Overall (dBA)]]&lt;$DS$3</f>
        <v>0</v>
      </c>
      <c r="DL6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6" s="2">
        <f>IF(AND(RecData[[#This Row],[Turbines ON/OFF]] = "OFF", NOT(OR(RecData[[#This Row],[Junk?]]="YES",RecData[[#This Row],[Gust?]],RecData[[#This Row],[Rain?]:[Min SPL Threshold?]]))),1,0)</f>
        <v>0</v>
      </c>
      <c r="DN616" s="16">
        <f>RecData[[#This Row],[dBA Sum]]</f>
        <v>40.712852200449838</v>
      </c>
      <c r="DO616" s="16">
        <f>RecData[[#This Row],[LAF90.0]]</f>
        <v>40</v>
      </c>
      <c r="DP616" s="55">
        <f>IF(AND(RecData[[#This Row],[Useable TON Data?]],RecData[[#This Row],[Turbines ON/OFF]]="ON"),RecData[[#This Row],[dBA Sum]],"")</f>
        <v>40.712852200449838</v>
      </c>
      <c r="DQ616" s="55" t="str">
        <f>IF(AND(RecData[[#This Row],[Useable Background Data?]],RecData[[#This Row],[Turbines ON/OFF]]="OFF"),RecData[[#This Row],[dBA Sum]],"")</f>
        <v/>
      </c>
      <c r="DR616" s="3">
        <f>IF(OR(RecData[[#This Row],[Useable TON Data?]],RecData[[#This Row],[Useable Background Data?]]),ROUND(RecData[[#This Row],[WSpd_Avg '[m/s']]],0),"")</f>
        <v>1</v>
      </c>
      <c r="DS616" s="85">
        <f>(0.00002)^2*(10^(RecData[[#This Row],[Overall (dBA)]]/10))</f>
        <v>4.7135184500524073E-6</v>
      </c>
    </row>
    <row r="617" spans="1:123" ht="15" x14ac:dyDescent="0.25">
      <c r="A617" s="3" t="s">
        <v>249</v>
      </c>
      <c r="B617" s="12">
        <v>43270.144444444442</v>
      </c>
      <c r="C617" s="3"/>
      <c r="D617" s="3">
        <v>41.2</v>
      </c>
      <c r="E617" s="3"/>
      <c r="F617" s="3"/>
      <c r="G617" s="3"/>
      <c r="H617" s="3"/>
      <c r="I617" s="3"/>
      <c r="J617" s="3"/>
      <c r="K617" s="3">
        <v>40.299999999999997</v>
      </c>
      <c r="L617" s="3"/>
      <c r="M617" s="3"/>
      <c r="N617" s="3">
        <v>190.8</v>
      </c>
      <c r="O617" s="3"/>
      <c r="P617" s="3"/>
      <c r="Q617" s="3">
        <v>0.56999999999999995</v>
      </c>
      <c r="R617" s="3">
        <v>0.3</v>
      </c>
      <c r="S617" s="3">
        <v>0.8</v>
      </c>
      <c r="T617" s="3">
        <v>12.8</v>
      </c>
      <c r="U617" s="3">
        <v>77.599999999999994</v>
      </c>
      <c r="V617" s="3">
        <v>973.1</v>
      </c>
      <c r="W617" s="3">
        <v>0</v>
      </c>
      <c r="X617" s="3">
        <v>49.4</v>
      </c>
      <c r="Y617" s="3">
        <v>48.4</v>
      </c>
      <c r="Z617" s="3">
        <v>47.6</v>
      </c>
      <c r="AA617" s="3">
        <v>43.5</v>
      </c>
      <c r="AB617" s="3">
        <v>38.6</v>
      </c>
      <c r="AC617" s="3">
        <v>36.9</v>
      </c>
      <c r="AD617" s="3">
        <v>41.1</v>
      </c>
      <c r="AE617" s="3">
        <v>42.5</v>
      </c>
      <c r="AF617" s="3">
        <v>46.9</v>
      </c>
      <c r="AG617" s="3">
        <v>40.200000000000003</v>
      </c>
      <c r="AH617" s="3">
        <v>38.200000000000003</v>
      </c>
      <c r="AI617" s="3">
        <v>37.799999999999997</v>
      </c>
      <c r="AJ617" s="3">
        <v>37.1</v>
      </c>
      <c r="AK617" s="3">
        <v>35.5</v>
      </c>
      <c r="AL617" s="3">
        <v>33.9</v>
      </c>
      <c r="AM617" s="3">
        <v>34.4</v>
      </c>
      <c r="AN617" s="3">
        <v>33.4</v>
      </c>
      <c r="AO617" s="3">
        <v>30.2</v>
      </c>
      <c r="AP617" s="3">
        <v>27.9</v>
      </c>
      <c r="AQ617" s="3">
        <v>25.6</v>
      </c>
      <c r="AR617" s="3">
        <v>21.4</v>
      </c>
      <c r="AS617" s="3">
        <v>17.399999999999999</v>
      </c>
      <c r="AT617" s="3">
        <v>23</v>
      </c>
      <c r="AU617" s="3">
        <v>9.3000000000000007</v>
      </c>
      <c r="AV617" s="3">
        <v>8.6</v>
      </c>
      <c r="AW617" s="3">
        <v>9</v>
      </c>
      <c r="AX617" s="3">
        <v>9.1</v>
      </c>
      <c r="AY617" s="3">
        <v>9.4</v>
      </c>
      <c r="AZ617" s="3">
        <v>0</v>
      </c>
      <c r="BA617" s="3">
        <v>0</v>
      </c>
      <c r="BB617" s="3">
        <v>0</v>
      </c>
      <c r="BC617" s="3">
        <v>41.193896018402242</v>
      </c>
      <c r="BD617" s="3">
        <v>49.406103981597752</v>
      </c>
      <c r="BE617" s="3">
        <v>48.406103981597752</v>
      </c>
      <c r="BF617" s="3">
        <v>46.36610398159776</v>
      </c>
      <c r="BG617" s="3">
        <v>42.59277064826442</v>
      </c>
      <c r="BH617" s="3">
        <v>37.832770648264429</v>
      </c>
      <c r="BI617" s="3">
        <v>36.546103981597767</v>
      </c>
      <c r="BJ617" s="3">
        <v>41.539437314931092</v>
      </c>
      <c r="BK617" s="3">
        <v>42.812770648264419</v>
      </c>
      <c r="BL617" s="3">
        <v>46.786103981597762</v>
      </c>
      <c r="BM617" s="3">
        <v>40.219437314931099</v>
      </c>
      <c r="BN617" s="3">
        <v>38.502770648264431</v>
      </c>
      <c r="BO617" s="3">
        <v>37.469437314931085</v>
      </c>
      <c r="BP617" s="3">
        <v>36.486103981597765</v>
      </c>
      <c r="BQ617" s="3">
        <v>35.302770648264428</v>
      </c>
      <c r="BR617" s="3">
        <v>34.029437314931087</v>
      </c>
      <c r="BS617" s="3">
        <v>34.332770648264429</v>
      </c>
      <c r="BT617" s="3">
        <v>33.529437314931087</v>
      </c>
      <c r="BU617" s="3">
        <v>30.296103981597767</v>
      </c>
      <c r="BV617" s="3">
        <v>27.712770648264424</v>
      </c>
      <c r="BW617" s="3">
        <v>25.946103981597773</v>
      </c>
      <c r="BX617" s="3">
        <v>21.666103981597765</v>
      </c>
      <c r="BY617" s="3">
        <v>17.486103981597758</v>
      </c>
      <c r="BZ617" s="3">
        <v>23.216103981597769</v>
      </c>
      <c r="CA617" s="3">
        <v>9.6161039815977531</v>
      </c>
      <c r="CB617" s="3">
        <v>8.3527706482644248</v>
      </c>
      <c r="CC617" s="3">
        <v>8.9661039815977617</v>
      </c>
      <c r="CD617" s="3">
        <v>8.3727706482644351</v>
      </c>
      <c r="CE617" s="3">
        <v>8.8661039815977603</v>
      </c>
      <c r="CF617" s="3">
        <v>-0.92056268506890859</v>
      </c>
      <c r="CG617" s="3">
        <v>-1.45389601840224</v>
      </c>
      <c r="CH617" s="3">
        <v>-2.530562685068908</v>
      </c>
      <c r="CI617" s="13">
        <f>[1]!dbasum(RecData[[#This Row],[20]:[2000]],RecData[[#Headers],[20]:[2000]])</f>
        <v>41.026828701753281</v>
      </c>
      <c r="CJ617" s="14">
        <v>8385</v>
      </c>
      <c r="CK617" s="15" t="s">
        <v>249</v>
      </c>
      <c r="CL617" s="15">
        <f>RecData[[#This Row],[Start Time]]</f>
        <v>43270.144444444442</v>
      </c>
      <c r="CM617" s="16">
        <f>RecData[[#This Row],[Wind Speed avg]]</f>
        <v>0.56999999999999995</v>
      </c>
      <c r="CN617" s="16">
        <f>RecData[[#This Row],[Wind Dir. avg]]</f>
        <v>190.8</v>
      </c>
      <c r="CO617" s="16">
        <f>RecData[[#This Row],[Amb. Humidity]]</f>
        <v>77.599999999999994</v>
      </c>
      <c r="CP617" s="16">
        <f>RecData[[#This Row],[Amb. Temperature]]</f>
        <v>12.8</v>
      </c>
      <c r="CQ617" s="17">
        <f>RecData[[#This Row],[Amb. Rain Gauge]]</f>
        <v>0</v>
      </c>
      <c r="CR617" s="4" t="s">
        <v>1</v>
      </c>
      <c r="CS617" s="4" t="s">
        <v>49</v>
      </c>
      <c r="CT617" s="70">
        <v>1619.19299316406</v>
      </c>
      <c r="CU617" s="70">
        <v>30.000257492065401</v>
      </c>
      <c r="CV617" s="70">
        <v>12.0840797424316</v>
      </c>
      <c r="CW617" s="70">
        <v>15.3107404708862</v>
      </c>
      <c r="CX617" s="4"/>
      <c r="CY617" s="69"/>
      <c r="CZ617" s="2" t="b">
        <f>IF($DP$1="YES",IF(RecData[[#This Row],[Power (kW)]]&gt;=$CR$3, TRUE,FALSE),TRUE)</f>
        <v>1</v>
      </c>
      <c r="DA617" s="16">
        <f>MIN(MOD(180-ABS(ABS($DA$1-RecData[Yaw Angle (°)])-180),360),MOD(180-ABS(ABS($DB$1-RecData[Yaw Angle (°)])-180),360))</f>
        <v>22.470330714377837</v>
      </c>
      <c r="DB617" s="2" t="str">
        <f>IF($DP$2="None","None",IF(RecData[[#This Row],[Relative Wind Direction]]&lt;=45,"DW",IF(RecData[[#This Row],[Relative Wind Direction]]&lt;=135,"CW","UW")))</f>
        <v>DW</v>
      </c>
      <c r="DC617" s="61">
        <f>IF($CL617-$CL613&gt;1/24,#REF!,IF(SUM($CQ613:$CQ617)&gt;$DS$1,$DS$5,DC618-1))</f>
        <v>-5</v>
      </c>
      <c r="DD617" s="61">
        <f>IF($CL618-$CL617&gt;1/24,#REF!,IF(SUM($CQ613:$CQ617)&gt;$DS$1,$DS$6,DD616-1))</f>
        <v>-6</v>
      </c>
      <c r="DE617" s="18" t="b">
        <v>0</v>
      </c>
      <c r="DF617" s="2" t="b">
        <f>IF(OR(RecData[[#This Row],[WSpd_Avg '[m/s']]]-RecData[[#This Row],[Wind Speed min]]&gt;=$DF$3,RecData[[#This Row],[Wind Speed max]]-RecData[[#This Row],[WSpd_Avg '[m/s']]]&gt;=$DF$2),TRUE,FALSE)</f>
        <v>0</v>
      </c>
      <c r="DG617" s="2" t="b">
        <f>RecData[[#This Row],[Temperature '[°C']]]&lt;=-20</f>
        <v>0</v>
      </c>
      <c r="DH617" s="18" t="b">
        <f>NOT(OR(MOD(RecData[[#This Row],[TIMESTAMP]],1)&gt;0.91632,MOD(RecData[[#This Row],[TIMESTAMP]],1)&lt;0.208681))</f>
        <v>0</v>
      </c>
      <c r="DI617" s="18" t="b">
        <f>RecData[[#This Row],[Overall (dBA)]]-RecData[[#This Row],[L90]]&gt;=$DS$4</f>
        <v>0</v>
      </c>
      <c r="DJ617" s="18" t="b">
        <f>RecData[[#This Row],[Overall (dBA)]]&gt;$DS$2</f>
        <v>0</v>
      </c>
      <c r="DK617" s="18" t="b">
        <f>RecData[[#This Row],[Overall (dBA)]]&lt;$DS$3</f>
        <v>0</v>
      </c>
      <c r="DL6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7" s="2">
        <f>IF(AND(RecData[[#This Row],[Turbines ON/OFF]] = "OFF", NOT(OR(RecData[[#This Row],[Junk?]]="YES",RecData[[#This Row],[Gust?]],RecData[[#This Row],[Rain?]:[Min SPL Threshold?]]))),1,0)</f>
        <v>0</v>
      </c>
      <c r="DN617" s="16">
        <f>RecData[[#This Row],[dBA Sum]]</f>
        <v>41.026828701753281</v>
      </c>
      <c r="DO617" s="16">
        <f>RecData[[#This Row],[LAF90.0]]</f>
        <v>40.299999999999997</v>
      </c>
      <c r="DP617" s="55">
        <f>IF(AND(RecData[[#This Row],[Useable TON Data?]],RecData[[#This Row],[Turbines ON/OFF]]="ON"),RecData[[#This Row],[dBA Sum]],"")</f>
        <v>41.026828701753281</v>
      </c>
      <c r="DQ617" s="55" t="str">
        <f>IF(AND(RecData[[#This Row],[Useable Background Data?]],RecData[[#This Row],[Turbines ON/OFF]]="OFF"),RecData[[#This Row],[dBA Sum]],"")</f>
        <v/>
      </c>
      <c r="DR617" s="3">
        <f>IF(OR(RecData[[#This Row],[Useable TON Data?]],RecData[[#This Row],[Useable Background Data?]]),ROUND(RecData[[#This Row],[WSpd_Avg '[m/s']]],0),"")</f>
        <v>1</v>
      </c>
      <c r="DS617" s="85">
        <f>(0.00002)^2*(10^(RecData[[#This Row],[Overall (dBA)]]/10))</f>
        <v>5.0669061640706905E-6</v>
      </c>
    </row>
    <row r="618" spans="1:123" ht="15" x14ac:dyDescent="0.25">
      <c r="A618" s="3" t="s">
        <v>249</v>
      </c>
      <c r="B618" s="12">
        <v>43270.145138888889</v>
      </c>
      <c r="C618" s="3"/>
      <c r="D618" s="3">
        <v>41.3</v>
      </c>
      <c r="E618" s="3"/>
      <c r="F618" s="3"/>
      <c r="G618" s="3"/>
      <c r="H618" s="3"/>
      <c r="I618" s="3"/>
      <c r="J618" s="3"/>
      <c r="K618" s="3">
        <v>40.200000000000003</v>
      </c>
      <c r="L618" s="3"/>
      <c r="M618" s="3"/>
      <c r="N618" s="3">
        <v>175</v>
      </c>
      <c r="O618" s="3"/>
      <c r="P618" s="3"/>
      <c r="Q618" s="3">
        <v>0.65</v>
      </c>
      <c r="R618" s="3">
        <v>0.4</v>
      </c>
      <c r="S618" s="3">
        <v>0.9</v>
      </c>
      <c r="T618" s="3">
        <v>12.8</v>
      </c>
      <c r="U618" s="3">
        <v>77.8</v>
      </c>
      <c r="V618" s="3">
        <v>973.1</v>
      </c>
      <c r="W618" s="3">
        <v>0</v>
      </c>
      <c r="X618" s="3">
        <v>50</v>
      </c>
      <c r="Y618" s="3">
        <v>48.4</v>
      </c>
      <c r="Z618" s="3">
        <v>47.3</v>
      </c>
      <c r="AA618" s="3">
        <v>43.2</v>
      </c>
      <c r="AB618" s="3">
        <v>38.200000000000003</v>
      </c>
      <c r="AC618" s="3">
        <v>36.700000000000003</v>
      </c>
      <c r="AD618" s="3">
        <v>40.9</v>
      </c>
      <c r="AE618" s="3">
        <v>42.6</v>
      </c>
      <c r="AF618" s="3">
        <v>47.1</v>
      </c>
      <c r="AG618" s="3">
        <v>40.6</v>
      </c>
      <c r="AH618" s="3">
        <v>38.299999999999997</v>
      </c>
      <c r="AI618" s="3">
        <v>38</v>
      </c>
      <c r="AJ618" s="3">
        <v>37.1</v>
      </c>
      <c r="AK618" s="3">
        <v>35.6</v>
      </c>
      <c r="AL618" s="3">
        <v>34.1</v>
      </c>
      <c r="AM618" s="3">
        <v>34.5</v>
      </c>
      <c r="AN618" s="3">
        <v>33.200000000000003</v>
      </c>
      <c r="AO618" s="3">
        <v>30</v>
      </c>
      <c r="AP618" s="3">
        <v>27.6</v>
      </c>
      <c r="AQ618" s="3">
        <v>25.2</v>
      </c>
      <c r="AR618" s="3">
        <v>21.2</v>
      </c>
      <c r="AS618" s="3">
        <v>17.8</v>
      </c>
      <c r="AT618" s="3">
        <v>26.7</v>
      </c>
      <c r="AU618" s="3">
        <v>9.6999999999999993</v>
      </c>
      <c r="AV618" s="3">
        <v>8.5</v>
      </c>
      <c r="AW618" s="3">
        <v>8.9</v>
      </c>
      <c r="AX618" s="3">
        <v>9.1</v>
      </c>
      <c r="AY618" s="3">
        <v>9.3000000000000007</v>
      </c>
      <c r="AZ618" s="3">
        <v>0</v>
      </c>
      <c r="BA618" s="3">
        <v>0</v>
      </c>
      <c r="BB618" s="3">
        <v>0</v>
      </c>
      <c r="BC618" s="3">
        <v>41.328511571082096</v>
      </c>
      <c r="BD618" s="3">
        <v>49.971488428917901</v>
      </c>
      <c r="BE618" s="3">
        <v>48.371488428917893</v>
      </c>
      <c r="BF618" s="3">
        <v>46.031488428917889</v>
      </c>
      <c r="BG618" s="3">
        <v>42.258155095584577</v>
      </c>
      <c r="BH618" s="3">
        <v>37.398155095584563</v>
      </c>
      <c r="BI618" s="3">
        <v>36.311488428917905</v>
      </c>
      <c r="BJ618" s="3">
        <v>41.30482176225123</v>
      </c>
      <c r="BK618" s="3">
        <v>42.878155095584567</v>
      </c>
      <c r="BL618" s="3">
        <v>46.951488428917905</v>
      </c>
      <c r="BM618" s="3">
        <v>40.584821762251231</v>
      </c>
      <c r="BN618" s="3">
        <v>38.568155095584565</v>
      </c>
      <c r="BO618" s="3">
        <v>37.634821762251242</v>
      </c>
      <c r="BP618" s="3">
        <v>36.451488428917905</v>
      </c>
      <c r="BQ618" s="3">
        <v>35.368155095584562</v>
      </c>
      <c r="BR618" s="3">
        <v>34.194821762251244</v>
      </c>
      <c r="BS618" s="3">
        <v>34.398155095584563</v>
      </c>
      <c r="BT618" s="3">
        <v>33.294821762251239</v>
      </c>
      <c r="BU618" s="3">
        <v>30.061488428917905</v>
      </c>
      <c r="BV618" s="3">
        <v>27.378155095584567</v>
      </c>
      <c r="BW618" s="3">
        <v>25.511488428917907</v>
      </c>
      <c r="BX618" s="3">
        <v>21.431488428917909</v>
      </c>
      <c r="BY618" s="3">
        <v>17.851488428917897</v>
      </c>
      <c r="BZ618" s="3">
        <v>26.881488428917912</v>
      </c>
      <c r="CA618" s="3">
        <v>9.981488428917892</v>
      </c>
      <c r="CB618" s="3">
        <v>8.2181550955845637</v>
      </c>
      <c r="CC618" s="3">
        <v>8.8314884289179005</v>
      </c>
      <c r="CD618" s="3">
        <v>8.3381550955845753</v>
      </c>
      <c r="CE618" s="3">
        <v>8.7314884289178991</v>
      </c>
      <c r="CF618" s="3">
        <v>-0.95517823774876831</v>
      </c>
      <c r="CG618" s="3">
        <v>-1.4885115710820997</v>
      </c>
      <c r="CH618" s="3">
        <v>-2.5651782377487677</v>
      </c>
      <c r="CI618" s="13">
        <f>[1]!dbasum(RecData[[#This Row],[20]:[2000]],RecData[[#Headers],[20]:[2000]])</f>
        <v>41.007630333825027</v>
      </c>
      <c r="CJ618" s="14">
        <v>8386</v>
      </c>
      <c r="CK618" s="15" t="s">
        <v>249</v>
      </c>
      <c r="CL618" s="15">
        <f>RecData[[#This Row],[Start Time]]</f>
        <v>43270.145138888889</v>
      </c>
      <c r="CM618" s="16">
        <f>RecData[[#This Row],[Wind Speed avg]]</f>
        <v>0.65</v>
      </c>
      <c r="CN618" s="16">
        <f>RecData[[#This Row],[Wind Dir. avg]]</f>
        <v>175</v>
      </c>
      <c r="CO618" s="16">
        <f>RecData[[#This Row],[Amb. Humidity]]</f>
        <v>77.8</v>
      </c>
      <c r="CP618" s="16">
        <f>RecData[[#This Row],[Amb. Temperature]]</f>
        <v>12.8</v>
      </c>
      <c r="CQ618" s="17">
        <f>RecData[[#This Row],[Amb. Rain Gauge]]</f>
        <v>0</v>
      </c>
      <c r="CR618" s="4" t="s">
        <v>1</v>
      </c>
      <c r="CS618" s="4" t="s">
        <v>49</v>
      </c>
      <c r="CT618" s="70">
        <v>1619.19299316406</v>
      </c>
      <c r="CU618" s="70">
        <v>30.000257492065401</v>
      </c>
      <c r="CV618" s="70">
        <v>12.0840797424316</v>
      </c>
      <c r="CW618" s="70">
        <v>15.3107404708862</v>
      </c>
      <c r="CX618" s="4"/>
      <c r="CY618" s="69"/>
      <c r="CZ618" s="2" t="b">
        <f>IF($DP$1="YES",IF(RecData[[#This Row],[Power (kW)]]&gt;=$CR$3, TRUE,FALSE),TRUE)</f>
        <v>1</v>
      </c>
      <c r="DA618" s="16">
        <f>MIN(MOD(180-ABS(ABS($DA$1-RecData[Yaw Angle (°)])-180),360),MOD(180-ABS(ABS($DB$1-RecData[Yaw Angle (°)])-180),360))</f>
        <v>22.470330714377837</v>
      </c>
      <c r="DB618" s="2" t="str">
        <f>IF($DP$2="None","None",IF(RecData[[#This Row],[Relative Wind Direction]]&lt;=45,"DW",IF(RecData[[#This Row],[Relative Wind Direction]]&lt;=135,"CW","UW")))</f>
        <v>DW</v>
      </c>
      <c r="DC618" s="61">
        <f>IF($CL618-$CL614&gt;1/24,#REF!,IF(SUM($CQ614:$CQ618)&gt;$DS$1,$DS$5,DC619-1))</f>
        <v>-4</v>
      </c>
      <c r="DD618" s="61">
        <f>IF($CL619-$CL618&gt;1/24,#REF!,IF(SUM($CQ614:$CQ618)&gt;$DS$1,$DS$6,DD617-1))</f>
        <v>-7</v>
      </c>
      <c r="DE618" s="18" t="b">
        <v>0</v>
      </c>
      <c r="DF618" s="2" t="b">
        <f>IF(OR(RecData[[#This Row],[WSpd_Avg '[m/s']]]-RecData[[#This Row],[Wind Speed min]]&gt;=$DF$3,RecData[[#This Row],[Wind Speed max]]-RecData[[#This Row],[WSpd_Avg '[m/s']]]&gt;=$DF$2),TRUE,FALSE)</f>
        <v>0</v>
      </c>
      <c r="DG618" s="2" t="b">
        <f>RecData[[#This Row],[Temperature '[°C']]]&lt;=-20</f>
        <v>0</v>
      </c>
      <c r="DH618" s="18" t="b">
        <f>NOT(OR(MOD(RecData[[#This Row],[TIMESTAMP]],1)&gt;0.91632,MOD(RecData[[#This Row],[TIMESTAMP]],1)&lt;0.208681))</f>
        <v>0</v>
      </c>
      <c r="DI618" s="18" t="b">
        <f>RecData[[#This Row],[Overall (dBA)]]-RecData[[#This Row],[L90]]&gt;=$DS$4</f>
        <v>0</v>
      </c>
      <c r="DJ618" s="18" t="b">
        <f>RecData[[#This Row],[Overall (dBA)]]&gt;$DS$2</f>
        <v>0</v>
      </c>
      <c r="DK618" s="18" t="b">
        <f>RecData[[#This Row],[Overall (dBA)]]&lt;$DS$3</f>
        <v>0</v>
      </c>
      <c r="DL6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8" s="2">
        <f>IF(AND(RecData[[#This Row],[Turbines ON/OFF]] = "OFF", NOT(OR(RecData[[#This Row],[Junk?]]="YES",RecData[[#This Row],[Gust?]],RecData[[#This Row],[Rain?]:[Min SPL Threshold?]]))),1,0)</f>
        <v>0</v>
      </c>
      <c r="DN618" s="16">
        <f>RecData[[#This Row],[dBA Sum]]</f>
        <v>41.007630333825027</v>
      </c>
      <c r="DO618" s="16">
        <f>RecData[[#This Row],[LAF90.0]]</f>
        <v>40.200000000000003</v>
      </c>
      <c r="DP618" s="55">
        <f>IF(AND(RecData[[#This Row],[Useable TON Data?]],RecData[[#This Row],[Turbines ON/OFF]]="ON"),RecData[[#This Row],[dBA Sum]],"")</f>
        <v>41.007630333825027</v>
      </c>
      <c r="DQ618" s="55" t="str">
        <f>IF(AND(RecData[[#This Row],[Useable Background Data?]],RecData[[#This Row],[Turbines ON/OFF]]="OFF"),RecData[[#This Row],[dBA Sum]],"")</f>
        <v/>
      </c>
      <c r="DR618" s="3">
        <f>IF(OR(RecData[[#This Row],[Useable TON Data?]],RecData[[#This Row],[Useable Background Data?]]),ROUND(RecData[[#This Row],[WSpd_Avg '[m/s']]],0),"")</f>
        <v>1</v>
      </c>
      <c r="DS618" s="85">
        <f>(0.00002)^2*(10^(RecData[[#This Row],[Overall (dBA)]]/10))</f>
        <v>5.0445568964545012E-6</v>
      </c>
    </row>
    <row r="619" spans="1:123" ht="15" x14ac:dyDescent="0.25">
      <c r="A619" s="3" t="s">
        <v>249</v>
      </c>
      <c r="B619" s="12">
        <v>43270.145833333336</v>
      </c>
      <c r="C619" s="3"/>
      <c r="D619" s="3">
        <v>40.6</v>
      </c>
      <c r="E619" s="3"/>
      <c r="F619" s="3"/>
      <c r="G619" s="3"/>
      <c r="H619" s="3"/>
      <c r="I619" s="3"/>
      <c r="J619" s="3"/>
      <c r="K619" s="3">
        <v>39.5</v>
      </c>
      <c r="L619" s="3"/>
      <c r="M619" s="3"/>
      <c r="N619" s="3">
        <v>178.2</v>
      </c>
      <c r="O619" s="3"/>
      <c r="P619" s="3"/>
      <c r="Q619" s="3">
        <v>0.53</v>
      </c>
      <c r="R619" s="3">
        <v>0.4</v>
      </c>
      <c r="S619" s="3">
        <v>0.7</v>
      </c>
      <c r="T619" s="3">
        <v>12.8</v>
      </c>
      <c r="U619" s="3">
        <v>77.8</v>
      </c>
      <c r="V619" s="3">
        <v>973.1</v>
      </c>
      <c r="W619" s="3">
        <v>0</v>
      </c>
      <c r="X619" s="3">
        <v>49.3</v>
      </c>
      <c r="Y619" s="3">
        <v>48.1</v>
      </c>
      <c r="Z619" s="3">
        <v>46.5</v>
      </c>
      <c r="AA619" s="3">
        <v>42.5</v>
      </c>
      <c r="AB619" s="3">
        <v>38</v>
      </c>
      <c r="AC619" s="3">
        <v>36.9</v>
      </c>
      <c r="AD619" s="3">
        <v>41.8</v>
      </c>
      <c r="AE619" s="3">
        <v>42.7</v>
      </c>
      <c r="AF619" s="3">
        <v>45.2</v>
      </c>
      <c r="AG619" s="3">
        <v>38.9</v>
      </c>
      <c r="AH619" s="3">
        <v>38</v>
      </c>
      <c r="AI619" s="3">
        <v>36.799999999999997</v>
      </c>
      <c r="AJ619" s="3">
        <v>36.6</v>
      </c>
      <c r="AK619" s="3">
        <v>34.700000000000003</v>
      </c>
      <c r="AL619" s="3">
        <v>33.200000000000003</v>
      </c>
      <c r="AM619" s="3">
        <v>34</v>
      </c>
      <c r="AN619" s="3">
        <v>32.700000000000003</v>
      </c>
      <c r="AO619" s="3">
        <v>29.7</v>
      </c>
      <c r="AP619" s="3">
        <v>27.5</v>
      </c>
      <c r="AQ619" s="3">
        <v>25</v>
      </c>
      <c r="AR619" s="3">
        <v>21</v>
      </c>
      <c r="AS619" s="3">
        <v>16.8</v>
      </c>
      <c r="AT619" s="3">
        <v>23.9</v>
      </c>
      <c r="AU619" s="3">
        <v>9.6999999999999993</v>
      </c>
      <c r="AV619" s="3">
        <v>8.5</v>
      </c>
      <c r="AW619" s="3">
        <v>8.9</v>
      </c>
      <c r="AX619" s="3">
        <v>9.1</v>
      </c>
      <c r="AY619" s="3">
        <v>9.3000000000000007</v>
      </c>
      <c r="AZ619" s="3">
        <v>0</v>
      </c>
      <c r="BA619" s="3">
        <v>0</v>
      </c>
      <c r="BB619" s="3">
        <v>0</v>
      </c>
      <c r="BC619" s="3">
        <v>40.555083823301395</v>
      </c>
      <c r="BD619" s="3">
        <v>49.344916176698611</v>
      </c>
      <c r="BE619" s="3">
        <v>48.144916176698608</v>
      </c>
      <c r="BF619" s="3">
        <v>45.304916176698605</v>
      </c>
      <c r="BG619" s="3">
        <v>41.631582843365273</v>
      </c>
      <c r="BH619" s="3">
        <v>37.271582843365273</v>
      </c>
      <c r="BI619" s="3">
        <v>36.584916176698606</v>
      </c>
      <c r="BJ619" s="3">
        <v>42.278249510031934</v>
      </c>
      <c r="BK619" s="3">
        <v>43.051582843365274</v>
      </c>
      <c r="BL619" s="3">
        <v>45.124916176698612</v>
      </c>
      <c r="BM619" s="3">
        <v>38.958249510031941</v>
      </c>
      <c r="BN619" s="3">
        <v>38.341582843365281</v>
      </c>
      <c r="BO619" s="3">
        <v>36.508249510031938</v>
      </c>
      <c r="BP619" s="3">
        <v>36.024916176698618</v>
      </c>
      <c r="BQ619" s="3">
        <v>34.541582843365269</v>
      </c>
      <c r="BR619" s="3">
        <v>33.368249510031951</v>
      </c>
      <c r="BS619" s="3">
        <v>33.971582843365276</v>
      </c>
      <c r="BT619" s="3">
        <v>32.868249510031951</v>
      </c>
      <c r="BU619" s="3">
        <v>29.834916176698606</v>
      </c>
      <c r="BV619" s="3">
        <v>27.351582843365271</v>
      </c>
      <c r="BW619" s="3">
        <v>25.384916176698603</v>
      </c>
      <c r="BX619" s="3">
        <v>21.304916176698612</v>
      </c>
      <c r="BY619" s="3">
        <v>16.924916176698609</v>
      </c>
      <c r="BZ619" s="3">
        <v>24.154916176698613</v>
      </c>
      <c r="CA619" s="3">
        <v>10.054916176698597</v>
      </c>
      <c r="CB619" s="3">
        <v>8.2915828433652692</v>
      </c>
      <c r="CC619" s="3">
        <v>8.904916176698606</v>
      </c>
      <c r="CD619" s="3">
        <v>8.4115828433652737</v>
      </c>
      <c r="CE619" s="3">
        <v>8.8049161766986046</v>
      </c>
      <c r="CF619" s="3">
        <v>-0.88175048996806282</v>
      </c>
      <c r="CG619" s="3">
        <v>-1.4150838233013943</v>
      </c>
      <c r="CH619" s="3">
        <v>-2.4917504899680623</v>
      </c>
      <c r="CI619" s="13">
        <f>[1]!dbasum(RecData[[#This Row],[20]:[2000]],RecData[[#Headers],[20]:[2000]])</f>
        <v>40.391378655420098</v>
      </c>
      <c r="CJ619" s="14">
        <v>8387</v>
      </c>
      <c r="CK619" s="15" t="s">
        <v>249</v>
      </c>
      <c r="CL619" s="15">
        <f>RecData[[#This Row],[Start Time]]</f>
        <v>43270.145833333336</v>
      </c>
      <c r="CM619" s="16">
        <f>RecData[[#This Row],[Wind Speed avg]]</f>
        <v>0.53</v>
      </c>
      <c r="CN619" s="16">
        <f>RecData[[#This Row],[Wind Dir. avg]]</f>
        <v>178.2</v>
      </c>
      <c r="CO619" s="16">
        <f>RecData[[#This Row],[Amb. Humidity]]</f>
        <v>77.8</v>
      </c>
      <c r="CP619" s="16">
        <f>RecData[[#This Row],[Amb. Temperature]]</f>
        <v>12.8</v>
      </c>
      <c r="CQ619" s="17">
        <f>RecData[[#This Row],[Amb. Rain Gauge]]</f>
        <v>0</v>
      </c>
      <c r="CR619" s="4" t="s">
        <v>1</v>
      </c>
      <c r="CS619" s="4" t="s">
        <v>49</v>
      </c>
      <c r="CT619" s="70">
        <v>1619.19299316406</v>
      </c>
      <c r="CU619" s="70">
        <v>30.000257492065401</v>
      </c>
      <c r="CV619" s="70">
        <v>12.0840797424316</v>
      </c>
      <c r="CW619" s="70">
        <v>15.3107404708862</v>
      </c>
      <c r="CX619" s="4"/>
      <c r="CY619" s="69"/>
      <c r="CZ619" s="2" t="b">
        <f>IF($DP$1="YES",IF(RecData[[#This Row],[Power (kW)]]&gt;=$CR$3, TRUE,FALSE),TRUE)</f>
        <v>1</v>
      </c>
      <c r="DA619" s="16">
        <f>MIN(MOD(180-ABS(ABS($DA$1-RecData[Yaw Angle (°)])-180),360),MOD(180-ABS(ABS($DB$1-RecData[Yaw Angle (°)])-180),360))</f>
        <v>22.470330714377837</v>
      </c>
      <c r="DB619" s="2" t="str">
        <f>IF($DP$2="None","None",IF(RecData[[#This Row],[Relative Wind Direction]]&lt;=45,"DW",IF(RecData[[#This Row],[Relative Wind Direction]]&lt;=135,"CW","UW")))</f>
        <v>DW</v>
      </c>
      <c r="DC619" s="61">
        <f>IF($CL619-$CL615&gt;1/24,#REF!,IF(SUM($CQ615:$CQ619)&gt;$DS$1,$DS$5,DC620-1))</f>
        <v>-3</v>
      </c>
      <c r="DD619" s="61">
        <f>IF($CL620-$CL619&gt;1/24,#REF!,IF(SUM($CQ615:$CQ619)&gt;$DS$1,$DS$6,DD618-1))</f>
        <v>-8</v>
      </c>
      <c r="DE619" s="18" t="b">
        <v>0</v>
      </c>
      <c r="DF619" s="2" t="b">
        <f>IF(OR(RecData[[#This Row],[WSpd_Avg '[m/s']]]-RecData[[#This Row],[Wind Speed min]]&gt;=$DF$3,RecData[[#This Row],[Wind Speed max]]-RecData[[#This Row],[WSpd_Avg '[m/s']]]&gt;=$DF$2),TRUE,FALSE)</f>
        <v>0</v>
      </c>
      <c r="DG619" s="2" t="b">
        <f>RecData[[#This Row],[Temperature '[°C']]]&lt;=-20</f>
        <v>0</v>
      </c>
      <c r="DH619" s="18" t="b">
        <f>NOT(OR(MOD(RecData[[#This Row],[TIMESTAMP]],1)&gt;0.91632,MOD(RecData[[#This Row],[TIMESTAMP]],1)&lt;0.208681))</f>
        <v>0</v>
      </c>
      <c r="DI619" s="18" t="b">
        <f>RecData[[#This Row],[Overall (dBA)]]-RecData[[#This Row],[L90]]&gt;=$DS$4</f>
        <v>0</v>
      </c>
      <c r="DJ619" s="18" t="b">
        <f>RecData[[#This Row],[Overall (dBA)]]&gt;$DS$2</f>
        <v>0</v>
      </c>
      <c r="DK619" s="18" t="b">
        <f>RecData[[#This Row],[Overall (dBA)]]&lt;$DS$3</f>
        <v>0</v>
      </c>
      <c r="DL6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19" s="2">
        <f>IF(AND(RecData[[#This Row],[Turbines ON/OFF]] = "OFF", NOT(OR(RecData[[#This Row],[Junk?]]="YES",RecData[[#This Row],[Gust?]],RecData[[#This Row],[Rain?]:[Min SPL Threshold?]]))),1,0)</f>
        <v>0</v>
      </c>
      <c r="DN619" s="16">
        <f>RecData[[#This Row],[dBA Sum]]</f>
        <v>40.391378655420098</v>
      </c>
      <c r="DO619" s="16">
        <f>RecData[[#This Row],[LAF90.0]]</f>
        <v>39.5</v>
      </c>
      <c r="DP619" s="55">
        <f>IF(AND(RecData[[#This Row],[Useable TON Data?]],RecData[[#This Row],[Turbines ON/OFF]]="ON"),RecData[[#This Row],[dBA Sum]],"")</f>
        <v>40.391378655420098</v>
      </c>
      <c r="DQ619" s="55" t="str">
        <f>IF(AND(RecData[[#This Row],[Useable Background Data?]],RecData[[#This Row],[Turbines ON/OFF]]="OFF"),RecData[[#This Row],[dBA Sum]],"")</f>
        <v/>
      </c>
      <c r="DR619" s="3">
        <f>IF(OR(RecData[[#This Row],[Useable TON Data?]],RecData[[#This Row],[Useable Background Data?]]),ROUND(RecData[[#This Row],[WSpd_Avg '[m/s']]],0),"")</f>
        <v>1</v>
      </c>
      <c r="DS619" s="85">
        <f>(0.00002)^2*(10^(RecData[[#This Row],[Overall (dBA)]]/10))</f>
        <v>4.377214778880773E-6</v>
      </c>
    </row>
    <row r="620" spans="1:123" ht="15" x14ac:dyDescent="0.25">
      <c r="A620" s="3" t="s">
        <v>249</v>
      </c>
      <c r="B620" s="12">
        <v>43270.146527777775</v>
      </c>
      <c r="C620" s="3"/>
      <c r="D620" s="3">
        <v>41</v>
      </c>
      <c r="E620" s="3"/>
      <c r="F620" s="3"/>
      <c r="G620" s="3"/>
      <c r="H620" s="3"/>
      <c r="I620" s="3"/>
      <c r="J620" s="3"/>
      <c r="K620" s="3">
        <v>39.9</v>
      </c>
      <c r="L620" s="3"/>
      <c r="M620" s="3"/>
      <c r="N620" s="3">
        <v>167.4</v>
      </c>
      <c r="O620" s="3"/>
      <c r="P620" s="3"/>
      <c r="Q620" s="3">
        <v>0.76</v>
      </c>
      <c r="R620" s="3">
        <v>0.4</v>
      </c>
      <c r="S620" s="3">
        <v>1.2</v>
      </c>
      <c r="T620" s="3">
        <v>12.8</v>
      </c>
      <c r="U620" s="3">
        <v>79.3</v>
      </c>
      <c r="V620" s="3">
        <v>973.1</v>
      </c>
      <c r="W620" s="3">
        <v>0</v>
      </c>
      <c r="X620" s="3">
        <v>48.8</v>
      </c>
      <c r="Y620" s="3">
        <v>47.8</v>
      </c>
      <c r="Z620" s="3">
        <v>47.1</v>
      </c>
      <c r="AA620" s="3">
        <v>43.1</v>
      </c>
      <c r="AB620" s="3">
        <v>37.799999999999997</v>
      </c>
      <c r="AC620" s="3">
        <v>36.5</v>
      </c>
      <c r="AD620" s="3">
        <v>41.2</v>
      </c>
      <c r="AE620" s="3">
        <v>42.6</v>
      </c>
      <c r="AF620" s="3">
        <v>46.6</v>
      </c>
      <c r="AG620" s="3">
        <v>39.799999999999997</v>
      </c>
      <c r="AH620" s="3">
        <v>38.5</v>
      </c>
      <c r="AI620" s="3">
        <v>37.6</v>
      </c>
      <c r="AJ620" s="3">
        <v>37.200000000000003</v>
      </c>
      <c r="AK620" s="3">
        <v>35.200000000000003</v>
      </c>
      <c r="AL620" s="3">
        <v>33.6</v>
      </c>
      <c r="AM620" s="3">
        <v>34.200000000000003</v>
      </c>
      <c r="AN620" s="3">
        <v>32.700000000000003</v>
      </c>
      <c r="AO620" s="3">
        <v>29.7</v>
      </c>
      <c r="AP620" s="3">
        <v>27.4</v>
      </c>
      <c r="AQ620" s="3">
        <v>24.9</v>
      </c>
      <c r="AR620" s="3">
        <v>20.8</v>
      </c>
      <c r="AS620" s="3">
        <v>16.899999999999999</v>
      </c>
      <c r="AT620" s="3">
        <v>25.8</v>
      </c>
      <c r="AU620" s="3">
        <v>10.3</v>
      </c>
      <c r="AV620" s="3">
        <v>8.5</v>
      </c>
      <c r="AW620" s="3">
        <v>8.9</v>
      </c>
      <c r="AX620" s="3">
        <v>9.1</v>
      </c>
      <c r="AY620" s="3">
        <v>9.4</v>
      </c>
      <c r="AZ620" s="3">
        <v>0</v>
      </c>
      <c r="BA620" s="3">
        <v>0</v>
      </c>
      <c r="BB620" s="3">
        <v>0</v>
      </c>
      <c r="BC620" s="3">
        <v>40.974804931103506</v>
      </c>
      <c r="BD620" s="3">
        <v>48.825195068896491</v>
      </c>
      <c r="BE620" s="3">
        <v>47.825195068896491</v>
      </c>
      <c r="BF620" s="3">
        <v>45.885195068896493</v>
      </c>
      <c r="BG620" s="3">
        <v>42.211861735563161</v>
      </c>
      <c r="BH620" s="3">
        <v>37.051861735563165</v>
      </c>
      <c r="BI620" s="3">
        <v>36.165195068896494</v>
      </c>
      <c r="BJ620" s="3">
        <v>41.65852840222982</v>
      </c>
      <c r="BK620" s="3">
        <v>42.93186173556316</v>
      </c>
      <c r="BL620" s="3">
        <v>46.505195068896498</v>
      </c>
      <c r="BM620" s="3">
        <v>39.838528402229826</v>
      </c>
      <c r="BN620" s="3">
        <v>38.821861735563161</v>
      </c>
      <c r="BO620" s="3">
        <v>37.288528402229829</v>
      </c>
      <c r="BP620" s="3">
        <v>36.605195068896506</v>
      </c>
      <c r="BQ620" s="3">
        <v>35.021861735563164</v>
      </c>
      <c r="BR620" s="3">
        <v>33.748528402229823</v>
      </c>
      <c r="BS620" s="3">
        <v>34.151861735563159</v>
      </c>
      <c r="BT620" s="3">
        <v>32.848528402229832</v>
      </c>
      <c r="BU620" s="3">
        <v>29.8151950688965</v>
      </c>
      <c r="BV620" s="3">
        <v>27.231861735563157</v>
      </c>
      <c r="BW620" s="3">
        <v>25.265195068896503</v>
      </c>
      <c r="BX620" s="3">
        <v>21.085195068896496</v>
      </c>
      <c r="BY620" s="3">
        <v>17.005195068896491</v>
      </c>
      <c r="BZ620" s="3">
        <v>26.035195068896499</v>
      </c>
      <c r="CA620" s="3">
        <v>10.635195068896486</v>
      </c>
      <c r="CB620" s="3">
        <v>8.2718617355631565</v>
      </c>
      <c r="CC620" s="3">
        <v>8.8851950688964934</v>
      </c>
      <c r="CD620" s="3">
        <v>8.3918617355631682</v>
      </c>
      <c r="CE620" s="3">
        <v>8.8851950688964934</v>
      </c>
      <c r="CF620" s="3">
        <v>-0.90147159777017549</v>
      </c>
      <c r="CG620" s="3">
        <v>-1.4348049311035069</v>
      </c>
      <c r="CH620" s="3">
        <v>-2.5114715977701749</v>
      </c>
      <c r="CI620" s="13">
        <f>[1]!dbasum(RecData[[#This Row],[20]:[2000]],RecData[[#Headers],[20]:[2000]])</f>
        <v>40.730558454251103</v>
      </c>
      <c r="CJ620" s="14">
        <v>8388</v>
      </c>
      <c r="CK620" s="15" t="s">
        <v>249</v>
      </c>
      <c r="CL620" s="15">
        <f>RecData[[#This Row],[Start Time]]</f>
        <v>43270.146527777775</v>
      </c>
      <c r="CM620" s="16">
        <f>RecData[[#This Row],[Wind Speed avg]]</f>
        <v>0.76</v>
      </c>
      <c r="CN620" s="16">
        <f>RecData[[#This Row],[Wind Dir. avg]]</f>
        <v>167.4</v>
      </c>
      <c r="CO620" s="16">
        <f>RecData[[#This Row],[Amb. Humidity]]</f>
        <v>79.3</v>
      </c>
      <c r="CP620" s="16">
        <f>RecData[[#This Row],[Amb. Temperature]]</f>
        <v>12.8</v>
      </c>
      <c r="CQ620" s="17">
        <f>RecData[[#This Row],[Amb. Rain Gauge]]</f>
        <v>0</v>
      </c>
      <c r="CR620" s="4" t="s">
        <v>1</v>
      </c>
      <c r="CS620" s="4" t="s">
        <v>49</v>
      </c>
      <c r="CT620" s="70">
        <v>1614.72290039062</v>
      </c>
      <c r="CU620" s="70">
        <v>30.000255584716701</v>
      </c>
      <c r="CV620" s="70">
        <v>10.4923429489135</v>
      </c>
      <c r="CW620" s="70">
        <v>15.2547616958618</v>
      </c>
      <c r="CX620" s="4"/>
      <c r="CY620" s="69"/>
      <c r="CZ620" s="2" t="b">
        <f>IF($DP$1="YES",IF(RecData[[#This Row],[Power (kW)]]&gt;=$CR$3, TRUE,FALSE),TRUE)</f>
        <v>1</v>
      </c>
      <c r="DA620" s="16">
        <f>MIN(MOD(180-ABS(ABS($DA$1-RecData[Yaw Angle (°)])-180),360),MOD(180-ABS(ABS($DB$1-RecData[Yaw Angle (°)])-180),360))</f>
        <v>22.470328807029148</v>
      </c>
      <c r="DB620" s="2" t="str">
        <f>IF($DP$2="None","None",IF(RecData[[#This Row],[Relative Wind Direction]]&lt;=45,"DW",IF(RecData[[#This Row],[Relative Wind Direction]]&lt;=135,"CW","UW")))</f>
        <v>DW</v>
      </c>
      <c r="DC620" s="61">
        <f>IF($CL620-$CL616&gt;1/24,#REF!,IF(SUM($CQ616:$CQ620)&gt;$DS$1,$DS$5,DC621-1))</f>
        <v>-2</v>
      </c>
      <c r="DD620" s="61">
        <f>IF($CL621-$CL620&gt;1/24,#REF!,IF(SUM($CQ616:$CQ620)&gt;$DS$1,$DS$6,DD619-1))</f>
        <v>-9</v>
      </c>
      <c r="DE620" s="18" t="b">
        <v>0</v>
      </c>
      <c r="DF620" s="2" t="b">
        <f>IF(OR(RecData[[#This Row],[WSpd_Avg '[m/s']]]-RecData[[#This Row],[Wind Speed min]]&gt;=$DF$3,RecData[[#This Row],[Wind Speed max]]-RecData[[#This Row],[WSpd_Avg '[m/s']]]&gt;=$DF$2),TRUE,FALSE)</f>
        <v>0</v>
      </c>
      <c r="DG620" s="2" t="b">
        <f>RecData[[#This Row],[Temperature '[°C']]]&lt;=-20</f>
        <v>0</v>
      </c>
      <c r="DH620" s="18" t="b">
        <f>NOT(OR(MOD(RecData[[#This Row],[TIMESTAMP]],1)&gt;0.91632,MOD(RecData[[#This Row],[TIMESTAMP]],1)&lt;0.208681))</f>
        <v>0</v>
      </c>
      <c r="DI620" s="18" t="b">
        <f>RecData[[#This Row],[Overall (dBA)]]-RecData[[#This Row],[L90]]&gt;=$DS$4</f>
        <v>0</v>
      </c>
      <c r="DJ620" s="18" t="b">
        <f>RecData[[#This Row],[Overall (dBA)]]&gt;$DS$2</f>
        <v>0</v>
      </c>
      <c r="DK620" s="18" t="b">
        <f>RecData[[#This Row],[Overall (dBA)]]&lt;$DS$3</f>
        <v>0</v>
      </c>
      <c r="DL6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0" s="2">
        <f>IF(AND(RecData[[#This Row],[Turbines ON/OFF]] = "OFF", NOT(OR(RecData[[#This Row],[Junk?]]="YES",RecData[[#This Row],[Gust?]],RecData[[#This Row],[Rain?]:[Min SPL Threshold?]]))),1,0)</f>
        <v>0</v>
      </c>
      <c r="DN620" s="16">
        <f>RecData[[#This Row],[dBA Sum]]</f>
        <v>40.730558454251103</v>
      </c>
      <c r="DO620" s="16">
        <f>RecData[[#This Row],[LAF90.0]]</f>
        <v>39.9</v>
      </c>
      <c r="DP620" s="55">
        <f>IF(AND(RecData[[#This Row],[Useable TON Data?]],RecData[[#This Row],[Turbines ON/OFF]]="ON"),RecData[[#This Row],[dBA Sum]],"")</f>
        <v>40.730558454251103</v>
      </c>
      <c r="DQ620" s="55" t="str">
        <f>IF(AND(RecData[[#This Row],[Useable Background Data?]],RecData[[#This Row],[Turbines ON/OFF]]="OFF"),RecData[[#This Row],[dBA Sum]],"")</f>
        <v/>
      </c>
      <c r="DR620" s="3">
        <f>IF(OR(RecData[[#This Row],[Useable TON Data?]],RecData[[#This Row],[Useable Background Data?]]),ROUND(RecData[[#This Row],[WSpd_Avg '[m/s']]],0),"")</f>
        <v>1</v>
      </c>
      <c r="DS620" s="85">
        <f>(0.00002)^2*(10^(RecData[[#This Row],[Overall (dBA)]]/10))</f>
        <v>4.7327747658069866E-6</v>
      </c>
    </row>
    <row r="621" spans="1:123" ht="15" x14ac:dyDescent="0.25">
      <c r="A621" s="3" t="s">
        <v>249</v>
      </c>
      <c r="B621" s="12">
        <v>43270.147222222222</v>
      </c>
      <c r="C621" s="3"/>
      <c r="D621" s="3">
        <v>41</v>
      </c>
      <c r="E621" s="3"/>
      <c r="F621" s="3"/>
      <c r="G621" s="3"/>
      <c r="H621" s="3"/>
      <c r="I621" s="3"/>
      <c r="J621" s="3"/>
      <c r="K621" s="3">
        <v>39.9</v>
      </c>
      <c r="L621" s="3"/>
      <c r="M621" s="3"/>
      <c r="N621" s="3">
        <v>129.9</v>
      </c>
      <c r="O621" s="3"/>
      <c r="P621" s="3"/>
      <c r="Q621" s="3">
        <v>0.89</v>
      </c>
      <c r="R621" s="3">
        <v>0.7</v>
      </c>
      <c r="S621" s="3">
        <v>1</v>
      </c>
      <c r="T621" s="3">
        <v>12.7</v>
      </c>
      <c r="U621" s="3">
        <v>80</v>
      </c>
      <c r="V621" s="3">
        <v>973.2</v>
      </c>
      <c r="W621" s="3">
        <v>0</v>
      </c>
      <c r="X621" s="3">
        <v>49.2</v>
      </c>
      <c r="Y621" s="3">
        <v>48.3</v>
      </c>
      <c r="Z621" s="3">
        <v>47.4</v>
      </c>
      <c r="AA621" s="3">
        <v>43.1</v>
      </c>
      <c r="AB621" s="3">
        <v>38.4</v>
      </c>
      <c r="AC621" s="3">
        <v>36.700000000000003</v>
      </c>
      <c r="AD621" s="3">
        <v>41.1</v>
      </c>
      <c r="AE621" s="3">
        <v>42.7</v>
      </c>
      <c r="AF621" s="3">
        <v>46</v>
      </c>
      <c r="AG621" s="3">
        <v>39.299999999999997</v>
      </c>
      <c r="AH621" s="3">
        <v>39</v>
      </c>
      <c r="AI621" s="3">
        <v>37.799999999999997</v>
      </c>
      <c r="AJ621" s="3">
        <v>37.200000000000003</v>
      </c>
      <c r="AK621" s="3">
        <v>35.4</v>
      </c>
      <c r="AL621" s="3">
        <v>33.6</v>
      </c>
      <c r="AM621" s="3">
        <v>34.1</v>
      </c>
      <c r="AN621" s="3">
        <v>32.700000000000003</v>
      </c>
      <c r="AO621" s="3">
        <v>29.6</v>
      </c>
      <c r="AP621" s="3">
        <v>27.4</v>
      </c>
      <c r="AQ621" s="3">
        <v>24.9</v>
      </c>
      <c r="AR621" s="3">
        <v>20.9</v>
      </c>
      <c r="AS621" s="3">
        <v>16.600000000000001</v>
      </c>
      <c r="AT621" s="3">
        <v>26.1</v>
      </c>
      <c r="AU621" s="3">
        <v>10.1</v>
      </c>
      <c r="AV621" s="3">
        <v>8.5</v>
      </c>
      <c r="AW621" s="3">
        <v>8.9</v>
      </c>
      <c r="AX621" s="3">
        <v>9.1</v>
      </c>
      <c r="AY621" s="3">
        <v>9.4</v>
      </c>
      <c r="AZ621" s="3">
        <v>0</v>
      </c>
      <c r="BA621" s="3">
        <v>0</v>
      </c>
      <c r="BB621" s="3">
        <v>0</v>
      </c>
      <c r="BC621" s="3">
        <v>40.957114825443867</v>
      </c>
      <c r="BD621" s="3">
        <v>49.242885174556136</v>
      </c>
      <c r="BE621" s="3">
        <v>48.34288517455613</v>
      </c>
      <c r="BF621" s="3">
        <v>46.20288517455613</v>
      </c>
      <c r="BG621" s="3">
        <v>42.229551841222801</v>
      </c>
      <c r="BH621" s="3">
        <v>37.669551841222798</v>
      </c>
      <c r="BI621" s="3">
        <v>36.382885174556137</v>
      </c>
      <c r="BJ621" s="3">
        <v>41.576218507889465</v>
      </c>
      <c r="BK621" s="3">
        <v>43.049551841222794</v>
      </c>
      <c r="BL621" s="3">
        <v>45.922885174556129</v>
      </c>
      <c r="BM621" s="3">
        <v>39.356218507889466</v>
      </c>
      <c r="BN621" s="3">
        <v>39.3395518412228</v>
      </c>
      <c r="BO621" s="3">
        <v>37.506218507889471</v>
      </c>
      <c r="BP621" s="3">
        <v>36.622885174556146</v>
      </c>
      <c r="BQ621" s="3">
        <v>35.239551841222791</v>
      </c>
      <c r="BR621" s="3">
        <v>33.766218507889462</v>
      </c>
      <c r="BS621" s="3">
        <v>34.069551841222804</v>
      </c>
      <c r="BT621" s="3">
        <v>32.866218507889471</v>
      </c>
      <c r="BU621" s="3">
        <v>29.732885174556131</v>
      </c>
      <c r="BV621" s="3">
        <v>27.249551841222797</v>
      </c>
      <c r="BW621" s="3">
        <v>25.282885174556142</v>
      </c>
      <c r="BX621" s="3">
        <v>21.202885174556137</v>
      </c>
      <c r="BY621" s="3">
        <v>16.722885174556133</v>
      </c>
      <c r="BZ621" s="3">
        <v>26.352885174556135</v>
      </c>
      <c r="CA621" s="3">
        <v>10.45288517455613</v>
      </c>
      <c r="CB621" s="3">
        <v>8.2895518412227958</v>
      </c>
      <c r="CC621" s="3">
        <v>8.9028851745561326</v>
      </c>
      <c r="CD621" s="3">
        <v>8.4095518412228074</v>
      </c>
      <c r="CE621" s="3">
        <v>8.9028851745561326</v>
      </c>
      <c r="CF621" s="3">
        <v>-0.88378149211053625</v>
      </c>
      <c r="CG621" s="3">
        <v>-1.4171148254438677</v>
      </c>
      <c r="CH621" s="3">
        <v>-2.4937814921105357</v>
      </c>
      <c r="CI621" s="13">
        <f>[1]!dbasum(RecData[[#This Row],[20]:[2000]],RecData[[#Headers],[20]:[2000]])</f>
        <v>40.719442584472617</v>
      </c>
      <c r="CJ621" s="14">
        <v>8389</v>
      </c>
      <c r="CK621" s="15" t="s">
        <v>249</v>
      </c>
      <c r="CL621" s="15">
        <f>RecData[[#This Row],[Start Time]]</f>
        <v>43270.147222222222</v>
      </c>
      <c r="CM621" s="16">
        <f>RecData[[#This Row],[Wind Speed avg]]</f>
        <v>0.89</v>
      </c>
      <c r="CN621" s="16">
        <f>RecData[[#This Row],[Wind Dir. avg]]</f>
        <v>129.9</v>
      </c>
      <c r="CO621" s="16">
        <f>RecData[[#This Row],[Amb. Humidity]]</f>
        <v>80</v>
      </c>
      <c r="CP621" s="16">
        <f>RecData[[#This Row],[Amb. Temperature]]</f>
        <v>12.7</v>
      </c>
      <c r="CQ621" s="17">
        <f>RecData[[#This Row],[Amb. Rain Gauge]]</f>
        <v>0</v>
      </c>
      <c r="CR621" s="4" t="s">
        <v>1</v>
      </c>
      <c r="CS621" s="4" t="s">
        <v>49</v>
      </c>
      <c r="CT621" s="70">
        <v>1614.72290039062</v>
      </c>
      <c r="CU621" s="70">
        <v>30.000255584716701</v>
      </c>
      <c r="CV621" s="70">
        <v>10.4923429489135</v>
      </c>
      <c r="CW621" s="70">
        <v>15.2547616958618</v>
      </c>
      <c r="CX621" s="4"/>
      <c r="CY621" s="69"/>
      <c r="CZ621" s="2" t="b">
        <f>IF($DP$1="YES",IF(RecData[[#This Row],[Power (kW)]]&gt;=$CR$3, TRUE,FALSE),TRUE)</f>
        <v>1</v>
      </c>
      <c r="DA621" s="16">
        <f>MIN(MOD(180-ABS(ABS($DA$1-RecData[Yaw Angle (°)])-180),360),MOD(180-ABS(ABS($DB$1-RecData[Yaw Angle (°)])-180),360))</f>
        <v>22.470328807029148</v>
      </c>
      <c r="DB621" s="2" t="str">
        <f>IF($DP$2="None","None",IF(RecData[[#This Row],[Relative Wind Direction]]&lt;=45,"DW",IF(RecData[[#This Row],[Relative Wind Direction]]&lt;=135,"CW","UW")))</f>
        <v>DW</v>
      </c>
      <c r="DC621" s="61">
        <v>-1</v>
      </c>
      <c r="DD621" s="61">
        <v>-1</v>
      </c>
      <c r="DE621" s="18" t="b">
        <v>0</v>
      </c>
      <c r="DF621" s="2" t="b">
        <f>IF(OR(RecData[[#This Row],[WSpd_Avg '[m/s']]]-RecData[[#This Row],[Wind Speed min]]&gt;=$DF$3,RecData[[#This Row],[Wind Speed max]]-RecData[[#This Row],[WSpd_Avg '[m/s']]]&gt;=$DF$2),TRUE,FALSE)</f>
        <v>0</v>
      </c>
      <c r="DG621" s="2" t="b">
        <f>RecData[[#This Row],[Temperature '[°C']]]&lt;=-20</f>
        <v>0</v>
      </c>
      <c r="DH621" s="18" t="b">
        <f>NOT(OR(MOD(RecData[[#This Row],[TIMESTAMP]],1)&gt;0.91632,MOD(RecData[[#This Row],[TIMESTAMP]],1)&lt;0.208681))</f>
        <v>0</v>
      </c>
      <c r="DI621" s="18" t="b">
        <f>RecData[[#This Row],[Overall (dBA)]]-RecData[[#This Row],[L90]]&gt;=$DS$4</f>
        <v>0</v>
      </c>
      <c r="DJ621" s="18" t="b">
        <f>RecData[[#This Row],[Overall (dBA)]]&gt;$DS$2</f>
        <v>0</v>
      </c>
      <c r="DK621" s="18" t="b">
        <f>RecData[[#This Row],[Overall (dBA)]]&lt;$DS$3</f>
        <v>0</v>
      </c>
      <c r="DL6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1" s="2">
        <f>IF(AND(RecData[[#This Row],[Turbines ON/OFF]] = "OFF", NOT(OR(RecData[[#This Row],[Junk?]]="YES",RecData[[#This Row],[Gust?]],RecData[[#This Row],[Rain?]:[Min SPL Threshold?]]))),1,0)</f>
        <v>0</v>
      </c>
      <c r="DN621" s="16">
        <f>RecData[[#This Row],[dBA Sum]]</f>
        <v>40.719442584472617</v>
      </c>
      <c r="DO621" s="16">
        <f>RecData[[#This Row],[LAF90.0]]</f>
        <v>39.9</v>
      </c>
      <c r="DP621" s="55">
        <f>IF(AND(RecData[[#This Row],[Useable TON Data?]],RecData[[#This Row],[Turbines ON/OFF]]="ON"),RecData[[#This Row],[dBA Sum]],"")</f>
        <v>40.719442584472617</v>
      </c>
      <c r="DQ621" s="55" t="str">
        <f>IF(AND(RecData[[#This Row],[Useable Background Data?]],RecData[[#This Row],[Turbines ON/OFF]]="OFF"),RecData[[#This Row],[dBA Sum]],"")</f>
        <v/>
      </c>
      <c r="DR621" s="3">
        <f>IF(OR(RecData[[#This Row],[Useable TON Data?]],RecData[[#This Row],[Useable Background Data?]]),ROUND(RecData[[#This Row],[WSpd_Avg '[m/s']]],0),"")</f>
        <v>1</v>
      </c>
      <c r="DS621" s="85">
        <f>(0.00002)^2*(10^(RecData[[#This Row],[Overall (dBA)]]/10))</f>
        <v>4.7206766064448655E-6</v>
      </c>
    </row>
    <row r="622" spans="1:123" ht="15" x14ac:dyDescent="0.25">
      <c r="A622" s="3" t="s">
        <v>249</v>
      </c>
      <c r="B622" s="12">
        <v>43270.147916666669</v>
      </c>
      <c r="C622" s="3"/>
      <c r="D622" s="3">
        <v>40.6</v>
      </c>
      <c r="E622" s="3"/>
      <c r="F622" s="3"/>
      <c r="G622" s="3"/>
      <c r="H622" s="3"/>
      <c r="I622" s="3"/>
      <c r="J622" s="3"/>
      <c r="K622" s="3">
        <v>39.6</v>
      </c>
      <c r="L622" s="3"/>
      <c r="M622" s="3"/>
      <c r="N622" s="3">
        <v>155.4</v>
      </c>
      <c r="O622" s="3"/>
      <c r="P622" s="3"/>
      <c r="Q622" s="3">
        <v>0.59</v>
      </c>
      <c r="R622" s="3">
        <v>0.4</v>
      </c>
      <c r="S622" s="3">
        <v>1</v>
      </c>
      <c r="T622" s="3">
        <v>12.5</v>
      </c>
      <c r="U622" s="3">
        <v>79.2</v>
      </c>
      <c r="V622" s="3">
        <v>973.2</v>
      </c>
      <c r="W622" s="3">
        <v>0</v>
      </c>
      <c r="X622" s="3">
        <v>49.5</v>
      </c>
      <c r="Y622" s="3">
        <v>48.1</v>
      </c>
      <c r="Z622" s="3">
        <v>47.1</v>
      </c>
      <c r="AA622" s="3">
        <v>43.4</v>
      </c>
      <c r="AB622" s="3">
        <v>38.200000000000003</v>
      </c>
      <c r="AC622" s="3">
        <v>36.5</v>
      </c>
      <c r="AD622" s="3">
        <v>41.1</v>
      </c>
      <c r="AE622" s="3">
        <v>42.1</v>
      </c>
      <c r="AF622" s="3">
        <v>46.3</v>
      </c>
      <c r="AG622" s="3">
        <v>38.799999999999997</v>
      </c>
      <c r="AH622" s="3">
        <v>38.700000000000003</v>
      </c>
      <c r="AI622" s="3">
        <v>37.4</v>
      </c>
      <c r="AJ622" s="3">
        <v>37.200000000000003</v>
      </c>
      <c r="AK622" s="3">
        <v>35</v>
      </c>
      <c r="AL622" s="3">
        <v>33.200000000000003</v>
      </c>
      <c r="AM622" s="3">
        <v>33.6</v>
      </c>
      <c r="AN622" s="3">
        <v>32.1</v>
      </c>
      <c r="AO622" s="3">
        <v>29</v>
      </c>
      <c r="AP622" s="3">
        <v>26.9</v>
      </c>
      <c r="AQ622" s="3">
        <v>24.2</v>
      </c>
      <c r="AR622" s="3">
        <v>20.2</v>
      </c>
      <c r="AS622" s="3">
        <v>16</v>
      </c>
      <c r="AT622" s="3">
        <v>25.8</v>
      </c>
      <c r="AU622" s="3">
        <v>10.1</v>
      </c>
      <c r="AV622" s="3">
        <v>8.5</v>
      </c>
      <c r="AW622" s="3">
        <v>8.9</v>
      </c>
      <c r="AX622" s="3">
        <v>9.1</v>
      </c>
      <c r="AY622" s="3">
        <v>9.3000000000000007</v>
      </c>
      <c r="AZ622" s="3">
        <v>0</v>
      </c>
      <c r="BA622" s="3">
        <v>0</v>
      </c>
      <c r="BB622" s="3">
        <v>0</v>
      </c>
      <c r="BC622" s="3">
        <v>40.590541055580445</v>
      </c>
      <c r="BD622" s="3">
        <v>49.509458944419549</v>
      </c>
      <c r="BE622" s="3">
        <v>48.109458944419558</v>
      </c>
      <c r="BF622" s="3">
        <v>45.869458944419563</v>
      </c>
      <c r="BG622" s="3">
        <v>42.496125611086228</v>
      </c>
      <c r="BH622" s="3">
        <v>37.436125611086226</v>
      </c>
      <c r="BI622" s="3">
        <v>36.149458944419564</v>
      </c>
      <c r="BJ622" s="3">
        <v>41.542792277752881</v>
      </c>
      <c r="BK622" s="3">
        <v>42.416125611086215</v>
      </c>
      <c r="BL622" s="3">
        <v>46.189458944419556</v>
      </c>
      <c r="BM622" s="3">
        <v>38.822792277752882</v>
      </c>
      <c r="BN622" s="3">
        <v>39.006125611086219</v>
      </c>
      <c r="BO622" s="3">
        <v>37.072792277752882</v>
      </c>
      <c r="BP622" s="3">
        <v>36.589458944419562</v>
      </c>
      <c r="BQ622" s="3">
        <v>34.806125611086216</v>
      </c>
      <c r="BR622" s="3">
        <v>33.332792277752901</v>
      </c>
      <c r="BS622" s="3">
        <v>33.53612561108622</v>
      </c>
      <c r="BT622" s="3">
        <v>32.232792277752893</v>
      </c>
      <c r="BU622" s="3">
        <v>29.099458944419553</v>
      </c>
      <c r="BV622" s="3">
        <v>26.716125611086227</v>
      </c>
      <c r="BW622" s="3">
        <v>24.549458944419555</v>
      </c>
      <c r="BX622" s="3">
        <v>20.469458944419557</v>
      </c>
      <c r="BY622" s="3">
        <v>16.089458944419555</v>
      </c>
      <c r="BZ622" s="3">
        <v>26.019458944419569</v>
      </c>
      <c r="CA622" s="3">
        <v>10.419458944419546</v>
      </c>
      <c r="CB622" s="3">
        <v>8.2561256110862189</v>
      </c>
      <c r="CC622" s="3">
        <v>8.8694589444195557</v>
      </c>
      <c r="CD622" s="3">
        <v>8.3761256110862234</v>
      </c>
      <c r="CE622" s="3">
        <v>8.7694589444195543</v>
      </c>
      <c r="CF622" s="3">
        <v>-0.91720772224711311</v>
      </c>
      <c r="CG622" s="3">
        <v>-1.4505410555804445</v>
      </c>
      <c r="CH622" s="3">
        <v>-2.5272077222471125</v>
      </c>
      <c r="CI622" s="13">
        <f>[1]!dbasum(RecData[[#This Row],[20]:[2000]],RecData[[#Headers],[20]:[2000]])</f>
        <v>40.308272318952319</v>
      </c>
      <c r="CJ622" s="14">
        <v>8390</v>
      </c>
      <c r="CK622" s="15" t="s">
        <v>249</v>
      </c>
      <c r="CL622" s="15">
        <f>RecData[[#This Row],[Start Time]]</f>
        <v>43270.147916666669</v>
      </c>
      <c r="CM622" s="16">
        <f>RecData[[#This Row],[Wind Speed avg]]</f>
        <v>0.59</v>
      </c>
      <c r="CN622" s="16">
        <f>RecData[[#This Row],[Wind Dir. avg]]</f>
        <v>155.4</v>
      </c>
      <c r="CO622" s="16">
        <f>RecData[[#This Row],[Amb. Humidity]]</f>
        <v>79.2</v>
      </c>
      <c r="CP622" s="16">
        <f>RecData[[#This Row],[Amb. Temperature]]</f>
        <v>12.5</v>
      </c>
      <c r="CQ622" s="17">
        <f>RecData[[#This Row],[Amb. Rain Gauge]]</f>
        <v>0</v>
      </c>
      <c r="CR622" s="4" t="s">
        <v>1</v>
      </c>
      <c r="CS622" s="4" t="s">
        <v>49</v>
      </c>
      <c r="CT622" s="70">
        <v>1614.72290039062</v>
      </c>
      <c r="CU622" s="70">
        <v>30.000255584716701</v>
      </c>
      <c r="CV622" s="70">
        <v>10.4923429489135</v>
      </c>
      <c r="CW622" s="70">
        <v>15.2547616958618</v>
      </c>
      <c r="CX622" s="4"/>
      <c r="CY622" s="69"/>
      <c r="CZ622" s="2" t="b">
        <f>IF($DP$1="YES",IF(RecData[[#This Row],[Power (kW)]]&gt;=$CR$3, TRUE,FALSE),TRUE)</f>
        <v>1</v>
      </c>
      <c r="DA622" s="16">
        <f>MIN(MOD(180-ABS(ABS($DA$1-RecData[Yaw Angle (°)])-180),360),MOD(180-ABS(ABS($DB$1-RecData[Yaw Angle (°)])-180),360))</f>
        <v>22.470328807029148</v>
      </c>
      <c r="DB622" s="2" t="str">
        <f>IF($DP$2="None","None",IF(RecData[[#This Row],[Relative Wind Direction]]&lt;=45,"DW",IF(RecData[[#This Row],[Relative Wind Direction]]&lt;=135,"CW","UW")))</f>
        <v>DW</v>
      </c>
      <c r="DC622" s="61">
        <f>IF($CL622-$CL621&gt;1/24,#REF!,IF(SUM($CQ621:$CQ622)&gt;$DS$1,$DS$5,DC623-1))</f>
        <v>-9</v>
      </c>
      <c r="DD622" s="61">
        <f>IF($CL623-$CL622&gt;1/24,#REF!,IF(SUM($CQ621:$CQ622)&gt;$DS$1,$DS$6,DD621-1))</f>
        <v>-2</v>
      </c>
      <c r="DE622" s="18" t="b">
        <v>0</v>
      </c>
      <c r="DF622" s="2" t="b">
        <f>IF(OR(RecData[[#This Row],[WSpd_Avg '[m/s']]]-RecData[[#This Row],[Wind Speed min]]&gt;=$DF$3,RecData[[#This Row],[Wind Speed max]]-RecData[[#This Row],[WSpd_Avg '[m/s']]]&gt;=$DF$2),TRUE,FALSE)</f>
        <v>0</v>
      </c>
      <c r="DG622" s="2" t="b">
        <f>RecData[[#This Row],[Temperature '[°C']]]&lt;=-20</f>
        <v>0</v>
      </c>
      <c r="DH622" s="18" t="b">
        <f>NOT(OR(MOD(RecData[[#This Row],[TIMESTAMP]],1)&gt;0.91632,MOD(RecData[[#This Row],[TIMESTAMP]],1)&lt;0.208681))</f>
        <v>0</v>
      </c>
      <c r="DI622" s="18" t="b">
        <f>RecData[[#This Row],[Overall (dBA)]]-RecData[[#This Row],[L90]]&gt;=$DS$4</f>
        <v>0</v>
      </c>
      <c r="DJ622" s="18" t="b">
        <f>RecData[[#This Row],[Overall (dBA)]]&gt;$DS$2</f>
        <v>0</v>
      </c>
      <c r="DK622" s="18" t="b">
        <f>RecData[[#This Row],[Overall (dBA)]]&lt;$DS$3</f>
        <v>0</v>
      </c>
      <c r="DL6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2" s="2">
        <f>IF(AND(RecData[[#This Row],[Turbines ON/OFF]] = "OFF", NOT(OR(RecData[[#This Row],[Junk?]]="YES",RecData[[#This Row],[Gust?]],RecData[[#This Row],[Rain?]:[Min SPL Threshold?]]))),1,0)</f>
        <v>0</v>
      </c>
      <c r="DN622" s="16">
        <f>RecData[[#This Row],[dBA Sum]]</f>
        <v>40.308272318952319</v>
      </c>
      <c r="DO622" s="16">
        <f>RecData[[#This Row],[LAF90.0]]</f>
        <v>39.6</v>
      </c>
      <c r="DP622" s="55">
        <f>IF(AND(RecData[[#This Row],[Useable TON Data?]],RecData[[#This Row],[Turbines ON/OFF]]="ON"),RecData[[#This Row],[dBA Sum]],"")</f>
        <v>40.308272318952319</v>
      </c>
      <c r="DQ622" s="55" t="str">
        <f>IF(AND(RecData[[#This Row],[Useable Background Data?]],RecData[[#This Row],[Turbines ON/OFF]]="OFF"),RecData[[#This Row],[dBA Sum]],"")</f>
        <v/>
      </c>
      <c r="DR622" s="3">
        <f>IF(OR(RecData[[#This Row],[Useable TON Data?]],RecData[[#This Row],[Useable Background Data?]]),ROUND(RecData[[#This Row],[WSpd_Avg '[m/s']]],0),"")</f>
        <v>1</v>
      </c>
      <c r="DS622" s="85">
        <f>(0.00002)^2*(10^(RecData[[#This Row],[Overall (dBA)]]/10))</f>
        <v>4.2942490003207284E-6</v>
      </c>
    </row>
    <row r="623" spans="1:123" ht="15" x14ac:dyDescent="0.25">
      <c r="A623" s="3" t="s">
        <v>249</v>
      </c>
      <c r="B623" s="12">
        <v>43270.148611111108</v>
      </c>
      <c r="C623" s="3"/>
      <c r="D623" s="3">
        <v>40.6</v>
      </c>
      <c r="E623" s="3"/>
      <c r="F623" s="3"/>
      <c r="G623" s="3"/>
      <c r="H623" s="3"/>
      <c r="I623" s="3"/>
      <c r="J623" s="3"/>
      <c r="K623" s="3">
        <v>39.799999999999997</v>
      </c>
      <c r="L623" s="3"/>
      <c r="M623" s="3"/>
      <c r="N623" s="3">
        <v>147.1</v>
      </c>
      <c r="O623" s="3"/>
      <c r="P623" s="3"/>
      <c r="Q623" s="3">
        <v>0.72</v>
      </c>
      <c r="R623" s="3">
        <v>0.6</v>
      </c>
      <c r="S623" s="3">
        <v>0.9</v>
      </c>
      <c r="T623" s="3">
        <v>12.4</v>
      </c>
      <c r="U623" s="3">
        <v>80.400000000000006</v>
      </c>
      <c r="V623" s="3">
        <v>973.2</v>
      </c>
      <c r="W623" s="3">
        <v>0</v>
      </c>
      <c r="X623" s="3">
        <v>49.5</v>
      </c>
      <c r="Y623" s="3">
        <v>48.6</v>
      </c>
      <c r="Z623" s="3">
        <v>47.7</v>
      </c>
      <c r="AA623" s="3">
        <v>43.5</v>
      </c>
      <c r="AB623" s="3">
        <v>39</v>
      </c>
      <c r="AC623" s="3">
        <v>36.4</v>
      </c>
      <c r="AD623" s="3">
        <v>40.6</v>
      </c>
      <c r="AE623" s="3">
        <v>42.4</v>
      </c>
      <c r="AF623" s="3">
        <v>46.1</v>
      </c>
      <c r="AG623" s="3">
        <v>39.1</v>
      </c>
      <c r="AH623" s="3">
        <v>38.5</v>
      </c>
      <c r="AI623" s="3">
        <v>37.700000000000003</v>
      </c>
      <c r="AJ623" s="3">
        <v>37</v>
      </c>
      <c r="AK623" s="3">
        <v>34.9</v>
      </c>
      <c r="AL623" s="3">
        <v>33.299999999999997</v>
      </c>
      <c r="AM623" s="3">
        <v>33.6</v>
      </c>
      <c r="AN623" s="3">
        <v>32.4</v>
      </c>
      <c r="AO623" s="3">
        <v>29.1</v>
      </c>
      <c r="AP623" s="3">
        <v>26.8</v>
      </c>
      <c r="AQ623" s="3">
        <v>24.4</v>
      </c>
      <c r="AR623" s="3">
        <v>20.399999999999999</v>
      </c>
      <c r="AS623" s="3">
        <v>16.3</v>
      </c>
      <c r="AT623" s="3">
        <v>25.4</v>
      </c>
      <c r="AU623" s="3">
        <v>9.6999999999999993</v>
      </c>
      <c r="AV623" s="3">
        <v>8.4</v>
      </c>
      <c r="AW623" s="3">
        <v>8.9</v>
      </c>
      <c r="AX623" s="3">
        <v>9.1</v>
      </c>
      <c r="AY623" s="3">
        <v>9.3000000000000007</v>
      </c>
      <c r="AZ623" s="3">
        <v>0</v>
      </c>
      <c r="BA623" s="3">
        <v>0</v>
      </c>
      <c r="BB623" s="3">
        <v>0</v>
      </c>
      <c r="BC623" s="3">
        <v>40.607366565527357</v>
      </c>
      <c r="BD623" s="3">
        <v>49.492633434472637</v>
      </c>
      <c r="BE623" s="3">
        <v>48.592633434472646</v>
      </c>
      <c r="BF623" s="3">
        <v>46.452633434472645</v>
      </c>
      <c r="BG623" s="3">
        <v>42.57930010113931</v>
      </c>
      <c r="BH623" s="3">
        <v>38.219300101139311</v>
      </c>
      <c r="BI623" s="3">
        <v>36.032633434472643</v>
      </c>
      <c r="BJ623" s="3">
        <v>41.025966767805969</v>
      </c>
      <c r="BK623" s="3">
        <v>42.699300101139315</v>
      </c>
      <c r="BL623" s="3">
        <v>45.972633434472655</v>
      </c>
      <c r="BM623" s="3">
        <v>39.105966767805981</v>
      </c>
      <c r="BN623" s="3">
        <v>38.789300101139318</v>
      </c>
      <c r="BO623" s="3">
        <v>37.355966767805981</v>
      </c>
      <c r="BP623" s="3">
        <v>36.372633434472647</v>
      </c>
      <c r="BQ623" s="3">
        <v>34.689300101139295</v>
      </c>
      <c r="BR623" s="3">
        <v>33.415966767805983</v>
      </c>
      <c r="BS623" s="3">
        <v>33.519300101139308</v>
      </c>
      <c r="BT623" s="3">
        <v>32.515966767805978</v>
      </c>
      <c r="BU623" s="3">
        <v>29.182633434472649</v>
      </c>
      <c r="BV623" s="3">
        <v>26.59930010113932</v>
      </c>
      <c r="BW623" s="3">
        <v>24.732633434472646</v>
      </c>
      <c r="BX623" s="3">
        <v>20.652633434472648</v>
      </c>
      <c r="BY623" s="3">
        <v>16.372633434472647</v>
      </c>
      <c r="BZ623" s="3">
        <v>25.602633434472651</v>
      </c>
      <c r="CA623" s="3">
        <v>10.002633434472635</v>
      </c>
      <c r="CB623" s="3">
        <v>8.1393001011393125</v>
      </c>
      <c r="CC623" s="3">
        <v>8.8526334344726436</v>
      </c>
      <c r="CD623" s="3">
        <v>8.3593001011393113</v>
      </c>
      <c r="CE623" s="3">
        <v>8.7526334344726422</v>
      </c>
      <c r="CF623" s="3">
        <v>-0.93403323219402523</v>
      </c>
      <c r="CG623" s="3">
        <v>-1.4673665655273567</v>
      </c>
      <c r="CH623" s="3">
        <v>-2.5440332321940247</v>
      </c>
      <c r="CI623" s="13">
        <f>[1]!dbasum(RecData[[#This Row],[20]:[2000]],RecData[[#Headers],[20]:[2000]])</f>
        <v>40.329859278266873</v>
      </c>
      <c r="CJ623" s="14">
        <v>8391</v>
      </c>
      <c r="CK623" s="15" t="s">
        <v>249</v>
      </c>
      <c r="CL623" s="15">
        <f>RecData[[#This Row],[Start Time]]</f>
        <v>43270.148611111108</v>
      </c>
      <c r="CM623" s="16">
        <f>RecData[[#This Row],[Wind Speed avg]]</f>
        <v>0.72</v>
      </c>
      <c r="CN623" s="16">
        <f>RecData[[#This Row],[Wind Dir. avg]]</f>
        <v>147.1</v>
      </c>
      <c r="CO623" s="16">
        <f>RecData[[#This Row],[Amb. Humidity]]</f>
        <v>80.400000000000006</v>
      </c>
      <c r="CP623" s="16">
        <f>RecData[[#This Row],[Amb. Temperature]]</f>
        <v>12.4</v>
      </c>
      <c r="CQ623" s="17">
        <f>RecData[[#This Row],[Amb. Rain Gauge]]</f>
        <v>0</v>
      </c>
      <c r="CR623" s="4" t="s">
        <v>1</v>
      </c>
      <c r="CS623" s="4" t="s">
        <v>49</v>
      </c>
      <c r="CT623" s="70">
        <v>1614.72290039062</v>
      </c>
      <c r="CU623" s="70">
        <v>30.000255584716701</v>
      </c>
      <c r="CV623" s="70">
        <v>10.4923429489135</v>
      </c>
      <c r="CW623" s="70">
        <v>15.2547616958618</v>
      </c>
      <c r="CX623" s="4"/>
      <c r="CY623" s="69"/>
      <c r="CZ623" s="2" t="b">
        <f>IF($DP$1="YES",IF(RecData[[#This Row],[Power (kW)]]&gt;=$CR$3, TRUE,FALSE),TRUE)</f>
        <v>1</v>
      </c>
      <c r="DA623" s="16">
        <f>MIN(MOD(180-ABS(ABS($DA$1-RecData[Yaw Angle (°)])-180),360),MOD(180-ABS(ABS($DB$1-RecData[Yaw Angle (°)])-180),360))</f>
        <v>22.470328807029148</v>
      </c>
      <c r="DB623" s="2" t="str">
        <f>IF($DP$2="None","None",IF(RecData[[#This Row],[Relative Wind Direction]]&lt;=45,"DW",IF(RecData[[#This Row],[Relative Wind Direction]]&lt;=135,"CW","UW")))</f>
        <v>DW</v>
      </c>
      <c r="DC623" s="61">
        <f>IF($CL623-$CL621&gt;1/24,#REF!,IF(SUM($CQ621:$CQ623)&gt;$DS$1,$DS$5,DC624-1))</f>
        <v>-8</v>
      </c>
      <c r="DD623" s="61">
        <f>IF($CL624-$CL623&gt;1/24,#REF!,IF(SUM($CQ621:$CQ623)&gt;$DS$1,$DS$6,DD622-1))</f>
        <v>-3</v>
      </c>
      <c r="DE623" s="18" t="b">
        <v>0</v>
      </c>
      <c r="DF623" s="2" t="b">
        <f>IF(OR(RecData[[#This Row],[WSpd_Avg '[m/s']]]-RecData[[#This Row],[Wind Speed min]]&gt;=$DF$3,RecData[[#This Row],[Wind Speed max]]-RecData[[#This Row],[WSpd_Avg '[m/s']]]&gt;=$DF$2),TRUE,FALSE)</f>
        <v>0</v>
      </c>
      <c r="DG623" s="2" t="b">
        <f>RecData[[#This Row],[Temperature '[°C']]]&lt;=-20</f>
        <v>0</v>
      </c>
      <c r="DH623" s="18" t="b">
        <f>NOT(OR(MOD(RecData[[#This Row],[TIMESTAMP]],1)&gt;0.91632,MOD(RecData[[#This Row],[TIMESTAMP]],1)&lt;0.208681))</f>
        <v>0</v>
      </c>
      <c r="DI623" s="18" t="b">
        <f>RecData[[#This Row],[Overall (dBA)]]-RecData[[#This Row],[L90]]&gt;=$DS$4</f>
        <v>0</v>
      </c>
      <c r="DJ623" s="18" t="b">
        <f>RecData[[#This Row],[Overall (dBA)]]&gt;$DS$2</f>
        <v>0</v>
      </c>
      <c r="DK623" s="18" t="b">
        <f>RecData[[#This Row],[Overall (dBA)]]&lt;$DS$3</f>
        <v>0</v>
      </c>
      <c r="DL6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3" s="2">
        <f>IF(AND(RecData[[#This Row],[Turbines ON/OFF]] = "OFF", NOT(OR(RecData[[#This Row],[Junk?]]="YES",RecData[[#This Row],[Gust?]],RecData[[#This Row],[Rain?]:[Min SPL Threshold?]]))),1,0)</f>
        <v>0</v>
      </c>
      <c r="DN623" s="16">
        <f>RecData[[#This Row],[dBA Sum]]</f>
        <v>40.329859278266873</v>
      </c>
      <c r="DO623" s="16">
        <f>RecData[[#This Row],[LAF90.0]]</f>
        <v>39.799999999999997</v>
      </c>
      <c r="DP623" s="55">
        <f>IF(AND(RecData[[#This Row],[Useable TON Data?]],RecData[[#This Row],[Turbines ON/OFF]]="ON"),RecData[[#This Row],[dBA Sum]],"")</f>
        <v>40.329859278266873</v>
      </c>
      <c r="DQ623" s="55" t="str">
        <f>IF(AND(RecData[[#This Row],[Useable Background Data?]],RecData[[#This Row],[Turbines ON/OFF]]="OFF"),RecData[[#This Row],[dBA Sum]],"")</f>
        <v/>
      </c>
      <c r="DR623" s="3">
        <f>IF(OR(RecData[[#This Row],[Useable TON Data?]],RecData[[#This Row],[Useable Background Data?]]),ROUND(RecData[[#This Row],[WSpd_Avg '[m/s']]],0),"")</f>
        <v>1</v>
      </c>
      <c r="DS623" s="85">
        <f>(0.00002)^2*(10^(RecData[[#This Row],[Overall (dBA)]]/10))</f>
        <v>4.3156470494332477E-6</v>
      </c>
    </row>
    <row r="624" spans="1:123" ht="15" x14ac:dyDescent="0.25">
      <c r="A624" s="3" t="s">
        <v>249</v>
      </c>
      <c r="B624" s="12">
        <v>43270.149305555555</v>
      </c>
      <c r="C624" s="3"/>
      <c r="D624" s="3">
        <v>41.1</v>
      </c>
      <c r="E624" s="3"/>
      <c r="F624" s="3"/>
      <c r="G624" s="3"/>
      <c r="H624" s="3"/>
      <c r="I624" s="3"/>
      <c r="J624" s="3"/>
      <c r="K624" s="3">
        <v>39.9</v>
      </c>
      <c r="L624" s="3"/>
      <c r="M624" s="3"/>
      <c r="N624" s="3">
        <v>174.5</v>
      </c>
      <c r="O624" s="3"/>
      <c r="P624" s="3"/>
      <c r="Q624" s="3">
        <v>0.59</v>
      </c>
      <c r="R624" s="3">
        <v>0.2</v>
      </c>
      <c r="S624" s="3">
        <v>0.8</v>
      </c>
      <c r="T624" s="3">
        <v>12.3</v>
      </c>
      <c r="U624" s="3">
        <v>81</v>
      </c>
      <c r="V624" s="3">
        <v>973.2</v>
      </c>
      <c r="W624" s="3">
        <v>0</v>
      </c>
      <c r="X624" s="3">
        <v>49.6</v>
      </c>
      <c r="Y624" s="3">
        <v>48.9</v>
      </c>
      <c r="Z624" s="3">
        <v>48.1</v>
      </c>
      <c r="AA624" s="3">
        <v>44.2</v>
      </c>
      <c r="AB624" s="3">
        <v>38.799999999999997</v>
      </c>
      <c r="AC624" s="3">
        <v>36.4</v>
      </c>
      <c r="AD624" s="3">
        <v>41</v>
      </c>
      <c r="AE624" s="3">
        <v>42.8</v>
      </c>
      <c r="AF624" s="3">
        <v>47</v>
      </c>
      <c r="AG624" s="3">
        <v>40.700000000000003</v>
      </c>
      <c r="AH624" s="3">
        <v>38.700000000000003</v>
      </c>
      <c r="AI624" s="3">
        <v>38.200000000000003</v>
      </c>
      <c r="AJ624" s="3">
        <v>37.299999999999997</v>
      </c>
      <c r="AK624" s="3">
        <v>35.299999999999997</v>
      </c>
      <c r="AL624" s="3">
        <v>33.700000000000003</v>
      </c>
      <c r="AM624" s="3">
        <v>34</v>
      </c>
      <c r="AN624" s="3">
        <v>32.799999999999997</v>
      </c>
      <c r="AO624" s="3">
        <v>29.6</v>
      </c>
      <c r="AP624" s="3">
        <v>27.5</v>
      </c>
      <c r="AQ624" s="3">
        <v>25</v>
      </c>
      <c r="AR624" s="3">
        <v>20.9</v>
      </c>
      <c r="AS624" s="3">
        <v>16.399999999999999</v>
      </c>
      <c r="AT624" s="3">
        <v>24.2</v>
      </c>
      <c r="AU624" s="3">
        <v>9.3000000000000007</v>
      </c>
      <c r="AV624" s="3">
        <v>8.4</v>
      </c>
      <c r="AW624" s="3">
        <v>8.9</v>
      </c>
      <c r="AX624" s="3">
        <v>9.1</v>
      </c>
      <c r="AY624" s="3">
        <v>9.3000000000000007</v>
      </c>
      <c r="AZ624" s="3">
        <v>0</v>
      </c>
      <c r="BA624" s="3">
        <v>0</v>
      </c>
      <c r="BB624" s="3">
        <v>0</v>
      </c>
      <c r="BC624" s="3">
        <v>41.05875076958371</v>
      </c>
      <c r="BD624" s="3">
        <v>49.641249230416292</v>
      </c>
      <c r="BE624" s="3">
        <v>48.94124923041629</v>
      </c>
      <c r="BF624" s="3">
        <v>46.901249230416298</v>
      </c>
      <c r="BG624" s="3">
        <v>43.32791589708296</v>
      </c>
      <c r="BH624" s="3">
        <v>38.067915897082955</v>
      </c>
      <c r="BI624" s="3">
        <v>36.08124923041629</v>
      </c>
      <c r="BJ624" s="3">
        <v>41.474582563749621</v>
      </c>
      <c r="BK624" s="3">
        <v>43.147915897082953</v>
      </c>
      <c r="BL624" s="3">
        <v>46.921249230416294</v>
      </c>
      <c r="BM624" s="3">
        <v>40.754582563749622</v>
      </c>
      <c r="BN624" s="3">
        <v>39.037915897082954</v>
      </c>
      <c r="BO624" s="3">
        <v>37.904582563749628</v>
      </c>
      <c r="BP624" s="3">
        <v>36.721249230416291</v>
      </c>
      <c r="BQ624" s="3">
        <v>35.137915897082948</v>
      </c>
      <c r="BR624" s="3">
        <v>33.864582563749636</v>
      </c>
      <c r="BS624" s="3">
        <v>33.96791589708296</v>
      </c>
      <c r="BT624" s="3">
        <v>32.96458256374963</v>
      </c>
      <c r="BU624" s="3">
        <v>29.731249230416296</v>
      </c>
      <c r="BV624" s="3">
        <v>27.347915897082956</v>
      </c>
      <c r="BW624" s="3">
        <v>25.381249230416287</v>
      </c>
      <c r="BX624" s="3">
        <v>21.201249230416295</v>
      </c>
      <c r="BY624" s="3">
        <v>16.521249230416288</v>
      </c>
      <c r="BZ624" s="3">
        <v>24.451249230416295</v>
      </c>
      <c r="CA624" s="3">
        <v>9.6512492304162834</v>
      </c>
      <c r="CB624" s="3">
        <v>8.1879158970829593</v>
      </c>
      <c r="CC624" s="3">
        <v>8.9012492304162905</v>
      </c>
      <c r="CD624" s="3">
        <v>8.4079158970829582</v>
      </c>
      <c r="CE624" s="3">
        <v>8.801249230416289</v>
      </c>
      <c r="CF624" s="3">
        <v>-0.88541743625037839</v>
      </c>
      <c r="CG624" s="3">
        <v>-1.4187507695837098</v>
      </c>
      <c r="CH624" s="3">
        <v>-2.4954174362503778</v>
      </c>
      <c r="CI624" s="13">
        <f>[1]!dbasum(RecData[[#This Row],[20]:[2000]],RecData[[#Headers],[20]:[2000]])</f>
        <v>40.890846138764942</v>
      </c>
      <c r="CJ624" s="14">
        <v>8392</v>
      </c>
      <c r="CK624" s="15" t="s">
        <v>249</v>
      </c>
      <c r="CL624" s="15">
        <f>RecData[[#This Row],[Start Time]]</f>
        <v>43270.149305555555</v>
      </c>
      <c r="CM624" s="16">
        <f>RecData[[#This Row],[Wind Speed avg]]</f>
        <v>0.59</v>
      </c>
      <c r="CN624" s="16">
        <f>RecData[[#This Row],[Wind Dir. avg]]</f>
        <v>174.5</v>
      </c>
      <c r="CO624" s="16">
        <f>RecData[[#This Row],[Amb. Humidity]]</f>
        <v>81</v>
      </c>
      <c r="CP624" s="16">
        <f>RecData[[#This Row],[Amb. Temperature]]</f>
        <v>12.3</v>
      </c>
      <c r="CQ624" s="17">
        <f>RecData[[#This Row],[Amb. Rain Gauge]]</f>
        <v>0</v>
      </c>
      <c r="CR624" s="4" t="s">
        <v>1</v>
      </c>
      <c r="CS624" s="4" t="s">
        <v>49</v>
      </c>
      <c r="CT624" s="70">
        <v>1614.72290039062</v>
      </c>
      <c r="CU624" s="70">
        <v>30.000255584716701</v>
      </c>
      <c r="CV624" s="70">
        <v>10.4923429489135</v>
      </c>
      <c r="CW624" s="70">
        <v>15.2547616958618</v>
      </c>
      <c r="CX624" s="4"/>
      <c r="CY624" s="69"/>
      <c r="CZ624" s="2" t="b">
        <f>IF($DP$1="YES",IF(RecData[[#This Row],[Power (kW)]]&gt;=$CR$3, TRUE,FALSE),TRUE)</f>
        <v>1</v>
      </c>
      <c r="DA624" s="16">
        <f>MIN(MOD(180-ABS(ABS($DA$1-RecData[Yaw Angle (°)])-180),360),MOD(180-ABS(ABS($DB$1-RecData[Yaw Angle (°)])-180),360))</f>
        <v>22.470328807029148</v>
      </c>
      <c r="DB624" s="2" t="str">
        <f>IF($DP$2="None","None",IF(RecData[[#This Row],[Relative Wind Direction]]&lt;=45,"DW",IF(RecData[[#This Row],[Relative Wind Direction]]&lt;=135,"CW","UW")))</f>
        <v>DW</v>
      </c>
      <c r="DC624" s="61">
        <f>IF($CL624-$CL621&gt;1/24,#REF!,IF(SUM($CQ621:$CQ624)&gt;$DS$1,$DS$5,DC625-1))</f>
        <v>-7</v>
      </c>
      <c r="DD624" s="61">
        <f>IF($CL625-$CL624&gt;1/24,#REF!,IF(SUM($CQ621:$CQ624)&gt;$DS$1,$DS$6,DD623-1))</f>
        <v>-4</v>
      </c>
      <c r="DE624" s="18" t="b">
        <v>0</v>
      </c>
      <c r="DF624" s="2" t="b">
        <f>IF(OR(RecData[[#This Row],[WSpd_Avg '[m/s']]]-RecData[[#This Row],[Wind Speed min]]&gt;=$DF$3,RecData[[#This Row],[Wind Speed max]]-RecData[[#This Row],[WSpd_Avg '[m/s']]]&gt;=$DF$2),TRUE,FALSE)</f>
        <v>0</v>
      </c>
      <c r="DG624" s="2" t="b">
        <f>RecData[[#This Row],[Temperature '[°C']]]&lt;=-20</f>
        <v>0</v>
      </c>
      <c r="DH624" s="18" t="b">
        <f>NOT(OR(MOD(RecData[[#This Row],[TIMESTAMP]],1)&gt;0.91632,MOD(RecData[[#This Row],[TIMESTAMP]],1)&lt;0.208681))</f>
        <v>0</v>
      </c>
      <c r="DI624" s="18" t="b">
        <f>RecData[[#This Row],[Overall (dBA)]]-RecData[[#This Row],[L90]]&gt;=$DS$4</f>
        <v>0</v>
      </c>
      <c r="DJ624" s="18" t="b">
        <f>RecData[[#This Row],[Overall (dBA)]]&gt;$DS$2</f>
        <v>0</v>
      </c>
      <c r="DK624" s="18" t="b">
        <f>RecData[[#This Row],[Overall (dBA)]]&lt;$DS$3</f>
        <v>0</v>
      </c>
      <c r="DL6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4" s="2">
        <f>IF(AND(RecData[[#This Row],[Turbines ON/OFF]] = "OFF", NOT(OR(RecData[[#This Row],[Junk?]]="YES",RecData[[#This Row],[Gust?]],RecData[[#This Row],[Rain?]:[Min SPL Threshold?]]))),1,0)</f>
        <v>0</v>
      </c>
      <c r="DN624" s="16">
        <f>RecData[[#This Row],[dBA Sum]]</f>
        <v>40.890846138764942</v>
      </c>
      <c r="DO624" s="16">
        <f>RecData[[#This Row],[LAF90.0]]</f>
        <v>39.9</v>
      </c>
      <c r="DP624" s="55">
        <f>IF(AND(RecData[[#This Row],[Useable TON Data?]],RecData[[#This Row],[Turbines ON/OFF]]="ON"),RecData[[#This Row],[dBA Sum]],"")</f>
        <v>40.890846138764942</v>
      </c>
      <c r="DQ624" s="55" t="str">
        <f>IF(AND(RecData[[#This Row],[Useable Background Data?]],RecData[[#This Row],[Turbines ON/OFF]]="OFF"),RecData[[#This Row],[dBA Sum]],"")</f>
        <v/>
      </c>
      <c r="DR624" s="3">
        <f>IF(OR(RecData[[#This Row],[Useable TON Data?]],RecData[[#This Row],[Useable Background Data?]]),ROUND(RecData[[#This Row],[WSpd_Avg '[m/s']]],0),"")</f>
        <v>1</v>
      </c>
      <c r="DS624" s="85">
        <f>(0.00002)^2*(10^(RecData[[#This Row],[Overall (dBA)]]/10))</f>
        <v>4.9107135889606624E-6</v>
      </c>
    </row>
    <row r="625" spans="1:123" ht="15" x14ac:dyDescent="0.25">
      <c r="A625" s="3" t="s">
        <v>249</v>
      </c>
      <c r="B625" s="12">
        <v>43270.15</v>
      </c>
      <c r="C625" s="3"/>
      <c r="D625" s="3">
        <v>40.799999999999997</v>
      </c>
      <c r="E625" s="3"/>
      <c r="F625" s="3"/>
      <c r="G625" s="3"/>
      <c r="H625" s="3"/>
      <c r="I625" s="3"/>
      <c r="J625" s="3"/>
      <c r="K625" s="3">
        <v>40</v>
      </c>
      <c r="L625" s="3"/>
      <c r="M625" s="3"/>
      <c r="N625" s="3">
        <v>132.9</v>
      </c>
      <c r="O625" s="3"/>
      <c r="P625" s="3"/>
      <c r="Q625" s="3">
        <v>0.9</v>
      </c>
      <c r="R625" s="3">
        <v>0.6</v>
      </c>
      <c r="S625" s="3">
        <v>1.1000000000000001</v>
      </c>
      <c r="T625" s="3">
        <v>12.3</v>
      </c>
      <c r="U625" s="3">
        <v>82.2</v>
      </c>
      <c r="V625" s="3">
        <v>973.3</v>
      </c>
      <c r="W625" s="3">
        <v>0</v>
      </c>
      <c r="X625" s="3">
        <v>49.7</v>
      </c>
      <c r="Y625" s="3">
        <v>48.9</v>
      </c>
      <c r="Z625" s="3">
        <v>48</v>
      </c>
      <c r="AA625" s="3">
        <v>44.1</v>
      </c>
      <c r="AB625" s="3">
        <v>39.299999999999997</v>
      </c>
      <c r="AC625" s="3">
        <v>36.299999999999997</v>
      </c>
      <c r="AD625" s="3">
        <v>40.799999999999997</v>
      </c>
      <c r="AE625" s="3">
        <v>42.6</v>
      </c>
      <c r="AF625" s="3">
        <v>47.4</v>
      </c>
      <c r="AG625" s="3">
        <v>39.5</v>
      </c>
      <c r="AH625" s="3">
        <v>39</v>
      </c>
      <c r="AI625" s="3">
        <v>38.299999999999997</v>
      </c>
      <c r="AJ625" s="3">
        <v>37.5</v>
      </c>
      <c r="AK625" s="3">
        <v>35.4</v>
      </c>
      <c r="AL625" s="3">
        <v>33.299999999999997</v>
      </c>
      <c r="AM625" s="3">
        <v>33.299999999999997</v>
      </c>
      <c r="AN625" s="3">
        <v>31.9</v>
      </c>
      <c r="AO625" s="3">
        <v>28.7</v>
      </c>
      <c r="AP625" s="3">
        <v>26.7</v>
      </c>
      <c r="AQ625" s="3">
        <v>23.8</v>
      </c>
      <c r="AR625" s="3">
        <v>20</v>
      </c>
      <c r="AS625" s="3">
        <v>16.3</v>
      </c>
      <c r="AT625" s="3">
        <v>26.3</v>
      </c>
      <c r="AU625" s="3">
        <v>10</v>
      </c>
      <c r="AV625" s="3">
        <v>8.8000000000000007</v>
      </c>
      <c r="AW625" s="3">
        <v>9.1999999999999993</v>
      </c>
      <c r="AX625" s="3">
        <v>9.1999999999999993</v>
      </c>
      <c r="AY625" s="3">
        <v>9.4</v>
      </c>
      <c r="AZ625" s="3">
        <v>0</v>
      </c>
      <c r="BA625" s="3">
        <v>0</v>
      </c>
      <c r="BB625" s="3">
        <v>0</v>
      </c>
      <c r="BC625" s="3">
        <v>40.810807439713798</v>
      </c>
      <c r="BD625" s="3">
        <v>49.689192560286202</v>
      </c>
      <c r="BE625" s="3">
        <v>48.88919256028619</v>
      </c>
      <c r="BF625" s="3">
        <v>46.749192560286204</v>
      </c>
      <c r="BG625" s="3">
        <v>43.175859226952866</v>
      </c>
      <c r="BH625" s="3">
        <v>38.515859226952855</v>
      </c>
      <c r="BI625" s="3">
        <v>35.929192560286197</v>
      </c>
      <c r="BJ625" s="3">
        <v>41.222525893619533</v>
      </c>
      <c r="BK625" s="3">
        <v>42.895859226952865</v>
      </c>
      <c r="BL625" s="3">
        <v>47.2691925602862</v>
      </c>
      <c r="BM625" s="3">
        <v>39.502525893619534</v>
      </c>
      <c r="BN625" s="3">
        <v>39.285859226952866</v>
      </c>
      <c r="BO625" s="3">
        <v>37.952525893619523</v>
      </c>
      <c r="BP625" s="3">
        <v>36.869192560286209</v>
      </c>
      <c r="BQ625" s="3">
        <v>35.185859226952857</v>
      </c>
      <c r="BR625" s="3">
        <v>33.412525893619531</v>
      </c>
      <c r="BS625" s="3">
        <v>33.215859226952873</v>
      </c>
      <c r="BT625" s="3">
        <v>32.012525893619525</v>
      </c>
      <c r="BU625" s="3">
        <v>28.779192560286205</v>
      </c>
      <c r="BV625" s="3">
        <v>26.495859226952874</v>
      </c>
      <c r="BW625" s="3">
        <v>24.129192560286199</v>
      </c>
      <c r="BX625" s="3">
        <v>20.249192560286204</v>
      </c>
      <c r="BY625" s="3">
        <v>16.369192560286194</v>
      </c>
      <c r="BZ625" s="3">
        <v>26.499192560286204</v>
      </c>
      <c r="CA625" s="3">
        <v>10.299192560286194</v>
      </c>
      <c r="CB625" s="3">
        <v>8.5358592269528657</v>
      </c>
      <c r="CC625" s="3">
        <v>9.1491925602861954</v>
      </c>
      <c r="CD625" s="3">
        <v>8.4558592269528674</v>
      </c>
      <c r="CE625" s="3">
        <v>8.8491925602861983</v>
      </c>
      <c r="CF625" s="3">
        <v>-0.93747410638047057</v>
      </c>
      <c r="CG625" s="3">
        <v>-1.470807439713802</v>
      </c>
      <c r="CH625" s="3">
        <v>-2.54747410638047</v>
      </c>
      <c r="CI625" s="13">
        <f>[1]!dbasum(RecData[[#This Row],[20]:[2000]],RecData[[#Headers],[20]:[2000]])</f>
        <v>40.48427370330387</v>
      </c>
      <c r="CJ625" s="14">
        <v>8393</v>
      </c>
      <c r="CK625" s="15" t="s">
        <v>249</v>
      </c>
      <c r="CL625" s="15">
        <f>RecData[[#This Row],[Start Time]]</f>
        <v>43270.15</v>
      </c>
      <c r="CM625" s="16">
        <f>RecData[[#This Row],[Wind Speed avg]]</f>
        <v>0.9</v>
      </c>
      <c r="CN625" s="16">
        <f>RecData[[#This Row],[Wind Dir. avg]]</f>
        <v>132.9</v>
      </c>
      <c r="CO625" s="16">
        <f>RecData[[#This Row],[Amb. Humidity]]</f>
        <v>82.2</v>
      </c>
      <c r="CP625" s="16">
        <f>RecData[[#This Row],[Amb. Temperature]]</f>
        <v>12.3</v>
      </c>
      <c r="CQ625" s="17">
        <f>RecData[[#This Row],[Amb. Rain Gauge]]</f>
        <v>0</v>
      </c>
      <c r="CR625" s="4" t="s">
        <v>1</v>
      </c>
      <c r="CS625" s="4" t="s">
        <v>49</v>
      </c>
      <c r="CT625" s="70">
        <v>1614.72290039062</v>
      </c>
      <c r="CU625" s="70">
        <v>30.000255584716701</v>
      </c>
      <c r="CV625" s="70">
        <v>10.4923429489135</v>
      </c>
      <c r="CW625" s="70">
        <v>15.2547616958618</v>
      </c>
      <c r="CX625" s="4"/>
      <c r="CY625" s="69"/>
      <c r="CZ625" s="2" t="b">
        <f>IF($DP$1="YES",IF(RecData[[#This Row],[Power (kW)]]&gt;=$CR$3, TRUE,FALSE),TRUE)</f>
        <v>1</v>
      </c>
      <c r="DA625" s="16">
        <f>MIN(MOD(180-ABS(ABS($DA$1-RecData[Yaw Angle (°)])-180),360),MOD(180-ABS(ABS($DB$1-RecData[Yaw Angle (°)])-180),360))</f>
        <v>22.470328807029148</v>
      </c>
      <c r="DB625" s="2" t="str">
        <f>IF($DP$2="None","None",IF(RecData[[#This Row],[Relative Wind Direction]]&lt;=45,"DW",IF(RecData[[#This Row],[Relative Wind Direction]]&lt;=135,"CW","UW")))</f>
        <v>DW</v>
      </c>
      <c r="DC625" s="61">
        <f>IF($CL625-$CL621&gt;1/24,#REF!,IF(SUM($CQ621:$CQ625)&gt;$DS$1,$DS$5,DC626-1))</f>
        <v>-6</v>
      </c>
      <c r="DD625" s="61">
        <f>IF($CL626-$CL625&gt;1/24,#REF!,IF(SUM($CQ621:$CQ625)&gt;$DS$1,$DS$6,DD624-1))</f>
        <v>-5</v>
      </c>
      <c r="DE625" s="18" t="b">
        <v>0</v>
      </c>
      <c r="DF625" s="2" t="b">
        <f>IF(OR(RecData[[#This Row],[WSpd_Avg '[m/s']]]-RecData[[#This Row],[Wind Speed min]]&gt;=$DF$3,RecData[[#This Row],[Wind Speed max]]-RecData[[#This Row],[WSpd_Avg '[m/s']]]&gt;=$DF$2),TRUE,FALSE)</f>
        <v>0</v>
      </c>
      <c r="DG625" s="2" t="b">
        <f>RecData[[#This Row],[Temperature '[°C']]]&lt;=-20</f>
        <v>0</v>
      </c>
      <c r="DH625" s="18" t="b">
        <f>NOT(OR(MOD(RecData[[#This Row],[TIMESTAMP]],1)&gt;0.91632,MOD(RecData[[#This Row],[TIMESTAMP]],1)&lt;0.208681))</f>
        <v>0</v>
      </c>
      <c r="DI625" s="18" t="b">
        <f>RecData[[#This Row],[Overall (dBA)]]-RecData[[#This Row],[L90]]&gt;=$DS$4</f>
        <v>0</v>
      </c>
      <c r="DJ625" s="18" t="b">
        <f>RecData[[#This Row],[Overall (dBA)]]&gt;$DS$2</f>
        <v>0</v>
      </c>
      <c r="DK625" s="18" t="b">
        <f>RecData[[#This Row],[Overall (dBA)]]&lt;$DS$3</f>
        <v>0</v>
      </c>
      <c r="DL6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5" s="2">
        <f>IF(AND(RecData[[#This Row],[Turbines ON/OFF]] = "OFF", NOT(OR(RecData[[#This Row],[Junk?]]="YES",RecData[[#This Row],[Gust?]],RecData[[#This Row],[Rain?]:[Min SPL Threshold?]]))),1,0)</f>
        <v>0</v>
      </c>
      <c r="DN625" s="16">
        <f>RecData[[#This Row],[dBA Sum]]</f>
        <v>40.48427370330387</v>
      </c>
      <c r="DO625" s="16">
        <f>RecData[[#This Row],[LAF90.0]]</f>
        <v>40</v>
      </c>
      <c r="DP625" s="55">
        <f>IF(AND(RecData[[#This Row],[Useable TON Data?]],RecData[[#This Row],[Turbines ON/OFF]]="ON"),RecData[[#This Row],[dBA Sum]],"")</f>
        <v>40.48427370330387</v>
      </c>
      <c r="DQ625" s="55" t="str">
        <f>IF(AND(RecData[[#This Row],[Useable Background Data?]],RecData[[#This Row],[Turbines ON/OFF]]="OFF"),RecData[[#This Row],[dBA Sum]],"")</f>
        <v/>
      </c>
      <c r="DR625" s="3">
        <f>IF(OR(RecData[[#This Row],[Useable TON Data?]],RecData[[#This Row],[Useable Background Data?]]),ROUND(RecData[[#This Row],[WSpd_Avg '[m/s']]],0),"")</f>
        <v>1</v>
      </c>
      <c r="DS625" s="85">
        <f>(0.00002)^2*(10^(RecData[[#This Row],[Overall (dBA)]]/10))</f>
        <v>4.4718513812860244E-6</v>
      </c>
    </row>
    <row r="626" spans="1:123" ht="15" x14ac:dyDescent="0.25">
      <c r="A626" s="3" t="s">
        <v>249</v>
      </c>
      <c r="B626" s="12">
        <v>43270.150694444441</v>
      </c>
      <c r="C626" s="3"/>
      <c r="D626" s="3">
        <v>40.9</v>
      </c>
      <c r="E626" s="3"/>
      <c r="F626" s="3"/>
      <c r="G626" s="3"/>
      <c r="H626" s="3"/>
      <c r="I626" s="3"/>
      <c r="J626" s="3"/>
      <c r="K626" s="3">
        <v>39.9</v>
      </c>
      <c r="L626" s="3"/>
      <c r="M626" s="3"/>
      <c r="N626" s="3">
        <v>121.6</v>
      </c>
      <c r="O626" s="3"/>
      <c r="P626" s="3"/>
      <c r="Q626" s="3">
        <v>0.8</v>
      </c>
      <c r="R626" s="3">
        <v>0.6</v>
      </c>
      <c r="S626" s="3">
        <v>1.1000000000000001</v>
      </c>
      <c r="T626" s="3">
        <v>12.1</v>
      </c>
      <c r="U626" s="3">
        <v>83.4</v>
      </c>
      <c r="V626" s="3">
        <v>973.3</v>
      </c>
      <c r="W626" s="3">
        <v>0</v>
      </c>
      <c r="X626" s="3">
        <v>50.2</v>
      </c>
      <c r="Y626" s="3">
        <v>49.1</v>
      </c>
      <c r="Z626" s="3">
        <v>48.3</v>
      </c>
      <c r="AA626" s="3">
        <v>43.9</v>
      </c>
      <c r="AB626" s="3">
        <v>39.1</v>
      </c>
      <c r="AC626" s="3">
        <v>37</v>
      </c>
      <c r="AD626" s="3">
        <v>41.2</v>
      </c>
      <c r="AE626" s="3">
        <v>42.8</v>
      </c>
      <c r="AF626" s="3">
        <v>47.7</v>
      </c>
      <c r="AG626" s="3">
        <v>40.200000000000003</v>
      </c>
      <c r="AH626" s="3">
        <v>38.9</v>
      </c>
      <c r="AI626" s="3">
        <v>38.5</v>
      </c>
      <c r="AJ626" s="3">
        <v>37.4</v>
      </c>
      <c r="AK626" s="3">
        <v>35.700000000000003</v>
      </c>
      <c r="AL626" s="3">
        <v>33.700000000000003</v>
      </c>
      <c r="AM626" s="3">
        <v>33.700000000000003</v>
      </c>
      <c r="AN626" s="3">
        <v>32.200000000000003</v>
      </c>
      <c r="AO626" s="3">
        <v>28.8</v>
      </c>
      <c r="AP626" s="3">
        <v>26.6</v>
      </c>
      <c r="AQ626" s="3">
        <v>24</v>
      </c>
      <c r="AR626" s="3">
        <v>19.899999999999999</v>
      </c>
      <c r="AS626" s="3">
        <v>15.6</v>
      </c>
      <c r="AT626" s="3">
        <v>23.5</v>
      </c>
      <c r="AU626" s="3">
        <v>9.1</v>
      </c>
      <c r="AV626" s="3">
        <v>8.5</v>
      </c>
      <c r="AW626" s="3">
        <v>8.9</v>
      </c>
      <c r="AX626" s="3">
        <v>9.1</v>
      </c>
      <c r="AY626" s="3">
        <v>9.4</v>
      </c>
      <c r="AZ626" s="3">
        <v>0</v>
      </c>
      <c r="BA626" s="3">
        <v>0</v>
      </c>
      <c r="BB626" s="3">
        <v>0</v>
      </c>
      <c r="BC626" s="3">
        <v>40.928050726246987</v>
      </c>
      <c r="BD626" s="3">
        <v>50.171949273753008</v>
      </c>
      <c r="BE626" s="3">
        <v>49.071949273753013</v>
      </c>
      <c r="BF626" s="3">
        <v>47.031949273753007</v>
      </c>
      <c r="BG626" s="3">
        <v>42.958615940419669</v>
      </c>
      <c r="BH626" s="3">
        <v>38.298615940419673</v>
      </c>
      <c r="BI626" s="3">
        <v>36.611949273753005</v>
      </c>
      <c r="BJ626" s="3">
        <v>41.605282607086345</v>
      </c>
      <c r="BK626" s="3">
        <v>43.078615940419674</v>
      </c>
      <c r="BL626" s="3">
        <v>47.551949273753017</v>
      </c>
      <c r="BM626" s="3">
        <v>40.185282607086357</v>
      </c>
      <c r="BN626" s="3">
        <v>39.168615940419677</v>
      </c>
      <c r="BO626" s="3">
        <v>38.135282607086346</v>
      </c>
      <c r="BP626" s="3">
        <v>36.75194927375302</v>
      </c>
      <c r="BQ626" s="3">
        <v>35.468615940419674</v>
      </c>
      <c r="BR626" s="3">
        <v>33.795282607086342</v>
      </c>
      <c r="BS626" s="3">
        <v>33.598615940419684</v>
      </c>
      <c r="BT626" s="3">
        <v>32.295282607086342</v>
      </c>
      <c r="BU626" s="3">
        <v>28.861949273753019</v>
      </c>
      <c r="BV626" s="3">
        <v>26.378615940419685</v>
      </c>
      <c r="BW626" s="3">
        <v>24.311949273753022</v>
      </c>
      <c r="BX626" s="3">
        <v>20.131949273753015</v>
      </c>
      <c r="BY626" s="3">
        <v>15.651949273753011</v>
      </c>
      <c r="BZ626" s="3">
        <v>23.681949273753013</v>
      </c>
      <c r="CA626" s="3">
        <v>9.3819492737530013</v>
      </c>
      <c r="CB626" s="3">
        <v>8.2186159404196744</v>
      </c>
      <c r="CC626" s="3">
        <v>8.8319492737530112</v>
      </c>
      <c r="CD626" s="3">
        <v>8.3386159404196789</v>
      </c>
      <c r="CE626" s="3">
        <v>8.8319492737530112</v>
      </c>
      <c r="CF626" s="3">
        <v>-0.95471739291365765</v>
      </c>
      <c r="CG626" s="3">
        <v>-1.4880507262469891</v>
      </c>
      <c r="CH626" s="3">
        <v>-2.5647173929136571</v>
      </c>
      <c r="CI626" s="13">
        <f>[1]!dbasum(RecData[[#This Row],[20]:[2000]],RecData[[#Headers],[20]:[2000]])</f>
        <v>40.696722162514121</v>
      </c>
      <c r="CJ626" s="14">
        <v>8394</v>
      </c>
      <c r="CK626" s="15" t="s">
        <v>249</v>
      </c>
      <c r="CL626" s="15">
        <f>RecData[[#This Row],[Start Time]]</f>
        <v>43270.150694444441</v>
      </c>
      <c r="CM626" s="16">
        <f>RecData[[#This Row],[Wind Speed avg]]</f>
        <v>0.8</v>
      </c>
      <c r="CN626" s="16">
        <f>RecData[[#This Row],[Wind Dir. avg]]</f>
        <v>121.6</v>
      </c>
      <c r="CO626" s="16">
        <f>RecData[[#This Row],[Amb. Humidity]]</f>
        <v>83.4</v>
      </c>
      <c r="CP626" s="16">
        <f>RecData[[#This Row],[Amb. Temperature]]</f>
        <v>12.1</v>
      </c>
      <c r="CQ626" s="17">
        <f>RecData[[#This Row],[Amb. Rain Gauge]]</f>
        <v>0</v>
      </c>
      <c r="CR626" s="4" t="s">
        <v>1</v>
      </c>
      <c r="CS626" s="4" t="s">
        <v>49</v>
      </c>
      <c r="CT626" s="70">
        <v>1614.72290039062</v>
      </c>
      <c r="CU626" s="70">
        <v>30.000255584716701</v>
      </c>
      <c r="CV626" s="70">
        <v>10.4923429489135</v>
      </c>
      <c r="CW626" s="70">
        <v>15.2547616958618</v>
      </c>
      <c r="CX626" s="4"/>
      <c r="CY626" s="69"/>
      <c r="CZ626" s="2" t="b">
        <f>IF($DP$1="YES",IF(RecData[[#This Row],[Power (kW)]]&gt;=$CR$3, TRUE,FALSE),TRUE)</f>
        <v>1</v>
      </c>
      <c r="DA626" s="16">
        <f>MIN(MOD(180-ABS(ABS($DA$1-RecData[Yaw Angle (°)])-180),360),MOD(180-ABS(ABS($DB$1-RecData[Yaw Angle (°)])-180),360))</f>
        <v>22.470328807029148</v>
      </c>
      <c r="DB626" s="2" t="str">
        <f>IF($DP$2="None","None",IF(RecData[[#This Row],[Relative Wind Direction]]&lt;=45,"DW",IF(RecData[[#This Row],[Relative Wind Direction]]&lt;=135,"CW","UW")))</f>
        <v>DW</v>
      </c>
      <c r="DC626" s="61">
        <f>IF($CL626-$CL622&gt;1/24,#REF!,IF(SUM($CQ622:$CQ626)&gt;$DS$1,$DS$5,DC627-1))</f>
        <v>-5</v>
      </c>
      <c r="DD626" s="61">
        <f>IF($CL627-$CL626&gt;1/24,#REF!,IF(SUM($CQ622:$CQ626)&gt;$DS$1,$DS$6,DD625-1))</f>
        <v>-6</v>
      </c>
      <c r="DE626" s="18" t="b">
        <v>0</v>
      </c>
      <c r="DF626" s="2" t="b">
        <f>IF(OR(RecData[[#This Row],[WSpd_Avg '[m/s']]]-RecData[[#This Row],[Wind Speed min]]&gt;=$DF$3,RecData[[#This Row],[Wind Speed max]]-RecData[[#This Row],[WSpd_Avg '[m/s']]]&gt;=$DF$2),TRUE,FALSE)</f>
        <v>0</v>
      </c>
      <c r="DG626" s="2" t="b">
        <f>RecData[[#This Row],[Temperature '[°C']]]&lt;=-20</f>
        <v>0</v>
      </c>
      <c r="DH626" s="18" t="b">
        <f>NOT(OR(MOD(RecData[[#This Row],[TIMESTAMP]],1)&gt;0.91632,MOD(RecData[[#This Row],[TIMESTAMP]],1)&lt;0.208681))</f>
        <v>0</v>
      </c>
      <c r="DI626" s="18" t="b">
        <f>RecData[[#This Row],[Overall (dBA)]]-RecData[[#This Row],[L90]]&gt;=$DS$4</f>
        <v>0</v>
      </c>
      <c r="DJ626" s="18" t="b">
        <f>RecData[[#This Row],[Overall (dBA)]]&gt;$DS$2</f>
        <v>0</v>
      </c>
      <c r="DK626" s="18" t="b">
        <f>RecData[[#This Row],[Overall (dBA)]]&lt;$DS$3</f>
        <v>0</v>
      </c>
      <c r="DL6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6" s="2">
        <f>IF(AND(RecData[[#This Row],[Turbines ON/OFF]] = "OFF", NOT(OR(RecData[[#This Row],[Junk?]]="YES",RecData[[#This Row],[Gust?]],RecData[[#This Row],[Rain?]:[Min SPL Threshold?]]))),1,0)</f>
        <v>0</v>
      </c>
      <c r="DN626" s="16">
        <f>RecData[[#This Row],[dBA Sum]]</f>
        <v>40.696722162514121</v>
      </c>
      <c r="DO626" s="16">
        <f>RecData[[#This Row],[LAF90.0]]</f>
        <v>39.9</v>
      </c>
      <c r="DP626" s="55">
        <f>IF(AND(RecData[[#This Row],[Useable TON Data?]],RecData[[#This Row],[Turbines ON/OFF]]="ON"),RecData[[#This Row],[dBA Sum]],"")</f>
        <v>40.696722162514121</v>
      </c>
      <c r="DQ626" s="55" t="str">
        <f>IF(AND(RecData[[#This Row],[Useable Background Data?]],RecData[[#This Row],[Turbines ON/OFF]]="OFF"),RecData[[#This Row],[dBA Sum]],"")</f>
        <v/>
      </c>
      <c r="DR626" s="3">
        <f>IF(OR(RecData[[#This Row],[Useable TON Data?]],RecData[[#This Row],[Useable Background Data?]]),ROUND(RecData[[#This Row],[WSpd_Avg '[m/s']]],0),"")</f>
        <v>1</v>
      </c>
      <c r="DS626" s="85">
        <f>(0.00002)^2*(10^(RecData[[#This Row],[Overall (dBA)]]/10))</f>
        <v>4.6960445423838622E-6</v>
      </c>
    </row>
    <row r="627" spans="1:123" ht="15" x14ac:dyDescent="0.25">
      <c r="A627" s="3" t="s">
        <v>249</v>
      </c>
      <c r="B627" s="12">
        <v>43270.151388888888</v>
      </c>
      <c r="C627" s="3"/>
      <c r="D627" s="3">
        <v>41.6</v>
      </c>
      <c r="E627" s="3"/>
      <c r="F627" s="3"/>
      <c r="G627" s="3"/>
      <c r="H627" s="3"/>
      <c r="I627" s="3"/>
      <c r="J627" s="3"/>
      <c r="K627" s="3">
        <v>40.4</v>
      </c>
      <c r="L627" s="3"/>
      <c r="M627" s="3"/>
      <c r="N627" s="3">
        <v>154.30000000000001</v>
      </c>
      <c r="O627" s="3"/>
      <c r="P627" s="3"/>
      <c r="Q627" s="3">
        <v>0.71</v>
      </c>
      <c r="R627" s="3">
        <v>0.5</v>
      </c>
      <c r="S627" s="3">
        <v>0.9</v>
      </c>
      <c r="T627" s="3">
        <v>11.9</v>
      </c>
      <c r="U627" s="3">
        <v>83.2</v>
      </c>
      <c r="V627" s="3">
        <v>973.3</v>
      </c>
      <c r="W627" s="3">
        <v>0</v>
      </c>
      <c r="X627" s="3">
        <v>49.9</v>
      </c>
      <c r="Y627" s="3">
        <v>49.2</v>
      </c>
      <c r="Z627" s="3">
        <v>48.4</v>
      </c>
      <c r="AA627" s="3">
        <v>44.1</v>
      </c>
      <c r="AB627" s="3">
        <v>39.6</v>
      </c>
      <c r="AC627" s="3">
        <v>37.700000000000003</v>
      </c>
      <c r="AD627" s="3">
        <v>42.2</v>
      </c>
      <c r="AE627" s="3">
        <v>43.6</v>
      </c>
      <c r="AF627" s="3">
        <v>48.7</v>
      </c>
      <c r="AG627" s="3">
        <v>41.6</v>
      </c>
      <c r="AH627" s="3">
        <v>39.700000000000003</v>
      </c>
      <c r="AI627" s="3">
        <v>39.1</v>
      </c>
      <c r="AJ627" s="3">
        <v>37.9</v>
      </c>
      <c r="AK627" s="3">
        <v>35.9</v>
      </c>
      <c r="AL627" s="3">
        <v>33.799999999999997</v>
      </c>
      <c r="AM627" s="3">
        <v>33.799999999999997</v>
      </c>
      <c r="AN627" s="3">
        <v>32.200000000000003</v>
      </c>
      <c r="AO627" s="3">
        <v>28.9</v>
      </c>
      <c r="AP627" s="3">
        <v>27.2</v>
      </c>
      <c r="AQ627" s="3">
        <v>24.2</v>
      </c>
      <c r="AR627" s="3">
        <v>20.399999999999999</v>
      </c>
      <c r="AS627" s="3">
        <v>17.100000000000001</v>
      </c>
      <c r="AT627" s="3">
        <v>28.3</v>
      </c>
      <c r="AU627" s="3">
        <v>10.3</v>
      </c>
      <c r="AV627" s="3">
        <v>8.5</v>
      </c>
      <c r="AW627" s="3">
        <v>8.9</v>
      </c>
      <c r="AX627" s="3">
        <v>9.1</v>
      </c>
      <c r="AY627" s="3">
        <v>9.3000000000000007</v>
      </c>
      <c r="AZ627" s="3">
        <v>0</v>
      </c>
      <c r="BA627" s="3">
        <v>0</v>
      </c>
      <c r="BB627" s="3">
        <v>0</v>
      </c>
      <c r="BC627" s="3">
        <v>41.549492896653518</v>
      </c>
      <c r="BD627" s="3">
        <v>49.950507103346482</v>
      </c>
      <c r="BE627" s="3">
        <v>49.250507103346493</v>
      </c>
      <c r="BF627" s="3">
        <v>47.210507103346472</v>
      </c>
      <c r="BG627" s="3">
        <v>43.237173770013143</v>
      </c>
      <c r="BH627" s="3">
        <v>38.877173770013158</v>
      </c>
      <c r="BI627" s="3">
        <v>37.390507103346479</v>
      </c>
      <c r="BJ627" s="3">
        <v>42.683840436679816</v>
      </c>
      <c r="BK627" s="3">
        <v>43.957173770013142</v>
      </c>
      <c r="BL627" s="3">
        <v>48.630507103346488</v>
      </c>
      <c r="BM627" s="3">
        <v>41.66384043667982</v>
      </c>
      <c r="BN627" s="3">
        <v>40.047173770013146</v>
      </c>
      <c r="BO627" s="3">
        <v>38.813840436679826</v>
      </c>
      <c r="BP627" s="3">
        <v>37.330507103346477</v>
      </c>
      <c r="BQ627" s="3">
        <v>35.747173770013134</v>
      </c>
      <c r="BR627" s="3">
        <v>33.973840436679822</v>
      </c>
      <c r="BS627" s="3">
        <v>33.77717377001315</v>
      </c>
      <c r="BT627" s="3">
        <v>32.373840436679828</v>
      </c>
      <c r="BU627" s="3">
        <v>29.040507103346485</v>
      </c>
      <c r="BV627" s="3">
        <v>27.057173770013151</v>
      </c>
      <c r="BW627" s="3">
        <v>24.590507103346482</v>
      </c>
      <c r="BX627" s="3">
        <v>20.710507103346487</v>
      </c>
      <c r="BY627" s="3">
        <v>17.230507103346483</v>
      </c>
      <c r="BZ627" s="3">
        <v>28.560507103346495</v>
      </c>
      <c r="CA627" s="3">
        <v>10.660507103346475</v>
      </c>
      <c r="CB627" s="3">
        <v>8.2971737700131456</v>
      </c>
      <c r="CC627" s="3">
        <v>8.9105071033464824</v>
      </c>
      <c r="CD627" s="3">
        <v>8.4171737700131501</v>
      </c>
      <c r="CE627" s="3">
        <v>8.810507103346481</v>
      </c>
      <c r="CF627" s="3">
        <v>-0.87615956332018641</v>
      </c>
      <c r="CG627" s="3">
        <v>-1.4094928966535178</v>
      </c>
      <c r="CH627" s="3">
        <v>-2.4861595633201858</v>
      </c>
      <c r="CI627" s="13">
        <f>[1]!dbasum(RecData[[#This Row],[20]:[2000]],RecData[[#Headers],[20]:[2000]])</f>
        <v>41.214468178889774</v>
      </c>
      <c r="CJ627" s="14">
        <v>8395</v>
      </c>
      <c r="CK627" s="15" t="s">
        <v>249</v>
      </c>
      <c r="CL627" s="15">
        <f>RecData[[#This Row],[Start Time]]</f>
        <v>43270.151388888888</v>
      </c>
      <c r="CM627" s="16">
        <f>RecData[[#This Row],[Wind Speed avg]]</f>
        <v>0.71</v>
      </c>
      <c r="CN627" s="16">
        <f>RecData[[#This Row],[Wind Dir. avg]]</f>
        <v>154.30000000000001</v>
      </c>
      <c r="CO627" s="16">
        <f>RecData[[#This Row],[Amb. Humidity]]</f>
        <v>83.2</v>
      </c>
      <c r="CP627" s="16">
        <f>RecData[[#This Row],[Amb. Temperature]]</f>
        <v>11.9</v>
      </c>
      <c r="CQ627" s="17">
        <f>RecData[[#This Row],[Amb. Rain Gauge]]</f>
        <v>0</v>
      </c>
      <c r="CR627" s="4" t="s">
        <v>1</v>
      </c>
      <c r="CS627" s="4" t="s">
        <v>49</v>
      </c>
      <c r="CT627" s="70">
        <v>1614.72290039062</v>
      </c>
      <c r="CU627" s="70">
        <v>30.000255584716701</v>
      </c>
      <c r="CV627" s="70">
        <v>10.4923429489135</v>
      </c>
      <c r="CW627" s="70">
        <v>15.2547616958618</v>
      </c>
      <c r="CX627" s="4"/>
      <c r="CY627" s="69"/>
      <c r="CZ627" s="2" t="b">
        <f>IF($DP$1="YES",IF(RecData[[#This Row],[Power (kW)]]&gt;=$CR$3, TRUE,FALSE),TRUE)</f>
        <v>1</v>
      </c>
      <c r="DA627" s="16">
        <f>MIN(MOD(180-ABS(ABS($DA$1-RecData[Yaw Angle (°)])-180),360),MOD(180-ABS(ABS($DB$1-RecData[Yaw Angle (°)])-180),360))</f>
        <v>22.470328807029148</v>
      </c>
      <c r="DB627" s="2" t="str">
        <f>IF($DP$2="None","None",IF(RecData[[#This Row],[Relative Wind Direction]]&lt;=45,"DW",IF(RecData[[#This Row],[Relative Wind Direction]]&lt;=135,"CW","UW")))</f>
        <v>DW</v>
      </c>
      <c r="DC627" s="61">
        <f>IF($CL627-$CL623&gt;1/24,#REF!,IF(SUM($CQ623:$CQ627)&gt;$DS$1,$DS$5,DC628-1))</f>
        <v>-4</v>
      </c>
      <c r="DD627" s="61">
        <f>IF($CL628-$CL627&gt;1/24,#REF!,IF(SUM($CQ623:$CQ627)&gt;$DS$1,$DS$6,DD626-1))</f>
        <v>-7</v>
      </c>
      <c r="DE627" s="18" t="b">
        <v>0</v>
      </c>
      <c r="DF627" s="2" t="b">
        <f>IF(OR(RecData[[#This Row],[WSpd_Avg '[m/s']]]-RecData[[#This Row],[Wind Speed min]]&gt;=$DF$3,RecData[[#This Row],[Wind Speed max]]-RecData[[#This Row],[WSpd_Avg '[m/s']]]&gt;=$DF$2),TRUE,FALSE)</f>
        <v>0</v>
      </c>
      <c r="DG627" s="2" t="b">
        <f>RecData[[#This Row],[Temperature '[°C']]]&lt;=-20</f>
        <v>0</v>
      </c>
      <c r="DH627" s="18" t="b">
        <f>NOT(OR(MOD(RecData[[#This Row],[TIMESTAMP]],1)&gt;0.91632,MOD(RecData[[#This Row],[TIMESTAMP]],1)&lt;0.208681))</f>
        <v>0</v>
      </c>
      <c r="DI627" s="18" t="b">
        <f>RecData[[#This Row],[Overall (dBA)]]-RecData[[#This Row],[L90]]&gt;=$DS$4</f>
        <v>0</v>
      </c>
      <c r="DJ627" s="18" t="b">
        <f>RecData[[#This Row],[Overall (dBA)]]&gt;$DS$2</f>
        <v>0</v>
      </c>
      <c r="DK627" s="18" t="b">
        <f>RecData[[#This Row],[Overall (dBA)]]&lt;$DS$3</f>
        <v>0</v>
      </c>
      <c r="DL6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7" s="2">
        <f>IF(AND(RecData[[#This Row],[Turbines ON/OFF]] = "OFF", NOT(OR(RecData[[#This Row],[Junk?]]="YES",RecData[[#This Row],[Gust?]],RecData[[#This Row],[Rain?]:[Min SPL Threshold?]]))),1,0)</f>
        <v>0</v>
      </c>
      <c r="DN627" s="16">
        <f>RecData[[#This Row],[dBA Sum]]</f>
        <v>41.214468178889774</v>
      </c>
      <c r="DO627" s="16">
        <f>RecData[[#This Row],[LAF90.0]]</f>
        <v>40.4</v>
      </c>
      <c r="DP627" s="55">
        <f>IF(AND(RecData[[#This Row],[Useable TON Data?]],RecData[[#This Row],[Turbines ON/OFF]]="ON"),RecData[[#This Row],[dBA Sum]],"")</f>
        <v>41.214468178889774</v>
      </c>
      <c r="DQ627" s="55" t="str">
        <f>IF(AND(RecData[[#This Row],[Useable Background Data?]],RecData[[#This Row],[Turbines ON/OFF]]="OFF"),RecData[[#This Row],[dBA Sum]],"")</f>
        <v/>
      </c>
      <c r="DR627" s="3">
        <f>IF(OR(RecData[[#This Row],[Useable TON Data?]],RecData[[#This Row],[Useable Background Data?]]),ROUND(RecData[[#This Row],[WSpd_Avg '[m/s']]],0),"")</f>
        <v>1</v>
      </c>
      <c r="DS627" s="85">
        <f>(0.00002)^2*(10^(RecData[[#This Row],[Overall (dBA)]]/10))</f>
        <v>5.2906229220717299E-6</v>
      </c>
    </row>
    <row r="628" spans="1:123" ht="15" x14ac:dyDescent="0.25">
      <c r="A628" s="3" t="s">
        <v>249</v>
      </c>
      <c r="B628" s="12">
        <v>43270.152083333334</v>
      </c>
      <c r="C628" s="3"/>
      <c r="D628" s="3">
        <v>41.4</v>
      </c>
      <c r="E628" s="3"/>
      <c r="F628" s="3"/>
      <c r="G628" s="3"/>
      <c r="H628" s="3"/>
      <c r="I628" s="3"/>
      <c r="J628" s="3"/>
      <c r="K628" s="3">
        <v>39.700000000000003</v>
      </c>
      <c r="L628" s="3"/>
      <c r="M628" s="3"/>
      <c r="N628" s="3">
        <v>166.7</v>
      </c>
      <c r="O628" s="3"/>
      <c r="P628" s="3"/>
      <c r="Q628" s="3">
        <v>0.8</v>
      </c>
      <c r="R628" s="3">
        <v>0.7</v>
      </c>
      <c r="S628" s="3">
        <v>1</v>
      </c>
      <c r="T628" s="3">
        <v>11.8</v>
      </c>
      <c r="U628" s="3">
        <v>84.3</v>
      </c>
      <c r="V628" s="3">
        <v>973.3</v>
      </c>
      <c r="W628" s="3">
        <v>0</v>
      </c>
      <c r="X628" s="3">
        <v>49.9</v>
      </c>
      <c r="Y628" s="3">
        <v>49.2</v>
      </c>
      <c r="Z628" s="3">
        <v>48.4</v>
      </c>
      <c r="AA628" s="3">
        <v>44.3</v>
      </c>
      <c r="AB628" s="3">
        <v>39.1</v>
      </c>
      <c r="AC628" s="3">
        <v>37.4</v>
      </c>
      <c r="AD628" s="3">
        <v>42.3</v>
      </c>
      <c r="AE628" s="3">
        <v>43.8</v>
      </c>
      <c r="AF628" s="3">
        <v>47.7</v>
      </c>
      <c r="AG628" s="3">
        <v>40.799999999999997</v>
      </c>
      <c r="AH628" s="3">
        <v>40.299999999999997</v>
      </c>
      <c r="AI628" s="3">
        <v>39.4</v>
      </c>
      <c r="AJ628" s="3">
        <v>38.299999999999997</v>
      </c>
      <c r="AK628" s="3">
        <v>36.299999999999997</v>
      </c>
      <c r="AL628" s="3">
        <v>34.200000000000003</v>
      </c>
      <c r="AM628" s="3">
        <v>33.700000000000003</v>
      </c>
      <c r="AN628" s="3">
        <v>32</v>
      </c>
      <c r="AO628" s="3">
        <v>28.6</v>
      </c>
      <c r="AP628" s="3">
        <v>26.5</v>
      </c>
      <c r="AQ628" s="3">
        <v>23.8</v>
      </c>
      <c r="AR628" s="3">
        <v>19.8</v>
      </c>
      <c r="AS628" s="3">
        <v>17.8</v>
      </c>
      <c r="AT628" s="3">
        <v>27.4</v>
      </c>
      <c r="AU628" s="3">
        <v>10.1</v>
      </c>
      <c r="AV628" s="3">
        <v>8.5</v>
      </c>
      <c r="AW628" s="3">
        <v>9</v>
      </c>
      <c r="AX628" s="3">
        <v>9.1</v>
      </c>
      <c r="AY628" s="3">
        <v>9.3000000000000007</v>
      </c>
      <c r="AZ628" s="3">
        <v>0</v>
      </c>
      <c r="BA628" s="3">
        <v>0</v>
      </c>
      <c r="BB628" s="3">
        <v>0</v>
      </c>
      <c r="BC628" s="3">
        <v>41.44086605111417</v>
      </c>
      <c r="BD628" s="3">
        <v>49.859133948885827</v>
      </c>
      <c r="BE628" s="3">
        <v>49.159133948885824</v>
      </c>
      <c r="BF628" s="3">
        <v>47.119133948885832</v>
      </c>
      <c r="BG628" s="3">
        <v>43.345800615552491</v>
      </c>
      <c r="BH628" s="3">
        <v>38.285800615552489</v>
      </c>
      <c r="BI628" s="3">
        <v>36.999133948885827</v>
      </c>
      <c r="BJ628" s="3">
        <v>42.692467282219155</v>
      </c>
      <c r="BK628" s="3">
        <v>44.06580061555249</v>
      </c>
      <c r="BL628" s="3">
        <v>47.539133948885834</v>
      </c>
      <c r="BM628" s="3">
        <v>40.772467282219168</v>
      </c>
      <c r="BN628" s="3">
        <v>40.555800615552499</v>
      </c>
      <c r="BO628" s="3">
        <v>39.022467282219168</v>
      </c>
      <c r="BP628" s="3">
        <v>37.639133948885828</v>
      </c>
      <c r="BQ628" s="3">
        <v>36.055800615552485</v>
      </c>
      <c r="BR628" s="3">
        <v>34.282467282219159</v>
      </c>
      <c r="BS628" s="3">
        <v>33.5858006155525</v>
      </c>
      <c r="BT628" s="3">
        <v>32.08246728221917</v>
      </c>
      <c r="BU628" s="3">
        <v>28.649133948885833</v>
      </c>
      <c r="BV628" s="3">
        <v>26.265800615552493</v>
      </c>
      <c r="BW628" s="3">
        <v>24.099133948885836</v>
      </c>
      <c r="BX628" s="3">
        <v>20.019133948885838</v>
      </c>
      <c r="BY628" s="3">
        <v>17.839133948885831</v>
      </c>
      <c r="BZ628" s="3">
        <v>27.569133948885835</v>
      </c>
      <c r="CA628" s="3">
        <v>10.369133948885818</v>
      </c>
      <c r="CB628" s="3">
        <v>8.2058006155524907</v>
      </c>
      <c r="CC628" s="3">
        <v>8.919133948885829</v>
      </c>
      <c r="CD628" s="3">
        <v>8.3258006155524953</v>
      </c>
      <c r="CE628" s="3">
        <v>8.7191339488858262</v>
      </c>
      <c r="CF628" s="3">
        <v>-0.96753271778084127</v>
      </c>
      <c r="CG628" s="3">
        <v>-1.5008660511141727</v>
      </c>
      <c r="CH628" s="3">
        <v>-2.5775327177808407</v>
      </c>
      <c r="CI628" s="13">
        <f>[1]!dbasum(RecData[[#This Row],[20]:[2000]],RecData[[#Headers],[20]:[2000]])</f>
        <v>41.05402880200635</v>
      </c>
      <c r="CJ628" s="14">
        <v>8396</v>
      </c>
      <c r="CK628" s="15" t="s">
        <v>249</v>
      </c>
      <c r="CL628" s="15">
        <f>RecData[[#This Row],[Start Time]]</f>
        <v>43270.152083333334</v>
      </c>
      <c r="CM628" s="16">
        <f>RecData[[#This Row],[Wind Speed avg]]</f>
        <v>0.8</v>
      </c>
      <c r="CN628" s="16">
        <f>RecData[[#This Row],[Wind Dir. avg]]</f>
        <v>166.7</v>
      </c>
      <c r="CO628" s="16">
        <f>RecData[[#This Row],[Amb. Humidity]]</f>
        <v>84.3</v>
      </c>
      <c r="CP628" s="16">
        <f>RecData[[#This Row],[Amb. Temperature]]</f>
        <v>11.8</v>
      </c>
      <c r="CQ628" s="17">
        <f>RecData[[#This Row],[Amb. Rain Gauge]]</f>
        <v>0</v>
      </c>
      <c r="CR628" s="4" t="s">
        <v>1</v>
      </c>
      <c r="CS628" s="4" t="s">
        <v>49</v>
      </c>
      <c r="CT628" s="70">
        <v>1614.72290039062</v>
      </c>
      <c r="CU628" s="70">
        <v>30.000255584716701</v>
      </c>
      <c r="CV628" s="70">
        <v>10.4923429489135</v>
      </c>
      <c r="CW628" s="70">
        <v>15.2547616958618</v>
      </c>
      <c r="CX628" s="4"/>
      <c r="CY628" s="69"/>
      <c r="CZ628" s="2" t="b">
        <f>IF($DP$1="YES",IF(RecData[[#This Row],[Power (kW)]]&gt;=$CR$3, TRUE,FALSE),TRUE)</f>
        <v>1</v>
      </c>
      <c r="DA628" s="16">
        <f>MIN(MOD(180-ABS(ABS($DA$1-RecData[Yaw Angle (°)])-180),360),MOD(180-ABS(ABS($DB$1-RecData[Yaw Angle (°)])-180),360))</f>
        <v>22.470328807029148</v>
      </c>
      <c r="DB628" s="2" t="str">
        <f>IF($DP$2="None","None",IF(RecData[[#This Row],[Relative Wind Direction]]&lt;=45,"DW",IF(RecData[[#This Row],[Relative Wind Direction]]&lt;=135,"CW","UW")))</f>
        <v>DW</v>
      </c>
      <c r="DC628" s="61">
        <f>IF($CL628-$CL624&gt;1/24,#REF!,IF(SUM($CQ624:$CQ628)&gt;$DS$1,$DS$5,DC629-1))</f>
        <v>-3</v>
      </c>
      <c r="DD628" s="61">
        <f>IF($CL629-$CL628&gt;1/24,#REF!,IF(SUM($CQ624:$CQ628)&gt;$DS$1,$DS$6,DD627-1))</f>
        <v>-8</v>
      </c>
      <c r="DE628" s="18" t="b">
        <v>0</v>
      </c>
      <c r="DF628" s="2" t="b">
        <f>IF(OR(RecData[[#This Row],[WSpd_Avg '[m/s']]]-RecData[[#This Row],[Wind Speed min]]&gt;=$DF$3,RecData[[#This Row],[Wind Speed max]]-RecData[[#This Row],[WSpd_Avg '[m/s']]]&gt;=$DF$2),TRUE,FALSE)</f>
        <v>0</v>
      </c>
      <c r="DG628" s="2" t="b">
        <f>RecData[[#This Row],[Temperature '[°C']]]&lt;=-20</f>
        <v>0</v>
      </c>
      <c r="DH628" s="18" t="b">
        <f>NOT(OR(MOD(RecData[[#This Row],[TIMESTAMP]],1)&gt;0.91632,MOD(RecData[[#This Row],[TIMESTAMP]],1)&lt;0.208681))</f>
        <v>0</v>
      </c>
      <c r="DI628" s="18" t="b">
        <f>RecData[[#This Row],[Overall (dBA)]]-RecData[[#This Row],[L90]]&gt;=$DS$4</f>
        <v>0</v>
      </c>
      <c r="DJ628" s="18" t="b">
        <f>RecData[[#This Row],[Overall (dBA)]]&gt;$DS$2</f>
        <v>0</v>
      </c>
      <c r="DK628" s="18" t="b">
        <f>RecData[[#This Row],[Overall (dBA)]]&lt;$DS$3</f>
        <v>0</v>
      </c>
      <c r="DL6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8" s="2">
        <f>IF(AND(RecData[[#This Row],[Turbines ON/OFF]] = "OFF", NOT(OR(RecData[[#This Row],[Junk?]]="YES",RecData[[#This Row],[Gust?]],RecData[[#This Row],[Rain?]:[Min SPL Threshold?]]))),1,0)</f>
        <v>0</v>
      </c>
      <c r="DN628" s="16">
        <f>RecData[[#This Row],[dBA Sum]]</f>
        <v>41.05402880200635</v>
      </c>
      <c r="DO628" s="16">
        <f>RecData[[#This Row],[LAF90.0]]</f>
        <v>39.700000000000003</v>
      </c>
      <c r="DP628" s="55">
        <f>IF(AND(RecData[[#This Row],[Useable TON Data?]],RecData[[#This Row],[Turbines ON/OFF]]="ON"),RecData[[#This Row],[dBA Sum]],"")</f>
        <v>41.05402880200635</v>
      </c>
      <c r="DQ628" s="55" t="str">
        <f>IF(AND(RecData[[#This Row],[Useable Background Data?]],RecData[[#This Row],[Turbines ON/OFF]]="OFF"),RecData[[#This Row],[dBA Sum]],"")</f>
        <v/>
      </c>
      <c r="DR628" s="3">
        <f>IF(OR(RecData[[#This Row],[Useable TON Data?]],RecData[[#This Row],[Useable Background Data?]]),ROUND(RecData[[#This Row],[WSpd_Avg '[m/s']]],0),"")</f>
        <v>1</v>
      </c>
      <c r="DS628" s="85">
        <f>(0.00002)^2*(10^(RecData[[#This Row],[Overall (dBA)]]/10))</f>
        <v>5.0987400583592506E-6</v>
      </c>
    </row>
    <row r="629" spans="1:123" ht="15" x14ac:dyDescent="0.25">
      <c r="A629" s="3" t="s">
        <v>249</v>
      </c>
      <c r="B629" s="12">
        <v>43270.152777777781</v>
      </c>
      <c r="C629" s="3"/>
      <c r="D629" s="3">
        <v>41.1</v>
      </c>
      <c r="E629" s="3"/>
      <c r="F629" s="3"/>
      <c r="G629" s="3"/>
      <c r="H629" s="3"/>
      <c r="I629" s="3"/>
      <c r="J629" s="3"/>
      <c r="K629" s="3">
        <v>39.5</v>
      </c>
      <c r="L629" s="3"/>
      <c r="M629" s="3"/>
      <c r="N629" s="3">
        <v>159.5</v>
      </c>
      <c r="O629" s="3"/>
      <c r="P629" s="3"/>
      <c r="Q629" s="3">
        <v>0.75</v>
      </c>
      <c r="R629" s="3">
        <v>0.6</v>
      </c>
      <c r="S629" s="3">
        <v>0.8</v>
      </c>
      <c r="T629" s="3">
        <v>11.7</v>
      </c>
      <c r="U629" s="3">
        <v>85.6</v>
      </c>
      <c r="V629" s="3">
        <v>973.3</v>
      </c>
      <c r="W629" s="3">
        <v>0</v>
      </c>
      <c r="X629" s="3">
        <v>49.8</v>
      </c>
      <c r="Y629" s="3">
        <v>49.5</v>
      </c>
      <c r="Z629" s="3">
        <v>48.4</v>
      </c>
      <c r="AA629" s="3">
        <v>44.2</v>
      </c>
      <c r="AB629" s="3">
        <v>39.700000000000003</v>
      </c>
      <c r="AC629" s="3">
        <v>36.700000000000003</v>
      </c>
      <c r="AD629" s="3">
        <v>41.1</v>
      </c>
      <c r="AE629" s="3">
        <v>42.9</v>
      </c>
      <c r="AF629" s="3">
        <v>46.4</v>
      </c>
      <c r="AG629" s="3">
        <v>40.5</v>
      </c>
      <c r="AH629" s="3">
        <v>39.299999999999997</v>
      </c>
      <c r="AI629" s="3">
        <v>38.6</v>
      </c>
      <c r="AJ629" s="3">
        <v>38</v>
      </c>
      <c r="AK629" s="3">
        <v>35.799999999999997</v>
      </c>
      <c r="AL629" s="3">
        <v>33.9</v>
      </c>
      <c r="AM629" s="3">
        <v>33.799999999999997</v>
      </c>
      <c r="AN629" s="3">
        <v>32.4</v>
      </c>
      <c r="AO629" s="3">
        <v>29.2</v>
      </c>
      <c r="AP629" s="3">
        <v>26.9</v>
      </c>
      <c r="AQ629" s="3">
        <v>24.4</v>
      </c>
      <c r="AR629" s="3">
        <v>20.3</v>
      </c>
      <c r="AS629" s="3">
        <v>16.2</v>
      </c>
      <c r="AT629" s="3">
        <v>25.9</v>
      </c>
      <c r="AU629" s="3">
        <v>9.5</v>
      </c>
      <c r="AV629" s="3">
        <v>8.5</v>
      </c>
      <c r="AW629" s="3">
        <v>9</v>
      </c>
      <c r="AX629" s="3">
        <v>9.1</v>
      </c>
      <c r="AY629" s="3">
        <v>9.4</v>
      </c>
      <c r="AZ629" s="3">
        <v>0</v>
      </c>
      <c r="BA629" s="3">
        <v>0</v>
      </c>
      <c r="BB629" s="3">
        <v>0</v>
      </c>
      <c r="BC629" s="3">
        <v>41.098309878063631</v>
      </c>
      <c r="BD629" s="3">
        <v>49.801690121936375</v>
      </c>
      <c r="BE629" s="3">
        <v>49.501690121936363</v>
      </c>
      <c r="BF629" s="3">
        <v>47.16169012193636</v>
      </c>
      <c r="BG629" s="3">
        <v>43.288356788603039</v>
      </c>
      <c r="BH629" s="3">
        <v>38.92835678860304</v>
      </c>
      <c r="BI629" s="3">
        <v>36.341690121936367</v>
      </c>
      <c r="BJ629" s="3">
        <v>41.535023455269695</v>
      </c>
      <c r="BK629" s="3">
        <v>43.208356788603041</v>
      </c>
      <c r="BL629" s="3">
        <v>46.281690121936364</v>
      </c>
      <c r="BM629" s="3">
        <v>40.515023455269713</v>
      </c>
      <c r="BN629" s="3">
        <v>39.598356788603027</v>
      </c>
      <c r="BO629" s="3">
        <v>38.265023455269713</v>
      </c>
      <c r="BP629" s="3">
        <v>37.381690121936373</v>
      </c>
      <c r="BQ629" s="3">
        <v>35.598356788603027</v>
      </c>
      <c r="BR629" s="3">
        <v>34.025023455269704</v>
      </c>
      <c r="BS629" s="3">
        <v>33.728356788603037</v>
      </c>
      <c r="BT629" s="3">
        <v>32.525023455269704</v>
      </c>
      <c r="BU629" s="3">
        <v>29.291690121936369</v>
      </c>
      <c r="BV629" s="3">
        <v>26.708356788603041</v>
      </c>
      <c r="BW629" s="3">
        <v>24.741690121936372</v>
      </c>
      <c r="BX629" s="3">
        <v>20.56169012193638</v>
      </c>
      <c r="BY629" s="3">
        <v>16.281690121936364</v>
      </c>
      <c r="BZ629" s="3">
        <v>26.111690121936377</v>
      </c>
      <c r="CA629" s="3">
        <v>9.8116901219363655</v>
      </c>
      <c r="CB629" s="3">
        <v>8.2483567886030329</v>
      </c>
      <c r="CC629" s="3">
        <v>8.9616901219363712</v>
      </c>
      <c r="CD629" s="3">
        <v>8.3683567886030374</v>
      </c>
      <c r="CE629" s="3">
        <v>8.8616901219363697</v>
      </c>
      <c r="CF629" s="3">
        <v>-0.92497654473029911</v>
      </c>
      <c r="CG629" s="3">
        <v>-1.4583098780636305</v>
      </c>
      <c r="CH629" s="3">
        <v>-2.5349765447302985</v>
      </c>
      <c r="CI629" s="13">
        <f>[1]!dbasum(RecData[[#This Row],[20]:[2000]],RecData[[#Headers],[20]:[2000]])</f>
        <v>40.822062795699736</v>
      </c>
      <c r="CJ629" s="14">
        <v>8397</v>
      </c>
      <c r="CK629" s="15" t="s">
        <v>249</v>
      </c>
      <c r="CL629" s="15">
        <f>RecData[[#This Row],[Start Time]]</f>
        <v>43270.152777777781</v>
      </c>
      <c r="CM629" s="16">
        <f>RecData[[#This Row],[Wind Speed avg]]</f>
        <v>0.75</v>
      </c>
      <c r="CN629" s="16">
        <f>RecData[[#This Row],[Wind Dir. avg]]</f>
        <v>159.5</v>
      </c>
      <c r="CO629" s="16">
        <f>RecData[[#This Row],[Amb. Humidity]]</f>
        <v>85.6</v>
      </c>
      <c r="CP629" s="16">
        <f>RecData[[#This Row],[Amb. Temperature]]</f>
        <v>11.7</v>
      </c>
      <c r="CQ629" s="17">
        <f>RecData[[#This Row],[Amb. Rain Gauge]]</f>
        <v>0</v>
      </c>
      <c r="CR629" s="4" t="s">
        <v>1</v>
      </c>
      <c r="CS629" s="4" t="s">
        <v>49</v>
      </c>
      <c r="CT629" s="70">
        <v>1614.72290039062</v>
      </c>
      <c r="CU629" s="70">
        <v>30.000255584716701</v>
      </c>
      <c r="CV629" s="70">
        <v>10.4923429489135</v>
      </c>
      <c r="CW629" s="70">
        <v>15.2547616958618</v>
      </c>
      <c r="CX629" s="4"/>
      <c r="CY629" s="69"/>
      <c r="CZ629" s="2" t="b">
        <f>IF($DP$1="YES",IF(RecData[[#This Row],[Power (kW)]]&gt;=$CR$3, TRUE,FALSE),TRUE)</f>
        <v>1</v>
      </c>
      <c r="DA629" s="16">
        <f>MIN(MOD(180-ABS(ABS($DA$1-RecData[Yaw Angle (°)])-180),360),MOD(180-ABS(ABS($DB$1-RecData[Yaw Angle (°)])-180),360))</f>
        <v>22.470328807029148</v>
      </c>
      <c r="DB629" s="2" t="str">
        <f>IF($DP$2="None","None",IF(RecData[[#This Row],[Relative Wind Direction]]&lt;=45,"DW",IF(RecData[[#This Row],[Relative Wind Direction]]&lt;=135,"CW","UW")))</f>
        <v>DW</v>
      </c>
      <c r="DC629" s="61">
        <f>IF($CL629-$CL625&gt;1/24,#REF!,IF(SUM($CQ625:$CQ629)&gt;$DS$1,$DS$5,DC630-1))</f>
        <v>-2</v>
      </c>
      <c r="DD629" s="61">
        <f>IF($CL630-$CL629&gt;1/24,#REF!,IF(SUM($CQ625:$CQ629)&gt;$DS$1,$DS$6,DD628-1))</f>
        <v>-9</v>
      </c>
      <c r="DE629" s="18" t="b">
        <v>0</v>
      </c>
      <c r="DF629" s="2" t="b">
        <f>IF(OR(RecData[[#This Row],[WSpd_Avg '[m/s']]]-RecData[[#This Row],[Wind Speed min]]&gt;=$DF$3,RecData[[#This Row],[Wind Speed max]]-RecData[[#This Row],[WSpd_Avg '[m/s']]]&gt;=$DF$2),TRUE,FALSE)</f>
        <v>0</v>
      </c>
      <c r="DG629" s="2" t="b">
        <f>RecData[[#This Row],[Temperature '[°C']]]&lt;=-20</f>
        <v>0</v>
      </c>
      <c r="DH629" s="18" t="b">
        <f>NOT(OR(MOD(RecData[[#This Row],[TIMESTAMP]],1)&gt;0.91632,MOD(RecData[[#This Row],[TIMESTAMP]],1)&lt;0.208681))</f>
        <v>0</v>
      </c>
      <c r="DI629" s="18" t="b">
        <f>RecData[[#This Row],[Overall (dBA)]]-RecData[[#This Row],[L90]]&gt;=$DS$4</f>
        <v>0</v>
      </c>
      <c r="DJ629" s="18" t="b">
        <f>RecData[[#This Row],[Overall (dBA)]]&gt;$DS$2</f>
        <v>0</v>
      </c>
      <c r="DK629" s="18" t="b">
        <f>RecData[[#This Row],[Overall (dBA)]]&lt;$DS$3</f>
        <v>0</v>
      </c>
      <c r="DL6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29" s="2">
        <f>IF(AND(RecData[[#This Row],[Turbines ON/OFF]] = "OFF", NOT(OR(RecData[[#This Row],[Junk?]]="YES",RecData[[#This Row],[Gust?]],RecData[[#This Row],[Rain?]:[Min SPL Threshold?]]))),1,0)</f>
        <v>0</v>
      </c>
      <c r="DN629" s="16">
        <f>RecData[[#This Row],[dBA Sum]]</f>
        <v>40.822062795699736</v>
      </c>
      <c r="DO629" s="16">
        <f>RecData[[#This Row],[LAF90.0]]</f>
        <v>39.5</v>
      </c>
      <c r="DP629" s="55">
        <f>IF(AND(RecData[[#This Row],[Useable TON Data?]],RecData[[#This Row],[Turbines ON/OFF]]="ON"),RecData[[#This Row],[dBA Sum]],"")</f>
        <v>40.822062795699736</v>
      </c>
      <c r="DQ629" s="55" t="str">
        <f>IF(AND(RecData[[#This Row],[Useable Background Data?]],RecData[[#This Row],[Turbines ON/OFF]]="OFF"),RecData[[#This Row],[dBA Sum]],"")</f>
        <v/>
      </c>
      <c r="DR629" s="3">
        <f>IF(OR(RecData[[#This Row],[Useable TON Data?]],RecData[[#This Row],[Useable Background Data?]]),ROUND(RecData[[#This Row],[WSpd_Avg '[m/s']]],0),"")</f>
        <v>1</v>
      </c>
      <c r="DS629" s="85">
        <f>(0.00002)^2*(10^(RecData[[#This Row],[Overall (dBA)]]/10))</f>
        <v>4.8335506170912192E-6</v>
      </c>
    </row>
    <row r="630" spans="1:123" ht="15" x14ac:dyDescent="0.25">
      <c r="A630" s="3" t="s">
        <v>249</v>
      </c>
      <c r="B630" s="12">
        <v>43270.15347222222</v>
      </c>
      <c r="C630" s="3"/>
      <c r="D630" s="3">
        <v>40.700000000000003</v>
      </c>
      <c r="E630" s="3"/>
      <c r="F630" s="3"/>
      <c r="G630" s="3"/>
      <c r="H630" s="3"/>
      <c r="I630" s="3"/>
      <c r="J630" s="3"/>
      <c r="K630" s="3">
        <v>39.200000000000003</v>
      </c>
      <c r="L630" s="3"/>
      <c r="M630" s="3"/>
      <c r="N630" s="3">
        <v>166.8</v>
      </c>
      <c r="O630" s="3"/>
      <c r="P630" s="3"/>
      <c r="Q630" s="3">
        <v>0.56000000000000005</v>
      </c>
      <c r="R630" s="3">
        <v>0.1</v>
      </c>
      <c r="S630" s="3">
        <v>0.8</v>
      </c>
      <c r="T630" s="3">
        <v>11.6</v>
      </c>
      <c r="U630" s="3">
        <v>85.9</v>
      </c>
      <c r="V630" s="3">
        <v>973.4</v>
      </c>
      <c r="W630" s="3">
        <v>0</v>
      </c>
      <c r="X630" s="3">
        <v>49.5</v>
      </c>
      <c r="Y630" s="3">
        <v>48.6</v>
      </c>
      <c r="Z630" s="3">
        <v>48.2</v>
      </c>
      <c r="AA630" s="3">
        <v>43.9</v>
      </c>
      <c r="AB630" s="3">
        <v>38.9</v>
      </c>
      <c r="AC630" s="3">
        <v>37.299999999999997</v>
      </c>
      <c r="AD630" s="3">
        <v>41.2</v>
      </c>
      <c r="AE630" s="3">
        <v>42.9</v>
      </c>
      <c r="AF630" s="3">
        <v>46.8</v>
      </c>
      <c r="AG630" s="3">
        <v>39.6</v>
      </c>
      <c r="AH630" s="3">
        <v>39.6</v>
      </c>
      <c r="AI630" s="3">
        <v>38.799999999999997</v>
      </c>
      <c r="AJ630" s="3">
        <v>37.9</v>
      </c>
      <c r="AK630" s="3">
        <v>35.6</v>
      </c>
      <c r="AL630" s="3">
        <v>33.4</v>
      </c>
      <c r="AM630" s="3">
        <v>32.799999999999997</v>
      </c>
      <c r="AN630" s="3">
        <v>31.2</v>
      </c>
      <c r="AO630" s="3">
        <v>27.6</v>
      </c>
      <c r="AP630" s="3">
        <v>25.5</v>
      </c>
      <c r="AQ630" s="3">
        <v>22.6</v>
      </c>
      <c r="AR630" s="3">
        <v>18.8</v>
      </c>
      <c r="AS630" s="3">
        <v>15.5</v>
      </c>
      <c r="AT630" s="3">
        <v>27</v>
      </c>
      <c r="AU630" s="3">
        <v>10.1</v>
      </c>
      <c r="AV630" s="3">
        <v>8.5</v>
      </c>
      <c r="AW630" s="3">
        <v>9</v>
      </c>
      <c r="AX630" s="3">
        <v>9.1</v>
      </c>
      <c r="AY630" s="3">
        <v>9.3000000000000007</v>
      </c>
      <c r="AZ630" s="3">
        <v>0</v>
      </c>
      <c r="BA630" s="3">
        <v>0</v>
      </c>
      <c r="BB630" s="3">
        <v>0</v>
      </c>
      <c r="BC630" s="3">
        <v>40.669718441300589</v>
      </c>
      <c r="BD630" s="3">
        <v>49.530281558699414</v>
      </c>
      <c r="BE630" s="3">
        <v>48.630281558699423</v>
      </c>
      <c r="BF630" s="3">
        <v>46.990281558699408</v>
      </c>
      <c r="BG630" s="3">
        <v>43.016948225366079</v>
      </c>
      <c r="BH630" s="3">
        <v>38.156948225366079</v>
      </c>
      <c r="BI630" s="3">
        <v>36.970281558699412</v>
      </c>
      <c r="BJ630" s="3">
        <v>41.663614892032754</v>
      </c>
      <c r="BK630" s="3">
        <v>43.236948225366078</v>
      </c>
      <c r="BL630" s="3">
        <v>46.710281558699407</v>
      </c>
      <c r="BM630" s="3">
        <v>39.643614892032744</v>
      </c>
      <c r="BN630" s="3">
        <v>39.926948225366075</v>
      </c>
      <c r="BO630" s="3">
        <v>38.493614892032738</v>
      </c>
      <c r="BP630" s="3">
        <v>37.310281558699415</v>
      </c>
      <c r="BQ630" s="3">
        <v>35.426948225366075</v>
      </c>
      <c r="BR630" s="3">
        <v>33.553614892032741</v>
      </c>
      <c r="BS630" s="3">
        <v>32.756948225366088</v>
      </c>
      <c r="BT630" s="3">
        <v>31.353614892032752</v>
      </c>
      <c r="BU630" s="3">
        <v>27.720281558699426</v>
      </c>
      <c r="BV630" s="3">
        <v>25.336948225366086</v>
      </c>
      <c r="BW630" s="3">
        <v>22.970281558699419</v>
      </c>
      <c r="BX630" s="3">
        <v>19.090281558699417</v>
      </c>
      <c r="BY630" s="3">
        <v>15.610281558699413</v>
      </c>
      <c r="BZ630" s="3">
        <v>27.240281558699422</v>
      </c>
      <c r="CA630" s="3">
        <v>10.440281558699411</v>
      </c>
      <c r="CB630" s="3">
        <v>8.2769482253660769</v>
      </c>
      <c r="CC630" s="3">
        <v>8.9902815586994151</v>
      </c>
      <c r="CD630" s="3">
        <v>8.3969482253660885</v>
      </c>
      <c r="CE630" s="3">
        <v>8.7902815586994123</v>
      </c>
      <c r="CF630" s="3">
        <v>-0.89638510796725512</v>
      </c>
      <c r="CG630" s="3">
        <v>-1.4297184413005866</v>
      </c>
      <c r="CH630" s="3">
        <v>-2.5063851079672546</v>
      </c>
      <c r="CI630" s="13">
        <f>[1]!dbasum(RecData[[#This Row],[20]:[2000]],RecData[[#Headers],[20]:[2000]])</f>
        <v>40.329464358332068</v>
      </c>
      <c r="CJ630" s="14">
        <v>8398</v>
      </c>
      <c r="CK630" s="15" t="s">
        <v>249</v>
      </c>
      <c r="CL630" s="15">
        <f>RecData[[#This Row],[Start Time]]</f>
        <v>43270.15347222222</v>
      </c>
      <c r="CM630" s="16">
        <f>RecData[[#This Row],[Wind Speed avg]]</f>
        <v>0.56000000000000005</v>
      </c>
      <c r="CN630" s="16">
        <f>RecData[[#This Row],[Wind Dir. avg]]</f>
        <v>166.8</v>
      </c>
      <c r="CO630" s="16">
        <f>RecData[[#This Row],[Amb. Humidity]]</f>
        <v>85.9</v>
      </c>
      <c r="CP630" s="16">
        <f>RecData[[#This Row],[Amb. Temperature]]</f>
        <v>11.6</v>
      </c>
      <c r="CQ630" s="17">
        <f>RecData[[#This Row],[Amb. Rain Gauge]]</f>
        <v>0</v>
      </c>
      <c r="CR630" s="4" t="s">
        <v>1</v>
      </c>
      <c r="CS630" s="4" t="s">
        <v>49</v>
      </c>
      <c r="CT630" s="70">
        <v>1589.65087890625</v>
      </c>
      <c r="CU630" s="70">
        <v>30.000259399413999</v>
      </c>
      <c r="CV630" s="70">
        <v>9.7169618606567294</v>
      </c>
      <c r="CW630" s="70">
        <v>15.2357721328735</v>
      </c>
      <c r="CX630" s="4"/>
      <c r="CY630" s="69"/>
      <c r="CZ630" s="2" t="b">
        <f>IF($DP$1="YES",IF(RecData[[#This Row],[Power (kW)]]&gt;=$CR$3, TRUE,FALSE),TRUE)</f>
        <v>1</v>
      </c>
      <c r="DA630" s="16">
        <f>MIN(MOD(180-ABS(ABS($DA$1-RecData[Yaw Angle (°)])-180),360),MOD(180-ABS(ABS($DB$1-RecData[Yaw Angle (°)])-180),360))</f>
        <v>22.470332621726442</v>
      </c>
      <c r="DB630" s="2" t="str">
        <f>IF($DP$2="None","None",IF(RecData[[#This Row],[Relative Wind Direction]]&lt;=45,"DW",IF(RecData[[#This Row],[Relative Wind Direction]]&lt;=135,"CW","UW")))</f>
        <v>DW</v>
      </c>
      <c r="DC630" s="61">
        <v>-1</v>
      </c>
      <c r="DD630" s="61">
        <v>-1</v>
      </c>
      <c r="DE630" s="18" t="b">
        <v>0</v>
      </c>
      <c r="DF630" s="2" t="b">
        <f>IF(OR(RecData[[#This Row],[WSpd_Avg '[m/s']]]-RecData[[#This Row],[Wind Speed min]]&gt;=$DF$3,RecData[[#This Row],[Wind Speed max]]-RecData[[#This Row],[WSpd_Avg '[m/s']]]&gt;=$DF$2),TRUE,FALSE)</f>
        <v>0</v>
      </c>
      <c r="DG630" s="2" t="b">
        <f>RecData[[#This Row],[Temperature '[°C']]]&lt;=-20</f>
        <v>0</v>
      </c>
      <c r="DH630" s="18" t="b">
        <f>NOT(OR(MOD(RecData[[#This Row],[TIMESTAMP]],1)&gt;0.91632,MOD(RecData[[#This Row],[TIMESTAMP]],1)&lt;0.208681))</f>
        <v>0</v>
      </c>
      <c r="DI630" s="18" t="b">
        <f>RecData[[#This Row],[Overall (dBA)]]-RecData[[#This Row],[L90]]&gt;=$DS$4</f>
        <v>0</v>
      </c>
      <c r="DJ630" s="18" t="b">
        <f>RecData[[#This Row],[Overall (dBA)]]&gt;$DS$2</f>
        <v>0</v>
      </c>
      <c r="DK630" s="18" t="b">
        <f>RecData[[#This Row],[Overall (dBA)]]&lt;$DS$3</f>
        <v>0</v>
      </c>
      <c r="DL6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0" s="2">
        <f>IF(AND(RecData[[#This Row],[Turbines ON/OFF]] = "OFF", NOT(OR(RecData[[#This Row],[Junk?]]="YES",RecData[[#This Row],[Gust?]],RecData[[#This Row],[Rain?]:[Min SPL Threshold?]]))),1,0)</f>
        <v>0</v>
      </c>
      <c r="DN630" s="16">
        <f>RecData[[#This Row],[dBA Sum]]</f>
        <v>40.329464358332068</v>
      </c>
      <c r="DO630" s="16">
        <f>RecData[[#This Row],[LAF90.0]]</f>
        <v>39.200000000000003</v>
      </c>
      <c r="DP630" s="55">
        <f>IF(AND(RecData[[#This Row],[Useable TON Data?]],RecData[[#This Row],[Turbines ON/OFF]]="ON"),RecData[[#This Row],[dBA Sum]],"")</f>
        <v>40.329464358332068</v>
      </c>
      <c r="DQ630" s="55" t="str">
        <f>IF(AND(RecData[[#This Row],[Useable Background Data?]],RecData[[#This Row],[Turbines ON/OFF]]="OFF"),RecData[[#This Row],[dBA Sum]],"")</f>
        <v/>
      </c>
      <c r="DR630" s="3">
        <f>IF(OR(RecData[[#This Row],[Useable TON Data?]],RecData[[#This Row],[Useable Background Data?]]),ROUND(RecData[[#This Row],[WSpd_Avg '[m/s']]],0),"")</f>
        <v>1</v>
      </c>
      <c r="DS630" s="85">
        <f>(0.00002)^2*(10^(RecData[[#This Row],[Overall (dBA)]]/10))</f>
        <v>4.3152546296273258E-6</v>
      </c>
    </row>
    <row r="631" spans="1:123" ht="15" x14ac:dyDescent="0.25">
      <c r="A631" s="3" t="s">
        <v>249</v>
      </c>
      <c r="B631" s="12">
        <v>43270.154166666667</v>
      </c>
      <c r="C631" s="3"/>
      <c r="D631" s="3">
        <v>41.3</v>
      </c>
      <c r="E631" s="3"/>
      <c r="F631" s="3"/>
      <c r="G631" s="3"/>
      <c r="H631" s="3"/>
      <c r="I631" s="3"/>
      <c r="J631" s="3"/>
      <c r="K631" s="3">
        <v>40.1</v>
      </c>
      <c r="L631" s="3"/>
      <c r="M631" s="3"/>
      <c r="N631" s="3">
        <v>154.19999999999999</v>
      </c>
      <c r="O631" s="3"/>
      <c r="P631" s="3"/>
      <c r="Q631" s="3">
        <v>0.81</v>
      </c>
      <c r="R631" s="3">
        <v>0.4</v>
      </c>
      <c r="S631" s="3">
        <v>1.1000000000000001</v>
      </c>
      <c r="T631" s="3">
        <v>11.5</v>
      </c>
      <c r="U631" s="3">
        <v>86.2</v>
      </c>
      <c r="V631" s="3">
        <v>973.4</v>
      </c>
      <c r="W631" s="3">
        <v>0</v>
      </c>
      <c r="X631" s="3">
        <v>50.1</v>
      </c>
      <c r="Y631" s="3">
        <v>49.2</v>
      </c>
      <c r="Z631" s="3">
        <v>48.7</v>
      </c>
      <c r="AA631" s="3">
        <v>44.5</v>
      </c>
      <c r="AB631" s="3">
        <v>39.9</v>
      </c>
      <c r="AC631" s="3">
        <v>38.5</v>
      </c>
      <c r="AD631" s="3">
        <v>42.3</v>
      </c>
      <c r="AE631" s="3">
        <v>43.8</v>
      </c>
      <c r="AF631" s="3">
        <v>47.2</v>
      </c>
      <c r="AG631" s="3">
        <v>40.9</v>
      </c>
      <c r="AH631" s="3">
        <v>40.700000000000003</v>
      </c>
      <c r="AI631" s="3">
        <v>39.5</v>
      </c>
      <c r="AJ631" s="3">
        <v>38.4</v>
      </c>
      <c r="AK631" s="3">
        <v>36.1</v>
      </c>
      <c r="AL631" s="3">
        <v>34</v>
      </c>
      <c r="AM631" s="3">
        <v>33.4</v>
      </c>
      <c r="AN631" s="3">
        <v>32</v>
      </c>
      <c r="AO631" s="3">
        <v>28.2</v>
      </c>
      <c r="AP631" s="3">
        <v>26</v>
      </c>
      <c r="AQ631" s="3">
        <v>23.6</v>
      </c>
      <c r="AR631" s="3">
        <v>19.8</v>
      </c>
      <c r="AS631" s="3">
        <v>16.7</v>
      </c>
      <c r="AT631" s="3">
        <v>26.8</v>
      </c>
      <c r="AU631" s="3">
        <v>10.3</v>
      </c>
      <c r="AV631" s="3">
        <v>8.6</v>
      </c>
      <c r="AW631" s="3">
        <v>8.9</v>
      </c>
      <c r="AX631" s="3">
        <v>9.1</v>
      </c>
      <c r="AY631" s="3">
        <v>9.3000000000000007</v>
      </c>
      <c r="AZ631" s="3">
        <v>0</v>
      </c>
      <c r="BA631" s="3">
        <v>0</v>
      </c>
      <c r="BB631" s="3">
        <v>0</v>
      </c>
      <c r="BC631" s="3">
        <v>41.297723420736013</v>
      </c>
      <c r="BD631" s="3">
        <v>50.102276579263993</v>
      </c>
      <c r="BE631" s="3">
        <v>49.202276579263987</v>
      </c>
      <c r="BF631" s="3">
        <v>47.462276579263978</v>
      </c>
      <c r="BG631" s="3">
        <v>43.588943245930643</v>
      </c>
      <c r="BH631" s="3">
        <v>39.12894324593065</v>
      </c>
      <c r="BI631" s="3">
        <v>38.142276579263985</v>
      </c>
      <c r="BJ631" s="3">
        <v>42.735609912597319</v>
      </c>
      <c r="BK631" s="3">
        <v>44.108943245930654</v>
      </c>
      <c r="BL631" s="3">
        <v>47.082276579263983</v>
      </c>
      <c r="BM631" s="3">
        <v>40.915609912597326</v>
      </c>
      <c r="BN631" s="3">
        <v>40.998943245930654</v>
      </c>
      <c r="BO631" s="3">
        <v>39.165609912597326</v>
      </c>
      <c r="BP631" s="3">
        <v>37.782276579263986</v>
      </c>
      <c r="BQ631" s="3">
        <v>35.898943245930646</v>
      </c>
      <c r="BR631" s="3">
        <v>34.125609912597319</v>
      </c>
      <c r="BS631" s="3">
        <v>33.328943245930652</v>
      </c>
      <c r="BT631" s="3">
        <v>32.125609912597319</v>
      </c>
      <c r="BU631" s="3">
        <v>28.292276579263991</v>
      </c>
      <c r="BV631" s="3">
        <v>25.808943245930656</v>
      </c>
      <c r="BW631" s="3">
        <v>23.942276579263996</v>
      </c>
      <c r="BX631" s="3">
        <v>20.062276579263987</v>
      </c>
      <c r="BY631" s="3">
        <v>16.782276579263986</v>
      </c>
      <c r="BZ631" s="3">
        <v>27.01227657926399</v>
      </c>
      <c r="CA631" s="3">
        <v>10.612276579263977</v>
      </c>
      <c r="CB631" s="3">
        <v>8.3489432459306485</v>
      </c>
      <c r="CC631" s="3">
        <v>8.8622765792639839</v>
      </c>
      <c r="CD631" s="3">
        <v>8.3689432459306587</v>
      </c>
      <c r="CE631" s="3">
        <v>8.7622765792639825</v>
      </c>
      <c r="CF631" s="3">
        <v>-0.92439008740268491</v>
      </c>
      <c r="CG631" s="3">
        <v>-1.4577234207360164</v>
      </c>
      <c r="CH631" s="3">
        <v>-2.5343900874026843</v>
      </c>
      <c r="CI631" s="13">
        <f>[1]!dbasum(RecData[[#This Row],[20]:[2000]],RecData[[#Headers],[20]:[2000]])</f>
        <v>40.982581496757014</v>
      </c>
      <c r="CJ631" s="14">
        <v>8399</v>
      </c>
      <c r="CK631" s="15" t="s">
        <v>249</v>
      </c>
      <c r="CL631" s="15">
        <f>RecData[[#This Row],[Start Time]]</f>
        <v>43270.154166666667</v>
      </c>
      <c r="CM631" s="16">
        <f>RecData[[#This Row],[Wind Speed avg]]</f>
        <v>0.81</v>
      </c>
      <c r="CN631" s="16">
        <f>RecData[[#This Row],[Wind Dir. avg]]</f>
        <v>154.19999999999999</v>
      </c>
      <c r="CO631" s="16">
        <f>RecData[[#This Row],[Amb. Humidity]]</f>
        <v>86.2</v>
      </c>
      <c r="CP631" s="16">
        <f>RecData[[#This Row],[Amb. Temperature]]</f>
        <v>11.5</v>
      </c>
      <c r="CQ631" s="17">
        <f>RecData[[#This Row],[Amb. Rain Gauge]]</f>
        <v>0</v>
      </c>
      <c r="CR631" s="4" t="s">
        <v>1</v>
      </c>
      <c r="CS631" s="4" t="s">
        <v>49</v>
      </c>
      <c r="CT631" s="70">
        <v>1589.65087890625</v>
      </c>
      <c r="CU631" s="70">
        <v>30.000259399413999</v>
      </c>
      <c r="CV631" s="70">
        <v>9.7169618606567294</v>
      </c>
      <c r="CW631" s="70">
        <v>15.2357721328735</v>
      </c>
      <c r="CX631" s="4"/>
      <c r="CY631" s="69"/>
      <c r="CZ631" s="2" t="b">
        <f>IF($DP$1="YES",IF(RecData[[#This Row],[Power (kW)]]&gt;=$CR$3, TRUE,FALSE),TRUE)</f>
        <v>1</v>
      </c>
      <c r="DA631" s="16">
        <f>MIN(MOD(180-ABS(ABS($DA$1-RecData[Yaw Angle (°)])-180),360),MOD(180-ABS(ABS($DB$1-RecData[Yaw Angle (°)])-180),360))</f>
        <v>22.470332621726442</v>
      </c>
      <c r="DB631" s="2" t="str">
        <f>IF($DP$2="None","None",IF(RecData[[#This Row],[Relative Wind Direction]]&lt;=45,"DW",IF(RecData[[#This Row],[Relative Wind Direction]]&lt;=135,"CW","UW")))</f>
        <v>DW</v>
      </c>
      <c r="DC631" s="61">
        <f>IF($CL631-$CL630&gt;1/24,#REF!,IF(SUM($CQ630:$CQ631)&gt;$DS$1,$DS$5,DC632-1))</f>
        <v>-9</v>
      </c>
      <c r="DD631" s="61">
        <f>IF($CL632-$CL631&gt;1/24,#REF!,IF(SUM($CQ630:$CQ631)&gt;$DS$1,$DS$6,DD630-1))</f>
        <v>-2</v>
      </c>
      <c r="DE631" s="18" t="b">
        <v>0</v>
      </c>
      <c r="DF631" s="2" t="b">
        <f>IF(OR(RecData[[#This Row],[WSpd_Avg '[m/s']]]-RecData[[#This Row],[Wind Speed min]]&gt;=$DF$3,RecData[[#This Row],[Wind Speed max]]-RecData[[#This Row],[WSpd_Avg '[m/s']]]&gt;=$DF$2),TRUE,FALSE)</f>
        <v>0</v>
      </c>
      <c r="DG631" s="2" t="b">
        <f>RecData[[#This Row],[Temperature '[°C']]]&lt;=-20</f>
        <v>0</v>
      </c>
      <c r="DH631" s="18" t="b">
        <f>NOT(OR(MOD(RecData[[#This Row],[TIMESTAMP]],1)&gt;0.91632,MOD(RecData[[#This Row],[TIMESTAMP]],1)&lt;0.208681))</f>
        <v>0</v>
      </c>
      <c r="DI631" s="18" t="b">
        <f>RecData[[#This Row],[Overall (dBA)]]-RecData[[#This Row],[L90]]&gt;=$DS$4</f>
        <v>0</v>
      </c>
      <c r="DJ631" s="18" t="b">
        <f>RecData[[#This Row],[Overall (dBA)]]&gt;$DS$2</f>
        <v>0</v>
      </c>
      <c r="DK631" s="18" t="b">
        <f>RecData[[#This Row],[Overall (dBA)]]&lt;$DS$3</f>
        <v>0</v>
      </c>
      <c r="DL6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1" s="2">
        <f>IF(AND(RecData[[#This Row],[Turbines ON/OFF]] = "OFF", NOT(OR(RecData[[#This Row],[Junk?]]="YES",RecData[[#This Row],[Gust?]],RecData[[#This Row],[Rain?]:[Min SPL Threshold?]]))),1,0)</f>
        <v>0</v>
      </c>
      <c r="DN631" s="16">
        <f>RecData[[#This Row],[dBA Sum]]</f>
        <v>40.982581496757014</v>
      </c>
      <c r="DO631" s="16">
        <f>RecData[[#This Row],[LAF90.0]]</f>
        <v>40.1</v>
      </c>
      <c r="DP631" s="55">
        <f>IF(AND(RecData[[#This Row],[Useable TON Data?]],RecData[[#This Row],[Turbines ON/OFF]]="ON"),RecData[[#This Row],[dBA Sum]],"")</f>
        <v>40.982581496757014</v>
      </c>
      <c r="DQ631" s="55" t="str">
        <f>IF(AND(RecData[[#This Row],[Useable Background Data?]],RecData[[#This Row],[Turbines ON/OFF]]="OFF"),RecData[[#This Row],[dBA Sum]],"")</f>
        <v/>
      </c>
      <c r="DR631" s="3">
        <f>IF(OR(RecData[[#This Row],[Useable TON Data?]],RecData[[#This Row],[Useable Background Data?]]),ROUND(RecData[[#This Row],[WSpd_Avg '[m/s']]],0),"")</f>
        <v>1</v>
      </c>
      <c r="DS631" s="85">
        <f>(0.00002)^2*(10^(RecData[[#This Row],[Overall (dBA)]]/10))</f>
        <v>5.0155451120521169E-6</v>
      </c>
    </row>
    <row r="632" spans="1:123" ht="15" x14ac:dyDescent="0.25">
      <c r="A632" s="3" t="s">
        <v>249</v>
      </c>
      <c r="B632" s="12">
        <v>43270.154861111114</v>
      </c>
      <c r="C632" s="3"/>
      <c r="D632" s="3">
        <v>41</v>
      </c>
      <c r="E632" s="3"/>
      <c r="F632" s="3"/>
      <c r="G632" s="3"/>
      <c r="H632" s="3"/>
      <c r="I632" s="3"/>
      <c r="J632" s="3"/>
      <c r="K632" s="3">
        <v>39.799999999999997</v>
      </c>
      <c r="L632" s="3"/>
      <c r="M632" s="3"/>
      <c r="N632" s="3">
        <v>183.9</v>
      </c>
      <c r="O632" s="3"/>
      <c r="P632" s="3"/>
      <c r="Q632" s="3">
        <v>0.69</v>
      </c>
      <c r="R632" s="3">
        <v>0.4</v>
      </c>
      <c r="S632" s="3">
        <v>1</v>
      </c>
      <c r="T632" s="3">
        <v>11.4</v>
      </c>
      <c r="U632" s="3">
        <v>86.1</v>
      </c>
      <c r="V632" s="3">
        <v>973.4</v>
      </c>
      <c r="W632" s="3">
        <v>0</v>
      </c>
      <c r="X632" s="3">
        <v>49.7</v>
      </c>
      <c r="Y632" s="3">
        <v>49.3</v>
      </c>
      <c r="Z632" s="3">
        <v>48.6</v>
      </c>
      <c r="AA632" s="3">
        <v>43.9</v>
      </c>
      <c r="AB632" s="3">
        <v>39.1</v>
      </c>
      <c r="AC632" s="3">
        <v>38</v>
      </c>
      <c r="AD632" s="3">
        <v>42.3</v>
      </c>
      <c r="AE632" s="3">
        <v>43.8</v>
      </c>
      <c r="AF632" s="3">
        <v>47.8</v>
      </c>
      <c r="AG632" s="3">
        <v>40.5</v>
      </c>
      <c r="AH632" s="3">
        <v>40.200000000000003</v>
      </c>
      <c r="AI632" s="3">
        <v>39</v>
      </c>
      <c r="AJ632" s="3">
        <v>38.200000000000003</v>
      </c>
      <c r="AK632" s="3">
        <v>36.1</v>
      </c>
      <c r="AL632" s="3">
        <v>33.700000000000003</v>
      </c>
      <c r="AM632" s="3">
        <v>33.200000000000003</v>
      </c>
      <c r="AN632" s="3">
        <v>31.5</v>
      </c>
      <c r="AO632" s="3">
        <v>27.7</v>
      </c>
      <c r="AP632" s="3">
        <v>25.7</v>
      </c>
      <c r="AQ632" s="3">
        <v>22.9</v>
      </c>
      <c r="AR632" s="3">
        <v>19.100000000000001</v>
      </c>
      <c r="AS632" s="3">
        <v>15.7</v>
      </c>
      <c r="AT632" s="3">
        <v>25.4</v>
      </c>
      <c r="AU632" s="3">
        <v>10</v>
      </c>
      <c r="AV632" s="3">
        <v>8.6999999999999993</v>
      </c>
      <c r="AW632" s="3">
        <v>8.9</v>
      </c>
      <c r="AX632" s="3">
        <v>9.1</v>
      </c>
      <c r="AY632" s="3">
        <v>9.3000000000000007</v>
      </c>
      <c r="AZ632" s="3">
        <v>0</v>
      </c>
      <c r="BA632" s="3">
        <v>0</v>
      </c>
      <c r="BB632" s="3">
        <v>0</v>
      </c>
      <c r="BC632" s="3">
        <v>41.028590533415709</v>
      </c>
      <c r="BD632" s="3">
        <v>49.671409466584294</v>
      </c>
      <c r="BE632" s="3">
        <v>49.271409466584288</v>
      </c>
      <c r="BF632" s="3">
        <v>47.33140946658429</v>
      </c>
      <c r="BG632" s="3">
        <v>42.958076133250955</v>
      </c>
      <c r="BH632" s="3">
        <v>38.298076133250959</v>
      </c>
      <c r="BI632" s="3">
        <v>37.611409466584291</v>
      </c>
      <c r="BJ632" s="3">
        <v>42.704742799917611</v>
      </c>
      <c r="BK632" s="3">
        <v>44.078076133250946</v>
      </c>
      <c r="BL632" s="3">
        <v>47.651409466584298</v>
      </c>
      <c r="BM632" s="3">
        <v>40.484742799917626</v>
      </c>
      <c r="BN632" s="3">
        <v>40.46807613325096</v>
      </c>
      <c r="BO632" s="3">
        <v>38.634742799917618</v>
      </c>
      <c r="BP632" s="3">
        <v>37.551409466584303</v>
      </c>
      <c r="BQ632" s="3">
        <v>35.868076133250952</v>
      </c>
      <c r="BR632" s="3">
        <v>33.794742799917628</v>
      </c>
      <c r="BS632" s="3">
        <v>33.098076133250956</v>
      </c>
      <c r="BT632" s="3">
        <v>31.594742799917626</v>
      </c>
      <c r="BU632" s="3">
        <v>27.761409466584297</v>
      </c>
      <c r="BV632" s="3">
        <v>25.478076133250951</v>
      </c>
      <c r="BW632" s="3">
        <v>23.2114094665843</v>
      </c>
      <c r="BX632" s="3">
        <v>19.331409466584297</v>
      </c>
      <c r="BY632" s="3">
        <v>15.751409466584292</v>
      </c>
      <c r="BZ632" s="3">
        <v>25.58140946658429</v>
      </c>
      <c r="CA632" s="3">
        <v>10.281409466584286</v>
      </c>
      <c r="CB632" s="3">
        <v>8.4180761332509562</v>
      </c>
      <c r="CC632" s="3">
        <v>8.8314094665842902</v>
      </c>
      <c r="CD632" s="3">
        <v>8.338076133250965</v>
      </c>
      <c r="CE632" s="3">
        <v>8.7314094665842887</v>
      </c>
      <c r="CF632" s="3">
        <v>-0.95525720008237869</v>
      </c>
      <c r="CG632" s="3">
        <v>-1.4885905334157101</v>
      </c>
      <c r="CH632" s="3">
        <v>-2.5652572000823781</v>
      </c>
      <c r="CI632" s="13">
        <f>[1]!dbasum(RecData[[#This Row],[20]:[2000]],RecData[[#Headers],[20]:[2000]])</f>
        <v>40.729099689063268</v>
      </c>
      <c r="CJ632" s="14">
        <v>8400</v>
      </c>
      <c r="CK632" s="15" t="s">
        <v>249</v>
      </c>
      <c r="CL632" s="15">
        <f>RecData[[#This Row],[Start Time]]</f>
        <v>43270.154861111114</v>
      </c>
      <c r="CM632" s="16">
        <f>RecData[[#This Row],[Wind Speed avg]]</f>
        <v>0.69</v>
      </c>
      <c r="CN632" s="16">
        <f>RecData[[#This Row],[Wind Dir. avg]]</f>
        <v>183.9</v>
      </c>
      <c r="CO632" s="16">
        <f>RecData[[#This Row],[Amb. Humidity]]</f>
        <v>86.1</v>
      </c>
      <c r="CP632" s="16">
        <f>RecData[[#This Row],[Amb. Temperature]]</f>
        <v>11.4</v>
      </c>
      <c r="CQ632" s="17">
        <f>RecData[[#This Row],[Amb. Rain Gauge]]</f>
        <v>0</v>
      </c>
      <c r="CR632" s="4" t="s">
        <v>1</v>
      </c>
      <c r="CS632" s="4" t="s">
        <v>49</v>
      </c>
      <c r="CT632" s="70">
        <v>1589.65087890625</v>
      </c>
      <c r="CU632" s="70">
        <v>30.000259399413999</v>
      </c>
      <c r="CV632" s="70">
        <v>9.7169618606567294</v>
      </c>
      <c r="CW632" s="70">
        <v>15.2357721328735</v>
      </c>
      <c r="CX632" s="4"/>
      <c r="CY632" s="69"/>
      <c r="CZ632" s="2" t="b">
        <f>IF($DP$1="YES",IF(RecData[[#This Row],[Power (kW)]]&gt;=$CR$3, TRUE,FALSE),TRUE)</f>
        <v>1</v>
      </c>
      <c r="DA632" s="16">
        <f>MIN(MOD(180-ABS(ABS($DA$1-RecData[Yaw Angle (°)])-180),360),MOD(180-ABS(ABS($DB$1-RecData[Yaw Angle (°)])-180),360))</f>
        <v>22.470332621726442</v>
      </c>
      <c r="DB632" s="2" t="str">
        <f>IF($DP$2="None","None",IF(RecData[[#This Row],[Relative Wind Direction]]&lt;=45,"DW",IF(RecData[[#This Row],[Relative Wind Direction]]&lt;=135,"CW","UW")))</f>
        <v>DW</v>
      </c>
      <c r="DC632" s="61">
        <f>IF($CL632-$CL630&gt;1/24,#REF!,IF(SUM($CQ630:$CQ632)&gt;$DS$1,$DS$5,DC633-1))</f>
        <v>-8</v>
      </c>
      <c r="DD632" s="61">
        <f>IF($CL633-$CL632&gt;1/24,#REF!,IF(SUM($CQ630:$CQ632)&gt;$DS$1,$DS$6,DD631-1))</f>
        <v>-3</v>
      </c>
      <c r="DE632" s="18" t="b">
        <v>0</v>
      </c>
      <c r="DF632" s="2" t="b">
        <f>IF(OR(RecData[[#This Row],[WSpd_Avg '[m/s']]]-RecData[[#This Row],[Wind Speed min]]&gt;=$DF$3,RecData[[#This Row],[Wind Speed max]]-RecData[[#This Row],[WSpd_Avg '[m/s']]]&gt;=$DF$2),TRUE,FALSE)</f>
        <v>0</v>
      </c>
      <c r="DG632" s="2" t="b">
        <f>RecData[[#This Row],[Temperature '[°C']]]&lt;=-20</f>
        <v>0</v>
      </c>
      <c r="DH632" s="18" t="b">
        <f>NOT(OR(MOD(RecData[[#This Row],[TIMESTAMP]],1)&gt;0.91632,MOD(RecData[[#This Row],[TIMESTAMP]],1)&lt;0.208681))</f>
        <v>0</v>
      </c>
      <c r="DI632" s="18" t="b">
        <f>RecData[[#This Row],[Overall (dBA)]]-RecData[[#This Row],[L90]]&gt;=$DS$4</f>
        <v>0</v>
      </c>
      <c r="DJ632" s="18" t="b">
        <f>RecData[[#This Row],[Overall (dBA)]]&gt;$DS$2</f>
        <v>0</v>
      </c>
      <c r="DK632" s="18" t="b">
        <f>RecData[[#This Row],[Overall (dBA)]]&lt;$DS$3</f>
        <v>0</v>
      </c>
      <c r="DL6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2" s="2">
        <f>IF(AND(RecData[[#This Row],[Turbines ON/OFF]] = "OFF", NOT(OR(RecData[[#This Row],[Junk?]]="YES",RecData[[#This Row],[Gust?]],RecData[[#This Row],[Rain?]:[Min SPL Threshold?]]))),1,0)</f>
        <v>0</v>
      </c>
      <c r="DN632" s="16">
        <f>RecData[[#This Row],[dBA Sum]]</f>
        <v>40.729099689063268</v>
      </c>
      <c r="DO632" s="16">
        <f>RecData[[#This Row],[LAF90.0]]</f>
        <v>39.799999999999997</v>
      </c>
      <c r="DP632" s="55">
        <f>IF(AND(RecData[[#This Row],[Useable TON Data?]],RecData[[#This Row],[Turbines ON/OFF]]="ON"),RecData[[#This Row],[dBA Sum]],"")</f>
        <v>40.729099689063268</v>
      </c>
      <c r="DQ632" s="55" t="str">
        <f>IF(AND(RecData[[#This Row],[Useable Background Data?]],RecData[[#This Row],[Turbines ON/OFF]]="OFF"),RecData[[#This Row],[dBA Sum]],"")</f>
        <v/>
      </c>
      <c r="DR632" s="3">
        <f>IF(OR(RecData[[#This Row],[Useable TON Data?]],RecData[[#This Row],[Useable Background Data?]]),ROUND(RecData[[#This Row],[WSpd_Avg '[m/s']]],0),"")</f>
        <v>1</v>
      </c>
      <c r="DS632" s="85">
        <f>(0.00002)^2*(10^(RecData[[#This Row],[Overall (dBA)]]/10))</f>
        <v>4.731185326386613E-6</v>
      </c>
    </row>
    <row r="633" spans="1:123" ht="15" x14ac:dyDescent="0.25">
      <c r="A633" s="3" t="s">
        <v>249</v>
      </c>
      <c r="B633" s="12">
        <v>43270.155555555553</v>
      </c>
      <c r="C633" s="3"/>
      <c r="D633" s="3">
        <v>40.9</v>
      </c>
      <c r="E633" s="3"/>
      <c r="F633" s="3"/>
      <c r="G633" s="3"/>
      <c r="H633" s="3"/>
      <c r="I633" s="3"/>
      <c r="J633" s="3"/>
      <c r="K633" s="3">
        <v>40</v>
      </c>
      <c r="L633" s="3"/>
      <c r="M633" s="3"/>
      <c r="N633" s="3">
        <v>161.1</v>
      </c>
      <c r="O633" s="3"/>
      <c r="P633" s="3"/>
      <c r="Q633" s="3">
        <v>0.86</v>
      </c>
      <c r="R633" s="3">
        <v>0.6</v>
      </c>
      <c r="S633" s="3">
        <v>1.3</v>
      </c>
      <c r="T633" s="3">
        <v>11.4</v>
      </c>
      <c r="U633" s="3">
        <v>86.1</v>
      </c>
      <c r="V633" s="3">
        <v>973.4</v>
      </c>
      <c r="W633" s="3">
        <v>0</v>
      </c>
      <c r="X633" s="3">
        <v>49.8</v>
      </c>
      <c r="Y633" s="3">
        <v>49.2</v>
      </c>
      <c r="Z633" s="3">
        <v>48.7</v>
      </c>
      <c r="AA633" s="3">
        <v>44.7</v>
      </c>
      <c r="AB633" s="3">
        <v>39.4</v>
      </c>
      <c r="AC633" s="3">
        <v>37.6</v>
      </c>
      <c r="AD633" s="3">
        <v>41.3</v>
      </c>
      <c r="AE633" s="3">
        <v>42.9</v>
      </c>
      <c r="AF633" s="3">
        <v>46.7</v>
      </c>
      <c r="AG633" s="3">
        <v>41.3</v>
      </c>
      <c r="AH633" s="3">
        <v>39</v>
      </c>
      <c r="AI633" s="3">
        <v>38.700000000000003</v>
      </c>
      <c r="AJ633" s="3">
        <v>37.6</v>
      </c>
      <c r="AK633" s="3">
        <v>35.6</v>
      </c>
      <c r="AL633" s="3">
        <v>33.700000000000003</v>
      </c>
      <c r="AM633" s="3">
        <v>33.4</v>
      </c>
      <c r="AN633" s="3">
        <v>32.200000000000003</v>
      </c>
      <c r="AO633" s="3">
        <v>29</v>
      </c>
      <c r="AP633" s="3">
        <v>26.3</v>
      </c>
      <c r="AQ633" s="3">
        <v>24.3</v>
      </c>
      <c r="AR633" s="3">
        <v>20.3</v>
      </c>
      <c r="AS633" s="3">
        <v>16.2</v>
      </c>
      <c r="AT633" s="3">
        <v>24.1</v>
      </c>
      <c r="AU633" s="3">
        <v>9</v>
      </c>
      <c r="AV633" s="3">
        <v>8.5</v>
      </c>
      <c r="AW633" s="3">
        <v>9</v>
      </c>
      <c r="AX633" s="3">
        <v>9.1</v>
      </c>
      <c r="AY633" s="3">
        <v>9.4</v>
      </c>
      <c r="AZ633" s="3">
        <v>0</v>
      </c>
      <c r="BA633" s="3">
        <v>0</v>
      </c>
      <c r="BB633" s="3">
        <v>0</v>
      </c>
      <c r="BC633" s="3">
        <v>40.906199646115304</v>
      </c>
      <c r="BD633" s="3">
        <v>49.793800353884684</v>
      </c>
      <c r="BE633" s="3">
        <v>49.19380035388469</v>
      </c>
      <c r="BF633" s="3">
        <v>47.453800353884695</v>
      </c>
      <c r="BG633" s="3">
        <v>43.780467020551363</v>
      </c>
      <c r="BH633" s="3">
        <v>38.620467020551366</v>
      </c>
      <c r="BI633" s="3">
        <v>37.233800353884696</v>
      </c>
      <c r="BJ633" s="3">
        <v>41.727133687218021</v>
      </c>
      <c r="BK633" s="3">
        <v>43.200467020551351</v>
      </c>
      <c r="BL633" s="3">
        <v>46.5738003538847</v>
      </c>
      <c r="BM633" s="3">
        <v>41.307133687218034</v>
      </c>
      <c r="BN633" s="3">
        <v>39.290467020551354</v>
      </c>
      <c r="BO633" s="3">
        <v>38.357133687218031</v>
      </c>
      <c r="BP633" s="3">
        <v>36.973800353884691</v>
      </c>
      <c r="BQ633" s="3">
        <v>35.390467020551348</v>
      </c>
      <c r="BR633" s="3">
        <v>33.817133687218025</v>
      </c>
      <c r="BS633" s="3">
        <v>33.320467020551355</v>
      </c>
      <c r="BT633" s="3">
        <v>32.317133687218025</v>
      </c>
      <c r="BU633" s="3">
        <v>29.083800353884705</v>
      </c>
      <c r="BV633" s="3">
        <v>26.100467020551356</v>
      </c>
      <c r="BW633" s="3">
        <v>24.633800353884702</v>
      </c>
      <c r="BX633" s="3">
        <v>20.553800353884704</v>
      </c>
      <c r="BY633" s="3">
        <v>16.273800353884688</v>
      </c>
      <c r="BZ633" s="3">
        <v>24.303800353884704</v>
      </c>
      <c r="CA633" s="3">
        <v>9.3038003538846894</v>
      </c>
      <c r="CB633" s="3">
        <v>8.2404670205513568</v>
      </c>
      <c r="CC633" s="3">
        <v>8.9538003538846951</v>
      </c>
      <c r="CD633" s="3">
        <v>8.3604670205513614</v>
      </c>
      <c r="CE633" s="3">
        <v>8.8538003538846937</v>
      </c>
      <c r="CF633" s="3">
        <v>-0.93286631278197518</v>
      </c>
      <c r="CG633" s="3">
        <v>-1.4661996461153066</v>
      </c>
      <c r="CH633" s="3">
        <v>-2.5428663127819746</v>
      </c>
      <c r="CI633" s="13">
        <f>[1]!dbasum(RecData[[#This Row],[20]:[2000]],RecData[[#Headers],[20]:[2000]])</f>
        <v>40.679171087866109</v>
      </c>
      <c r="CJ633" s="14">
        <v>8401</v>
      </c>
      <c r="CK633" s="15" t="s">
        <v>249</v>
      </c>
      <c r="CL633" s="15">
        <f>RecData[[#This Row],[Start Time]]</f>
        <v>43270.155555555553</v>
      </c>
      <c r="CM633" s="16">
        <f>RecData[[#This Row],[Wind Speed avg]]</f>
        <v>0.86</v>
      </c>
      <c r="CN633" s="16">
        <f>RecData[[#This Row],[Wind Dir. avg]]</f>
        <v>161.1</v>
      </c>
      <c r="CO633" s="16">
        <f>RecData[[#This Row],[Amb. Humidity]]</f>
        <v>86.1</v>
      </c>
      <c r="CP633" s="16">
        <f>RecData[[#This Row],[Amb. Temperature]]</f>
        <v>11.4</v>
      </c>
      <c r="CQ633" s="17">
        <f>RecData[[#This Row],[Amb. Rain Gauge]]</f>
        <v>0</v>
      </c>
      <c r="CR633" s="4" t="s">
        <v>1</v>
      </c>
      <c r="CS633" s="4" t="s">
        <v>49</v>
      </c>
      <c r="CT633" s="70">
        <v>1589.65087890625</v>
      </c>
      <c r="CU633" s="70">
        <v>30.000259399413999</v>
      </c>
      <c r="CV633" s="70">
        <v>9.7169618606567294</v>
      </c>
      <c r="CW633" s="70">
        <v>15.2357721328735</v>
      </c>
      <c r="CX633" s="4"/>
      <c r="CY633" s="69"/>
      <c r="CZ633" s="2" t="b">
        <f>IF($DP$1="YES",IF(RecData[[#This Row],[Power (kW)]]&gt;=$CR$3, TRUE,FALSE),TRUE)</f>
        <v>1</v>
      </c>
      <c r="DA633" s="16">
        <f>MIN(MOD(180-ABS(ABS($DA$1-RecData[Yaw Angle (°)])-180),360),MOD(180-ABS(ABS($DB$1-RecData[Yaw Angle (°)])-180),360))</f>
        <v>22.470332621726442</v>
      </c>
      <c r="DB633" s="2" t="str">
        <f>IF($DP$2="None","None",IF(RecData[[#This Row],[Relative Wind Direction]]&lt;=45,"DW",IF(RecData[[#This Row],[Relative Wind Direction]]&lt;=135,"CW","UW")))</f>
        <v>DW</v>
      </c>
      <c r="DC633" s="61">
        <f>IF($CL633-$CL630&gt;1/24,#REF!,IF(SUM($CQ630:$CQ633)&gt;$DS$1,$DS$5,DC634-1))</f>
        <v>-7</v>
      </c>
      <c r="DD633" s="61">
        <f>IF($CL634-$CL633&gt;1/24,#REF!,IF(SUM($CQ630:$CQ633)&gt;$DS$1,$DS$6,DD632-1))</f>
        <v>-4</v>
      </c>
      <c r="DE633" s="18" t="b">
        <v>0</v>
      </c>
      <c r="DF633" s="2" t="b">
        <f>IF(OR(RecData[[#This Row],[WSpd_Avg '[m/s']]]-RecData[[#This Row],[Wind Speed min]]&gt;=$DF$3,RecData[[#This Row],[Wind Speed max]]-RecData[[#This Row],[WSpd_Avg '[m/s']]]&gt;=$DF$2),TRUE,FALSE)</f>
        <v>0</v>
      </c>
      <c r="DG633" s="2" t="b">
        <f>RecData[[#This Row],[Temperature '[°C']]]&lt;=-20</f>
        <v>0</v>
      </c>
      <c r="DH633" s="18" t="b">
        <f>NOT(OR(MOD(RecData[[#This Row],[TIMESTAMP]],1)&gt;0.91632,MOD(RecData[[#This Row],[TIMESTAMP]],1)&lt;0.208681))</f>
        <v>0</v>
      </c>
      <c r="DI633" s="18" t="b">
        <f>RecData[[#This Row],[Overall (dBA)]]-RecData[[#This Row],[L90]]&gt;=$DS$4</f>
        <v>0</v>
      </c>
      <c r="DJ633" s="18" t="b">
        <f>RecData[[#This Row],[Overall (dBA)]]&gt;$DS$2</f>
        <v>0</v>
      </c>
      <c r="DK633" s="18" t="b">
        <f>RecData[[#This Row],[Overall (dBA)]]&lt;$DS$3</f>
        <v>0</v>
      </c>
      <c r="DL6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3" s="2">
        <f>IF(AND(RecData[[#This Row],[Turbines ON/OFF]] = "OFF", NOT(OR(RecData[[#This Row],[Junk?]]="YES",RecData[[#This Row],[Gust?]],RecData[[#This Row],[Rain?]:[Min SPL Threshold?]]))),1,0)</f>
        <v>0</v>
      </c>
      <c r="DN633" s="16">
        <f>RecData[[#This Row],[dBA Sum]]</f>
        <v>40.679171087866109</v>
      </c>
      <c r="DO633" s="16">
        <f>RecData[[#This Row],[LAF90.0]]</f>
        <v>40</v>
      </c>
      <c r="DP633" s="55">
        <f>IF(AND(RecData[[#This Row],[Useable TON Data?]],RecData[[#This Row],[Turbines ON/OFF]]="ON"),RecData[[#This Row],[dBA Sum]],"")</f>
        <v>40.679171087866109</v>
      </c>
      <c r="DQ633" s="55" t="str">
        <f>IF(AND(RecData[[#This Row],[Useable Background Data?]],RecData[[#This Row],[Turbines ON/OFF]]="OFF"),RecData[[#This Row],[dBA Sum]],"")</f>
        <v/>
      </c>
      <c r="DR633" s="3">
        <f>IF(OR(RecData[[#This Row],[Useable TON Data?]],RecData[[#This Row],[Useable Background Data?]]),ROUND(RecData[[#This Row],[WSpd_Avg '[m/s']]],0),"")</f>
        <v>1</v>
      </c>
      <c r="DS633" s="85">
        <f>(0.00002)^2*(10^(RecData[[#This Row],[Overall (dBA)]]/10))</f>
        <v>4.6771047876164343E-6</v>
      </c>
    </row>
    <row r="634" spans="1:123" ht="15" x14ac:dyDescent="0.25">
      <c r="A634" s="3" t="s">
        <v>249</v>
      </c>
      <c r="B634" s="12">
        <v>43270.15625</v>
      </c>
      <c r="C634" s="3"/>
      <c r="D634" s="3">
        <v>41.4</v>
      </c>
      <c r="E634" s="3"/>
      <c r="F634" s="3"/>
      <c r="G634" s="3"/>
      <c r="H634" s="3"/>
      <c r="I634" s="3"/>
      <c r="J634" s="3"/>
      <c r="K634" s="3">
        <v>40</v>
      </c>
      <c r="L634" s="3"/>
      <c r="M634" s="3"/>
      <c r="N634" s="3">
        <v>164.7</v>
      </c>
      <c r="O634" s="3"/>
      <c r="P634" s="3"/>
      <c r="Q634" s="3">
        <v>0.7</v>
      </c>
      <c r="R634" s="3">
        <v>0.5</v>
      </c>
      <c r="S634" s="3">
        <v>1</v>
      </c>
      <c r="T634" s="3">
        <v>11.5</v>
      </c>
      <c r="U634" s="3">
        <v>85.6</v>
      </c>
      <c r="V634" s="3">
        <v>973.4</v>
      </c>
      <c r="W634" s="3">
        <v>0</v>
      </c>
      <c r="X634" s="3">
        <v>49.6</v>
      </c>
      <c r="Y634" s="3">
        <v>49.6</v>
      </c>
      <c r="Z634" s="3">
        <v>48.5</v>
      </c>
      <c r="AA634" s="3">
        <v>43.9</v>
      </c>
      <c r="AB634" s="3">
        <v>39.1</v>
      </c>
      <c r="AC634" s="3">
        <v>37.5</v>
      </c>
      <c r="AD634" s="3">
        <v>41.8</v>
      </c>
      <c r="AE634" s="3">
        <v>43.8</v>
      </c>
      <c r="AF634" s="3">
        <v>48.6</v>
      </c>
      <c r="AG634" s="3">
        <v>41.3</v>
      </c>
      <c r="AH634" s="3">
        <v>39.799999999999997</v>
      </c>
      <c r="AI634" s="3">
        <v>39.5</v>
      </c>
      <c r="AJ634" s="3">
        <v>38.1</v>
      </c>
      <c r="AK634" s="3">
        <v>36.1</v>
      </c>
      <c r="AL634" s="3">
        <v>33.700000000000003</v>
      </c>
      <c r="AM634" s="3">
        <v>33.4</v>
      </c>
      <c r="AN634" s="3">
        <v>31.6</v>
      </c>
      <c r="AO634" s="3">
        <v>28.5</v>
      </c>
      <c r="AP634" s="3">
        <v>26.6</v>
      </c>
      <c r="AQ634" s="3">
        <v>23.9</v>
      </c>
      <c r="AR634" s="3">
        <v>19.899999999999999</v>
      </c>
      <c r="AS634" s="3">
        <v>18.100000000000001</v>
      </c>
      <c r="AT634" s="3">
        <v>27.4</v>
      </c>
      <c r="AU634" s="3">
        <v>10.5</v>
      </c>
      <c r="AV634" s="3">
        <v>8.5</v>
      </c>
      <c r="AW634" s="3">
        <v>9</v>
      </c>
      <c r="AX634" s="3">
        <v>9.1</v>
      </c>
      <c r="AY634" s="3">
        <v>9.3000000000000007</v>
      </c>
      <c r="AZ634" s="3">
        <v>0</v>
      </c>
      <c r="BA634" s="3">
        <v>0</v>
      </c>
      <c r="BB634" s="3">
        <v>0</v>
      </c>
      <c r="BC634" s="3">
        <v>41.392818033572695</v>
      </c>
      <c r="BD634" s="3">
        <v>49.607181966427305</v>
      </c>
      <c r="BE634" s="3">
        <v>49.607181966427305</v>
      </c>
      <c r="BF634" s="3">
        <v>47.267181966427302</v>
      </c>
      <c r="BG634" s="3">
        <v>42.993848633093961</v>
      </c>
      <c r="BH634" s="3">
        <v>38.333848633093965</v>
      </c>
      <c r="BI634" s="3">
        <v>37.147181966427297</v>
      </c>
      <c r="BJ634" s="3">
        <v>42.240515299760631</v>
      </c>
      <c r="BK634" s="3">
        <v>44.113848633093966</v>
      </c>
      <c r="BL634" s="3">
        <v>48.4871819664273</v>
      </c>
      <c r="BM634" s="3">
        <v>41.320515299760643</v>
      </c>
      <c r="BN634" s="3">
        <v>40.103848633093975</v>
      </c>
      <c r="BO634" s="3">
        <v>39.170515299760638</v>
      </c>
      <c r="BP634" s="3">
        <v>37.4871819664273</v>
      </c>
      <c r="BQ634" s="3">
        <v>35.903848633093958</v>
      </c>
      <c r="BR634" s="3">
        <v>33.830515299760634</v>
      </c>
      <c r="BS634" s="3">
        <v>33.333848633093965</v>
      </c>
      <c r="BT634" s="3">
        <v>31.73051529976064</v>
      </c>
      <c r="BU634" s="3">
        <v>28.597181966427314</v>
      </c>
      <c r="BV634" s="3">
        <v>26.413848633093977</v>
      </c>
      <c r="BW634" s="3">
        <v>24.247181966427306</v>
      </c>
      <c r="BX634" s="3">
        <v>20.167181966427307</v>
      </c>
      <c r="BY634" s="3">
        <v>18.187181966427303</v>
      </c>
      <c r="BZ634" s="3">
        <v>27.61718196642731</v>
      </c>
      <c r="CA634" s="3">
        <v>10.817181966427299</v>
      </c>
      <c r="CB634" s="3">
        <v>8.2538486330939662</v>
      </c>
      <c r="CC634" s="3">
        <v>8.9671819664273045</v>
      </c>
      <c r="CD634" s="3">
        <v>8.3738486330939708</v>
      </c>
      <c r="CE634" s="3">
        <v>8.7671819664273016</v>
      </c>
      <c r="CF634" s="3">
        <v>-0.91948470023936579</v>
      </c>
      <c r="CG634" s="3">
        <v>-1.4528180335726972</v>
      </c>
      <c r="CH634" s="3">
        <v>-2.5294847002393652</v>
      </c>
      <c r="CI634" s="13">
        <f>[1]!dbasum(RecData[[#This Row],[20]:[2000]],RecData[[#Headers],[20]:[2000]])</f>
        <v>41.04335720185621</v>
      </c>
      <c r="CJ634" s="14">
        <v>8402</v>
      </c>
      <c r="CK634" s="15" t="s">
        <v>249</v>
      </c>
      <c r="CL634" s="15">
        <f>RecData[[#This Row],[Start Time]]</f>
        <v>43270.15625</v>
      </c>
      <c r="CM634" s="16">
        <f>RecData[[#This Row],[Wind Speed avg]]</f>
        <v>0.7</v>
      </c>
      <c r="CN634" s="16">
        <f>RecData[[#This Row],[Wind Dir. avg]]</f>
        <v>164.7</v>
      </c>
      <c r="CO634" s="16">
        <f>RecData[[#This Row],[Amb. Humidity]]</f>
        <v>85.6</v>
      </c>
      <c r="CP634" s="16">
        <f>RecData[[#This Row],[Amb. Temperature]]</f>
        <v>11.5</v>
      </c>
      <c r="CQ634" s="17">
        <f>RecData[[#This Row],[Amb. Rain Gauge]]</f>
        <v>0</v>
      </c>
      <c r="CR634" s="4" t="s">
        <v>1</v>
      </c>
      <c r="CS634" s="4" t="s">
        <v>49</v>
      </c>
      <c r="CT634" s="70">
        <v>1589.65087890625</v>
      </c>
      <c r="CU634" s="70">
        <v>30.000259399413999</v>
      </c>
      <c r="CV634" s="70">
        <v>9.7169618606567294</v>
      </c>
      <c r="CW634" s="70">
        <v>15.2357721328735</v>
      </c>
      <c r="CX634" s="4"/>
      <c r="CY634" s="69"/>
      <c r="CZ634" s="2" t="b">
        <f>IF($DP$1="YES",IF(RecData[[#This Row],[Power (kW)]]&gt;=$CR$3, TRUE,FALSE),TRUE)</f>
        <v>1</v>
      </c>
      <c r="DA634" s="16">
        <f>MIN(MOD(180-ABS(ABS($DA$1-RecData[Yaw Angle (°)])-180),360),MOD(180-ABS(ABS($DB$1-RecData[Yaw Angle (°)])-180),360))</f>
        <v>22.470332621726442</v>
      </c>
      <c r="DB634" s="2" t="str">
        <f>IF($DP$2="None","None",IF(RecData[[#This Row],[Relative Wind Direction]]&lt;=45,"DW",IF(RecData[[#This Row],[Relative Wind Direction]]&lt;=135,"CW","UW")))</f>
        <v>DW</v>
      </c>
      <c r="DC634" s="61">
        <f>IF($CL634-$CL630&gt;1/24,#REF!,IF(SUM($CQ630:$CQ634)&gt;$DS$1,$DS$5,DC635-1))</f>
        <v>-6</v>
      </c>
      <c r="DD634" s="61">
        <f>IF($CL635-$CL634&gt;1/24,#REF!,IF(SUM($CQ630:$CQ634)&gt;$DS$1,$DS$6,DD633-1))</f>
        <v>-5</v>
      </c>
      <c r="DE634" s="18" t="b">
        <v>0</v>
      </c>
      <c r="DF634" s="2" t="b">
        <f>IF(OR(RecData[[#This Row],[WSpd_Avg '[m/s']]]-RecData[[#This Row],[Wind Speed min]]&gt;=$DF$3,RecData[[#This Row],[Wind Speed max]]-RecData[[#This Row],[WSpd_Avg '[m/s']]]&gt;=$DF$2),TRUE,FALSE)</f>
        <v>0</v>
      </c>
      <c r="DG634" s="2" t="b">
        <f>RecData[[#This Row],[Temperature '[°C']]]&lt;=-20</f>
        <v>0</v>
      </c>
      <c r="DH634" s="18" t="b">
        <f>NOT(OR(MOD(RecData[[#This Row],[TIMESTAMP]],1)&gt;0.91632,MOD(RecData[[#This Row],[TIMESTAMP]],1)&lt;0.208681))</f>
        <v>0</v>
      </c>
      <c r="DI634" s="18" t="b">
        <f>RecData[[#This Row],[Overall (dBA)]]-RecData[[#This Row],[L90]]&gt;=$DS$4</f>
        <v>0</v>
      </c>
      <c r="DJ634" s="18" t="b">
        <f>RecData[[#This Row],[Overall (dBA)]]&gt;$DS$2</f>
        <v>0</v>
      </c>
      <c r="DK634" s="18" t="b">
        <f>RecData[[#This Row],[Overall (dBA)]]&lt;$DS$3</f>
        <v>0</v>
      </c>
      <c r="DL6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4" s="2">
        <f>IF(AND(RecData[[#This Row],[Turbines ON/OFF]] = "OFF", NOT(OR(RecData[[#This Row],[Junk?]]="YES",RecData[[#This Row],[Gust?]],RecData[[#This Row],[Rain?]:[Min SPL Threshold?]]))),1,0)</f>
        <v>0</v>
      </c>
      <c r="DN634" s="16">
        <f>RecData[[#This Row],[dBA Sum]]</f>
        <v>41.04335720185621</v>
      </c>
      <c r="DO634" s="16">
        <f>RecData[[#This Row],[LAF90.0]]</f>
        <v>40</v>
      </c>
      <c r="DP634" s="55">
        <f>IF(AND(RecData[[#This Row],[Useable TON Data?]],RecData[[#This Row],[Turbines ON/OFF]]="ON"),RecData[[#This Row],[dBA Sum]],"")</f>
        <v>41.04335720185621</v>
      </c>
      <c r="DQ634" s="55" t="str">
        <f>IF(AND(RecData[[#This Row],[Useable Background Data?]],RecData[[#This Row],[Turbines ON/OFF]]="OFF"),RecData[[#This Row],[dBA Sum]],"")</f>
        <v/>
      </c>
      <c r="DR634" s="3">
        <f>IF(OR(RecData[[#This Row],[Useable TON Data?]],RecData[[#This Row],[Useable Background Data?]]),ROUND(RecData[[#This Row],[WSpd_Avg '[m/s']]],0),"")</f>
        <v>1</v>
      </c>
      <c r="DS634" s="85">
        <f>(0.00002)^2*(10^(RecData[[#This Row],[Overall (dBA)]]/10))</f>
        <v>5.0862266783375461E-6</v>
      </c>
    </row>
    <row r="635" spans="1:123" ht="15" x14ac:dyDescent="0.25">
      <c r="A635" s="3" t="s">
        <v>249</v>
      </c>
      <c r="B635" s="12">
        <v>43270.156944444447</v>
      </c>
      <c r="C635" s="3"/>
      <c r="D635" s="3">
        <v>40.9</v>
      </c>
      <c r="E635" s="3"/>
      <c r="F635" s="3"/>
      <c r="G635" s="3"/>
      <c r="H635" s="3"/>
      <c r="I635" s="3"/>
      <c r="J635" s="3"/>
      <c r="K635" s="3">
        <v>39.799999999999997</v>
      </c>
      <c r="L635" s="3"/>
      <c r="M635" s="3"/>
      <c r="N635" s="3">
        <v>165.4</v>
      </c>
      <c r="O635" s="3"/>
      <c r="P635" s="3"/>
      <c r="Q635" s="3">
        <v>0.77</v>
      </c>
      <c r="R635" s="3">
        <v>0.6</v>
      </c>
      <c r="S635" s="3">
        <v>0.9</v>
      </c>
      <c r="T635" s="3">
        <v>11.5</v>
      </c>
      <c r="U635" s="3">
        <v>86.2</v>
      </c>
      <c r="V635" s="3">
        <v>973.5</v>
      </c>
      <c r="W635" s="3">
        <v>0</v>
      </c>
      <c r="X635" s="3">
        <v>49.8</v>
      </c>
      <c r="Y635" s="3">
        <v>49.3</v>
      </c>
      <c r="Z635" s="3">
        <v>48.3</v>
      </c>
      <c r="AA635" s="3">
        <v>44.5</v>
      </c>
      <c r="AB635" s="3">
        <v>39.6</v>
      </c>
      <c r="AC635" s="3">
        <v>38.1</v>
      </c>
      <c r="AD635" s="3">
        <v>41.8</v>
      </c>
      <c r="AE635" s="3">
        <v>43.2</v>
      </c>
      <c r="AF635" s="3">
        <v>46.7</v>
      </c>
      <c r="AG635" s="3">
        <v>41.1</v>
      </c>
      <c r="AH635" s="3">
        <v>39.700000000000003</v>
      </c>
      <c r="AI635" s="3">
        <v>38.700000000000003</v>
      </c>
      <c r="AJ635" s="3">
        <v>37.799999999999997</v>
      </c>
      <c r="AK635" s="3">
        <v>35.6</v>
      </c>
      <c r="AL635" s="3">
        <v>33.5</v>
      </c>
      <c r="AM635" s="3">
        <v>33.200000000000003</v>
      </c>
      <c r="AN635" s="3">
        <v>31.8</v>
      </c>
      <c r="AO635" s="3">
        <v>28.3</v>
      </c>
      <c r="AP635" s="3">
        <v>25.9</v>
      </c>
      <c r="AQ635" s="3">
        <v>23.3</v>
      </c>
      <c r="AR635" s="3">
        <v>19.5</v>
      </c>
      <c r="AS635" s="3">
        <v>16</v>
      </c>
      <c r="AT635" s="3">
        <v>27.1</v>
      </c>
      <c r="AU635" s="3">
        <v>10.199999999999999</v>
      </c>
      <c r="AV635" s="3">
        <v>8.5</v>
      </c>
      <c r="AW635" s="3">
        <v>8.9</v>
      </c>
      <c r="AX635" s="3">
        <v>9.1</v>
      </c>
      <c r="AY635" s="3">
        <v>9.3000000000000007</v>
      </c>
      <c r="AZ635" s="3">
        <v>0</v>
      </c>
      <c r="BA635" s="3">
        <v>0</v>
      </c>
      <c r="BB635" s="3">
        <v>0</v>
      </c>
      <c r="BC635" s="3">
        <v>40.913214553018797</v>
      </c>
      <c r="BD635" s="3">
        <v>49.786785446981192</v>
      </c>
      <c r="BE635" s="3">
        <v>49.286785446981192</v>
      </c>
      <c r="BF635" s="3">
        <v>47.046785446981197</v>
      </c>
      <c r="BG635" s="3">
        <v>43.573452113647868</v>
      </c>
      <c r="BH635" s="3">
        <v>38.813452113647863</v>
      </c>
      <c r="BI635" s="3">
        <v>37.726785446981204</v>
      </c>
      <c r="BJ635" s="3">
        <v>42.220118780314529</v>
      </c>
      <c r="BK635" s="3">
        <v>43.493452113647869</v>
      </c>
      <c r="BL635" s="3">
        <v>46.566785446981207</v>
      </c>
      <c r="BM635" s="3">
        <v>41.100118780314538</v>
      </c>
      <c r="BN635" s="3">
        <v>39.983452113647878</v>
      </c>
      <c r="BO635" s="3">
        <v>38.350118780314538</v>
      </c>
      <c r="BP635" s="3">
        <v>37.166785446981201</v>
      </c>
      <c r="BQ635" s="3">
        <v>35.383452113647856</v>
      </c>
      <c r="BR635" s="3">
        <v>33.610118780314544</v>
      </c>
      <c r="BS635" s="3">
        <v>33.113452113647874</v>
      </c>
      <c r="BT635" s="3">
        <v>31.910118780314541</v>
      </c>
      <c r="BU635" s="3">
        <v>28.376785446981209</v>
      </c>
      <c r="BV635" s="3">
        <v>25.693452113647872</v>
      </c>
      <c r="BW635" s="3">
        <v>23.626785446981209</v>
      </c>
      <c r="BX635" s="3">
        <v>19.746785446981207</v>
      </c>
      <c r="BY635" s="3">
        <v>16.0667854469812</v>
      </c>
      <c r="BZ635" s="3">
        <v>27.296785446981211</v>
      </c>
      <c r="CA635" s="3">
        <v>10.496785446981193</v>
      </c>
      <c r="CB635" s="3">
        <v>8.2334521136478642</v>
      </c>
      <c r="CC635" s="3">
        <v>8.8467854469812011</v>
      </c>
      <c r="CD635" s="3">
        <v>8.3534521136478688</v>
      </c>
      <c r="CE635" s="3">
        <v>8.7467854469811996</v>
      </c>
      <c r="CF635" s="3">
        <v>-0.93988121968546778</v>
      </c>
      <c r="CG635" s="3">
        <v>-1.4732145530187992</v>
      </c>
      <c r="CH635" s="3">
        <v>-2.5498812196854672</v>
      </c>
      <c r="CI635" s="13">
        <f>[1]!dbasum(RecData[[#This Row],[20]:[2000]],RecData[[#Headers],[20]:[2000]])</f>
        <v>40.54929612855355</v>
      </c>
      <c r="CJ635" s="14">
        <v>8403</v>
      </c>
      <c r="CK635" s="15" t="s">
        <v>249</v>
      </c>
      <c r="CL635" s="15">
        <f>RecData[[#This Row],[Start Time]]</f>
        <v>43270.156944444447</v>
      </c>
      <c r="CM635" s="16">
        <f>RecData[[#This Row],[Wind Speed avg]]</f>
        <v>0.77</v>
      </c>
      <c r="CN635" s="16">
        <f>RecData[[#This Row],[Wind Dir. avg]]</f>
        <v>165.4</v>
      </c>
      <c r="CO635" s="16">
        <f>RecData[[#This Row],[Amb. Humidity]]</f>
        <v>86.2</v>
      </c>
      <c r="CP635" s="16">
        <f>RecData[[#This Row],[Amb. Temperature]]</f>
        <v>11.5</v>
      </c>
      <c r="CQ635" s="17">
        <f>RecData[[#This Row],[Amb. Rain Gauge]]</f>
        <v>0</v>
      </c>
      <c r="CR635" s="4" t="s">
        <v>1</v>
      </c>
      <c r="CS635" s="4" t="s">
        <v>49</v>
      </c>
      <c r="CT635" s="70">
        <v>1589.65087890625</v>
      </c>
      <c r="CU635" s="70">
        <v>30.000259399413999</v>
      </c>
      <c r="CV635" s="70">
        <v>9.7169618606567294</v>
      </c>
      <c r="CW635" s="70">
        <v>15.2357721328735</v>
      </c>
      <c r="CX635" s="4"/>
      <c r="CY635" s="69"/>
      <c r="CZ635" s="2" t="b">
        <f>IF($DP$1="YES",IF(RecData[[#This Row],[Power (kW)]]&gt;=$CR$3, TRUE,FALSE),TRUE)</f>
        <v>1</v>
      </c>
      <c r="DA635" s="16">
        <f>MIN(MOD(180-ABS(ABS($DA$1-RecData[Yaw Angle (°)])-180),360),MOD(180-ABS(ABS($DB$1-RecData[Yaw Angle (°)])-180),360))</f>
        <v>22.470332621726442</v>
      </c>
      <c r="DB635" s="2" t="str">
        <f>IF($DP$2="None","None",IF(RecData[[#This Row],[Relative Wind Direction]]&lt;=45,"DW",IF(RecData[[#This Row],[Relative Wind Direction]]&lt;=135,"CW","UW")))</f>
        <v>DW</v>
      </c>
      <c r="DC635" s="61">
        <f>IF($CL635-$CL631&gt;1/24,#REF!,IF(SUM($CQ631:$CQ635)&gt;$DS$1,$DS$5,DC636-1))</f>
        <v>-5</v>
      </c>
      <c r="DD635" s="61">
        <f>IF($CL636-$CL635&gt;1/24,#REF!,IF(SUM($CQ631:$CQ635)&gt;$DS$1,$DS$6,DD634-1))</f>
        <v>-6</v>
      </c>
      <c r="DE635" s="18" t="b">
        <v>0</v>
      </c>
      <c r="DF635" s="2" t="b">
        <f>IF(OR(RecData[[#This Row],[WSpd_Avg '[m/s']]]-RecData[[#This Row],[Wind Speed min]]&gt;=$DF$3,RecData[[#This Row],[Wind Speed max]]-RecData[[#This Row],[WSpd_Avg '[m/s']]]&gt;=$DF$2),TRUE,FALSE)</f>
        <v>0</v>
      </c>
      <c r="DG635" s="2" t="b">
        <f>RecData[[#This Row],[Temperature '[°C']]]&lt;=-20</f>
        <v>0</v>
      </c>
      <c r="DH635" s="18" t="b">
        <f>NOT(OR(MOD(RecData[[#This Row],[TIMESTAMP]],1)&gt;0.91632,MOD(RecData[[#This Row],[TIMESTAMP]],1)&lt;0.208681))</f>
        <v>0</v>
      </c>
      <c r="DI635" s="18" t="b">
        <f>RecData[[#This Row],[Overall (dBA)]]-RecData[[#This Row],[L90]]&gt;=$DS$4</f>
        <v>0</v>
      </c>
      <c r="DJ635" s="18" t="b">
        <f>RecData[[#This Row],[Overall (dBA)]]&gt;$DS$2</f>
        <v>0</v>
      </c>
      <c r="DK635" s="18" t="b">
        <f>RecData[[#This Row],[Overall (dBA)]]&lt;$DS$3</f>
        <v>0</v>
      </c>
      <c r="DL6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5" s="2">
        <f>IF(AND(RecData[[#This Row],[Turbines ON/OFF]] = "OFF", NOT(OR(RecData[[#This Row],[Junk?]]="YES",RecData[[#This Row],[Gust?]],RecData[[#This Row],[Rain?]:[Min SPL Threshold?]]))),1,0)</f>
        <v>0</v>
      </c>
      <c r="DN635" s="16">
        <f>RecData[[#This Row],[dBA Sum]]</f>
        <v>40.54929612855355</v>
      </c>
      <c r="DO635" s="16">
        <f>RecData[[#This Row],[LAF90.0]]</f>
        <v>39.799999999999997</v>
      </c>
      <c r="DP635" s="55">
        <f>IF(AND(RecData[[#This Row],[Useable TON Data?]],RecData[[#This Row],[Turbines ON/OFF]]="ON"),RecData[[#This Row],[dBA Sum]],"")</f>
        <v>40.54929612855355</v>
      </c>
      <c r="DQ635" s="55" t="str">
        <f>IF(AND(RecData[[#This Row],[Useable Background Data?]],RecData[[#This Row],[Turbines ON/OFF]]="OFF"),RecData[[#This Row],[dBA Sum]],"")</f>
        <v/>
      </c>
      <c r="DR635" s="3">
        <f>IF(OR(RecData[[#This Row],[Useable TON Data?]],RecData[[#This Row],[Useable Background Data?]]),ROUND(RecData[[#This Row],[WSpd_Avg '[m/s']]],0),"")</f>
        <v>1</v>
      </c>
      <c r="DS635" s="85">
        <f>(0.00002)^2*(10^(RecData[[#This Row],[Overall (dBA)]]/10))</f>
        <v>4.539307506651474E-6</v>
      </c>
    </row>
    <row r="636" spans="1:123" ht="15" x14ac:dyDescent="0.25">
      <c r="A636" s="3" t="s">
        <v>249</v>
      </c>
      <c r="B636" s="12">
        <v>43270.157638888886</v>
      </c>
      <c r="C636" s="3"/>
      <c r="D636" s="3">
        <v>40.5</v>
      </c>
      <c r="E636" s="3"/>
      <c r="F636" s="3"/>
      <c r="G636" s="3"/>
      <c r="H636" s="3"/>
      <c r="I636" s="3"/>
      <c r="J636" s="3"/>
      <c r="K636" s="3">
        <v>39.299999999999997</v>
      </c>
      <c r="L636" s="3"/>
      <c r="M636" s="3"/>
      <c r="N636" s="3">
        <v>162.30000000000001</v>
      </c>
      <c r="O636" s="3"/>
      <c r="P636" s="3"/>
      <c r="Q636" s="3">
        <v>0.66</v>
      </c>
      <c r="R636" s="3">
        <v>0.2</v>
      </c>
      <c r="S636" s="3">
        <v>1</v>
      </c>
      <c r="T636" s="3">
        <v>11.5</v>
      </c>
      <c r="U636" s="3">
        <v>86.8</v>
      </c>
      <c r="V636" s="3">
        <v>973.5</v>
      </c>
      <c r="W636" s="3">
        <v>0</v>
      </c>
      <c r="X636" s="3">
        <v>49.4</v>
      </c>
      <c r="Y636" s="3">
        <v>48.7</v>
      </c>
      <c r="Z636" s="3">
        <v>47.9</v>
      </c>
      <c r="AA636" s="3">
        <v>43.3</v>
      </c>
      <c r="AB636" s="3">
        <v>39.1</v>
      </c>
      <c r="AC636" s="3">
        <v>37.4</v>
      </c>
      <c r="AD636" s="3">
        <v>41.4</v>
      </c>
      <c r="AE636" s="3">
        <v>43.2</v>
      </c>
      <c r="AF636" s="3">
        <v>46.4</v>
      </c>
      <c r="AG636" s="3">
        <v>39.700000000000003</v>
      </c>
      <c r="AH636" s="3">
        <v>39.6</v>
      </c>
      <c r="AI636" s="3">
        <v>38.1</v>
      </c>
      <c r="AJ636" s="3">
        <v>37.4</v>
      </c>
      <c r="AK636" s="3">
        <v>35.1</v>
      </c>
      <c r="AL636" s="3">
        <v>33</v>
      </c>
      <c r="AM636" s="3">
        <v>32.6</v>
      </c>
      <c r="AN636" s="3">
        <v>31</v>
      </c>
      <c r="AO636" s="3">
        <v>27.9</v>
      </c>
      <c r="AP636" s="3">
        <v>25.9</v>
      </c>
      <c r="AQ636" s="3">
        <v>23.2</v>
      </c>
      <c r="AR636" s="3">
        <v>19.5</v>
      </c>
      <c r="AS636" s="3">
        <v>16.2</v>
      </c>
      <c r="AT636" s="3">
        <v>26.6</v>
      </c>
      <c r="AU636" s="3">
        <v>9.9</v>
      </c>
      <c r="AV636" s="3">
        <v>8.4</v>
      </c>
      <c r="AW636" s="3">
        <v>8.9</v>
      </c>
      <c r="AX636" s="3">
        <v>9.1</v>
      </c>
      <c r="AY636" s="3">
        <v>9.3000000000000007</v>
      </c>
      <c r="AZ636" s="3">
        <v>0</v>
      </c>
      <c r="BA636" s="3">
        <v>0</v>
      </c>
      <c r="BB636" s="3">
        <v>0</v>
      </c>
      <c r="BC636" s="3">
        <v>40.434198890416646</v>
      </c>
      <c r="BD636" s="3">
        <v>49.46580110958336</v>
      </c>
      <c r="BE636" s="3">
        <v>48.765801109583357</v>
      </c>
      <c r="BF636" s="3">
        <v>46.725801109583351</v>
      </c>
      <c r="BG636" s="3">
        <v>42.45246777625001</v>
      </c>
      <c r="BH636" s="3">
        <v>38.392467776250022</v>
      </c>
      <c r="BI636" s="3">
        <v>37.105801109583346</v>
      </c>
      <c r="BJ636" s="3">
        <v>41.899134442916683</v>
      </c>
      <c r="BK636" s="3">
        <v>43.572467776250015</v>
      </c>
      <c r="BL636" s="3">
        <v>46.345801109583356</v>
      </c>
      <c r="BM636" s="3">
        <v>39.779134442916693</v>
      </c>
      <c r="BN636" s="3">
        <v>39.96246777625003</v>
      </c>
      <c r="BO636" s="3">
        <v>37.82913444291669</v>
      </c>
      <c r="BP636" s="3">
        <v>36.845801109583356</v>
      </c>
      <c r="BQ636" s="3">
        <v>34.962467776250016</v>
      </c>
      <c r="BR636" s="3">
        <v>33.189134442916689</v>
      </c>
      <c r="BS636" s="3">
        <v>32.592467776250025</v>
      </c>
      <c r="BT636" s="3">
        <v>31.189134442916689</v>
      </c>
      <c r="BU636" s="3">
        <v>28.055801109583363</v>
      </c>
      <c r="BV636" s="3">
        <v>25.772467776250018</v>
      </c>
      <c r="BW636" s="3">
        <v>23.605801109583361</v>
      </c>
      <c r="BX636" s="3">
        <v>19.82580110958336</v>
      </c>
      <c r="BY636" s="3">
        <v>16.345801109583356</v>
      </c>
      <c r="BZ636" s="3">
        <v>26.875801109583357</v>
      </c>
      <c r="CA636" s="3">
        <v>10.275801109583348</v>
      </c>
      <c r="CB636" s="3">
        <v>8.2124677762500156</v>
      </c>
      <c r="CC636" s="3">
        <v>8.9258011095833538</v>
      </c>
      <c r="CD636" s="3">
        <v>8.4324677762500286</v>
      </c>
      <c r="CE636" s="3">
        <v>8.8258011095833524</v>
      </c>
      <c r="CF636" s="3">
        <v>-0.86086555708331503</v>
      </c>
      <c r="CG636" s="3">
        <v>-1.3941988904166465</v>
      </c>
      <c r="CH636" s="3">
        <v>-2.4708655570833145</v>
      </c>
      <c r="CI636" s="13">
        <f>[1]!dbasum(RecData[[#This Row],[20]:[2000]],RecData[[#Headers],[20]:[2000]])</f>
        <v>40.14724138477898</v>
      </c>
      <c r="CJ636" s="14">
        <v>8404</v>
      </c>
      <c r="CK636" s="15" t="s">
        <v>249</v>
      </c>
      <c r="CL636" s="15">
        <f>RecData[[#This Row],[Start Time]]</f>
        <v>43270.157638888886</v>
      </c>
      <c r="CM636" s="16">
        <f>RecData[[#This Row],[Wind Speed avg]]</f>
        <v>0.66</v>
      </c>
      <c r="CN636" s="16">
        <f>RecData[[#This Row],[Wind Dir. avg]]</f>
        <v>162.30000000000001</v>
      </c>
      <c r="CO636" s="16">
        <f>RecData[[#This Row],[Amb. Humidity]]</f>
        <v>86.8</v>
      </c>
      <c r="CP636" s="16">
        <f>RecData[[#This Row],[Amb. Temperature]]</f>
        <v>11.5</v>
      </c>
      <c r="CQ636" s="17">
        <f>RecData[[#This Row],[Amb. Rain Gauge]]</f>
        <v>0</v>
      </c>
      <c r="CR636" s="4" t="s">
        <v>1</v>
      </c>
      <c r="CS636" s="4" t="s">
        <v>49</v>
      </c>
      <c r="CT636" s="70">
        <v>1589.65087890625</v>
      </c>
      <c r="CU636" s="70">
        <v>30.000259399413999</v>
      </c>
      <c r="CV636" s="70">
        <v>9.7169618606567294</v>
      </c>
      <c r="CW636" s="70">
        <v>15.2357721328735</v>
      </c>
      <c r="CX636" s="4"/>
      <c r="CY636" s="69"/>
      <c r="CZ636" s="2" t="b">
        <f>IF($DP$1="YES",IF(RecData[[#This Row],[Power (kW)]]&gt;=$CR$3, TRUE,FALSE),TRUE)</f>
        <v>1</v>
      </c>
      <c r="DA636" s="16">
        <f>MIN(MOD(180-ABS(ABS($DA$1-RecData[Yaw Angle (°)])-180),360),MOD(180-ABS(ABS($DB$1-RecData[Yaw Angle (°)])-180),360))</f>
        <v>22.470332621726442</v>
      </c>
      <c r="DB636" s="2" t="str">
        <f>IF($DP$2="None","None",IF(RecData[[#This Row],[Relative Wind Direction]]&lt;=45,"DW",IF(RecData[[#This Row],[Relative Wind Direction]]&lt;=135,"CW","UW")))</f>
        <v>DW</v>
      </c>
      <c r="DC636" s="61">
        <f>IF($CL636-$CL632&gt;1/24,#REF!,IF(SUM($CQ632:$CQ636)&gt;$DS$1,$DS$5,DC637-1))</f>
        <v>-4</v>
      </c>
      <c r="DD636" s="61">
        <f>IF($CL637-$CL636&gt;1/24,#REF!,IF(SUM($CQ632:$CQ636)&gt;$DS$1,$DS$6,DD635-1))</f>
        <v>-7</v>
      </c>
      <c r="DE636" s="18" t="b">
        <v>0</v>
      </c>
      <c r="DF636" s="2" t="b">
        <f>IF(OR(RecData[[#This Row],[WSpd_Avg '[m/s']]]-RecData[[#This Row],[Wind Speed min]]&gt;=$DF$3,RecData[[#This Row],[Wind Speed max]]-RecData[[#This Row],[WSpd_Avg '[m/s']]]&gt;=$DF$2),TRUE,FALSE)</f>
        <v>0</v>
      </c>
      <c r="DG636" s="2" t="b">
        <f>RecData[[#This Row],[Temperature '[°C']]]&lt;=-20</f>
        <v>0</v>
      </c>
      <c r="DH636" s="18" t="b">
        <f>NOT(OR(MOD(RecData[[#This Row],[TIMESTAMP]],1)&gt;0.91632,MOD(RecData[[#This Row],[TIMESTAMP]],1)&lt;0.208681))</f>
        <v>0</v>
      </c>
      <c r="DI636" s="18" t="b">
        <f>RecData[[#This Row],[Overall (dBA)]]-RecData[[#This Row],[L90]]&gt;=$DS$4</f>
        <v>0</v>
      </c>
      <c r="DJ636" s="18" t="b">
        <f>RecData[[#This Row],[Overall (dBA)]]&gt;$DS$2</f>
        <v>0</v>
      </c>
      <c r="DK636" s="18" t="b">
        <f>RecData[[#This Row],[Overall (dBA)]]&lt;$DS$3</f>
        <v>0</v>
      </c>
      <c r="DL6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6" s="2">
        <f>IF(AND(RecData[[#This Row],[Turbines ON/OFF]] = "OFF", NOT(OR(RecData[[#This Row],[Junk?]]="YES",RecData[[#This Row],[Gust?]],RecData[[#This Row],[Rain?]:[Min SPL Threshold?]]))),1,0)</f>
        <v>0</v>
      </c>
      <c r="DN636" s="16">
        <f>RecData[[#This Row],[dBA Sum]]</f>
        <v>40.14724138477898</v>
      </c>
      <c r="DO636" s="16">
        <f>RecData[[#This Row],[LAF90.0]]</f>
        <v>39.299999999999997</v>
      </c>
      <c r="DP636" s="55">
        <f>IF(AND(RecData[[#This Row],[Useable TON Data?]],RecData[[#This Row],[Turbines ON/OFF]]="ON"),RecData[[#This Row],[dBA Sum]],"")</f>
        <v>40.14724138477898</v>
      </c>
      <c r="DQ636" s="55" t="str">
        <f>IF(AND(RecData[[#This Row],[Useable Background Data?]],RecData[[#This Row],[Turbines ON/OFF]]="OFF"),RecData[[#This Row],[dBA Sum]],"")</f>
        <v/>
      </c>
      <c r="DR636" s="3">
        <f>IF(OR(RecData[[#This Row],[Useable TON Data?]],RecData[[#This Row],[Useable Background Data?]]),ROUND(RecData[[#This Row],[WSpd_Avg '[m/s']]],0),"")</f>
        <v>1</v>
      </c>
      <c r="DS636" s="85">
        <f>(0.00002)^2*(10^(RecData[[#This Row],[Overall (dBA)]]/10))</f>
        <v>4.1379394348666218E-6</v>
      </c>
    </row>
    <row r="637" spans="1:123" ht="15" x14ac:dyDescent="0.25">
      <c r="A637" s="3" t="s">
        <v>249</v>
      </c>
      <c r="B637" s="12">
        <v>43270.158333333333</v>
      </c>
      <c r="C637" s="3"/>
      <c r="D637" s="3">
        <v>41.5</v>
      </c>
      <c r="E637" s="3"/>
      <c r="F637" s="3"/>
      <c r="G637" s="3"/>
      <c r="H637" s="3"/>
      <c r="I637" s="3"/>
      <c r="J637" s="3"/>
      <c r="K637" s="3">
        <v>40.200000000000003</v>
      </c>
      <c r="L637" s="3"/>
      <c r="M637" s="3"/>
      <c r="N637" s="3">
        <v>133.9</v>
      </c>
      <c r="O637" s="3"/>
      <c r="P637" s="3"/>
      <c r="Q637" s="3">
        <v>0.69</v>
      </c>
      <c r="R637" s="3">
        <v>0.5</v>
      </c>
      <c r="S637" s="3">
        <v>1</v>
      </c>
      <c r="T637" s="3">
        <v>11.4</v>
      </c>
      <c r="U637" s="3">
        <v>87.4</v>
      </c>
      <c r="V637" s="3">
        <v>973.5</v>
      </c>
      <c r="W637" s="3">
        <v>0</v>
      </c>
      <c r="X637" s="3">
        <v>49.9</v>
      </c>
      <c r="Y637" s="3">
        <v>49.4</v>
      </c>
      <c r="Z637" s="3">
        <v>48.9</v>
      </c>
      <c r="AA637" s="3">
        <v>44.6</v>
      </c>
      <c r="AB637" s="3">
        <v>39.299999999999997</v>
      </c>
      <c r="AC637" s="3">
        <v>38.4</v>
      </c>
      <c r="AD637" s="3">
        <v>42.2</v>
      </c>
      <c r="AE637" s="3">
        <v>43.6</v>
      </c>
      <c r="AF637" s="3">
        <v>46.5</v>
      </c>
      <c r="AG637" s="3">
        <v>41.1</v>
      </c>
      <c r="AH637" s="3">
        <v>39.700000000000003</v>
      </c>
      <c r="AI637" s="3">
        <v>38.6</v>
      </c>
      <c r="AJ637" s="3">
        <v>38.299999999999997</v>
      </c>
      <c r="AK637" s="3">
        <v>36.299999999999997</v>
      </c>
      <c r="AL637" s="3">
        <v>34.299999999999997</v>
      </c>
      <c r="AM637" s="3">
        <v>34.1</v>
      </c>
      <c r="AN637" s="3">
        <v>32.700000000000003</v>
      </c>
      <c r="AO637" s="3">
        <v>29.7</v>
      </c>
      <c r="AP637" s="3">
        <v>27.5</v>
      </c>
      <c r="AQ637" s="3">
        <v>25</v>
      </c>
      <c r="AR637" s="3">
        <v>20.9</v>
      </c>
      <c r="AS637" s="3">
        <v>17</v>
      </c>
      <c r="AT637" s="3">
        <v>27.7</v>
      </c>
      <c r="AU637" s="3">
        <v>10.5</v>
      </c>
      <c r="AV637" s="3">
        <v>8.5</v>
      </c>
      <c r="AW637" s="3">
        <v>8.9</v>
      </c>
      <c r="AX637" s="3">
        <v>9.1</v>
      </c>
      <c r="AY637" s="3">
        <v>9.3000000000000007</v>
      </c>
      <c r="AZ637" s="3">
        <v>0</v>
      </c>
      <c r="BA637" s="3">
        <v>0</v>
      </c>
      <c r="BB637" s="3">
        <v>0</v>
      </c>
      <c r="BC637" s="3">
        <v>41.531615443099376</v>
      </c>
      <c r="BD637" s="3">
        <v>49.868384556900629</v>
      </c>
      <c r="BE637" s="3">
        <v>49.368384556900629</v>
      </c>
      <c r="BF637" s="3">
        <v>47.62838455690062</v>
      </c>
      <c r="BG637" s="3">
        <v>43.655051223567291</v>
      </c>
      <c r="BH637" s="3">
        <v>38.495051223567295</v>
      </c>
      <c r="BI637" s="3">
        <v>38.008384556900616</v>
      </c>
      <c r="BJ637" s="3">
        <v>42.60171789023395</v>
      </c>
      <c r="BK637" s="3">
        <v>43.87505122356729</v>
      </c>
      <c r="BL637" s="3">
        <v>46.348384556900619</v>
      </c>
      <c r="BM637" s="3">
        <v>41.081717890233968</v>
      </c>
      <c r="BN637" s="3">
        <v>39.965051223567293</v>
      </c>
      <c r="BO637" s="3">
        <v>38.231717890233959</v>
      </c>
      <c r="BP637" s="3">
        <v>37.648384556900631</v>
      </c>
      <c r="BQ637" s="3">
        <v>36.065051223567288</v>
      </c>
      <c r="BR637" s="3">
        <v>34.391717890233956</v>
      </c>
      <c r="BS637" s="3">
        <v>33.995051223567295</v>
      </c>
      <c r="BT637" s="3">
        <v>32.791717890233961</v>
      </c>
      <c r="BU637" s="3">
        <v>29.75838455690063</v>
      </c>
      <c r="BV637" s="3">
        <v>27.275051223567296</v>
      </c>
      <c r="BW637" s="3">
        <v>25.308384556900627</v>
      </c>
      <c r="BX637" s="3">
        <v>21.128384556900627</v>
      </c>
      <c r="BY637" s="3">
        <v>17.048384556900622</v>
      </c>
      <c r="BZ637" s="3">
        <v>27.87838455690062</v>
      </c>
      <c r="CA637" s="3">
        <v>10.778384556900619</v>
      </c>
      <c r="CB637" s="3">
        <v>8.2150512235672863</v>
      </c>
      <c r="CC637" s="3">
        <v>8.8283845569006232</v>
      </c>
      <c r="CD637" s="3">
        <v>8.335051223567298</v>
      </c>
      <c r="CE637" s="3">
        <v>8.7283845569006218</v>
      </c>
      <c r="CF637" s="3">
        <v>-0.95828210976604566</v>
      </c>
      <c r="CG637" s="3">
        <v>-1.4916154430993771</v>
      </c>
      <c r="CH637" s="3">
        <v>-2.5682821097660451</v>
      </c>
      <c r="CI637" s="13">
        <f>[1]!dbasum(RecData[[#This Row],[20]:[2000]],RecData[[#Headers],[20]:[2000]])</f>
        <v>41.157761648806563</v>
      </c>
      <c r="CJ637" s="14">
        <v>8405</v>
      </c>
      <c r="CK637" s="15" t="s">
        <v>249</v>
      </c>
      <c r="CL637" s="15">
        <f>RecData[[#This Row],[Start Time]]</f>
        <v>43270.158333333333</v>
      </c>
      <c r="CM637" s="16">
        <f>RecData[[#This Row],[Wind Speed avg]]</f>
        <v>0.69</v>
      </c>
      <c r="CN637" s="16">
        <f>RecData[[#This Row],[Wind Dir. avg]]</f>
        <v>133.9</v>
      </c>
      <c r="CO637" s="16">
        <f>RecData[[#This Row],[Amb. Humidity]]</f>
        <v>87.4</v>
      </c>
      <c r="CP637" s="16">
        <f>RecData[[#This Row],[Amb. Temperature]]</f>
        <v>11.4</v>
      </c>
      <c r="CQ637" s="17">
        <f>RecData[[#This Row],[Amb. Rain Gauge]]</f>
        <v>0</v>
      </c>
      <c r="CR637" s="4" t="s">
        <v>1</v>
      </c>
      <c r="CS637" s="4" t="s">
        <v>49</v>
      </c>
      <c r="CT637" s="70">
        <v>1589.65087890625</v>
      </c>
      <c r="CU637" s="70">
        <v>30.000259399413999</v>
      </c>
      <c r="CV637" s="70">
        <v>9.7169618606567294</v>
      </c>
      <c r="CW637" s="70">
        <v>15.2357721328735</v>
      </c>
      <c r="CX637" s="4"/>
      <c r="CY637" s="69"/>
      <c r="CZ637" s="2" t="b">
        <f>IF($DP$1="YES",IF(RecData[[#This Row],[Power (kW)]]&gt;=$CR$3, TRUE,FALSE),TRUE)</f>
        <v>1</v>
      </c>
      <c r="DA637" s="16">
        <f>MIN(MOD(180-ABS(ABS($DA$1-RecData[Yaw Angle (°)])-180),360),MOD(180-ABS(ABS($DB$1-RecData[Yaw Angle (°)])-180),360))</f>
        <v>22.470332621726442</v>
      </c>
      <c r="DB637" s="2" t="str">
        <f>IF($DP$2="None","None",IF(RecData[[#This Row],[Relative Wind Direction]]&lt;=45,"DW",IF(RecData[[#This Row],[Relative Wind Direction]]&lt;=135,"CW","UW")))</f>
        <v>DW</v>
      </c>
      <c r="DC637" s="61">
        <f>IF($CL637-$CL633&gt;1/24,#REF!,IF(SUM($CQ633:$CQ637)&gt;$DS$1,$DS$5,DC638-1))</f>
        <v>-3</v>
      </c>
      <c r="DD637" s="61">
        <f>IF($CL638-$CL637&gt;1/24,#REF!,IF(SUM($CQ633:$CQ637)&gt;$DS$1,$DS$6,DD636-1))</f>
        <v>-8</v>
      </c>
      <c r="DE637" s="18" t="b">
        <v>0</v>
      </c>
      <c r="DF637" s="2" t="b">
        <f>IF(OR(RecData[[#This Row],[WSpd_Avg '[m/s']]]-RecData[[#This Row],[Wind Speed min]]&gt;=$DF$3,RecData[[#This Row],[Wind Speed max]]-RecData[[#This Row],[WSpd_Avg '[m/s']]]&gt;=$DF$2),TRUE,FALSE)</f>
        <v>0</v>
      </c>
      <c r="DG637" s="2" t="b">
        <f>RecData[[#This Row],[Temperature '[°C']]]&lt;=-20</f>
        <v>0</v>
      </c>
      <c r="DH637" s="18" t="b">
        <f>NOT(OR(MOD(RecData[[#This Row],[TIMESTAMP]],1)&gt;0.91632,MOD(RecData[[#This Row],[TIMESTAMP]],1)&lt;0.208681))</f>
        <v>0</v>
      </c>
      <c r="DI637" s="18" t="b">
        <f>RecData[[#This Row],[Overall (dBA)]]-RecData[[#This Row],[L90]]&gt;=$DS$4</f>
        <v>0</v>
      </c>
      <c r="DJ637" s="18" t="b">
        <f>RecData[[#This Row],[Overall (dBA)]]&gt;$DS$2</f>
        <v>0</v>
      </c>
      <c r="DK637" s="18" t="b">
        <f>RecData[[#This Row],[Overall (dBA)]]&lt;$DS$3</f>
        <v>0</v>
      </c>
      <c r="DL6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7" s="2">
        <f>IF(AND(RecData[[#This Row],[Turbines ON/OFF]] = "OFF", NOT(OR(RecData[[#This Row],[Junk?]]="YES",RecData[[#This Row],[Gust?]],RecData[[#This Row],[Rain?]:[Min SPL Threshold?]]))),1,0)</f>
        <v>0</v>
      </c>
      <c r="DN637" s="16">
        <f>RecData[[#This Row],[dBA Sum]]</f>
        <v>41.157761648806563</v>
      </c>
      <c r="DO637" s="16">
        <f>RecData[[#This Row],[LAF90.0]]</f>
        <v>40.200000000000003</v>
      </c>
      <c r="DP637" s="55">
        <f>IF(AND(RecData[[#This Row],[Useable TON Data?]],RecData[[#This Row],[Turbines ON/OFF]]="ON"),RecData[[#This Row],[dBA Sum]],"")</f>
        <v>41.157761648806563</v>
      </c>
      <c r="DQ637" s="55" t="str">
        <f>IF(AND(RecData[[#This Row],[Useable Background Data?]],RecData[[#This Row],[Turbines ON/OFF]]="OFF"),RecData[[#This Row],[dBA Sum]],"")</f>
        <v/>
      </c>
      <c r="DR637" s="3">
        <f>IF(OR(RecData[[#This Row],[Useable TON Data?]],RecData[[#This Row],[Useable Background Data?]]),ROUND(RecData[[#This Row],[WSpd_Avg '[m/s']]],0),"")</f>
        <v>1</v>
      </c>
      <c r="DS637" s="85">
        <f>(0.00002)^2*(10^(RecData[[#This Row],[Overall (dBA)]]/10))</f>
        <v>5.2219914475259763E-6</v>
      </c>
    </row>
    <row r="638" spans="1:123" ht="15" x14ac:dyDescent="0.25">
      <c r="A638" s="3" t="s">
        <v>249</v>
      </c>
      <c r="B638" s="12">
        <v>43270.15902777778</v>
      </c>
      <c r="C638" s="3"/>
      <c r="D638" s="3">
        <v>41.2</v>
      </c>
      <c r="E638" s="3"/>
      <c r="F638" s="3"/>
      <c r="G638" s="3"/>
      <c r="H638" s="3"/>
      <c r="I638" s="3"/>
      <c r="J638" s="3"/>
      <c r="K638" s="3">
        <v>39.9</v>
      </c>
      <c r="L638" s="3"/>
      <c r="M638" s="3"/>
      <c r="N638" s="3">
        <v>127.4</v>
      </c>
      <c r="O638" s="3"/>
      <c r="P638" s="3"/>
      <c r="Q638" s="3">
        <v>0.66</v>
      </c>
      <c r="R638" s="3">
        <v>0.3</v>
      </c>
      <c r="S638" s="3">
        <v>0.9</v>
      </c>
      <c r="T638" s="3">
        <v>11.4</v>
      </c>
      <c r="U638" s="3">
        <v>87.4</v>
      </c>
      <c r="V638" s="3">
        <v>973.5</v>
      </c>
      <c r="W638" s="3">
        <v>0</v>
      </c>
      <c r="X638" s="3">
        <v>50</v>
      </c>
      <c r="Y638" s="3">
        <v>49.8</v>
      </c>
      <c r="Z638" s="3">
        <v>48.8</v>
      </c>
      <c r="AA638" s="3">
        <v>44.3</v>
      </c>
      <c r="AB638" s="3">
        <v>39.6</v>
      </c>
      <c r="AC638" s="3">
        <v>38.5</v>
      </c>
      <c r="AD638" s="3">
        <v>43.1</v>
      </c>
      <c r="AE638" s="3">
        <v>44.3</v>
      </c>
      <c r="AF638" s="3">
        <v>48</v>
      </c>
      <c r="AG638" s="3">
        <v>41</v>
      </c>
      <c r="AH638" s="3">
        <v>39.9</v>
      </c>
      <c r="AI638" s="3">
        <v>39.5</v>
      </c>
      <c r="AJ638" s="3">
        <v>38.1</v>
      </c>
      <c r="AK638" s="3">
        <v>36.200000000000003</v>
      </c>
      <c r="AL638" s="3">
        <v>33.700000000000003</v>
      </c>
      <c r="AM638" s="3">
        <v>33</v>
      </c>
      <c r="AN638" s="3">
        <v>31.4</v>
      </c>
      <c r="AO638" s="3">
        <v>28.3</v>
      </c>
      <c r="AP638" s="3">
        <v>26.1</v>
      </c>
      <c r="AQ638" s="3">
        <v>23.6</v>
      </c>
      <c r="AR638" s="3">
        <v>19.7</v>
      </c>
      <c r="AS638" s="3">
        <v>16.2</v>
      </c>
      <c r="AT638" s="3">
        <v>26.5</v>
      </c>
      <c r="AU638" s="3">
        <v>9.3000000000000007</v>
      </c>
      <c r="AV638" s="3">
        <v>8.5</v>
      </c>
      <c r="AW638" s="3">
        <v>8.9</v>
      </c>
      <c r="AX638" s="3">
        <v>9.1</v>
      </c>
      <c r="AY638" s="3">
        <v>9.3000000000000007</v>
      </c>
      <c r="AZ638" s="3">
        <v>0</v>
      </c>
      <c r="BA638" s="3">
        <v>0</v>
      </c>
      <c r="BB638" s="3">
        <v>0</v>
      </c>
      <c r="BC638" s="3">
        <v>41.196875263742584</v>
      </c>
      <c r="BD638" s="3">
        <v>50.003124736257419</v>
      </c>
      <c r="BE638" s="3">
        <v>49.803124736257416</v>
      </c>
      <c r="BF638" s="3">
        <v>47.563124736257407</v>
      </c>
      <c r="BG638" s="3">
        <v>43.389791402924089</v>
      </c>
      <c r="BH638" s="3">
        <v>38.829791402924087</v>
      </c>
      <c r="BI638" s="3">
        <v>38.14312473625742</v>
      </c>
      <c r="BJ638" s="3">
        <v>43.536458069590751</v>
      </c>
      <c r="BK638" s="3">
        <v>44.609791402924088</v>
      </c>
      <c r="BL638" s="3">
        <v>47.883124736257429</v>
      </c>
      <c r="BM638" s="3">
        <v>41.016458069590755</v>
      </c>
      <c r="BN638" s="3">
        <v>40.199791402924092</v>
      </c>
      <c r="BO638" s="3">
        <v>39.16645806959076</v>
      </c>
      <c r="BP638" s="3">
        <v>37.483124736257423</v>
      </c>
      <c r="BQ638" s="3">
        <v>35.999791402924075</v>
      </c>
      <c r="BR638" s="3">
        <v>33.826458069590757</v>
      </c>
      <c r="BS638" s="3">
        <v>32.929791402924081</v>
      </c>
      <c r="BT638" s="3">
        <v>31.526458069590745</v>
      </c>
      <c r="BU638" s="3">
        <v>28.39312473625742</v>
      </c>
      <c r="BV638" s="3">
        <v>25.909791402924085</v>
      </c>
      <c r="BW638" s="3">
        <v>23.943124736257431</v>
      </c>
      <c r="BX638" s="3">
        <v>19.963124736257427</v>
      </c>
      <c r="BY638" s="3">
        <v>16.28312473625742</v>
      </c>
      <c r="BZ638" s="3">
        <v>26.713124736257427</v>
      </c>
      <c r="CA638" s="3">
        <v>9.6131247362574115</v>
      </c>
      <c r="CB638" s="3">
        <v>8.2497914029240818</v>
      </c>
      <c r="CC638" s="3">
        <v>8.8631247362574186</v>
      </c>
      <c r="CD638" s="3">
        <v>8.3697914029240934</v>
      </c>
      <c r="CE638" s="3">
        <v>8.7631247362574172</v>
      </c>
      <c r="CF638" s="3">
        <v>-0.92354193040925026</v>
      </c>
      <c r="CG638" s="3">
        <v>-1.4568752637425817</v>
      </c>
      <c r="CH638" s="3">
        <v>-2.5335419304092497</v>
      </c>
      <c r="CI638" s="13">
        <f>[1]!dbasum(RecData[[#This Row],[20]:[2000]],RecData[[#Headers],[20]:[2000]])</f>
        <v>40.890684357062391</v>
      </c>
      <c r="CJ638" s="14">
        <v>8406</v>
      </c>
      <c r="CK638" s="15" t="s">
        <v>249</v>
      </c>
      <c r="CL638" s="15">
        <f>RecData[[#This Row],[Start Time]]</f>
        <v>43270.15902777778</v>
      </c>
      <c r="CM638" s="16">
        <f>RecData[[#This Row],[Wind Speed avg]]</f>
        <v>0.66</v>
      </c>
      <c r="CN638" s="16">
        <f>RecData[[#This Row],[Wind Dir. avg]]</f>
        <v>127.4</v>
      </c>
      <c r="CO638" s="16">
        <f>RecData[[#This Row],[Amb. Humidity]]</f>
        <v>87.4</v>
      </c>
      <c r="CP638" s="16">
        <f>RecData[[#This Row],[Amb. Temperature]]</f>
        <v>11.4</v>
      </c>
      <c r="CQ638" s="17">
        <f>RecData[[#This Row],[Amb. Rain Gauge]]</f>
        <v>0</v>
      </c>
      <c r="CR638" s="4" t="s">
        <v>1</v>
      </c>
      <c r="CS638" s="4" t="s">
        <v>49</v>
      </c>
      <c r="CT638" s="70">
        <v>1589.65087890625</v>
      </c>
      <c r="CU638" s="70">
        <v>30.000259399413999</v>
      </c>
      <c r="CV638" s="70">
        <v>9.7169618606567294</v>
      </c>
      <c r="CW638" s="70">
        <v>15.2357721328735</v>
      </c>
      <c r="CX638" s="4"/>
      <c r="CY638" s="69"/>
      <c r="CZ638" s="2" t="b">
        <f>IF($DP$1="YES",IF(RecData[[#This Row],[Power (kW)]]&gt;=$CR$3, TRUE,FALSE),TRUE)</f>
        <v>1</v>
      </c>
      <c r="DA638" s="16">
        <f>MIN(MOD(180-ABS(ABS($DA$1-RecData[Yaw Angle (°)])-180),360),MOD(180-ABS(ABS($DB$1-RecData[Yaw Angle (°)])-180),360))</f>
        <v>22.470332621726442</v>
      </c>
      <c r="DB638" s="2" t="str">
        <f>IF($DP$2="None","None",IF(RecData[[#This Row],[Relative Wind Direction]]&lt;=45,"DW",IF(RecData[[#This Row],[Relative Wind Direction]]&lt;=135,"CW","UW")))</f>
        <v>DW</v>
      </c>
      <c r="DC638" s="61">
        <f>IF($CL638-$CL634&gt;1/24,#REF!,IF(SUM($CQ634:$CQ638)&gt;$DS$1,$DS$5,DC639-1))</f>
        <v>-2</v>
      </c>
      <c r="DD638" s="61">
        <f>IF($CL639-$CL638&gt;1/24,#REF!,IF(SUM($CQ634:$CQ638)&gt;$DS$1,$DS$6,DD637-1))</f>
        <v>-9</v>
      </c>
      <c r="DE638" s="18" t="b">
        <v>0</v>
      </c>
      <c r="DF638" s="2" t="b">
        <f>IF(OR(RecData[[#This Row],[WSpd_Avg '[m/s']]]-RecData[[#This Row],[Wind Speed min]]&gt;=$DF$3,RecData[[#This Row],[Wind Speed max]]-RecData[[#This Row],[WSpd_Avg '[m/s']]]&gt;=$DF$2),TRUE,FALSE)</f>
        <v>0</v>
      </c>
      <c r="DG638" s="2" t="b">
        <f>RecData[[#This Row],[Temperature '[°C']]]&lt;=-20</f>
        <v>0</v>
      </c>
      <c r="DH638" s="18" t="b">
        <f>NOT(OR(MOD(RecData[[#This Row],[TIMESTAMP]],1)&gt;0.91632,MOD(RecData[[#This Row],[TIMESTAMP]],1)&lt;0.208681))</f>
        <v>0</v>
      </c>
      <c r="DI638" s="18" t="b">
        <f>RecData[[#This Row],[Overall (dBA)]]-RecData[[#This Row],[L90]]&gt;=$DS$4</f>
        <v>0</v>
      </c>
      <c r="DJ638" s="18" t="b">
        <f>RecData[[#This Row],[Overall (dBA)]]&gt;$DS$2</f>
        <v>0</v>
      </c>
      <c r="DK638" s="18" t="b">
        <f>RecData[[#This Row],[Overall (dBA)]]&lt;$DS$3</f>
        <v>0</v>
      </c>
      <c r="DL6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8" s="2">
        <f>IF(AND(RecData[[#This Row],[Turbines ON/OFF]] = "OFF", NOT(OR(RecData[[#This Row],[Junk?]]="YES",RecData[[#This Row],[Gust?]],RecData[[#This Row],[Rain?]:[Min SPL Threshold?]]))),1,0)</f>
        <v>0</v>
      </c>
      <c r="DN638" s="16">
        <f>RecData[[#This Row],[dBA Sum]]</f>
        <v>40.890684357062391</v>
      </c>
      <c r="DO638" s="16">
        <f>RecData[[#This Row],[LAF90.0]]</f>
        <v>39.9</v>
      </c>
      <c r="DP638" s="55">
        <f>IF(AND(RecData[[#This Row],[Useable TON Data?]],RecData[[#This Row],[Turbines ON/OFF]]="ON"),RecData[[#This Row],[dBA Sum]],"")</f>
        <v>40.890684357062391</v>
      </c>
      <c r="DQ638" s="55" t="str">
        <f>IF(AND(RecData[[#This Row],[Useable Background Data?]],RecData[[#This Row],[Turbines ON/OFF]]="OFF"),RecData[[#This Row],[dBA Sum]],"")</f>
        <v/>
      </c>
      <c r="DR638" s="3">
        <f>IF(OR(RecData[[#This Row],[Useable TON Data?]],RecData[[#This Row],[Useable Background Data?]]),ROUND(RecData[[#This Row],[WSpd_Avg '[m/s']]],0),"")</f>
        <v>1</v>
      </c>
      <c r="DS638" s="85">
        <f>(0.00002)^2*(10^(RecData[[#This Row],[Overall (dBA)]]/10))</f>
        <v>4.9105306603624628E-6</v>
      </c>
    </row>
    <row r="639" spans="1:123" ht="15" x14ac:dyDescent="0.25">
      <c r="A639" s="3" t="s">
        <v>249</v>
      </c>
      <c r="B639" s="12">
        <v>43270.159722222219</v>
      </c>
      <c r="C639" s="3"/>
      <c r="D639" s="3">
        <v>40.799999999999997</v>
      </c>
      <c r="E639" s="3"/>
      <c r="F639" s="3"/>
      <c r="G639" s="3"/>
      <c r="H639" s="3"/>
      <c r="I639" s="3"/>
      <c r="J639" s="3"/>
      <c r="K639" s="3">
        <v>39.6</v>
      </c>
      <c r="L639" s="3"/>
      <c r="M639" s="3"/>
      <c r="N639" s="3">
        <v>98.6</v>
      </c>
      <c r="O639" s="3"/>
      <c r="P639" s="3"/>
      <c r="Q639" s="3">
        <v>0.47</v>
      </c>
      <c r="R639" s="3">
        <v>0</v>
      </c>
      <c r="S639" s="3">
        <v>1.1000000000000001</v>
      </c>
      <c r="T639" s="3">
        <v>11.3</v>
      </c>
      <c r="U639" s="3">
        <v>87.5</v>
      </c>
      <c r="V639" s="3">
        <v>973.5</v>
      </c>
      <c r="W639" s="3">
        <v>0</v>
      </c>
      <c r="X639" s="3">
        <v>49.1</v>
      </c>
      <c r="Y639" s="3">
        <v>49</v>
      </c>
      <c r="Z639" s="3">
        <v>47.8</v>
      </c>
      <c r="AA639" s="3">
        <v>43.6</v>
      </c>
      <c r="AB639" s="3">
        <v>39.200000000000003</v>
      </c>
      <c r="AC639" s="3">
        <v>37.4</v>
      </c>
      <c r="AD639" s="3">
        <v>40.700000000000003</v>
      </c>
      <c r="AE639" s="3">
        <v>42.7</v>
      </c>
      <c r="AF639" s="3">
        <v>47.5</v>
      </c>
      <c r="AG639" s="3">
        <v>40.700000000000003</v>
      </c>
      <c r="AH639" s="3">
        <v>38.799999999999997</v>
      </c>
      <c r="AI639" s="3">
        <v>38.5</v>
      </c>
      <c r="AJ639" s="3">
        <v>37.200000000000003</v>
      </c>
      <c r="AK639" s="3">
        <v>35.200000000000003</v>
      </c>
      <c r="AL639" s="3">
        <v>33.4</v>
      </c>
      <c r="AM639" s="3">
        <v>33.200000000000003</v>
      </c>
      <c r="AN639" s="3">
        <v>31.8</v>
      </c>
      <c r="AO639" s="3">
        <v>28.4</v>
      </c>
      <c r="AP639" s="3">
        <v>26.1</v>
      </c>
      <c r="AQ639" s="3">
        <v>23.6</v>
      </c>
      <c r="AR639" s="3">
        <v>19.600000000000001</v>
      </c>
      <c r="AS639" s="3">
        <v>17.5</v>
      </c>
      <c r="AT639" s="3">
        <v>27.5</v>
      </c>
      <c r="AU639" s="3">
        <v>9.1</v>
      </c>
      <c r="AV639" s="3">
        <v>8.5</v>
      </c>
      <c r="AW639" s="3">
        <v>8.9</v>
      </c>
      <c r="AX639" s="3">
        <v>9.1</v>
      </c>
      <c r="AY639" s="3">
        <v>9.3000000000000007</v>
      </c>
      <c r="AZ639" s="3">
        <v>0</v>
      </c>
      <c r="BA639" s="3">
        <v>0</v>
      </c>
      <c r="BB639" s="3">
        <v>0</v>
      </c>
      <c r="BC639" s="3">
        <v>40.833604169077233</v>
      </c>
      <c r="BD639" s="3">
        <v>49.066395830922772</v>
      </c>
      <c r="BE639" s="3">
        <v>48.966395830922764</v>
      </c>
      <c r="BF639" s="3">
        <v>46.526395830922752</v>
      </c>
      <c r="BG639" s="3">
        <v>42.653062497589431</v>
      </c>
      <c r="BH639" s="3">
        <v>38.393062497589426</v>
      </c>
      <c r="BI639" s="3">
        <v>37.00639583092277</v>
      </c>
      <c r="BJ639" s="3">
        <v>41.099729164256104</v>
      </c>
      <c r="BK639" s="3">
        <v>42.973062497589439</v>
      </c>
      <c r="BL639" s="3">
        <v>47.346395830922773</v>
      </c>
      <c r="BM639" s="3">
        <v>40.679729164256102</v>
      </c>
      <c r="BN639" s="3">
        <v>39.063062497589428</v>
      </c>
      <c r="BO639" s="3">
        <v>38.129729164256105</v>
      </c>
      <c r="BP639" s="3">
        <v>36.546395830922762</v>
      </c>
      <c r="BQ639" s="3">
        <v>34.963062497589419</v>
      </c>
      <c r="BR639" s="3">
        <v>33.48972916425609</v>
      </c>
      <c r="BS639" s="3">
        <v>33.093062497589443</v>
      </c>
      <c r="BT639" s="3">
        <v>31.889729164256096</v>
      </c>
      <c r="BU639" s="3">
        <v>28.456395830922759</v>
      </c>
      <c r="BV639" s="3">
        <v>25.87306249758943</v>
      </c>
      <c r="BW639" s="3">
        <v>23.906395830922776</v>
      </c>
      <c r="BX639" s="3">
        <v>19.82639583092277</v>
      </c>
      <c r="BY639" s="3">
        <v>17.546395830922762</v>
      </c>
      <c r="BZ639" s="3">
        <v>27.676395830922772</v>
      </c>
      <c r="CA639" s="3">
        <v>9.3763958309227604</v>
      </c>
      <c r="CB639" s="3">
        <v>8.2130624975894264</v>
      </c>
      <c r="CC639" s="3">
        <v>8.8263958309227633</v>
      </c>
      <c r="CD639" s="3">
        <v>8.3330624975894381</v>
      </c>
      <c r="CE639" s="3">
        <v>8.7263958309227618</v>
      </c>
      <c r="CF639" s="3">
        <v>-0.96027083574390559</v>
      </c>
      <c r="CG639" s="3">
        <v>-1.493604169077237</v>
      </c>
      <c r="CH639" s="3">
        <v>-2.570270835743905</v>
      </c>
      <c r="CI639" s="13">
        <f>[1]!dbasum(RecData[[#This Row],[20]:[2000]],RecData[[#Headers],[20]:[2000]])</f>
        <v>40.414069575723801</v>
      </c>
      <c r="CJ639" s="14">
        <v>8407</v>
      </c>
      <c r="CK639" s="15" t="s">
        <v>249</v>
      </c>
      <c r="CL639" s="15">
        <f>RecData[[#This Row],[Start Time]]</f>
        <v>43270.159722222219</v>
      </c>
      <c r="CM639" s="16">
        <f>RecData[[#This Row],[Wind Speed avg]]</f>
        <v>0.47</v>
      </c>
      <c r="CN639" s="16">
        <f>RecData[[#This Row],[Wind Dir. avg]]</f>
        <v>98.6</v>
      </c>
      <c r="CO639" s="16">
        <f>RecData[[#This Row],[Amb. Humidity]]</f>
        <v>87.5</v>
      </c>
      <c r="CP639" s="16">
        <f>RecData[[#This Row],[Amb. Temperature]]</f>
        <v>11.3</v>
      </c>
      <c r="CQ639" s="17">
        <f>RecData[[#This Row],[Amb. Rain Gauge]]</f>
        <v>0</v>
      </c>
      <c r="CR639" s="4" t="s">
        <v>1</v>
      </c>
      <c r="CS639" s="4" t="s">
        <v>49</v>
      </c>
      <c r="CT639" s="70">
        <v>1589.65087890625</v>
      </c>
      <c r="CU639" s="70">
        <v>30.000259399413999</v>
      </c>
      <c r="CV639" s="70">
        <v>9.7169618606567294</v>
      </c>
      <c r="CW639" s="70">
        <v>15.2357721328735</v>
      </c>
      <c r="CX639" s="4"/>
      <c r="CY639" s="69"/>
      <c r="CZ639" s="2" t="b">
        <f>IF($DP$1="YES",IF(RecData[[#This Row],[Power (kW)]]&gt;=$CR$3, TRUE,FALSE),TRUE)</f>
        <v>1</v>
      </c>
      <c r="DA639" s="16">
        <f>MIN(MOD(180-ABS(ABS($DA$1-RecData[Yaw Angle (°)])-180),360),MOD(180-ABS(ABS($DB$1-RecData[Yaw Angle (°)])-180),360))</f>
        <v>22.470332621726442</v>
      </c>
      <c r="DB639" s="2" t="str">
        <f>IF($DP$2="None","None",IF(RecData[[#This Row],[Relative Wind Direction]]&lt;=45,"DW",IF(RecData[[#This Row],[Relative Wind Direction]]&lt;=135,"CW","UW")))</f>
        <v>DW</v>
      </c>
      <c r="DC639" s="61">
        <v>-1</v>
      </c>
      <c r="DD639" s="61">
        <v>-1</v>
      </c>
      <c r="DE639" s="18" t="b">
        <v>0</v>
      </c>
      <c r="DF639" s="2" t="b">
        <f>IF(OR(RecData[[#This Row],[WSpd_Avg '[m/s']]]-RecData[[#This Row],[Wind Speed min]]&gt;=$DF$3,RecData[[#This Row],[Wind Speed max]]-RecData[[#This Row],[WSpd_Avg '[m/s']]]&gt;=$DF$2),TRUE,FALSE)</f>
        <v>0</v>
      </c>
      <c r="DG639" s="2" t="b">
        <f>RecData[[#This Row],[Temperature '[°C']]]&lt;=-20</f>
        <v>0</v>
      </c>
      <c r="DH639" s="18" t="b">
        <f>NOT(OR(MOD(RecData[[#This Row],[TIMESTAMP]],1)&gt;0.91632,MOD(RecData[[#This Row],[TIMESTAMP]],1)&lt;0.208681))</f>
        <v>0</v>
      </c>
      <c r="DI639" s="18" t="b">
        <f>RecData[[#This Row],[Overall (dBA)]]-RecData[[#This Row],[L90]]&gt;=$DS$4</f>
        <v>0</v>
      </c>
      <c r="DJ639" s="18" t="b">
        <f>RecData[[#This Row],[Overall (dBA)]]&gt;$DS$2</f>
        <v>0</v>
      </c>
      <c r="DK639" s="18" t="b">
        <f>RecData[[#This Row],[Overall (dBA)]]&lt;$DS$3</f>
        <v>0</v>
      </c>
      <c r="DL6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39" s="2">
        <f>IF(AND(RecData[[#This Row],[Turbines ON/OFF]] = "OFF", NOT(OR(RecData[[#This Row],[Junk?]]="YES",RecData[[#This Row],[Gust?]],RecData[[#This Row],[Rain?]:[Min SPL Threshold?]]))),1,0)</f>
        <v>0</v>
      </c>
      <c r="DN639" s="16">
        <f>RecData[[#This Row],[dBA Sum]]</f>
        <v>40.414069575723801</v>
      </c>
      <c r="DO639" s="16">
        <f>RecData[[#This Row],[LAF90.0]]</f>
        <v>39.6</v>
      </c>
      <c r="DP639" s="55">
        <f>IF(AND(RecData[[#This Row],[Useable TON Data?]],RecData[[#This Row],[Turbines ON/OFF]]="ON"),RecData[[#This Row],[dBA Sum]],"")</f>
        <v>40.414069575723801</v>
      </c>
      <c r="DQ639" s="55" t="str">
        <f>IF(AND(RecData[[#This Row],[Useable Background Data?]],RecData[[#This Row],[Turbines ON/OFF]]="OFF"),RecData[[#This Row],[dBA Sum]],"")</f>
        <v/>
      </c>
      <c r="DR639" s="3">
        <f>IF(OR(RecData[[#This Row],[Useable TON Data?]],RecData[[#This Row],[Useable Background Data?]]),ROUND(RecData[[#This Row],[WSpd_Avg '[m/s']]],0),"")</f>
        <v>0</v>
      </c>
      <c r="DS639" s="85">
        <f>(0.00002)^2*(10^(RecData[[#This Row],[Overall (dBA)]]/10))</f>
        <v>4.4001446015475695E-6</v>
      </c>
    </row>
    <row r="640" spans="1:123" ht="15" x14ac:dyDescent="0.25">
      <c r="A640" s="3" t="s">
        <v>249</v>
      </c>
      <c r="B640" s="12">
        <v>43270.160416666666</v>
      </c>
      <c r="C640" s="3"/>
      <c r="D640" s="3">
        <v>41.3</v>
      </c>
      <c r="E640" s="3"/>
      <c r="F640" s="3"/>
      <c r="G640" s="3"/>
      <c r="H640" s="3"/>
      <c r="I640" s="3"/>
      <c r="J640" s="3"/>
      <c r="K640" s="3">
        <v>39.799999999999997</v>
      </c>
      <c r="L640" s="3"/>
      <c r="M640" s="3"/>
      <c r="N640" s="3">
        <v>116.3</v>
      </c>
      <c r="O640" s="3"/>
      <c r="P640" s="3"/>
      <c r="Q640" s="3">
        <v>0.48</v>
      </c>
      <c r="R640" s="3">
        <v>0.1</v>
      </c>
      <c r="S640" s="3">
        <v>0.9</v>
      </c>
      <c r="T640" s="3">
        <v>11.2</v>
      </c>
      <c r="U640" s="3">
        <v>87.4</v>
      </c>
      <c r="V640" s="3">
        <v>973.5</v>
      </c>
      <c r="W640" s="3">
        <v>0</v>
      </c>
      <c r="X640" s="3">
        <v>50.1</v>
      </c>
      <c r="Y640" s="3">
        <v>49.5</v>
      </c>
      <c r="Z640" s="3">
        <v>48.7</v>
      </c>
      <c r="AA640" s="3">
        <v>44.1</v>
      </c>
      <c r="AB640" s="3">
        <v>39.5</v>
      </c>
      <c r="AC640" s="3">
        <v>38.5</v>
      </c>
      <c r="AD640" s="3">
        <v>42.3</v>
      </c>
      <c r="AE640" s="3">
        <v>43.6</v>
      </c>
      <c r="AF640" s="3">
        <v>47.7</v>
      </c>
      <c r="AG640" s="3">
        <v>40.700000000000003</v>
      </c>
      <c r="AH640" s="3">
        <v>39.4</v>
      </c>
      <c r="AI640" s="3">
        <v>39.299999999999997</v>
      </c>
      <c r="AJ640" s="3">
        <v>37.9</v>
      </c>
      <c r="AK640" s="3">
        <v>36.299999999999997</v>
      </c>
      <c r="AL640" s="3">
        <v>34.1</v>
      </c>
      <c r="AM640" s="3">
        <v>33.700000000000003</v>
      </c>
      <c r="AN640" s="3">
        <v>32.200000000000003</v>
      </c>
      <c r="AO640" s="3">
        <v>29.1</v>
      </c>
      <c r="AP640" s="3">
        <v>26.8</v>
      </c>
      <c r="AQ640" s="3">
        <v>24</v>
      </c>
      <c r="AR640" s="3">
        <v>20</v>
      </c>
      <c r="AS640" s="3">
        <v>15.8</v>
      </c>
      <c r="AT640" s="3">
        <v>25</v>
      </c>
      <c r="AU640" s="3">
        <v>9.6</v>
      </c>
      <c r="AV640" s="3">
        <v>8.5</v>
      </c>
      <c r="AW640" s="3">
        <v>8.9</v>
      </c>
      <c r="AX640" s="3">
        <v>9.1</v>
      </c>
      <c r="AY640" s="3">
        <v>9.3000000000000007</v>
      </c>
      <c r="AZ640" s="3">
        <v>0</v>
      </c>
      <c r="BA640" s="3">
        <v>0</v>
      </c>
      <c r="BB640" s="3">
        <v>0</v>
      </c>
      <c r="BC640" s="3">
        <v>41.281626971253502</v>
      </c>
      <c r="BD640" s="3">
        <v>50.118373028746504</v>
      </c>
      <c r="BE640" s="3">
        <v>49.518373028746495</v>
      </c>
      <c r="BF640" s="3">
        <v>47.478373028746489</v>
      </c>
      <c r="BG640" s="3">
        <v>43.205039695413163</v>
      </c>
      <c r="BH640" s="3">
        <v>38.745039695413169</v>
      </c>
      <c r="BI640" s="3">
        <v>38.158373028746496</v>
      </c>
      <c r="BJ640" s="3">
        <v>42.75170636207983</v>
      </c>
      <c r="BK640" s="3">
        <v>43.925039695413162</v>
      </c>
      <c r="BL640" s="3">
        <v>47.598373028746494</v>
      </c>
      <c r="BM640" s="3">
        <v>40.731706362079834</v>
      </c>
      <c r="BN640" s="3">
        <v>39.715039695413168</v>
      </c>
      <c r="BO640" s="3">
        <v>38.981706362079819</v>
      </c>
      <c r="BP640" s="3">
        <v>37.298373028746497</v>
      </c>
      <c r="BQ640" s="3">
        <v>36.115039695413145</v>
      </c>
      <c r="BR640" s="3">
        <v>34.241706362079839</v>
      </c>
      <c r="BS640" s="3">
        <v>33.645039695413175</v>
      </c>
      <c r="BT640" s="3">
        <v>32.341706362079833</v>
      </c>
      <c r="BU640" s="3">
        <v>29.208373028746507</v>
      </c>
      <c r="BV640" s="3">
        <v>26.625039695413165</v>
      </c>
      <c r="BW640" s="3">
        <v>24.358373028746499</v>
      </c>
      <c r="BX640" s="3">
        <v>20.2783730287465</v>
      </c>
      <c r="BY640" s="3">
        <v>15.898373028746491</v>
      </c>
      <c r="BZ640" s="3">
        <v>25.228373028746503</v>
      </c>
      <c r="CA640" s="3">
        <v>9.928373028746492</v>
      </c>
      <c r="CB640" s="3">
        <v>8.265039695413158</v>
      </c>
      <c r="CC640" s="3">
        <v>8.8783730287464948</v>
      </c>
      <c r="CD640" s="3">
        <v>8.3850396954131696</v>
      </c>
      <c r="CE640" s="3">
        <v>8.7783730287464934</v>
      </c>
      <c r="CF640" s="3">
        <v>-0.90829363792017404</v>
      </c>
      <c r="CG640" s="3">
        <v>-1.4416269712535055</v>
      </c>
      <c r="CH640" s="3">
        <v>-2.5182936379201735</v>
      </c>
      <c r="CI640" s="13">
        <f>[1]!dbasum(RecData[[#This Row],[20]:[2000]],RecData[[#Headers],[20]:[2000]])</f>
        <v>41.060914755431526</v>
      </c>
      <c r="CJ640" s="14">
        <v>8408</v>
      </c>
      <c r="CK640" s="15" t="s">
        <v>249</v>
      </c>
      <c r="CL640" s="15">
        <f>RecData[[#This Row],[Start Time]]</f>
        <v>43270.160416666666</v>
      </c>
      <c r="CM640" s="16">
        <f>RecData[[#This Row],[Wind Speed avg]]</f>
        <v>0.48</v>
      </c>
      <c r="CN640" s="16">
        <f>RecData[[#This Row],[Wind Dir. avg]]</f>
        <v>116.3</v>
      </c>
      <c r="CO640" s="16">
        <f>RecData[[#This Row],[Amb. Humidity]]</f>
        <v>87.4</v>
      </c>
      <c r="CP640" s="16">
        <f>RecData[[#This Row],[Amb. Temperature]]</f>
        <v>11.2</v>
      </c>
      <c r="CQ640" s="17">
        <f>RecData[[#This Row],[Amb. Rain Gauge]]</f>
        <v>0</v>
      </c>
      <c r="CR640" s="4" t="s">
        <v>1</v>
      </c>
      <c r="CS640" s="4" t="s">
        <v>49</v>
      </c>
      <c r="CT640" s="70">
        <v>1615.27905273437</v>
      </c>
      <c r="CU640" s="70">
        <v>30.000257492065401</v>
      </c>
      <c r="CV640" s="70">
        <v>10.310000419616699</v>
      </c>
      <c r="CW640" s="70">
        <v>15.2939796447753</v>
      </c>
      <c r="CX640" s="4"/>
      <c r="CY640" s="69"/>
      <c r="CZ640" s="2" t="b">
        <f>IF($DP$1="YES",IF(RecData[[#This Row],[Power (kW)]]&gt;=$CR$3, TRUE,FALSE),TRUE)</f>
        <v>1</v>
      </c>
      <c r="DA640" s="16">
        <f>MIN(MOD(180-ABS(ABS($DA$1-RecData[Yaw Angle (°)])-180),360),MOD(180-ABS(ABS($DB$1-RecData[Yaw Angle (°)])-180),360))</f>
        <v>22.470330714377837</v>
      </c>
      <c r="DB640" s="2" t="str">
        <f>IF($DP$2="None","None",IF(RecData[[#This Row],[Relative Wind Direction]]&lt;=45,"DW",IF(RecData[[#This Row],[Relative Wind Direction]]&lt;=135,"CW","UW")))</f>
        <v>DW</v>
      </c>
      <c r="DC640" s="61">
        <f>IF($CL640-$CL639&gt;1/24,#REF!,IF(SUM($CQ639:$CQ640)&gt;$DS$1,$DS$5,DC641-1))</f>
        <v>-9</v>
      </c>
      <c r="DD640" s="61">
        <f>IF($CL641-$CL640&gt;1/24,#REF!,IF(SUM($CQ639:$CQ640)&gt;$DS$1,$DS$6,DD639-1))</f>
        <v>-2</v>
      </c>
      <c r="DE640" s="18" t="b">
        <v>0</v>
      </c>
      <c r="DF640" s="2" t="b">
        <f>IF(OR(RecData[[#This Row],[WSpd_Avg '[m/s']]]-RecData[[#This Row],[Wind Speed min]]&gt;=$DF$3,RecData[[#This Row],[Wind Speed max]]-RecData[[#This Row],[WSpd_Avg '[m/s']]]&gt;=$DF$2),TRUE,FALSE)</f>
        <v>0</v>
      </c>
      <c r="DG640" s="2" t="b">
        <f>RecData[[#This Row],[Temperature '[°C']]]&lt;=-20</f>
        <v>0</v>
      </c>
      <c r="DH640" s="18" t="b">
        <f>NOT(OR(MOD(RecData[[#This Row],[TIMESTAMP]],1)&gt;0.91632,MOD(RecData[[#This Row],[TIMESTAMP]],1)&lt;0.208681))</f>
        <v>0</v>
      </c>
      <c r="DI640" s="18" t="b">
        <f>RecData[[#This Row],[Overall (dBA)]]-RecData[[#This Row],[L90]]&gt;=$DS$4</f>
        <v>0</v>
      </c>
      <c r="DJ640" s="18" t="b">
        <f>RecData[[#This Row],[Overall (dBA)]]&gt;$DS$2</f>
        <v>0</v>
      </c>
      <c r="DK640" s="18" t="b">
        <f>RecData[[#This Row],[Overall (dBA)]]&lt;$DS$3</f>
        <v>0</v>
      </c>
      <c r="DL6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0" s="2">
        <f>IF(AND(RecData[[#This Row],[Turbines ON/OFF]] = "OFF", NOT(OR(RecData[[#This Row],[Junk?]]="YES",RecData[[#This Row],[Gust?]],RecData[[#This Row],[Rain?]:[Min SPL Threshold?]]))),1,0)</f>
        <v>0</v>
      </c>
      <c r="DN640" s="16">
        <f>RecData[[#This Row],[dBA Sum]]</f>
        <v>41.060914755431526</v>
      </c>
      <c r="DO640" s="16">
        <f>RecData[[#This Row],[LAF90.0]]</f>
        <v>39.799999999999997</v>
      </c>
      <c r="DP640" s="55">
        <f>IF(AND(RecData[[#This Row],[Useable TON Data?]],RecData[[#This Row],[Turbines ON/OFF]]="ON"),RecData[[#This Row],[dBA Sum]],"")</f>
        <v>41.060914755431526</v>
      </c>
      <c r="DQ640" s="55" t="str">
        <f>IF(AND(RecData[[#This Row],[Useable Background Data?]],RecData[[#This Row],[Turbines ON/OFF]]="OFF"),RecData[[#This Row],[dBA Sum]],"")</f>
        <v/>
      </c>
      <c r="DR640" s="3">
        <f>IF(OR(RecData[[#This Row],[Useable TON Data?]],RecData[[#This Row],[Useable Background Data?]]),ROUND(RecData[[#This Row],[WSpd_Avg '[m/s']]],0),"")</f>
        <v>0</v>
      </c>
      <c r="DS640" s="85">
        <f>(0.00002)^2*(10^(RecData[[#This Row],[Overall (dBA)]]/10))</f>
        <v>5.1068307748708456E-6</v>
      </c>
    </row>
    <row r="641" spans="1:123" ht="15" x14ac:dyDescent="0.25">
      <c r="A641" s="3" t="s">
        <v>249</v>
      </c>
      <c r="B641" s="12">
        <v>43270.161111111112</v>
      </c>
      <c r="C641" s="3"/>
      <c r="D641" s="3">
        <v>41.5</v>
      </c>
      <c r="E641" s="3"/>
      <c r="F641" s="3"/>
      <c r="G641" s="3"/>
      <c r="H641" s="3"/>
      <c r="I641" s="3"/>
      <c r="J641" s="3"/>
      <c r="K641" s="3">
        <v>40.200000000000003</v>
      </c>
      <c r="L641" s="3"/>
      <c r="M641" s="3"/>
      <c r="N641" s="3">
        <v>187.9</v>
      </c>
      <c r="O641" s="3"/>
      <c r="P641" s="3"/>
      <c r="Q641" s="3">
        <v>0.51</v>
      </c>
      <c r="R641" s="3">
        <v>0.3</v>
      </c>
      <c r="S641" s="3">
        <v>0.8</v>
      </c>
      <c r="T641" s="3">
        <v>11.1</v>
      </c>
      <c r="U641" s="3">
        <v>87.6</v>
      </c>
      <c r="V641" s="3">
        <v>973.5</v>
      </c>
      <c r="W641" s="3">
        <v>0</v>
      </c>
      <c r="X641" s="3">
        <v>49.2</v>
      </c>
      <c r="Y641" s="3">
        <v>48.8</v>
      </c>
      <c r="Z641" s="3">
        <v>48.3</v>
      </c>
      <c r="AA641" s="3">
        <v>43.5</v>
      </c>
      <c r="AB641" s="3">
        <v>38.700000000000003</v>
      </c>
      <c r="AC641" s="3">
        <v>38.700000000000003</v>
      </c>
      <c r="AD641" s="3">
        <v>41.4</v>
      </c>
      <c r="AE641" s="3">
        <v>42.7</v>
      </c>
      <c r="AF641" s="3">
        <v>47.4</v>
      </c>
      <c r="AG641" s="3">
        <v>41.3</v>
      </c>
      <c r="AH641" s="3">
        <v>39.5</v>
      </c>
      <c r="AI641" s="3">
        <v>39.4</v>
      </c>
      <c r="AJ641" s="3">
        <v>38.200000000000003</v>
      </c>
      <c r="AK641" s="3">
        <v>36.299999999999997</v>
      </c>
      <c r="AL641" s="3">
        <v>34.200000000000003</v>
      </c>
      <c r="AM641" s="3">
        <v>33.9</v>
      </c>
      <c r="AN641" s="3">
        <v>32.5</v>
      </c>
      <c r="AO641" s="3">
        <v>29.4</v>
      </c>
      <c r="AP641" s="3">
        <v>27</v>
      </c>
      <c r="AQ641" s="3">
        <v>25</v>
      </c>
      <c r="AR641" s="3">
        <v>21.3</v>
      </c>
      <c r="AS641" s="3">
        <v>18.100000000000001</v>
      </c>
      <c r="AT641" s="3">
        <v>25.8</v>
      </c>
      <c r="AU641" s="3">
        <v>12.6</v>
      </c>
      <c r="AV641" s="3">
        <v>9.9</v>
      </c>
      <c r="AW641" s="3">
        <v>10.199999999999999</v>
      </c>
      <c r="AX641" s="3">
        <v>11.2</v>
      </c>
      <c r="AY641" s="3">
        <v>10.3</v>
      </c>
      <c r="AZ641" s="3">
        <v>0</v>
      </c>
      <c r="BA641" s="3">
        <v>0</v>
      </c>
      <c r="BB641" s="3">
        <v>0</v>
      </c>
      <c r="BC641" s="3">
        <v>41.472943959558719</v>
      </c>
      <c r="BD641" s="3">
        <v>49.227056040441283</v>
      </c>
      <c r="BE641" s="3">
        <v>48.827056040441278</v>
      </c>
      <c r="BF641" s="3">
        <v>47.087056040441283</v>
      </c>
      <c r="BG641" s="3">
        <v>42.613722707107954</v>
      </c>
      <c r="BH641" s="3">
        <v>37.953722707107957</v>
      </c>
      <c r="BI641" s="3">
        <v>38.367056040441284</v>
      </c>
      <c r="BJ641" s="3">
        <v>41.860389373774609</v>
      </c>
      <c r="BK641" s="3">
        <v>43.033722707107941</v>
      </c>
      <c r="BL641" s="3">
        <v>47.307056040441282</v>
      </c>
      <c r="BM641" s="3">
        <v>41.340389373774613</v>
      </c>
      <c r="BN641" s="3">
        <v>39.823722707107947</v>
      </c>
      <c r="BO641" s="3">
        <v>39.090389373774613</v>
      </c>
      <c r="BP641" s="3">
        <v>37.607056040441293</v>
      </c>
      <c r="BQ641" s="3">
        <v>36.123722707107945</v>
      </c>
      <c r="BR641" s="3">
        <v>34.350389373774618</v>
      </c>
      <c r="BS641" s="3">
        <v>33.853722707107949</v>
      </c>
      <c r="BT641" s="3">
        <v>32.650389373774615</v>
      </c>
      <c r="BU641" s="3">
        <v>29.51705604044129</v>
      </c>
      <c r="BV641" s="3">
        <v>26.833722707107952</v>
      </c>
      <c r="BW641" s="3">
        <v>25.367056040441284</v>
      </c>
      <c r="BX641" s="3">
        <v>21.587056040441283</v>
      </c>
      <c r="BY641" s="3">
        <v>18.20705604044128</v>
      </c>
      <c r="BZ641" s="3">
        <v>26.037056040441286</v>
      </c>
      <c r="CA641" s="3">
        <v>12.937056040441277</v>
      </c>
      <c r="CB641" s="3">
        <v>9.6737227071079417</v>
      </c>
      <c r="CC641" s="3">
        <v>10.187056040441277</v>
      </c>
      <c r="CD641" s="3">
        <v>10.493722707107949</v>
      </c>
      <c r="CE641" s="3">
        <v>9.7870560404412785</v>
      </c>
      <c r="CF641" s="3">
        <v>-0.8996106262253889</v>
      </c>
      <c r="CG641" s="3">
        <v>-1.4329439595587203</v>
      </c>
      <c r="CH641" s="3">
        <v>-2.5096106262253883</v>
      </c>
      <c r="CI641" s="13">
        <f>[1]!dbasum(RecData[[#This Row],[20]:[2000]],RecData[[#Headers],[20]:[2000]])</f>
        <v>41.223703194335293</v>
      </c>
      <c r="CJ641" s="14">
        <v>8409</v>
      </c>
      <c r="CK641" s="15" t="s">
        <v>249</v>
      </c>
      <c r="CL641" s="15">
        <f>RecData[[#This Row],[Start Time]]</f>
        <v>43270.161111111112</v>
      </c>
      <c r="CM641" s="16">
        <f>RecData[[#This Row],[Wind Speed avg]]</f>
        <v>0.51</v>
      </c>
      <c r="CN641" s="16">
        <f>RecData[[#This Row],[Wind Dir. avg]]</f>
        <v>187.9</v>
      </c>
      <c r="CO641" s="16">
        <f>RecData[[#This Row],[Amb. Humidity]]</f>
        <v>87.6</v>
      </c>
      <c r="CP641" s="16">
        <f>RecData[[#This Row],[Amb. Temperature]]</f>
        <v>11.1</v>
      </c>
      <c r="CQ641" s="17">
        <f>RecData[[#This Row],[Amb. Rain Gauge]]</f>
        <v>0</v>
      </c>
      <c r="CR641" s="4" t="s">
        <v>1</v>
      </c>
      <c r="CS641" s="4" t="s">
        <v>49</v>
      </c>
      <c r="CT641" s="70">
        <v>1615.27905273437</v>
      </c>
      <c r="CU641" s="70">
        <v>30.000257492065401</v>
      </c>
      <c r="CV641" s="70">
        <v>10.310000419616699</v>
      </c>
      <c r="CW641" s="70">
        <v>15.2939796447753</v>
      </c>
      <c r="CX641" s="4"/>
      <c r="CY641" s="69"/>
      <c r="CZ641" s="2" t="b">
        <f>IF($DP$1="YES",IF(RecData[[#This Row],[Power (kW)]]&gt;=$CR$3, TRUE,FALSE),TRUE)</f>
        <v>1</v>
      </c>
      <c r="DA641" s="16">
        <f>MIN(MOD(180-ABS(ABS($DA$1-RecData[Yaw Angle (°)])-180),360),MOD(180-ABS(ABS($DB$1-RecData[Yaw Angle (°)])-180),360))</f>
        <v>22.470330714377837</v>
      </c>
      <c r="DB641" s="2" t="str">
        <f>IF($DP$2="None","None",IF(RecData[[#This Row],[Relative Wind Direction]]&lt;=45,"DW",IF(RecData[[#This Row],[Relative Wind Direction]]&lt;=135,"CW","UW")))</f>
        <v>DW</v>
      </c>
      <c r="DC641" s="61">
        <f>IF($CL641-$CL639&gt;1/24,#REF!,IF(SUM($CQ639:$CQ641)&gt;$DS$1,$DS$5,DC642-1))</f>
        <v>-8</v>
      </c>
      <c r="DD641" s="61">
        <f>IF($CL642-$CL641&gt;1/24,#REF!,IF(SUM($CQ639:$CQ641)&gt;$DS$1,$DS$6,DD640-1))</f>
        <v>-3</v>
      </c>
      <c r="DE641" s="18" t="b">
        <v>0</v>
      </c>
      <c r="DF641" s="2" t="b">
        <f>IF(OR(RecData[[#This Row],[WSpd_Avg '[m/s']]]-RecData[[#This Row],[Wind Speed min]]&gt;=$DF$3,RecData[[#This Row],[Wind Speed max]]-RecData[[#This Row],[WSpd_Avg '[m/s']]]&gt;=$DF$2),TRUE,FALSE)</f>
        <v>0</v>
      </c>
      <c r="DG641" s="2" t="b">
        <f>RecData[[#This Row],[Temperature '[°C']]]&lt;=-20</f>
        <v>0</v>
      </c>
      <c r="DH641" s="18" t="b">
        <f>NOT(OR(MOD(RecData[[#This Row],[TIMESTAMP]],1)&gt;0.91632,MOD(RecData[[#This Row],[TIMESTAMP]],1)&lt;0.208681))</f>
        <v>0</v>
      </c>
      <c r="DI641" s="18" t="b">
        <f>RecData[[#This Row],[Overall (dBA)]]-RecData[[#This Row],[L90]]&gt;=$DS$4</f>
        <v>0</v>
      </c>
      <c r="DJ641" s="18" t="b">
        <f>RecData[[#This Row],[Overall (dBA)]]&gt;$DS$2</f>
        <v>0</v>
      </c>
      <c r="DK641" s="18" t="b">
        <f>RecData[[#This Row],[Overall (dBA)]]&lt;$DS$3</f>
        <v>0</v>
      </c>
      <c r="DL6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1" s="2">
        <f>IF(AND(RecData[[#This Row],[Turbines ON/OFF]] = "OFF", NOT(OR(RecData[[#This Row],[Junk?]]="YES",RecData[[#This Row],[Gust?]],RecData[[#This Row],[Rain?]:[Min SPL Threshold?]]))),1,0)</f>
        <v>0</v>
      </c>
      <c r="DN641" s="16">
        <f>RecData[[#This Row],[dBA Sum]]</f>
        <v>41.223703194335293</v>
      </c>
      <c r="DO641" s="16">
        <f>RecData[[#This Row],[LAF90.0]]</f>
        <v>40.200000000000003</v>
      </c>
      <c r="DP641" s="55">
        <f>IF(AND(RecData[[#This Row],[Useable TON Data?]],RecData[[#This Row],[Turbines ON/OFF]]="ON"),RecData[[#This Row],[dBA Sum]],"")</f>
        <v>41.223703194335293</v>
      </c>
      <c r="DQ641" s="55" t="str">
        <f>IF(AND(RecData[[#This Row],[Useable Background Data?]],RecData[[#This Row],[Turbines ON/OFF]]="OFF"),RecData[[#This Row],[dBA Sum]],"")</f>
        <v/>
      </c>
      <c r="DR641" s="3">
        <f>IF(OR(RecData[[#This Row],[Useable TON Data?]],RecData[[#This Row],[Useable Background Data?]]),ROUND(RecData[[#This Row],[WSpd_Avg '[m/s']]],0),"")</f>
        <v>1</v>
      </c>
      <c r="DS641" s="85">
        <f>(0.00002)^2*(10^(RecData[[#This Row],[Overall (dBA)]]/10))</f>
        <v>5.301885088908271E-6</v>
      </c>
    </row>
    <row r="642" spans="1:123" ht="15" x14ac:dyDescent="0.25">
      <c r="A642" s="3" t="s">
        <v>249</v>
      </c>
      <c r="B642" s="12">
        <v>43270.161805555559</v>
      </c>
      <c r="C642" s="3"/>
      <c r="D642" s="3">
        <v>41.3</v>
      </c>
      <c r="E642" s="3"/>
      <c r="F642" s="3"/>
      <c r="G642" s="3"/>
      <c r="H642" s="3"/>
      <c r="I642" s="3"/>
      <c r="J642" s="3"/>
      <c r="K642" s="3">
        <v>39</v>
      </c>
      <c r="L642" s="3"/>
      <c r="M642" s="3"/>
      <c r="N642" s="3">
        <v>110.5</v>
      </c>
      <c r="O642" s="3"/>
      <c r="P642" s="3"/>
      <c r="Q642" s="3">
        <v>0.41</v>
      </c>
      <c r="R642" s="3">
        <v>0</v>
      </c>
      <c r="S642" s="3">
        <v>0.8</v>
      </c>
      <c r="T642" s="3">
        <v>11.1</v>
      </c>
      <c r="U642" s="3">
        <v>87.4</v>
      </c>
      <c r="V642" s="3">
        <v>973.5</v>
      </c>
      <c r="W642" s="3">
        <v>0</v>
      </c>
      <c r="X642" s="3">
        <v>51.2</v>
      </c>
      <c r="Y642" s="3">
        <v>50.8</v>
      </c>
      <c r="Z642" s="3">
        <v>48.6</v>
      </c>
      <c r="AA642" s="3">
        <v>47</v>
      </c>
      <c r="AB642" s="3">
        <v>44.9</v>
      </c>
      <c r="AC642" s="3">
        <v>40.200000000000003</v>
      </c>
      <c r="AD642" s="3">
        <v>42.4</v>
      </c>
      <c r="AE642" s="3">
        <v>43.2</v>
      </c>
      <c r="AF642" s="3">
        <v>45.7</v>
      </c>
      <c r="AG642" s="3">
        <v>39.700000000000003</v>
      </c>
      <c r="AH642" s="3">
        <v>39.5</v>
      </c>
      <c r="AI642" s="3">
        <v>38.700000000000003</v>
      </c>
      <c r="AJ642" s="3">
        <v>38.200000000000003</v>
      </c>
      <c r="AK642" s="3">
        <v>36</v>
      </c>
      <c r="AL642" s="3">
        <v>34.700000000000003</v>
      </c>
      <c r="AM642" s="3">
        <v>34</v>
      </c>
      <c r="AN642" s="3">
        <v>32.4</v>
      </c>
      <c r="AO642" s="3">
        <v>29.2</v>
      </c>
      <c r="AP642" s="3">
        <v>27</v>
      </c>
      <c r="AQ642" s="3">
        <v>24.5</v>
      </c>
      <c r="AR642" s="3">
        <v>21.8</v>
      </c>
      <c r="AS642" s="3">
        <v>20.399999999999999</v>
      </c>
      <c r="AT642" s="3">
        <v>24.7</v>
      </c>
      <c r="AU642" s="3">
        <v>17.600000000000001</v>
      </c>
      <c r="AV642" s="3">
        <v>15.4</v>
      </c>
      <c r="AW642" s="3">
        <v>14</v>
      </c>
      <c r="AX642" s="3">
        <v>12.2</v>
      </c>
      <c r="AY642" s="3">
        <v>11.1</v>
      </c>
      <c r="AZ642" s="3">
        <v>0</v>
      </c>
      <c r="BA642" s="3">
        <v>0</v>
      </c>
      <c r="BB642" s="3">
        <v>0</v>
      </c>
      <c r="BC642" s="3">
        <v>41.261470739850395</v>
      </c>
      <c r="BD642" s="3">
        <v>51.238529260149605</v>
      </c>
      <c r="BE642" s="3">
        <v>50.838529260149599</v>
      </c>
      <c r="BF642" s="3">
        <v>47.398529260149601</v>
      </c>
      <c r="BG642" s="3">
        <v>46.125195926816261</v>
      </c>
      <c r="BH642" s="3">
        <v>44.165195926816267</v>
      </c>
      <c r="BI642" s="3">
        <v>39.878529260149605</v>
      </c>
      <c r="BJ642" s="3">
        <v>42.87186259348293</v>
      </c>
      <c r="BK642" s="3">
        <v>43.545195926816277</v>
      </c>
      <c r="BL642" s="3">
        <v>45.6185292601496</v>
      </c>
      <c r="BM642" s="3">
        <v>39.75186259348294</v>
      </c>
      <c r="BN642" s="3">
        <v>39.835195926816269</v>
      </c>
      <c r="BO642" s="3">
        <v>38.401862593482932</v>
      </c>
      <c r="BP642" s="3">
        <v>37.6185292601496</v>
      </c>
      <c r="BQ642" s="3">
        <v>35.835195926816269</v>
      </c>
      <c r="BR642" s="3">
        <v>34.86186259348294</v>
      </c>
      <c r="BS642" s="3">
        <v>33.965195926816264</v>
      </c>
      <c r="BT642" s="3">
        <v>32.561862593482928</v>
      </c>
      <c r="BU642" s="3">
        <v>29.328529260149608</v>
      </c>
      <c r="BV642" s="3">
        <v>26.845195926816274</v>
      </c>
      <c r="BW642" s="3">
        <v>24.878529260149605</v>
      </c>
      <c r="BX642" s="3">
        <v>22.098529260149604</v>
      </c>
      <c r="BY642" s="3">
        <v>20.518529260149599</v>
      </c>
      <c r="BZ642" s="3">
        <v>24.948529260149613</v>
      </c>
      <c r="CA642" s="3">
        <v>17.948529260149598</v>
      </c>
      <c r="CB642" s="3">
        <v>15.185195926816263</v>
      </c>
      <c r="CC642" s="3">
        <v>13.998529260149603</v>
      </c>
      <c r="CD642" s="3">
        <v>11.50519592681627</v>
      </c>
      <c r="CE642" s="3">
        <v>10.598529260149604</v>
      </c>
      <c r="CF642" s="3">
        <v>-0.88813740651706752</v>
      </c>
      <c r="CG642" s="3">
        <v>-1.421470739850399</v>
      </c>
      <c r="CH642" s="3">
        <v>-2.4981374065170669</v>
      </c>
      <c r="CI642" s="13">
        <f>[1]!dbasum(RecData[[#This Row],[20]:[2000]],RecData[[#Headers],[20]:[2000]])</f>
        <v>41.003391535819375</v>
      </c>
      <c r="CJ642" s="14">
        <v>8410</v>
      </c>
      <c r="CK642" s="15" t="s">
        <v>249</v>
      </c>
      <c r="CL642" s="15">
        <f>RecData[[#This Row],[Start Time]]</f>
        <v>43270.161805555559</v>
      </c>
      <c r="CM642" s="16">
        <f>RecData[[#This Row],[Wind Speed avg]]</f>
        <v>0.41</v>
      </c>
      <c r="CN642" s="16">
        <f>RecData[[#This Row],[Wind Dir. avg]]</f>
        <v>110.5</v>
      </c>
      <c r="CO642" s="16">
        <f>RecData[[#This Row],[Amb. Humidity]]</f>
        <v>87.4</v>
      </c>
      <c r="CP642" s="16">
        <f>RecData[[#This Row],[Amb. Temperature]]</f>
        <v>11.1</v>
      </c>
      <c r="CQ642" s="17">
        <f>RecData[[#This Row],[Amb. Rain Gauge]]</f>
        <v>0</v>
      </c>
      <c r="CR642" s="4" t="s">
        <v>1</v>
      </c>
      <c r="CS642" s="4" t="s">
        <v>49</v>
      </c>
      <c r="CT642" s="70">
        <v>1615.27905273437</v>
      </c>
      <c r="CU642" s="70">
        <v>30.000257492065401</v>
      </c>
      <c r="CV642" s="70">
        <v>10.310000419616699</v>
      </c>
      <c r="CW642" s="70">
        <v>15.2939796447753</v>
      </c>
      <c r="CX642" s="4"/>
      <c r="CY642" s="69"/>
      <c r="CZ642" s="2" t="b">
        <f>IF($DP$1="YES",IF(RecData[[#This Row],[Power (kW)]]&gt;=$CR$3, TRUE,FALSE),TRUE)</f>
        <v>1</v>
      </c>
      <c r="DA642" s="16">
        <f>MIN(MOD(180-ABS(ABS($DA$1-RecData[Yaw Angle (°)])-180),360),MOD(180-ABS(ABS($DB$1-RecData[Yaw Angle (°)])-180),360))</f>
        <v>22.470330714377837</v>
      </c>
      <c r="DB642" s="2" t="str">
        <f>IF($DP$2="None","None",IF(RecData[[#This Row],[Relative Wind Direction]]&lt;=45,"DW",IF(RecData[[#This Row],[Relative Wind Direction]]&lt;=135,"CW","UW")))</f>
        <v>DW</v>
      </c>
      <c r="DC642" s="61">
        <f>IF($CL642-$CL639&gt;1/24,#REF!,IF(SUM($CQ639:$CQ642)&gt;$DS$1,$DS$5,DC643-1))</f>
        <v>-7</v>
      </c>
      <c r="DD642" s="61">
        <f>IF($CL643-$CL642&gt;1/24,#REF!,IF(SUM($CQ639:$CQ642)&gt;$DS$1,$DS$6,DD641-1))</f>
        <v>-4</v>
      </c>
      <c r="DE642" s="18" t="b">
        <v>0</v>
      </c>
      <c r="DF642" s="2" t="b">
        <f>IF(OR(RecData[[#This Row],[WSpd_Avg '[m/s']]]-RecData[[#This Row],[Wind Speed min]]&gt;=$DF$3,RecData[[#This Row],[Wind Speed max]]-RecData[[#This Row],[WSpd_Avg '[m/s']]]&gt;=$DF$2),TRUE,FALSE)</f>
        <v>0</v>
      </c>
      <c r="DG642" s="2" t="b">
        <f>RecData[[#This Row],[Temperature '[°C']]]&lt;=-20</f>
        <v>0</v>
      </c>
      <c r="DH642" s="18" t="b">
        <f>NOT(OR(MOD(RecData[[#This Row],[TIMESTAMP]],1)&gt;0.91632,MOD(RecData[[#This Row],[TIMESTAMP]],1)&lt;0.208681))</f>
        <v>0</v>
      </c>
      <c r="DI642" s="18" t="b">
        <f>RecData[[#This Row],[Overall (dBA)]]-RecData[[#This Row],[L90]]&gt;=$DS$4</f>
        <v>0</v>
      </c>
      <c r="DJ642" s="18" t="b">
        <f>RecData[[#This Row],[Overall (dBA)]]&gt;$DS$2</f>
        <v>0</v>
      </c>
      <c r="DK642" s="18" t="b">
        <f>RecData[[#This Row],[Overall (dBA)]]&lt;$DS$3</f>
        <v>0</v>
      </c>
      <c r="DL6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2" s="2">
        <f>IF(AND(RecData[[#This Row],[Turbines ON/OFF]] = "OFF", NOT(OR(RecData[[#This Row],[Junk?]]="YES",RecData[[#This Row],[Gust?]],RecData[[#This Row],[Rain?]:[Min SPL Threshold?]]))),1,0)</f>
        <v>0</v>
      </c>
      <c r="DN642" s="16">
        <f>RecData[[#This Row],[dBA Sum]]</f>
        <v>41.003391535819375</v>
      </c>
      <c r="DO642" s="16">
        <f>RecData[[#This Row],[LAF90.0]]</f>
        <v>39</v>
      </c>
      <c r="DP642" s="55">
        <f>IF(AND(RecData[[#This Row],[Useable TON Data?]],RecData[[#This Row],[Turbines ON/OFF]]="ON"),RecData[[#This Row],[dBA Sum]],"")</f>
        <v>41.003391535819375</v>
      </c>
      <c r="DQ642" s="55" t="str">
        <f>IF(AND(RecData[[#This Row],[Useable Background Data?]],RecData[[#This Row],[Turbines ON/OFF]]="OFF"),RecData[[#This Row],[dBA Sum]],"")</f>
        <v/>
      </c>
      <c r="DR642" s="3">
        <f>IF(OR(RecData[[#This Row],[Useable TON Data?]],RecData[[#This Row],[Useable Background Data?]]),ROUND(RecData[[#This Row],[WSpd_Avg '[m/s']]],0),"")</f>
        <v>0</v>
      </c>
      <c r="DS642" s="85">
        <f>(0.00002)^2*(10^(RecData[[#This Row],[Overall (dBA)]]/10))</f>
        <v>5.0396357134886155E-6</v>
      </c>
    </row>
    <row r="643" spans="1:123" ht="15" x14ac:dyDescent="0.25">
      <c r="A643" s="3" t="s">
        <v>249</v>
      </c>
      <c r="B643" s="12">
        <v>43270.162499999999</v>
      </c>
      <c r="C643" s="3"/>
      <c r="D643" s="3">
        <v>40</v>
      </c>
      <c r="E643" s="3"/>
      <c r="F643" s="3"/>
      <c r="G643" s="3"/>
      <c r="H643" s="3"/>
      <c r="I643" s="3"/>
      <c r="J643" s="3"/>
      <c r="K643" s="3">
        <v>39</v>
      </c>
      <c r="L643" s="3"/>
      <c r="M643" s="3"/>
      <c r="N643" s="3">
        <v>69.2</v>
      </c>
      <c r="O643" s="3"/>
      <c r="P643" s="3"/>
      <c r="Q643" s="3">
        <v>0.47</v>
      </c>
      <c r="R643" s="3">
        <v>0.2</v>
      </c>
      <c r="S643" s="3">
        <v>0.8</v>
      </c>
      <c r="T643" s="3">
        <v>11</v>
      </c>
      <c r="U643" s="3">
        <v>87.5</v>
      </c>
      <c r="V643" s="3">
        <v>973.5</v>
      </c>
      <c r="W643" s="3">
        <v>0</v>
      </c>
      <c r="X643" s="3">
        <v>48.5</v>
      </c>
      <c r="Y643" s="3">
        <v>48</v>
      </c>
      <c r="Z643" s="3">
        <v>47</v>
      </c>
      <c r="AA643" s="3">
        <v>42.8</v>
      </c>
      <c r="AB643" s="3">
        <v>38.200000000000003</v>
      </c>
      <c r="AC643" s="3">
        <v>37.1</v>
      </c>
      <c r="AD643" s="3">
        <v>40.6</v>
      </c>
      <c r="AE643" s="3">
        <v>42.1</v>
      </c>
      <c r="AF643" s="3">
        <v>44.8</v>
      </c>
      <c r="AG643" s="3">
        <v>38.700000000000003</v>
      </c>
      <c r="AH643" s="3">
        <v>38.200000000000003</v>
      </c>
      <c r="AI643" s="3">
        <v>37.5</v>
      </c>
      <c r="AJ643" s="3">
        <v>36.9</v>
      </c>
      <c r="AK643" s="3">
        <v>34.700000000000003</v>
      </c>
      <c r="AL643" s="3">
        <v>32.9</v>
      </c>
      <c r="AM643" s="3">
        <v>32.9</v>
      </c>
      <c r="AN643" s="3">
        <v>31.5</v>
      </c>
      <c r="AO643" s="3">
        <v>28.2</v>
      </c>
      <c r="AP643" s="3">
        <v>26.1</v>
      </c>
      <c r="AQ643" s="3">
        <v>23.5</v>
      </c>
      <c r="AR643" s="3">
        <v>19.5</v>
      </c>
      <c r="AS643" s="3">
        <v>15.7</v>
      </c>
      <c r="AT643" s="3">
        <v>24.3</v>
      </c>
      <c r="AU643" s="3">
        <v>9.4</v>
      </c>
      <c r="AV643" s="3">
        <v>8.4</v>
      </c>
      <c r="AW643" s="3">
        <v>8.8000000000000007</v>
      </c>
      <c r="AX643" s="3">
        <v>9.1</v>
      </c>
      <c r="AY643" s="3">
        <v>9.3000000000000007</v>
      </c>
      <c r="AZ643" s="3">
        <v>0</v>
      </c>
      <c r="BA643" s="3">
        <v>0</v>
      </c>
      <c r="BB643" s="3">
        <v>0</v>
      </c>
      <c r="BC643" s="3">
        <v>40.016235145689016</v>
      </c>
      <c r="BD643" s="3">
        <v>48.483764854310984</v>
      </c>
      <c r="BE643" s="3">
        <v>47.983764854310984</v>
      </c>
      <c r="BF643" s="3">
        <v>45.743764854310974</v>
      </c>
      <c r="BG643" s="3">
        <v>41.87043152097764</v>
      </c>
      <c r="BH643" s="3">
        <v>37.41043152097766</v>
      </c>
      <c r="BI643" s="3">
        <v>36.723764854310993</v>
      </c>
      <c r="BJ643" s="3">
        <v>41.017098187644315</v>
      </c>
      <c r="BK643" s="3">
        <v>42.39043152097765</v>
      </c>
      <c r="BL643" s="3">
        <v>44.66376485431099</v>
      </c>
      <c r="BM643" s="3">
        <v>38.697098187644322</v>
      </c>
      <c r="BN643" s="3">
        <v>38.480431520977653</v>
      </c>
      <c r="BO643" s="3">
        <v>37.14709818764431</v>
      </c>
      <c r="BP643" s="3">
        <v>36.263764854310985</v>
      </c>
      <c r="BQ643" s="3">
        <v>34.480431520977653</v>
      </c>
      <c r="BR643" s="3">
        <v>33.007098187644324</v>
      </c>
      <c r="BS643" s="3">
        <v>32.810431520977652</v>
      </c>
      <c r="BT643" s="3">
        <v>31.607098187644318</v>
      </c>
      <c r="BU643" s="3">
        <v>28.27376485431099</v>
      </c>
      <c r="BV643" s="3">
        <v>25.89043152097765</v>
      </c>
      <c r="BW643" s="3">
        <v>23.823764854310987</v>
      </c>
      <c r="BX643" s="3">
        <v>19.743764854310989</v>
      </c>
      <c r="BY643" s="3">
        <v>15.763764854310985</v>
      </c>
      <c r="BZ643" s="3">
        <v>24.493764854310989</v>
      </c>
      <c r="CA643" s="3">
        <v>9.6937648543109773</v>
      </c>
      <c r="CB643" s="3">
        <v>8.1304315209776448</v>
      </c>
      <c r="CC643" s="3">
        <v>8.7437648543109816</v>
      </c>
      <c r="CD643" s="3">
        <v>8.3504315209776578</v>
      </c>
      <c r="CE643" s="3">
        <v>8.7437648543109816</v>
      </c>
      <c r="CF643" s="3">
        <v>-0.94290181235568582</v>
      </c>
      <c r="CG643" s="3">
        <v>-1.4762351456890173</v>
      </c>
      <c r="CH643" s="3">
        <v>-2.5529018123556853</v>
      </c>
      <c r="CI643" s="13">
        <f>[1]!dbasum(RecData[[#This Row],[20]:[2000]],RecData[[#Headers],[20]:[2000]])</f>
        <v>39.739346947858756</v>
      </c>
      <c r="CJ643" s="14">
        <v>8411</v>
      </c>
      <c r="CK643" s="15" t="s">
        <v>249</v>
      </c>
      <c r="CL643" s="15">
        <f>RecData[[#This Row],[Start Time]]</f>
        <v>43270.162499999999</v>
      </c>
      <c r="CM643" s="16">
        <f>RecData[[#This Row],[Wind Speed avg]]</f>
        <v>0.47</v>
      </c>
      <c r="CN643" s="16">
        <f>RecData[[#This Row],[Wind Dir. avg]]</f>
        <v>69.2</v>
      </c>
      <c r="CO643" s="16">
        <f>RecData[[#This Row],[Amb. Humidity]]</f>
        <v>87.5</v>
      </c>
      <c r="CP643" s="16">
        <f>RecData[[#This Row],[Amb. Temperature]]</f>
        <v>11</v>
      </c>
      <c r="CQ643" s="17">
        <f>RecData[[#This Row],[Amb. Rain Gauge]]</f>
        <v>0</v>
      </c>
      <c r="CR643" s="4" t="s">
        <v>1</v>
      </c>
      <c r="CS643" s="4" t="s">
        <v>49</v>
      </c>
      <c r="CT643" s="70">
        <v>1615.27905273437</v>
      </c>
      <c r="CU643" s="70">
        <v>30.000257492065401</v>
      </c>
      <c r="CV643" s="70">
        <v>10.310000419616699</v>
      </c>
      <c r="CW643" s="70">
        <v>15.2939796447753</v>
      </c>
      <c r="CX643" s="4"/>
      <c r="CY643" s="69"/>
      <c r="CZ643" s="2" t="b">
        <f>IF($DP$1="YES",IF(RecData[[#This Row],[Power (kW)]]&gt;=$CR$3, TRUE,FALSE),TRUE)</f>
        <v>1</v>
      </c>
      <c r="DA643" s="16">
        <f>MIN(MOD(180-ABS(ABS($DA$1-RecData[Yaw Angle (°)])-180),360),MOD(180-ABS(ABS($DB$1-RecData[Yaw Angle (°)])-180),360))</f>
        <v>22.470330714377837</v>
      </c>
      <c r="DB643" s="2" t="str">
        <f>IF($DP$2="None","None",IF(RecData[[#This Row],[Relative Wind Direction]]&lt;=45,"DW",IF(RecData[[#This Row],[Relative Wind Direction]]&lt;=135,"CW","UW")))</f>
        <v>DW</v>
      </c>
      <c r="DC643" s="61">
        <f>IF($CL643-$CL639&gt;1/24,#REF!,IF(SUM($CQ639:$CQ643)&gt;$DS$1,$DS$5,DC644-1))</f>
        <v>-6</v>
      </c>
      <c r="DD643" s="61">
        <f>IF($CL644-$CL643&gt;1/24,#REF!,IF(SUM($CQ639:$CQ643)&gt;$DS$1,$DS$6,DD642-1))</f>
        <v>-5</v>
      </c>
      <c r="DE643" s="18" t="b">
        <v>0</v>
      </c>
      <c r="DF643" s="2" t="b">
        <f>IF(OR(RecData[[#This Row],[WSpd_Avg '[m/s']]]-RecData[[#This Row],[Wind Speed min]]&gt;=$DF$3,RecData[[#This Row],[Wind Speed max]]-RecData[[#This Row],[WSpd_Avg '[m/s']]]&gt;=$DF$2),TRUE,FALSE)</f>
        <v>0</v>
      </c>
      <c r="DG643" s="2" t="b">
        <f>RecData[[#This Row],[Temperature '[°C']]]&lt;=-20</f>
        <v>0</v>
      </c>
      <c r="DH643" s="18" t="b">
        <f>NOT(OR(MOD(RecData[[#This Row],[TIMESTAMP]],1)&gt;0.91632,MOD(RecData[[#This Row],[TIMESTAMP]],1)&lt;0.208681))</f>
        <v>0</v>
      </c>
      <c r="DI643" s="18" t="b">
        <f>RecData[[#This Row],[Overall (dBA)]]-RecData[[#This Row],[L90]]&gt;=$DS$4</f>
        <v>0</v>
      </c>
      <c r="DJ643" s="18" t="b">
        <f>RecData[[#This Row],[Overall (dBA)]]&gt;$DS$2</f>
        <v>0</v>
      </c>
      <c r="DK643" s="18" t="b">
        <f>RecData[[#This Row],[Overall (dBA)]]&lt;$DS$3</f>
        <v>0</v>
      </c>
      <c r="DL6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3" s="2">
        <f>IF(AND(RecData[[#This Row],[Turbines ON/OFF]] = "OFF", NOT(OR(RecData[[#This Row],[Junk?]]="YES",RecData[[#This Row],[Gust?]],RecData[[#This Row],[Rain?]:[Min SPL Threshold?]]))),1,0)</f>
        <v>0</v>
      </c>
      <c r="DN643" s="16">
        <f>RecData[[#This Row],[dBA Sum]]</f>
        <v>39.739346947858756</v>
      </c>
      <c r="DO643" s="16">
        <f>RecData[[#This Row],[LAF90.0]]</f>
        <v>39</v>
      </c>
      <c r="DP643" s="55">
        <f>IF(AND(RecData[[#This Row],[Useable TON Data?]],RecData[[#This Row],[Turbines ON/OFF]]="ON"),RecData[[#This Row],[dBA Sum]],"")</f>
        <v>39.739346947858756</v>
      </c>
      <c r="DQ643" s="55" t="str">
        <f>IF(AND(RecData[[#This Row],[Useable Background Data?]],RecData[[#This Row],[Turbines ON/OFF]]="OFF"),RecData[[#This Row],[dBA Sum]],"")</f>
        <v/>
      </c>
      <c r="DR643" s="3">
        <f>IF(OR(RecData[[#This Row],[Useable TON Data?]],RecData[[#This Row],[Useable Background Data?]]),ROUND(RecData[[#This Row],[WSpd_Avg '[m/s']]],0),"")</f>
        <v>0</v>
      </c>
      <c r="DS643" s="85">
        <f>(0.00002)^2*(10^(RecData[[#This Row],[Overall (dBA)]]/10))</f>
        <v>3.7669918978682895E-6</v>
      </c>
    </row>
    <row r="644" spans="1:123" ht="15" x14ac:dyDescent="0.25">
      <c r="A644" s="3" t="s">
        <v>249</v>
      </c>
      <c r="B644" s="12">
        <v>43270.163194444445</v>
      </c>
      <c r="C644" s="3"/>
      <c r="D644" s="3">
        <v>46</v>
      </c>
      <c r="E644" s="3"/>
      <c r="F644" s="3"/>
      <c r="G644" s="3"/>
      <c r="H644" s="3"/>
      <c r="I644" s="3"/>
      <c r="J644" s="3"/>
      <c r="K644" s="3">
        <v>40.700000000000003</v>
      </c>
      <c r="L644" s="3"/>
      <c r="M644" s="3"/>
      <c r="N644" s="3">
        <v>75.400000000000006</v>
      </c>
      <c r="O644" s="3"/>
      <c r="P644" s="3"/>
      <c r="Q644" s="3">
        <v>0.57999999999999996</v>
      </c>
      <c r="R644" s="3">
        <v>0.4</v>
      </c>
      <c r="S644" s="3">
        <v>0.8</v>
      </c>
      <c r="T644" s="3">
        <v>11</v>
      </c>
      <c r="U644" s="3">
        <v>88</v>
      </c>
      <c r="V644" s="3">
        <v>973.5</v>
      </c>
      <c r="W644" s="3">
        <v>0</v>
      </c>
      <c r="X644" s="3">
        <v>49.3</v>
      </c>
      <c r="Y644" s="3">
        <v>48.5</v>
      </c>
      <c r="Z644" s="3">
        <v>47.7</v>
      </c>
      <c r="AA644" s="3">
        <v>45.3</v>
      </c>
      <c r="AB644" s="3">
        <v>43.7</v>
      </c>
      <c r="AC644" s="3">
        <v>43.3</v>
      </c>
      <c r="AD644" s="3">
        <v>42.6</v>
      </c>
      <c r="AE644" s="3">
        <v>44.3</v>
      </c>
      <c r="AF644" s="3">
        <v>47.7</v>
      </c>
      <c r="AG644" s="3">
        <v>43</v>
      </c>
      <c r="AH644" s="3">
        <v>47.3</v>
      </c>
      <c r="AI644" s="3">
        <v>44.6</v>
      </c>
      <c r="AJ644" s="3">
        <v>41.9</v>
      </c>
      <c r="AK644" s="3">
        <v>41.7</v>
      </c>
      <c r="AL644" s="3">
        <v>39.9</v>
      </c>
      <c r="AM644" s="3">
        <v>37.200000000000003</v>
      </c>
      <c r="AN644" s="3">
        <v>37.200000000000003</v>
      </c>
      <c r="AO644" s="3">
        <v>35.6</v>
      </c>
      <c r="AP644" s="3">
        <v>30.9</v>
      </c>
      <c r="AQ644" s="3">
        <v>28.3</v>
      </c>
      <c r="AR644" s="3">
        <v>25</v>
      </c>
      <c r="AS644" s="3">
        <v>23.6</v>
      </c>
      <c r="AT644" s="3">
        <v>27.9</v>
      </c>
      <c r="AU644" s="3">
        <v>20.6</v>
      </c>
      <c r="AV644" s="3">
        <v>18</v>
      </c>
      <c r="AW644" s="3">
        <v>17</v>
      </c>
      <c r="AX644" s="3">
        <v>12.5</v>
      </c>
      <c r="AY644" s="3">
        <v>11.2</v>
      </c>
      <c r="AZ644" s="3">
        <v>0</v>
      </c>
      <c r="BA644" s="3">
        <v>0</v>
      </c>
      <c r="BB644" s="3">
        <v>0</v>
      </c>
      <c r="BC644" s="3">
        <v>45.971287300268521</v>
      </c>
      <c r="BD644" s="3">
        <v>49.328712699731476</v>
      </c>
      <c r="BE644" s="3">
        <v>48.528712699731479</v>
      </c>
      <c r="BF644" s="3">
        <v>46.488712699731487</v>
      </c>
      <c r="BG644" s="3">
        <v>44.415379366398135</v>
      </c>
      <c r="BH644" s="3">
        <v>42.955379366398155</v>
      </c>
      <c r="BI644" s="3">
        <v>42.968712699731476</v>
      </c>
      <c r="BJ644" s="3">
        <v>43.06204603306481</v>
      </c>
      <c r="BK644" s="3">
        <v>44.635379366398134</v>
      </c>
      <c r="BL644" s="3">
        <v>47.608712699731491</v>
      </c>
      <c r="BM644" s="3">
        <v>43.042046033064814</v>
      </c>
      <c r="BN644" s="3">
        <v>47.625379366398143</v>
      </c>
      <c r="BO644" s="3">
        <v>44.292046033064814</v>
      </c>
      <c r="BP644" s="3">
        <v>41.30871269973148</v>
      </c>
      <c r="BQ644" s="3">
        <v>41.525379366398148</v>
      </c>
      <c r="BR644" s="3">
        <v>40.052046033064819</v>
      </c>
      <c r="BS644" s="3">
        <v>37.155379366398144</v>
      </c>
      <c r="BT644" s="3">
        <v>37.352046033064816</v>
      </c>
      <c r="BU644" s="3">
        <v>35.718712699731476</v>
      </c>
      <c r="BV644" s="3">
        <v>30.735379366398142</v>
      </c>
      <c r="BW644" s="3">
        <v>28.668712699731479</v>
      </c>
      <c r="BX644" s="3">
        <v>25.288712699731484</v>
      </c>
      <c r="BY644" s="3">
        <v>23.708712699731485</v>
      </c>
      <c r="BZ644" s="3">
        <v>28.138712699731478</v>
      </c>
      <c r="CA644" s="3">
        <v>20.938712699731475</v>
      </c>
      <c r="CB644" s="3">
        <v>17.775379366398148</v>
      </c>
      <c r="CC644" s="3">
        <v>16.988712699731472</v>
      </c>
      <c r="CD644" s="3">
        <v>11.795379366398151</v>
      </c>
      <c r="CE644" s="3">
        <v>10.688712699731475</v>
      </c>
      <c r="CF644" s="3">
        <v>-0.89795396693519081</v>
      </c>
      <c r="CG644" s="3">
        <v>-1.4312873002685222</v>
      </c>
      <c r="CH644" s="3">
        <v>-2.5079539669351902</v>
      </c>
      <c r="CI644" s="13">
        <f>[1]!dbasum(RecData[[#This Row],[20]:[2000]],RecData[[#Headers],[20]:[2000]])</f>
        <v>45.802930902057675</v>
      </c>
      <c r="CJ644" s="14">
        <v>8412</v>
      </c>
      <c r="CK644" s="15" t="s">
        <v>249</v>
      </c>
      <c r="CL644" s="15">
        <f>RecData[[#This Row],[Start Time]]</f>
        <v>43270.163194444445</v>
      </c>
      <c r="CM644" s="16">
        <f>RecData[[#This Row],[Wind Speed avg]]</f>
        <v>0.57999999999999996</v>
      </c>
      <c r="CN644" s="16">
        <f>RecData[[#This Row],[Wind Dir. avg]]</f>
        <v>75.400000000000006</v>
      </c>
      <c r="CO644" s="16">
        <f>RecData[[#This Row],[Amb. Humidity]]</f>
        <v>88</v>
      </c>
      <c r="CP644" s="16">
        <f>RecData[[#This Row],[Amb. Temperature]]</f>
        <v>11</v>
      </c>
      <c r="CQ644" s="17">
        <f>RecData[[#This Row],[Amb. Rain Gauge]]</f>
        <v>0</v>
      </c>
      <c r="CR644" s="4" t="s">
        <v>1</v>
      </c>
      <c r="CS644" s="4" t="s">
        <v>49</v>
      </c>
      <c r="CT644" s="70">
        <v>1615.27905273437</v>
      </c>
      <c r="CU644" s="70">
        <v>30.000257492065401</v>
      </c>
      <c r="CV644" s="70">
        <v>10.310000419616699</v>
      </c>
      <c r="CW644" s="70">
        <v>15.2939796447753</v>
      </c>
      <c r="CX644" s="4"/>
      <c r="CY644" s="69"/>
      <c r="CZ644" s="2" t="b">
        <f>IF($DP$1="YES",IF(RecData[[#This Row],[Power (kW)]]&gt;=$CR$3, TRUE,FALSE),TRUE)</f>
        <v>1</v>
      </c>
      <c r="DA644" s="16">
        <f>MIN(MOD(180-ABS(ABS($DA$1-RecData[Yaw Angle (°)])-180),360),MOD(180-ABS(ABS($DB$1-RecData[Yaw Angle (°)])-180),360))</f>
        <v>22.470330714377837</v>
      </c>
      <c r="DB644" s="2" t="str">
        <f>IF($DP$2="None","None",IF(RecData[[#This Row],[Relative Wind Direction]]&lt;=45,"DW",IF(RecData[[#This Row],[Relative Wind Direction]]&lt;=135,"CW","UW")))</f>
        <v>DW</v>
      </c>
      <c r="DC644" s="61">
        <f>IF($CL644-$CL640&gt;1/24,#REF!,IF(SUM($CQ640:$CQ644)&gt;$DS$1,$DS$5,DC645-1))</f>
        <v>-5</v>
      </c>
      <c r="DD644" s="61">
        <f>IF($CL645-$CL644&gt;1/24,#REF!,IF(SUM($CQ640:$CQ644)&gt;$DS$1,$DS$6,DD643-1))</f>
        <v>-6</v>
      </c>
      <c r="DE644" s="18" t="b">
        <v>0</v>
      </c>
      <c r="DF644" s="2" t="b">
        <f>IF(OR(RecData[[#This Row],[WSpd_Avg '[m/s']]]-RecData[[#This Row],[Wind Speed min]]&gt;=$DF$3,RecData[[#This Row],[Wind Speed max]]-RecData[[#This Row],[WSpd_Avg '[m/s']]]&gt;=$DF$2),TRUE,FALSE)</f>
        <v>0</v>
      </c>
      <c r="DG644" s="2" t="b">
        <f>RecData[[#This Row],[Temperature '[°C']]]&lt;=-20</f>
        <v>0</v>
      </c>
      <c r="DH644" s="18" t="b">
        <f>NOT(OR(MOD(RecData[[#This Row],[TIMESTAMP]],1)&gt;0.91632,MOD(RecData[[#This Row],[TIMESTAMP]],1)&lt;0.208681))</f>
        <v>0</v>
      </c>
      <c r="DI644" s="18" t="b">
        <f>RecData[[#This Row],[Overall (dBA)]]-RecData[[#This Row],[L90]]&gt;=$DS$4</f>
        <v>0</v>
      </c>
      <c r="DJ644" s="18" t="b">
        <f>RecData[[#This Row],[Overall (dBA)]]&gt;$DS$2</f>
        <v>0</v>
      </c>
      <c r="DK644" s="18" t="b">
        <f>RecData[[#This Row],[Overall (dBA)]]&lt;$DS$3</f>
        <v>0</v>
      </c>
      <c r="DL6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4" s="2">
        <f>IF(AND(RecData[[#This Row],[Turbines ON/OFF]] = "OFF", NOT(OR(RecData[[#This Row],[Junk?]]="YES",RecData[[#This Row],[Gust?]],RecData[[#This Row],[Rain?]:[Min SPL Threshold?]]))),1,0)</f>
        <v>0</v>
      </c>
      <c r="DN644" s="16">
        <f>RecData[[#This Row],[dBA Sum]]</f>
        <v>45.802930902057675</v>
      </c>
      <c r="DO644" s="16">
        <f>RecData[[#This Row],[LAF90.0]]</f>
        <v>40.700000000000003</v>
      </c>
      <c r="DP644" s="55">
        <f>IF(AND(RecData[[#This Row],[Useable TON Data?]],RecData[[#This Row],[Turbines ON/OFF]]="ON"),RecData[[#This Row],[dBA Sum]],"")</f>
        <v>45.802930902057675</v>
      </c>
      <c r="DQ644" s="55" t="str">
        <f>IF(AND(RecData[[#This Row],[Useable Background Data?]],RecData[[#This Row],[Turbines ON/OFF]]="OFF"),RecData[[#This Row],[dBA Sum]],"")</f>
        <v/>
      </c>
      <c r="DR644" s="3">
        <f>IF(OR(RecData[[#This Row],[Useable TON Data?]],RecData[[#This Row],[Useable Background Data?]]),ROUND(RecData[[#This Row],[WSpd_Avg '[m/s']]],0),"")</f>
        <v>1</v>
      </c>
      <c r="DS644" s="85">
        <f>(0.00002)^2*(10^(RecData[[#This Row],[Overall (dBA)]]/10))</f>
        <v>1.5217842379480542E-5</v>
      </c>
    </row>
    <row r="645" spans="1:123" ht="15" x14ac:dyDescent="0.25">
      <c r="A645" s="3" t="s">
        <v>249</v>
      </c>
      <c r="B645" s="12">
        <v>43270.163888888892</v>
      </c>
      <c r="C645" s="3"/>
      <c r="D645" s="3">
        <v>43.9</v>
      </c>
      <c r="E645" s="3"/>
      <c r="F645" s="3"/>
      <c r="G645" s="3"/>
      <c r="H645" s="3"/>
      <c r="I645" s="3"/>
      <c r="J645" s="3"/>
      <c r="K645" s="3">
        <v>43.1</v>
      </c>
      <c r="L645" s="3"/>
      <c r="M645" s="3"/>
      <c r="N645" s="3">
        <v>106.9</v>
      </c>
      <c r="O645" s="3"/>
      <c r="P645" s="3"/>
      <c r="Q645" s="3">
        <v>0.68</v>
      </c>
      <c r="R645" s="3">
        <v>0.5</v>
      </c>
      <c r="S645" s="3">
        <v>0.8</v>
      </c>
      <c r="T645" s="3">
        <v>10.9</v>
      </c>
      <c r="U645" s="3">
        <v>88.2</v>
      </c>
      <c r="V645" s="3">
        <v>973.5</v>
      </c>
      <c r="W645" s="3">
        <v>0</v>
      </c>
      <c r="X645" s="3">
        <v>49</v>
      </c>
      <c r="Y645" s="3">
        <v>48.4</v>
      </c>
      <c r="Z645" s="3">
        <v>47.3</v>
      </c>
      <c r="AA645" s="3">
        <v>48.1</v>
      </c>
      <c r="AB645" s="3">
        <v>39.700000000000003</v>
      </c>
      <c r="AC645" s="3">
        <v>37.5</v>
      </c>
      <c r="AD645" s="3">
        <v>43.1</v>
      </c>
      <c r="AE645" s="3">
        <v>43.1</v>
      </c>
      <c r="AF645" s="3">
        <v>46.7</v>
      </c>
      <c r="AG645" s="3">
        <v>42.8</v>
      </c>
      <c r="AH645" s="3">
        <v>43.6</v>
      </c>
      <c r="AI645" s="3">
        <v>43</v>
      </c>
      <c r="AJ645" s="3">
        <v>39.9</v>
      </c>
      <c r="AK645" s="3">
        <v>39.799999999999997</v>
      </c>
      <c r="AL645" s="3">
        <v>36.799999999999997</v>
      </c>
      <c r="AM645" s="3">
        <v>36.4</v>
      </c>
      <c r="AN645" s="3">
        <v>35.1</v>
      </c>
      <c r="AO645" s="3">
        <v>32.799999999999997</v>
      </c>
      <c r="AP645" s="3">
        <v>28.9</v>
      </c>
      <c r="AQ645" s="3">
        <v>27.3</v>
      </c>
      <c r="AR645" s="3">
        <v>24.6</v>
      </c>
      <c r="AS645" s="3">
        <v>19.5</v>
      </c>
      <c r="AT645" s="3">
        <v>24.4</v>
      </c>
      <c r="AU645" s="3">
        <v>15.7</v>
      </c>
      <c r="AV645" s="3">
        <v>13.5</v>
      </c>
      <c r="AW645" s="3">
        <v>12.8</v>
      </c>
      <c r="AX645" s="3">
        <v>10.3</v>
      </c>
      <c r="AY645" s="3">
        <v>10</v>
      </c>
      <c r="AZ645" s="3">
        <v>0</v>
      </c>
      <c r="BA645" s="3">
        <v>0</v>
      </c>
      <c r="BB645" s="3">
        <v>0</v>
      </c>
      <c r="BC645" s="3">
        <v>43.895304866305921</v>
      </c>
      <c r="BD645" s="3">
        <v>49.004695133694085</v>
      </c>
      <c r="BE645" s="3">
        <v>48.404695133694077</v>
      </c>
      <c r="BF645" s="3">
        <v>46.064695133694073</v>
      </c>
      <c r="BG645" s="3">
        <v>47.191361800360752</v>
      </c>
      <c r="BH645" s="3">
        <v>38.931361800360747</v>
      </c>
      <c r="BI645" s="3">
        <v>37.144695133694071</v>
      </c>
      <c r="BJ645" s="3">
        <v>43.538028467027416</v>
      </c>
      <c r="BK645" s="3">
        <v>43.411361800360751</v>
      </c>
      <c r="BL645" s="3">
        <v>46.584695133694083</v>
      </c>
      <c r="BM645" s="3">
        <v>42.818028467027418</v>
      </c>
      <c r="BN645" s="3">
        <v>43.901361800360746</v>
      </c>
      <c r="BO645" s="3">
        <v>42.668028467027412</v>
      </c>
      <c r="BP645" s="3">
        <v>39.284695133694086</v>
      </c>
      <c r="BQ645" s="3">
        <v>39.601361800360735</v>
      </c>
      <c r="BR645" s="3">
        <v>36.928028467027403</v>
      </c>
      <c r="BS645" s="3">
        <v>36.331361800360739</v>
      </c>
      <c r="BT645" s="3">
        <v>35.228028467027414</v>
      </c>
      <c r="BU645" s="3">
        <v>32.894695133694071</v>
      </c>
      <c r="BV645" s="3">
        <v>28.711361800360748</v>
      </c>
      <c r="BW645" s="3">
        <v>27.644695133694086</v>
      </c>
      <c r="BX645" s="3">
        <v>24.864695133694084</v>
      </c>
      <c r="BY645" s="3">
        <v>19.584695133694076</v>
      </c>
      <c r="BZ645" s="3">
        <v>24.614695133694084</v>
      </c>
      <c r="CA645" s="3">
        <v>16.014695133694069</v>
      </c>
      <c r="CB645" s="3">
        <v>13.251361800360741</v>
      </c>
      <c r="CC645" s="3">
        <v>12.764695133694076</v>
      </c>
      <c r="CD645" s="3">
        <v>9.5713618003607479</v>
      </c>
      <c r="CE645" s="3">
        <v>9.4646951336940788</v>
      </c>
      <c r="CF645" s="3">
        <v>-0.92197153297259149</v>
      </c>
      <c r="CG645" s="3">
        <v>-1.4553048663059229</v>
      </c>
      <c r="CH645" s="3">
        <v>-2.5319715329725909</v>
      </c>
      <c r="CI645" s="13">
        <f>[1]!dbasum(RecData[[#This Row],[20]:[2000]],RecData[[#Headers],[20]:[2000]])</f>
        <v>43.73541088656885</v>
      </c>
      <c r="CJ645" s="14">
        <v>8413</v>
      </c>
      <c r="CK645" s="15" t="s">
        <v>249</v>
      </c>
      <c r="CL645" s="15">
        <f>RecData[[#This Row],[Start Time]]</f>
        <v>43270.163888888892</v>
      </c>
      <c r="CM645" s="16">
        <f>RecData[[#This Row],[Wind Speed avg]]</f>
        <v>0.68</v>
      </c>
      <c r="CN645" s="16">
        <f>RecData[[#This Row],[Wind Dir. avg]]</f>
        <v>106.9</v>
      </c>
      <c r="CO645" s="16">
        <f>RecData[[#This Row],[Amb. Humidity]]</f>
        <v>88.2</v>
      </c>
      <c r="CP645" s="16">
        <f>RecData[[#This Row],[Amb. Temperature]]</f>
        <v>10.9</v>
      </c>
      <c r="CQ645" s="17">
        <f>RecData[[#This Row],[Amb. Rain Gauge]]</f>
        <v>0</v>
      </c>
      <c r="CR645" s="4" t="s">
        <v>1</v>
      </c>
      <c r="CS645" s="4" t="s">
        <v>49</v>
      </c>
      <c r="CT645" s="70">
        <v>1615.27905273437</v>
      </c>
      <c r="CU645" s="70">
        <v>30.000257492065401</v>
      </c>
      <c r="CV645" s="70">
        <v>10.310000419616699</v>
      </c>
      <c r="CW645" s="70">
        <v>15.2939796447753</v>
      </c>
      <c r="CX645" s="4"/>
      <c r="CY645" s="69"/>
      <c r="CZ645" s="2" t="b">
        <f>IF($DP$1="YES",IF(RecData[[#This Row],[Power (kW)]]&gt;=$CR$3, TRUE,FALSE),TRUE)</f>
        <v>1</v>
      </c>
      <c r="DA645" s="16">
        <f>MIN(MOD(180-ABS(ABS($DA$1-RecData[Yaw Angle (°)])-180),360),MOD(180-ABS(ABS($DB$1-RecData[Yaw Angle (°)])-180),360))</f>
        <v>22.470330714377837</v>
      </c>
      <c r="DB645" s="2" t="str">
        <f>IF($DP$2="None","None",IF(RecData[[#This Row],[Relative Wind Direction]]&lt;=45,"DW",IF(RecData[[#This Row],[Relative Wind Direction]]&lt;=135,"CW","UW")))</f>
        <v>DW</v>
      </c>
      <c r="DC645" s="61">
        <f>IF($CL645-$CL641&gt;1/24,#REF!,IF(SUM($CQ641:$CQ645)&gt;$DS$1,$DS$5,DC646-1))</f>
        <v>-4</v>
      </c>
      <c r="DD645" s="61">
        <f>IF($CL646-$CL645&gt;1/24,#REF!,IF(SUM($CQ641:$CQ645)&gt;$DS$1,$DS$6,DD644-1))</f>
        <v>-7</v>
      </c>
      <c r="DE645" s="18" t="b">
        <v>0</v>
      </c>
      <c r="DF645" s="2" t="b">
        <f>IF(OR(RecData[[#This Row],[WSpd_Avg '[m/s']]]-RecData[[#This Row],[Wind Speed min]]&gt;=$DF$3,RecData[[#This Row],[Wind Speed max]]-RecData[[#This Row],[WSpd_Avg '[m/s']]]&gt;=$DF$2),TRUE,FALSE)</f>
        <v>0</v>
      </c>
      <c r="DG645" s="2" t="b">
        <f>RecData[[#This Row],[Temperature '[°C']]]&lt;=-20</f>
        <v>0</v>
      </c>
      <c r="DH645" s="18" t="b">
        <f>NOT(OR(MOD(RecData[[#This Row],[TIMESTAMP]],1)&gt;0.91632,MOD(RecData[[#This Row],[TIMESTAMP]],1)&lt;0.208681))</f>
        <v>0</v>
      </c>
      <c r="DI645" s="18" t="b">
        <f>RecData[[#This Row],[Overall (dBA)]]-RecData[[#This Row],[L90]]&gt;=$DS$4</f>
        <v>0</v>
      </c>
      <c r="DJ645" s="18" t="b">
        <f>RecData[[#This Row],[Overall (dBA)]]&gt;$DS$2</f>
        <v>0</v>
      </c>
      <c r="DK645" s="18" t="b">
        <f>RecData[[#This Row],[Overall (dBA)]]&lt;$DS$3</f>
        <v>0</v>
      </c>
      <c r="DL6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5" s="2">
        <f>IF(AND(RecData[[#This Row],[Turbines ON/OFF]] = "OFF", NOT(OR(RecData[[#This Row],[Junk?]]="YES",RecData[[#This Row],[Gust?]],RecData[[#This Row],[Rain?]:[Min SPL Threshold?]]))),1,0)</f>
        <v>0</v>
      </c>
      <c r="DN645" s="16">
        <f>RecData[[#This Row],[dBA Sum]]</f>
        <v>43.73541088656885</v>
      </c>
      <c r="DO645" s="16">
        <f>RecData[[#This Row],[LAF90.0]]</f>
        <v>43.1</v>
      </c>
      <c r="DP645" s="55">
        <f>IF(AND(RecData[[#This Row],[Useable TON Data?]],RecData[[#This Row],[Turbines ON/OFF]]="ON"),RecData[[#This Row],[dBA Sum]],"")</f>
        <v>43.73541088656885</v>
      </c>
      <c r="DQ645" s="55" t="str">
        <f>IF(AND(RecData[[#This Row],[Useable Background Data?]],RecData[[#This Row],[Turbines ON/OFF]]="OFF"),RecData[[#This Row],[dBA Sum]],"")</f>
        <v/>
      </c>
      <c r="DR645" s="3">
        <f>IF(OR(RecData[[#This Row],[Useable TON Data?]],RecData[[#This Row],[Useable Background Data?]]),ROUND(RecData[[#This Row],[WSpd_Avg '[m/s']]],0),"")</f>
        <v>1</v>
      </c>
      <c r="DS645" s="85">
        <f>(0.00002)^2*(10^(RecData[[#This Row],[Overall (dBA)]]/10))</f>
        <v>9.4536839685653082E-6</v>
      </c>
    </row>
    <row r="646" spans="1:123" ht="15" x14ac:dyDescent="0.25">
      <c r="A646" s="3" t="s">
        <v>249</v>
      </c>
      <c r="B646" s="12">
        <v>43270.164583333331</v>
      </c>
      <c r="C646" s="3"/>
      <c r="D646" s="3">
        <v>44.2</v>
      </c>
      <c r="E646" s="3"/>
      <c r="F646" s="3"/>
      <c r="G646" s="3"/>
      <c r="H646" s="3"/>
      <c r="I646" s="3"/>
      <c r="J646" s="3"/>
      <c r="K646" s="3">
        <v>43.3</v>
      </c>
      <c r="L646" s="3"/>
      <c r="M646" s="3"/>
      <c r="N646" s="3">
        <v>145.69999999999999</v>
      </c>
      <c r="O646" s="3"/>
      <c r="P646" s="3"/>
      <c r="Q646" s="3">
        <v>0.67</v>
      </c>
      <c r="R646" s="3">
        <v>0.5</v>
      </c>
      <c r="S646" s="3">
        <v>0.8</v>
      </c>
      <c r="T646" s="3">
        <v>10.9</v>
      </c>
      <c r="U646" s="3">
        <v>87.9</v>
      </c>
      <c r="V646" s="3">
        <v>973.5</v>
      </c>
      <c r="W646" s="3">
        <v>0</v>
      </c>
      <c r="X646" s="3">
        <v>49.2</v>
      </c>
      <c r="Y646" s="3">
        <v>48.2</v>
      </c>
      <c r="Z646" s="3">
        <v>47.8</v>
      </c>
      <c r="AA646" s="3">
        <v>45.6</v>
      </c>
      <c r="AB646" s="3">
        <v>38.200000000000003</v>
      </c>
      <c r="AC646" s="3">
        <v>38.5</v>
      </c>
      <c r="AD646" s="3">
        <v>42.2</v>
      </c>
      <c r="AE646" s="3">
        <v>45</v>
      </c>
      <c r="AF646" s="3">
        <v>47.4</v>
      </c>
      <c r="AG646" s="3">
        <v>43.2</v>
      </c>
      <c r="AH646" s="3">
        <v>44.2</v>
      </c>
      <c r="AI646" s="3">
        <v>41.8</v>
      </c>
      <c r="AJ646" s="3">
        <v>39.9</v>
      </c>
      <c r="AK646" s="3">
        <v>39.299999999999997</v>
      </c>
      <c r="AL646" s="3">
        <v>37.9</v>
      </c>
      <c r="AM646" s="3">
        <v>38</v>
      </c>
      <c r="AN646" s="3">
        <v>35</v>
      </c>
      <c r="AO646" s="3">
        <v>32.299999999999997</v>
      </c>
      <c r="AP646" s="3">
        <v>28.8</v>
      </c>
      <c r="AQ646" s="3">
        <v>29.6</v>
      </c>
      <c r="AR646" s="3">
        <v>22.4</v>
      </c>
      <c r="AS646" s="3">
        <v>19.3</v>
      </c>
      <c r="AT646" s="3">
        <v>25.8</v>
      </c>
      <c r="AU646" s="3">
        <v>14.8</v>
      </c>
      <c r="AV646" s="3">
        <v>12.7</v>
      </c>
      <c r="AW646" s="3">
        <v>12.4</v>
      </c>
      <c r="AX646" s="3">
        <v>10.3</v>
      </c>
      <c r="AY646" s="3">
        <v>10.1</v>
      </c>
      <c r="AZ646" s="3">
        <v>0</v>
      </c>
      <c r="BA646" s="3">
        <v>0</v>
      </c>
      <c r="BB646" s="3">
        <v>0</v>
      </c>
      <c r="BC646" s="3">
        <v>44.190345326673601</v>
      </c>
      <c r="BD646" s="3">
        <v>49.209654673326405</v>
      </c>
      <c r="BE646" s="3">
        <v>48.209654673326405</v>
      </c>
      <c r="BF646" s="3">
        <v>46.56965467332639</v>
      </c>
      <c r="BG646" s="3">
        <v>44.696321339993069</v>
      </c>
      <c r="BH646" s="3">
        <v>37.436321339993064</v>
      </c>
      <c r="BI646" s="3">
        <v>38.149654673326403</v>
      </c>
      <c r="BJ646" s="3">
        <v>42.642988006659742</v>
      </c>
      <c r="BK646" s="3">
        <v>45.31632133999306</v>
      </c>
      <c r="BL646" s="3">
        <v>47.289654673326403</v>
      </c>
      <c r="BM646" s="3">
        <v>43.22298800665974</v>
      </c>
      <c r="BN646" s="3">
        <v>44.506321339993072</v>
      </c>
      <c r="BO646" s="3">
        <v>41.472988006659726</v>
      </c>
      <c r="BP646" s="3">
        <v>39.289654673326403</v>
      </c>
      <c r="BQ646" s="3">
        <v>39.106321339993052</v>
      </c>
      <c r="BR646" s="3">
        <v>38.032988006659728</v>
      </c>
      <c r="BS646" s="3">
        <v>37.936321339993064</v>
      </c>
      <c r="BT646" s="3">
        <v>35.132988006659737</v>
      </c>
      <c r="BU646" s="3">
        <v>32.399654673326403</v>
      </c>
      <c r="BV646" s="3">
        <v>28.616321339993071</v>
      </c>
      <c r="BW646" s="3">
        <v>29.949654673326414</v>
      </c>
      <c r="BX646" s="3">
        <v>22.669654673326413</v>
      </c>
      <c r="BY646" s="3">
        <v>19.389654673326397</v>
      </c>
      <c r="BZ646" s="3">
        <v>26.019654673326407</v>
      </c>
      <c r="CA646" s="3">
        <v>15.119654673326394</v>
      </c>
      <c r="CB646" s="3">
        <v>12.456321339993067</v>
      </c>
      <c r="CC646" s="3">
        <v>12.369654673326401</v>
      </c>
      <c r="CD646" s="3">
        <v>9.576321339993072</v>
      </c>
      <c r="CE646" s="3">
        <v>9.5696546733264043</v>
      </c>
      <c r="CF646" s="3">
        <v>-0.9170119933402674</v>
      </c>
      <c r="CG646" s="3">
        <v>-1.4503453266735988</v>
      </c>
      <c r="CH646" s="3">
        <v>-2.5270119933402668</v>
      </c>
      <c r="CI646" s="13">
        <f>[1]!dbasum(RecData[[#This Row],[20]:[2000]],RecData[[#Headers],[20]:[2000]])</f>
        <v>44.045057012292943</v>
      </c>
      <c r="CJ646" s="14">
        <v>8414</v>
      </c>
      <c r="CK646" s="15" t="s">
        <v>249</v>
      </c>
      <c r="CL646" s="15">
        <f>RecData[[#This Row],[Start Time]]</f>
        <v>43270.164583333331</v>
      </c>
      <c r="CM646" s="16">
        <f>RecData[[#This Row],[Wind Speed avg]]</f>
        <v>0.67</v>
      </c>
      <c r="CN646" s="16">
        <f>RecData[[#This Row],[Wind Dir. avg]]</f>
        <v>145.69999999999999</v>
      </c>
      <c r="CO646" s="16">
        <f>RecData[[#This Row],[Amb. Humidity]]</f>
        <v>87.9</v>
      </c>
      <c r="CP646" s="16">
        <f>RecData[[#This Row],[Amb. Temperature]]</f>
        <v>10.9</v>
      </c>
      <c r="CQ646" s="17">
        <f>RecData[[#This Row],[Amb. Rain Gauge]]</f>
        <v>0</v>
      </c>
      <c r="CR646" s="4" t="s">
        <v>1</v>
      </c>
      <c r="CS646" s="4" t="s">
        <v>49</v>
      </c>
      <c r="CT646" s="70">
        <v>1615.27905273437</v>
      </c>
      <c r="CU646" s="70">
        <v>30.000257492065401</v>
      </c>
      <c r="CV646" s="70">
        <v>10.310000419616699</v>
      </c>
      <c r="CW646" s="70">
        <v>15.2939796447753</v>
      </c>
      <c r="CX646" s="4"/>
      <c r="CY646" s="69"/>
      <c r="CZ646" s="2" t="b">
        <f>IF($DP$1="YES",IF(RecData[[#This Row],[Power (kW)]]&gt;=$CR$3, TRUE,FALSE),TRUE)</f>
        <v>1</v>
      </c>
      <c r="DA646" s="16">
        <f>MIN(MOD(180-ABS(ABS($DA$1-RecData[Yaw Angle (°)])-180),360),MOD(180-ABS(ABS($DB$1-RecData[Yaw Angle (°)])-180),360))</f>
        <v>22.470330714377837</v>
      </c>
      <c r="DB646" s="2" t="str">
        <f>IF($DP$2="None","None",IF(RecData[[#This Row],[Relative Wind Direction]]&lt;=45,"DW",IF(RecData[[#This Row],[Relative Wind Direction]]&lt;=135,"CW","UW")))</f>
        <v>DW</v>
      </c>
      <c r="DC646" s="61">
        <f>IF($CL646-$CL642&gt;1/24,#REF!,IF(SUM($CQ642:$CQ646)&gt;$DS$1,$DS$5,DC647-1))</f>
        <v>-3</v>
      </c>
      <c r="DD646" s="61">
        <f>IF($CL647-$CL646&gt;1/24,#REF!,IF(SUM($CQ642:$CQ646)&gt;$DS$1,$DS$6,DD645-1))</f>
        <v>-8</v>
      </c>
      <c r="DE646" s="18" t="b">
        <v>0</v>
      </c>
      <c r="DF646" s="2" t="b">
        <f>IF(OR(RecData[[#This Row],[WSpd_Avg '[m/s']]]-RecData[[#This Row],[Wind Speed min]]&gt;=$DF$3,RecData[[#This Row],[Wind Speed max]]-RecData[[#This Row],[WSpd_Avg '[m/s']]]&gt;=$DF$2),TRUE,FALSE)</f>
        <v>0</v>
      </c>
      <c r="DG646" s="2" t="b">
        <f>RecData[[#This Row],[Temperature '[°C']]]&lt;=-20</f>
        <v>0</v>
      </c>
      <c r="DH646" s="18" t="b">
        <f>NOT(OR(MOD(RecData[[#This Row],[TIMESTAMP]],1)&gt;0.91632,MOD(RecData[[#This Row],[TIMESTAMP]],1)&lt;0.208681))</f>
        <v>0</v>
      </c>
      <c r="DI646" s="18" t="b">
        <f>RecData[[#This Row],[Overall (dBA)]]-RecData[[#This Row],[L90]]&gt;=$DS$4</f>
        <v>0</v>
      </c>
      <c r="DJ646" s="18" t="b">
        <f>RecData[[#This Row],[Overall (dBA)]]&gt;$DS$2</f>
        <v>0</v>
      </c>
      <c r="DK646" s="18" t="b">
        <f>RecData[[#This Row],[Overall (dBA)]]&lt;$DS$3</f>
        <v>0</v>
      </c>
      <c r="DL6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6" s="2">
        <f>IF(AND(RecData[[#This Row],[Turbines ON/OFF]] = "OFF", NOT(OR(RecData[[#This Row],[Junk?]]="YES",RecData[[#This Row],[Gust?]],RecData[[#This Row],[Rain?]:[Min SPL Threshold?]]))),1,0)</f>
        <v>0</v>
      </c>
      <c r="DN646" s="16">
        <f>RecData[[#This Row],[dBA Sum]]</f>
        <v>44.045057012292943</v>
      </c>
      <c r="DO646" s="16">
        <f>RecData[[#This Row],[LAF90.0]]</f>
        <v>43.3</v>
      </c>
      <c r="DP646" s="55">
        <f>IF(AND(RecData[[#This Row],[Useable TON Data?]],RecData[[#This Row],[Turbines ON/OFF]]="ON"),RecData[[#This Row],[dBA Sum]],"")</f>
        <v>44.045057012292943</v>
      </c>
      <c r="DQ646" s="55" t="str">
        <f>IF(AND(RecData[[#This Row],[Useable Background Data?]],RecData[[#This Row],[Turbines ON/OFF]]="OFF"),RecData[[#This Row],[dBA Sum]],"")</f>
        <v/>
      </c>
      <c r="DR646" s="3">
        <f>IF(OR(RecData[[#This Row],[Useable TON Data?]],RecData[[#This Row],[Useable Background Data?]]),ROUND(RecData[[#This Row],[WSpd_Avg '[m/s']]],0),"")</f>
        <v>1</v>
      </c>
      <c r="DS646" s="85">
        <f>(0.00002)^2*(10^(RecData[[#This Row],[Overall (dBA)]]/10))</f>
        <v>1.0152329218347999E-5</v>
      </c>
    </row>
    <row r="647" spans="1:123" ht="15" x14ac:dyDescent="0.25">
      <c r="A647" s="3" t="s">
        <v>249</v>
      </c>
      <c r="B647" s="12">
        <v>43270.165277777778</v>
      </c>
      <c r="C647" s="3"/>
      <c r="D647" s="3">
        <v>44</v>
      </c>
      <c r="E647" s="3"/>
      <c r="F647" s="3"/>
      <c r="G647" s="3"/>
      <c r="H647" s="3"/>
      <c r="I647" s="3"/>
      <c r="J647" s="3"/>
      <c r="K647" s="3">
        <v>43.2</v>
      </c>
      <c r="L647" s="3"/>
      <c r="M647" s="3"/>
      <c r="N647" s="3">
        <v>185.7</v>
      </c>
      <c r="O647" s="3"/>
      <c r="P647" s="3"/>
      <c r="Q647" s="3">
        <v>0.37</v>
      </c>
      <c r="R647" s="3">
        <v>0.1</v>
      </c>
      <c r="S647" s="3">
        <v>0.6</v>
      </c>
      <c r="T647" s="3">
        <v>10.9</v>
      </c>
      <c r="U647" s="3">
        <v>88.4</v>
      </c>
      <c r="V647" s="3">
        <v>973.5</v>
      </c>
      <c r="W647" s="3">
        <v>0</v>
      </c>
      <c r="X647" s="3">
        <v>49</v>
      </c>
      <c r="Y647" s="3">
        <v>48.4</v>
      </c>
      <c r="Z647" s="3">
        <v>48.9</v>
      </c>
      <c r="AA647" s="3">
        <v>44.6</v>
      </c>
      <c r="AB647" s="3">
        <v>39.1</v>
      </c>
      <c r="AC647" s="3">
        <v>38.700000000000003</v>
      </c>
      <c r="AD647" s="3">
        <v>42.5</v>
      </c>
      <c r="AE647" s="3">
        <v>45.4</v>
      </c>
      <c r="AF647" s="3">
        <v>47.7</v>
      </c>
      <c r="AG647" s="3">
        <v>44.4</v>
      </c>
      <c r="AH647" s="3">
        <v>42.8</v>
      </c>
      <c r="AI647" s="3">
        <v>41.8</v>
      </c>
      <c r="AJ647" s="3">
        <v>40.200000000000003</v>
      </c>
      <c r="AK647" s="3">
        <v>39.200000000000003</v>
      </c>
      <c r="AL647" s="3">
        <v>37.799999999999997</v>
      </c>
      <c r="AM647" s="3">
        <v>37.1</v>
      </c>
      <c r="AN647" s="3">
        <v>35.1</v>
      </c>
      <c r="AO647" s="3">
        <v>32.5</v>
      </c>
      <c r="AP647" s="3">
        <v>29</v>
      </c>
      <c r="AQ647" s="3">
        <v>27.1</v>
      </c>
      <c r="AR647" s="3">
        <v>22.1</v>
      </c>
      <c r="AS647" s="3">
        <v>18.7</v>
      </c>
      <c r="AT647" s="3">
        <v>25.4</v>
      </c>
      <c r="AU647" s="3">
        <v>13.7</v>
      </c>
      <c r="AV647" s="3">
        <v>12.1</v>
      </c>
      <c r="AW647" s="3">
        <v>12.2</v>
      </c>
      <c r="AX647" s="3">
        <v>10.4</v>
      </c>
      <c r="AY647" s="3">
        <v>10.199999999999999</v>
      </c>
      <c r="AZ647" s="3">
        <v>0</v>
      </c>
      <c r="BA647" s="3">
        <v>0</v>
      </c>
      <c r="BB647" s="3">
        <v>0</v>
      </c>
      <c r="BC647" s="3">
        <v>43.972174019660827</v>
      </c>
      <c r="BD647" s="3">
        <v>49.027825980339173</v>
      </c>
      <c r="BE647" s="3">
        <v>48.427825980339179</v>
      </c>
      <c r="BF647" s="3">
        <v>47.68782598033917</v>
      </c>
      <c r="BG647" s="3">
        <v>43.714492647005841</v>
      </c>
      <c r="BH647" s="3">
        <v>38.354492647005841</v>
      </c>
      <c r="BI647" s="3">
        <v>38.367825980339177</v>
      </c>
      <c r="BJ647" s="3">
        <v>42.961159313672511</v>
      </c>
      <c r="BK647" s="3">
        <v>45.734492647005837</v>
      </c>
      <c r="BL647" s="3">
        <v>47.607825980339186</v>
      </c>
      <c r="BM647" s="3">
        <v>44.4411593136725</v>
      </c>
      <c r="BN647" s="3">
        <v>43.124492647005837</v>
      </c>
      <c r="BO647" s="3">
        <v>41.491159313672512</v>
      </c>
      <c r="BP647" s="3">
        <v>39.607825980339186</v>
      </c>
      <c r="BQ647" s="3">
        <v>39.024492647005843</v>
      </c>
      <c r="BR647" s="3">
        <v>37.951159313672505</v>
      </c>
      <c r="BS647" s="3">
        <v>37.054492647005844</v>
      </c>
      <c r="BT647" s="3">
        <v>35.251159313672503</v>
      </c>
      <c r="BU647" s="3">
        <v>32.617825980339177</v>
      </c>
      <c r="BV647" s="3">
        <v>28.834492647005845</v>
      </c>
      <c r="BW647" s="3">
        <v>27.467825980339171</v>
      </c>
      <c r="BX647" s="3">
        <v>22.387825980339187</v>
      </c>
      <c r="BY647" s="3">
        <v>18.807825980339175</v>
      </c>
      <c r="BZ647" s="3">
        <v>25.637825980339173</v>
      </c>
      <c r="CA647" s="3">
        <v>14.037825980339164</v>
      </c>
      <c r="CB647" s="3">
        <v>11.874492647005837</v>
      </c>
      <c r="CC647" s="3">
        <v>12.18782598033917</v>
      </c>
      <c r="CD647" s="3">
        <v>9.6944926470058448</v>
      </c>
      <c r="CE647" s="3">
        <v>9.68782598033917</v>
      </c>
      <c r="CF647" s="3">
        <v>-0.89884068632749603</v>
      </c>
      <c r="CG647" s="3">
        <v>-1.4321740196608275</v>
      </c>
      <c r="CH647" s="3">
        <v>-2.5088406863274955</v>
      </c>
      <c r="CI647" s="13">
        <f>[1]!dbasum(RecData[[#This Row],[20]:[2000]],RecData[[#Headers],[20]:[2000]])</f>
        <v>43.833913927219498</v>
      </c>
      <c r="CJ647" s="14">
        <v>8415</v>
      </c>
      <c r="CK647" s="15" t="s">
        <v>249</v>
      </c>
      <c r="CL647" s="15">
        <f>RecData[[#This Row],[Start Time]]</f>
        <v>43270.165277777778</v>
      </c>
      <c r="CM647" s="16">
        <f>RecData[[#This Row],[Wind Speed avg]]</f>
        <v>0.37</v>
      </c>
      <c r="CN647" s="16">
        <f>RecData[[#This Row],[Wind Dir. avg]]</f>
        <v>185.7</v>
      </c>
      <c r="CO647" s="16">
        <f>RecData[[#This Row],[Amb. Humidity]]</f>
        <v>88.4</v>
      </c>
      <c r="CP647" s="16">
        <f>RecData[[#This Row],[Amb. Temperature]]</f>
        <v>10.9</v>
      </c>
      <c r="CQ647" s="17">
        <f>RecData[[#This Row],[Amb. Rain Gauge]]</f>
        <v>0</v>
      </c>
      <c r="CR647" s="4" t="s">
        <v>1</v>
      </c>
      <c r="CS647" s="4" t="s">
        <v>49</v>
      </c>
      <c r="CT647" s="70">
        <v>1615.27905273437</v>
      </c>
      <c r="CU647" s="70">
        <v>30.000257492065401</v>
      </c>
      <c r="CV647" s="70">
        <v>10.310000419616699</v>
      </c>
      <c r="CW647" s="70">
        <v>15.2939796447753</v>
      </c>
      <c r="CX647" s="4"/>
      <c r="CY647" s="69"/>
      <c r="CZ647" s="2" t="b">
        <f>IF($DP$1="YES",IF(RecData[[#This Row],[Power (kW)]]&gt;=$CR$3, TRUE,FALSE),TRUE)</f>
        <v>1</v>
      </c>
      <c r="DA647" s="16">
        <f>MIN(MOD(180-ABS(ABS($DA$1-RecData[Yaw Angle (°)])-180),360),MOD(180-ABS(ABS($DB$1-RecData[Yaw Angle (°)])-180),360))</f>
        <v>22.470330714377837</v>
      </c>
      <c r="DB647" s="2" t="str">
        <f>IF($DP$2="None","None",IF(RecData[[#This Row],[Relative Wind Direction]]&lt;=45,"DW",IF(RecData[[#This Row],[Relative Wind Direction]]&lt;=135,"CW","UW")))</f>
        <v>DW</v>
      </c>
      <c r="DC647" s="61">
        <f>IF($CL647-$CL643&gt;1/24,#REF!,IF(SUM($CQ643:$CQ647)&gt;$DS$1,$DS$5,DC648-1))</f>
        <v>-2</v>
      </c>
      <c r="DD647" s="61">
        <f>IF($CL648-$CL647&gt;1/24,#REF!,IF(SUM($CQ643:$CQ647)&gt;$DS$1,$DS$6,DD646-1))</f>
        <v>-9</v>
      </c>
      <c r="DE647" s="18" t="b">
        <v>0</v>
      </c>
      <c r="DF647" s="2" t="b">
        <f>IF(OR(RecData[[#This Row],[WSpd_Avg '[m/s']]]-RecData[[#This Row],[Wind Speed min]]&gt;=$DF$3,RecData[[#This Row],[Wind Speed max]]-RecData[[#This Row],[WSpd_Avg '[m/s']]]&gt;=$DF$2),TRUE,FALSE)</f>
        <v>0</v>
      </c>
      <c r="DG647" s="2" t="b">
        <f>RecData[[#This Row],[Temperature '[°C']]]&lt;=-20</f>
        <v>0</v>
      </c>
      <c r="DH647" s="18" t="b">
        <f>NOT(OR(MOD(RecData[[#This Row],[TIMESTAMP]],1)&gt;0.91632,MOD(RecData[[#This Row],[TIMESTAMP]],1)&lt;0.208681))</f>
        <v>0</v>
      </c>
      <c r="DI647" s="18" t="b">
        <f>RecData[[#This Row],[Overall (dBA)]]-RecData[[#This Row],[L90]]&gt;=$DS$4</f>
        <v>0</v>
      </c>
      <c r="DJ647" s="18" t="b">
        <f>RecData[[#This Row],[Overall (dBA)]]&gt;$DS$2</f>
        <v>0</v>
      </c>
      <c r="DK647" s="18" t="b">
        <f>RecData[[#This Row],[Overall (dBA)]]&lt;$DS$3</f>
        <v>0</v>
      </c>
      <c r="DL6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7" s="2">
        <f>IF(AND(RecData[[#This Row],[Turbines ON/OFF]] = "OFF", NOT(OR(RecData[[#This Row],[Junk?]]="YES",RecData[[#This Row],[Gust?]],RecData[[#This Row],[Rain?]:[Min SPL Threshold?]]))),1,0)</f>
        <v>0</v>
      </c>
      <c r="DN647" s="16">
        <f>RecData[[#This Row],[dBA Sum]]</f>
        <v>43.833913927219498</v>
      </c>
      <c r="DO647" s="16">
        <f>RecData[[#This Row],[LAF90.0]]</f>
        <v>43.2</v>
      </c>
      <c r="DP647" s="55">
        <f>IF(AND(RecData[[#This Row],[Useable TON Data?]],RecData[[#This Row],[Turbines ON/OFF]]="ON"),RecData[[#This Row],[dBA Sum]],"")</f>
        <v>43.833913927219498</v>
      </c>
      <c r="DQ647" s="55" t="str">
        <f>IF(AND(RecData[[#This Row],[Useable Background Data?]],RecData[[#This Row],[Turbines ON/OFF]]="OFF"),RecData[[#This Row],[dBA Sum]],"")</f>
        <v/>
      </c>
      <c r="DR647" s="3">
        <f>IF(OR(RecData[[#This Row],[Useable TON Data?]],RecData[[#This Row],[Useable Background Data?]]),ROUND(RecData[[#This Row],[WSpd_Avg '[m/s']]],0),"")</f>
        <v>0</v>
      </c>
      <c r="DS647" s="85">
        <f>(0.00002)^2*(10^(RecData[[#This Row],[Overall (dBA)]]/10))</f>
        <v>9.6705546611764454E-6</v>
      </c>
    </row>
    <row r="648" spans="1:123" ht="15" x14ac:dyDescent="0.25">
      <c r="A648" s="3" t="s">
        <v>249</v>
      </c>
      <c r="B648" s="12">
        <v>43270.165972222225</v>
      </c>
      <c r="C648" s="3"/>
      <c r="D648" s="3">
        <v>45.5</v>
      </c>
      <c r="E648" s="3"/>
      <c r="F648" s="3"/>
      <c r="G648" s="3"/>
      <c r="H648" s="3"/>
      <c r="I648" s="3"/>
      <c r="J648" s="3"/>
      <c r="K648" s="3">
        <v>41.8</v>
      </c>
      <c r="L648" s="3"/>
      <c r="M648" s="3"/>
      <c r="N648" s="3">
        <v>145.4</v>
      </c>
      <c r="O648" s="3"/>
      <c r="P648" s="3"/>
      <c r="Q648" s="3">
        <v>0.61</v>
      </c>
      <c r="R648" s="3">
        <v>0.4</v>
      </c>
      <c r="S648" s="3">
        <v>0.9</v>
      </c>
      <c r="T648" s="3">
        <v>10.9</v>
      </c>
      <c r="U648" s="3">
        <v>88.9</v>
      </c>
      <c r="V648" s="3">
        <v>973.5</v>
      </c>
      <c r="W648" s="3">
        <v>0</v>
      </c>
      <c r="X648" s="3">
        <v>49.6</v>
      </c>
      <c r="Y648" s="3">
        <v>49.3</v>
      </c>
      <c r="Z648" s="3">
        <v>48.7</v>
      </c>
      <c r="AA648" s="3">
        <v>43.5</v>
      </c>
      <c r="AB648" s="3">
        <v>39.9</v>
      </c>
      <c r="AC648" s="3">
        <v>39.4</v>
      </c>
      <c r="AD648" s="3">
        <v>41.6</v>
      </c>
      <c r="AE648" s="3">
        <v>43.5</v>
      </c>
      <c r="AF648" s="3">
        <v>46.7</v>
      </c>
      <c r="AG648" s="3">
        <v>43.8</v>
      </c>
      <c r="AH648" s="3">
        <v>43.9</v>
      </c>
      <c r="AI648" s="3">
        <v>40.299999999999997</v>
      </c>
      <c r="AJ648" s="3">
        <v>39.700000000000003</v>
      </c>
      <c r="AK648" s="3">
        <v>39.1</v>
      </c>
      <c r="AL648" s="3">
        <v>38.5</v>
      </c>
      <c r="AM648" s="3">
        <v>39.799999999999997</v>
      </c>
      <c r="AN648" s="3">
        <v>38.6</v>
      </c>
      <c r="AO648" s="3">
        <v>36.299999999999997</v>
      </c>
      <c r="AP648" s="3">
        <v>33</v>
      </c>
      <c r="AQ648" s="3">
        <v>29.6</v>
      </c>
      <c r="AR648" s="3">
        <v>25.8</v>
      </c>
      <c r="AS648" s="3">
        <v>22.4</v>
      </c>
      <c r="AT648" s="3">
        <v>26.8</v>
      </c>
      <c r="AU648" s="3">
        <v>17.399999999999999</v>
      </c>
      <c r="AV648" s="3">
        <v>15.5</v>
      </c>
      <c r="AW648" s="3">
        <v>15.3</v>
      </c>
      <c r="AX648" s="3">
        <v>12</v>
      </c>
      <c r="AY648" s="3">
        <v>11.4</v>
      </c>
      <c r="AZ648" s="3">
        <v>0</v>
      </c>
      <c r="BA648" s="3">
        <v>0</v>
      </c>
      <c r="BB648" s="3">
        <v>0</v>
      </c>
      <c r="BC648" s="3">
        <v>45.513287397001292</v>
      </c>
      <c r="BD648" s="3">
        <v>49.586712602998702</v>
      </c>
      <c r="BE648" s="3">
        <v>49.286712602998705</v>
      </c>
      <c r="BF648" s="3">
        <v>47.446712602998716</v>
      </c>
      <c r="BG648" s="3">
        <v>42.573379269665381</v>
      </c>
      <c r="BH648" s="3">
        <v>39.113379269665373</v>
      </c>
      <c r="BI648" s="3">
        <v>39.0267126029987</v>
      </c>
      <c r="BJ648" s="3">
        <v>42.020045936332039</v>
      </c>
      <c r="BK648" s="3">
        <v>43.79337926966538</v>
      </c>
      <c r="BL648" s="3">
        <v>46.56671260299872</v>
      </c>
      <c r="BM648" s="3">
        <v>43.80004593633204</v>
      </c>
      <c r="BN648" s="3">
        <v>44.183379269665366</v>
      </c>
      <c r="BO648" s="3">
        <v>39.950045936332046</v>
      </c>
      <c r="BP648" s="3">
        <v>39.06671260299872</v>
      </c>
      <c r="BQ648" s="3">
        <v>38.883379269665369</v>
      </c>
      <c r="BR648" s="3">
        <v>38.610045936332043</v>
      </c>
      <c r="BS648" s="3">
        <v>39.713379269665367</v>
      </c>
      <c r="BT648" s="3">
        <v>38.710045936332037</v>
      </c>
      <c r="BU648" s="3">
        <v>36.376712602998708</v>
      </c>
      <c r="BV648" s="3">
        <v>32.79337926966538</v>
      </c>
      <c r="BW648" s="3">
        <v>29.926712602998705</v>
      </c>
      <c r="BX648" s="3">
        <v>26.04671260299871</v>
      </c>
      <c r="BY648" s="3">
        <v>22.466712602998697</v>
      </c>
      <c r="BZ648" s="3">
        <v>26.996712602998713</v>
      </c>
      <c r="CA648" s="3">
        <v>17.696712602998701</v>
      </c>
      <c r="CB648" s="3">
        <v>15.23337926966537</v>
      </c>
      <c r="CC648" s="3">
        <v>15.246712602998706</v>
      </c>
      <c r="CD648" s="3">
        <v>11.25337926966538</v>
      </c>
      <c r="CE648" s="3">
        <v>10.846712602998707</v>
      </c>
      <c r="CF648" s="3">
        <v>-0.93995406366796175</v>
      </c>
      <c r="CG648" s="3">
        <v>-1.4732873970012932</v>
      </c>
      <c r="CH648" s="3">
        <v>-2.5499540636679612</v>
      </c>
      <c r="CI648" s="13">
        <f>[1]!dbasum(RecData[[#This Row],[20]:[2000]],RecData[[#Headers],[20]:[2000]])</f>
        <v>45.362794808586656</v>
      </c>
      <c r="CJ648" s="14">
        <v>8416</v>
      </c>
      <c r="CK648" s="15" t="s">
        <v>249</v>
      </c>
      <c r="CL648" s="15">
        <f>RecData[[#This Row],[Start Time]]</f>
        <v>43270.165972222225</v>
      </c>
      <c r="CM648" s="16">
        <f>RecData[[#This Row],[Wind Speed avg]]</f>
        <v>0.61</v>
      </c>
      <c r="CN648" s="16">
        <f>RecData[[#This Row],[Wind Dir. avg]]</f>
        <v>145.4</v>
      </c>
      <c r="CO648" s="16">
        <f>RecData[[#This Row],[Amb. Humidity]]</f>
        <v>88.9</v>
      </c>
      <c r="CP648" s="16">
        <f>RecData[[#This Row],[Amb. Temperature]]</f>
        <v>10.9</v>
      </c>
      <c r="CQ648" s="17">
        <f>RecData[[#This Row],[Amb. Rain Gauge]]</f>
        <v>0</v>
      </c>
      <c r="CR648" s="4" t="s">
        <v>1</v>
      </c>
      <c r="CS648" s="4" t="s">
        <v>49</v>
      </c>
      <c r="CT648" s="70">
        <v>1615.27905273437</v>
      </c>
      <c r="CU648" s="70">
        <v>30.000257492065401</v>
      </c>
      <c r="CV648" s="70">
        <v>10.310000419616699</v>
      </c>
      <c r="CW648" s="70">
        <v>15.2939796447753</v>
      </c>
      <c r="CX648" s="4"/>
      <c r="CY648" s="69"/>
      <c r="CZ648" s="2" t="b">
        <f>IF($DP$1="YES",IF(RecData[[#This Row],[Power (kW)]]&gt;=$CR$3, TRUE,FALSE),TRUE)</f>
        <v>1</v>
      </c>
      <c r="DA648" s="16">
        <f>MIN(MOD(180-ABS(ABS($DA$1-RecData[Yaw Angle (°)])-180),360),MOD(180-ABS(ABS($DB$1-RecData[Yaw Angle (°)])-180),360))</f>
        <v>22.470330714377837</v>
      </c>
      <c r="DB648" s="2" t="str">
        <f>IF($DP$2="None","None",IF(RecData[[#This Row],[Relative Wind Direction]]&lt;=45,"DW",IF(RecData[[#This Row],[Relative Wind Direction]]&lt;=135,"CW","UW")))</f>
        <v>DW</v>
      </c>
      <c r="DC648" s="61">
        <v>-1</v>
      </c>
      <c r="DD648" s="61">
        <v>-1</v>
      </c>
      <c r="DE648" s="18" t="b">
        <v>0</v>
      </c>
      <c r="DF648" s="2" t="b">
        <f>IF(OR(RecData[[#This Row],[WSpd_Avg '[m/s']]]-RecData[[#This Row],[Wind Speed min]]&gt;=$DF$3,RecData[[#This Row],[Wind Speed max]]-RecData[[#This Row],[WSpd_Avg '[m/s']]]&gt;=$DF$2),TRUE,FALSE)</f>
        <v>0</v>
      </c>
      <c r="DG648" s="2" t="b">
        <f>RecData[[#This Row],[Temperature '[°C']]]&lt;=-20</f>
        <v>0</v>
      </c>
      <c r="DH648" s="18" t="b">
        <f>NOT(OR(MOD(RecData[[#This Row],[TIMESTAMP]],1)&gt;0.91632,MOD(RecData[[#This Row],[TIMESTAMP]],1)&lt;0.208681))</f>
        <v>0</v>
      </c>
      <c r="DI648" s="18" t="b">
        <f>RecData[[#This Row],[Overall (dBA)]]-RecData[[#This Row],[L90]]&gt;=$DS$4</f>
        <v>0</v>
      </c>
      <c r="DJ648" s="18" t="b">
        <f>RecData[[#This Row],[Overall (dBA)]]&gt;$DS$2</f>
        <v>0</v>
      </c>
      <c r="DK648" s="18" t="b">
        <f>RecData[[#This Row],[Overall (dBA)]]&lt;$DS$3</f>
        <v>0</v>
      </c>
      <c r="DL6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8" s="2">
        <f>IF(AND(RecData[[#This Row],[Turbines ON/OFF]] = "OFF", NOT(OR(RecData[[#This Row],[Junk?]]="YES",RecData[[#This Row],[Gust?]],RecData[[#This Row],[Rain?]:[Min SPL Threshold?]]))),1,0)</f>
        <v>0</v>
      </c>
      <c r="DN648" s="16">
        <f>RecData[[#This Row],[dBA Sum]]</f>
        <v>45.362794808586656</v>
      </c>
      <c r="DO648" s="16">
        <f>RecData[[#This Row],[LAF90.0]]</f>
        <v>41.8</v>
      </c>
      <c r="DP648" s="55">
        <f>IF(AND(RecData[[#This Row],[Useable TON Data?]],RecData[[#This Row],[Turbines ON/OFF]]="ON"),RecData[[#This Row],[dBA Sum]],"")</f>
        <v>45.362794808586656</v>
      </c>
      <c r="DQ648" s="55" t="str">
        <f>IF(AND(RecData[[#This Row],[Useable Background Data?]],RecData[[#This Row],[Turbines ON/OFF]]="OFF"),RecData[[#This Row],[dBA Sum]],"")</f>
        <v/>
      </c>
      <c r="DR648" s="3">
        <f>IF(OR(RecData[[#This Row],[Useable TON Data?]],RecData[[#This Row],[Useable Background Data?]]),ROUND(RecData[[#This Row],[WSpd_Avg '[m/s']]],0),"")</f>
        <v>1</v>
      </c>
      <c r="DS648" s="85">
        <f>(0.00002)^2*(10^(RecData[[#This Row],[Overall (dBA)]]/10))</f>
        <v>1.3751164334821583E-5</v>
      </c>
    </row>
    <row r="649" spans="1:123" ht="15" x14ac:dyDescent="0.25">
      <c r="A649" s="3" t="s">
        <v>249</v>
      </c>
      <c r="B649" s="12">
        <v>43270.167361111118</v>
      </c>
      <c r="C649" s="3"/>
      <c r="D649" s="3">
        <v>40.200000000000003</v>
      </c>
      <c r="E649" s="3"/>
      <c r="F649" s="3"/>
      <c r="G649" s="3"/>
      <c r="H649" s="3"/>
      <c r="I649" s="3"/>
      <c r="J649" s="3"/>
      <c r="K649" s="3">
        <v>38.5</v>
      </c>
      <c r="L649" s="3"/>
      <c r="M649" s="3"/>
      <c r="N649" s="3">
        <v>163.4</v>
      </c>
      <c r="O649" s="3"/>
      <c r="P649" s="3"/>
      <c r="Q649" s="3">
        <v>0.64</v>
      </c>
      <c r="R649" s="3">
        <v>0.4</v>
      </c>
      <c r="S649" s="3">
        <v>0.8</v>
      </c>
      <c r="T649" s="3">
        <v>10.7</v>
      </c>
      <c r="U649" s="3">
        <v>89.2</v>
      </c>
      <c r="V649" s="3">
        <v>973.5</v>
      </c>
      <c r="W649" s="3">
        <v>0</v>
      </c>
      <c r="X649" s="3">
        <v>49.5</v>
      </c>
      <c r="Y649" s="3">
        <v>48</v>
      </c>
      <c r="Z649" s="3">
        <v>47.4</v>
      </c>
      <c r="AA649" s="3">
        <v>42.3</v>
      </c>
      <c r="AB649" s="3">
        <v>37.9</v>
      </c>
      <c r="AC649" s="3">
        <v>36.299999999999997</v>
      </c>
      <c r="AD649" s="3">
        <v>40.4</v>
      </c>
      <c r="AE649" s="3">
        <v>41.3</v>
      </c>
      <c r="AF649" s="3">
        <v>45.6</v>
      </c>
      <c r="AG649" s="3">
        <v>39.200000000000003</v>
      </c>
      <c r="AH649" s="3">
        <v>38.299999999999997</v>
      </c>
      <c r="AI649" s="3">
        <v>37.4</v>
      </c>
      <c r="AJ649" s="3">
        <v>36.6</v>
      </c>
      <c r="AK649" s="3">
        <v>34.6</v>
      </c>
      <c r="AL649" s="3">
        <v>32.700000000000003</v>
      </c>
      <c r="AM649" s="3">
        <v>32.799999999999997</v>
      </c>
      <c r="AN649" s="3">
        <v>31.3</v>
      </c>
      <c r="AO649" s="3">
        <v>28.4</v>
      </c>
      <c r="AP649" s="3">
        <v>25.9</v>
      </c>
      <c r="AQ649" s="3">
        <v>23.7</v>
      </c>
      <c r="AR649" s="3">
        <v>19.8</v>
      </c>
      <c r="AS649" s="3">
        <v>16.2</v>
      </c>
      <c r="AT649" s="3">
        <v>27.2</v>
      </c>
      <c r="AU649" s="3">
        <v>11.7</v>
      </c>
      <c r="AV649" s="3">
        <v>8.6999999999999993</v>
      </c>
      <c r="AW649" s="3">
        <v>8.9</v>
      </c>
      <c r="AX649" s="3">
        <v>9.1</v>
      </c>
      <c r="AY649" s="3">
        <v>9.3000000000000007</v>
      </c>
      <c r="AZ649" s="3">
        <v>0</v>
      </c>
      <c r="BA649" s="3">
        <v>0</v>
      </c>
      <c r="BB649" s="3">
        <v>0</v>
      </c>
      <c r="BC649" s="3">
        <v>40.149673422836955</v>
      </c>
      <c r="BD649" s="3">
        <v>49.550326577163048</v>
      </c>
      <c r="BE649" s="3">
        <v>48.050326577163048</v>
      </c>
      <c r="BF649" s="3">
        <v>46.210326577163045</v>
      </c>
      <c r="BG649" s="3">
        <v>41.436993243829718</v>
      </c>
      <c r="BH649" s="3">
        <v>37.176993243829713</v>
      </c>
      <c r="BI649" s="3">
        <v>35.990326577163046</v>
      </c>
      <c r="BJ649" s="3">
        <v>40.883659910496377</v>
      </c>
      <c r="BK649" s="3">
        <v>41.656993243829717</v>
      </c>
      <c r="BL649" s="3">
        <v>45.530326577163052</v>
      </c>
      <c r="BM649" s="3">
        <v>39.263659910496386</v>
      </c>
      <c r="BN649" s="3">
        <v>38.646993243829712</v>
      </c>
      <c r="BO649" s="3">
        <v>37.113659910496381</v>
      </c>
      <c r="BP649" s="3">
        <v>36.030326577163052</v>
      </c>
      <c r="BQ649" s="3">
        <v>34.446993243829709</v>
      </c>
      <c r="BR649" s="3">
        <v>32.873659910496386</v>
      </c>
      <c r="BS649" s="3">
        <v>32.776993243829722</v>
      </c>
      <c r="BT649" s="3">
        <v>31.47365991049638</v>
      </c>
      <c r="BU649" s="3">
        <v>28.540326577163043</v>
      </c>
      <c r="BV649" s="3">
        <v>25.756993243829712</v>
      </c>
      <c r="BW649" s="3">
        <v>24.090326577163054</v>
      </c>
      <c r="BX649" s="3">
        <v>20.11032657716305</v>
      </c>
      <c r="BY649" s="3">
        <v>16.330326577163049</v>
      </c>
      <c r="BZ649" s="3">
        <v>27.460326577163059</v>
      </c>
      <c r="CA649" s="3">
        <v>12.060326577163039</v>
      </c>
      <c r="CB649" s="3">
        <v>8.4969932438297135</v>
      </c>
      <c r="CC649" s="3">
        <v>8.9103265771630475</v>
      </c>
      <c r="CD649" s="3">
        <v>8.4169932438297224</v>
      </c>
      <c r="CE649" s="3">
        <v>8.8103265771630461</v>
      </c>
      <c r="CF649" s="3">
        <v>-0.8763400895036213</v>
      </c>
      <c r="CG649" s="3">
        <v>-1.4096734228369527</v>
      </c>
      <c r="CH649" s="3">
        <v>-2.4863400895036207</v>
      </c>
      <c r="CI649" s="13">
        <f>[1]!dbasum(RecData[[#This Row],[20]:[2000]],RecData[[#Headers],[20]:[2000]])</f>
        <v>39.791706815626277</v>
      </c>
      <c r="CJ649" s="14">
        <v>8418</v>
      </c>
      <c r="CK649" s="15" t="s">
        <v>249</v>
      </c>
      <c r="CL649" s="15">
        <f>RecData[[#This Row],[Start Time]]</f>
        <v>43270.167361111118</v>
      </c>
      <c r="CM649" s="16">
        <f>RecData[[#This Row],[Wind Speed avg]]</f>
        <v>0.64</v>
      </c>
      <c r="CN649" s="16">
        <f>RecData[[#This Row],[Wind Dir. avg]]</f>
        <v>163.4</v>
      </c>
      <c r="CO649" s="16">
        <f>RecData[[#This Row],[Amb. Humidity]]</f>
        <v>89.2</v>
      </c>
      <c r="CP649" s="16">
        <f>RecData[[#This Row],[Amb. Temperature]]</f>
        <v>10.7</v>
      </c>
      <c r="CQ649" s="17">
        <f>RecData[[#This Row],[Amb. Rain Gauge]]</f>
        <v>0</v>
      </c>
      <c r="CR649" s="4" t="s">
        <v>1</v>
      </c>
      <c r="CS649" s="4" t="s">
        <v>49</v>
      </c>
      <c r="CT649" s="70">
        <v>1618.01623535156</v>
      </c>
      <c r="CU649" s="70">
        <v>30.000257492065401</v>
      </c>
      <c r="CV649" s="70">
        <v>10.5205469131469</v>
      </c>
      <c r="CW649" s="70">
        <v>15.2816162109375</v>
      </c>
      <c r="CX649" s="4"/>
      <c r="CY649" s="69"/>
      <c r="CZ649" s="2" t="b">
        <f>IF($DP$1="YES",IF(RecData[[#This Row],[Power (kW)]]&gt;=$CR$3, TRUE,FALSE),TRUE)</f>
        <v>1</v>
      </c>
      <c r="DA649" s="16">
        <f>MIN(MOD(180-ABS(ABS($DA$1-RecData[Yaw Angle (°)])-180),360),MOD(180-ABS(ABS($DB$1-RecData[Yaw Angle (°)])-180),360))</f>
        <v>22.470330714377837</v>
      </c>
      <c r="DB649" s="2" t="str">
        <f>IF($DP$2="None","None",IF(RecData[[#This Row],[Relative Wind Direction]]&lt;=45,"DW",IF(RecData[[#This Row],[Relative Wind Direction]]&lt;=135,"CW","UW")))</f>
        <v>DW</v>
      </c>
      <c r="DC649" s="61" t="e">
        <f>IF($CL649-$CL648&gt;1/24,#REF!,IF(SUM($CQ648:$CQ649)&gt;$DS$1,$DS$5,DC650-1))</f>
        <v>#REF!</v>
      </c>
      <c r="DD649" s="61" t="e">
        <f>IF($CL650-$CL649&gt;1/24,#REF!,IF(SUM($CQ648:$CQ649)&gt;$DS$1,$DS$6,#REF!-1))</f>
        <v>#REF!</v>
      </c>
      <c r="DE649" s="18" t="b">
        <v>0</v>
      </c>
      <c r="DF649" s="2" t="b">
        <f>IF(OR(RecData[[#This Row],[WSpd_Avg '[m/s']]]-RecData[[#This Row],[Wind Speed min]]&gt;=$DF$3,RecData[[#This Row],[Wind Speed max]]-RecData[[#This Row],[WSpd_Avg '[m/s']]]&gt;=$DF$2),TRUE,FALSE)</f>
        <v>0</v>
      </c>
      <c r="DG649" s="2" t="b">
        <f>RecData[[#This Row],[Temperature '[°C']]]&lt;=-20</f>
        <v>0</v>
      </c>
      <c r="DH649" s="18" t="b">
        <f>NOT(OR(MOD(RecData[[#This Row],[TIMESTAMP]],1)&gt;0.91632,MOD(RecData[[#This Row],[TIMESTAMP]],1)&lt;0.208681))</f>
        <v>0</v>
      </c>
      <c r="DI649" s="18" t="b">
        <f>RecData[[#This Row],[Overall (dBA)]]-RecData[[#This Row],[L90]]&gt;=$DS$4</f>
        <v>0</v>
      </c>
      <c r="DJ649" s="18" t="b">
        <f>RecData[[#This Row],[Overall (dBA)]]&gt;$DS$2</f>
        <v>0</v>
      </c>
      <c r="DK649" s="18" t="b">
        <f>RecData[[#This Row],[Overall (dBA)]]&lt;$DS$3</f>
        <v>0</v>
      </c>
      <c r="DL6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49" s="2">
        <f>IF(AND(RecData[[#This Row],[Turbines ON/OFF]] = "OFF", NOT(OR(RecData[[#This Row],[Junk?]]="YES",RecData[[#This Row],[Gust?]],RecData[[#This Row],[Rain?]:[Min SPL Threshold?]]))),1,0)</f>
        <v>0</v>
      </c>
      <c r="DN649" s="16">
        <f>RecData[[#This Row],[dBA Sum]]</f>
        <v>39.791706815626277</v>
      </c>
      <c r="DO649" s="16">
        <f>RecData[[#This Row],[LAF90.0]]</f>
        <v>38.5</v>
      </c>
      <c r="DP649" s="55">
        <f>IF(AND(RecData[[#This Row],[Useable TON Data?]],RecData[[#This Row],[Turbines ON/OFF]]="ON"),RecData[[#This Row],[dBA Sum]],"")</f>
        <v>39.791706815626277</v>
      </c>
      <c r="DQ649" s="55" t="str">
        <f>IF(AND(RecData[[#This Row],[Useable Background Data?]],RecData[[#This Row],[Turbines ON/OFF]]="OFF"),RecData[[#This Row],[dBA Sum]],"")</f>
        <v/>
      </c>
      <c r="DR649" s="3">
        <f>IF(OR(RecData[[#This Row],[Useable TON Data?]],RecData[[#This Row],[Useable Background Data?]]),ROUND(RecData[[#This Row],[WSpd_Avg '[m/s']]],0),"")</f>
        <v>1</v>
      </c>
      <c r="DS649" s="85">
        <f>(0.00002)^2*(10^(RecData[[#This Row],[Overall (dBA)]]/10))</f>
        <v>3.8126827796543955E-6</v>
      </c>
    </row>
    <row r="650" spans="1:123" ht="15" x14ac:dyDescent="0.25">
      <c r="A650" s="3" t="s">
        <v>249</v>
      </c>
      <c r="B650" s="12">
        <v>43270.168055555558</v>
      </c>
      <c r="C650" s="3"/>
      <c r="D650" s="3">
        <v>40.799999999999997</v>
      </c>
      <c r="E650" s="3"/>
      <c r="F650" s="3"/>
      <c r="G650" s="3"/>
      <c r="H650" s="3"/>
      <c r="I650" s="3"/>
      <c r="J650" s="3"/>
      <c r="K650" s="3">
        <v>39.799999999999997</v>
      </c>
      <c r="L650" s="3"/>
      <c r="M650" s="3"/>
      <c r="N650" s="3">
        <v>120.6</v>
      </c>
      <c r="O650" s="3"/>
      <c r="P650" s="3"/>
      <c r="Q650" s="3">
        <v>0.4</v>
      </c>
      <c r="R650" s="3">
        <v>0</v>
      </c>
      <c r="S650" s="3">
        <v>0.7</v>
      </c>
      <c r="T650" s="3">
        <v>10.7</v>
      </c>
      <c r="U650" s="3">
        <v>89.3</v>
      </c>
      <c r="V650" s="3">
        <v>973.5</v>
      </c>
      <c r="W650" s="3">
        <v>0</v>
      </c>
      <c r="X650" s="3">
        <v>49</v>
      </c>
      <c r="Y650" s="3">
        <v>48.1</v>
      </c>
      <c r="Z650" s="3">
        <v>46.8</v>
      </c>
      <c r="AA650" s="3">
        <v>42.3</v>
      </c>
      <c r="AB650" s="3">
        <v>38.200000000000003</v>
      </c>
      <c r="AC650" s="3">
        <v>36.9</v>
      </c>
      <c r="AD650" s="3">
        <v>41.2</v>
      </c>
      <c r="AE650" s="3">
        <v>42.5</v>
      </c>
      <c r="AF650" s="3">
        <v>46</v>
      </c>
      <c r="AG650" s="3">
        <v>38.9</v>
      </c>
      <c r="AH650" s="3">
        <v>38.700000000000003</v>
      </c>
      <c r="AI650" s="3">
        <v>38.1</v>
      </c>
      <c r="AJ650" s="3">
        <v>37.299999999999997</v>
      </c>
      <c r="AK650" s="3">
        <v>35.4</v>
      </c>
      <c r="AL650" s="3">
        <v>33.6</v>
      </c>
      <c r="AM650" s="3">
        <v>33.4</v>
      </c>
      <c r="AN650" s="3">
        <v>32</v>
      </c>
      <c r="AO650" s="3">
        <v>28.8</v>
      </c>
      <c r="AP650" s="3">
        <v>26.5</v>
      </c>
      <c r="AQ650" s="3">
        <v>23.8</v>
      </c>
      <c r="AR650" s="3">
        <v>19.899999999999999</v>
      </c>
      <c r="AS650" s="3">
        <v>16.2</v>
      </c>
      <c r="AT650" s="3">
        <v>28.2</v>
      </c>
      <c r="AU650" s="3">
        <v>10.8</v>
      </c>
      <c r="AV650" s="3">
        <v>8.5</v>
      </c>
      <c r="AW650" s="3">
        <v>8.9</v>
      </c>
      <c r="AX650" s="3">
        <v>9.1</v>
      </c>
      <c r="AY650" s="3">
        <v>9.3000000000000007</v>
      </c>
      <c r="AZ650" s="3">
        <v>0</v>
      </c>
      <c r="BA650" s="3">
        <v>0</v>
      </c>
      <c r="BB650" s="3">
        <v>0</v>
      </c>
      <c r="BC650" s="3">
        <v>40.764140711553026</v>
      </c>
      <c r="BD650" s="3">
        <v>49.035859288446972</v>
      </c>
      <c r="BE650" s="3">
        <v>48.13585928844698</v>
      </c>
      <c r="BF650" s="3">
        <v>45.59585928844696</v>
      </c>
      <c r="BG650" s="3">
        <v>41.422525955113642</v>
      </c>
      <c r="BH650" s="3">
        <v>37.462525955113634</v>
      </c>
      <c r="BI650" s="3">
        <v>36.575859288446978</v>
      </c>
      <c r="BJ650" s="3">
        <v>41.669192621780311</v>
      </c>
      <c r="BK650" s="3">
        <v>42.842525955113629</v>
      </c>
      <c r="BL650" s="3">
        <v>45.915859288446981</v>
      </c>
      <c r="BM650" s="3">
        <v>38.949192621780313</v>
      </c>
      <c r="BN650" s="3">
        <v>39.032525955113641</v>
      </c>
      <c r="BO650" s="3">
        <v>37.799192621780307</v>
      </c>
      <c r="BP650" s="3">
        <v>36.715859288446964</v>
      </c>
      <c r="BQ650" s="3">
        <v>35.23252595511363</v>
      </c>
      <c r="BR650" s="3">
        <v>33.759192621780315</v>
      </c>
      <c r="BS650" s="3">
        <v>33.362525955113639</v>
      </c>
      <c r="BT650" s="3">
        <v>32.159192621780306</v>
      </c>
      <c r="BU650" s="3">
        <v>28.925859288446972</v>
      </c>
      <c r="BV650" s="3">
        <v>26.342525955113643</v>
      </c>
      <c r="BW650" s="3">
        <v>24.175859288446972</v>
      </c>
      <c r="BX650" s="3">
        <v>20.195859288446975</v>
      </c>
      <c r="BY650" s="3">
        <v>16.315859288446973</v>
      </c>
      <c r="BZ650" s="3">
        <v>28.445859288446982</v>
      </c>
      <c r="CA650" s="3">
        <v>11.145859288446964</v>
      </c>
      <c r="CB650" s="3">
        <v>8.2825259551136341</v>
      </c>
      <c r="CC650" s="3">
        <v>8.8958592884469709</v>
      </c>
      <c r="CD650" s="3">
        <v>8.4025259551136458</v>
      </c>
      <c r="CE650" s="3">
        <v>8.7958592884469695</v>
      </c>
      <c r="CF650" s="3">
        <v>-0.89080737821969791</v>
      </c>
      <c r="CG650" s="3">
        <v>-1.4241407115530293</v>
      </c>
      <c r="CH650" s="3">
        <v>-2.5008073782196973</v>
      </c>
      <c r="CI650" s="13">
        <f>[1]!dbasum(RecData[[#This Row],[20]:[2000]],RecData[[#Headers],[20]:[2000]])</f>
        <v>40.367091834272998</v>
      </c>
      <c r="CJ650" s="14">
        <v>8419</v>
      </c>
      <c r="CK650" s="15" t="s">
        <v>249</v>
      </c>
      <c r="CL650" s="15">
        <f>RecData[[#This Row],[Start Time]]</f>
        <v>43270.168055555558</v>
      </c>
      <c r="CM650" s="16">
        <f>RecData[[#This Row],[Wind Speed avg]]</f>
        <v>0.4</v>
      </c>
      <c r="CN650" s="16">
        <f>RecData[[#This Row],[Wind Dir. avg]]</f>
        <v>120.6</v>
      </c>
      <c r="CO650" s="16">
        <f>RecData[[#This Row],[Amb. Humidity]]</f>
        <v>89.3</v>
      </c>
      <c r="CP650" s="16">
        <f>RecData[[#This Row],[Amb. Temperature]]</f>
        <v>10.7</v>
      </c>
      <c r="CQ650" s="17">
        <f>RecData[[#This Row],[Amb. Rain Gauge]]</f>
        <v>0</v>
      </c>
      <c r="CR650" s="4" t="s">
        <v>1</v>
      </c>
      <c r="CS650" s="4" t="s">
        <v>49</v>
      </c>
      <c r="CT650" s="70">
        <v>1618.01623535156</v>
      </c>
      <c r="CU650" s="70">
        <v>30.000257492065401</v>
      </c>
      <c r="CV650" s="70">
        <v>10.5205469131469</v>
      </c>
      <c r="CW650" s="70">
        <v>15.2816162109375</v>
      </c>
      <c r="CX650" s="4"/>
      <c r="CY650" s="69"/>
      <c r="CZ650" s="2" t="b">
        <f>IF($DP$1="YES",IF(RecData[[#This Row],[Power (kW)]]&gt;=$CR$3, TRUE,FALSE),TRUE)</f>
        <v>1</v>
      </c>
      <c r="DA650" s="16">
        <f>MIN(MOD(180-ABS(ABS($DA$1-RecData[Yaw Angle (°)])-180),360),MOD(180-ABS(ABS($DB$1-RecData[Yaw Angle (°)])-180),360))</f>
        <v>22.470330714377837</v>
      </c>
      <c r="DB650" s="2" t="str">
        <f>IF($DP$2="None","None",IF(RecData[[#This Row],[Relative Wind Direction]]&lt;=45,"DW",IF(RecData[[#This Row],[Relative Wind Direction]]&lt;=135,"CW","UW")))</f>
        <v>DW</v>
      </c>
      <c r="DC650" s="61" t="e">
        <f>IF($CL650-$CL648&gt;1/24,#REF!,IF(SUM($CQ648:$CQ650)&gt;$DS$1,$DS$5,DC651-1))</f>
        <v>#REF!</v>
      </c>
      <c r="DD650" s="61" t="e">
        <f>IF($CL651-$CL650&gt;1/24,#REF!,IF(SUM($CQ648:$CQ650)&gt;$DS$1,$DS$6,DD649-1))</f>
        <v>#REF!</v>
      </c>
      <c r="DE650" s="18" t="b">
        <v>0</v>
      </c>
      <c r="DF650" s="2" t="b">
        <f>IF(OR(RecData[[#This Row],[WSpd_Avg '[m/s']]]-RecData[[#This Row],[Wind Speed min]]&gt;=$DF$3,RecData[[#This Row],[Wind Speed max]]-RecData[[#This Row],[WSpd_Avg '[m/s']]]&gt;=$DF$2),TRUE,FALSE)</f>
        <v>0</v>
      </c>
      <c r="DG650" s="2" t="b">
        <f>RecData[[#This Row],[Temperature '[°C']]]&lt;=-20</f>
        <v>0</v>
      </c>
      <c r="DH650" s="18" t="b">
        <f>NOT(OR(MOD(RecData[[#This Row],[TIMESTAMP]],1)&gt;0.91632,MOD(RecData[[#This Row],[TIMESTAMP]],1)&lt;0.208681))</f>
        <v>0</v>
      </c>
      <c r="DI650" s="18" t="b">
        <f>RecData[[#This Row],[Overall (dBA)]]-RecData[[#This Row],[L90]]&gt;=$DS$4</f>
        <v>0</v>
      </c>
      <c r="DJ650" s="18" t="b">
        <f>RecData[[#This Row],[Overall (dBA)]]&gt;$DS$2</f>
        <v>0</v>
      </c>
      <c r="DK650" s="18" t="b">
        <f>RecData[[#This Row],[Overall (dBA)]]&lt;$DS$3</f>
        <v>0</v>
      </c>
      <c r="DL6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0" s="2">
        <f>IF(AND(RecData[[#This Row],[Turbines ON/OFF]] = "OFF", NOT(OR(RecData[[#This Row],[Junk?]]="YES",RecData[[#This Row],[Gust?]],RecData[[#This Row],[Rain?]:[Min SPL Threshold?]]))),1,0)</f>
        <v>0</v>
      </c>
      <c r="DN650" s="16">
        <f>RecData[[#This Row],[dBA Sum]]</f>
        <v>40.367091834272998</v>
      </c>
      <c r="DO650" s="16">
        <f>RecData[[#This Row],[LAF90.0]]</f>
        <v>39.799999999999997</v>
      </c>
      <c r="DP650" s="55">
        <f>IF(AND(RecData[[#This Row],[Useable TON Data?]],RecData[[#This Row],[Turbines ON/OFF]]="ON"),RecData[[#This Row],[dBA Sum]],"")</f>
        <v>40.367091834272998</v>
      </c>
      <c r="DQ650" s="55" t="str">
        <f>IF(AND(RecData[[#This Row],[Useable Background Data?]],RecData[[#This Row],[Turbines ON/OFF]]="OFF"),RecData[[#This Row],[dBA Sum]],"")</f>
        <v/>
      </c>
      <c r="DR650" s="3">
        <f>IF(OR(RecData[[#This Row],[Useable TON Data?]],RecData[[#This Row],[Useable Background Data?]]),ROUND(RecData[[#This Row],[WSpd_Avg '[m/s']]],0),"")</f>
        <v>0</v>
      </c>
      <c r="DS650" s="85">
        <f>(0.00002)^2*(10^(RecData[[#This Row],[Overall (dBA)]]/10))</f>
        <v>4.3528046290572592E-6</v>
      </c>
    </row>
    <row r="651" spans="1:123" ht="15" x14ac:dyDescent="0.25">
      <c r="A651" s="3" t="s">
        <v>249</v>
      </c>
      <c r="B651" s="12">
        <v>43270.168750000004</v>
      </c>
      <c r="C651" s="3"/>
      <c r="D651" s="3">
        <v>41.3</v>
      </c>
      <c r="E651" s="3"/>
      <c r="F651" s="3"/>
      <c r="G651" s="3"/>
      <c r="H651" s="3"/>
      <c r="I651" s="3"/>
      <c r="J651" s="3"/>
      <c r="K651" s="3">
        <v>40.200000000000003</v>
      </c>
      <c r="L651" s="3"/>
      <c r="M651" s="3"/>
      <c r="N651" s="3">
        <v>159.80000000000001</v>
      </c>
      <c r="O651" s="3"/>
      <c r="P651" s="3"/>
      <c r="Q651" s="3">
        <v>0.38</v>
      </c>
      <c r="R651" s="3">
        <v>0.2</v>
      </c>
      <c r="S651" s="3">
        <v>0.6</v>
      </c>
      <c r="T651" s="3">
        <v>10.6</v>
      </c>
      <c r="U651" s="3">
        <v>89.2</v>
      </c>
      <c r="V651" s="3">
        <v>973.5</v>
      </c>
      <c r="W651" s="3">
        <v>0</v>
      </c>
      <c r="X651" s="3">
        <v>48.3</v>
      </c>
      <c r="Y651" s="3">
        <v>48.3</v>
      </c>
      <c r="Z651" s="3">
        <v>47.3</v>
      </c>
      <c r="AA651" s="3">
        <v>42.9</v>
      </c>
      <c r="AB651" s="3">
        <v>37.6</v>
      </c>
      <c r="AC651" s="3">
        <v>37</v>
      </c>
      <c r="AD651" s="3">
        <v>41.3</v>
      </c>
      <c r="AE651" s="3">
        <v>43.2</v>
      </c>
      <c r="AF651" s="3">
        <v>46.6</v>
      </c>
      <c r="AG651" s="3">
        <v>40.6</v>
      </c>
      <c r="AH651" s="3">
        <v>39.4</v>
      </c>
      <c r="AI651" s="3">
        <v>38.799999999999997</v>
      </c>
      <c r="AJ651" s="3">
        <v>38</v>
      </c>
      <c r="AK651" s="3">
        <v>36.200000000000003</v>
      </c>
      <c r="AL651" s="3">
        <v>34.200000000000003</v>
      </c>
      <c r="AM651" s="3">
        <v>33.9</v>
      </c>
      <c r="AN651" s="3">
        <v>32.6</v>
      </c>
      <c r="AO651" s="3">
        <v>29.4</v>
      </c>
      <c r="AP651" s="3">
        <v>27</v>
      </c>
      <c r="AQ651" s="3">
        <v>24.4</v>
      </c>
      <c r="AR651" s="3">
        <v>20.399999999999999</v>
      </c>
      <c r="AS651" s="3">
        <v>17</v>
      </c>
      <c r="AT651" s="3">
        <v>27</v>
      </c>
      <c r="AU651" s="3">
        <v>9.4</v>
      </c>
      <c r="AV651" s="3">
        <v>8.5</v>
      </c>
      <c r="AW651" s="3">
        <v>8.9</v>
      </c>
      <c r="AX651" s="3">
        <v>9.1</v>
      </c>
      <c r="AY651" s="3">
        <v>9.3000000000000007</v>
      </c>
      <c r="AZ651" s="3">
        <v>0</v>
      </c>
      <c r="BA651" s="3">
        <v>0</v>
      </c>
      <c r="BB651" s="3">
        <v>0</v>
      </c>
      <c r="BC651" s="3">
        <v>41.315488844230366</v>
      </c>
      <c r="BD651" s="3">
        <v>48.284511155769628</v>
      </c>
      <c r="BE651" s="3">
        <v>48.284511155769628</v>
      </c>
      <c r="BF651" s="3">
        <v>46.044511155769619</v>
      </c>
      <c r="BG651" s="3">
        <v>41.971177822436296</v>
      </c>
      <c r="BH651" s="3">
        <v>36.811177822436299</v>
      </c>
      <c r="BI651" s="3">
        <v>36.624511155769632</v>
      </c>
      <c r="BJ651" s="3">
        <v>41.717844489102966</v>
      </c>
      <c r="BK651" s="3">
        <v>43.491177822436306</v>
      </c>
      <c r="BL651" s="3">
        <v>46.464511155769635</v>
      </c>
      <c r="BM651" s="3">
        <v>40.597844489102961</v>
      </c>
      <c r="BN651" s="3">
        <v>39.681177822436304</v>
      </c>
      <c r="BO651" s="3">
        <v>38.447844489102955</v>
      </c>
      <c r="BP651" s="3">
        <v>37.364511155769641</v>
      </c>
      <c r="BQ651" s="3">
        <v>35.981177822436287</v>
      </c>
      <c r="BR651" s="3">
        <v>34.307844489102969</v>
      </c>
      <c r="BS651" s="3">
        <v>33.811177822436299</v>
      </c>
      <c r="BT651" s="3">
        <v>32.707844489102975</v>
      </c>
      <c r="BU651" s="3">
        <v>29.474511155769626</v>
      </c>
      <c r="BV651" s="3">
        <v>26.791177822436303</v>
      </c>
      <c r="BW651" s="3">
        <v>24.724511155769626</v>
      </c>
      <c r="BX651" s="3">
        <v>20.644511155769635</v>
      </c>
      <c r="BY651" s="3">
        <v>17.06451115576963</v>
      </c>
      <c r="BZ651" s="3">
        <v>27.194511155769639</v>
      </c>
      <c r="CA651" s="3">
        <v>9.6945111557696251</v>
      </c>
      <c r="CB651" s="3">
        <v>8.2311778224362939</v>
      </c>
      <c r="CC651" s="3">
        <v>8.8445111557696308</v>
      </c>
      <c r="CD651" s="3">
        <v>8.3511778224363056</v>
      </c>
      <c r="CE651" s="3">
        <v>8.7445111557696293</v>
      </c>
      <c r="CF651" s="3">
        <v>-0.94215551089703808</v>
      </c>
      <c r="CG651" s="3">
        <v>-1.4754888442303695</v>
      </c>
      <c r="CH651" s="3">
        <v>-2.5521555108970375</v>
      </c>
      <c r="CI651" s="13">
        <f>[1]!dbasum(RecData[[#This Row],[20]:[2000]],RecData[[#Headers],[20]:[2000]])</f>
        <v>40.980975247914074</v>
      </c>
      <c r="CJ651" s="14">
        <v>8420</v>
      </c>
      <c r="CK651" s="15" t="s">
        <v>249</v>
      </c>
      <c r="CL651" s="15">
        <f>RecData[[#This Row],[Start Time]]</f>
        <v>43270.168750000004</v>
      </c>
      <c r="CM651" s="16">
        <f>RecData[[#This Row],[Wind Speed avg]]</f>
        <v>0.38</v>
      </c>
      <c r="CN651" s="16">
        <f>RecData[[#This Row],[Wind Dir. avg]]</f>
        <v>159.80000000000001</v>
      </c>
      <c r="CO651" s="16">
        <f>RecData[[#This Row],[Amb. Humidity]]</f>
        <v>89.2</v>
      </c>
      <c r="CP651" s="16">
        <f>RecData[[#This Row],[Amb. Temperature]]</f>
        <v>10.6</v>
      </c>
      <c r="CQ651" s="17">
        <f>RecData[[#This Row],[Amb. Rain Gauge]]</f>
        <v>0</v>
      </c>
      <c r="CR651" s="4" t="s">
        <v>1</v>
      </c>
      <c r="CS651" s="4" t="s">
        <v>49</v>
      </c>
      <c r="CT651" s="70">
        <v>1618.01623535156</v>
      </c>
      <c r="CU651" s="70">
        <v>30.000257492065401</v>
      </c>
      <c r="CV651" s="70">
        <v>10.5205469131469</v>
      </c>
      <c r="CW651" s="70">
        <v>15.2816162109375</v>
      </c>
      <c r="CX651" s="4"/>
      <c r="CY651" s="69"/>
      <c r="CZ651" s="2" t="b">
        <f>IF($DP$1="YES",IF(RecData[[#This Row],[Power (kW)]]&gt;=$CR$3, TRUE,FALSE),TRUE)</f>
        <v>1</v>
      </c>
      <c r="DA651" s="16">
        <f>MIN(MOD(180-ABS(ABS($DA$1-RecData[Yaw Angle (°)])-180),360),MOD(180-ABS(ABS($DB$1-RecData[Yaw Angle (°)])-180),360))</f>
        <v>22.470330714377837</v>
      </c>
      <c r="DB651" s="2" t="str">
        <f>IF($DP$2="None","None",IF(RecData[[#This Row],[Relative Wind Direction]]&lt;=45,"DW",IF(RecData[[#This Row],[Relative Wind Direction]]&lt;=135,"CW","UW")))</f>
        <v>DW</v>
      </c>
      <c r="DC651" s="61" t="e">
        <f>IF($CL651-$CL648&gt;1/24,#REF!,IF(SUM($CQ648:$CQ651)&gt;$DS$1,$DS$5,DC652-1))</f>
        <v>#REF!</v>
      </c>
      <c r="DD651" s="61" t="e">
        <f>IF($CL652-$CL651&gt;1/24,#REF!,IF(SUM($CQ648:$CQ651)&gt;$DS$1,$DS$6,DD650-1))</f>
        <v>#REF!</v>
      </c>
      <c r="DE651" s="18" t="b">
        <v>0</v>
      </c>
      <c r="DF651" s="2" t="b">
        <f>IF(OR(RecData[[#This Row],[WSpd_Avg '[m/s']]]-RecData[[#This Row],[Wind Speed min]]&gt;=$DF$3,RecData[[#This Row],[Wind Speed max]]-RecData[[#This Row],[WSpd_Avg '[m/s']]]&gt;=$DF$2),TRUE,FALSE)</f>
        <v>0</v>
      </c>
      <c r="DG651" s="2" t="b">
        <f>RecData[[#This Row],[Temperature '[°C']]]&lt;=-20</f>
        <v>0</v>
      </c>
      <c r="DH651" s="18" t="b">
        <f>NOT(OR(MOD(RecData[[#This Row],[TIMESTAMP]],1)&gt;0.91632,MOD(RecData[[#This Row],[TIMESTAMP]],1)&lt;0.208681))</f>
        <v>0</v>
      </c>
      <c r="DI651" s="18" t="b">
        <f>RecData[[#This Row],[Overall (dBA)]]-RecData[[#This Row],[L90]]&gt;=$DS$4</f>
        <v>0</v>
      </c>
      <c r="DJ651" s="18" t="b">
        <f>RecData[[#This Row],[Overall (dBA)]]&gt;$DS$2</f>
        <v>0</v>
      </c>
      <c r="DK651" s="18" t="b">
        <f>RecData[[#This Row],[Overall (dBA)]]&lt;$DS$3</f>
        <v>0</v>
      </c>
      <c r="DL6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1" s="2">
        <f>IF(AND(RecData[[#This Row],[Turbines ON/OFF]] = "OFF", NOT(OR(RecData[[#This Row],[Junk?]]="YES",RecData[[#This Row],[Gust?]],RecData[[#This Row],[Rain?]:[Min SPL Threshold?]]))),1,0)</f>
        <v>0</v>
      </c>
      <c r="DN651" s="16">
        <f>RecData[[#This Row],[dBA Sum]]</f>
        <v>40.980975247914074</v>
      </c>
      <c r="DO651" s="16">
        <f>RecData[[#This Row],[LAF90.0]]</f>
        <v>40.200000000000003</v>
      </c>
      <c r="DP651" s="55">
        <f>IF(AND(RecData[[#This Row],[Useable TON Data?]],RecData[[#This Row],[Turbines ON/OFF]]="ON"),RecData[[#This Row],[dBA Sum]],"")</f>
        <v>40.980975247914074</v>
      </c>
      <c r="DQ651" s="55" t="str">
        <f>IF(AND(RecData[[#This Row],[Useable Background Data?]],RecData[[#This Row],[Turbines ON/OFF]]="OFF"),RecData[[#This Row],[dBA Sum]],"")</f>
        <v/>
      </c>
      <c r="DR651" s="3">
        <f>IF(OR(RecData[[#This Row],[Useable TON Data?]],RecData[[#This Row],[Useable Background Data?]]),ROUND(RecData[[#This Row],[WSpd_Avg '[m/s']]],0),"")</f>
        <v>0</v>
      </c>
      <c r="DS651" s="85">
        <f>(0.00002)^2*(10^(RecData[[#This Row],[Overall (dBA)]]/10))</f>
        <v>5.0136904433314627E-6</v>
      </c>
    </row>
    <row r="652" spans="1:123" ht="15" x14ac:dyDescent="0.25">
      <c r="A652" s="3" t="s">
        <v>249</v>
      </c>
      <c r="B652" s="12">
        <v>43270.169444444451</v>
      </c>
      <c r="C652" s="3"/>
      <c r="D652" s="3">
        <v>40.700000000000003</v>
      </c>
      <c r="E652" s="3"/>
      <c r="F652" s="3"/>
      <c r="G652" s="3"/>
      <c r="H652" s="3"/>
      <c r="I652" s="3"/>
      <c r="J652" s="3"/>
      <c r="K652" s="3">
        <v>39.5</v>
      </c>
      <c r="L652" s="3"/>
      <c r="M652" s="3"/>
      <c r="N652" s="3">
        <v>191.7</v>
      </c>
      <c r="O652" s="3"/>
      <c r="P652" s="3"/>
      <c r="Q652" s="3">
        <v>0.62</v>
      </c>
      <c r="R652" s="3">
        <v>0.5</v>
      </c>
      <c r="S652" s="3">
        <v>0.8</v>
      </c>
      <c r="T652" s="3">
        <v>10.6</v>
      </c>
      <c r="U652" s="3">
        <v>89.8</v>
      </c>
      <c r="V652" s="3">
        <v>973.5</v>
      </c>
      <c r="W652" s="3">
        <v>0</v>
      </c>
      <c r="X652" s="3">
        <v>47.9</v>
      </c>
      <c r="Y652" s="3">
        <v>47.8</v>
      </c>
      <c r="Z652" s="3">
        <v>47.2</v>
      </c>
      <c r="AA652" s="3">
        <v>43.1</v>
      </c>
      <c r="AB652" s="3">
        <v>37.299999999999997</v>
      </c>
      <c r="AC652" s="3">
        <v>37</v>
      </c>
      <c r="AD652" s="3">
        <v>41.1</v>
      </c>
      <c r="AE652" s="3">
        <v>42.6</v>
      </c>
      <c r="AF652" s="3">
        <v>46.1</v>
      </c>
      <c r="AG652" s="3">
        <v>39.700000000000003</v>
      </c>
      <c r="AH652" s="3">
        <v>39</v>
      </c>
      <c r="AI652" s="3">
        <v>38.299999999999997</v>
      </c>
      <c r="AJ652" s="3">
        <v>37.5</v>
      </c>
      <c r="AK652" s="3">
        <v>35.6</v>
      </c>
      <c r="AL652" s="3">
        <v>33.700000000000003</v>
      </c>
      <c r="AM652" s="3">
        <v>33.4</v>
      </c>
      <c r="AN652" s="3">
        <v>32</v>
      </c>
      <c r="AO652" s="3">
        <v>29</v>
      </c>
      <c r="AP652" s="3">
        <v>26.6</v>
      </c>
      <c r="AQ652" s="3">
        <v>24.3</v>
      </c>
      <c r="AR652" s="3">
        <v>20.3</v>
      </c>
      <c r="AS652" s="3">
        <v>16.3</v>
      </c>
      <c r="AT652" s="3">
        <v>23.8</v>
      </c>
      <c r="AU652" s="3">
        <v>9.5</v>
      </c>
      <c r="AV652" s="3">
        <v>8.5</v>
      </c>
      <c r="AW652" s="3">
        <v>8.9</v>
      </c>
      <c r="AX652" s="3">
        <v>9.1</v>
      </c>
      <c r="AY652" s="3">
        <v>9.3000000000000007</v>
      </c>
      <c r="AZ652" s="3">
        <v>0</v>
      </c>
      <c r="BA652" s="3">
        <v>0</v>
      </c>
      <c r="BB652" s="3">
        <v>0</v>
      </c>
      <c r="BC652" s="3">
        <v>40.712619953050904</v>
      </c>
      <c r="BD652" s="3">
        <v>47.88738004694909</v>
      </c>
      <c r="BE652" s="3">
        <v>47.787380046949096</v>
      </c>
      <c r="BF652" s="3">
        <v>45.947380046949093</v>
      </c>
      <c r="BG652" s="3">
        <v>42.174046713615766</v>
      </c>
      <c r="BH652" s="3">
        <v>36.514046713615755</v>
      </c>
      <c r="BI652" s="3">
        <v>36.627380046949099</v>
      </c>
      <c r="BJ652" s="3">
        <v>41.52071338028243</v>
      </c>
      <c r="BK652" s="3">
        <v>42.894046713615765</v>
      </c>
      <c r="BL652" s="3">
        <v>45.967380046949103</v>
      </c>
      <c r="BM652" s="3">
        <v>39.700713380282437</v>
      </c>
      <c r="BN652" s="3">
        <v>39.284046713615766</v>
      </c>
      <c r="BO652" s="3">
        <v>37.950713380282423</v>
      </c>
      <c r="BP652" s="3">
        <v>36.867380046949108</v>
      </c>
      <c r="BQ652" s="3">
        <v>35.38404671361576</v>
      </c>
      <c r="BR652" s="3">
        <v>33.810713380282436</v>
      </c>
      <c r="BS652" s="3">
        <v>33.314046713615767</v>
      </c>
      <c r="BT652" s="3">
        <v>32.110713380282434</v>
      </c>
      <c r="BU652" s="3">
        <v>29.077380046949102</v>
      </c>
      <c r="BV652" s="3">
        <v>26.394046713615765</v>
      </c>
      <c r="BW652" s="3">
        <v>24.627380046949099</v>
      </c>
      <c r="BX652" s="3">
        <v>20.547380046949101</v>
      </c>
      <c r="BY652" s="3">
        <v>16.367380046949094</v>
      </c>
      <c r="BZ652" s="3">
        <v>23.997380046949104</v>
      </c>
      <c r="CA652" s="3">
        <v>9.7973800469490939</v>
      </c>
      <c r="CB652" s="3">
        <v>8.2340467136157613</v>
      </c>
      <c r="CC652" s="3">
        <v>8.8473800469490982</v>
      </c>
      <c r="CD652" s="3">
        <v>8.354046713615773</v>
      </c>
      <c r="CE652" s="3">
        <v>8.7473800469490968</v>
      </c>
      <c r="CF652" s="3">
        <v>-0.93928661971757066</v>
      </c>
      <c r="CG652" s="3">
        <v>-1.4726199530509021</v>
      </c>
      <c r="CH652" s="3">
        <v>-2.5492866197175701</v>
      </c>
      <c r="CI652" s="13">
        <f>[1]!dbasum(RecData[[#This Row],[20]:[2000]],RecData[[#Headers],[20]:[2000]])</f>
        <v>40.480912939372942</v>
      </c>
      <c r="CJ652" s="14">
        <v>8421</v>
      </c>
      <c r="CK652" s="15" t="s">
        <v>249</v>
      </c>
      <c r="CL652" s="15">
        <f>RecData[[#This Row],[Start Time]]</f>
        <v>43270.169444444451</v>
      </c>
      <c r="CM652" s="16">
        <f>RecData[[#This Row],[Wind Speed avg]]</f>
        <v>0.62</v>
      </c>
      <c r="CN652" s="16">
        <f>RecData[[#This Row],[Wind Dir. avg]]</f>
        <v>191.7</v>
      </c>
      <c r="CO652" s="16">
        <f>RecData[[#This Row],[Amb. Humidity]]</f>
        <v>89.8</v>
      </c>
      <c r="CP652" s="16">
        <f>RecData[[#This Row],[Amb. Temperature]]</f>
        <v>10.6</v>
      </c>
      <c r="CQ652" s="17">
        <f>RecData[[#This Row],[Amb. Rain Gauge]]</f>
        <v>0</v>
      </c>
      <c r="CR652" s="4" t="s">
        <v>1</v>
      </c>
      <c r="CS652" s="4" t="s">
        <v>49</v>
      </c>
      <c r="CT652" s="70">
        <v>1618.01623535156</v>
      </c>
      <c r="CU652" s="70">
        <v>30.000257492065401</v>
      </c>
      <c r="CV652" s="70">
        <v>10.5205469131469</v>
      </c>
      <c r="CW652" s="70">
        <v>15.2816162109375</v>
      </c>
      <c r="CX652" s="4"/>
      <c r="CY652" s="69"/>
      <c r="CZ652" s="2" t="b">
        <f>IF($DP$1="YES",IF(RecData[[#This Row],[Power (kW)]]&gt;=$CR$3, TRUE,FALSE),TRUE)</f>
        <v>1</v>
      </c>
      <c r="DA652" s="16">
        <f>MIN(MOD(180-ABS(ABS($DA$1-RecData[Yaw Angle (°)])-180),360),MOD(180-ABS(ABS($DB$1-RecData[Yaw Angle (°)])-180),360))</f>
        <v>22.470330714377837</v>
      </c>
      <c r="DB652" s="2" t="str">
        <f>IF($DP$2="None","None",IF(RecData[[#This Row],[Relative Wind Direction]]&lt;=45,"DW",IF(RecData[[#This Row],[Relative Wind Direction]]&lt;=135,"CW","UW")))</f>
        <v>DW</v>
      </c>
      <c r="DC652" s="61" t="e">
        <f>IF($CL652-#REF!&gt;1/24,#REF!,IF(SUM($CQ649:$CQ652)&gt;$DS$1,$DS$5,DC653-1))</f>
        <v>#REF!</v>
      </c>
      <c r="DD652" s="61" t="e">
        <f>IF($CL653-$CL652&gt;1/24,#REF!,IF(SUM($CQ649:$CQ652)&gt;$DS$1,$DS$6,DD651-1))</f>
        <v>#REF!</v>
      </c>
      <c r="DE652" s="18" t="b">
        <v>0</v>
      </c>
      <c r="DF652" s="2" t="b">
        <f>IF(OR(RecData[[#This Row],[WSpd_Avg '[m/s']]]-RecData[[#This Row],[Wind Speed min]]&gt;=$DF$3,RecData[[#This Row],[Wind Speed max]]-RecData[[#This Row],[WSpd_Avg '[m/s']]]&gt;=$DF$2),TRUE,FALSE)</f>
        <v>0</v>
      </c>
      <c r="DG652" s="2" t="b">
        <f>RecData[[#This Row],[Temperature '[°C']]]&lt;=-20</f>
        <v>0</v>
      </c>
      <c r="DH652" s="18" t="b">
        <f>NOT(OR(MOD(RecData[[#This Row],[TIMESTAMP]],1)&gt;0.91632,MOD(RecData[[#This Row],[TIMESTAMP]],1)&lt;0.208681))</f>
        <v>0</v>
      </c>
      <c r="DI652" s="18" t="b">
        <f>RecData[[#This Row],[Overall (dBA)]]-RecData[[#This Row],[L90]]&gt;=$DS$4</f>
        <v>0</v>
      </c>
      <c r="DJ652" s="18" t="b">
        <f>RecData[[#This Row],[Overall (dBA)]]&gt;$DS$2</f>
        <v>0</v>
      </c>
      <c r="DK652" s="18" t="b">
        <f>RecData[[#This Row],[Overall (dBA)]]&lt;$DS$3</f>
        <v>0</v>
      </c>
      <c r="DL6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2" s="2">
        <f>IF(AND(RecData[[#This Row],[Turbines ON/OFF]] = "OFF", NOT(OR(RecData[[#This Row],[Junk?]]="YES",RecData[[#This Row],[Gust?]],RecData[[#This Row],[Rain?]:[Min SPL Threshold?]]))),1,0)</f>
        <v>0</v>
      </c>
      <c r="DN652" s="16">
        <f>RecData[[#This Row],[dBA Sum]]</f>
        <v>40.480912939372942</v>
      </c>
      <c r="DO652" s="16">
        <f>RecData[[#This Row],[LAF90.0]]</f>
        <v>39.5</v>
      </c>
      <c r="DP652" s="55">
        <f>IF(AND(RecData[[#This Row],[Useable TON Data?]],RecData[[#This Row],[Turbines ON/OFF]]="ON"),RecData[[#This Row],[dBA Sum]],"")</f>
        <v>40.480912939372942</v>
      </c>
      <c r="DQ652" s="55" t="str">
        <f>IF(AND(RecData[[#This Row],[Useable Background Data?]],RecData[[#This Row],[Turbines ON/OFF]]="OFF"),RecData[[#This Row],[dBA Sum]],"")</f>
        <v/>
      </c>
      <c r="DR652" s="3">
        <f>IF(OR(RecData[[#This Row],[Useable TON Data?]],RecData[[#This Row],[Useable Background Data?]]),ROUND(RecData[[#This Row],[WSpd_Avg '[m/s']]],0),"")</f>
        <v>1</v>
      </c>
      <c r="DS652" s="85">
        <f>(0.00002)^2*(10^(RecData[[#This Row],[Overall (dBA)]]/10))</f>
        <v>4.4683922023277236E-6</v>
      </c>
    </row>
    <row r="653" spans="1:123" ht="15" x14ac:dyDescent="0.25">
      <c r="A653" s="3" t="s">
        <v>249</v>
      </c>
      <c r="B653" s="12">
        <v>43270.170138888891</v>
      </c>
      <c r="C653" s="3"/>
      <c r="D653" s="3">
        <v>40.200000000000003</v>
      </c>
      <c r="E653" s="3"/>
      <c r="F653" s="3"/>
      <c r="G653" s="3"/>
      <c r="H653" s="3"/>
      <c r="I653" s="3"/>
      <c r="J653" s="3"/>
      <c r="K653" s="3">
        <v>38.9</v>
      </c>
      <c r="L653" s="3"/>
      <c r="M653" s="3"/>
      <c r="N653" s="3">
        <v>152.4</v>
      </c>
      <c r="O653" s="3"/>
      <c r="P653" s="3"/>
      <c r="Q653" s="3">
        <v>0.54</v>
      </c>
      <c r="R653" s="3">
        <v>0.1</v>
      </c>
      <c r="S653" s="3">
        <v>0.9</v>
      </c>
      <c r="T653" s="3">
        <v>10.6</v>
      </c>
      <c r="U653" s="3">
        <v>90.4</v>
      </c>
      <c r="V653" s="3">
        <v>973.5</v>
      </c>
      <c r="W653" s="3">
        <v>0</v>
      </c>
      <c r="X653" s="3">
        <v>48.4</v>
      </c>
      <c r="Y653" s="3">
        <v>47.7</v>
      </c>
      <c r="Z653" s="3">
        <v>46.3</v>
      </c>
      <c r="AA653" s="3">
        <v>42.2</v>
      </c>
      <c r="AB653" s="3">
        <v>36.9</v>
      </c>
      <c r="AC653" s="3">
        <v>36.1</v>
      </c>
      <c r="AD653" s="3">
        <v>40.5</v>
      </c>
      <c r="AE653" s="3">
        <v>41.9</v>
      </c>
      <c r="AF653" s="3">
        <v>45.6</v>
      </c>
      <c r="AG653" s="3">
        <v>39.299999999999997</v>
      </c>
      <c r="AH653" s="3">
        <v>38</v>
      </c>
      <c r="AI653" s="3">
        <v>37.6</v>
      </c>
      <c r="AJ653" s="3">
        <v>36.799999999999997</v>
      </c>
      <c r="AK653" s="3">
        <v>35</v>
      </c>
      <c r="AL653" s="3">
        <v>33.1</v>
      </c>
      <c r="AM653" s="3">
        <v>33.1</v>
      </c>
      <c r="AN653" s="3">
        <v>31.8</v>
      </c>
      <c r="AO653" s="3">
        <v>28.7</v>
      </c>
      <c r="AP653" s="3">
        <v>26.3</v>
      </c>
      <c r="AQ653" s="3">
        <v>23.8</v>
      </c>
      <c r="AR653" s="3">
        <v>19.899999999999999</v>
      </c>
      <c r="AS653" s="3">
        <v>15.7</v>
      </c>
      <c r="AT653" s="3">
        <v>19.8</v>
      </c>
      <c r="AU653" s="3">
        <v>8.6999999999999993</v>
      </c>
      <c r="AV653" s="3">
        <v>8.4</v>
      </c>
      <c r="AW653" s="3">
        <v>8.9</v>
      </c>
      <c r="AX653" s="3">
        <v>9.1</v>
      </c>
      <c r="AY653" s="3">
        <v>9.3000000000000007</v>
      </c>
      <c r="AZ653" s="3">
        <v>0</v>
      </c>
      <c r="BA653" s="3">
        <v>0</v>
      </c>
      <c r="BB653" s="3">
        <v>0</v>
      </c>
      <c r="BC653" s="3">
        <v>40.149212638822462</v>
      </c>
      <c r="BD653" s="3">
        <v>48.450787361177532</v>
      </c>
      <c r="BE653" s="3">
        <v>47.750787361177544</v>
      </c>
      <c r="BF653" s="3">
        <v>45.110787361177529</v>
      </c>
      <c r="BG653" s="3">
        <v>41.337454027844217</v>
      </c>
      <c r="BH653" s="3">
        <v>36.177454027844206</v>
      </c>
      <c r="BI653" s="3">
        <v>35.790787361177536</v>
      </c>
      <c r="BJ653" s="3">
        <v>40.984120694510864</v>
      </c>
      <c r="BK653" s="3">
        <v>42.257454027844204</v>
      </c>
      <c r="BL653" s="3">
        <v>45.530787361177545</v>
      </c>
      <c r="BM653" s="3">
        <v>39.364120694510873</v>
      </c>
      <c r="BN653" s="3">
        <v>38.347454027844208</v>
      </c>
      <c r="BO653" s="3">
        <v>37.314120694510876</v>
      </c>
      <c r="BP653" s="3">
        <v>36.230787361177534</v>
      </c>
      <c r="BQ653" s="3">
        <v>34.847454027844208</v>
      </c>
      <c r="BR653" s="3">
        <v>33.274120694510884</v>
      </c>
      <c r="BS653" s="3">
        <v>33.077454027844212</v>
      </c>
      <c r="BT653" s="3">
        <v>31.974120694510873</v>
      </c>
      <c r="BU653" s="3">
        <v>28.840787361177547</v>
      </c>
      <c r="BV653" s="3">
        <v>26.15745402784421</v>
      </c>
      <c r="BW653" s="3">
        <v>24.190787361177541</v>
      </c>
      <c r="BX653" s="3">
        <v>20.210787361177545</v>
      </c>
      <c r="BY653" s="3">
        <v>15.830787361177542</v>
      </c>
      <c r="BZ653" s="3">
        <v>20.060787361177546</v>
      </c>
      <c r="CA653" s="3">
        <v>9.0607873611775318</v>
      </c>
      <c r="CB653" s="3">
        <v>8.1974540278442021</v>
      </c>
      <c r="CC653" s="3">
        <v>8.9107873611775403</v>
      </c>
      <c r="CD653" s="3">
        <v>8.4174540278442151</v>
      </c>
      <c r="CE653" s="3">
        <v>8.8107873611775389</v>
      </c>
      <c r="CF653" s="3">
        <v>-0.87587930548912851</v>
      </c>
      <c r="CG653" s="3">
        <v>-1.40921263882246</v>
      </c>
      <c r="CH653" s="3">
        <v>-2.4858793054891279</v>
      </c>
      <c r="CI653" s="13">
        <f>[1]!dbasum(RecData[[#This Row],[20]:[2000]],RecData[[#Headers],[20]:[2000]])</f>
        <v>40.048164660569682</v>
      </c>
      <c r="CJ653" s="14">
        <v>8422</v>
      </c>
      <c r="CK653" s="15" t="s">
        <v>249</v>
      </c>
      <c r="CL653" s="15">
        <f>RecData[[#This Row],[Start Time]]</f>
        <v>43270.170138888891</v>
      </c>
      <c r="CM653" s="16">
        <f>RecData[[#This Row],[Wind Speed avg]]</f>
        <v>0.54</v>
      </c>
      <c r="CN653" s="16">
        <f>RecData[[#This Row],[Wind Dir. avg]]</f>
        <v>152.4</v>
      </c>
      <c r="CO653" s="16">
        <f>RecData[[#This Row],[Amb. Humidity]]</f>
        <v>90.4</v>
      </c>
      <c r="CP653" s="16">
        <f>RecData[[#This Row],[Amb. Temperature]]</f>
        <v>10.6</v>
      </c>
      <c r="CQ653" s="17">
        <f>RecData[[#This Row],[Amb. Rain Gauge]]</f>
        <v>0</v>
      </c>
      <c r="CR653" s="4" t="s">
        <v>1</v>
      </c>
      <c r="CS653" s="4" t="s">
        <v>49</v>
      </c>
      <c r="CT653" s="70">
        <v>1618.01623535156</v>
      </c>
      <c r="CU653" s="70">
        <v>30.000257492065401</v>
      </c>
      <c r="CV653" s="70">
        <v>10.5205469131469</v>
      </c>
      <c r="CW653" s="70">
        <v>15.2816162109375</v>
      </c>
      <c r="CX653" s="4"/>
      <c r="CY653" s="69"/>
      <c r="CZ653" s="2" t="b">
        <f>IF($DP$1="YES",IF(RecData[[#This Row],[Power (kW)]]&gt;=$CR$3, TRUE,FALSE),TRUE)</f>
        <v>1</v>
      </c>
      <c r="DA653" s="16">
        <f>MIN(MOD(180-ABS(ABS($DA$1-RecData[Yaw Angle (°)])-180),360),MOD(180-ABS(ABS($DB$1-RecData[Yaw Angle (°)])-180),360))</f>
        <v>22.470330714377837</v>
      </c>
      <c r="DB653" s="2" t="str">
        <f>IF($DP$2="None","None",IF(RecData[[#This Row],[Relative Wind Direction]]&lt;=45,"DW",IF(RecData[[#This Row],[Relative Wind Direction]]&lt;=135,"CW","UW")))</f>
        <v>DW</v>
      </c>
      <c r="DC653" s="61">
        <f>IF($CL653-$CL649&gt;1/24,#REF!,IF(SUM($CQ649:$CQ653)&gt;$DS$1,$DS$5,DC654-1))</f>
        <v>-4</v>
      </c>
      <c r="DD653" s="61" t="e">
        <f>IF($CL654-$CL653&gt;1/24,#REF!,IF(SUM($CQ649:$CQ653)&gt;$DS$1,$DS$6,DD652-1))</f>
        <v>#REF!</v>
      </c>
      <c r="DE653" s="18" t="b">
        <v>0</v>
      </c>
      <c r="DF653" s="2" t="b">
        <f>IF(OR(RecData[[#This Row],[WSpd_Avg '[m/s']]]-RecData[[#This Row],[Wind Speed min]]&gt;=$DF$3,RecData[[#This Row],[Wind Speed max]]-RecData[[#This Row],[WSpd_Avg '[m/s']]]&gt;=$DF$2),TRUE,FALSE)</f>
        <v>0</v>
      </c>
      <c r="DG653" s="2" t="b">
        <f>RecData[[#This Row],[Temperature '[°C']]]&lt;=-20</f>
        <v>0</v>
      </c>
      <c r="DH653" s="18" t="b">
        <f>NOT(OR(MOD(RecData[[#This Row],[TIMESTAMP]],1)&gt;0.91632,MOD(RecData[[#This Row],[TIMESTAMP]],1)&lt;0.208681))</f>
        <v>0</v>
      </c>
      <c r="DI653" s="18" t="b">
        <f>RecData[[#This Row],[Overall (dBA)]]-RecData[[#This Row],[L90]]&gt;=$DS$4</f>
        <v>0</v>
      </c>
      <c r="DJ653" s="18" t="b">
        <f>RecData[[#This Row],[Overall (dBA)]]&gt;$DS$2</f>
        <v>0</v>
      </c>
      <c r="DK653" s="18" t="b">
        <f>RecData[[#This Row],[Overall (dBA)]]&lt;$DS$3</f>
        <v>0</v>
      </c>
      <c r="DL6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3" s="2">
        <f>IF(AND(RecData[[#This Row],[Turbines ON/OFF]] = "OFF", NOT(OR(RecData[[#This Row],[Junk?]]="YES",RecData[[#This Row],[Gust?]],RecData[[#This Row],[Rain?]:[Min SPL Threshold?]]))),1,0)</f>
        <v>0</v>
      </c>
      <c r="DN653" s="16">
        <f>RecData[[#This Row],[dBA Sum]]</f>
        <v>40.048164660569682</v>
      </c>
      <c r="DO653" s="16">
        <f>RecData[[#This Row],[LAF90.0]]</f>
        <v>38.9</v>
      </c>
      <c r="DP653" s="55">
        <f>IF(AND(RecData[[#This Row],[Useable TON Data?]],RecData[[#This Row],[Turbines ON/OFF]]="ON"),RecData[[#This Row],[dBA Sum]],"")</f>
        <v>40.048164660569682</v>
      </c>
      <c r="DQ653" s="55" t="str">
        <f>IF(AND(RecData[[#This Row],[Useable Background Data?]],RecData[[#This Row],[Turbines ON/OFF]]="OFF"),RecData[[#This Row],[dBA Sum]],"")</f>
        <v/>
      </c>
      <c r="DR653" s="3">
        <f>IF(OR(RecData[[#This Row],[Useable TON Data?]],RecData[[#This Row],[Useable Background Data?]]),ROUND(RecData[[#This Row],[WSpd_Avg '[m/s']]],0),"")</f>
        <v>1</v>
      </c>
      <c r="DS653" s="85">
        <f>(0.00002)^2*(10^(RecData[[#This Row],[Overall (dBA)]]/10))</f>
        <v>4.0446081941991096E-6</v>
      </c>
    </row>
    <row r="654" spans="1:123" ht="15" x14ac:dyDescent="0.25">
      <c r="A654" s="3" t="s">
        <v>249</v>
      </c>
      <c r="B654" s="12">
        <v>43270.170833333337</v>
      </c>
      <c r="C654" s="3"/>
      <c r="D654" s="3">
        <v>40.299999999999997</v>
      </c>
      <c r="E654" s="3"/>
      <c r="F654" s="3"/>
      <c r="G654" s="3"/>
      <c r="H654" s="3"/>
      <c r="I654" s="3"/>
      <c r="J654" s="3"/>
      <c r="K654" s="3">
        <v>39</v>
      </c>
      <c r="L654" s="3"/>
      <c r="M654" s="3"/>
      <c r="N654" s="3">
        <v>193.9</v>
      </c>
      <c r="O654" s="3"/>
      <c r="P654" s="3"/>
      <c r="Q654" s="3">
        <v>0.55000000000000004</v>
      </c>
      <c r="R654" s="3">
        <v>0.4</v>
      </c>
      <c r="S654" s="3">
        <v>0.7</v>
      </c>
      <c r="T654" s="3">
        <v>10.7</v>
      </c>
      <c r="U654" s="3">
        <v>89.5</v>
      </c>
      <c r="V654" s="3">
        <v>973.5</v>
      </c>
      <c r="W654" s="3">
        <v>0</v>
      </c>
      <c r="X654" s="3">
        <v>48.8</v>
      </c>
      <c r="Y654" s="3">
        <v>47.9</v>
      </c>
      <c r="Z654" s="3">
        <v>46.8</v>
      </c>
      <c r="AA654" s="3">
        <v>42.4</v>
      </c>
      <c r="AB654" s="3">
        <v>37.299999999999997</v>
      </c>
      <c r="AC654" s="3">
        <v>36.799999999999997</v>
      </c>
      <c r="AD654" s="3">
        <v>41.3</v>
      </c>
      <c r="AE654" s="3">
        <v>42.3</v>
      </c>
      <c r="AF654" s="3">
        <v>45.2</v>
      </c>
      <c r="AG654" s="3">
        <v>38.6</v>
      </c>
      <c r="AH654" s="3">
        <v>38.200000000000003</v>
      </c>
      <c r="AI654" s="3">
        <v>37.4</v>
      </c>
      <c r="AJ654" s="3">
        <v>37</v>
      </c>
      <c r="AK654" s="3">
        <v>35.1</v>
      </c>
      <c r="AL654" s="3">
        <v>33.200000000000003</v>
      </c>
      <c r="AM654" s="3">
        <v>33.1</v>
      </c>
      <c r="AN654" s="3">
        <v>32</v>
      </c>
      <c r="AO654" s="3">
        <v>29</v>
      </c>
      <c r="AP654" s="3">
        <v>26.6</v>
      </c>
      <c r="AQ654" s="3">
        <v>24.2</v>
      </c>
      <c r="AR654" s="3">
        <v>20.3</v>
      </c>
      <c r="AS654" s="3">
        <v>17.899999999999999</v>
      </c>
      <c r="AT654" s="3">
        <v>24.9</v>
      </c>
      <c r="AU654" s="3">
        <v>9.9</v>
      </c>
      <c r="AV654" s="3">
        <v>8.5</v>
      </c>
      <c r="AW654" s="3">
        <v>8.9</v>
      </c>
      <c r="AX654" s="3">
        <v>9.1</v>
      </c>
      <c r="AY654" s="3">
        <v>9.3000000000000007</v>
      </c>
      <c r="AZ654" s="3">
        <v>0</v>
      </c>
      <c r="BA654" s="3">
        <v>0</v>
      </c>
      <c r="BB654" s="3">
        <v>0</v>
      </c>
      <c r="BC654" s="3">
        <v>40.349581538090426</v>
      </c>
      <c r="BD654" s="3">
        <v>48.750418461909568</v>
      </c>
      <c r="BE654" s="3">
        <v>47.850418461909562</v>
      </c>
      <c r="BF654" s="3">
        <v>45.510418461909559</v>
      </c>
      <c r="BG654" s="3">
        <v>41.437085128576236</v>
      </c>
      <c r="BH654" s="3">
        <v>36.477085128576228</v>
      </c>
      <c r="BI654" s="3">
        <v>36.390418461909569</v>
      </c>
      <c r="BJ654" s="3">
        <v>41.683751795242905</v>
      </c>
      <c r="BK654" s="3">
        <v>42.55708512857624</v>
      </c>
      <c r="BL654" s="3">
        <v>45.030418461909569</v>
      </c>
      <c r="BM654" s="3">
        <v>38.563751795242901</v>
      </c>
      <c r="BN654" s="3">
        <v>38.447085128576241</v>
      </c>
      <c r="BO654" s="3">
        <v>37.013751795242904</v>
      </c>
      <c r="BP654" s="3">
        <v>36.330418461909581</v>
      </c>
      <c r="BQ654" s="3">
        <v>34.847085128576232</v>
      </c>
      <c r="BR654" s="3">
        <v>33.273751795242909</v>
      </c>
      <c r="BS654" s="3">
        <v>32.977085128576242</v>
      </c>
      <c r="BT654" s="3">
        <v>32.073751795242906</v>
      </c>
      <c r="BU654" s="3">
        <v>29.040418461909574</v>
      </c>
      <c r="BV654" s="3">
        <v>26.357085128576237</v>
      </c>
      <c r="BW654" s="3">
        <v>24.490418461909577</v>
      </c>
      <c r="BX654" s="3">
        <v>20.510418461909573</v>
      </c>
      <c r="BY654" s="3">
        <v>17.930418461909568</v>
      </c>
      <c r="BZ654" s="3">
        <v>25.06041846190957</v>
      </c>
      <c r="CA654" s="3">
        <v>10.160418461909565</v>
      </c>
      <c r="CB654" s="3">
        <v>8.1970851285762336</v>
      </c>
      <c r="CC654" s="3">
        <v>8.8104184619095705</v>
      </c>
      <c r="CD654" s="3">
        <v>8.3170851285762453</v>
      </c>
      <c r="CE654" s="3">
        <v>8.710418461909569</v>
      </c>
      <c r="CF654" s="3">
        <v>-0.97624820475709839</v>
      </c>
      <c r="CG654" s="3">
        <v>-1.5095815380904298</v>
      </c>
      <c r="CH654" s="3">
        <v>-2.5862482047570978</v>
      </c>
      <c r="CI654" s="13">
        <f>[1]!dbasum(RecData[[#This Row],[20]:[2000]],RecData[[#Headers],[20]:[2000]])</f>
        <v>40.024224873346725</v>
      </c>
      <c r="CJ654" s="14">
        <v>8423</v>
      </c>
      <c r="CK654" s="15" t="s">
        <v>249</v>
      </c>
      <c r="CL654" s="15">
        <f>RecData[[#This Row],[Start Time]]</f>
        <v>43270.170833333337</v>
      </c>
      <c r="CM654" s="16">
        <f>RecData[[#This Row],[Wind Speed avg]]</f>
        <v>0.55000000000000004</v>
      </c>
      <c r="CN654" s="16">
        <f>RecData[[#This Row],[Wind Dir. avg]]</f>
        <v>193.9</v>
      </c>
      <c r="CO654" s="16">
        <f>RecData[[#This Row],[Amb. Humidity]]</f>
        <v>89.5</v>
      </c>
      <c r="CP654" s="16">
        <f>RecData[[#This Row],[Amb. Temperature]]</f>
        <v>10.7</v>
      </c>
      <c r="CQ654" s="17">
        <f>RecData[[#This Row],[Amb. Rain Gauge]]</f>
        <v>0</v>
      </c>
      <c r="CR654" s="4" t="s">
        <v>1</v>
      </c>
      <c r="CS654" s="4" t="s">
        <v>49</v>
      </c>
      <c r="CT654" s="70">
        <v>1618.01623535156</v>
      </c>
      <c r="CU654" s="70">
        <v>30.000257492065401</v>
      </c>
      <c r="CV654" s="70">
        <v>10.5205469131469</v>
      </c>
      <c r="CW654" s="70">
        <v>15.2816162109375</v>
      </c>
      <c r="CX654" s="4"/>
      <c r="CY654" s="69"/>
      <c r="CZ654" s="2" t="b">
        <f>IF($DP$1="YES",IF(RecData[[#This Row],[Power (kW)]]&gt;=$CR$3, TRUE,FALSE),TRUE)</f>
        <v>1</v>
      </c>
      <c r="DA654" s="16">
        <f>MIN(MOD(180-ABS(ABS($DA$1-RecData[Yaw Angle (°)])-180),360),MOD(180-ABS(ABS($DB$1-RecData[Yaw Angle (°)])-180),360))</f>
        <v>22.470330714377837</v>
      </c>
      <c r="DB654" s="2" t="str">
        <f>IF($DP$2="None","None",IF(RecData[[#This Row],[Relative Wind Direction]]&lt;=45,"DW",IF(RecData[[#This Row],[Relative Wind Direction]]&lt;=135,"CW","UW")))</f>
        <v>DW</v>
      </c>
      <c r="DC654" s="61">
        <f>IF($CL654-$CL650&gt;1/24,#REF!,IF(SUM($CQ650:$CQ654)&gt;$DS$1,$DS$5,DC655-1))</f>
        <v>-3</v>
      </c>
      <c r="DD654" s="61" t="e">
        <f>IF($CL655-$CL654&gt;1/24,#REF!,IF(SUM($CQ650:$CQ654)&gt;$DS$1,$DS$6,DD653-1))</f>
        <v>#REF!</v>
      </c>
      <c r="DE654" s="18" t="b">
        <v>0</v>
      </c>
      <c r="DF654" s="2" t="b">
        <f>IF(OR(RecData[[#This Row],[WSpd_Avg '[m/s']]]-RecData[[#This Row],[Wind Speed min]]&gt;=$DF$3,RecData[[#This Row],[Wind Speed max]]-RecData[[#This Row],[WSpd_Avg '[m/s']]]&gt;=$DF$2),TRUE,FALSE)</f>
        <v>0</v>
      </c>
      <c r="DG654" s="2" t="b">
        <f>RecData[[#This Row],[Temperature '[°C']]]&lt;=-20</f>
        <v>0</v>
      </c>
      <c r="DH654" s="18" t="b">
        <f>NOT(OR(MOD(RecData[[#This Row],[TIMESTAMP]],1)&gt;0.91632,MOD(RecData[[#This Row],[TIMESTAMP]],1)&lt;0.208681))</f>
        <v>0</v>
      </c>
      <c r="DI654" s="18" t="b">
        <f>RecData[[#This Row],[Overall (dBA)]]-RecData[[#This Row],[L90]]&gt;=$DS$4</f>
        <v>0</v>
      </c>
      <c r="DJ654" s="18" t="b">
        <f>RecData[[#This Row],[Overall (dBA)]]&gt;$DS$2</f>
        <v>0</v>
      </c>
      <c r="DK654" s="18" t="b">
        <f>RecData[[#This Row],[Overall (dBA)]]&lt;$DS$3</f>
        <v>0</v>
      </c>
      <c r="DL6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4" s="2">
        <f>IF(AND(RecData[[#This Row],[Turbines ON/OFF]] = "OFF", NOT(OR(RecData[[#This Row],[Junk?]]="YES",RecData[[#This Row],[Gust?]],RecData[[#This Row],[Rain?]:[Min SPL Threshold?]]))),1,0)</f>
        <v>0</v>
      </c>
      <c r="DN654" s="16">
        <f>RecData[[#This Row],[dBA Sum]]</f>
        <v>40.024224873346725</v>
      </c>
      <c r="DO654" s="16">
        <f>RecData[[#This Row],[LAF90.0]]</f>
        <v>39</v>
      </c>
      <c r="DP654" s="55">
        <f>IF(AND(RecData[[#This Row],[Useable TON Data?]],RecData[[#This Row],[Turbines ON/OFF]]="ON"),RecData[[#This Row],[dBA Sum]],"")</f>
        <v>40.024224873346725</v>
      </c>
      <c r="DQ654" s="55" t="str">
        <f>IF(AND(RecData[[#This Row],[Useable Background Data?]],RecData[[#This Row],[Turbines ON/OFF]]="OFF"),RecData[[#This Row],[dBA Sum]],"")</f>
        <v/>
      </c>
      <c r="DR654" s="3">
        <f>IF(OR(RecData[[#This Row],[Useable TON Data?]],RecData[[#This Row],[Useable Background Data?]]),ROUND(RecData[[#This Row],[WSpd_Avg '[m/s']]],0),"")</f>
        <v>1</v>
      </c>
      <c r="DS654" s="85">
        <f>(0.00002)^2*(10^(RecData[[#This Row],[Overall (dBA)]]/10))</f>
        <v>4.0223742765562415E-6</v>
      </c>
    </row>
    <row r="655" spans="1:123" ht="15" x14ac:dyDescent="0.25">
      <c r="A655" s="3" t="s">
        <v>249</v>
      </c>
      <c r="B655" s="12">
        <v>43270.171527777784</v>
      </c>
      <c r="C655" s="3"/>
      <c r="D655" s="3">
        <v>40.5</v>
      </c>
      <c r="E655" s="3"/>
      <c r="F655" s="3"/>
      <c r="G655" s="3"/>
      <c r="H655" s="3"/>
      <c r="I655" s="3"/>
      <c r="J655" s="3"/>
      <c r="K655" s="3">
        <v>39.5</v>
      </c>
      <c r="L655" s="3"/>
      <c r="M655" s="3"/>
      <c r="N655" s="3">
        <v>115.9</v>
      </c>
      <c r="O655" s="3"/>
      <c r="P655" s="3"/>
      <c r="Q655" s="3">
        <v>0.59</v>
      </c>
      <c r="R655" s="3">
        <v>0.5</v>
      </c>
      <c r="S655" s="3">
        <v>0.8</v>
      </c>
      <c r="T655" s="3">
        <v>10.7</v>
      </c>
      <c r="U655" s="3">
        <v>89.6</v>
      </c>
      <c r="V655" s="3">
        <v>973.5</v>
      </c>
      <c r="W655" s="3">
        <v>0</v>
      </c>
      <c r="X655" s="3">
        <v>49.3</v>
      </c>
      <c r="Y655" s="3">
        <v>48.1</v>
      </c>
      <c r="Z655" s="3">
        <v>46.9</v>
      </c>
      <c r="AA655" s="3">
        <v>42.3</v>
      </c>
      <c r="AB655" s="3">
        <v>37.700000000000003</v>
      </c>
      <c r="AC655" s="3">
        <v>37.5</v>
      </c>
      <c r="AD655" s="3">
        <v>41.3</v>
      </c>
      <c r="AE655" s="3">
        <v>42.2</v>
      </c>
      <c r="AF655" s="3">
        <v>46.2</v>
      </c>
      <c r="AG655" s="3">
        <v>38.700000000000003</v>
      </c>
      <c r="AH655" s="3">
        <v>38.6</v>
      </c>
      <c r="AI655" s="3">
        <v>38.1</v>
      </c>
      <c r="AJ655" s="3">
        <v>37.299999999999997</v>
      </c>
      <c r="AK655" s="3">
        <v>35.4</v>
      </c>
      <c r="AL655" s="3">
        <v>33.299999999999997</v>
      </c>
      <c r="AM655" s="3">
        <v>33.299999999999997</v>
      </c>
      <c r="AN655" s="3">
        <v>32</v>
      </c>
      <c r="AO655" s="3">
        <v>28.8</v>
      </c>
      <c r="AP655" s="3">
        <v>26.6</v>
      </c>
      <c r="AQ655" s="3">
        <v>24</v>
      </c>
      <c r="AR655" s="3">
        <v>20</v>
      </c>
      <c r="AS655" s="3">
        <v>15.7</v>
      </c>
      <c r="AT655" s="3">
        <v>23.1</v>
      </c>
      <c r="AU655" s="3">
        <v>9.6</v>
      </c>
      <c r="AV655" s="3">
        <v>8.5</v>
      </c>
      <c r="AW655" s="3">
        <v>9</v>
      </c>
      <c r="AX655" s="3">
        <v>9.1</v>
      </c>
      <c r="AY655" s="3">
        <v>9.3000000000000007</v>
      </c>
      <c r="AZ655" s="3">
        <v>0</v>
      </c>
      <c r="BA655" s="3">
        <v>0</v>
      </c>
      <c r="BB655" s="3">
        <v>0</v>
      </c>
      <c r="BC655" s="3">
        <v>40.507938693514205</v>
      </c>
      <c r="BD655" s="3">
        <v>49.292061306485792</v>
      </c>
      <c r="BE655" s="3">
        <v>48.092061306485789</v>
      </c>
      <c r="BF655" s="3">
        <v>45.652061306485791</v>
      </c>
      <c r="BG655" s="3">
        <v>41.378727973152451</v>
      </c>
      <c r="BH655" s="3">
        <v>36.918727973152471</v>
      </c>
      <c r="BI655" s="3">
        <v>37.132061306485795</v>
      </c>
      <c r="BJ655" s="3">
        <v>41.725394639819115</v>
      </c>
      <c r="BK655" s="3">
        <v>42.498727973152455</v>
      </c>
      <c r="BL655" s="3">
        <v>46.072061306485807</v>
      </c>
      <c r="BM655" s="3">
        <v>38.705394639819133</v>
      </c>
      <c r="BN655" s="3">
        <v>38.88872797315247</v>
      </c>
      <c r="BO655" s="3">
        <v>37.75539463981913</v>
      </c>
      <c r="BP655" s="3">
        <v>36.672061306485801</v>
      </c>
      <c r="BQ655" s="3">
        <v>35.188727973152453</v>
      </c>
      <c r="BR655" s="3">
        <v>33.415394639819127</v>
      </c>
      <c r="BS655" s="3">
        <v>33.218727973152454</v>
      </c>
      <c r="BT655" s="3">
        <v>32.115394639819129</v>
      </c>
      <c r="BU655" s="3">
        <v>28.882061306485795</v>
      </c>
      <c r="BV655" s="3">
        <v>26.398727973152461</v>
      </c>
      <c r="BW655" s="3">
        <v>24.332061306485798</v>
      </c>
      <c r="BX655" s="3">
        <v>20.2520613064858</v>
      </c>
      <c r="BY655" s="3">
        <v>15.772061306485796</v>
      </c>
      <c r="BZ655" s="3">
        <v>23.302061306485797</v>
      </c>
      <c r="CA655" s="3">
        <v>9.9020613064857912</v>
      </c>
      <c r="CB655" s="3">
        <v>8.2387279731524572</v>
      </c>
      <c r="CC655" s="3">
        <v>8.9520613064857955</v>
      </c>
      <c r="CD655" s="3">
        <v>8.3587279731524688</v>
      </c>
      <c r="CE655" s="3">
        <v>8.7520613064857926</v>
      </c>
      <c r="CF655" s="3">
        <v>-0.93460536018087481</v>
      </c>
      <c r="CG655" s="3">
        <v>-1.4679386935142062</v>
      </c>
      <c r="CH655" s="3">
        <v>-2.5446053601808742</v>
      </c>
      <c r="CI655" s="13">
        <f>[1]!dbasum(RecData[[#This Row],[20]:[2000]],RecData[[#Headers],[20]:[2000]])</f>
        <v>40.292606414581371</v>
      </c>
      <c r="CJ655" s="14">
        <v>8424</v>
      </c>
      <c r="CK655" s="15" t="s">
        <v>249</v>
      </c>
      <c r="CL655" s="15">
        <f>RecData[[#This Row],[Start Time]]</f>
        <v>43270.171527777784</v>
      </c>
      <c r="CM655" s="16">
        <f>RecData[[#This Row],[Wind Speed avg]]</f>
        <v>0.59</v>
      </c>
      <c r="CN655" s="16">
        <f>RecData[[#This Row],[Wind Dir. avg]]</f>
        <v>115.9</v>
      </c>
      <c r="CO655" s="16">
        <f>RecData[[#This Row],[Amb. Humidity]]</f>
        <v>89.6</v>
      </c>
      <c r="CP655" s="16">
        <f>RecData[[#This Row],[Amb. Temperature]]</f>
        <v>10.7</v>
      </c>
      <c r="CQ655" s="17">
        <f>RecData[[#This Row],[Amb. Rain Gauge]]</f>
        <v>0</v>
      </c>
      <c r="CR655" s="4" t="s">
        <v>1</v>
      </c>
      <c r="CS655" s="4" t="s">
        <v>49</v>
      </c>
      <c r="CT655" s="70">
        <v>1618.01623535156</v>
      </c>
      <c r="CU655" s="70">
        <v>30.000257492065401</v>
      </c>
      <c r="CV655" s="70">
        <v>10.5205469131469</v>
      </c>
      <c r="CW655" s="70">
        <v>15.2816162109375</v>
      </c>
      <c r="CX655" s="4"/>
      <c r="CY655" s="69"/>
      <c r="CZ655" s="2" t="b">
        <f>IF($DP$1="YES",IF(RecData[[#This Row],[Power (kW)]]&gt;=$CR$3, TRUE,FALSE),TRUE)</f>
        <v>1</v>
      </c>
      <c r="DA655" s="16">
        <f>MIN(MOD(180-ABS(ABS($DA$1-RecData[Yaw Angle (°)])-180),360),MOD(180-ABS(ABS($DB$1-RecData[Yaw Angle (°)])-180),360))</f>
        <v>22.470330714377837</v>
      </c>
      <c r="DB655" s="2" t="str">
        <f>IF($DP$2="None","None",IF(RecData[[#This Row],[Relative Wind Direction]]&lt;=45,"DW",IF(RecData[[#This Row],[Relative Wind Direction]]&lt;=135,"CW","UW")))</f>
        <v>DW</v>
      </c>
      <c r="DC655" s="61">
        <f>IF($CL655-$CL651&gt;1/24,#REF!,IF(SUM($CQ651:$CQ655)&gt;$DS$1,$DS$5,DC656-1))</f>
        <v>-2</v>
      </c>
      <c r="DD655" s="61" t="e">
        <f>IF($CL656-$CL655&gt;1/24,#REF!,IF(SUM($CQ651:$CQ655)&gt;$DS$1,$DS$6,DD654-1))</f>
        <v>#REF!</v>
      </c>
      <c r="DE655" s="18" t="b">
        <v>0</v>
      </c>
      <c r="DF655" s="2" t="b">
        <f>IF(OR(RecData[[#This Row],[WSpd_Avg '[m/s']]]-RecData[[#This Row],[Wind Speed min]]&gt;=$DF$3,RecData[[#This Row],[Wind Speed max]]-RecData[[#This Row],[WSpd_Avg '[m/s']]]&gt;=$DF$2),TRUE,FALSE)</f>
        <v>0</v>
      </c>
      <c r="DG655" s="2" t="b">
        <f>RecData[[#This Row],[Temperature '[°C']]]&lt;=-20</f>
        <v>0</v>
      </c>
      <c r="DH655" s="18" t="b">
        <f>NOT(OR(MOD(RecData[[#This Row],[TIMESTAMP]],1)&gt;0.91632,MOD(RecData[[#This Row],[TIMESTAMP]],1)&lt;0.208681))</f>
        <v>0</v>
      </c>
      <c r="DI655" s="18" t="b">
        <f>RecData[[#This Row],[Overall (dBA)]]-RecData[[#This Row],[L90]]&gt;=$DS$4</f>
        <v>0</v>
      </c>
      <c r="DJ655" s="18" t="b">
        <f>RecData[[#This Row],[Overall (dBA)]]&gt;$DS$2</f>
        <v>0</v>
      </c>
      <c r="DK655" s="18" t="b">
        <f>RecData[[#This Row],[Overall (dBA)]]&lt;$DS$3</f>
        <v>0</v>
      </c>
      <c r="DL6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5" s="2">
        <f>IF(AND(RecData[[#This Row],[Turbines ON/OFF]] = "OFF", NOT(OR(RecData[[#This Row],[Junk?]]="YES",RecData[[#This Row],[Gust?]],RecData[[#This Row],[Rain?]:[Min SPL Threshold?]]))),1,0)</f>
        <v>0</v>
      </c>
      <c r="DN655" s="16">
        <f>RecData[[#This Row],[dBA Sum]]</f>
        <v>40.292606414581371</v>
      </c>
      <c r="DO655" s="16">
        <f>RecData[[#This Row],[LAF90.0]]</f>
        <v>39.5</v>
      </c>
      <c r="DP655" s="55">
        <f>IF(AND(RecData[[#This Row],[Useable TON Data?]],RecData[[#This Row],[Turbines ON/OFF]]="ON"),RecData[[#This Row],[dBA Sum]],"")</f>
        <v>40.292606414581371</v>
      </c>
      <c r="DQ655" s="55" t="str">
        <f>IF(AND(RecData[[#This Row],[Useable Background Data?]],RecData[[#This Row],[Turbines ON/OFF]]="OFF"),RecData[[#This Row],[dBA Sum]],"")</f>
        <v/>
      </c>
      <c r="DR655" s="3">
        <f>IF(OR(RecData[[#This Row],[Useable TON Data?]],RecData[[#This Row],[Useable Background Data?]]),ROUND(RecData[[#This Row],[WSpd_Avg '[m/s']]],0),"")</f>
        <v>1</v>
      </c>
      <c r="DS655" s="85">
        <f>(0.00002)^2*(10^(RecData[[#This Row],[Overall (dBA)]]/10))</f>
        <v>4.2787866565958575E-6</v>
      </c>
    </row>
    <row r="656" spans="1:123" ht="15" x14ac:dyDescent="0.25">
      <c r="A656" s="3" t="s">
        <v>249</v>
      </c>
      <c r="B656" s="12">
        <v>43270.172222222231</v>
      </c>
      <c r="C656" s="3"/>
      <c r="D656" s="3">
        <v>40.299999999999997</v>
      </c>
      <c r="E656" s="3"/>
      <c r="F656" s="3"/>
      <c r="G656" s="3"/>
      <c r="H656" s="3"/>
      <c r="I656" s="3"/>
      <c r="J656" s="3"/>
      <c r="K656" s="3">
        <v>39.1</v>
      </c>
      <c r="L656" s="3"/>
      <c r="M656" s="3"/>
      <c r="N656" s="3">
        <v>129.6</v>
      </c>
      <c r="O656" s="3"/>
      <c r="P656" s="3"/>
      <c r="Q656" s="3">
        <v>0.36</v>
      </c>
      <c r="R656" s="3">
        <v>0</v>
      </c>
      <c r="S656" s="3">
        <v>0.8</v>
      </c>
      <c r="T656" s="3">
        <v>10.7</v>
      </c>
      <c r="U656" s="3">
        <v>89.4</v>
      </c>
      <c r="V656" s="3">
        <v>973.5</v>
      </c>
      <c r="W656" s="3">
        <v>0</v>
      </c>
      <c r="X656" s="3">
        <v>48.4</v>
      </c>
      <c r="Y656" s="3">
        <v>47.6</v>
      </c>
      <c r="Z656" s="3">
        <v>46.7</v>
      </c>
      <c r="AA656" s="3">
        <v>41.7</v>
      </c>
      <c r="AB656" s="3">
        <v>37</v>
      </c>
      <c r="AC656" s="3">
        <v>37.1</v>
      </c>
      <c r="AD656" s="3">
        <v>41.4</v>
      </c>
      <c r="AE656" s="3">
        <v>42.4</v>
      </c>
      <c r="AF656" s="3">
        <v>46.2</v>
      </c>
      <c r="AG656" s="3">
        <v>38.5</v>
      </c>
      <c r="AH656" s="3">
        <v>39.1</v>
      </c>
      <c r="AI656" s="3">
        <v>38</v>
      </c>
      <c r="AJ656" s="3">
        <v>37.299999999999997</v>
      </c>
      <c r="AK656" s="3">
        <v>35.5</v>
      </c>
      <c r="AL656" s="3">
        <v>33.299999999999997</v>
      </c>
      <c r="AM656" s="3">
        <v>32.700000000000003</v>
      </c>
      <c r="AN656" s="3">
        <v>31.3</v>
      </c>
      <c r="AO656" s="3">
        <v>28</v>
      </c>
      <c r="AP656" s="3">
        <v>25.9</v>
      </c>
      <c r="AQ656" s="3">
        <v>23.1</v>
      </c>
      <c r="AR656" s="3">
        <v>19.3</v>
      </c>
      <c r="AS656" s="3">
        <v>16.2</v>
      </c>
      <c r="AT656" s="3">
        <v>23.8</v>
      </c>
      <c r="AU656" s="3">
        <v>9.4</v>
      </c>
      <c r="AV656" s="3">
        <v>8.4</v>
      </c>
      <c r="AW656" s="3">
        <v>8.8000000000000007</v>
      </c>
      <c r="AX656" s="3">
        <v>9.1</v>
      </c>
      <c r="AY656" s="3">
        <v>9.3000000000000007</v>
      </c>
      <c r="AZ656" s="3">
        <v>0</v>
      </c>
      <c r="BA656" s="3">
        <v>0</v>
      </c>
      <c r="BB656" s="3">
        <v>0</v>
      </c>
      <c r="BC656" s="3">
        <v>40.296633888578398</v>
      </c>
      <c r="BD656" s="3">
        <v>48.40336611142159</v>
      </c>
      <c r="BE656" s="3">
        <v>47.603366111421607</v>
      </c>
      <c r="BF656" s="3">
        <v>45.463366111421593</v>
      </c>
      <c r="BG656" s="3">
        <v>40.790032778088275</v>
      </c>
      <c r="BH656" s="3">
        <v>36.230032778088272</v>
      </c>
      <c r="BI656" s="3">
        <v>36.743366111421594</v>
      </c>
      <c r="BJ656" s="3">
        <v>41.836699444754927</v>
      </c>
      <c r="BK656" s="3">
        <v>42.710032778088262</v>
      </c>
      <c r="BL656" s="3">
        <v>46.083366111421597</v>
      </c>
      <c r="BM656" s="3">
        <v>38.516699444754934</v>
      </c>
      <c r="BN656" s="3">
        <v>39.40003277808826</v>
      </c>
      <c r="BO656" s="3">
        <v>37.66669944475494</v>
      </c>
      <c r="BP656" s="3">
        <v>36.683366111421591</v>
      </c>
      <c r="BQ656" s="3">
        <v>35.300032778088266</v>
      </c>
      <c r="BR656" s="3">
        <v>33.426699444754931</v>
      </c>
      <c r="BS656" s="3">
        <v>32.630032778088278</v>
      </c>
      <c r="BT656" s="3">
        <v>31.426699444754931</v>
      </c>
      <c r="BU656" s="3">
        <v>28.093366111421602</v>
      </c>
      <c r="BV656" s="3">
        <v>25.710032778088262</v>
      </c>
      <c r="BW656" s="3">
        <v>23.443366111421604</v>
      </c>
      <c r="BX656" s="3">
        <v>19.563366111421601</v>
      </c>
      <c r="BY656" s="3">
        <v>16.2833661114216</v>
      </c>
      <c r="BZ656" s="3">
        <v>24.013366111421604</v>
      </c>
      <c r="CA656" s="3">
        <v>9.7133661114215926</v>
      </c>
      <c r="CB656" s="3">
        <v>8.15003277808826</v>
      </c>
      <c r="CC656" s="3">
        <v>8.7633661114215968</v>
      </c>
      <c r="CD656" s="3">
        <v>8.3700327780882731</v>
      </c>
      <c r="CE656" s="3">
        <v>8.7633661114215968</v>
      </c>
      <c r="CF656" s="3">
        <v>-0.9233005552450706</v>
      </c>
      <c r="CG656" s="3">
        <v>-1.456633888578402</v>
      </c>
      <c r="CH656" s="3">
        <v>-2.53330055524507</v>
      </c>
      <c r="CI656" s="13">
        <f>[1]!dbasum(RecData[[#This Row],[20]:[2000]],RecData[[#Headers],[20]:[2000]])</f>
        <v>40.059168501857918</v>
      </c>
      <c r="CJ656" s="14">
        <v>8425</v>
      </c>
      <c r="CK656" s="15" t="s">
        <v>249</v>
      </c>
      <c r="CL656" s="15">
        <f>RecData[[#This Row],[Start Time]]</f>
        <v>43270.172222222231</v>
      </c>
      <c r="CM656" s="16">
        <f>RecData[[#This Row],[Wind Speed avg]]</f>
        <v>0.36</v>
      </c>
      <c r="CN656" s="16">
        <f>RecData[[#This Row],[Wind Dir. avg]]</f>
        <v>129.6</v>
      </c>
      <c r="CO656" s="16">
        <f>RecData[[#This Row],[Amb. Humidity]]</f>
        <v>89.4</v>
      </c>
      <c r="CP656" s="16">
        <f>RecData[[#This Row],[Amb. Temperature]]</f>
        <v>10.7</v>
      </c>
      <c r="CQ656" s="17">
        <f>RecData[[#This Row],[Amb. Rain Gauge]]</f>
        <v>0</v>
      </c>
      <c r="CR656" s="4" t="s">
        <v>1</v>
      </c>
      <c r="CS656" s="4" t="s">
        <v>49</v>
      </c>
      <c r="CT656" s="70">
        <v>1618.01623535156</v>
      </c>
      <c r="CU656" s="70">
        <v>30.000257492065401</v>
      </c>
      <c r="CV656" s="70">
        <v>10.5205469131469</v>
      </c>
      <c r="CW656" s="70">
        <v>15.2816162109375</v>
      </c>
      <c r="CX656" s="4"/>
      <c r="CY656" s="69"/>
      <c r="CZ656" s="2" t="b">
        <f>IF($DP$1="YES",IF(RecData[[#This Row],[Power (kW)]]&gt;=$CR$3, TRUE,FALSE),TRUE)</f>
        <v>1</v>
      </c>
      <c r="DA656" s="16">
        <f>MIN(MOD(180-ABS(ABS($DA$1-RecData[Yaw Angle (°)])-180),360),MOD(180-ABS(ABS($DB$1-RecData[Yaw Angle (°)])-180),360))</f>
        <v>22.470330714377837</v>
      </c>
      <c r="DB656" s="2" t="str">
        <f>IF($DP$2="None","None",IF(RecData[[#This Row],[Relative Wind Direction]]&lt;=45,"DW",IF(RecData[[#This Row],[Relative Wind Direction]]&lt;=135,"CW","UW")))</f>
        <v>DW</v>
      </c>
      <c r="DC656" s="61">
        <v>-1</v>
      </c>
      <c r="DD656" s="61">
        <v>-1</v>
      </c>
      <c r="DE656" s="18" t="b">
        <v>0</v>
      </c>
      <c r="DF656" s="2" t="b">
        <f>IF(OR(RecData[[#This Row],[WSpd_Avg '[m/s']]]-RecData[[#This Row],[Wind Speed min]]&gt;=$DF$3,RecData[[#This Row],[Wind Speed max]]-RecData[[#This Row],[WSpd_Avg '[m/s']]]&gt;=$DF$2),TRUE,FALSE)</f>
        <v>0</v>
      </c>
      <c r="DG656" s="2" t="b">
        <f>RecData[[#This Row],[Temperature '[°C']]]&lt;=-20</f>
        <v>0</v>
      </c>
      <c r="DH656" s="18" t="b">
        <f>NOT(OR(MOD(RecData[[#This Row],[TIMESTAMP]],1)&gt;0.91632,MOD(RecData[[#This Row],[TIMESTAMP]],1)&lt;0.208681))</f>
        <v>0</v>
      </c>
      <c r="DI656" s="18" t="b">
        <f>RecData[[#This Row],[Overall (dBA)]]-RecData[[#This Row],[L90]]&gt;=$DS$4</f>
        <v>0</v>
      </c>
      <c r="DJ656" s="18" t="b">
        <f>RecData[[#This Row],[Overall (dBA)]]&gt;$DS$2</f>
        <v>0</v>
      </c>
      <c r="DK656" s="18" t="b">
        <f>RecData[[#This Row],[Overall (dBA)]]&lt;$DS$3</f>
        <v>0</v>
      </c>
      <c r="DL6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6" s="2">
        <f>IF(AND(RecData[[#This Row],[Turbines ON/OFF]] = "OFF", NOT(OR(RecData[[#This Row],[Junk?]]="YES",RecData[[#This Row],[Gust?]],RecData[[#This Row],[Rain?]:[Min SPL Threshold?]]))),1,0)</f>
        <v>0</v>
      </c>
      <c r="DN656" s="16">
        <f>RecData[[#This Row],[dBA Sum]]</f>
        <v>40.059168501857918</v>
      </c>
      <c r="DO656" s="16">
        <f>RecData[[#This Row],[LAF90.0]]</f>
        <v>39.1</v>
      </c>
      <c r="DP656" s="55">
        <f>IF(AND(RecData[[#This Row],[Useable TON Data?]],RecData[[#This Row],[Turbines ON/OFF]]="ON"),RecData[[#This Row],[dBA Sum]],"")</f>
        <v>40.059168501857918</v>
      </c>
      <c r="DQ656" s="55" t="str">
        <f>IF(AND(RecData[[#This Row],[Useable Background Data?]],RecData[[#This Row],[Turbines ON/OFF]]="OFF"),RecData[[#This Row],[dBA Sum]],"")</f>
        <v/>
      </c>
      <c r="DR656" s="3">
        <f>IF(OR(RecData[[#This Row],[Useable TON Data?]],RecData[[#This Row],[Useable Background Data?]]),ROUND(RecData[[#This Row],[WSpd_Avg '[m/s']]],0),"")</f>
        <v>0</v>
      </c>
      <c r="DS656" s="85">
        <f>(0.00002)^2*(10^(RecData[[#This Row],[Overall (dBA)]]/10))</f>
        <v>4.0548691253155575E-6</v>
      </c>
    </row>
    <row r="657" spans="1:123" ht="15" x14ac:dyDescent="0.25">
      <c r="A657" s="3" t="s">
        <v>249</v>
      </c>
      <c r="B657" s="12">
        <v>43270.17291666667</v>
      </c>
      <c r="C657" s="3"/>
      <c r="D657" s="3">
        <v>40.799999999999997</v>
      </c>
      <c r="E657" s="3"/>
      <c r="F657" s="3"/>
      <c r="G657" s="3"/>
      <c r="H657" s="3"/>
      <c r="I657" s="3"/>
      <c r="J657" s="3"/>
      <c r="K657" s="3">
        <v>39.9</v>
      </c>
      <c r="L657" s="3"/>
      <c r="M657" s="3"/>
      <c r="N657" s="3">
        <v>177.1</v>
      </c>
      <c r="O657" s="3"/>
      <c r="P657" s="3"/>
      <c r="Q657" s="3">
        <v>0.75</v>
      </c>
      <c r="R657" s="3">
        <v>0.6</v>
      </c>
      <c r="S657" s="3">
        <v>0.9</v>
      </c>
      <c r="T657" s="3">
        <v>10.7</v>
      </c>
      <c r="U657" s="3">
        <v>89.5</v>
      </c>
      <c r="V657" s="3">
        <v>973.5</v>
      </c>
      <c r="W657" s="3">
        <v>0</v>
      </c>
      <c r="X657" s="3">
        <v>47.9</v>
      </c>
      <c r="Y657" s="3">
        <v>47.3</v>
      </c>
      <c r="Z657" s="3">
        <v>46.5</v>
      </c>
      <c r="AA657" s="3">
        <v>42.2</v>
      </c>
      <c r="AB657" s="3">
        <v>37</v>
      </c>
      <c r="AC657" s="3">
        <v>36.5</v>
      </c>
      <c r="AD657" s="3">
        <v>41.4</v>
      </c>
      <c r="AE657" s="3">
        <v>42.9</v>
      </c>
      <c r="AF657" s="3">
        <v>45.9</v>
      </c>
      <c r="AG657" s="3">
        <v>39.200000000000003</v>
      </c>
      <c r="AH657" s="3">
        <v>39.6</v>
      </c>
      <c r="AI657" s="3">
        <v>38.200000000000003</v>
      </c>
      <c r="AJ657" s="3">
        <v>37.9</v>
      </c>
      <c r="AK657" s="3">
        <v>35.700000000000003</v>
      </c>
      <c r="AL657" s="3">
        <v>33.6</v>
      </c>
      <c r="AM657" s="3">
        <v>33.299999999999997</v>
      </c>
      <c r="AN657" s="3">
        <v>32</v>
      </c>
      <c r="AO657" s="3">
        <v>28.8</v>
      </c>
      <c r="AP657" s="3">
        <v>26.8</v>
      </c>
      <c r="AQ657" s="3">
        <v>23.9</v>
      </c>
      <c r="AR657" s="3">
        <v>19.899999999999999</v>
      </c>
      <c r="AS657" s="3">
        <v>15.8</v>
      </c>
      <c r="AT657" s="3">
        <v>24.9</v>
      </c>
      <c r="AU657" s="3">
        <v>9.8000000000000007</v>
      </c>
      <c r="AV657" s="3">
        <v>8.4</v>
      </c>
      <c r="AW657" s="3">
        <v>8.8000000000000007</v>
      </c>
      <c r="AX657" s="3">
        <v>9.1</v>
      </c>
      <c r="AY657" s="3">
        <v>9.3000000000000007</v>
      </c>
      <c r="AZ657" s="3">
        <v>0</v>
      </c>
      <c r="BA657" s="3">
        <v>0</v>
      </c>
      <c r="BB657" s="3">
        <v>0</v>
      </c>
      <c r="BC657" s="3">
        <v>40.757035864651201</v>
      </c>
      <c r="BD657" s="3">
        <v>47.942964135348788</v>
      </c>
      <c r="BE657" s="3">
        <v>47.342964135348794</v>
      </c>
      <c r="BF657" s="3">
        <v>45.302964135348802</v>
      </c>
      <c r="BG657" s="3">
        <v>41.329630802015473</v>
      </c>
      <c r="BH657" s="3">
        <v>36.26963080201547</v>
      </c>
      <c r="BI657" s="3">
        <v>36.182964135348797</v>
      </c>
      <c r="BJ657" s="3">
        <v>41.876297468682125</v>
      </c>
      <c r="BK657" s="3">
        <v>43.24963080201546</v>
      </c>
      <c r="BL657" s="3">
        <v>45.822964135348798</v>
      </c>
      <c r="BM657" s="3">
        <v>39.256297468682135</v>
      </c>
      <c r="BN657" s="3">
        <v>39.939630802015458</v>
      </c>
      <c r="BO657" s="3">
        <v>37.906297468682126</v>
      </c>
      <c r="BP657" s="3">
        <v>37.322964135348798</v>
      </c>
      <c r="BQ657" s="3">
        <v>35.539630802015452</v>
      </c>
      <c r="BR657" s="3">
        <v>33.76629746868214</v>
      </c>
      <c r="BS657" s="3">
        <v>33.26963080201547</v>
      </c>
      <c r="BT657" s="3">
        <v>32.166297468682131</v>
      </c>
      <c r="BU657" s="3">
        <v>28.932964135348797</v>
      </c>
      <c r="BV657" s="3">
        <v>26.649630802015466</v>
      </c>
      <c r="BW657" s="3">
        <v>24.282964135348792</v>
      </c>
      <c r="BX657" s="3">
        <v>20.2029641353488</v>
      </c>
      <c r="BY657" s="3">
        <v>15.922964135348792</v>
      </c>
      <c r="BZ657" s="3">
        <v>25.152964135348796</v>
      </c>
      <c r="CA657" s="3">
        <v>10.152964135348789</v>
      </c>
      <c r="CB657" s="3">
        <v>8.1896308020154578</v>
      </c>
      <c r="CC657" s="3">
        <v>8.8029641353487946</v>
      </c>
      <c r="CD657" s="3">
        <v>8.4096308020154709</v>
      </c>
      <c r="CE657" s="3">
        <v>8.8029641353487946</v>
      </c>
      <c r="CF657" s="3">
        <v>-0.8837025313178728</v>
      </c>
      <c r="CG657" s="3">
        <v>-1.4170358646512042</v>
      </c>
      <c r="CH657" s="3">
        <v>-2.4937025313178722</v>
      </c>
      <c r="CI657" s="13">
        <f>[1]!dbasum(RecData[[#This Row],[20]:[2000]],RecData[[#Headers],[20]:[2000]])</f>
        <v>40.546364828335854</v>
      </c>
      <c r="CJ657" s="14">
        <v>8426</v>
      </c>
      <c r="CK657" s="15" t="s">
        <v>249</v>
      </c>
      <c r="CL657" s="15">
        <f>RecData[[#This Row],[Start Time]]</f>
        <v>43270.17291666667</v>
      </c>
      <c r="CM657" s="16">
        <f>RecData[[#This Row],[Wind Speed avg]]</f>
        <v>0.75</v>
      </c>
      <c r="CN657" s="16">
        <f>RecData[[#This Row],[Wind Dir. avg]]</f>
        <v>177.1</v>
      </c>
      <c r="CO657" s="16">
        <f>RecData[[#This Row],[Amb. Humidity]]</f>
        <v>89.5</v>
      </c>
      <c r="CP657" s="16">
        <f>RecData[[#This Row],[Amb. Temperature]]</f>
        <v>10.7</v>
      </c>
      <c r="CQ657" s="17">
        <f>RecData[[#This Row],[Amb. Rain Gauge]]</f>
        <v>0</v>
      </c>
      <c r="CR657" s="4" t="s">
        <v>1</v>
      </c>
      <c r="CS657" s="4" t="s">
        <v>49</v>
      </c>
      <c r="CT657" s="70">
        <v>1618.01623535156</v>
      </c>
      <c r="CU657" s="70">
        <v>30.000257492065401</v>
      </c>
      <c r="CV657" s="70">
        <v>10.5205469131469</v>
      </c>
      <c r="CW657" s="70">
        <v>15.2816162109375</v>
      </c>
      <c r="CX657" s="4"/>
      <c r="CY657" s="69"/>
      <c r="CZ657" s="2" t="b">
        <f>IF($DP$1="YES",IF(RecData[[#This Row],[Power (kW)]]&gt;=$CR$3, TRUE,FALSE),TRUE)</f>
        <v>1</v>
      </c>
      <c r="DA657" s="16">
        <f>MIN(MOD(180-ABS(ABS($DA$1-RecData[Yaw Angle (°)])-180),360),MOD(180-ABS(ABS($DB$1-RecData[Yaw Angle (°)])-180),360))</f>
        <v>22.470330714377837</v>
      </c>
      <c r="DB657" s="2" t="str">
        <f>IF($DP$2="None","None",IF(RecData[[#This Row],[Relative Wind Direction]]&lt;=45,"DW",IF(RecData[[#This Row],[Relative Wind Direction]]&lt;=135,"CW","UW")))</f>
        <v>DW</v>
      </c>
      <c r="DC657" s="61">
        <f>IF($CL657-$CL656&gt;1/24,#REF!,IF(SUM($CQ656:$CQ657)&gt;$DS$1,$DS$5,DC658-1))</f>
        <v>-9</v>
      </c>
      <c r="DD657" s="61">
        <f>IF($CL658-$CL657&gt;1/24,#REF!,IF(SUM($CQ656:$CQ657)&gt;$DS$1,$DS$6,DD656-1))</f>
        <v>-2</v>
      </c>
      <c r="DE657" s="18" t="b">
        <v>0</v>
      </c>
      <c r="DF657" s="2" t="b">
        <f>IF(OR(RecData[[#This Row],[WSpd_Avg '[m/s']]]-RecData[[#This Row],[Wind Speed min]]&gt;=$DF$3,RecData[[#This Row],[Wind Speed max]]-RecData[[#This Row],[WSpd_Avg '[m/s']]]&gt;=$DF$2),TRUE,FALSE)</f>
        <v>0</v>
      </c>
      <c r="DG657" s="2" t="b">
        <f>RecData[[#This Row],[Temperature '[°C']]]&lt;=-20</f>
        <v>0</v>
      </c>
      <c r="DH657" s="18" t="b">
        <f>NOT(OR(MOD(RecData[[#This Row],[TIMESTAMP]],1)&gt;0.91632,MOD(RecData[[#This Row],[TIMESTAMP]],1)&lt;0.208681))</f>
        <v>0</v>
      </c>
      <c r="DI657" s="18" t="b">
        <f>RecData[[#This Row],[Overall (dBA)]]-RecData[[#This Row],[L90]]&gt;=$DS$4</f>
        <v>0</v>
      </c>
      <c r="DJ657" s="18" t="b">
        <f>RecData[[#This Row],[Overall (dBA)]]&gt;$DS$2</f>
        <v>0</v>
      </c>
      <c r="DK657" s="18" t="b">
        <f>RecData[[#This Row],[Overall (dBA)]]&lt;$DS$3</f>
        <v>0</v>
      </c>
      <c r="DL6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7" s="2">
        <f>IF(AND(RecData[[#This Row],[Turbines ON/OFF]] = "OFF", NOT(OR(RecData[[#This Row],[Junk?]]="YES",RecData[[#This Row],[Gust?]],RecData[[#This Row],[Rain?]:[Min SPL Threshold?]]))),1,0)</f>
        <v>0</v>
      </c>
      <c r="DN657" s="16">
        <f>RecData[[#This Row],[dBA Sum]]</f>
        <v>40.546364828335854</v>
      </c>
      <c r="DO657" s="16">
        <f>RecData[[#This Row],[LAF90.0]]</f>
        <v>39.9</v>
      </c>
      <c r="DP657" s="55">
        <f>IF(AND(RecData[[#This Row],[Useable TON Data?]],RecData[[#This Row],[Turbines ON/OFF]]="ON"),RecData[[#This Row],[dBA Sum]],"")</f>
        <v>40.546364828335854</v>
      </c>
      <c r="DQ657" s="55" t="str">
        <f>IF(AND(RecData[[#This Row],[Useable Background Data?]],RecData[[#This Row],[Turbines ON/OFF]]="OFF"),RecData[[#This Row],[dBA Sum]],"")</f>
        <v/>
      </c>
      <c r="DR657" s="3">
        <f>IF(OR(RecData[[#This Row],[Useable TON Data?]],RecData[[#This Row],[Useable Background Data?]]),ROUND(RecData[[#This Row],[WSpd_Avg '[m/s']]],0),"")</f>
        <v>1</v>
      </c>
      <c r="DS657" s="85">
        <f>(0.00002)^2*(10^(RecData[[#This Row],[Overall (dBA)]]/10))</f>
        <v>4.5362447038449687E-6</v>
      </c>
    </row>
    <row r="658" spans="1:123" ht="15" x14ac:dyDescent="0.25">
      <c r="A658" s="3" t="s">
        <v>249</v>
      </c>
      <c r="B658" s="12">
        <v>43270.173611111117</v>
      </c>
      <c r="C658" s="3"/>
      <c r="D658" s="3">
        <v>40.5</v>
      </c>
      <c r="E658" s="3"/>
      <c r="F658" s="3"/>
      <c r="G658" s="3"/>
      <c r="H658" s="3"/>
      <c r="I658" s="3"/>
      <c r="J658" s="3"/>
      <c r="K658" s="3">
        <v>39.299999999999997</v>
      </c>
      <c r="L658" s="3"/>
      <c r="M658" s="3"/>
      <c r="N658" s="3">
        <v>149.80000000000001</v>
      </c>
      <c r="O658" s="3"/>
      <c r="P658" s="3"/>
      <c r="Q658" s="3">
        <v>0.72</v>
      </c>
      <c r="R658" s="3">
        <v>0.4</v>
      </c>
      <c r="S658" s="3">
        <v>1.1000000000000001</v>
      </c>
      <c r="T658" s="3">
        <v>10.7</v>
      </c>
      <c r="U658" s="3">
        <v>90.1</v>
      </c>
      <c r="V658" s="3">
        <v>973.6</v>
      </c>
      <c r="W658" s="3">
        <v>0</v>
      </c>
      <c r="X658" s="3">
        <v>48.6</v>
      </c>
      <c r="Y658" s="3">
        <v>47.5</v>
      </c>
      <c r="Z658" s="3">
        <v>46.7</v>
      </c>
      <c r="AA658" s="3">
        <v>42.1</v>
      </c>
      <c r="AB658" s="3">
        <v>37.1</v>
      </c>
      <c r="AC658" s="3">
        <v>36.299999999999997</v>
      </c>
      <c r="AD658" s="3">
        <v>40.700000000000003</v>
      </c>
      <c r="AE658" s="3">
        <v>42.4</v>
      </c>
      <c r="AF658" s="3">
        <v>45.5</v>
      </c>
      <c r="AG658" s="3">
        <v>38.700000000000003</v>
      </c>
      <c r="AH658" s="3">
        <v>39</v>
      </c>
      <c r="AI658" s="3">
        <v>38</v>
      </c>
      <c r="AJ658" s="3">
        <v>37.6</v>
      </c>
      <c r="AK658" s="3">
        <v>35.700000000000003</v>
      </c>
      <c r="AL658" s="3">
        <v>33.5</v>
      </c>
      <c r="AM658" s="3">
        <v>33.5</v>
      </c>
      <c r="AN658" s="3">
        <v>31.9</v>
      </c>
      <c r="AO658" s="3">
        <v>28.8</v>
      </c>
      <c r="AP658" s="3">
        <v>26.6</v>
      </c>
      <c r="AQ658" s="3">
        <v>23.7</v>
      </c>
      <c r="AR658" s="3">
        <v>19.8</v>
      </c>
      <c r="AS658" s="3">
        <v>17</v>
      </c>
      <c r="AT658" s="3">
        <v>23</v>
      </c>
      <c r="AU658" s="3">
        <v>9.1</v>
      </c>
      <c r="AV658" s="3">
        <v>8.5</v>
      </c>
      <c r="AW658" s="3">
        <v>8.9</v>
      </c>
      <c r="AX658" s="3">
        <v>9.1</v>
      </c>
      <c r="AY658" s="3">
        <v>9.3000000000000007</v>
      </c>
      <c r="AZ658" s="3">
        <v>0</v>
      </c>
      <c r="BA658" s="3">
        <v>0</v>
      </c>
      <c r="BB658" s="3">
        <v>0</v>
      </c>
      <c r="BC658" s="3">
        <v>40.551791312329719</v>
      </c>
      <c r="BD658" s="3">
        <v>48.548208687670275</v>
      </c>
      <c r="BE658" s="3">
        <v>47.448208687670281</v>
      </c>
      <c r="BF658" s="3">
        <v>45.408208687670289</v>
      </c>
      <c r="BG658" s="3">
        <v>41.134875354336948</v>
      </c>
      <c r="BH658" s="3">
        <v>36.274875354336949</v>
      </c>
      <c r="BI658" s="3">
        <v>35.888208687670279</v>
      </c>
      <c r="BJ658" s="3">
        <v>41.081542021003607</v>
      </c>
      <c r="BK658" s="3">
        <v>42.654875354336944</v>
      </c>
      <c r="BL658" s="3">
        <v>45.328208687670276</v>
      </c>
      <c r="BM658" s="3">
        <v>38.661542021003619</v>
      </c>
      <c r="BN658" s="3">
        <v>39.244875354336948</v>
      </c>
      <c r="BO658" s="3">
        <v>37.611542021003608</v>
      </c>
      <c r="BP658" s="3">
        <v>36.928208687670285</v>
      </c>
      <c r="BQ658" s="3">
        <v>35.444875354336951</v>
      </c>
      <c r="BR658" s="3">
        <v>33.571542021003616</v>
      </c>
      <c r="BS658" s="3">
        <v>33.374875354336957</v>
      </c>
      <c r="BT658" s="3">
        <v>31.971542021003621</v>
      </c>
      <c r="BU658" s="3">
        <v>28.838208687670281</v>
      </c>
      <c r="BV658" s="3">
        <v>26.354875354336947</v>
      </c>
      <c r="BW658" s="3">
        <v>23.988208687670287</v>
      </c>
      <c r="BX658" s="3">
        <v>20.008208687670283</v>
      </c>
      <c r="BY658" s="3">
        <v>17.028208687670279</v>
      </c>
      <c r="BZ658" s="3">
        <v>23.158208687670289</v>
      </c>
      <c r="CA658" s="3">
        <v>9.3582086876702775</v>
      </c>
      <c r="CB658" s="3">
        <v>8.1948753543369435</v>
      </c>
      <c r="CC658" s="3">
        <v>8.8082086876702803</v>
      </c>
      <c r="CD658" s="3">
        <v>8.3148753543369551</v>
      </c>
      <c r="CE658" s="3">
        <v>8.7082086876702789</v>
      </c>
      <c r="CF658" s="3">
        <v>-0.97845797899638853</v>
      </c>
      <c r="CG658" s="3">
        <v>-1.51179131232972</v>
      </c>
      <c r="CH658" s="3">
        <v>-2.588457978996388</v>
      </c>
      <c r="CI658" s="13">
        <f>[1]!dbasum(RecData[[#This Row],[20]:[2000]],RecData[[#Headers],[20]:[2000]])</f>
        <v>40.287689722095401</v>
      </c>
      <c r="CJ658" s="14">
        <v>8427</v>
      </c>
      <c r="CK658" s="15" t="s">
        <v>249</v>
      </c>
      <c r="CL658" s="15">
        <f>RecData[[#This Row],[Start Time]]</f>
        <v>43270.173611111117</v>
      </c>
      <c r="CM658" s="16">
        <f>RecData[[#This Row],[Wind Speed avg]]</f>
        <v>0.72</v>
      </c>
      <c r="CN658" s="16">
        <f>RecData[[#This Row],[Wind Dir. avg]]</f>
        <v>149.80000000000001</v>
      </c>
      <c r="CO658" s="16">
        <f>RecData[[#This Row],[Amb. Humidity]]</f>
        <v>90.1</v>
      </c>
      <c r="CP658" s="16">
        <f>RecData[[#This Row],[Amb. Temperature]]</f>
        <v>10.7</v>
      </c>
      <c r="CQ658" s="17">
        <f>RecData[[#This Row],[Amb. Rain Gauge]]</f>
        <v>0</v>
      </c>
      <c r="CR658" s="4" t="s">
        <v>1</v>
      </c>
      <c r="CS658" s="4" t="s">
        <v>49</v>
      </c>
      <c r="CT658" s="70">
        <v>1618.01623535156</v>
      </c>
      <c r="CU658" s="70">
        <v>30.000257492065401</v>
      </c>
      <c r="CV658" s="70">
        <v>10.5205469131469</v>
      </c>
      <c r="CW658" s="70">
        <v>15.2816162109375</v>
      </c>
      <c r="CX658" s="4"/>
      <c r="CY658" s="69"/>
      <c r="CZ658" s="2" t="b">
        <f>IF($DP$1="YES",IF(RecData[[#This Row],[Power (kW)]]&gt;=$CR$3, TRUE,FALSE),TRUE)</f>
        <v>1</v>
      </c>
      <c r="DA658" s="16">
        <f>MIN(MOD(180-ABS(ABS($DA$1-RecData[Yaw Angle (°)])-180),360),MOD(180-ABS(ABS($DB$1-RecData[Yaw Angle (°)])-180),360))</f>
        <v>22.470330714377837</v>
      </c>
      <c r="DB658" s="2" t="str">
        <f>IF($DP$2="None","None",IF(RecData[[#This Row],[Relative Wind Direction]]&lt;=45,"DW",IF(RecData[[#This Row],[Relative Wind Direction]]&lt;=135,"CW","UW")))</f>
        <v>DW</v>
      </c>
      <c r="DC658" s="61">
        <f>IF($CL658-$CL656&gt;1/24,#REF!,IF(SUM($CQ656:$CQ658)&gt;$DS$1,$DS$5,DC659-1))</f>
        <v>-8</v>
      </c>
      <c r="DD658" s="61">
        <f>IF($CL659-$CL658&gt;1/24,#REF!,IF(SUM($CQ656:$CQ658)&gt;$DS$1,$DS$6,DD657-1))</f>
        <v>-3</v>
      </c>
      <c r="DE658" s="18" t="b">
        <v>0</v>
      </c>
      <c r="DF658" s="2" t="b">
        <f>IF(OR(RecData[[#This Row],[WSpd_Avg '[m/s']]]-RecData[[#This Row],[Wind Speed min]]&gt;=$DF$3,RecData[[#This Row],[Wind Speed max]]-RecData[[#This Row],[WSpd_Avg '[m/s']]]&gt;=$DF$2),TRUE,FALSE)</f>
        <v>0</v>
      </c>
      <c r="DG658" s="2" t="b">
        <f>RecData[[#This Row],[Temperature '[°C']]]&lt;=-20</f>
        <v>0</v>
      </c>
      <c r="DH658" s="18" t="b">
        <f>NOT(OR(MOD(RecData[[#This Row],[TIMESTAMP]],1)&gt;0.91632,MOD(RecData[[#This Row],[TIMESTAMP]],1)&lt;0.208681))</f>
        <v>0</v>
      </c>
      <c r="DI658" s="18" t="b">
        <f>RecData[[#This Row],[Overall (dBA)]]-RecData[[#This Row],[L90]]&gt;=$DS$4</f>
        <v>0</v>
      </c>
      <c r="DJ658" s="18" t="b">
        <f>RecData[[#This Row],[Overall (dBA)]]&gt;$DS$2</f>
        <v>0</v>
      </c>
      <c r="DK658" s="18" t="b">
        <f>RecData[[#This Row],[Overall (dBA)]]&lt;$DS$3</f>
        <v>0</v>
      </c>
      <c r="DL6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8" s="2">
        <f>IF(AND(RecData[[#This Row],[Turbines ON/OFF]] = "OFF", NOT(OR(RecData[[#This Row],[Junk?]]="YES",RecData[[#This Row],[Gust?]],RecData[[#This Row],[Rain?]:[Min SPL Threshold?]]))),1,0)</f>
        <v>0</v>
      </c>
      <c r="DN658" s="16">
        <f>RecData[[#This Row],[dBA Sum]]</f>
        <v>40.287689722095401</v>
      </c>
      <c r="DO658" s="16">
        <f>RecData[[#This Row],[LAF90.0]]</f>
        <v>39.299999999999997</v>
      </c>
      <c r="DP658" s="55">
        <f>IF(AND(RecData[[#This Row],[Useable TON Data?]],RecData[[#This Row],[Turbines ON/OFF]]="ON"),RecData[[#This Row],[dBA Sum]],"")</f>
        <v>40.287689722095401</v>
      </c>
      <c r="DQ658" s="55" t="str">
        <f>IF(AND(RecData[[#This Row],[Useable Background Data?]],RecData[[#This Row],[Turbines ON/OFF]]="OFF"),RecData[[#This Row],[dBA Sum]],"")</f>
        <v/>
      </c>
      <c r="DR658" s="3">
        <f>IF(OR(RecData[[#This Row],[Useable TON Data?]],RecData[[#This Row],[Useable Background Data?]]),ROUND(RecData[[#This Row],[WSpd_Avg '[m/s']]],0),"")</f>
        <v>1</v>
      </c>
      <c r="DS658" s="85">
        <f>(0.00002)^2*(10^(RecData[[#This Row],[Overall (dBA)]]/10))</f>
        <v>4.2739453391949744E-6</v>
      </c>
    </row>
    <row r="659" spans="1:123" ht="15" x14ac:dyDescent="0.25">
      <c r="A659" s="3" t="s">
        <v>249</v>
      </c>
      <c r="B659" s="12">
        <v>43270.174305555563</v>
      </c>
      <c r="C659" s="3"/>
      <c r="D659" s="3">
        <v>40.5</v>
      </c>
      <c r="E659" s="3"/>
      <c r="F659" s="3"/>
      <c r="G659" s="3"/>
      <c r="H659" s="3"/>
      <c r="I659" s="3"/>
      <c r="J659" s="3"/>
      <c r="K659" s="3">
        <v>38.9</v>
      </c>
      <c r="L659" s="3"/>
      <c r="M659" s="3"/>
      <c r="N659" s="3">
        <v>159.5</v>
      </c>
      <c r="O659" s="3"/>
      <c r="P659" s="3"/>
      <c r="Q659" s="3">
        <v>0.79</v>
      </c>
      <c r="R659" s="3">
        <v>0.4</v>
      </c>
      <c r="S659" s="3">
        <v>1.1000000000000001</v>
      </c>
      <c r="T659" s="3">
        <v>10.7</v>
      </c>
      <c r="U659" s="3">
        <v>89.9</v>
      </c>
      <c r="V659" s="3">
        <v>973.6</v>
      </c>
      <c r="W659" s="3">
        <v>0</v>
      </c>
      <c r="X659" s="3">
        <v>49.3</v>
      </c>
      <c r="Y659" s="3">
        <v>48.5</v>
      </c>
      <c r="Z659" s="3">
        <v>46.7</v>
      </c>
      <c r="AA659" s="3">
        <v>42.1</v>
      </c>
      <c r="AB659" s="3">
        <v>37.299999999999997</v>
      </c>
      <c r="AC659" s="3">
        <v>36.5</v>
      </c>
      <c r="AD659" s="3">
        <v>40.5</v>
      </c>
      <c r="AE659" s="3">
        <v>42.6</v>
      </c>
      <c r="AF659" s="3">
        <v>44.9</v>
      </c>
      <c r="AG659" s="3">
        <v>39.4</v>
      </c>
      <c r="AH659" s="3">
        <v>39</v>
      </c>
      <c r="AI659" s="3">
        <v>38.299999999999997</v>
      </c>
      <c r="AJ659" s="3">
        <v>37.6</v>
      </c>
      <c r="AK659" s="3">
        <v>35.6</v>
      </c>
      <c r="AL659" s="3">
        <v>33.4</v>
      </c>
      <c r="AM659" s="3">
        <v>33.299999999999997</v>
      </c>
      <c r="AN659" s="3">
        <v>31.9</v>
      </c>
      <c r="AO659" s="3">
        <v>28.5</v>
      </c>
      <c r="AP659" s="3">
        <v>26.2</v>
      </c>
      <c r="AQ659" s="3">
        <v>23.6</v>
      </c>
      <c r="AR659" s="3">
        <v>19.7</v>
      </c>
      <c r="AS659" s="3">
        <v>15.7</v>
      </c>
      <c r="AT659" s="3">
        <v>25.1</v>
      </c>
      <c r="AU659" s="3">
        <v>11.6</v>
      </c>
      <c r="AV659" s="3">
        <v>8.8000000000000007</v>
      </c>
      <c r="AW659" s="3">
        <v>8.9</v>
      </c>
      <c r="AX659" s="3">
        <v>9.1</v>
      </c>
      <c r="AY659" s="3">
        <v>9.3000000000000007</v>
      </c>
      <c r="AZ659" s="3">
        <v>0</v>
      </c>
      <c r="BA659" s="3">
        <v>0</v>
      </c>
      <c r="BB659" s="3">
        <v>0</v>
      </c>
      <c r="BC659" s="3">
        <v>40.53347289745691</v>
      </c>
      <c r="BD659" s="3">
        <v>49.266527102543087</v>
      </c>
      <c r="BE659" s="3">
        <v>48.46652710254309</v>
      </c>
      <c r="BF659" s="3">
        <v>45.426527102543098</v>
      </c>
      <c r="BG659" s="3">
        <v>41.153193769209757</v>
      </c>
      <c r="BH659" s="3">
        <v>36.493193769209761</v>
      </c>
      <c r="BI659" s="3">
        <v>36.10652710254309</v>
      </c>
      <c r="BJ659" s="3">
        <v>40.899860435876427</v>
      </c>
      <c r="BK659" s="3">
        <v>42.873193769209756</v>
      </c>
      <c r="BL659" s="3">
        <v>44.746527102543091</v>
      </c>
      <c r="BM659" s="3">
        <v>39.379860435876417</v>
      </c>
      <c r="BN659" s="3">
        <v>39.263193769209757</v>
      </c>
      <c r="BO659" s="3">
        <v>37.929860435876428</v>
      </c>
      <c r="BP659" s="3">
        <v>36.946527102543094</v>
      </c>
      <c r="BQ659" s="3">
        <v>35.363193769209751</v>
      </c>
      <c r="BR659" s="3">
        <v>33.48986043587643</v>
      </c>
      <c r="BS659" s="3">
        <v>33.193193769209749</v>
      </c>
      <c r="BT659" s="3">
        <v>31.98986043587643</v>
      </c>
      <c r="BU659" s="3">
        <v>28.556527102543093</v>
      </c>
      <c r="BV659" s="3">
        <v>25.97319376920975</v>
      </c>
      <c r="BW659" s="3">
        <v>23.906527102543087</v>
      </c>
      <c r="BX659" s="3">
        <v>19.926527102543098</v>
      </c>
      <c r="BY659" s="3">
        <v>15.746527102543091</v>
      </c>
      <c r="BZ659" s="3">
        <v>25.276527102543092</v>
      </c>
      <c r="CA659" s="3">
        <v>11.876527102543086</v>
      </c>
      <c r="CB659" s="3">
        <v>8.5131937692097566</v>
      </c>
      <c r="CC659" s="3">
        <v>8.8265271025430891</v>
      </c>
      <c r="CD659" s="3">
        <v>8.333193769209764</v>
      </c>
      <c r="CE659" s="3">
        <v>8.7265271025430877</v>
      </c>
      <c r="CF659" s="3">
        <v>-0.9601395641235797</v>
      </c>
      <c r="CG659" s="3">
        <v>-1.4934728974569111</v>
      </c>
      <c r="CH659" s="3">
        <v>-2.5701395641235791</v>
      </c>
      <c r="CI659" s="13">
        <f>[1]!dbasum(RecData[[#This Row],[20]:[2000]],RecData[[#Headers],[20]:[2000]])</f>
        <v>40.224309825209858</v>
      </c>
      <c r="CJ659" s="14">
        <v>8428</v>
      </c>
      <c r="CK659" s="15" t="s">
        <v>249</v>
      </c>
      <c r="CL659" s="15">
        <f>RecData[[#This Row],[Start Time]]</f>
        <v>43270.174305555563</v>
      </c>
      <c r="CM659" s="16">
        <f>RecData[[#This Row],[Wind Speed avg]]</f>
        <v>0.79</v>
      </c>
      <c r="CN659" s="16">
        <f>RecData[[#This Row],[Wind Dir. avg]]</f>
        <v>159.5</v>
      </c>
      <c r="CO659" s="16">
        <f>RecData[[#This Row],[Amb. Humidity]]</f>
        <v>89.9</v>
      </c>
      <c r="CP659" s="16">
        <f>RecData[[#This Row],[Amb. Temperature]]</f>
        <v>10.7</v>
      </c>
      <c r="CQ659" s="17">
        <f>RecData[[#This Row],[Amb. Rain Gauge]]</f>
        <v>0</v>
      </c>
      <c r="CR659" s="4" t="s">
        <v>1</v>
      </c>
      <c r="CS659" s="4" t="s">
        <v>49</v>
      </c>
      <c r="CT659" s="70">
        <v>1613.65832519531</v>
      </c>
      <c r="CU659" s="70">
        <v>30.000255584716701</v>
      </c>
      <c r="CV659" s="70">
        <v>10.095256805419901</v>
      </c>
      <c r="CW659" s="70">
        <v>15.294609069824199</v>
      </c>
      <c r="CX659" s="4"/>
      <c r="CY659" s="69"/>
      <c r="CZ659" s="2" t="b">
        <f>IF($DP$1="YES",IF(RecData[[#This Row],[Power (kW)]]&gt;=$CR$3, TRUE,FALSE),TRUE)</f>
        <v>1</v>
      </c>
      <c r="DA659" s="16">
        <f>MIN(MOD(180-ABS(ABS($DA$1-RecData[Yaw Angle (°)])-180),360),MOD(180-ABS(ABS($DB$1-RecData[Yaw Angle (°)])-180),360))</f>
        <v>22.470328807029148</v>
      </c>
      <c r="DB659" s="2" t="str">
        <f>IF($DP$2="None","None",IF(RecData[[#This Row],[Relative Wind Direction]]&lt;=45,"DW",IF(RecData[[#This Row],[Relative Wind Direction]]&lt;=135,"CW","UW")))</f>
        <v>DW</v>
      </c>
      <c r="DC659" s="61">
        <f>IF($CL659-$CL656&gt;1/24,#REF!,IF(SUM($CQ656:$CQ659)&gt;$DS$1,$DS$5,DC660-1))</f>
        <v>-7</v>
      </c>
      <c r="DD659" s="61">
        <f>IF($CL660-$CL659&gt;1/24,#REF!,IF(SUM($CQ656:$CQ659)&gt;$DS$1,$DS$6,DD658-1))</f>
        <v>-4</v>
      </c>
      <c r="DE659" s="18" t="b">
        <v>0</v>
      </c>
      <c r="DF659" s="2" t="b">
        <f>IF(OR(RecData[[#This Row],[WSpd_Avg '[m/s']]]-RecData[[#This Row],[Wind Speed min]]&gt;=$DF$3,RecData[[#This Row],[Wind Speed max]]-RecData[[#This Row],[WSpd_Avg '[m/s']]]&gt;=$DF$2),TRUE,FALSE)</f>
        <v>0</v>
      </c>
      <c r="DG659" s="2" t="b">
        <f>RecData[[#This Row],[Temperature '[°C']]]&lt;=-20</f>
        <v>0</v>
      </c>
      <c r="DH659" s="18" t="b">
        <f>NOT(OR(MOD(RecData[[#This Row],[TIMESTAMP]],1)&gt;0.91632,MOD(RecData[[#This Row],[TIMESTAMP]],1)&lt;0.208681))</f>
        <v>0</v>
      </c>
      <c r="DI659" s="18" t="b">
        <f>RecData[[#This Row],[Overall (dBA)]]-RecData[[#This Row],[L90]]&gt;=$DS$4</f>
        <v>0</v>
      </c>
      <c r="DJ659" s="18" t="b">
        <f>RecData[[#This Row],[Overall (dBA)]]&gt;$DS$2</f>
        <v>0</v>
      </c>
      <c r="DK659" s="18" t="b">
        <f>RecData[[#This Row],[Overall (dBA)]]&lt;$DS$3</f>
        <v>0</v>
      </c>
      <c r="DL6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59" s="2">
        <f>IF(AND(RecData[[#This Row],[Turbines ON/OFF]] = "OFF", NOT(OR(RecData[[#This Row],[Junk?]]="YES",RecData[[#This Row],[Gust?]],RecData[[#This Row],[Rain?]:[Min SPL Threshold?]]))),1,0)</f>
        <v>0</v>
      </c>
      <c r="DN659" s="16">
        <f>RecData[[#This Row],[dBA Sum]]</f>
        <v>40.224309825209858</v>
      </c>
      <c r="DO659" s="16">
        <f>RecData[[#This Row],[LAF90.0]]</f>
        <v>38.9</v>
      </c>
      <c r="DP659" s="55">
        <f>IF(AND(RecData[[#This Row],[Useable TON Data?]],RecData[[#This Row],[Turbines ON/OFF]]="ON"),RecData[[#This Row],[dBA Sum]],"")</f>
        <v>40.224309825209858</v>
      </c>
      <c r="DQ659" s="55" t="str">
        <f>IF(AND(RecData[[#This Row],[Useable Background Data?]],RecData[[#This Row],[Turbines ON/OFF]]="OFF"),RecData[[#This Row],[dBA Sum]],"")</f>
        <v/>
      </c>
      <c r="DR659" s="3">
        <f>IF(OR(RecData[[#This Row],[Useable TON Data?]],RecData[[#This Row],[Useable Background Data?]]),ROUND(RecData[[#This Row],[WSpd_Avg '[m/s']]],0),"")</f>
        <v>1</v>
      </c>
      <c r="DS659" s="85">
        <f>(0.00002)^2*(10^(RecData[[#This Row],[Overall (dBA)]]/10))</f>
        <v>4.2120253260832229E-6</v>
      </c>
    </row>
    <row r="660" spans="1:123" ht="15" x14ac:dyDescent="0.25">
      <c r="A660" s="3" t="s">
        <v>249</v>
      </c>
      <c r="B660" s="12">
        <v>43270.175000000003</v>
      </c>
      <c r="C660" s="3"/>
      <c r="D660" s="3">
        <v>40.9</v>
      </c>
      <c r="E660" s="3"/>
      <c r="F660" s="3"/>
      <c r="G660" s="3"/>
      <c r="H660" s="3"/>
      <c r="I660" s="3"/>
      <c r="J660" s="3"/>
      <c r="K660" s="3">
        <v>39.799999999999997</v>
      </c>
      <c r="L660" s="3"/>
      <c r="M660" s="3"/>
      <c r="N660" s="3">
        <v>170.6</v>
      </c>
      <c r="O660" s="3"/>
      <c r="P660" s="3"/>
      <c r="Q660" s="3">
        <v>0.71</v>
      </c>
      <c r="R660" s="3">
        <v>0.2</v>
      </c>
      <c r="S660" s="3">
        <v>1</v>
      </c>
      <c r="T660" s="3">
        <v>10.7</v>
      </c>
      <c r="U660" s="3">
        <v>89.4</v>
      </c>
      <c r="V660" s="3">
        <v>973.6</v>
      </c>
      <c r="W660" s="3">
        <v>0</v>
      </c>
      <c r="X660" s="3">
        <v>48.6</v>
      </c>
      <c r="Y660" s="3">
        <v>47.4</v>
      </c>
      <c r="Z660" s="3">
        <v>45.8</v>
      </c>
      <c r="AA660" s="3">
        <v>41.2</v>
      </c>
      <c r="AB660" s="3">
        <v>36.9</v>
      </c>
      <c r="AC660" s="3">
        <v>36.6</v>
      </c>
      <c r="AD660" s="3">
        <v>42</v>
      </c>
      <c r="AE660" s="3">
        <v>43.3</v>
      </c>
      <c r="AF660" s="3">
        <v>46.6</v>
      </c>
      <c r="AG660" s="3">
        <v>39.299999999999997</v>
      </c>
      <c r="AH660" s="3">
        <v>39.700000000000003</v>
      </c>
      <c r="AI660" s="3">
        <v>38.6</v>
      </c>
      <c r="AJ660" s="3">
        <v>37.9</v>
      </c>
      <c r="AK660" s="3">
        <v>35.799999999999997</v>
      </c>
      <c r="AL660" s="3">
        <v>33.6</v>
      </c>
      <c r="AM660" s="3">
        <v>33.6</v>
      </c>
      <c r="AN660" s="3">
        <v>32.1</v>
      </c>
      <c r="AO660" s="3">
        <v>29</v>
      </c>
      <c r="AP660" s="3">
        <v>27.1</v>
      </c>
      <c r="AQ660" s="3">
        <v>24.2</v>
      </c>
      <c r="AR660" s="3">
        <v>20.2</v>
      </c>
      <c r="AS660" s="3">
        <v>17.899999999999999</v>
      </c>
      <c r="AT660" s="3">
        <v>21.2</v>
      </c>
      <c r="AU660" s="3">
        <v>8.8000000000000007</v>
      </c>
      <c r="AV660" s="3">
        <v>8.5</v>
      </c>
      <c r="AW660" s="3">
        <v>8.9</v>
      </c>
      <c r="AX660" s="3">
        <v>9.1</v>
      </c>
      <c r="AY660" s="3">
        <v>9.3000000000000007</v>
      </c>
      <c r="AZ660" s="3">
        <v>0</v>
      </c>
      <c r="BA660" s="3">
        <v>0</v>
      </c>
      <c r="BB660" s="3">
        <v>0</v>
      </c>
      <c r="BC660" s="3">
        <v>40.88979223030681</v>
      </c>
      <c r="BD660" s="3">
        <v>48.61020776969319</v>
      </c>
      <c r="BE660" s="3">
        <v>47.410207769693187</v>
      </c>
      <c r="BF660" s="3">
        <v>44.570207769693184</v>
      </c>
      <c r="BG660" s="3">
        <v>40.296874436359857</v>
      </c>
      <c r="BH660" s="3">
        <v>36.136874436359861</v>
      </c>
      <c r="BI660" s="3">
        <v>36.250207769693191</v>
      </c>
      <c r="BJ660" s="3">
        <v>42.443541103026519</v>
      </c>
      <c r="BK660" s="3">
        <v>43.616874436359851</v>
      </c>
      <c r="BL660" s="3">
        <v>46.490207769693185</v>
      </c>
      <c r="BM660" s="3">
        <v>39.323541103026528</v>
      </c>
      <c r="BN660" s="3">
        <v>40.006874436359865</v>
      </c>
      <c r="BO660" s="3">
        <v>38.273541103026517</v>
      </c>
      <c r="BP660" s="3">
        <v>37.290207769693197</v>
      </c>
      <c r="BQ660" s="3">
        <v>35.606874436359846</v>
      </c>
      <c r="BR660" s="3">
        <v>33.733541103026525</v>
      </c>
      <c r="BS660" s="3">
        <v>33.536874436359867</v>
      </c>
      <c r="BT660" s="3">
        <v>32.233541103026525</v>
      </c>
      <c r="BU660" s="3">
        <v>29.100207769693199</v>
      </c>
      <c r="BV660" s="3">
        <v>26.916874436359862</v>
      </c>
      <c r="BW660" s="3">
        <v>24.550207769693188</v>
      </c>
      <c r="BX660" s="3">
        <v>20.470207769693189</v>
      </c>
      <c r="BY660" s="3">
        <v>17.990207769693185</v>
      </c>
      <c r="BZ660" s="3">
        <v>21.420207769693192</v>
      </c>
      <c r="CA660" s="3">
        <v>9.1202077696931809</v>
      </c>
      <c r="CB660" s="3">
        <v>8.2568744363598512</v>
      </c>
      <c r="CC660" s="3">
        <v>8.870207769693188</v>
      </c>
      <c r="CD660" s="3">
        <v>8.3768744363598557</v>
      </c>
      <c r="CE660" s="3">
        <v>8.7702077696931866</v>
      </c>
      <c r="CF660" s="3">
        <v>-0.91645889697348082</v>
      </c>
      <c r="CG660" s="3">
        <v>-1.4497922303068123</v>
      </c>
      <c r="CH660" s="3">
        <v>-2.5264588969734803</v>
      </c>
      <c r="CI660" s="13">
        <f>[1]!dbasum(RecData[[#This Row],[20]:[2000]],RecData[[#Headers],[20]:[2000]])</f>
        <v>40.727340065168264</v>
      </c>
      <c r="CJ660" s="14">
        <v>8429</v>
      </c>
      <c r="CK660" s="15" t="s">
        <v>249</v>
      </c>
      <c r="CL660" s="15">
        <f>RecData[[#This Row],[Start Time]]</f>
        <v>43270.175000000003</v>
      </c>
      <c r="CM660" s="16">
        <f>RecData[[#This Row],[Wind Speed avg]]</f>
        <v>0.71</v>
      </c>
      <c r="CN660" s="16">
        <f>RecData[[#This Row],[Wind Dir. avg]]</f>
        <v>170.6</v>
      </c>
      <c r="CO660" s="16">
        <f>RecData[[#This Row],[Amb. Humidity]]</f>
        <v>89.4</v>
      </c>
      <c r="CP660" s="16">
        <f>RecData[[#This Row],[Amb. Temperature]]</f>
        <v>10.7</v>
      </c>
      <c r="CQ660" s="17">
        <f>RecData[[#This Row],[Amb. Rain Gauge]]</f>
        <v>0</v>
      </c>
      <c r="CR660" s="4" t="s">
        <v>1</v>
      </c>
      <c r="CS660" s="4" t="s">
        <v>49</v>
      </c>
      <c r="CT660" s="70">
        <v>1613.65832519531</v>
      </c>
      <c r="CU660" s="70">
        <v>30.000255584716701</v>
      </c>
      <c r="CV660" s="70">
        <v>10.095256805419901</v>
      </c>
      <c r="CW660" s="70">
        <v>15.294609069824199</v>
      </c>
      <c r="CX660" s="4"/>
      <c r="CY660" s="69"/>
      <c r="CZ660" s="2" t="b">
        <f>IF($DP$1="YES",IF(RecData[[#This Row],[Power (kW)]]&gt;=$CR$3, TRUE,FALSE),TRUE)</f>
        <v>1</v>
      </c>
      <c r="DA660" s="16">
        <f>MIN(MOD(180-ABS(ABS($DA$1-RecData[Yaw Angle (°)])-180),360),MOD(180-ABS(ABS($DB$1-RecData[Yaw Angle (°)])-180),360))</f>
        <v>22.470328807029148</v>
      </c>
      <c r="DB660" s="2" t="str">
        <f>IF($DP$2="None","None",IF(RecData[[#This Row],[Relative Wind Direction]]&lt;=45,"DW",IF(RecData[[#This Row],[Relative Wind Direction]]&lt;=135,"CW","UW")))</f>
        <v>DW</v>
      </c>
      <c r="DC660" s="61">
        <f>IF($CL660-$CL656&gt;1/24,#REF!,IF(SUM($CQ656:$CQ660)&gt;$DS$1,$DS$5,DC661-1))</f>
        <v>-6</v>
      </c>
      <c r="DD660" s="61">
        <f>IF($CL661-$CL660&gt;1/24,#REF!,IF(SUM($CQ656:$CQ660)&gt;$DS$1,$DS$6,DD659-1))</f>
        <v>-5</v>
      </c>
      <c r="DE660" s="18" t="b">
        <v>0</v>
      </c>
      <c r="DF660" s="2" t="b">
        <f>IF(OR(RecData[[#This Row],[WSpd_Avg '[m/s']]]-RecData[[#This Row],[Wind Speed min]]&gt;=$DF$3,RecData[[#This Row],[Wind Speed max]]-RecData[[#This Row],[WSpd_Avg '[m/s']]]&gt;=$DF$2),TRUE,FALSE)</f>
        <v>0</v>
      </c>
      <c r="DG660" s="2" t="b">
        <f>RecData[[#This Row],[Temperature '[°C']]]&lt;=-20</f>
        <v>0</v>
      </c>
      <c r="DH660" s="18" t="b">
        <f>NOT(OR(MOD(RecData[[#This Row],[TIMESTAMP]],1)&gt;0.91632,MOD(RecData[[#This Row],[TIMESTAMP]],1)&lt;0.208681))</f>
        <v>0</v>
      </c>
      <c r="DI660" s="18" t="b">
        <f>RecData[[#This Row],[Overall (dBA)]]-RecData[[#This Row],[L90]]&gt;=$DS$4</f>
        <v>0</v>
      </c>
      <c r="DJ660" s="18" t="b">
        <f>RecData[[#This Row],[Overall (dBA)]]&gt;$DS$2</f>
        <v>0</v>
      </c>
      <c r="DK660" s="18" t="b">
        <f>RecData[[#This Row],[Overall (dBA)]]&lt;$DS$3</f>
        <v>0</v>
      </c>
      <c r="DL6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0" s="2">
        <f>IF(AND(RecData[[#This Row],[Turbines ON/OFF]] = "OFF", NOT(OR(RecData[[#This Row],[Junk?]]="YES",RecData[[#This Row],[Gust?]],RecData[[#This Row],[Rain?]:[Min SPL Threshold?]]))),1,0)</f>
        <v>0</v>
      </c>
      <c r="DN660" s="16">
        <f>RecData[[#This Row],[dBA Sum]]</f>
        <v>40.727340065168264</v>
      </c>
      <c r="DO660" s="16">
        <f>RecData[[#This Row],[LAF90.0]]</f>
        <v>39.799999999999997</v>
      </c>
      <c r="DP660" s="55">
        <f>IF(AND(RecData[[#This Row],[Useable TON Data?]],RecData[[#This Row],[Turbines ON/OFF]]="ON"),RecData[[#This Row],[dBA Sum]],"")</f>
        <v>40.727340065168264</v>
      </c>
      <c r="DQ660" s="55" t="str">
        <f>IF(AND(RecData[[#This Row],[Useable Background Data?]],RecData[[#This Row],[Turbines ON/OFF]]="OFF"),RecData[[#This Row],[dBA Sum]],"")</f>
        <v/>
      </c>
      <c r="DR660" s="3">
        <f>IF(OR(RecData[[#This Row],[Useable TON Data?]],RecData[[#This Row],[Useable Background Data?]]),ROUND(RecData[[#This Row],[WSpd_Avg '[m/s']]],0),"")</f>
        <v>1</v>
      </c>
      <c r="DS660" s="85">
        <f>(0.00002)^2*(10^(RecData[[#This Row],[Overall (dBA)]]/10))</f>
        <v>4.7292687880027288E-6</v>
      </c>
    </row>
    <row r="661" spans="1:123" ht="15" x14ac:dyDescent="0.25">
      <c r="A661" s="3" t="s">
        <v>249</v>
      </c>
      <c r="B661" s="12">
        <v>43270.17569444445</v>
      </c>
      <c r="C661" s="3"/>
      <c r="D661" s="3">
        <v>40.4</v>
      </c>
      <c r="E661" s="3"/>
      <c r="F661" s="3"/>
      <c r="G661" s="3"/>
      <c r="H661" s="3"/>
      <c r="I661" s="3"/>
      <c r="J661" s="3"/>
      <c r="K661" s="3">
        <v>39.200000000000003</v>
      </c>
      <c r="L661" s="3"/>
      <c r="M661" s="3"/>
      <c r="N661" s="3">
        <v>159.4</v>
      </c>
      <c r="O661" s="3"/>
      <c r="P661" s="3"/>
      <c r="Q661" s="3">
        <v>0.7</v>
      </c>
      <c r="R661" s="3">
        <v>0.2</v>
      </c>
      <c r="S661" s="3">
        <v>1</v>
      </c>
      <c r="T661" s="3">
        <v>10.8</v>
      </c>
      <c r="U661" s="3">
        <v>89</v>
      </c>
      <c r="V661" s="3">
        <v>973.6</v>
      </c>
      <c r="W661" s="3">
        <v>0</v>
      </c>
      <c r="X661" s="3">
        <v>48.1</v>
      </c>
      <c r="Y661" s="3">
        <v>47.2</v>
      </c>
      <c r="Z661" s="3">
        <v>46</v>
      </c>
      <c r="AA661" s="3">
        <v>41.5</v>
      </c>
      <c r="AB661" s="3">
        <v>37.6</v>
      </c>
      <c r="AC661" s="3">
        <v>36.5</v>
      </c>
      <c r="AD661" s="3">
        <v>40.700000000000003</v>
      </c>
      <c r="AE661" s="3">
        <v>43.1</v>
      </c>
      <c r="AF661" s="3">
        <v>45</v>
      </c>
      <c r="AG661" s="3">
        <v>38.9</v>
      </c>
      <c r="AH661" s="3">
        <v>39.700000000000003</v>
      </c>
      <c r="AI661" s="3">
        <v>37.9</v>
      </c>
      <c r="AJ661" s="3">
        <v>37.9</v>
      </c>
      <c r="AK661" s="3">
        <v>35.4</v>
      </c>
      <c r="AL661" s="3">
        <v>33.200000000000003</v>
      </c>
      <c r="AM661" s="3">
        <v>32.799999999999997</v>
      </c>
      <c r="AN661" s="3">
        <v>31.3</v>
      </c>
      <c r="AO661" s="3">
        <v>27.9</v>
      </c>
      <c r="AP661" s="3">
        <v>25.8</v>
      </c>
      <c r="AQ661" s="3">
        <v>23.1</v>
      </c>
      <c r="AR661" s="3">
        <v>19.2</v>
      </c>
      <c r="AS661" s="3">
        <v>16.5</v>
      </c>
      <c r="AT661" s="3">
        <v>26.9</v>
      </c>
      <c r="AU661" s="3">
        <v>10.6</v>
      </c>
      <c r="AV661" s="3">
        <v>8.6</v>
      </c>
      <c r="AW661" s="3">
        <v>8.9</v>
      </c>
      <c r="AX661" s="3">
        <v>9.1</v>
      </c>
      <c r="AY661" s="3">
        <v>9.3000000000000007</v>
      </c>
      <c r="AZ661" s="3">
        <v>0</v>
      </c>
      <c r="BA661" s="3">
        <v>0</v>
      </c>
      <c r="BB661" s="3">
        <v>0</v>
      </c>
      <c r="BC661" s="3">
        <v>40.437723661922185</v>
      </c>
      <c r="BD661" s="3">
        <v>48.062276338077815</v>
      </c>
      <c r="BE661" s="3">
        <v>47.16227633807781</v>
      </c>
      <c r="BF661" s="3">
        <v>44.722276338077812</v>
      </c>
      <c r="BG661" s="3">
        <v>40.54894300474448</v>
      </c>
      <c r="BH661" s="3">
        <v>36.788943004744475</v>
      </c>
      <c r="BI661" s="3">
        <v>36.102276338077807</v>
      </c>
      <c r="BJ661" s="3">
        <v>41.095609671411147</v>
      </c>
      <c r="BK661" s="3">
        <v>43.368943004744487</v>
      </c>
      <c r="BL661" s="3">
        <v>44.842276338077816</v>
      </c>
      <c r="BM661" s="3">
        <v>38.875609671411148</v>
      </c>
      <c r="BN661" s="3">
        <v>39.958943004744491</v>
      </c>
      <c r="BO661" s="3">
        <v>37.525609671411154</v>
      </c>
      <c r="BP661" s="3">
        <v>37.242276338077822</v>
      </c>
      <c r="BQ661" s="3">
        <v>35.158943004744479</v>
      </c>
      <c r="BR661" s="3">
        <v>33.285609671411144</v>
      </c>
      <c r="BS661" s="3">
        <v>32.68894300474448</v>
      </c>
      <c r="BT661" s="3">
        <v>31.385609671411153</v>
      </c>
      <c r="BU661" s="3">
        <v>27.952276338077816</v>
      </c>
      <c r="BV661" s="3">
        <v>25.568943004744476</v>
      </c>
      <c r="BW661" s="3">
        <v>23.402276338077819</v>
      </c>
      <c r="BX661" s="3">
        <v>19.422276338077815</v>
      </c>
      <c r="BY661" s="3">
        <v>16.542276338077812</v>
      </c>
      <c r="BZ661" s="3">
        <v>27.07227633807782</v>
      </c>
      <c r="CA661" s="3">
        <v>10.872276338077803</v>
      </c>
      <c r="CB661" s="3">
        <v>8.3089430047444779</v>
      </c>
      <c r="CC661" s="3">
        <v>8.8222763380778133</v>
      </c>
      <c r="CD661" s="3">
        <v>8.328943004744481</v>
      </c>
      <c r="CE661" s="3">
        <v>8.7222763380778119</v>
      </c>
      <c r="CF661" s="3">
        <v>-0.96439032858885554</v>
      </c>
      <c r="CG661" s="3">
        <v>-1.497723661922187</v>
      </c>
      <c r="CH661" s="3">
        <v>-2.574390328588855</v>
      </c>
      <c r="CI661" s="13">
        <f>[1]!dbasum(RecData[[#This Row],[20]:[2000]],RecData[[#Headers],[20]:[2000]])</f>
        <v>40.022511353900029</v>
      </c>
      <c r="CJ661" s="14">
        <v>8430</v>
      </c>
      <c r="CK661" s="15" t="s">
        <v>249</v>
      </c>
      <c r="CL661" s="15">
        <f>RecData[[#This Row],[Start Time]]</f>
        <v>43270.17569444445</v>
      </c>
      <c r="CM661" s="16">
        <f>RecData[[#This Row],[Wind Speed avg]]</f>
        <v>0.7</v>
      </c>
      <c r="CN661" s="16">
        <f>RecData[[#This Row],[Wind Dir. avg]]</f>
        <v>159.4</v>
      </c>
      <c r="CO661" s="16">
        <f>RecData[[#This Row],[Amb. Humidity]]</f>
        <v>89</v>
      </c>
      <c r="CP661" s="16">
        <f>RecData[[#This Row],[Amb. Temperature]]</f>
        <v>10.8</v>
      </c>
      <c r="CQ661" s="17">
        <f>RecData[[#This Row],[Amb. Rain Gauge]]</f>
        <v>0</v>
      </c>
      <c r="CR661" s="4" t="s">
        <v>1</v>
      </c>
      <c r="CS661" s="4" t="s">
        <v>49</v>
      </c>
      <c r="CT661" s="70">
        <v>1613.65832519531</v>
      </c>
      <c r="CU661" s="70">
        <v>30.000255584716701</v>
      </c>
      <c r="CV661" s="70">
        <v>10.095256805419901</v>
      </c>
      <c r="CW661" s="70">
        <v>15.294609069824199</v>
      </c>
      <c r="CX661" s="4"/>
      <c r="CY661" s="69"/>
      <c r="CZ661" s="2" t="b">
        <f>IF($DP$1="YES",IF(RecData[[#This Row],[Power (kW)]]&gt;=$CR$3, TRUE,FALSE),TRUE)</f>
        <v>1</v>
      </c>
      <c r="DA661" s="16">
        <f>MIN(MOD(180-ABS(ABS($DA$1-RecData[Yaw Angle (°)])-180),360),MOD(180-ABS(ABS($DB$1-RecData[Yaw Angle (°)])-180),360))</f>
        <v>22.470328807029148</v>
      </c>
      <c r="DB661" s="2" t="str">
        <f>IF($DP$2="None","None",IF(RecData[[#This Row],[Relative Wind Direction]]&lt;=45,"DW",IF(RecData[[#This Row],[Relative Wind Direction]]&lt;=135,"CW","UW")))</f>
        <v>DW</v>
      </c>
      <c r="DC661" s="61">
        <f>IF($CL661-$CL657&gt;1/24,#REF!,IF(SUM($CQ657:$CQ661)&gt;$DS$1,$DS$5,DC662-1))</f>
        <v>-5</v>
      </c>
      <c r="DD661" s="61">
        <f>IF($CL662-$CL661&gt;1/24,#REF!,IF(SUM($CQ657:$CQ661)&gt;$DS$1,$DS$6,DD660-1))</f>
        <v>-6</v>
      </c>
      <c r="DE661" s="18" t="b">
        <v>0</v>
      </c>
      <c r="DF661" s="2" t="b">
        <f>IF(OR(RecData[[#This Row],[WSpd_Avg '[m/s']]]-RecData[[#This Row],[Wind Speed min]]&gt;=$DF$3,RecData[[#This Row],[Wind Speed max]]-RecData[[#This Row],[WSpd_Avg '[m/s']]]&gt;=$DF$2),TRUE,FALSE)</f>
        <v>0</v>
      </c>
      <c r="DG661" s="2" t="b">
        <f>RecData[[#This Row],[Temperature '[°C']]]&lt;=-20</f>
        <v>0</v>
      </c>
      <c r="DH661" s="18" t="b">
        <f>NOT(OR(MOD(RecData[[#This Row],[TIMESTAMP]],1)&gt;0.91632,MOD(RecData[[#This Row],[TIMESTAMP]],1)&lt;0.208681))</f>
        <v>0</v>
      </c>
      <c r="DI661" s="18" t="b">
        <f>RecData[[#This Row],[Overall (dBA)]]-RecData[[#This Row],[L90]]&gt;=$DS$4</f>
        <v>0</v>
      </c>
      <c r="DJ661" s="18" t="b">
        <f>RecData[[#This Row],[Overall (dBA)]]&gt;$DS$2</f>
        <v>0</v>
      </c>
      <c r="DK661" s="18" t="b">
        <f>RecData[[#This Row],[Overall (dBA)]]&lt;$DS$3</f>
        <v>0</v>
      </c>
      <c r="DL6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1" s="2">
        <f>IF(AND(RecData[[#This Row],[Turbines ON/OFF]] = "OFF", NOT(OR(RecData[[#This Row],[Junk?]]="YES",RecData[[#This Row],[Gust?]],RecData[[#This Row],[Rain?]:[Min SPL Threshold?]]))),1,0)</f>
        <v>0</v>
      </c>
      <c r="DN661" s="16">
        <f>RecData[[#This Row],[dBA Sum]]</f>
        <v>40.022511353900029</v>
      </c>
      <c r="DO661" s="16">
        <f>RecData[[#This Row],[LAF90.0]]</f>
        <v>39.200000000000003</v>
      </c>
      <c r="DP661" s="55">
        <f>IF(AND(RecData[[#This Row],[Useable TON Data?]],RecData[[#This Row],[Turbines ON/OFF]]="ON"),RecData[[#This Row],[dBA Sum]],"")</f>
        <v>40.022511353900029</v>
      </c>
      <c r="DQ661" s="55" t="str">
        <f>IF(AND(RecData[[#This Row],[Useable Background Data?]],RecData[[#This Row],[Turbines ON/OFF]]="OFF"),RecData[[#This Row],[dBA Sum]],"")</f>
        <v/>
      </c>
      <c r="DR661" s="3">
        <f>IF(OR(RecData[[#This Row],[Useable TON Data?]],RecData[[#This Row],[Useable Background Data?]]),ROUND(RecData[[#This Row],[WSpd_Avg '[m/s']]],0),"")</f>
        <v>1</v>
      </c>
      <c r="DS661" s="85">
        <f>(0.00002)^2*(10^(RecData[[#This Row],[Overall (dBA)]]/10))</f>
        <v>4.0207875520407578E-6</v>
      </c>
    </row>
    <row r="662" spans="1:123" ht="15" x14ac:dyDescent="0.25">
      <c r="A662" s="3" t="s">
        <v>249</v>
      </c>
      <c r="B662" s="12">
        <v>43270.176388888896</v>
      </c>
      <c r="C662" s="3"/>
      <c r="D662" s="3">
        <v>40.700000000000003</v>
      </c>
      <c r="E662" s="3"/>
      <c r="F662" s="3"/>
      <c r="G662" s="3"/>
      <c r="H662" s="3"/>
      <c r="I662" s="3"/>
      <c r="J662" s="3"/>
      <c r="K662" s="3">
        <v>39.799999999999997</v>
      </c>
      <c r="L662" s="3"/>
      <c r="M662" s="3"/>
      <c r="N662" s="3">
        <v>150.4</v>
      </c>
      <c r="O662" s="3"/>
      <c r="P662" s="3"/>
      <c r="Q662" s="3">
        <v>0.46</v>
      </c>
      <c r="R662" s="3">
        <v>0.1</v>
      </c>
      <c r="S662" s="3">
        <v>0.9</v>
      </c>
      <c r="T662" s="3">
        <v>10.8</v>
      </c>
      <c r="U662" s="3">
        <v>89.2</v>
      </c>
      <c r="V662" s="3">
        <v>973.6</v>
      </c>
      <c r="W662" s="3">
        <v>0</v>
      </c>
      <c r="X662" s="3">
        <v>47.3</v>
      </c>
      <c r="Y662" s="3">
        <v>47.3</v>
      </c>
      <c r="Z662" s="3">
        <v>46.4</v>
      </c>
      <c r="AA662" s="3">
        <v>41.8</v>
      </c>
      <c r="AB662" s="3">
        <v>36.799999999999997</v>
      </c>
      <c r="AC662" s="3">
        <v>36.700000000000003</v>
      </c>
      <c r="AD662" s="3">
        <v>41.3</v>
      </c>
      <c r="AE662" s="3">
        <v>42.7</v>
      </c>
      <c r="AF662" s="3">
        <v>46.8</v>
      </c>
      <c r="AG662" s="3">
        <v>39</v>
      </c>
      <c r="AH662" s="3">
        <v>39.6</v>
      </c>
      <c r="AI662" s="3">
        <v>38</v>
      </c>
      <c r="AJ662" s="3">
        <v>37.700000000000003</v>
      </c>
      <c r="AK662" s="3">
        <v>35.700000000000003</v>
      </c>
      <c r="AL662" s="3">
        <v>33.5</v>
      </c>
      <c r="AM662" s="3">
        <v>33.1</v>
      </c>
      <c r="AN662" s="3">
        <v>31.6</v>
      </c>
      <c r="AO662" s="3">
        <v>28.4</v>
      </c>
      <c r="AP662" s="3">
        <v>26.3</v>
      </c>
      <c r="AQ662" s="3">
        <v>23.9</v>
      </c>
      <c r="AR662" s="3">
        <v>20.100000000000001</v>
      </c>
      <c r="AS662" s="3">
        <v>18.100000000000001</v>
      </c>
      <c r="AT662" s="3">
        <v>25.5</v>
      </c>
      <c r="AU662" s="3">
        <v>11</v>
      </c>
      <c r="AV662" s="3">
        <v>9.6</v>
      </c>
      <c r="AW662" s="3">
        <v>10.199999999999999</v>
      </c>
      <c r="AX662" s="3">
        <v>9.6999999999999993</v>
      </c>
      <c r="AY662" s="3">
        <v>9.8000000000000007</v>
      </c>
      <c r="AZ662" s="3">
        <v>0</v>
      </c>
      <c r="BA662" s="3">
        <v>0</v>
      </c>
      <c r="BB662" s="3">
        <v>0</v>
      </c>
      <c r="BC662" s="3">
        <v>40.708642851472035</v>
      </c>
      <c r="BD662" s="3">
        <v>47.291357148527965</v>
      </c>
      <c r="BE662" s="3">
        <v>47.291357148527965</v>
      </c>
      <c r="BF662" s="3">
        <v>45.151357148527964</v>
      </c>
      <c r="BG662" s="3">
        <v>40.878023815194638</v>
      </c>
      <c r="BH662" s="3">
        <v>36.018023815194624</v>
      </c>
      <c r="BI662" s="3">
        <v>36.331357148527971</v>
      </c>
      <c r="BJ662" s="3">
        <v>41.724690481861302</v>
      </c>
      <c r="BK662" s="3">
        <v>42.998023815194642</v>
      </c>
      <c r="BL662" s="3">
        <v>46.67135714852796</v>
      </c>
      <c r="BM662" s="3">
        <v>39.004690481861303</v>
      </c>
      <c r="BN662" s="3">
        <v>39.888023815194629</v>
      </c>
      <c r="BO662" s="3">
        <v>37.654690481861309</v>
      </c>
      <c r="BP662" s="3">
        <v>37.071357148527966</v>
      </c>
      <c r="BQ662" s="3">
        <v>35.488023815194623</v>
      </c>
      <c r="BR662" s="3">
        <v>33.614690481861302</v>
      </c>
      <c r="BS662" s="3">
        <v>33.018023815194638</v>
      </c>
      <c r="BT662" s="3">
        <v>31.714690481861311</v>
      </c>
      <c r="BU662" s="3">
        <v>28.481357148527962</v>
      </c>
      <c r="BV662" s="3">
        <v>26.098023815194637</v>
      </c>
      <c r="BW662" s="3">
        <v>24.231357148527962</v>
      </c>
      <c r="BX662" s="3">
        <v>20.351357148527974</v>
      </c>
      <c r="BY662" s="3">
        <v>18.171357148527967</v>
      </c>
      <c r="BZ662" s="3">
        <v>25.701357148527975</v>
      </c>
      <c r="CA662" s="3">
        <v>11.301357148527963</v>
      </c>
      <c r="CB662" s="3">
        <v>9.3380238151946315</v>
      </c>
      <c r="CC662" s="3">
        <v>10.151357148527964</v>
      </c>
      <c r="CD662" s="3">
        <v>8.9580238151946361</v>
      </c>
      <c r="CE662" s="3">
        <v>9.2513571485279655</v>
      </c>
      <c r="CF662" s="3">
        <v>-0.93530951813870189</v>
      </c>
      <c r="CG662" s="3">
        <v>-1.4686428514720333</v>
      </c>
      <c r="CH662" s="3">
        <v>-2.5453095181387013</v>
      </c>
      <c r="CI662" s="13">
        <f>[1]!dbasum(RecData[[#This Row],[20]:[2000]],RecData[[#Headers],[20]:[2000]])</f>
        <v>40.402664219466544</v>
      </c>
      <c r="CJ662" s="14">
        <v>8431</v>
      </c>
      <c r="CK662" s="15" t="s">
        <v>249</v>
      </c>
      <c r="CL662" s="15">
        <f>RecData[[#This Row],[Start Time]]</f>
        <v>43270.176388888896</v>
      </c>
      <c r="CM662" s="16">
        <f>RecData[[#This Row],[Wind Speed avg]]</f>
        <v>0.46</v>
      </c>
      <c r="CN662" s="16">
        <f>RecData[[#This Row],[Wind Dir. avg]]</f>
        <v>150.4</v>
      </c>
      <c r="CO662" s="16">
        <f>RecData[[#This Row],[Amb. Humidity]]</f>
        <v>89.2</v>
      </c>
      <c r="CP662" s="16">
        <f>RecData[[#This Row],[Amb. Temperature]]</f>
        <v>10.8</v>
      </c>
      <c r="CQ662" s="17">
        <f>RecData[[#This Row],[Amb. Rain Gauge]]</f>
        <v>0</v>
      </c>
      <c r="CR662" s="4" t="s">
        <v>1</v>
      </c>
      <c r="CS662" s="4" t="s">
        <v>49</v>
      </c>
      <c r="CT662" s="70">
        <v>1613.65832519531</v>
      </c>
      <c r="CU662" s="70">
        <v>30.000255584716701</v>
      </c>
      <c r="CV662" s="70">
        <v>10.095256805419901</v>
      </c>
      <c r="CW662" s="70">
        <v>15.294609069824199</v>
      </c>
      <c r="CX662" s="4"/>
      <c r="CY662" s="69"/>
      <c r="CZ662" s="2" t="b">
        <f>IF($DP$1="YES",IF(RecData[[#This Row],[Power (kW)]]&gt;=$CR$3, TRUE,FALSE),TRUE)</f>
        <v>1</v>
      </c>
      <c r="DA662" s="16">
        <f>MIN(MOD(180-ABS(ABS($DA$1-RecData[Yaw Angle (°)])-180),360),MOD(180-ABS(ABS($DB$1-RecData[Yaw Angle (°)])-180),360))</f>
        <v>22.470328807029148</v>
      </c>
      <c r="DB662" s="2" t="str">
        <f>IF($DP$2="None","None",IF(RecData[[#This Row],[Relative Wind Direction]]&lt;=45,"DW",IF(RecData[[#This Row],[Relative Wind Direction]]&lt;=135,"CW","UW")))</f>
        <v>DW</v>
      </c>
      <c r="DC662" s="61">
        <f>IF($CL662-$CL658&gt;1/24,#REF!,IF(SUM($CQ658:$CQ662)&gt;$DS$1,$DS$5,DC663-1))</f>
        <v>-4</v>
      </c>
      <c r="DD662" s="61">
        <f>IF($CL663-$CL662&gt;1/24,#REF!,IF(SUM($CQ658:$CQ662)&gt;$DS$1,$DS$6,DD661-1))</f>
        <v>-7</v>
      </c>
      <c r="DE662" s="18" t="b">
        <v>0</v>
      </c>
      <c r="DF662" s="2" t="b">
        <f>IF(OR(RecData[[#This Row],[WSpd_Avg '[m/s']]]-RecData[[#This Row],[Wind Speed min]]&gt;=$DF$3,RecData[[#This Row],[Wind Speed max]]-RecData[[#This Row],[WSpd_Avg '[m/s']]]&gt;=$DF$2),TRUE,FALSE)</f>
        <v>0</v>
      </c>
      <c r="DG662" s="2" t="b">
        <f>RecData[[#This Row],[Temperature '[°C']]]&lt;=-20</f>
        <v>0</v>
      </c>
      <c r="DH662" s="18" t="b">
        <f>NOT(OR(MOD(RecData[[#This Row],[TIMESTAMP]],1)&gt;0.91632,MOD(RecData[[#This Row],[TIMESTAMP]],1)&lt;0.208681))</f>
        <v>0</v>
      </c>
      <c r="DI662" s="18" t="b">
        <f>RecData[[#This Row],[Overall (dBA)]]-RecData[[#This Row],[L90]]&gt;=$DS$4</f>
        <v>0</v>
      </c>
      <c r="DJ662" s="18" t="b">
        <f>RecData[[#This Row],[Overall (dBA)]]&gt;$DS$2</f>
        <v>0</v>
      </c>
      <c r="DK662" s="18" t="b">
        <f>RecData[[#This Row],[Overall (dBA)]]&lt;$DS$3</f>
        <v>0</v>
      </c>
      <c r="DL6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2" s="2">
        <f>IF(AND(RecData[[#This Row],[Turbines ON/OFF]] = "OFF", NOT(OR(RecData[[#This Row],[Junk?]]="YES",RecData[[#This Row],[Gust?]],RecData[[#This Row],[Rain?]:[Min SPL Threshold?]]))),1,0)</f>
        <v>0</v>
      </c>
      <c r="DN662" s="16">
        <f>RecData[[#This Row],[dBA Sum]]</f>
        <v>40.402664219466544</v>
      </c>
      <c r="DO662" s="16">
        <f>RecData[[#This Row],[LAF90.0]]</f>
        <v>39.799999999999997</v>
      </c>
      <c r="DP662" s="55">
        <f>IF(AND(RecData[[#This Row],[Useable TON Data?]],RecData[[#This Row],[Turbines ON/OFF]]="ON"),RecData[[#This Row],[dBA Sum]],"")</f>
        <v>40.402664219466544</v>
      </c>
      <c r="DQ662" s="55" t="str">
        <f>IF(AND(RecData[[#This Row],[Useable Background Data?]],RecData[[#This Row],[Turbines ON/OFF]]="OFF"),RecData[[#This Row],[dBA Sum]],"")</f>
        <v/>
      </c>
      <c r="DR662" s="3">
        <f>IF(OR(RecData[[#This Row],[Useable TON Data?]],RecData[[#This Row],[Useable Background Data?]]),ROUND(RecData[[#This Row],[WSpd_Avg '[m/s']]],0),"")</f>
        <v>0</v>
      </c>
      <c r="DS662" s="85">
        <f>(0.00002)^2*(10^(RecData[[#This Row],[Overall (dBA)]]/10))</f>
        <v>4.3886041885820524E-6</v>
      </c>
    </row>
    <row r="663" spans="1:123" ht="15" x14ac:dyDescent="0.25">
      <c r="A663" s="3" t="s">
        <v>249</v>
      </c>
      <c r="B663" s="12">
        <v>43270.177083333336</v>
      </c>
      <c r="C663" s="3"/>
      <c r="D663" s="3">
        <v>40.5</v>
      </c>
      <c r="E663" s="3"/>
      <c r="F663" s="3"/>
      <c r="G663" s="3"/>
      <c r="H663" s="3"/>
      <c r="I663" s="3"/>
      <c r="J663" s="3"/>
      <c r="K663" s="3">
        <v>39.299999999999997</v>
      </c>
      <c r="L663" s="3"/>
      <c r="M663" s="3"/>
      <c r="N663" s="3">
        <v>147.80000000000001</v>
      </c>
      <c r="O663" s="3"/>
      <c r="P663" s="3"/>
      <c r="Q663" s="3">
        <v>0.72</v>
      </c>
      <c r="R663" s="3">
        <v>0.5</v>
      </c>
      <c r="S663" s="3">
        <v>0.9</v>
      </c>
      <c r="T663" s="3">
        <v>10.9</v>
      </c>
      <c r="U663" s="3">
        <v>89</v>
      </c>
      <c r="V663" s="3">
        <v>973.6</v>
      </c>
      <c r="W663" s="3">
        <v>0</v>
      </c>
      <c r="X663" s="3">
        <v>48.2</v>
      </c>
      <c r="Y663" s="3">
        <v>47</v>
      </c>
      <c r="Z663" s="3">
        <v>46.2</v>
      </c>
      <c r="AA663" s="3">
        <v>41.8</v>
      </c>
      <c r="AB663" s="3">
        <v>36.6</v>
      </c>
      <c r="AC663" s="3">
        <v>35.700000000000003</v>
      </c>
      <c r="AD663" s="3">
        <v>40.700000000000003</v>
      </c>
      <c r="AE663" s="3">
        <v>42.6</v>
      </c>
      <c r="AF663" s="3">
        <v>44.6</v>
      </c>
      <c r="AG663" s="3">
        <v>39.799999999999997</v>
      </c>
      <c r="AH663" s="3">
        <v>39.299999999999997</v>
      </c>
      <c r="AI663" s="3">
        <v>38.4</v>
      </c>
      <c r="AJ663" s="3">
        <v>37.700000000000003</v>
      </c>
      <c r="AK663" s="3">
        <v>35.700000000000003</v>
      </c>
      <c r="AL663" s="3">
        <v>33.5</v>
      </c>
      <c r="AM663" s="3">
        <v>33.1</v>
      </c>
      <c r="AN663" s="3">
        <v>31.7</v>
      </c>
      <c r="AO663" s="3">
        <v>28.4</v>
      </c>
      <c r="AP663" s="3">
        <v>26.2</v>
      </c>
      <c r="AQ663" s="3">
        <v>23.8</v>
      </c>
      <c r="AR663" s="3">
        <v>19.8</v>
      </c>
      <c r="AS663" s="3">
        <v>16</v>
      </c>
      <c r="AT663" s="3">
        <v>22.7</v>
      </c>
      <c r="AU663" s="3">
        <v>9.4</v>
      </c>
      <c r="AV663" s="3">
        <v>8.5</v>
      </c>
      <c r="AW663" s="3">
        <v>8.9</v>
      </c>
      <c r="AX663" s="3">
        <v>9.1</v>
      </c>
      <c r="AY663" s="3">
        <v>9.3000000000000007</v>
      </c>
      <c r="AZ663" s="3">
        <v>0</v>
      </c>
      <c r="BA663" s="3">
        <v>0</v>
      </c>
      <c r="BB663" s="3">
        <v>0</v>
      </c>
      <c r="BC663" s="3">
        <v>40.4690068288551</v>
      </c>
      <c r="BD663" s="3">
        <v>48.230993171144902</v>
      </c>
      <c r="BE663" s="3">
        <v>47.0309931711449</v>
      </c>
      <c r="BF663" s="3">
        <v>44.990993171144908</v>
      </c>
      <c r="BG663" s="3">
        <v>40.917659837811556</v>
      </c>
      <c r="BH663" s="3">
        <v>35.857659837811568</v>
      </c>
      <c r="BI663" s="3">
        <v>35.370993171144903</v>
      </c>
      <c r="BJ663" s="3">
        <v>41.164326504478225</v>
      </c>
      <c r="BK663" s="3">
        <v>42.937659837811566</v>
      </c>
      <c r="BL663" s="3">
        <v>44.510993171144904</v>
      </c>
      <c r="BM663" s="3">
        <v>39.844326504478232</v>
      </c>
      <c r="BN663" s="3">
        <v>39.627659837811564</v>
      </c>
      <c r="BO663" s="3">
        <v>38.094326504478232</v>
      </c>
      <c r="BP663" s="3">
        <v>37.110993171144912</v>
      </c>
      <c r="BQ663" s="3">
        <v>35.527659837811569</v>
      </c>
      <c r="BR663" s="3">
        <v>33.654326504478234</v>
      </c>
      <c r="BS663" s="3">
        <v>33.05765983781157</v>
      </c>
      <c r="BT663" s="3">
        <v>31.854326504478237</v>
      </c>
      <c r="BU663" s="3">
        <v>28.520993171144909</v>
      </c>
      <c r="BV663" s="3">
        <v>26.03765983781156</v>
      </c>
      <c r="BW663" s="3">
        <v>24.1709931711449</v>
      </c>
      <c r="BX663" s="3">
        <v>20.090993171144902</v>
      </c>
      <c r="BY663" s="3">
        <v>16.110993171144898</v>
      </c>
      <c r="BZ663" s="3">
        <v>22.940993171144903</v>
      </c>
      <c r="CA663" s="3">
        <v>9.7409931711448934</v>
      </c>
      <c r="CB663" s="3">
        <v>8.2776598378115622</v>
      </c>
      <c r="CC663" s="3">
        <v>8.8909931711448991</v>
      </c>
      <c r="CD663" s="3">
        <v>8.3976598378115739</v>
      </c>
      <c r="CE663" s="3">
        <v>8.7909931711448976</v>
      </c>
      <c r="CF663" s="3">
        <v>-0.89567349552176978</v>
      </c>
      <c r="CG663" s="3">
        <v>-1.4290068288551012</v>
      </c>
      <c r="CH663" s="3">
        <v>-2.5056734955217692</v>
      </c>
      <c r="CI663" s="13">
        <f>[1]!dbasum(RecData[[#This Row],[20]:[2000]],RecData[[#Headers],[20]:[2000]])</f>
        <v>40.296311668833773</v>
      </c>
      <c r="CJ663" s="14">
        <v>8432</v>
      </c>
      <c r="CK663" s="15" t="s">
        <v>249</v>
      </c>
      <c r="CL663" s="15">
        <f>RecData[[#This Row],[Start Time]]</f>
        <v>43270.177083333336</v>
      </c>
      <c r="CM663" s="16">
        <f>RecData[[#This Row],[Wind Speed avg]]</f>
        <v>0.72</v>
      </c>
      <c r="CN663" s="16">
        <f>RecData[[#This Row],[Wind Dir. avg]]</f>
        <v>147.80000000000001</v>
      </c>
      <c r="CO663" s="16">
        <f>RecData[[#This Row],[Amb. Humidity]]</f>
        <v>89</v>
      </c>
      <c r="CP663" s="16">
        <f>RecData[[#This Row],[Amb. Temperature]]</f>
        <v>10.9</v>
      </c>
      <c r="CQ663" s="17">
        <f>RecData[[#This Row],[Amb. Rain Gauge]]</f>
        <v>0</v>
      </c>
      <c r="CR663" s="4" t="s">
        <v>1</v>
      </c>
      <c r="CS663" s="4" t="s">
        <v>49</v>
      </c>
      <c r="CT663" s="70">
        <v>1613.65832519531</v>
      </c>
      <c r="CU663" s="70">
        <v>30.000255584716701</v>
      </c>
      <c r="CV663" s="70">
        <v>10.095256805419901</v>
      </c>
      <c r="CW663" s="70">
        <v>15.294609069824199</v>
      </c>
      <c r="CX663" s="4"/>
      <c r="CY663" s="69"/>
      <c r="CZ663" s="2" t="b">
        <f>IF($DP$1="YES",IF(RecData[[#This Row],[Power (kW)]]&gt;=$CR$3, TRUE,FALSE),TRUE)</f>
        <v>1</v>
      </c>
      <c r="DA663" s="16">
        <f>MIN(MOD(180-ABS(ABS($DA$1-RecData[Yaw Angle (°)])-180),360),MOD(180-ABS(ABS($DB$1-RecData[Yaw Angle (°)])-180),360))</f>
        <v>22.470328807029148</v>
      </c>
      <c r="DB663" s="2" t="str">
        <f>IF($DP$2="None","None",IF(RecData[[#This Row],[Relative Wind Direction]]&lt;=45,"DW",IF(RecData[[#This Row],[Relative Wind Direction]]&lt;=135,"CW","UW")))</f>
        <v>DW</v>
      </c>
      <c r="DC663" s="61">
        <f>IF($CL663-$CL659&gt;1/24,#REF!,IF(SUM($CQ659:$CQ663)&gt;$DS$1,$DS$5,DC664-1))</f>
        <v>-3</v>
      </c>
      <c r="DD663" s="61">
        <f>IF($CL664-$CL663&gt;1/24,#REF!,IF(SUM($CQ659:$CQ663)&gt;$DS$1,$DS$6,DD662-1))</f>
        <v>-8</v>
      </c>
      <c r="DE663" s="18" t="b">
        <v>0</v>
      </c>
      <c r="DF663" s="2" t="b">
        <f>IF(OR(RecData[[#This Row],[WSpd_Avg '[m/s']]]-RecData[[#This Row],[Wind Speed min]]&gt;=$DF$3,RecData[[#This Row],[Wind Speed max]]-RecData[[#This Row],[WSpd_Avg '[m/s']]]&gt;=$DF$2),TRUE,FALSE)</f>
        <v>0</v>
      </c>
      <c r="DG663" s="2" t="b">
        <f>RecData[[#This Row],[Temperature '[°C']]]&lt;=-20</f>
        <v>0</v>
      </c>
      <c r="DH663" s="18" t="b">
        <f>NOT(OR(MOD(RecData[[#This Row],[TIMESTAMP]],1)&gt;0.91632,MOD(RecData[[#This Row],[TIMESTAMP]],1)&lt;0.208681))</f>
        <v>0</v>
      </c>
      <c r="DI663" s="18" t="b">
        <f>RecData[[#This Row],[Overall (dBA)]]-RecData[[#This Row],[L90]]&gt;=$DS$4</f>
        <v>0</v>
      </c>
      <c r="DJ663" s="18" t="b">
        <f>RecData[[#This Row],[Overall (dBA)]]&gt;$DS$2</f>
        <v>0</v>
      </c>
      <c r="DK663" s="18" t="b">
        <f>RecData[[#This Row],[Overall (dBA)]]&lt;$DS$3</f>
        <v>0</v>
      </c>
      <c r="DL6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3" s="2">
        <f>IF(AND(RecData[[#This Row],[Turbines ON/OFF]] = "OFF", NOT(OR(RecData[[#This Row],[Junk?]]="YES",RecData[[#This Row],[Gust?]],RecData[[#This Row],[Rain?]:[Min SPL Threshold?]]))),1,0)</f>
        <v>0</v>
      </c>
      <c r="DN663" s="16">
        <f>RecData[[#This Row],[dBA Sum]]</f>
        <v>40.296311668833773</v>
      </c>
      <c r="DO663" s="16">
        <f>RecData[[#This Row],[LAF90.0]]</f>
        <v>39.299999999999997</v>
      </c>
      <c r="DP663" s="55">
        <f>IF(AND(RecData[[#This Row],[Useable TON Data?]],RecData[[#This Row],[Turbines ON/OFF]]="ON"),RecData[[#This Row],[dBA Sum]],"")</f>
        <v>40.296311668833773</v>
      </c>
      <c r="DQ663" s="55" t="str">
        <f>IF(AND(RecData[[#This Row],[Useable Background Data?]],RecData[[#This Row],[Turbines ON/OFF]]="OFF"),RecData[[#This Row],[dBA Sum]],"")</f>
        <v/>
      </c>
      <c r="DR663" s="3">
        <f>IF(OR(RecData[[#This Row],[Useable TON Data?]],RecData[[#This Row],[Useable Background Data?]]),ROUND(RecData[[#This Row],[WSpd_Avg '[m/s']]],0),"")</f>
        <v>1</v>
      </c>
      <c r="DS663" s="85">
        <f>(0.00002)^2*(10^(RecData[[#This Row],[Overall (dBA)]]/10))</f>
        <v>4.2824387309567614E-6</v>
      </c>
    </row>
    <row r="664" spans="1:123" ht="15" x14ac:dyDescent="0.25">
      <c r="A664" s="3" t="s">
        <v>249</v>
      </c>
      <c r="B664" s="12">
        <v>43270.177777777782</v>
      </c>
      <c r="C664" s="3"/>
      <c r="D664" s="3">
        <v>40.4</v>
      </c>
      <c r="E664" s="3"/>
      <c r="F664" s="3"/>
      <c r="G664" s="3"/>
      <c r="H664" s="3"/>
      <c r="I664" s="3"/>
      <c r="J664" s="3"/>
      <c r="K664" s="3">
        <v>39</v>
      </c>
      <c r="L664" s="3"/>
      <c r="M664" s="3"/>
      <c r="N664" s="3">
        <v>152</v>
      </c>
      <c r="O664" s="3"/>
      <c r="P664" s="3"/>
      <c r="Q664" s="3">
        <v>0.74</v>
      </c>
      <c r="R664" s="3">
        <v>0.5</v>
      </c>
      <c r="S664" s="3">
        <v>0.9</v>
      </c>
      <c r="T664" s="3">
        <v>10.8</v>
      </c>
      <c r="U664" s="3">
        <v>88.9</v>
      </c>
      <c r="V664" s="3">
        <v>973.6</v>
      </c>
      <c r="W664" s="3">
        <v>0</v>
      </c>
      <c r="X664" s="3">
        <v>47.7</v>
      </c>
      <c r="Y664" s="3">
        <v>46.7</v>
      </c>
      <c r="Z664" s="3">
        <v>45.7</v>
      </c>
      <c r="AA664" s="3">
        <v>41.8</v>
      </c>
      <c r="AB664" s="3">
        <v>36.5</v>
      </c>
      <c r="AC664" s="3">
        <v>35.4</v>
      </c>
      <c r="AD664" s="3">
        <v>40</v>
      </c>
      <c r="AE664" s="3">
        <v>41.7</v>
      </c>
      <c r="AF664" s="3">
        <v>46.1</v>
      </c>
      <c r="AG664" s="3">
        <v>39.200000000000003</v>
      </c>
      <c r="AH664" s="3">
        <v>38.799999999999997</v>
      </c>
      <c r="AI664" s="3">
        <v>37.6</v>
      </c>
      <c r="AJ664" s="3">
        <v>37.200000000000003</v>
      </c>
      <c r="AK664" s="3">
        <v>35.1</v>
      </c>
      <c r="AL664" s="3">
        <v>33.299999999999997</v>
      </c>
      <c r="AM664" s="3">
        <v>33.299999999999997</v>
      </c>
      <c r="AN664" s="3">
        <v>31.7</v>
      </c>
      <c r="AO664" s="3">
        <v>28.5</v>
      </c>
      <c r="AP664" s="3">
        <v>26.5</v>
      </c>
      <c r="AQ664" s="3">
        <v>23.5</v>
      </c>
      <c r="AR664" s="3">
        <v>19.600000000000001</v>
      </c>
      <c r="AS664" s="3">
        <v>15.4</v>
      </c>
      <c r="AT664" s="3">
        <v>23</v>
      </c>
      <c r="AU664" s="3">
        <v>9.1999999999999993</v>
      </c>
      <c r="AV664" s="3">
        <v>8.4</v>
      </c>
      <c r="AW664" s="3">
        <v>8.8000000000000007</v>
      </c>
      <c r="AX664" s="3">
        <v>9.1</v>
      </c>
      <c r="AY664" s="3">
        <v>9.3000000000000007</v>
      </c>
      <c r="AZ664" s="3">
        <v>0</v>
      </c>
      <c r="BA664" s="3">
        <v>0</v>
      </c>
      <c r="BB664" s="3">
        <v>0</v>
      </c>
      <c r="BC664" s="3">
        <v>40.346901069770837</v>
      </c>
      <c r="BD664" s="3">
        <v>47.753098930229157</v>
      </c>
      <c r="BE664" s="3">
        <v>46.753098930229157</v>
      </c>
      <c r="BF664" s="3">
        <v>44.513098930229162</v>
      </c>
      <c r="BG664" s="3">
        <v>40.939765596895825</v>
      </c>
      <c r="BH664" s="3">
        <v>35.779765596895828</v>
      </c>
      <c r="BI664" s="3">
        <v>35.093098930229161</v>
      </c>
      <c r="BJ664" s="3">
        <v>40.486432263562492</v>
      </c>
      <c r="BK664" s="3">
        <v>42.059765596895829</v>
      </c>
      <c r="BL664" s="3">
        <v>46.033098930229158</v>
      </c>
      <c r="BM664" s="3">
        <v>39.266432263562507</v>
      </c>
      <c r="BN664" s="3">
        <v>39.149765596895833</v>
      </c>
      <c r="BO664" s="3">
        <v>37.31643226356249</v>
      </c>
      <c r="BP664" s="3">
        <v>36.633098930229167</v>
      </c>
      <c r="BQ664" s="3">
        <v>34.949765596895816</v>
      </c>
      <c r="BR664" s="3">
        <v>33.476432263562486</v>
      </c>
      <c r="BS664" s="3">
        <v>33.279765596895828</v>
      </c>
      <c r="BT664" s="3">
        <v>31.876432263562492</v>
      </c>
      <c r="BU664" s="3">
        <v>28.643098930229172</v>
      </c>
      <c r="BV664" s="3">
        <v>26.359765596895826</v>
      </c>
      <c r="BW664" s="3">
        <v>23.893098930229172</v>
      </c>
      <c r="BX664" s="3">
        <v>19.913098930229168</v>
      </c>
      <c r="BY664" s="3">
        <v>15.533098930229158</v>
      </c>
      <c r="BZ664" s="3">
        <v>23.263098930229162</v>
      </c>
      <c r="CA664" s="3">
        <v>9.5630989302291525</v>
      </c>
      <c r="CB664" s="3">
        <v>8.1997655968958298</v>
      </c>
      <c r="CC664" s="3">
        <v>8.8130989302291596</v>
      </c>
      <c r="CD664" s="3">
        <v>8.4197655968958287</v>
      </c>
      <c r="CE664" s="3">
        <v>8.8130989302291596</v>
      </c>
      <c r="CF664" s="3">
        <v>-0.87356773643750785</v>
      </c>
      <c r="CG664" s="3">
        <v>-1.4069010697708393</v>
      </c>
      <c r="CH664" s="3">
        <v>-2.4835677364375073</v>
      </c>
      <c r="CI664" s="13">
        <f>[1]!dbasum(RecData[[#This Row],[20]:[2000]],RecData[[#Headers],[20]:[2000]])</f>
        <v>40.192417071595095</v>
      </c>
      <c r="CJ664" s="14">
        <v>8433</v>
      </c>
      <c r="CK664" s="15" t="s">
        <v>249</v>
      </c>
      <c r="CL664" s="15">
        <f>RecData[[#This Row],[Start Time]]</f>
        <v>43270.177777777782</v>
      </c>
      <c r="CM664" s="16">
        <f>RecData[[#This Row],[Wind Speed avg]]</f>
        <v>0.74</v>
      </c>
      <c r="CN664" s="16">
        <f>RecData[[#This Row],[Wind Dir. avg]]</f>
        <v>152</v>
      </c>
      <c r="CO664" s="16">
        <f>RecData[[#This Row],[Amb. Humidity]]</f>
        <v>88.9</v>
      </c>
      <c r="CP664" s="16">
        <f>RecData[[#This Row],[Amb. Temperature]]</f>
        <v>10.8</v>
      </c>
      <c r="CQ664" s="17">
        <f>RecData[[#This Row],[Amb. Rain Gauge]]</f>
        <v>0</v>
      </c>
      <c r="CR664" s="4" t="s">
        <v>1</v>
      </c>
      <c r="CS664" s="4" t="s">
        <v>49</v>
      </c>
      <c r="CT664" s="70">
        <v>1613.65832519531</v>
      </c>
      <c r="CU664" s="70">
        <v>30.000255584716701</v>
      </c>
      <c r="CV664" s="70">
        <v>10.095256805419901</v>
      </c>
      <c r="CW664" s="70">
        <v>15.294609069824199</v>
      </c>
      <c r="CX664" s="4"/>
      <c r="CY664" s="69"/>
      <c r="CZ664" s="2" t="b">
        <f>IF($DP$1="YES",IF(RecData[[#This Row],[Power (kW)]]&gt;=$CR$3, TRUE,FALSE),TRUE)</f>
        <v>1</v>
      </c>
      <c r="DA664" s="16">
        <f>MIN(MOD(180-ABS(ABS($DA$1-RecData[Yaw Angle (°)])-180),360),MOD(180-ABS(ABS($DB$1-RecData[Yaw Angle (°)])-180),360))</f>
        <v>22.470328807029148</v>
      </c>
      <c r="DB664" s="2" t="str">
        <f>IF($DP$2="None","None",IF(RecData[[#This Row],[Relative Wind Direction]]&lt;=45,"DW",IF(RecData[[#This Row],[Relative Wind Direction]]&lt;=135,"CW","UW")))</f>
        <v>DW</v>
      </c>
      <c r="DC664" s="61">
        <f>IF($CL664-$CL660&gt;1/24,#REF!,IF(SUM($CQ660:$CQ664)&gt;$DS$1,$DS$5,DC665-1))</f>
        <v>-2</v>
      </c>
      <c r="DD664" s="61">
        <f>IF($CL665-$CL664&gt;1/24,#REF!,IF(SUM($CQ660:$CQ664)&gt;$DS$1,$DS$6,DD663-1))</f>
        <v>-9</v>
      </c>
      <c r="DE664" s="18" t="b">
        <v>0</v>
      </c>
      <c r="DF664" s="2" t="b">
        <f>IF(OR(RecData[[#This Row],[WSpd_Avg '[m/s']]]-RecData[[#This Row],[Wind Speed min]]&gt;=$DF$3,RecData[[#This Row],[Wind Speed max]]-RecData[[#This Row],[WSpd_Avg '[m/s']]]&gt;=$DF$2),TRUE,FALSE)</f>
        <v>0</v>
      </c>
      <c r="DG664" s="2" t="b">
        <f>RecData[[#This Row],[Temperature '[°C']]]&lt;=-20</f>
        <v>0</v>
      </c>
      <c r="DH664" s="18" t="b">
        <f>NOT(OR(MOD(RecData[[#This Row],[TIMESTAMP]],1)&gt;0.91632,MOD(RecData[[#This Row],[TIMESTAMP]],1)&lt;0.208681))</f>
        <v>0</v>
      </c>
      <c r="DI664" s="18" t="b">
        <f>RecData[[#This Row],[Overall (dBA)]]-RecData[[#This Row],[L90]]&gt;=$DS$4</f>
        <v>0</v>
      </c>
      <c r="DJ664" s="18" t="b">
        <f>RecData[[#This Row],[Overall (dBA)]]&gt;$DS$2</f>
        <v>0</v>
      </c>
      <c r="DK664" s="18" t="b">
        <f>RecData[[#This Row],[Overall (dBA)]]&lt;$DS$3</f>
        <v>0</v>
      </c>
      <c r="DL6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4" s="2">
        <f>IF(AND(RecData[[#This Row],[Turbines ON/OFF]] = "OFF", NOT(OR(RecData[[#This Row],[Junk?]]="YES",RecData[[#This Row],[Gust?]],RecData[[#This Row],[Rain?]:[Min SPL Threshold?]]))),1,0)</f>
        <v>0</v>
      </c>
      <c r="DN664" s="16">
        <f>RecData[[#This Row],[dBA Sum]]</f>
        <v>40.192417071595095</v>
      </c>
      <c r="DO664" s="16">
        <f>RecData[[#This Row],[LAF90.0]]</f>
        <v>39</v>
      </c>
      <c r="DP664" s="55">
        <f>IF(AND(RecData[[#This Row],[Useable TON Data?]],RecData[[#This Row],[Turbines ON/OFF]]="ON"),RecData[[#This Row],[dBA Sum]],"")</f>
        <v>40.192417071595095</v>
      </c>
      <c r="DQ664" s="55" t="str">
        <f>IF(AND(RecData[[#This Row],[Useable Background Data?]],RecData[[#This Row],[Turbines ON/OFF]]="OFF"),RecData[[#This Row],[dBA Sum]],"")</f>
        <v/>
      </c>
      <c r="DR664" s="3">
        <f>IF(OR(RecData[[#This Row],[Useable TON Data?]],RecData[[#This Row],[Useable Background Data?]]),ROUND(RecData[[#This Row],[WSpd_Avg '[m/s']]],0),"")</f>
        <v>1</v>
      </c>
      <c r="DS664" s="85">
        <f>(0.00002)^2*(10^(RecData[[#This Row],[Overall (dBA)]]/10))</f>
        <v>4.181207285800535E-6</v>
      </c>
    </row>
    <row r="665" spans="1:123" ht="15" x14ac:dyDescent="0.25">
      <c r="A665" s="3" t="s">
        <v>249</v>
      </c>
      <c r="B665" s="12">
        <v>43270.178472222229</v>
      </c>
      <c r="C665" s="3"/>
      <c r="D665" s="3">
        <v>40.6</v>
      </c>
      <c r="E665" s="3"/>
      <c r="F665" s="3"/>
      <c r="G665" s="3"/>
      <c r="H665" s="3"/>
      <c r="I665" s="3"/>
      <c r="J665" s="3"/>
      <c r="K665" s="3">
        <v>39.6</v>
      </c>
      <c r="L665" s="3"/>
      <c r="M665" s="3"/>
      <c r="N665" s="3">
        <v>156.19999999999999</v>
      </c>
      <c r="O665" s="3"/>
      <c r="P665" s="3"/>
      <c r="Q665" s="3">
        <v>0.54</v>
      </c>
      <c r="R665" s="3">
        <v>0.1</v>
      </c>
      <c r="S665" s="3">
        <v>0.9</v>
      </c>
      <c r="T665" s="3">
        <v>10.8</v>
      </c>
      <c r="U665" s="3">
        <v>89.4</v>
      </c>
      <c r="V665" s="3">
        <v>973.6</v>
      </c>
      <c r="W665" s="3">
        <v>0</v>
      </c>
      <c r="X665" s="3">
        <v>47.3</v>
      </c>
      <c r="Y665" s="3">
        <v>47.2</v>
      </c>
      <c r="Z665" s="3">
        <v>46.2</v>
      </c>
      <c r="AA665" s="3">
        <v>41.4</v>
      </c>
      <c r="AB665" s="3">
        <v>36.9</v>
      </c>
      <c r="AC665" s="3">
        <v>36.6</v>
      </c>
      <c r="AD665" s="3">
        <v>39.9</v>
      </c>
      <c r="AE665" s="3">
        <v>42.1</v>
      </c>
      <c r="AF665" s="3">
        <v>47</v>
      </c>
      <c r="AG665" s="3">
        <v>39.799999999999997</v>
      </c>
      <c r="AH665" s="3">
        <v>39.200000000000003</v>
      </c>
      <c r="AI665" s="3">
        <v>38.4</v>
      </c>
      <c r="AJ665" s="3">
        <v>37.700000000000003</v>
      </c>
      <c r="AK665" s="3">
        <v>35.5</v>
      </c>
      <c r="AL665" s="3">
        <v>33.5</v>
      </c>
      <c r="AM665" s="3">
        <v>32.9</v>
      </c>
      <c r="AN665" s="3">
        <v>31.3</v>
      </c>
      <c r="AO665" s="3">
        <v>28</v>
      </c>
      <c r="AP665" s="3">
        <v>26.1</v>
      </c>
      <c r="AQ665" s="3">
        <v>23.3</v>
      </c>
      <c r="AR665" s="3">
        <v>19.3</v>
      </c>
      <c r="AS665" s="3">
        <v>15.3</v>
      </c>
      <c r="AT665" s="3">
        <v>24.9</v>
      </c>
      <c r="AU665" s="3">
        <v>10.3</v>
      </c>
      <c r="AV665" s="3">
        <v>8.4</v>
      </c>
      <c r="AW665" s="3">
        <v>8.9</v>
      </c>
      <c r="AX665" s="3">
        <v>9.1</v>
      </c>
      <c r="AY665" s="3">
        <v>9.3000000000000007</v>
      </c>
      <c r="AZ665" s="3">
        <v>0</v>
      </c>
      <c r="BA665" s="3">
        <v>0</v>
      </c>
      <c r="BB665" s="3">
        <v>0</v>
      </c>
      <c r="BC665" s="3">
        <v>40.575539900732949</v>
      </c>
      <c r="BD665" s="3">
        <v>47.324460099267057</v>
      </c>
      <c r="BE665" s="3">
        <v>47.224460099267063</v>
      </c>
      <c r="BF665" s="3">
        <v>44.984460099267054</v>
      </c>
      <c r="BG665" s="3">
        <v>40.511126765933724</v>
      </c>
      <c r="BH665" s="3">
        <v>36.151126765933711</v>
      </c>
      <c r="BI665" s="3">
        <v>36.264460099267055</v>
      </c>
      <c r="BJ665" s="3">
        <v>40.357793432600388</v>
      </c>
      <c r="BK665" s="3">
        <v>42.431126765933712</v>
      </c>
      <c r="BL665" s="3">
        <v>46.904460099267055</v>
      </c>
      <c r="BM665" s="3">
        <v>39.837793432600378</v>
      </c>
      <c r="BN665" s="3">
        <v>39.521126765933715</v>
      </c>
      <c r="BO665" s="3">
        <v>38.087793432600378</v>
      </c>
      <c r="BP665" s="3">
        <v>37.104460099267058</v>
      </c>
      <c r="BQ665" s="3">
        <v>35.321126765933712</v>
      </c>
      <c r="BR665" s="3">
        <v>33.64779343260038</v>
      </c>
      <c r="BS665" s="3">
        <v>32.851126765933728</v>
      </c>
      <c r="BT665" s="3">
        <v>31.447793432600392</v>
      </c>
      <c r="BU665" s="3">
        <v>28.114460099267049</v>
      </c>
      <c r="BV665" s="3">
        <v>25.931126765933726</v>
      </c>
      <c r="BW665" s="3">
        <v>23.66446009926706</v>
      </c>
      <c r="BX665" s="3">
        <v>19.584460099267062</v>
      </c>
      <c r="BY665" s="3">
        <v>15.404460099267055</v>
      </c>
      <c r="BZ665" s="3">
        <v>25.134460099267059</v>
      </c>
      <c r="CA665" s="3">
        <v>10.634460099267045</v>
      </c>
      <c r="CB665" s="3">
        <v>8.171126765933721</v>
      </c>
      <c r="CC665" s="3">
        <v>8.8844600992670522</v>
      </c>
      <c r="CD665" s="3">
        <v>8.3911267659337199</v>
      </c>
      <c r="CE665" s="3">
        <v>8.7844600992670507</v>
      </c>
      <c r="CF665" s="3">
        <v>-0.90220656739961669</v>
      </c>
      <c r="CG665" s="3">
        <v>-1.4355399007329481</v>
      </c>
      <c r="CH665" s="3">
        <v>-2.5122065673996161</v>
      </c>
      <c r="CI665" s="13">
        <f>[1]!dbasum(RecData[[#This Row],[20]:[2000]],RecData[[#Headers],[20]:[2000]])</f>
        <v>40.329803839399517</v>
      </c>
      <c r="CJ665" s="14">
        <v>8434</v>
      </c>
      <c r="CK665" s="15" t="s">
        <v>249</v>
      </c>
      <c r="CL665" s="15">
        <f>RecData[[#This Row],[Start Time]]</f>
        <v>43270.178472222229</v>
      </c>
      <c r="CM665" s="16">
        <f>RecData[[#This Row],[Wind Speed avg]]</f>
        <v>0.54</v>
      </c>
      <c r="CN665" s="16">
        <f>RecData[[#This Row],[Wind Dir. avg]]</f>
        <v>156.19999999999999</v>
      </c>
      <c r="CO665" s="16">
        <f>RecData[[#This Row],[Amb. Humidity]]</f>
        <v>89.4</v>
      </c>
      <c r="CP665" s="16">
        <f>RecData[[#This Row],[Amb. Temperature]]</f>
        <v>10.8</v>
      </c>
      <c r="CQ665" s="17">
        <f>RecData[[#This Row],[Amb. Rain Gauge]]</f>
        <v>0</v>
      </c>
      <c r="CR665" s="4" t="s">
        <v>1</v>
      </c>
      <c r="CS665" s="4" t="s">
        <v>49</v>
      </c>
      <c r="CT665" s="70">
        <v>1613.65832519531</v>
      </c>
      <c r="CU665" s="70">
        <v>30.000255584716701</v>
      </c>
      <c r="CV665" s="70">
        <v>10.095256805419901</v>
      </c>
      <c r="CW665" s="70">
        <v>15.294609069824199</v>
      </c>
      <c r="CX665" s="4"/>
      <c r="CY665" s="69"/>
      <c r="CZ665" s="2" t="b">
        <f>IF($DP$1="YES",IF(RecData[[#This Row],[Power (kW)]]&gt;=$CR$3, TRUE,FALSE),TRUE)</f>
        <v>1</v>
      </c>
      <c r="DA665" s="16">
        <f>MIN(MOD(180-ABS(ABS($DA$1-RecData[Yaw Angle (°)])-180),360),MOD(180-ABS(ABS($DB$1-RecData[Yaw Angle (°)])-180),360))</f>
        <v>22.470328807029148</v>
      </c>
      <c r="DB665" s="2" t="str">
        <f>IF($DP$2="None","None",IF(RecData[[#This Row],[Relative Wind Direction]]&lt;=45,"DW",IF(RecData[[#This Row],[Relative Wind Direction]]&lt;=135,"CW","UW")))</f>
        <v>DW</v>
      </c>
      <c r="DC665" s="61">
        <v>-1</v>
      </c>
      <c r="DD665" s="61">
        <v>-1</v>
      </c>
      <c r="DE665" s="18" t="b">
        <v>0</v>
      </c>
      <c r="DF665" s="2" t="b">
        <f>IF(OR(RecData[[#This Row],[WSpd_Avg '[m/s']]]-RecData[[#This Row],[Wind Speed min]]&gt;=$DF$3,RecData[[#This Row],[Wind Speed max]]-RecData[[#This Row],[WSpd_Avg '[m/s']]]&gt;=$DF$2),TRUE,FALSE)</f>
        <v>0</v>
      </c>
      <c r="DG665" s="2" t="b">
        <f>RecData[[#This Row],[Temperature '[°C']]]&lt;=-20</f>
        <v>0</v>
      </c>
      <c r="DH665" s="18" t="b">
        <f>NOT(OR(MOD(RecData[[#This Row],[TIMESTAMP]],1)&gt;0.91632,MOD(RecData[[#This Row],[TIMESTAMP]],1)&lt;0.208681))</f>
        <v>0</v>
      </c>
      <c r="DI665" s="18" t="b">
        <f>RecData[[#This Row],[Overall (dBA)]]-RecData[[#This Row],[L90]]&gt;=$DS$4</f>
        <v>0</v>
      </c>
      <c r="DJ665" s="18" t="b">
        <f>RecData[[#This Row],[Overall (dBA)]]&gt;$DS$2</f>
        <v>0</v>
      </c>
      <c r="DK665" s="18" t="b">
        <f>RecData[[#This Row],[Overall (dBA)]]&lt;$DS$3</f>
        <v>0</v>
      </c>
      <c r="DL6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5" s="2">
        <f>IF(AND(RecData[[#This Row],[Turbines ON/OFF]] = "OFF", NOT(OR(RecData[[#This Row],[Junk?]]="YES",RecData[[#This Row],[Gust?]],RecData[[#This Row],[Rain?]:[Min SPL Threshold?]]))),1,0)</f>
        <v>0</v>
      </c>
      <c r="DN665" s="16">
        <f>RecData[[#This Row],[dBA Sum]]</f>
        <v>40.329803839399517</v>
      </c>
      <c r="DO665" s="16">
        <f>RecData[[#This Row],[LAF90.0]]</f>
        <v>39.6</v>
      </c>
      <c r="DP665" s="55">
        <f>IF(AND(RecData[[#This Row],[Useable TON Data?]],RecData[[#This Row],[Turbines ON/OFF]]="ON"),RecData[[#This Row],[dBA Sum]],"")</f>
        <v>40.329803839399517</v>
      </c>
      <c r="DQ665" s="55" t="str">
        <f>IF(AND(RecData[[#This Row],[Useable Background Data?]],RecData[[#This Row],[Turbines ON/OFF]]="OFF"),RecData[[#This Row],[dBA Sum]],"")</f>
        <v/>
      </c>
      <c r="DR665" s="3">
        <f>IF(OR(RecData[[#This Row],[Useable TON Data?]],RecData[[#This Row],[Useable Background Data?]]),ROUND(RecData[[#This Row],[WSpd_Avg '[m/s']]],0),"")</f>
        <v>1</v>
      </c>
      <c r="DS665" s="85">
        <f>(0.00002)^2*(10^(RecData[[#This Row],[Overall (dBA)]]/10))</f>
        <v>4.3155919593809403E-6</v>
      </c>
    </row>
    <row r="666" spans="1:123" ht="15" x14ac:dyDescent="0.25">
      <c r="A666" s="3" t="s">
        <v>249</v>
      </c>
      <c r="B666" s="12">
        <v>43270.179166666669</v>
      </c>
      <c r="C666" s="3"/>
      <c r="D666" s="3">
        <v>40.1</v>
      </c>
      <c r="E666" s="3"/>
      <c r="F666" s="3"/>
      <c r="G666" s="3"/>
      <c r="H666" s="3"/>
      <c r="I666" s="3"/>
      <c r="J666" s="3"/>
      <c r="K666" s="3">
        <v>38.700000000000003</v>
      </c>
      <c r="L666" s="3"/>
      <c r="M666" s="3"/>
      <c r="N666" s="3">
        <v>129.4</v>
      </c>
      <c r="O666" s="3"/>
      <c r="P666" s="3"/>
      <c r="Q666" s="3">
        <v>0.85</v>
      </c>
      <c r="R666" s="3">
        <v>0.4</v>
      </c>
      <c r="S666" s="3">
        <v>1</v>
      </c>
      <c r="T666" s="3">
        <v>10.8</v>
      </c>
      <c r="U666" s="3">
        <v>89.3</v>
      </c>
      <c r="V666" s="3">
        <v>973.6</v>
      </c>
      <c r="W666" s="3">
        <v>0</v>
      </c>
      <c r="X666" s="3">
        <v>48.3</v>
      </c>
      <c r="Y666" s="3">
        <v>46.6</v>
      </c>
      <c r="Z666" s="3">
        <v>45.8</v>
      </c>
      <c r="AA666" s="3">
        <v>42</v>
      </c>
      <c r="AB666" s="3">
        <v>37</v>
      </c>
      <c r="AC666" s="3">
        <v>35.4</v>
      </c>
      <c r="AD666" s="3">
        <v>39.799999999999997</v>
      </c>
      <c r="AE666" s="3">
        <v>41.7</v>
      </c>
      <c r="AF666" s="3">
        <v>45.3</v>
      </c>
      <c r="AG666" s="3">
        <v>38.6</v>
      </c>
      <c r="AH666" s="3">
        <v>38.6</v>
      </c>
      <c r="AI666" s="3">
        <v>37.5</v>
      </c>
      <c r="AJ666" s="3">
        <v>37</v>
      </c>
      <c r="AK666" s="3">
        <v>35</v>
      </c>
      <c r="AL666" s="3">
        <v>33</v>
      </c>
      <c r="AM666" s="3">
        <v>32.700000000000003</v>
      </c>
      <c r="AN666" s="3">
        <v>31.2</v>
      </c>
      <c r="AO666" s="3">
        <v>28.1</v>
      </c>
      <c r="AP666" s="3">
        <v>26</v>
      </c>
      <c r="AQ666" s="3">
        <v>23.4</v>
      </c>
      <c r="AR666" s="3">
        <v>19.5</v>
      </c>
      <c r="AS666" s="3">
        <v>16.100000000000001</v>
      </c>
      <c r="AT666" s="3">
        <v>24.8</v>
      </c>
      <c r="AU666" s="3">
        <v>9.6</v>
      </c>
      <c r="AV666" s="3">
        <v>8.6</v>
      </c>
      <c r="AW666" s="3">
        <v>8.9</v>
      </c>
      <c r="AX666" s="3">
        <v>9.1</v>
      </c>
      <c r="AY666" s="3">
        <v>9.3000000000000007</v>
      </c>
      <c r="AZ666" s="3">
        <v>0</v>
      </c>
      <c r="BA666" s="3">
        <v>0</v>
      </c>
      <c r="BB666" s="3">
        <v>0</v>
      </c>
      <c r="BC666" s="3">
        <v>40.056939166370867</v>
      </c>
      <c r="BD666" s="3">
        <v>48.343060833629139</v>
      </c>
      <c r="BE666" s="3">
        <v>46.643060833629136</v>
      </c>
      <c r="BF666" s="3">
        <v>44.603060833629129</v>
      </c>
      <c r="BG666" s="3">
        <v>41.1297275002958</v>
      </c>
      <c r="BH666" s="3">
        <v>36.269727500295801</v>
      </c>
      <c r="BI666" s="3">
        <v>35.083060833629133</v>
      </c>
      <c r="BJ666" s="3">
        <v>40.276394166962461</v>
      </c>
      <c r="BK666" s="3">
        <v>42.049727500295802</v>
      </c>
      <c r="BL666" s="3">
        <v>45.223060833629134</v>
      </c>
      <c r="BM666" s="3">
        <v>38.656394166962471</v>
      </c>
      <c r="BN666" s="3">
        <v>38.939727500295803</v>
      </c>
      <c r="BO666" s="3">
        <v>37.206394166962468</v>
      </c>
      <c r="BP666" s="3">
        <v>36.423060833629137</v>
      </c>
      <c r="BQ666" s="3">
        <v>34.839727500295794</v>
      </c>
      <c r="BR666" s="3">
        <v>33.166394166962462</v>
      </c>
      <c r="BS666" s="3">
        <v>32.669727500295807</v>
      </c>
      <c r="BT666" s="3">
        <v>31.366394166962465</v>
      </c>
      <c r="BU666" s="3">
        <v>28.233060833629139</v>
      </c>
      <c r="BV666" s="3">
        <v>25.849727500295799</v>
      </c>
      <c r="BW666" s="3">
        <v>23.783060833629136</v>
      </c>
      <c r="BX666" s="3">
        <v>19.803060833629139</v>
      </c>
      <c r="BY666" s="3">
        <v>16.223060833629134</v>
      </c>
      <c r="BZ666" s="3">
        <v>25.053060833629146</v>
      </c>
      <c r="CA666" s="3">
        <v>9.9530608336291237</v>
      </c>
      <c r="CB666" s="3">
        <v>8.3897275002957983</v>
      </c>
      <c r="CC666" s="3">
        <v>8.9030608336291337</v>
      </c>
      <c r="CD666" s="3">
        <v>8.4097275002958014</v>
      </c>
      <c r="CE666" s="3">
        <v>8.8030608336291323</v>
      </c>
      <c r="CF666" s="3">
        <v>-0.88360583303753515</v>
      </c>
      <c r="CG666" s="3">
        <v>-1.4169391663708666</v>
      </c>
      <c r="CH666" s="3">
        <v>-2.4936058330375346</v>
      </c>
      <c r="CI666" s="13">
        <f>[1]!dbasum(RecData[[#This Row],[20]:[2000]],RecData[[#Headers],[20]:[2000]])</f>
        <v>39.815960038072767</v>
      </c>
      <c r="CJ666" s="14">
        <v>8435</v>
      </c>
      <c r="CK666" s="15" t="s">
        <v>249</v>
      </c>
      <c r="CL666" s="15">
        <f>RecData[[#This Row],[Start Time]]</f>
        <v>43270.179166666669</v>
      </c>
      <c r="CM666" s="16">
        <f>RecData[[#This Row],[Wind Speed avg]]</f>
        <v>0.85</v>
      </c>
      <c r="CN666" s="16">
        <f>RecData[[#This Row],[Wind Dir. avg]]</f>
        <v>129.4</v>
      </c>
      <c r="CO666" s="16">
        <f>RecData[[#This Row],[Amb. Humidity]]</f>
        <v>89.3</v>
      </c>
      <c r="CP666" s="16">
        <f>RecData[[#This Row],[Amb. Temperature]]</f>
        <v>10.8</v>
      </c>
      <c r="CQ666" s="17">
        <f>RecData[[#This Row],[Amb. Rain Gauge]]</f>
        <v>0</v>
      </c>
      <c r="CR666" s="4" t="s">
        <v>1</v>
      </c>
      <c r="CS666" s="4" t="s">
        <v>49</v>
      </c>
      <c r="CT666" s="70">
        <v>1613.65832519531</v>
      </c>
      <c r="CU666" s="70">
        <v>30.000255584716701</v>
      </c>
      <c r="CV666" s="70">
        <v>10.095256805419901</v>
      </c>
      <c r="CW666" s="70">
        <v>15.294609069824199</v>
      </c>
      <c r="CX666" s="4"/>
      <c r="CY666" s="69"/>
      <c r="CZ666" s="2" t="b">
        <f>IF($DP$1="YES",IF(RecData[[#This Row],[Power (kW)]]&gt;=$CR$3, TRUE,FALSE),TRUE)</f>
        <v>1</v>
      </c>
      <c r="DA666" s="16">
        <f>MIN(MOD(180-ABS(ABS($DA$1-RecData[Yaw Angle (°)])-180),360),MOD(180-ABS(ABS($DB$1-RecData[Yaw Angle (°)])-180),360))</f>
        <v>22.470328807029148</v>
      </c>
      <c r="DB666" s="2" t="str">
        <f>IF($DP$2="None","None",IF(RecData[[#This Row],[Relative Wind Direction]]&lt;=45,"DW",IF(RecData[[#This Row],[Relative Wind Direction]]&lt;=135,"CW","UW")))</f>
        <v>DW</v>
      </c>
      <c r="DC666" s="61">
        <f>IF($CL666-$CL665&gt;1/24,#REF!,IF(SUM($CQ665:$CQ666)&gt;$DS$1,$DS$5,DC667-1))</f>
        <v>-9</v>
      </c>
      <c r="DD666" s="61">
        <f>IF($CL667-$CL666&gt;1/24,#REF!,IF(SUM($CQ665:$CQ666)&gt;$DS$1,$DS$6,DD665-1))</f>
        <v>-2</v>
      </c>
      <c r="DE666" s="18" t="b">
        <v>0</v>
      </c>
      <c r="DF666" s="2" t="b">
        <f>IF(OR(RecData[[#This Row],[WSpd_Avg '[m/s']]]-RecData[[#This Row],[Wind Speed min]]&gt;=$DF$3,RecData[[#This Row],[Wind Speed max]]-RecData[[#This Row],[WSpd_Avg '[m/s']]]&gt;=$DF$2),TRUE,FALSE)</f>
        <v>0</v>
      </c>
      <c r="DG666" s="2" t="b">
        <f>RecData[[#This Row],[Temperature '[°C']]]&lt;=-20</f>
        <v>0</v>
      </c>
      <c r="DH666" s="18" t="b">
        <f>NOT(OR(MOD(RecData[[#This Row],[TIMESTAMP]],1)&gt;0.91632,MOD(RecData[[#This Row],[TIMESTAMP]],1)&lt;0.208681))</f>
        <v>0</v>
      </c>
      <c r="DI666" s="18" t="b">
        <f>RecData[[#This Row],[Overall (dBA)]]-RecData[[#This Row],[L90]]&gt;=$DS$4</f>
        <v>0</v>
      </c>
      <c r="DJ666" s="18" t="b">
        <f>RecData[[#This Row],[Overall (dBA)]]&gt;$DS$2</f>
        <v>0</v>
      </c>
      <c r="DK666" s="18" t="b">
        <f>RecData[[#This Row],[Overall (dBA)]]&lt;$DS$3</f>
        <v>0</v>
      </c>
      <c r="DL6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6" s="2">
        <f>IF(AND(RecData[[#This Row],[Turbines ON/OFF]] = "OFF", NOT(OR(RecData[[#This Row],[Junk?]]="YES",RecData[[#This Row],[Gust?]],RecData[[#This Row],[Rain?]:[Min SPL Threshold?]]))),1,0)</f>
        <v>0</v>
      </c>
      <c r="DN666" s="16">
        <f>RecData[[#This Row],[dBA Sum]]</f>
        <v>39.815960038072767</v>
      </c>
      <c r="DO666" s="16">
        <f>RecData[[#This Row],[LAF90.0]]</f>
        <v>38.700000000000003</v>
      </c>
      <c r="DP666" s="55">
        <f>IF(AND(RecData[[#This Row],[Useable TON Data?]],RecData[[#This Row],[Turbines ON/OFF]]="ON"),RecData[[#This Row],[dBA Sum]],"")</f>
        <v>39.815960038072767</v>
      </c>
      <c r="DQ666" s="55" t="str">
        <f>IF(AND(RecData[[#This Row],[Useable Background Data?]],RecData[[#This Row],[Turbines ON/OFF]]="OFF"),RecData[[#This Row],[dBA Sum]],"")</f>
        <v/>
      </c>
      <c r="DR666" s="3">
        <f>IF(OR(RecData[[#This Row],[Useable TON Data?]],RecData[[#This Row],[Useable Background Data?]]),ROUND(RecData[[#This Row],[WSpd_Avg '[m/s']]],0),"")</f>
        <v>1</v>
      </c>
      <c r="DS666" s="85">
        <f>(0.00002)^2*(10^(RecData[[#This Row],[Overall (dBA)]]/10))</f>
        <v>3.8340343114306329E-6</v>
      </c>
    </row>
    <row r="667" spans="1:123" ht="15" x14ac:dyDescent="0.25">
      <c r="A667" s="3" t="s">
        <v>249</v>
      </c>
      <c r="B667" s="12">
        <v>43270.179861111115</v>
      </c>
      <c r="C667" s="3"/>
      <c r="D667" s="3">
        <v>40.1</v>
      </c>
      <c r="E667" s="3"/>
      <c r="F667" s="3"/>
      <c r="G667" s="3"/>
      <c r="H667" s="3"/>
      <c r="I667" s="3"/>
      <c r="J667" s="3"/>
      <c r="K667" s="3">
        <v>39.1</v>
      </c>
      <c r="L667" s="3"/>
      <c r="M667" s="3"/>
      <c r="N667" s="3">
        <v>159.80000000000001</v>
      </c>
      <c r="O667" s="3"/>
      <c r="P667" s="3"/>
      <c r="Q667" s="3">
        <v>0.77</v>
      </c>
      <c r="R667" s="3">
        <v>0.6</v>
      </c>
      <c r="S667" s="3">
        <v>0.9</v>
      </c>
      <c r="T667" s="3">
        <v>10.7</v>
      </c>
      <c r="U667" s="3">
        <v>88</v>
      </c>
      <c r="V667" s="3">
        <v>973.6</v>
      </c>
      <c r="W667" s="3">
        <v>0</v>
      </c>
      <c r="X667" s="3">
        <v>47.3</v>
      </c>
      <c r="Y667" s="3">
        <v>47.1</v>
      </c>
      <c r="Z667" s="3">
        <v>46</v>
      </c>
      <c r="AA667" s="3">
        <v>41.6</v>
      </c>
      <c r="AB667" s="3">
        <v>36.299999999999997</v>
      </c>
      <c r="AC667" s="3">
        <v>34.9</v>
      </c>
      <c r="AD667" s="3">
        <v>39.5</v>
      </c>
      <c r="AE667" s="3">
        <v>41.4</v>
      </c>
      <c r="AF667" s="3">
        <v>45.6</v>
      </c>
      <c r="AG667" s="3">
        <v>38.9</v>
      </c>
      <c r="AH667" s="3">
        <v>38.1</v>
      </c>
      <c r="AI667" s="3">
        <v>37.799999999999997</v>
      </c>
      <c r="AJ667" s="3">
        <v>36.700000000000003</v>
      </c>
      <c r="AK667" s="3">
        <v>34.9</v>
      </c>
      <c r="AL667" s="3">
        <v>33</v>
      </c>
      <c r="AM667" s="3">
        <v>33</v>
      </c>
      <c r="AN667" s="3">
        <v>31.2</v>
      </c>
      <c r="AO667" s="3">
        <v>28.1</v>
      </c>
      <c r="AP667" s="3">
        <v>26</v>
      </c>
      <c r="AQ667" s="3">
        <v>23.3</v>
      </c>
      <c r="AR667" s="3">
        <v>19.399999999999999</v>
      </c>
      <c r="AS667" s="3">
        <v>15.9</v>
      </c>
      <c r="AT667" s="3">
        <v>24.7</v>
      </c>
      <c r="AU667" s="3">
        <v>9.6</v>
      </c>
      <c r="AV667" s="3">
        <v>8.5</v>
      </c>
      <c r="AW667" s="3">
        <v>8.9</v>
      </c>
      <c r="AX667" s="3">
        <v>9.1</v>
      </c>
      <c r="AY667" s="3">
        <v>9.3000000000000007</v>
      </c>
      <c r="AZ667" s="3">
        <v>0</v>
      </c>
      <c r="BA667" s="3">
        <v>0</v>
      </c>
      <c r="BB667" s="3">
        <v>0</v>
      </c>
      <c r="BC667" s="3">
        <v>40.067110918810755</v>
      </c>
      <c r="BD667" s="3">
        <v>47.332889081189251</v>
      </c>
      <c r="BE667" s="3">
        <v>47.132889081189248</v>
      </c>
      <c r="BF667" s="3">
        <v>44.792889081189244</v>
      </c>
      <c r="BG667" s="3">
        <v>40.719555747855907</v>
      </c>
      <c r="BH667" s="3">
        <v>35.55955574785591</v>
      </c>
      <c r="BI667" s="3">
        <v>34.572889081189246</v>
      </c>
      <c r="BJ667" s="3">
        <v>39.966222414522576</v>
      </c>
      <c r="BK667" s="3">
        <v>41.739555747855917</v>
      </c>
      <c r="BL667" s="3">
        <v>45.512889081189257</v>
      </c>
      <c r="BM667" s="3">
        <v>38.94622241452258</v>
      </c>
      <c r="BN667" s="3">
        <v>38.429555747855915</v>
      </c>
      <c r="BO667" s="3">
        <v>37.496222414522578</v>
      </c>
      <c r="BP667" s="3">
        <v>36.112889081189252</v>
      </c>
      <c r="BQ667" s="3">
        <v>34.729555747855898</v>
      </c>
      <c r="BR667" s="3">
        <v>33.156222414522574</v>
      </c>
      <c r="BS667" s="3">
        <v>32.959555747855916</v>
      </c>
      <c r="BT667" s="3">
        <v>31.356222414522577</v>
      </c>
      <c r="BU667" s="3">
        <v>28.222889081189251</v>
      </c>
      <c r="BV667" s="3">
        <v>25.839555747855911</v>
      </c>
      <c r="BW667" s="3">
        <v>23.672889081189254</v>
      </c>
      <c r="BX667" s="3">
        <v>19.69288908118925</v>
      </c>
      <c r="BY667" s="3">
        <v>16.012889081189243</v>
      </c>
      <c r="BZ667" s="3">
        <v>24.94288908118925</v>
      </c>
      <c r="CA667" s="3">
        <v>9.9428890811892359</v>
      </c>
      <c r="CB667" s="3">
        <v>8.279555747855909</v>
      </c>
      <c r="CC667" s="3">
        <v>8.8928890811892458</v>
      </c>
      <c r="CD667" s="3">
        <v>8.3995557478559135</v>
      </c>
      <c r="CE667" s="3">
        <v>8.7928890811892444</v>
      </c>
      <c r="CF667" s="3">
        <v>-0.89377758547742303</v>
      </c>
      <c r="CG667" s="3">
        <v>-1.4271109188107545</v>
      </c>
      <c r="CH667" s="3">
        <v>-2.5037775854774225</v>
      </c>
      <c r="CI667" s="13">
        <f>[1]!dbasum(RecData[[#This Row],[20]:[2000]],RecData[[#Headers],[20]:[2000]])</f>
        <v>39.820809582288398</v>
      </c>
      <c r="CJ667" s="14">
        <v>8436</v>
      </c>
      <c r="CK667" s="15" t="s">
        <v>249</v>
      </c>
      <c r="CL667" s="15">
        <f>RecData[[#This Row],[Start Time]]</f>
        <v>43270.179861111115</v>
      </c>
      <c r="CM667" s="16">
        <f>RecData[[#This Row],[Wind Speed avg]]</f>
        <v>0.77</v>
      </c>
      <c r="CN667" s="16">
        <f>RecData[[#This Row],[Wind Dir. avg]]</f>
        <v>159.80000000000001</v>
      </c>
      <c r="CO667" s="16">
        <f>RecData[[#This Row],[Amb. Humidity]]</f>
        <v>88</v>
      </c>
      <c r="CP667" s="16">
        <f>RecData[[#This Row],[Amb. Temperature]]</f>
        <v>10.7</v>
      </c>
      <c r="CQ667" s="17">
        <f>RecData[[#This Row],[Amb. Rain Gauge]]</f>
        <v>0</v>
      </c>
      <c r="CR667" s="4" t="s">
        <v>1</v>
      </c>
      <c r="CS667" s="4" t="s">
        <v>49</v>
      </c>
      <c r="CT667" s="70">
        <v>1613.65832519531</v>
      </c>
      <c r="CU667" s="70">
        <v>30.000255584716701</v>
      </c>
      <c r="CV667" s="70">
        <v>10.095256805419901</v>
      </c>
      <c r="CW667" s="70">
        <v>15.294609069824199</v>
      </c>
      <c r="CX667" s="4"/>
      <c r="CY667" s="69"/>
      <c r="CZ667" s="2" t="b">
        <f>IF($DP$1="YES",IF(RecData[[#This Row],[Power (kW)]]&gt;=$CR$3, TRUE,FALSE),TRUE)</f>
        <v>1</v>
      </c>
      <c r="DA667" s="16">
        <f>MIN(MOD(180-ABS(ABS($DA$1-RecData[Yaw Angle (°)])-180),360),MOD(180-ABS(ABS($DB$1-RecData[Yaw Angle (°)])-180),360))</f>
        <v>22.470328807029148</v>
      </c>
      <c r="DB667" s="2" t="str">
        <f>IF($DP$2="None","None",IF(RecData[[#This Row],[Relative Wind Direction]]&lt;=45,"DW",IF(RecData[[#This Row],[Relative Wind Direction]]&lt;=135,"CW","UW")))</f>
        <v>DW</v>
      </c>
      <c r="DC667" s="61">
        <f>IF($CL667-$CL665&gt;1/24,#REF!,IF(SUM($CQ665:$CQ667)&gt;$DS$1,$DS$5,DC668-1))</f>
        <v>-8</v>
      </c>
      <c r="DD667" s="61">
        <f>IF($CL668-$CL667&gt;1/24,#REF!,IF(SUM($CQ665:$CQ667)&gt;$DS$1,$DS$6,DD666-1))</f>
        <v>-3</v>
      </c>
      <c r="DE667" s="18" t="b">
        <v>0</v>
      </c>
      <c r="DF667" s="2" t="b">
        <f>IF(OR(RecData[[#This Row],[WSpd_Avg '[m/s']]]-RecData[[#This Row],[Wind Speed min]]&gt;=$DF$3,RecData[[#This Row],[Wind Speed max]]-RecData[[#This Row],[WSpd_Avg '[m/s']]]&gt;=$DF$2),TRUE,FALSE)</f>
        <v>0</v>
      </c>
      <c r="DG667" s="2" t="b">
        <f>RecData[[#This Row],[Temperature '[°C']]]&lt;=-20</f>
        <v>0</v>
      </c>
      <c r="DH667" s="18" t="b">
        <f>NOT(OR(MOD(RecData[[#This Row],[TIMESTAMP]],1)&gt;0.91632,MOD(RecData[[#This Row],[TIMESTAMP]],1)&lt;0.208681))</f>
        <v>0</v>
      </c>
      <c r="DI667" s="18" t="b">
        <f>RecData[[#This Row],[Overall (dBA)]]-RecData[[#This Row],[L90]]&gt;=$DS$4</f>
        <v>0</v>
      </c>
      <c r="DJ667" s="18" t="b">
        <f>RecData[[#This Row],[Overall (dBA)]]&gt;$DS$2</f>
        <v>0</v>
      </c>
      <c r="DK667" s="18" t="b">
        <f>RecData[[#This Row],[Overall (dBA)]]&lt;$DS$3</f>
        <v>0</v>
      </c>
      <c r="DL6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7" s="2">
        <f>IF(AND(RecData[[#This Row],[Turbines ON/OFF]] = "OFF", NOT(OR(RecData[[#This Row],[Junk?]]="YES",RecData[[#This Row],[Gust?]],RecData[[#This Row],[Rain?]:[Min SPL Threshold?]]))),1,0)</f>
        <v>0</v>
      </c>
      <c r="DN667" s="16">
        <f>RecData[[#This Row],[dBA Sum]]</f>
        <v>39.820809582288398</v>
      </c>
      <c r="DO667" s="16">
        <f>RecData[[#This Row],[LAF90.0]]</f>
        <v>39.1</v>
      </c>
      <c r="DP667" s="55">
        <f>IF(AND(RecData[[#This Row],[Useable TON Data?]],RecData[[#This Row],[Turbines ON/OFF]]="ON"),RecData[[#This Row],[dBA Sum]],"")</f>
        <v>39.820809582288398</v>
      </c>
      <c r="DQ667" s="55" t="str">
        <f>IF(AND(RecData[[#This Row],[Useable Background Data?]],RecData[[#This Row],[Turbines ON/OFF]]="OFF"),RecData[[#This Row],[dBA Sum]],"")</f>
        <v/>
      </c>
      <c r="DR667" s="3">
        <f>IF(OR(RecData[[#This Row],[Useable TON Data?]],RecData[[#This Row],[Useable Background Data?]]),ROUND(RecData[[#This Row],[WSpd_Avg '[m/s']]],0),"")</f>
        <v>1</v>
      </c>
      <c r="DS667" s="85">
        <f>(0.00002)^2*(10^(RecData[[#This Row],[Overall (dBA)]]/10))</f>
        <v>3.838317972554974E-6</v>
      </c>
    </row>
    <row r="668" spans="1:123" ht="15" x14ac:dyDescent="0.25">
      <c r="A668" s="3" t="s">
        <v>249</v>
      </c>
      <c r="B668" s="12">
        <v>43270.180555555562</v>
      </c>
      <c r="C668" s="3"/>
      <c r="D668" s="3">
        <v>40.1</v>
      </c>
      <c r="E668" s="3"/>
      <c r="F668" s="3"/>
      <c r="G668" s="3"/>
      <c r="H668" s="3"/>
      <c r="I668" s="3"/>
      <c r="J668" s="3"/>
      <c r="K668" s="3">
        <v>39.200000000000003</v>
      </c>
      <c r="L668" s="3"/>
      <c r="M668" s="3"/>
      <c r="N668" s="3">
        <v>151.80000000000001</v>
      </c>
      <c r="O668" s="3"/>
      <c r="P668" s="3"/>
      <c r="Q668" s="3">
        <v>0.82</v>
      </c>
      <c r="R668" s="3">
        <v>0.7</v>
      </c>
      <c r="S668" s="3">
        <v>0.9</v>
      </c>
      <c r="T668" s="3">
        <v>10.8</v>
      </c>
      <c r="U668" s="3">
        <v>88.4</v>
      </c>
      <c r="V668" s="3">
        <v>973.6</v>
      </c>
      <c r="W668" s="3">
        <v>0</v>
      </c>
      <c r="X668" s="3">
        <v>47.2</v>
      </c>
      <c r="Y668" s="3">
        <v>46</v>
      </c>
      <c r="Z668" s="3">
        <v>45.3</v>
      </c>
      <c r="AA668" s="3">
        <v>41.2</v>
      </c>
      <c r="AB668" s="3">
        <v>36.5</v>
      </c>
      <c r="AC668" s="3">
        <v>34.700000000000003</v>
      </c>
      <c r="AD668" s="3">
        <v>38.9</v>
      </c>
      <c r="AE668" s="3">
        <v>41.1</v>
      </c>
      <c r="AF668" s="3">
        <v>46.3</v>
      </c>
      <c r="AG668" s="3">
        <v>38.200000000000003</v>
      </c>
      <c r="AH668" s="3">
        <v>37.9</v>
      </c>
      <c r="AI668" s="3">
        <v>37.700000000000003</v>
      </c>
      <c r="AJ668" s="3">
        <v>36.6</v>
      </c>
      <c r="AK668" s="3">
        <v>34.9</v>
      </c>
      <c r="AL668" s="3">
        <v>33</v>
      </c>
      <c r="AM668" s="3">
        <v>32.700000000000003</v>
      </c>
      <c r="AN668" s="3">
        <v>31</v>
      </c>
      <c r="AO668" s="3">
        <v>27.7</v>
      </c>
      <c r="AP668" s="3">
        <v>25.5</v>
      </c>
      <c r="AQ668" s="3">
        <v>22.9</v>
      </c>
      <c r="AR668" s="3">
        <v>19.100000000000001</v>
      </c>
      <c r="AS668" s="3">
        <v>16.2</v>
      </c>
      <c r="AT668" s="3">
        <v>27.3</v>
      </c>
      <c r="AU668" s="3">
        <v>10.4</v>
      </c>
      <c r="AV668" s="3">
        <v>8.6</v>
      </c>
      <c r="AW668" s="3">
        <v>8.9</v>
      </c>
      <c r="AX668" s="3">
        <v>9.1</v>
      </c>
      <c r="AY668" s="3">
        <v>9.3000000000000007</v>
      </c>
      <c r="AZ668" s="3">
        <v>0</v>
      </c>
      <c r="BA668" s="3">
        <v>0</v>
      </c>
      <c r="BB668" s="3">
        <v>0</v>
      </c>
      <c r="BC668" s="3">
        <v>40.094943168549236</v>
      </c>
      <c r="BD668" s="3">
        <v>47.205056831450776</v>
      </c>
      <c r="BE668" s="3">
        <v>46.005056831450759</v>
      </c>
      <c r="BF668" s="3">
        <v>44.065056831450761</v>
      </c>
      <c r="BG668" s="3">
        <v>40.291723498117435</v>
      </c>
      <c r="BH668" s="3">
        <v>35.731723498117432</v>
      </c>
      <c r="BI668" s="3">
        <v>34.345056831450762</v>
      </c>
      <c r="BJ668" s="3">
        <v>39.338390164784101</v>
      </c>
      <c r="BK668" s="3">
        <v>41.411723498117425</v>
      </c>
      <c r="BL668" s="3">
        <v>46.185056831450765</v>
      </c>
      <c r="BM668" s="3">
        <v>38.218390164784097</v>
      </c>
      <c r="BN668" s="3">
        <v>38.201723498117431</v>
      </c>
      <c r="BO668" s="3">
        <v>37.368390164784103</v>
      </c>
      <c r="BP668" s="3">
        <v>35.985056831450777</v>
      </c>
      <c r="BQ668" s="3">
        <v>34.701723498117417</v>
      </c>
      <c r="BR668" s="3">
        <v>33.128390164784093</v>
      </c>
      <c r="BS668" s="3">
        <v>32.631723498117438</v>
      </c>
      <c r="BT668" s="3">
        <v>31.128390164784093</v>
      </c>
      <c r="BU668" s="3">
        <v>27.795056831450765</v>
      </c>
      <c r="BV668" s="3">
        <v>25.311723498117431</v>
      </c>
      <c r="BW668" s="3">
        <v>23.245056831450768</v>
      </c>
      <c r="BX668" s="3">
        <v>19.365056831450772</v>
      </c>
      <c r="BY668" s="3">
        <v>16.28505683145076</v>
      </c>
      <c r="BZ668" s="3">
        <v>27.515056831450778</v>
      </c>
      <c r="CA668" s="3">
        <v>10.715056831450759</v>
      </c>
      <c r="CB668" s="3">
        <v>8.3517234981174298</v>
      </c>
      <c r="CC668" s="3">
        <v>8.8650568314507652</v>
      </c>
      <c r="CD668" s="3">
        <v>8.3717234981174329</v>
      </c>
      <c r="CE668" s="3">
        <v>8.7650568314507638</v>
      </c>
      <c r="CF668" s="3">
        <v>-0.92160983521590367</v>
      </c>
      <c r="CG668" s="3">
        <v>-1.4549431685492351</v>
      </c>
      <c r="CH668" s="3">
        <v>-2.5316098352159031</v>
      </c>
      <c r="CI668" s="13">
        <f>[1]!dbasum(RecData[[#This Row],[20]:[2000]],RecData[[#Headers],[20]:[2000]])</f>
        <v>39.670934142548319</v>
      </c>
      <c r="CJ668" s="14">
        <v>8437</v>
      </c>
      <c r="CK668" s="15" t="s">
        <v>249</v>
      </c>
      <c r="CL668" s="15">
        <f>RecData[[#This Row],[Start Time]]</f>
        <v>43270.180555555562</v>
      </c>
      <c r="CM668" s="16">
        <f>RecData[[#This Row],[Wind Speed avg]]</f>
        <v>0.82</v>
      </c>
      <c r="CN668" s="16">
        <f>RecData[[#This Row],[Wind Dir. avg]]</f>
        <v>151.80000000000001</v>
      </c>
      <c r="CO668" s="16">
        <f>RecData[[#This Row],[Amb. Humidity]]</f>
        <v>88.4</v>
      </c>
      <c r="CP668" s="16">
        <f>RecData[[#This Row],[Amb. Temperature]]</f>
        <v>10.8</v>
      </c>
      <c r="CQ668" s="17">
        <f>RecData[[#This Row],[Amb. Rain Gauge]]</f>
        <v>0</v>
      </c>
      <c r="CR668" s="4" t="s">
        <v>1</v>
      </c>
      <c r="CS668" s="4" t="s">
        <v>49</v>
      </c>
      <c r="CT668" s="70">
        <v>1613.65832519531</v>
      </c>
      <c r="CU668" s="70">
        <v>30.000255584716701</v>
      </c>
      <c r="CV668" s="70">
        <v>10.095256805419901</v>
      </c>
      <c r="CW668" s="70">
        <v>15.294609069824199</v>
      </c>
      <c r="CX668" s="4"/>
      <c r="CY668" s="69"/>
      <c r="CZ668" s="2" t="b">
        <f>IF($DP$1="YES",IF(RecData[[#This Row],[Power (kW)]]&gt;=$CR$3, TRUE,FALSE),TRUE)</f>
        <v>1</v>
      </c>
      <c r="DA668" s="16">
        <f>MIN(MOD(180-ABS(ABS($DA$1-RecData[Yaw Angle (°)])-180),360),MOD(180-ABS(ABS($DB$1-RecData[Yaw Angle (°)])-180),360))</f>
        <v>22.470328807029148</v>
      </c>
      <c r="DB668" s="2" t="str">
        <f>IF($DP$2="None","None",IF(RecData[[#This Row],[Relative Wind Direction]]&lt;=45,"DW",IF(RecData[[#This Row],[Relative Wind Direction]]&lt;=135,"CW","UW")))</f>
        <v>DW</v>
      </c>
      <c r="DC668" s="61">
        <f>IF($CL668-$CL665&gt;1/24,#REF!,IF(SUM($CQ665:$CQ668)&gt;$DS$1,$DS$5,DC669-1))</f>
        <v>-7</v>
      </c>
      <c r="DD668" s="61">
        <f>IF($CL669-$CL668&gt;1/24,#REF!,IF(SUM($CQ665:$CQ668)&gt;$DS$1,$DS$6,DD667-1))</f>
        <v>-4</v>
      </c>
      <c r="DE668" s="18" t="b">
        <v>0</v>
      </c>
      <c r="DF668" s="2" t="b">
        <f>IF(OR(RecData[[#This Row],[WSpd_Avg '[m/s']]]-RecData[[#This Row],[Wind Speed min]]&gt;=$DF$3,RecData[[#This Row],[Wind Speed max]]-RecData[[#This Row],[WSpd_Avg '[m/s']]]&gt;=$DF$2),TRUE,FALSE)</f>
        <v>0</v>
      </c>
      <c r="DG668" s="2" t="b">
        <f>RecData[[#This Row],[Temperature '[°C']]]&lt;=-20</f>
        <v>0</v>
      </c>
      <c r="DH668" s="18" t="b">
        <f>NOT(OR(MOD(RecData[[#This Row],[TIMESTAMP]],1)&gt;0.91632,MOD(RecData[[#This Row],[TIMESTAMP]],1)&lt;0.208681))</f>
        <v>0</v>
      </c>
      <c r="DI668" s="18" t="b">
        <f>RecData[[#This Row],[Overall (dBA)]]-RecData[[#This Row],[L90]]&gt;=$DS$4</f>
        <v>0</v>
      </c>
      <c r="DJ668" s="18" t="b">
        <f>RecData[[#This Row],[Overall (dBA)]]&gt;$DS$2</f>
        <v>0</v>
      </c>
      <c r="DK668" s="18" t="b">
        <f>RecData[[#This Row],[Overall (dBA)]]&lt;$DS$3</f>
        <v>0</v>
      </c>
      <c r="DL6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8" s="2">
        <f>IF(AND(RecData[[#This Row],[Turbines ON/OFF]] = "OFF", NOT(OR(RecData[[#This Row],[Junk?]]="YES",RecData[[#This Row],[Gust?]],RecData[[#This Row],[Rain?]:[Min SPL Threshold?]]))),1,0)</f>
        <v>0</v>
      </c>
      <c r="DN668" s="16">
        <f>RecData[[#This Row],[dBA Sum]]</f>
        <v>39.670934142548319</v>
      </c>
      <c r="DO668" s="16">
        <f>RecData[[#This Row],[LAF90.0]]</f>
        <v>39.200000000000003</v>
      </c>
      <c r="DP668" s="55">
        <f>IF(AND(RecData[[#This Row],[Useable TON Data?]],RecData[[#This Row],[Turbines ON/OFF]]="ON"),RecData[[#This Row],[dBA Sum]],"")</f>
        <v>39.670934142548319</v>
      </c>
      <c r="DQ668" s="55" t="str">
        <f>IF(AND(RecData[[#This Row],[Useable Background Data?]],RecData[[#This Row],[Turbines ON/OFF]]="OFF"),RecData[[#This Row],[dBA Sum]],"")</f>
        <v/>
      </c>
      <c r="DR668" s="3">
        <f>IF(OR(RecData[[#This Row],[Useable TON Data?]],RecData[[#This Row],[Useable Background Data?]]),ROUND(RecData[[#This Row],[WSpd_Avg '[m/s']]],0),"")</f>
        <v>1</v>
      </c>
      <c r="DS668" s="85">
        <f>(0.00002)^2*(10^(RecData[[#This Row],[Overall (dBA)]]/10))</f>
        <v>3.708116802423626E-6</v>
      </c>
    </row>
    <row r="669" spans="1:123" ht="15" x14ac:dyDescent="0.25">
      <c r="A669" s="3" t="s">
        <v>249</v>
      </c>
      <c r="B669" s="12">
        <v>43270.181250000001</v>
      </c>
      <c r="C669" s="3"/>
      <c r="D669" s="3">
        <v>40.200000000000003</v>
      </c>
      <c r="E669" s="3"/>
      <c r="F669" s="3"/>
      <c r="G669" s="3"/>
      <c r="H669" s="3"/>
      <c r="I669" s="3"/>
      <c r="J669" s="3"/>
      <c r="K669" s="3">
        <v>39.200000000000003</v>
      </c>
      <c r="L669" s="3"/>
      <c r="M669" s="3"/>
      <c r="N669" s="3">
        <v>138.19999999999999</v>
      </c>
      <c r="O669" s="3"/>
      <c r="P669" s="3"/>
      <c r="Q669" s="3">
        <v>0.9</v>
      </c>
      <c r="R669" s="3">
        <v>0.7</v>
      </c>
      <c r="S669" s="3">
        <v>1</v>
      </c>
      <c r="T669" s="3">
        <v>10.8</v>
      </c>
      <c r="U669" s="3">
        <v>88.7</v>
      </c>
      <c r="V669" s="3">
        <v>973.6</v>
      </c>
      <c r="W669" s="3">
        <v>0</v>
      </c>
      <c r="X669" s="3">
        <v>47.5</v>
      </c>
      <c r="Y669" s="3">
        <v>46</v>
      </c>
      <c r="Z669" s="3">
        <v>44.9</v>
      </c>
      <c r="AA669" s="3">
        <v>41</v>
      </c>
      <c r="AB669" s="3">
        <v>36.5</v>
      </c>
      <c r="AC669" s="3">
        <v>34</v>
      </c>
      <c r="AD669" s="3">
        <v>38.799999999999997</v>
      </c>
      <c r="AE669" s="3">
        <v>41.2</v>
      </c>
      <c r="AF669" s="3">
        <v>45.6</v>
      </c>
      <c r="AG669" s="3">
        <v>38.799999999999997</v>
      </c>
      <c r="AH669" s="3">
        <v>38.1</v>
      </c>
      <c r="AI669" s="3">
        <v>38.1</v>
      </c>
      <c r="AJ669" s="3">
        <v>37.200000000000003</v>
      </c>
      <c r="AK669" s="3">
        <v>35.1</v>
      </c>
      <c r="AL669" s="3">
        <v>33.299999999999997</v>
      </c>
      <c r="AM669" s="3">
        <v>33.6</v>
      </c>
      <c r="AN669" s="3">
        <v>31.6</v>
      </c>
      <c r="AO669" s="3">
        <v>28.1</v>
      </c>
      <c r="AP669" s="3">
        <v>26.2</v>
      </c>
      <c r="AQ669" s="3">
        <v>23.4</v>
      </c>
      <c r="AR669" s="3">
        <v>19.5</v>
      </c>
      <c r="AS669" s="3">
        <v>15.5</v>
      </c>
      <c r="AT669" s="3">
        <v>21.6</v>
      </c>
      <c r="AU669" s="3">
        <v>9.6</v>
      </c>
      <c r="AV669" s="3">
        <v>8.6</v>
      </c>
      <c r="AW669" s="3">
        <v>9</v>
      </c>
      <c r="AX669" s="3">
        <v>9.1</v>
      </c>
      <c r="AY669" s="3">
        <v>9.3000000000000007</v>
      </c>
      <c r="AZ669" s="3">
        <v>0</v>
      </c>
      <c r="BA669" s="3">
        <v>0</v>
      </c>
      <c r="BB669" s="3">
        <v>0</v>
      </c>
      <c r="BC669" s="3">
        <v>40.232797646294351</v>
      </c>
      <c r="BD669" s="3">
        <v>47.467202353705652</v>
      </c>
      <c r="BE669" s="3">
        <v>45.967202353705652</v>
      </c>
      <c r="BF669" s="3">
        <v>43.627202353705648</v>
      </c>
      <c r="BG669" s="3">
        <v>40.053869020372311</v>
      </c>
      <c r="BH669" s="3">
        <v>35.693869020372325</v>
      </c>
      <c r="BI669" s="3">
        <v>33.607202353705652</v>
      </c>
      <c r="BJ669" s="3">
        <v>39.200535687038986</v>
      </c>
      <c r="BK669" s="3">
        <v>41.473869020372327</v>
      </c>
      <c r="BL669" s="3">
        <v>45.447202353705656</v>
      </c>
      <c r="BM669" s="3">
        <v>38.780535687038984</v>
      </c>
      <c r="BN669" s="3">
        <v>38.363869020372313</v>
      </c>
      <c r="BO669" s="3">
        <v>37.730535687038987</v>
      </c>
      <c r="BP669" s="3">
        <v>36.54720235370565</v>
      </c>
      <c r="BQ669" s="3">
        <v>34.863869020372313</v>
      </c>
      <c r="BR669" s="3">
        <v>33.390535687038984</v>
      </c>
      <c r="BS669" s="3">
        <v>33.493869020372323</v>
      </c>
      <c r="BT669" s="3">
        <v>31.690535687038995</v>
      </c>
      <c r="BU669" s="3">
        <v>28.157202353705664</v>
      </c>
      <c r="BV669" s="3">
        <v>25.973869020372327</v>
      </c>
      <c r="BW669" s="3">
        <v>23.707202353705654</v>
      </c>
      <c r="BX669" s="3">
        <v>19.727202353705657</v>
      </c>
      <c r="BY669" s="3">
        <v>15.54720235370565</v>
      </c>
      <c r="BZ669" s="3">
        <v>21.777202353705654</v>
      </c>
      <c r="CA669" s="3">
        <v>9.8772023537056484</v>
      </c>
      <c r="CB669" s="3">
        <v>8.3138690203723158</v>
      </c>
      <c r="CC669" s="3">
        <v>8.9272023537056526</v>
      </c>
      <c r="CD669" s="3">
        <v>8.333869020372326</v>
      </c>
      <c r="CE669" s="3">
        <v>8.7272023537056498</v>
      </c>
      <c r="CF669" s="3">
        <v>-0.95946431296101764</v>
      </c>
      <c r="CG669" s="3">
        <v>-1.4927976462943491</v>
      </c>
      <c r="CH669" s="3">
        <v>-2.5694643129610171</v>
      </c>
      <c r="CI669" s="13">
        <f>[1]!dbasum(RecData[[#This Row],[20]:[2000]],RecData[[#Headers],[20]:[2000]])</f>
        <v>40.009796621760358</v>
      </c>
      <c r="CJ669" s="14">
        <v>8438</v>
      </c>
      <c r="CK669" s="15" t="s">
        <v>249</v>
      </c>
      <c r="CL669" s="15">
        <f>RecData[[#This Row],[Start Time]]</f>
        <v>43270.181250000001</v>
      </c>
      <c r="CM669" s="16">
        <f>RecData[[#This Row],[Wind Speed avg]]</f>
        <v>0.9</v>
      </c>
      <c r="CN669" s="16">
        <f>RecData[[#This Row],[Wind Dir. avg]]</f>
        <v>138.19999999999999</v>
      </c>
      <c r="CO669" s="16">
        <f>RecData[[#This Row],[Amb. Humidity]]</f>
        <v>88.7</v>
      </c>
      <c r="CP669" s="16">
        <f>RecData[[#This Row],[Amb. Temperature]]</f>
        <v>10.8</v>
      </c>
      <c r="CQ669" s="17">
        <f>RecData[[#This Row],[Amb. Rain Gauge]]</f>
        <v>0</v>
      </c>
      <c r="CR669" s="4" t="s">
        <v>1</v>
      </c>
      <c r="CS669" s="4" t="s">
        <v>49</v>
      </c>
      <c r="CT669" s="70">
        <v>1620.22058105468</v>
      </c>
      <c r="CU669" s="70">
        <v>30.0002536773681</v>
      </c>
      <c r="CV669" s="70">
        <v>10.575231552124</v>
      </c>
      <c r="CW669" s="70">
        <v>15.320350646972599</v>
      </c>
      <c r="CX669" s="4"/>
      <c r="CY669" s="69"/>
      <c r="CZ669" s="2" t="b">
        <f>IF($DP$1="YES",IF(RecData[[#This Row],[Power (kW)]]&gt;=$CR$3, TRUE,FALSE),TRUE)</f>
        <v>1</v>
      </c>
      <c r="DA669" s="16">
        <f>MIN(MOD(180-ABS(ABS($DA$1-RecData[Yaw Angle (°)])-180),360),MOD(180-ABS(ABS($DB$1-RecData[Yaw Angle (°)])-180),360))</f>
        <v>22.470326899680543</v>
      </c>
      <c r="DB669" s="2" t="str">
        <f>IF($DP$2="None","None",IF(RecData[[#This Row],[Relative Wind Direction]]&lt;=45,"DW",IF(RecData[[#This Row],[Relative Wind Direction]]&lt;=135,"CW","UW")))</f>
        <v>DW</v>
      </c>
      <c r="DC669" s="61">
        <f>IF($CL669-$CL665&gt;1/24,#REF!,IF(SUM($CQ665:$CQ669)&gt;$DS$1,$DS$5,DC670-1))</f>
        <v>-6</v>
      </c>
      <c r="DD669" s="61">
        <f>IF($CL670-$CL669&gt;1/24,#REF!,IF(SUM($CQ665:$CQ669)&gt;$DS$1,$DS$6,DD668-1))</f>
        <v>-5</v>
      </c>
      <c r="DE669" s="18" t="b">
        <v>0</v>
      </c>
      <c r="DF669" s="2" t="b">
        <f>IF(OR(RecData[[#This Row],[WSpd_Avg '[m/s']]]-RecData[[#This Row],[Wind Speed min]]&gt;=$DF$3,RecData[[#This Row],[Wind Speed max]]-RecData[[#This Row],[WSpd_Avg '[m/s']]]&gt;=$DF$2),TRUE,FALSE)</f>
        <v>0</v>
      </c>
      <c r="DG669" s="2" t="b">
        <f>RecData[[#This Row],[Temperature '[°C']]]&lt;=-20</f>
        <v>0</v>
      </c>
      <c r="DH669" s="18" t="b">
        <f>NOT(OR(MOD(RecData[[#This Row],[TIMESTAMP]],1)&gt;0.91632,MOD(RecData[[#This Row],[TIMESTAMP]],1)&lt;0.208681))</f>
        <v>0</v>
      </c>
      <c r="DI669" s="18" t="b">
        <f>RecData[[#This Row],[Overall (dBA)]]-RecData[[#This Row],[L90]]&gt;=$DS$4</f>
        <v>0</v>
      </c>
      <c r="DJ669" s="18" t="b">
        <f>RecData[[#This Row],[Overall (dBA)]]&gt;$DS$2</f>
        <v>0</v>
      </c>
      <c r="DK669" s="18" t="b">
        <f>RecData[[#This Row],[Overall (dBA)]]&lt;$DS$3</f>
        <v>0</v>
      </c>
      <c r="DL6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69" s="2">
        <f>IF(AND(RecData[[#This Row],[Turbines ON/OFF]] = "OFF", NOT(OR(RecData[[#This Row],[Junk?]]="YES",RecData[[#This Row],[Gust?]],RecData[[#This Row],[Rain?]:[Min SPL Threshold?]]))),1,0)</f>
        <v>0</v>
      </c>
      <c r="DN669" s="16">
        <f>RecData[[#This Row],[dBA Sum]]</f>
        <v>40.009796621760358</v>
      </c>
      <c r="DO669" s="16">
        <f>RecData[[#This Row],[LAF90.0]]</f>
        <v>39.200000000000003</v>
      </c>
      <c r="DP669" s="55">
        <f>IF(AND(RecData[[#This Row],[Useable TON Data?]],RecData[[#This Row],[Turbines ON/OFF]]="ON"),RecData[[#This Row],[dBA Sum]],"")</f>
        <v>40.009796621760358</v>
      </c>
      <c r="DQ669" s="55" t="str">
        <f>IF(AND(RecData[[#This Row],[Useable Background Data?]],RecData[[#This Row],[Turbines ON/OFF]]="OFF"),RecData[[#This Row],[dBA Sum]],"")</f>
        <v/>
      </c>
      <c r="DR669" s="3">
        <f>IF(OR(RecData[[#This Row],[Useable TON Data?]],RecData[[#This Row],[Useable Background Data?]]),ROUND(RecData[[#This Row],[WSpd_Avg '[m/s']]],0),"")</f>
        <v>1</v>
      </c>
      <c r="DS669" s="85">
        <f>(0.00002)^2*(10^(RecData[[#This Row],[Overall (dBA)]]/10))</f>
        <v>4.0090332066132955E-6</v>
      </c>
    </row>
    <row r="670" spans="1:123" ht="15" x14ac:dyDescent="0.25">
      <c r="A670" s="3" t="s">
        <v>249</v>
      </c>
      <c r="B670" s="12">
        <v>43270.181944444448</v>
      </c>
      <c r="C670" s="3"/>
      <c r="D670" s="3">
        <v>39.799999999999997</v>
      </c>
      <c r="E670" s="3"/>
      <c r="F670" s="3"/>
      <c r="G670" s="3"/>
      <c r="H670" s="3"/>
      <c r="I670" s="3"/>
      <c r="J670" s="3"/>
      <c r="K670" s="3">
        <v>38.700000000000003</v>
      </c>
      <c r="L670" s="3"/>
      <c r="M670" s="3"/>
      <c r="N670" s="3">
        <v>152.69999999999999</v>
      </c>
      <c r="O670" s="3"/>
      <c r="P670" s="3"/>
      <c r="Q670" s="3">
        <v>0.77</v>
      </c>
      <c r="R670" s="3">
        <v>0.6</v>
      </c>
      <c r="S670" s="3">
        <v>0.9</v>
      </c>
      <c r="T670" s="3">
        <v>10.8</v>
      </c>
      <c r="U670" s="3">
        <v>87.5</v>
      </c>
      <c r="V670" s="3">
        <v>973.6</v>
      </c>
      <c r="W670" s="3">
        <v>0</v>
      </c>
      <c r="X670" s="3">
        <v>47.5</v>
      </c>
      <c r="Y670" s="3">
        <v>46.5</v>
      </c>
      <c r="Z670" s="3">
        <v>44.9</v>
      </c>
      <c r="AA670" s="3">
        <v>41</v>
      </c>
      <c r="AB670" s="3">
        <v>36.4</v>
      </c>
      <c r="AC670" s="3">
        <v>34.700000000000003</v>
      </c>
      <c r="AD670" s="3">
        <v>39.1</v>
      </c>
      <c r="AE670" s="3">
        <v>41</v>
      </c>
      <c r="AF670" s="3">
        <v>46</v>
      </c>
      <c r="AG670" s="3">
        <v>37.9</v>
      </c>
      <c r="AH670" s="3">
        <v>37.700000000000003</v>
      </c>
      <c r="AI670" s="3">
        <v>37.4</v>
      </c>
      <c r="AJ670" s="3">
        <v>36.6</v>
      </c>
      <c r="AK670" s="3">
        <v>34.799999999999997</v>
      </c>
      <c r="AL670" s="3">
        <v>32.9</v>
      </c>
      <c r="AM670" s="3">
        <v>32.299999999999997</v>
      </c>
      <c r="AN670" s="3">
        <v>30.7</v>
      </c>
      <c r="AO670" s="3">
        <v>27.5</v>
      </c>
      <c r="AP670" s="3">
        <v>25.6</v>
      </c>
      <c r="AQ670" s="3">
        <v>22.8</v>
      </c>
      <c r="AR670" s="3">
        <v>19</v>
      </c>
      <c r="AS670" s="3">
        <v>15.8</v>
      </c>
      <c r="AT670" s="3">
        <v>24.5</v>
      </c>
      <c r="AU670" s="3">
        <v>9.5</v>
      </c>
      <c r="AV670" s="3">
        <v>8.5</v>
      </c>
      <c r="AW670" s="3">
        <v>8.9</v>
      </c>
      <c r="AX670" s="3">
        <v>9.1</v>
      </c>
      <c r="AY670" s="3">
        <v>9.3000000000000007</v>
      </c>
      <c r="AZ670" s="3">
        <v>0</v>
      </c>
      <c r="BA670" s="3">
        <v>0</v>
      </c>
      <c r="BB670" s="3">
        <v>0</v>
      </c>
      <c r="BC670" s="3">
        <v>39.761003011556333</v>
      </c>
      <c r="BD670" s="3">
        <v>47.538996988443664</v>
      </c>
      <c r="BE670" s="3">
        <v>46.538996988443664</v>
      </c>
      <c r="BF670" s="3">
        <v>43.69899698844366</v>
      </c>
      <c r="BG670" s="3">
        <v>40.125663655110323</v>
      </c>
      <c r="BH670" s="3">
        <v>35.665663655110329</v>
      </c>
      <c r="BI670" s="3">
        <v>34.378996988443667</v>
      </c>
      <c r="BJ670" s="3">
        <v>39.572330321776995</v>
      </c>
      <c r="BK670" s="3">
        <v>41.345663655110322</v>
      </c>
      <c r="BL670" s="3">
        <v>45.918996988443674</v>
      </c>
      <c r="BM670" s="3">
        <v>37.952330321777005</v>
      </c>
      <c r="BN670" s="3">
        <v>38.035663655110334</v>
      </c>
      <c r="BO670" s="3">
        <v>37.102330321776996</v>
      </c>
      <c r="BP670" s="3">
        <v>36.018996988443668</v>
      </c>
      <c r="BQ670" s="3">
        <v>34.635663655110314</v>
      </c>
      <c r="BR670" s="3">
        <v>33.06233032177699</v>
      </c>
      <c r="BS670" s="3">
        <v>32.265663655110338</v>
      </c>
      <c r="BT670" s="3">
        <v>30.862330321777002</v>
      </c>
      <c r="BU670" s="3">
        <v>27.628996988443667</v>
      </c>
      <c r="BV670" s="3">
        <v>25.44566365511033</v>
      </c>
      <c r="BW670" s="3">
        <v>23.178996988443664</v>
      </c>
      <c r="BX670" s="3">
        <v>19.298996988443669</v>
      </c>
      <c r="BY670" s="3">
        <v>15.918996988443659</v>
      </c>
      <c r="BZ670" s="3">
        <v>24.748996988443672</v>
      </c>
      <c r="CA670" s="3">
        <v>9.848996988443659</v>
      </c>
      <c r="CB670" s="3">
        <v>8.2856636551103264</v>
      </c>
      <c r="CC670" s="3">
        <v>8.8989969884436633</v>
      </c>
      <c r="CD670" s="3">
        <v>8.4056636551103381</v>
      </c>
      <c r="CE670" s="3">
        <v>8.7989969884436618</v>
      </c>
      <c r="CF670" s="3">
        <v>-0.88766967822300558</v>
      </c>
      <c r="CG670" s="3">
        <v>-1.421003011556337</v>
      </c>
      <c r="CH670" s="3">
        <v>-2.497669678223005</v>
      </c>
      <c r="CI670" s="13">
        <f>[1]!dbasum(RecData[[#This Row],[20]:[2000]],RecData[[#Headers],[20]:[2000]])</f>
        <v>39.508338487093887</v>
      </c>
      <c r="CJ670" s="14">
        <v>8439</v>
      </c>
      <c r="CK670" s="15" t="s">
        <v>249</v>
      </c>
      <c r="CL670" s="15">
        <f>RecData[[#This Row],[Start Time]]</f>
        <v>43270.181944444448</v>
      </c>
      <c r="CM670" s="16">
        <f>RecData[[#This Row],[Wind Speed avg]]</f>
        <v>0.77</v>
      </c>
      <c r="CN670" s="16">
        <f>RecData[[#This Row],[Wind Dir. avg]]</f>
        <v>152.69999999999999</v>
      </c>
      <c r="CO670" s="16">
        <f>RecData[[#This Row],[Amb. Humidity]]</f>
        <v>87.5</v>
      </c>
      <c r="CP670" s="16">
        <f>RecData[[#This Row],[Amb. Temperature]]</f>
        <v>10.8</v>
      </c>
      <c r="CQ670" s="17">
        <f>RecData[[#This Row],[Amb. Rain Gauge]]</f>
        <v>0</v>
      </c>
      <c r="CR670" s="4" t="s">
        <v>1</v>
      </c>
      <c r="CS670" s="4" t="s">
        <v>49</v>
      </c>
      <c r="CT670" s="70">
        <v>1620.22058105468</v>
      </c>
      <c r="CU670" s="70">
        <v>30.0002536773681</v>
      </c>
      <c r="CV670" s="70">
        <v>10.575231552124</v>
      </c>
      <c r="CW670" s="70">
        <v>15.320350646972599</v>
      </c>
      <c r="CX670" s="4"/>
      <c r="CY670" s="69"/>
      <c r="CZ670" s="2" t="b">
        <f>IF($DP$1="YES",IF(RecData[[#This Row],[Power (kW)]]&gt;=$CR$3, TRUE,FALSE),TRUE)</f>
        <v>1</v>
      </c>
      <c r="DA670" s="16">
        <f>MIN(MOD(180-ABS(ABS($DA$1-RecData[Yaw Angle (°)])-180),360),MOD(180-ABS(ABS($DB$1-RecData[Yaw Angle (°)])-180),360))</f>
        <v>22.470326899680543</v>
      </c>
      <c r="DB670" s="2" t="str">
        <f>IF($DP$2="None","None",IF(RecData[[#This Row],[Relative Wind Direction]]&lt;=45,"DW",IF(RecData[[#This Row],[Relative Wind Direction]]&lt;=135,"CW","UW")))</f>
        <v>DW</v>
      </c>
      <c r="DC670" s="61">
        <f>IF($CL670-$CL666&gt;1/24,#REF!,IF(SUM($CQ666:$CQ670)&gt;$DS$1,$DS$5,DC671-1))</f>
        <v>-5</v>
      </c>
      <c r="DD670" s="61">
        <f>IF($CL671-$CL670&gt;1/24,#REF!,IF(SUM($CQ666:$CQ670)&gt;$DS$1,$DS$6,DD669-1))</f>
        <v>-6</v>
      </c>
      <c r="DE670" s="18" t="b">
        <v>0</v>
      </c>
      <c r="DF670" s="2" t="b">
        <f>IF(OR(RecData[[#This Row],[WSpd_Avg '[m/s']]]-RecData[[#This Row],[Wind Speed min]]&gt;=$DF$3,RecData[[#This Row],[Wind Speed max]]-RecData[[#This Row],[WSpd_Avg '[m/s']]]&gt;=$DF$2),TRUE,FALSE)</f>
        <v>0</v>
      </c>
      <c r="DG670" s="2" t="b">
        <f>RecData[[#This Row],[Temperature '[°C']]]&lt;=-20</f>
        <v>0</v>
      </c>
      <c r="DH670" s="18" t="b">
        <f>NOT(OR(MOD(RecData[[#This Row],[TIMESTAMP]],1)&gt;0.91632,MOD(RecData[[#This Row],[TIMESTAMP]],1)&lt;0.208681))</f>
        <v>0</v>
      </c>
      <c r="DI670" s="18" t="b">
        <f>RecData[[#This Row],[Overall (dBA)]]-RecData[[#This Row],[L90]]&gt;=$DS$4</f>
        <v>0</v>
      </c>
      <c r="DJ670" s="18" t="b">
        <f>RecData[[#This Row],[Overall (dBA)]]&gt;$DS$2</f>
        <v>0</v>
      </c>
      <c r="DK670" s="18" t="b">
        <f>RecData[[#This Row],[Overall (dBA)]]&lt;$DS$3</f>
        <v>0</v>
      </c>
      <c r="DL6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0" s="2">
        <f>IF(AND(RecData[[#This Row],[Turbines ON/OFF]] = "OFF", NOT(OR(RecData[[#This Row],[Junk?]]="YES",RecData[[#This Row],[Gust?]],RecData[[#This Row],[Rain?]:[Min SPL Threshold?]]))),1,0)</f>
        <v>0</v>
      </c>
      <c r="DN670" s="16">
        <f>RecData[[#This Row],[dBA Sum]]</f>
        <v>39.508338487093887</v>
      </c>
      <c r="DO670" s="16">
        <f>RecData[[#This Row],[LAF90.0]]</f>
        <v>38.700000000000003</v>
      </c>
      <c r="DP670" s="55">
        <f>IF(AND(RecData[[#This Row],[Useable TON Data?]],RecData[[#This Row],[Turbines ON/OFF]]="ON"),RecData[[#This Row],[dBA Sum]],"")</f>
        <v>39.508338487093887</v>
      </c>
      <c r="DQ670" s="55" t="str">
        <f>IF(AND(RecData[[#This Row],[Useable Background Data?]],RecData[[#This Row],[Turbines ON/OFF]]="OFF"),RecData[[#This Row],[dBA Sum]],"")</f>
        <v/>
      </c>
      <c r="DR670" s="3">
        <f>IF(OR(RecData[[#This Row],[Useable TON Data?]],RecData[[#This Row],[Useable Background Data?]]),ROUND(RecData[[#This Row],[WSpd_Avg '[m/s']]],0),"")</f>
        <v>1</v>
      </c>
      <c r="DS670" s="85">
        <f>(0.00002)^2*(10^(RecData[[#This Row],[Overall (dBA)]]/10))</f>
        <v>3.5718551621370968E-6</v>
      </c>
    </row>
    <row r="671" spans="1:123" ht="15" x14ac:dyDescent="0.25">
      <c r="A671" s="3" t="s">
        <v>249</v>
      </c>
      <c r="B671" s="12">
        <v>43270.182638888895</v>
      </c>
      <c r="C671" s="3"/>
      <c r="D671" s="3">
        <v>40.299999999999997</v>
      </c>
      <c r="E671" s="3"/>
      <c r="F671" s="3"/>
      <c r="G671" s="3"/>
      <c r="H671" s="3"/>
      <c r="I671" s="3"/>
      <c r="J671" s="3"/>
      <c r="K671" s="3">
        <v>39.1</v>
      </c>
      <c r="L671" s="3"/>
      <c r="M671" s="3"/>
      <c r="N671" s="3">
        <v>157.6</v>
      </c>
      <c r="O671" s="3"/>
      <c r="P671" s="3"/>
      <c r="Q671" s="3">
        <v>0.71</v>
      </c>
      <c r="R671" s="3">
        <v>0.6</v>
      </c>
      <c r="S671" s="3">
        <v>0.8</v>
      </c>
      <c r="T671" s="3">
        <v>10.8</v>
      </c>
      <c r="U671" s="3">
        <v>87.4</v>
      </c>
      <c r="V671" s="3">
        <v>973.6</v>
      </c>
      <c r="W671" s="3">
        <v>0</v>
      </c>
      <c r="X671" s="3">
        <v>47.6</v>
      </c>
      <c r="Y671" s="3">
        <v>46.6</v>
      </c>
      <c r="Z671" s="3">
        <v>45.8</v>
      </c>
      <c r="AA671" s="3">
        <v>41.1</v>
      </c>
      <c r="AB671" s="3">
        <v>36</v>
      </c>
      <c r="AC671" s="3">
        <v>34.799999999999997</v>
      </c>
      <c r="AD671" s="3">
        <v>39.200000000000003</v>
      </c>
      <c r="AE671" s="3">
        <v>41.1</v>
      </c>
      <c r="AF671" s="3">
        <v>45.5</v>
      </c>
      <c r="AG671" s="3">
        <v>38.700000000000003</v>
      </c>
      <c r="AH671" s="3">
        <v>38.1</v>
      </c>
      <c r="AI671" s="3">
        <v>37.700000000000003</v>
      </c>
      <c r="AJ671" s="3">
        <v>36.9</v>
      </c>
      <c r="AK671" s="3">
        <v>35</v>
      </c>
      <c r="AL671" s="3">
        <v>33.200000000000003</v>
      </c>
      <c r="AM671" s="3">
        <v>33.200000000000003</v>
      </c>
      <c r="AN671" s="3">
        <v>31.9</v>
      </c>
      <c r="AO671" s="3">
        <v>28.5</v>
      </c>
      <c r="AP671" s="3">
        <v>26.5</v>
      </c>
      <c r="AQ671" s="3">
        <v>23.7</v>
      </c>
      <c r="AR671" s="3">
        <v>19.899999999999999</v>
      </c>
      <c r="AS671" s="3">
        <v>18.899999999999999</v>
      </c>
      <c r="AT671" s="3">
        <v>25.2</v>
      </c>
      <c r="AU671" s="3">
        <v>10.4</v>
      </c>
      <c r="AV671" s="3">
        <v>8.5</v>
      </c>
      <c r="AW671" s="3">
        <v>8.9</v>
      </c>
      <c r="AX671" s="3">
        <v>9.1</v>
      </c>
      <c r="AY671" s="3">
        <v>9.3000000000000007</v>
      </c>
      <c r="AZ671" s="3">
        <v>0</v>
      </c>
      <c r="BA671" s="3">
        <v>0</v>
      </c>
      <c r="BB671" s="3">
        <v>0</v>
      </c>
      <c r="BC671" s="3">
        <v>40.298862439589513</v>
      </c>
      <c r="BD671" s="3">
        <v>47.601137560410493</v>
      </c>
      <c r="BE671" s="3">
        <v>46.601137560410493</v>
      </c>
      <c r="BF671" s="3">
        <v>44.561137560410472</v>
      </c>
      <c r="BG671" s="3">
        <v>40.187804227077152</v>
      </c>
      <c r="BH671" s="3">
        <v>35.227804227077158</v>
      </c>
      <c r="BI671" s="3">
        <v>34.441137560410482</v>
      </c>
      <c r="BJ671" s="3">
        <v>39.634470893743824</v>
      </c>
      <c r="BK671" s="3">
        <v>41.40780422707715</v>
      </c>
      <c r="BL671" s="3">
        <v>45.381137560410494</v>
      </c>
      <c r="BM671" s="3">
        <v>38.714470893743822</v>
      </c>
      <c r="BN671" s="3">
        <v>38.397804227077145</v>
      </c>
      <c r="BO671" s="3">
        <v>37.364470893743814</v>
      </c>
      <c r="BP671" s="3">
        <v>36.281137560410485</v>
      </c>
      <c r="BQ671" s="3">
        <v>34.797804227077151</v>
      </c>
      <c r="BR671" s="3">
        <v>33.324470893743822</v>
      </c>
      <c r="BS671" s="3">
        <v>33.127804227077164</v>
      </c>
      <c r="BT671" s="3">
        <v>32.024470893743811</v>
      </c>
      <c r="BU671" s="3">
        <v>28.591137560410488</v>
      </c>
      <c r="BV671" s="3">
        <v>26.307804227077156</v>
      </c>
      <c r="BW671" s="3">
        <v>24.04113756041049</v>
      </c>
      <c r="BX671" s="3">
        <v>20.161137560410488</v>
      </c>
      <c r="BY671" s="3">
        <v>18.981137560410481</v>
      </c>
      <c r="BZ671" s="3">
        <v>25.411137560410495</v>
      </c>
      <c r="CA671" s="3">
        <v>10.711137560410478</v>
      </c>
      <c r="CB671" s="3">
        <v>8.2478042270771468</v>
      </c>
      <c r="CC671" s="3">
        <v>8.8611375604104836</v>
      </c>
      <c r="CD671" s="3">
        <v>8.3678042270771584</v>
      </c>
      <c r="CE671" s="3">
        <v>8.7611375604104822</v>
      </c>
      <c r="CF671" s="3">
        <v>-0.92552910625618523</v>
      </c>
      <c r="CG671" s="3">
        <v>-1.4588624395895167</v>
      </c>
      <c r="CH671" s="3">
        <v>-2.5355291062561847</v>
      </c>
      <c r="CI671" s="13">
        <f>[1]!dbasum(RecData[[#This Row],[20]:[2000]],RecData[[#Headers],[20]:[2000]])</f>
        <v>39.99226978195302</v>
      </c>
      <c r="CJ671" s="14">
        <v>8440</v>
      </c>
      <c r="CK671" s="15" t="s">
        <v>249</v>
      </c>
      <c r="CL671" s="15">
        <f>RecData[[#This Row],[Start Time]]</f>
        <v>43270.182638888895</v>
      </c>
      <c r="CM671" s="16">
        <f>RecData[[#This Row],[Wind Speed avg]]</f>
        <v>0.71</v>
      </c>
      <c r="CN671" s="16">
        <f>RecData[[#This Row],[Wind Dir. avg]]</f>
        <v>157.6</v>
      </c>
      <c r="CO671" s="16">
        <f>RecData[[#This Row],[Amb. Humidity]]</f>
        <v>87.4</v>
      </c>
      <c r="CP671" s="16">
        <f>RecData[[#This Row],[Amb. Temperature]]</f>
        <v>10.8</v>
      </c>
      <c r="CQ671" s="17">
        <f>RecData[[#This Row],[Amb. Rain Gauge]]</f>
        <v>0</v>
      </c>
      <c r="CR671" s="4" t="s">
        <v>1</v>
      </c>
      <c r="CS671" s="4" t="s">
        <v>49</v>
      </c>
      <c r="CT671" s="70">
        <v>1620.22058105468</v>
      </c>
      <c r="CU671" s="70">
        <v>30.0002536773681</v>
      </c>
      <c r="CV671" s="70">
        <v>10.575231552124</v>
      </c>
      <c r="CW671" s="70">
        <v>15.320350646972599</v>
      </c>
      <c r="CX671" s="4"/>
      <c r="CY671" s="69"/>
      <c r="CZ671" s="2" t="b">
        <f>IF($DP$1="YES",IF(RecData[[#This Row],[Power (kW)]]&gt;=$CR$3, TRUE,FALSE),TRUE)</f>
        <v>1</v>
      </c>
      <c r="DA671" s="16">
        <f>MIN(MOD(180-ABS(ABS($DA$1-RecData[Yaw Angle (°)])-180),360),MOD(180-ABS(ABS($DB$1-RecData[Yaw Angle (°)])-180),360))</f>
        <v>22.470326899680543</v>
      </c>
      <c r="DB671" s="2" t="str">
        <f>IF($DP$2="None","None",IF(RecData[[#This Row],[Relative Wind Direction]]&lt;=45,"DW",IF(RecData[[#This Row],[Relative Wind Direction]]&lt;=135,"CW","UW")))</f>
        <v>DW</v>
      </c>
      <c r="DC671" s="61">
        <f>IF($CL671-$CL667&gt;1/24,#REF!,IF(SUM($CQ667:$CQ671)&gt;$DS$1,$DS$5,DC672-1))</f>
        <v>-4</v>
      </c>
      <c r="DD671" s="61">
        <f>IF($CL672-$CL671&gt;1/24,#REF!,IF(SUM($CQ667:$CQ671)&gt;$DS$1,$DS$6,DD670-1))</f>
        <v>-7</v>
      </c>
      <c r="DE671" s="18" t="b">
        <v>0</v>
      </c>
      <c r="DF671" s="2" t="b">
        <f>IF(OR(RecData[[#This Row],[WSpd_Avg '[m/s']]]-RecData[[#This Row],[Wind Speed min]]&gt;=$DF$3,RecData[[#This Row],[Wind Speed max]]-RecData[[#This Row],[WSpd_Avg '[m/s']]]&gt;=$DF$2),TRUE,FALSE)</f>
        <v>0</v>
      </c>
      <c r="DG671" s="2" t="b">
        <f>RecData[[#This Row],[Temperature '[°C']]]&lt;=-20</f>
        <v>0</v>
      </c>
      <c r="DH671" s="18" t="b">
        <f>NOT(OR(MOD(RecData[[#This Row],[TIMESTAMP]],1)&gt;0.91632,MOD(RecData[[#This Row],[TIMESTAMP]],1)&lt;0.208681))</f>
        <v>0</v>
      </c>
      <c r="DI671" s="18" t="b">
        <f>RecData[[#This Row],[Overall (dBA)]]-RecData[[#This Row],[L90]]&gt;=$DS$4</f>
        <v>0</v>
      </c>
      <c r="DJ671" s="18" t="b">
        <f>RecData[[#This Row],[Overall (dBA)]]&gt;$DS$2</f>
        <v>0</v>
      </c>
      <c r="DK671" s="18" t="b">
        <f>RecData[[#This Row],[Overall (dBA)]]&lt;$DS$3</f>
        <v>0</v>
      </c>
      <c r="DL6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1" s="2">
        <f>IF(AND(RecData[[#This Row],[Turbines ON/OFF]] = "OFF", NOT(OR(RecData[[#This Row],[Junk?]]="YES",RecData[[#This Row],[Gust?]],RecData[[#This Row],[Rain?]:[Min SPL Threshold?]]))),1,0)</f>
        <v>0</v>
      </c>
      <c r="DN671" s="16">
        <f>RecData[[#This Row],[dBA Sum]]</f>
        <v>39.99226978195302</v>
      </c>
      <c r="DO671" s="16">
        <f>RecData[[#This Row],[LAF90.0]]</f>
        <v>39.1</v>
      </c>
      <c r="DP671" s="55">
        <f>IF(AND(RecData[[#This Row],[Useable TON Data?]],RecData[[#This Row],[Turbines ON/OFF]]="ON"),RecData[[#This Row],[dBA Sum]],"")</f>
        <v>39.99226978195302</v>
      </c>
      <c r="DQ671" s="55" t="str">
        <f>IF(AND(RecData[[#This Row],[Useable Background Data?]],RecData[[#This Row],[Turbines ON/OFF]]="OFF"),RecData[[#This Row],[dBA Sum]],"")</f>
        <v/>
      </c>
      <c r="DR671" s="3">
        <f>IF(OR(RecData[[#This Row],[Useable TON Data?]],RecData[[#This Row],[Useable Background Data?]]),ROUND(RecData[[#This Row],[WSpd_Avg '[m/s']]],0),"")</f>
        <v>1</v>
      </c>
      <c r="DS671" s="85">
        <f>(0.00002)^2*(10^(RecData[[#This Row],[Overall (dBA)]]/10))</f>
        <v>3.9928865387391536E-6</v>
      </c>
    </row>
    <row r="672" spans="1:123" ht="15" x14ac:dyDescent="0.25">
      <c r="A672" s="3" t="s">
        <v>249</v>
      </c>
      <c r="B672" s="12">
        <v>43270.183333333342</v>
      </c>
      <c r="C672" s="3"/>
      <c r="D672" s="3">
        <v>39.4</v>
      </c>
      <c r="E672" s="3"/>
      <c r="F672" s="3"/>
      <c r="G672" s="3"/>
      <c r="H672" s="3"/>
      <c r="I672" s="3"/>
      <c r="J672" s="3"/>
      <c r="K672" s="3">
        <v>38.299999999999997</v>
      </c>
      <c r="L672" s="3"/>
      <c r="M672" s="3"/>
      <c r="N672" s="3">
        <v>153.9</v>
      </c>
      <c r="O672" s="3"/>
      <c r="P672" s="3"/>
      <c r="Q672" s="3">
        <v>0.69</v>
      </c>
      <c r="R672" s="3">
        <v>0.5</v>
      </c>
      <c r="S672" s="3">
        <v>0.8</v>
      </c>
      <c r="T672" s="3">
        <v>10.8</v>
      </c>
      <c r="U672" s="3">
        <v>88.2</v>
      </c>
      <c r="V672" s="3">
        <v>973.6</v>
      </c>
      <c r="W672" s="3">
        <v>0</v>
      </c>
      <c r="X672" s="3">
        <v>47.3</v>
      </c>
      <c r="Y672" s="3">
        <v>46.6</v>
      </c>
      <c r="Z672" s="3">
        <v>45.6</v>
      </c>
      <c r="AA672" s="3">
        <v>40.9</v>
      </c>
      <c r="AB672" s="3">
        <v>36</v>
      </c>
      <c r="AC672" s="3">
        <v>34.200000000000003</v>
      </c>
      <c r="AD672" s="3">
        <v>38.5</v>
      </c>
      <c r="AE672" s="3">
        <v>40.5</v>
      </c>
      <c r="AF672" s="3">
        <v>45</v>
      </c>
      <c r="AG672" s="3">
        <v>37.4</v>
      </c>
      <c r="AH672" s="3">
        <v>37.299999999999997</v>
      </c>
      <c r="AI672" s="3">
        <v>37.200000000000003</v>
      </c>
      <c r="AJ672" s="3">
        <v>36.299999999999997</v>
      </c>
      <c r="AK672" s="3">
        <v>34.4</v>
      </c>
      <c r="AL672" s="3">
        <v>32.6</v>
      </c>
      <c r="AM672" s="3">
        <v>32.1</v>
      </c>
      <c r="AN672" s="3">
        <v>30.4</v>
      </c>
      <c r="AO672" s="3">
        <v>27</v>
      </c>
      <c r="AP672" s="3">
        <v>24.9</v>
      </c>
      <c r="AQ672" s="3">
        <v>22.2</v>
      </c>
      <c r="AR672" s="3">
        <v>18.5</v>
      </c>
      <c r="AS672" s="3">
        <v>19.100000000000001</v>
      </c>
      <c r="AT672" s="3">
        <v>23.8</v>
      </c>
      <c r="AU672" s="3">
        <v>9.5</v>
      </c>
      <c r="AV672" s="3">
        <v>8.6</v>
      </c>
      <c r="AW672" s="3">
        <v>8.9</v>
      </c>
      <c r="AX672" s="3">
        <v>9.1</v>
      </c>
      <c r="AY672" s="3">
        <v>9.3000000000000007</v>
      </c>
      <c r="AZ672" s="3">
        <v>0</v>
      </c>
      <c r="BA672" s="3">
        <v>0</v>
      </c>
      <c r="BB672" s="3">
        <v>0</v>
      </c>
      <c r="BC672" s="3">
        <v>39.367205202544056</v>
      </c>
      <c r="BD672" s="3">
        <v>47.332794797455932</v>
      </c>
      <c r="BE672" s="3">
        <v>46.632794797455944</v>
      </c>
      <c r="BF672" s="3">
        <v>44.392794797455934</v>
      </c>
      <c r="BG672" s="3">
        <v>40.0194614641226</v>
      </c>
      <c r="BH672" s="3">
        <v>35.259461464122609</v>
      </c>
      <c r="BI672" s="3">
        <v>33.872794797455953</v>
      </c>
      <c r="BJ672" s="3">
        <v>38.966128130789272</v>
      </c>
      <c r="BK672" s="3">
        <v>40.839461464122607</v>
      </c>
      <c r="BL672" s="3">
        <v>44.912794797455945</v>
      </c>
      <c r="BM672" s="3">
        <v>37.446128130789276</v>
      </c>
      <c r="BN672" s="3">
        <v>37.629461464122613</v>
      </c>
      <c r="BO672" s="3">
        <v>36.896128130789279</v>
      </c>
      <c r="BP672" s="3">
        <v>35.712794797455942</v>
      </c>
      <c r="BQ672" s="3">
        <v>34.229461464122608</v>
      </c>
      <c r="BR672" s="3">
        <v>32.756128130789278</v>
      </c>
      <c r="BS672" s="3">
        <v>32.05946146412262</v>
      </c>
      <c r="BT672" s="3">
        <v>30.556128130789276</v>
      </c>
      <c r="BU672" s="3">
        <v>27.122794797455953</v>
      </c>
      <c r="BV672" s="3">
        <v>24.739461464122613</v>
      </c>
      <c r="BW672" s="3">
        <v>22.572794797455941</v>
      </c>
      <c r="BX672" s="3">
        <v>18.792794797455947</v>
      </c>
      <c r="BY672" s="3">
        <v>19.212794797455942</v>
      </c>
      <c r="BZ672" s="3">
        <v>24.042794797455947</v>
      </c>
      <c r="CA672" s="3">
        <v>9.8427947974559373</v>
      </c>
      <c r="CB672" s="3">
        <v>8.3794614641226062</v>
      </c>
      <c r="CC672" s="3">
        <v>8.8927947974559416</v>
      </c>
      <c r="CD672" s="3">
        <v>8.3994614641226093</v>
      </c>
      <c r="CE672" s="3">
        <v>8.7927947974559402</v>
      </c>
      <c r="CF672" s="3">
        <v>-0.89387186921072725</v>
      </c>
      <c r="CG672" s="3">
        <v>-1.4272052025440587</v>
      </c>
      <c r="CH672" s="3">
        <v>-2.5038718692107267</v>
      </c>
      <c r="CI672" s="13">
        <f>[1]!dbasum(RecData[[#This Row],[20]:[2000]],RecData[[#Headers],[20]:[2000]])</f>
        <v>39.084069400068607</v>
      </c>
      <c r="CJ672" s="14">
        <v>8441</v>
      </c>
      <c r="CK672" s="15" t="s">
        <v>249</v>
      </c>
      <c r="CL672" s="15">
        <f>RecData[[#This Row],[Start Time]]</f>
        <v>43270.183333333342</v>
      </c>
      <c r="CM672" s="16">
        <f>RecData[[#This Row],[Wind Speed avg]]</f>
        <v>0.69</v>
      </c>
      <c r="CN672" s="16">
        <f>RecData[[#This Row],[Wind Dir. avg]]</f>
        <v>153.9</v>
      </c>
      <c r="CO672" s="16">
        <f>RecData[[#This Row],[Amb. Humidity]]</f>
        <v>88.2</v>
      </c>
      <c r="CP672" s="16">
        <f>RecData[[#This Row],[Amb. Temperature]]</f>
        <v>10.8</v>
      </c>
      <c r="CQ672" s="17">
        <f>RecData[[#This Row],[Amb. Rain Gauge]]</f>
        <v>0</v>
      </c>
      <c r="CR672" s="4" t="s">
        <v>1</v>
      </c>
      <c r="CS672" s="4" t="s">
        <v>49</v>
      </c>
      <c r="CT672" s="70">
        <v>1620.22058105468</v>
      </c>
      <c r="CU672" s="70">
        <v>30.0002536773681</v>
      </c>
      <c r="CV672" s="70">
        <v>10.575231552124</v>
      </c>
      <c r="CW672" s="70">
        <v>15.320350646972599</v>
      </c>
      <c r="CX672" s="4"/>
      <c r="CY672" s="69"/>
      <c r="CZ672" s="2" t="b">
        <f>IF($DP$1="YES",IF(RecData[[#This Row],[Power (kW)]]&gt;=$CR$3, TRUE,FALSE),TRUE)</f>
        <v>1</v>
      </c>
      <c r="DA672" s="16">
        <f>MIN(MOD(180-ABS(ABS($DA$1-RecData[Yaw Angle (°)])-180),360),MOD(180-ABS(ABS($DB$1-RecData[Yaw Angle (°)])-180),360))</f>
        <v>22.470326899680543</v>
      </c>
      <c r="DB672" s="2" t="str">
        <f>IF($DP$2="None","None",IF(RecData[[#This Row],[Relative Wind Direction]]&lt;=45,"DW",IF(RecData[[#This Row],[Relative Wind Direction]]&lt;=135,"CW","UW")))</f>
        <v>DW</v>
      </c>
      <c r="DC672" s="61">
        <f>IF($CL672-$CL668&gt;1/24,#REF!,IF(SUM($CQ668:$CQ672)&gt;$DS$1,$DS$5,DC673-1))</f>
        <v>-3</v>
      </c>
      <c r="DD672" s="61">
        <f>IF($CL673-$CL672&gt;1/24,#REF!,IF(SUM($CQ668:$CQ672)&gt;$DS$1,$DS$6,DD671-1))</f>
        <v>-8</v>
      </c>
      <c r="DE672" s="18" t="b">
        <v>0</v>
      </c>
      <c r="DF672" s="2" t="b">
        <f>IF(OR(RecData[[#This Row],[WSpd_Avg '[m/s']]]-RecData[[#This Row],[Wind Speed min]]&gt;=$DF$3,RecData[[#This Row],[Wind Speed max]]-RecData[[#This Row],[WSpd_Avg '[m/s']]]&gt;=$DF$2),TRUE,FALSE)</f>
        <v>0</v>
      </c>
      <c r="DG672" s="2" t="b">
        <f>RecData[[#This Row],[Temperature '[°C']]]&lt;=-20</f>
        <v>0</v>
      </c>
      <c r="DH672" s="18" t="b">
        <f>NOT(OR(MOD(RecData[[#This Row],[TIMESTAMP]],1)&gt;0.91632,MOD(RecData[[#This Row],[TIMESTAMP]],1)&lt;0.208681))</f>
        <v>0</v>
      </c>
      <c r="DI672" s="18" t="b">
        <f>RecData[[#This Row],[Overall (dBA)]]-RecData[[#This Row],[L90]]&gt;=$DS$4</f>
        <v>0</v>
      </c>
      <c r="DJ672" s="18" t="b">
        <f>RecData[[#This Row],[Overall (dBA)]]&gt;$DS$2</f>
        <v>0</v>
      </c>
      <c r="DK672" s="18" t="b">
        <f>RecData[[#This Row],[Overall (dBA)]]&lt;$DS$3</f>
        <v>0</v>
      </c>
      <c r="DL6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2" s="2">
        <f>IF(AND(RecData[[#This Row],[Turbines ON/OFF]] = "OFF", NOT(OR(RecData[[#This Row],[Junk?]]="YES",RecData[[#This Row],[Gust?]],RecData[[#This Row],[Rain?]:[Min SPL Threshold?]]))),1,0)</f>
        <v>0</v>
      </c>
      <c r="DN672" s="16">
        <f>RecData[[#This Row],[dBA Sum]]</f>
        <v>39.084069400068607</v>
      </c>
      <c r="DO672" s="16">
        <f>RecData[[#This Row],[LAF90.0]]</f>
        <v>38.299999999999997</v>
      </c>
      <c r="DP672" s="55">
        <f>IF(AND(RecData[[#This Row],[Useable TON Data?]],RecData[[#This Row],[Turbines ON/OFF]]="ON"),RecData[[#This Row],[dBA Sum]],"")</f>
        <v>39.084069400068607</v>
      </c>
      <c r="DQ672" s="55" t="str">
        <f>IF(AND(RecData[[#This Row],[Useable Background Data?]],RecData[[#This Row],[Turbines ON/OFF]]="OFF"),RecData[[#This Row],[dBA Sum]],"")</f>
        <v/>
      </c>
      <c r="DR672" s="3">
        <f>IF(OR(RecData[[#This Row],[Useable TON Data?]],RecData[[#This Row],[Useable Background Data?]]),ROUND(RecData[[#This Row],[WSpd_Avg '[m/s']]],0),"")</f>
        <v>1</v>
      </c>
      <c r="DS672" s="85">
        <f>(0.00002)^2*(10^(RecData[[#This Row],[Overall (dBA)]]/10))</f>
        <v>3.239417554640651E-6</v>
      </c>
    </row>
    <row r="673" spans="1:123" ht="15" x14ac:dyDescent="0.25">
      <c r="A673" s="3" t="s">
        <v>249</v>
      </c>
      <c r="B673" s="12">
        <v>43270.184027777781</v>
      </c>
      <c r="C673" s="3"/>
      <c r="D673" s="3">
        <v>40.4</v>
      </c>
      <c r="E673" s="3"/>
      <c r="F673" s="3"/>
      <c r="G673" s="3"/>
      <c r="H673" s="3"/>
      <c r="I673" s="3"/>
      <c r="J673" s="3"/>
      <c r="K673" s="3">
        <v>39.5</v>
      </c>
      <c r="L673" s="3"/>
      <c r="M673" s="3"/>
      <c r="N673" s="3">
        <v>170.8</v>
      </c>
      <c r="O673" s="3"/>
      <c r="P673" s="3"/>
      <c r="Q673" s="3">
        <v>0.65</v>
      </c>
      <c r="R673" s="3">
        <v>0.5</v>
      </c>
      <c r="S673" s="3">
        <v>0.8</v>
      </c>
      <c r="T673" s="3">
        <v>10.7</v>
      </c>
      <c r="U673" s="3">
        <v>88.6</v>
      </c>
      <c r="V673" s="3">
        <v>973.7</v>
      </c>
      <c r="W673" s="3">
        <v>0</v>
      </c>
      <c r="X673" s="3">
        <v>47.5</v>
      </c>
      <c r="Y673" s="3">
        <v>45.8</v>
      </c>
      <c r="Z673" s="3">
        <v>44.9</v>
      </c>
      <c r="AA673" s="3">
        <v>41.4</v>
      </c>
      <c r="AB673" s="3">
        <v>36.799999999999997</v>
      </c>
      <c r="AC673" s="3">
        <v>34.6</v>
      </c>
      <c r="AD673" s="3">
        <v>38.9</v>
      </c>
      <c r="AE673" s="3">
        <v>40.9</v>
      </c>
      <c r="AF673" s="3">
        <v>45.3</v>
      </c>
      <c r="AG673" s="3">
        <v>39.700000000000003</v>
      </c>
      <c r="AH673" s="3">
        <v>38.9</v>
      </c>
      <c r="AI673" s="3">
        <v>38</v>
      </c>
      <c r="AJ673" s="3">
        <v>37.299999999999997</v>
      </c>
      <c r="AK673" s="3">
        <v>35.299999999999997</v>
      </c>
      <c r="AL673" s="3">
        <v>33.299999999999997</v>
      </c>
      <c r="AM673" s="3">
        <v>33.299999999999997</v>
      </c>
      <c r="AN673" s="3">
        <v>31.6</v>
      </c>
      <c r="AO673" s="3">
        <v>28.1</v>
      </c>
      <c r="AP673" s="3">
        <v>26.2</v>
      </c>
      <c r="AQ673" s="3">
        <v>23.5</v>
      </c>
      <c r="AR673" s="3">
        <v>19.600000000000001</v>
      </c>
      <c r="AS673" s="3">
        <v>20.399999999999999</v>
      </c>
      <c r="AT673" s="3">
        <v>25.3</v>
      </c>
      <c r="AU673" s="3">
        <v>9.6999999999999993</v>
      </c>
      <c r="AV673" s="3">
        <v>8.6</v>
      </c>
      <c r="AW673" s="3">
        <v>9.1</v>
      </c>
      <c r="AX673" s="3">
        <v>9.1</v>
      </c>
      <c r="AY673" s="3">
        <v>9.4</v>
      </c>
      <c r="AZ673" s="3">
        <v>0</v>
      </c>
      <c r="BA673" s="3">
        <v>0</v>
      </c>
      <c r="BB673" s="3">
        <v>0</v>
      </c>
      <c r="BC673" s="3">
        <v>40.413199126513177</v>
      </c>
      <c r="BD673" s="3">
        <v>47.486800873486828</v>
      </c>
      <c r="BE673" s="3">
        <v>45.786800873486811</v>
      </c>
      <c r="BF673" s="3">
        <v>43.646800873486825</v>
      </c>
      <c r="BG673" s="3">
        <v>40.473467540153479</v>
      </c>
      <c r="BH673" s="3">
        <v>36.013467540153485</v>
      </c>
      <c r="BI673" s="3">
        <v>34.226800873486823</v>
      </c>
      <c r="BJ673" s="3">
        <v>39.320134206820143</v>
      </c>
      <c r="BK673" s="3">
        <v>41.193467540153478</v>
      </c>
      <c r="BL673" s="3">
        <v>45.166800873486821</v>
      </c>
      <c r="BM673" s="3">
        <v>39.700134206820167</v>
      </c>
      <c r="BN673" s="3">
        <v>39.183467540153487</v>
      </c>
      <c r="BO673" s="3">
        <v>37.650134206820155</v>
      </c>
      <c r="BP673" s="3">
        <v>36.666800873486821</v>
      </c>
      <c r="BQ673" s="3">
        <v>35.083467540153478</v>
      </c>
      <c r="BR673" s="3">
        <v>33.410134206820146</v>
      </c>
      <c r="BS673" s="3">
        <v>33.213467540153488</v>
      </c>
      <c r="BT673" s="3">
        <v>31.710134206820157</v>
      </c>
      <c r="BU673" s="3">
        <v>28.176800873486826</v>
      </c>
      <c r="BV673" s="3">
        <v>25.993467540153489</v>
      </c>
      <c r="BW673" s="3">
        <v>23.826800873486832</v>
      </c>
      <c r="BX673" s="3">
        <v>19.846800873486828</v>
      </c>
      <c r="BY673" s="3">
        <v>20.466800873486818</v>
      </c>
      <c r="BZ673" s="3">
        <v>25.496800873486819</v>
      </c>
      <c r="CA673" s="3">
        <v>9.9968008734868121</v>
      </c>
      <c r="CB673" s="3">
        <v>8.3334675401534852</v>
      </c>
      <c r="CC673" s="3">
        <v>9.0468008734868164</v>
      </c>
      <c r="CD673" s="3">
        <v>8.3534675401534884</v>
      </c>
      <c r="CE673" s="3">
        <v>8.8468008734868206</v>
      </c>
      <c r="CF673" s="3">
        <v>-0.9398657931798482</v>
      </c>
      <c r="CG673" s="3">
        <v>-1.4731991265131796</v>
      </c>
      <c r="CH673" s="3">
        <v>-2.5498657931798476</v>
      </c>
      <c r="CI673" s="13">
        <f>[1]!dbasum(RecData[[#This Row],[20]:[2000]],RecData[[#Headers],[20]:[2000]])</f>
        <v>40.071418267436869</v>
      </c>
      <c r="CJ673" s="14">
        <v>8442</v>
      </c>
      <c r="CK673" s="15" t="s">
        <v>249</v>
      </c>
      <c r="CL673" s="15">
        <f>RecData[[#This Row],[Start Time]]</f>
        <v>43270.184027777781</v>
      </c>
      <c r="CM673" s="16">
        <f>RecData[[#This Row],[Wind Speed avg]]</f>
        <v>0.65</v>
      </c>
      <c r="CN673" s="16">
        <f>RecData[[#This Row],[Wind Dir. avg]]</f>
        <v>170.8</v>
      </c>
      <c r="CO673" s="16">
        <f>RecData[[#This Row],[Amb. Humidity]]</f>
        <v>88.6</v>
      </c>
      <c r="CP673" s="16">
        <f>RecData[[#This Row],[Amb. Temperature]]</f>
        <v>10.7</v>
      </c>
      <c r="CQ673" s="17">
        <f>RecData[[#This Row],[Amb. Rain Gauge]]</f>
        <v>0</v>
      </c>
      <c r="CR673" s="4" t="s">
        <v>1</v>
      </c>
      <c r="CS673" s="4" t="s">
        <v>49</v>
      </c>
      <c r="CT673" s="70">
        <v>1620.22058105468</v>
      </c>
      <c r="CU673" s="70">
        <v>30.0002536773681</v>
      </c>
      <c r="CV673" s="70">
        <v>10.575231552124</v>
      </c>
      <c r="CW673" s="70">
        <v>15.320350646972599</v>
      </c>
      <c r="CX673" s="4"/>
      <c r="CY673" s="69"/>
      <c r="CZ673" s="2" t="b">
        <f>IF($DP$1="YES",IF(RecData[[#This Row],[Power (kW)]]&gt;=$CR$3, TRUE,FALSE),TRUE)</f>
        <v>1</v>
      </c>
      <c r="DA673" s="16">
        <f>MIN(MOD(180-ABS(ABS($DA$1-RecData[Yaw Angle (°)])-180),360),MOD(180-ABS(ABS($DB$1-RecData[Yaw Angle (°)])-180),360))</f>
        <v>22.470326899680543</v>
      </c>
      <c r="DB673" s="2" t="str">
        <f>IF($DP$2="None","None",IF(RecData[[#This Row],[Relative Wind Direction]]&lt;=45,"DW",IF(RecData[[#This Row],[Relative Wind Direction]]&lt;=135,"CW","UW")))</f>
        <v>DW</v>
      </c>
      <c r="DC673" s="61">
        <f>IF($CL673-$CL669&gt;1/24,#REF!,IF(SUM($CQ669:$CQ673)&gt;$DS$1,$DS$5,DC674-1))</f>
        <v>-2</v>
      </c>
      <c r="DD673" s="61">
        <f>IF($CL674-$CL673&gt;1/24,#REF!,IF(SUM($CQ669:$CQ673)&gt;$DS$1,$DS$6,DD672-1))</f>
        <v>-9</v>
      </c>
      <c r="DE673" s="18" t="b">
        <v>0</v>
      </c>
      <c r="DF673" s="2" t="b">
        <f>IF(OR(RecData[[#This Row],[WSpd_Avg '[m/s']]]-RecData[[#This Row],[Wind Speed min]]&gt;=$DF$3,RecData[[#This Row],[Wind Speed max]]-RecData[[#This Row],[WSpd_Avg '[m/s']]]&gt;=$DF$2),TRUE,FALSE)</f>
        <v>0</v>
      </c>
      <c r="DG673" s="2" t="b">
        <f>RecData[[#This Row],[Temperature '[°C']]]&lt;=-20</f>
        <v>0</v>
      </c>
      <c r="DH673" s="18" t="b">
        <f>NOT(OR(MOD(RecData[[#This Row],[TIMESTAMP]],1)&gt;0.91632,MOD(RecData[[#This Row],[TIMESTAMP]],1)&lt;0.208681))</f>
        <v>0</v>
      </c>
      <c r="DI673" s="18" t="b">
        <f>RecData[[#This Row],[Overall (dBA)]]-RecData[[#This Row],[L90]]&gt;=$DS$4</f>
        <v>0</v>
      </c>
      <c r="DJ673" s="18" t="b">
        <f>RecData[[#This Row],[Overall (dBA)]]&gt;$DS$2</f>
        <v>0</v>
      </c>
      <c r="DK673" s="18" t="b">
        <f>RecData[[#This Row],[Overall (dBA)]]&lt;$DS$3</f>
        <v>0</v>
      </c>
      <c r="DL6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3" s="2">
        <f>IF(AND(RecData[[#This Row],[Turbines ON/OFF]] = "OFF", NOT(OR(RecData[[#This Row],[Junk?]]="YES",RecData[[#This Row],[Gust?]],RecData[[#This Row],[Rain?]:[Min SPL Threshold?]]))),1,0)</f>
        <v>0</v>
      </c>
      <c r="DN673" s="16">
        <f>RecData[[#This Row],[dBA Sum]]</f>
        <v>40.071418267436869</v>
      </c>
      <c r="DO673" s="16">
        <f>RecData[[#This Row],[LAF90.0]]</f>
        <v>39.5</v>
      </c>
      <c r="DP673" s="55">
        <f>IF(AND(RecData[[#This Row],[Useable TON Data?]],RecData[[#This Row],[Turbines ON/OFF]]="ON"),RecData[[#This Row],[dBA Sum]],"")</f>
        <v>40.071418267436869</v>
      </c>
      <c r="DQ673" s="55" t="str">
        <f>IF(AND(RecData[[#This Row],[Useable Background Data?]],RecData[[#This Row],[Turbines ON/OFF]]="OFF"),RecData[[#This Row],[dBA Sum]],"")</f>
        <v/>
      </c>
      <c r="DR673" s="3">
        <f>IF(OR(RecData[[#This Row],[Useable TON Data?]],RecData[[#This Row],[Useable Background Data?]]),ROUND(RecData[[#This Row],[WSpd_Avg '[m/s']]],0),"")</f>
        <v>1</v>
      </c>
      <c r="DS673" s="85">
        <f>(0.00002)^2*(10^(RecData[[#This Row],[Overall (dBA)]]/10))</f>
        <v>4.0663224860708483E-6</v>
      </c>
    </row>
    <row r="674" spans="1:123" ht="15" x14ac:dyDescent="0.25">
      <c r="A674" s="3" t="s">
        <v>249</v>
      </c>
      <c r="B674" s="12">
        <v>43270.184722222228</v>
      </c>
      <c r="C674" s="3"/>
      <c r="D674" s="3">
        <v>40.1</v>
      </c>
      <c r="E674" s="3"/>
      <c r="F674" s="3"/>
      <c r="G674" s="3"/>
      <c r="H674" s="3"/>
      <c r="I674" s="3"/>
      <c r="J674" s="3"/>
      <c r="K674" s="3">
        <v>39</v>
      </c>
      <c r="L674" s="3"/>
      <c r="M674" s="3"/>
      <c r="N674" s="3">
        <v>176.1</v>
      </c>
      <c r="O674" s="3"/>
      <c r="P674" s="3"/>
      <c r="Q674" s="3">
        <v>0.73</v>
      </c>
      <c r="R674" s="3">
        <v>0.4</v>
      </c>
      <c r="S674" s="3">
        <v>0.9</v>
      </c>
      <c r="T674" s="3">
        <v>10.7</v>
      </c>
      <c r="U674" s="3">
        <v>88.6</v>
      </c>
      <c r="V674" s="3">
        <v>973.7</v>
      </c>
      <c r="W674" s="3">
        <v>0</v>
      </c>
      <c r="X674" s="3">
        <v>47</v>
      </c>
      <c r="Y674" s="3">
        <v>46.5</v>
      </c>
      <c r="Z674" s="3">
        <v>45.4</v>
      </c>
      <c r="AA674" s="3">
        <v>41.7</v>
      </c>
      <c r="AB674" s="3">
        <v>36.6</v>
      </c>
      <c r="AC674" s="3">
        <v>34</v>
      </c>
      <c r="AD674" s="3">
        <v>38.6</v>
      </c>
      <c r="AE674" s="3">
        <v>40.5</v>
      </c>
      <c r="AF674" s="3">
        <v>44.8</v>
      </c>
      <c r="AG674" s="3">
        <v>38.6</v>
      </c>
      <c r="AH674" s="3">
        <v>38.200000000000003</v>
      </c>
      <c r="AI674" s="3">
        <v>37.4</v>
      </c>
      <c r="AJ674" s="3">
        <v>37</v>
      </c>
      <c r="AK674" s="3">
        <v>34.799999999999997</v>
      </c>
      <c r="AL674" s="3">
        <v>33</v>
      </c>
      <c r="AM674" s="3">
        <v>33.299999999999997</v>
      </c>
      <c r="AN674" s="3">
        <v>31.5</v>
      </c>
      <c r="AO674" s="3">
        <v>28.1</v>
      </c>
      <c r="AP674" s="3">
        <v>25.9</v>
      </c>
      <c r="AQ674" s="3">
        <v>23.2</v>
      </c>
      <c r="AR674" s="3">
        <v>19.3</v>
      </c>
      <c r="AS674" s="3">
        <v>21.3</v>
      </c>
      <c r="AT674" s="3">
        <v>25.1</v>
      </c>
      <c r="AU674" s="3">
        <v>9.1</v>
      </c>
      <c r="AV674" s="3">
        <v>8.4</v>
      </c>
      <c r="AW674" s="3">
        <v>8.9</v>
      </c>
      <c r="AX674" s="3">
        <v>9.1</v>
      </c>
      <c r="AY674" s="3">
        <v>9.3000000000000007</v>
      </c>
      <c r="AZ674" s="3">
        <v>0</v>
      </c>
      <c r="BA674" s="3">
        <v>0</v>
      </c>
      <c r="BB674" s="3">
        <v>0</v>
      </c>
      <c r="BC674" s="3">
        <v>40.105953312886612</v>
      </c>
      <c r="BD674" s="3">
        <v>46.994046687113382</v>
      </c>
      <c r="BE674" s="3">
        <v>46.494046687113382</v>
      </c>
      <c r="BF674" s="3">
        <v>44.154046687113379</v>
      </c>
      <c r="BG674" s="3">
        <v>40.780713353780058</v>
      </c>
      <c r="BH674" s="3">
        <v>35.820713353780064</v>
      </c>
      <c r="BI674" s="3">
        <v>33.634046687113397</v>
      </c>
      <c r="BJ674" s="3">
        <v>39.027380020446714</v>
      </c>
      <c r="BK674" s="3">
        <v>40.800713353780054</v>
      </c>
      <c r="BL674" s="3">
        <v>44.674046687113389</v>
      </c>
      <c r="BM674" s="3">
        <v>38.607380020446726</v>
      </c>
      <c r="BN674" s="3">
        <v>38.490713353780052</v>
      </c>
      <c r="BO674" s="3">
        <v>37.057380020446715</v>
      </c>
      <c r="BP674" s="3">
        <v>36.374046687113392</v>
      </c>
      <c r="BQ674" s="3">
        <v>34.590713353780046</v>
      </c>
      <c r="BR674" s="3">
        <v>33.117380020446717</v>
      </c>
      <c r="BS674" s="3">
        <v>33.220713353780056</v>
      </c>
      <c r="BT674" s="3">
        <v>31.617380020446717</v>
      </c>
      <c r="BU674" s="3">
        <v>28.184046687113394</v>
      </c>
      <c r="BV674" s="3">
        <v>25.70071335378006</v>
      </c>
      <c r="BW674" s="3">
        <v>23.534046687113388</v>
      </c>
      <c r="BX674" s="3">
        <v>19.554046687113399</v>
      </c>
      <c r="BY674" s="3">
        <v>21.374046687113392</v>
      </c>
      <c r="BZ674" s="3">
        <v>25.304046687113399</v>
      </c>
      <c r="CA674" s="3">
        <v>9.4040466871133788</v>
      </c>
      <c r="CB674" s="3">
        <v>8.1407133537800576</v>
      </c>
      <c r="CC674" s="3">
        <v>8.8540466871133887</v>
      </c>
      <c r="CD674" s="3">
        <v>8.3607133537800564</v>
      </c>
      <c r="CE674" s="3">
        <v>8.7540466871133873</v>
      </c>
      <c r="CF674" s="3">
        <v>-0.93261997955328013</v>
      </c>
      <c r="CG674" s="3">
        <v>-1.4659533128866116</v>
      </c>
      <c r="CH674" s="3">
        <v>-2.5426199795532796</v>
      </c>
      <c r="CI674" s="13">
        <f>[1]!dbasum(RecData[[#This Row],[20]:[2000]],RecData[[#Headers],[20]:[2000]])</f>
        <v>39.747917790357462</v>
      </c>
      <c r="CJ674" s="14">
        <v>8443</v>
      </c>
      <c r="CK674" s="15" t="s">
        <v>249</v>
      </c>
      <c r="CL674" s="15">
        <f>RecData[[#This Row],[Start Time]]</f>
        <v>43270.184722222228</v>
      </c>
      <c r="CM674" s="16">
        <f>RecData[[#This Row],[Wind Speed avg]]</f>
        <v>0.73</v>
      </c>
      <c r="CN674" s="16">
        <f>RecData[[#This Row],[Wind Dir. avg]]</f>
        <v>176.1</v>
      </c>
      <c r="CO674" s="16">
        <f>RecData[[#This Row],[Amb. Humidity]]</f>
        <v>88.6</v>
      </c>
      <c r="CP674" s="16">
        <f>RecData[[#This Row],[Amb. Temperature]]</f>
        <v>10.7</v>
      </c>
      <c r="CQ674" s="17">
        <f>RecData[[#This Row],[Amb. Rain Gauge]]</f>
        <v>0</v>
      </c>
      <c r="CR674" s="4" t="s">
        <v>1</v>
      </c>
      <c r="CS674" s="4" t="s">
        <v>49</v>
      </c>
      <c r="CT674" s="70">
        <v>1620.22058105468</v>
      </c>
      <c r="CU674" s="70">
        <v>30.0002536773681</v>
      </c>
      <c r="CV674" s="70">
        <v>10.575231552124</v>
      </c>
      <c r="CW674" s="70">
        <v>15.320350646972599</v>
      </c>
      <c r="CX674" s="4"/>
      <c r="CY674" s="69"/>
      <c r="CZ674" s="2" t="b">
        <f>IF($DP$1="YES",IF(RecData[[#This Row],[Power (kW)]]&gt;=$CR$3, TRUE,FALSE),TRUE)</f>
        <v>1</v>
      </c>
      <c r="DA674" s="16">
        <f>MIN(MOD(180-ABS(ABS($DA$1-RecData[Yaw Angle (°)])-180),360),MOD(180-ABS(ABS($DB$1-RecData[Yaw Angle (°)])-180),360))</f>
        <v>22.470326899680543</v>
      </c>
      <c r="DB674" s="2" t="str">
        <f>IF($DP$2="None","None",IF(RecData[[#This Row],[Relative Wind Direction]]&lt;=45,"DW",IF(RecData[[#This Row],[Relative Wind Direction]]&lt;=135,"CW","UW")))</f>
        <v>DW</v>
      </c>
      <c r="DC674" s="61">
        <v>-1</v>
      </c>
      <c r="DD674" s="61">
        <v>-1</v>
      </c>
      <c r="DE674" s="18" t="b">
        <v>0</v>
      </c>
      <c r="DF674" s="2" t="b">
        <f>IF(OR(RecData[[#This Row],[WSpd_Avg '[m/s']]]-RecData[[#This Row],[Wind Speed min]]&gt;=$DF$3,RecData[[#This Row],[Wind Speed max]]-RecData[[#This Row],[WSpd_Avg '[m/s']]]&gt;=$DF$2),TRUE,FALSE)</f>
        <v>0</v>
      </c>
      <c r="DG674" s="2" t="b">
        <f>RecData[[#This Row],[Temperature '[°C']]]&lt;=-20</f>
        <v>0</v>
      </c>
      <c r="DH674" s="18" t="b">
        <f>NOT(OR(MOD(RecData[[#This Row],[TIMESTAMP]],1)&gt;0.91632,MOD(RecData[[#This Row],[TIMESTAMP]],1)&lt;0.208681))</f>
        <v>0</v>
      </c>
      <c r="DI674" s="18" t="b">
        <f>RecData[[#This Row],[Overall (dBA)]]-RecData[[#This Row],[L90]]&gt;=$DS$4</f>
        <v>0</v>
      </c>
      <c r="DJ674" s="18" t="b">
        <f>RecData[[#This Row],[Overall (dBA)]]&gt;$DS$2</f>
        <v>0</v>
      </c>
      <c r="DK674" s="18" t="b">
        <f>RecData[[#This Row],[Overall (dBA)]]&lt;$DS$3</f>
        <v>0</v>
      </c>
      <c r="DL6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4" s="2">
        <f>IF(AND(RecData[[#This Row],[Turbines ON/OFF]] = "OFF", NOT(OR(RecData[[#This Row],[Junk?]]="YES",RecData[[#This Row],[Gust?]],RecData[[#This Row],[Rain?]:[Min SPL Threshold?]]))),1,0)</f>
        <v>0</v>
      </c>
      <c r="DN674" s="16">
        <f>RecData[[#This Row],[dBA Sum]]</f>
        <v>39.747917790357462</v>
      </c>
      <c r="DO674" s="16">
        <f>RecData[[#This Row],[LAF90.0]]</f>
        <v>39</v>
      </c>
      <c r="DP674" s="55">
        <f>IF(AND(RecData[[#This Row],[Useable TON Data?]],RecData[[#This Row],[Turbines ON/OFF]]="ON"),RecData[[#This Row],[dBA Sum]],"")</f>
        <v>39.747917790357462</v>
      </c>
      <c r="DQ674" s="55" t="str">
        <f>IF(AND(RecData[[#This Row],[Useable Background Data?]],RecData[[#This Row],[Turbines ON/OFF]]="OFF"),RecData[[#This Row],[dBA Sum]],"")</f>
        <v/>
      </c>
      <c r="DR674" s="3">
        <f>IF(OR(RecData[[#This Row],[Useable TON Data?]],RecData[[#This Row],[Useable Background Data?]]),ROUND(RecData[[#This Row],[WSpd_Avg '[m/s']]],0),"")</f>
        <v>1</v>
      </c>
      <c r="DS674" s="85">
        <f>(0.00002)^2*(10^(RecData[[#This Row],[Overall (dBA)]]/10))</f>
        <v>3.7744334324072225E-6</v>
      </c>
    </row>
    <row r="675" spans="1:123" ht="15" x14ac:dyDescent="0.25">
      <c r="A675" s="3" t="s">
        <v>249</v>
      </c>
      <c r="B675" s="12">
        <v>43270.185416666674</v>
      </c>
      <c r="C675" s="3"/>
      <c r="D675" s="3">
        <v>40.9</v>
      </c>
      <c r="E675" s="3"/>
      <c r="F675" s="3"/>
      <c r="G675" s="3"/>
      <c r="H675" s="3"/>
      <c r="I675" s="3"/>
      <c r="J675" s="3"/>
      <c r="K675" s="3">
        <v>39.9</v>
      </c>
      <c r="L675" s="3"/>
      <c r="M675" s="3"/>
      <c r="N675" s="3">
        <v>166.3</v>
      </c>
      <c r="O675" s="3"/>
      <c r="P675" s="3"/>
      <c r="Q675" s="3">
        <v>0.84</v>
      </c>
      <c r="R675" s="3">
        <v>0.7</v>
      </c>
      <c r="S675" s="3">
        <v>1</v>
      </c>
      <c r="T675" s="3">
        <v>10.7</v>
      </c>
      <c r="U675" s="3">
        <v>88.4</v>
      </c>
      <c r="V675" s="3">
        <v>973.7</v>
      </c>
      <c r="W675" s="3">
        <v>0</v>
      </c>
      <c r="X675" s="3">
        <v>47.3</v>
      </c>
      <c r="Y675" s="3">
        <v>46.2</v>
      </c>
      <c r="Z675" s="3">
        <v>45.4</v>
      </c>
      <c r="AA675" s="3">
        <v>42.1</v>
      </c>
      <c r="AB675" s="3">
        <v>36.799999999999997</v>
      </c>
      <c r="AC675" s="3">
        <v>34.5</v>
      </c>
      <c r="AD675" s="3">
        <v>39.1</v>
      </c>
      <c r="AE675" s="3">
        <v>41.4</v>
      </c>
      <c r="AF675" s="3">
        <v>46.1</v>
      </c>
      <c r="AG675" s="3">
        <v>40.4</v>
      </c>
      <c r="AH675" s="3">
        <v>38.799999999999997</v>
      </c>
      <c r="AI675" s="3">
        <v>38.4</v>
      </c>
      <c r="AJ675" s="3">
        <v>37.700000000000003</v>
      </c>
      <c r="AK675" s="3">
        <v>35.6</v>
      </c>
      <c r="AL675" s="3">
        <v>33.9</v>
      </c>
      <c r="AM675" s="3">
        <v>34.200000000000003</v>
      </c>
      <c r="AN675" s="3">
        <v>32.6</v>
      </c>
      <c r="AO675" s="3">
        <v>28.9</v>
      </c>
      <c r="AP675" s="3">
        <v>26.7</v>
      </c>
      <c r="AQ675" s="3">
        <v>24.1</v>
      </c>
      <c r="AR675" s="3">
        <v>20.2</v>
      </c>
      <c r="AS675" s="3">
        <v>15.4</v>
      </c>
      <c r="AT675" s="3">
        <v>22.2</v>
      </c>
      <c r="AU675" s="3">
        <v>8.8000000000000007</v>
      </c>
      <c r="AV675" s="3">
        <v>8.5</v>
      </c>
      <c r="AW675" s="3">
        <v>9</v>
      </c>
      <c r="AX675" s="3">
        <v>9.1</v>
      </c>
      <c r="AY675" s="3">
        <v>9.3000000000000007</v>
      </c>
      <c r="AZ675" s="3">
        <v>0</v>
      </c>
      <c r="BA675" s="3">
        <v>0</v>
      </c>
      <c r="BB675" s="3">
        <v>0</v>
      </c>
      <c r="BC675" s="3">
        <v>40.869849600594591</v>
      </c>
      <c r="BD675" s="3">
        <v>47.330150399405397</v>
      </c>
      <c r="BE675" s="3">
        <v>46.230150399405403</v>
      </c>
      <c r="BF675" s="3">
        <v>44.190150399405411</v>
      </c>
      <c r="BG675" s="3">
        <v>41.216817066072082</v>
      </c>
      <c r="BH675" s="3">
        <v>36.056817066072071</v>
      </c>
      <c r="BI675" s="3">
        <v>34.170150399405401</v>
      </c>
      <c r="BJ675" s="3">
        <v>39.563483732738746</v>
      </c>
      <c r="BK675" s="3">
        <v>41.736817066072064</v>
      </c>
      <c r="BL675" s="3">
        <v>46.010150399405404</v>
      </c>
      <c r="BM675" s="3">
        <v>40.443483732738741</v>
      </c>
      <c r="BN675" s="3">
        <v>39.126817066072078</v>
      </c>
      <c r="BO675" s="3">
        <v>38.093483732738747</v>
      </c>
      <c r="BP675" s="3">
        <v>37.110150399405413</v>
      </c>
      <c r="BQ675" s="3">
        <v>35.426817066072061</v>
      </c>
      <c r="BR675" s="3">
        <v>34.053483732738741</v>
      </c>
      <c r="BS675" s="3">
        <v>34.15681706607208</v>
      </c>
      <c r="BT675" s="3">
        <v>32.753483732738744</v>
      </c>
      <c r="BU675" s="3">
        <v>29.020150399405409</v>
      </c>
      <c r="BV675" s="3">
        <v>26.536817066072075</v>
      </c>
      <c r="BW675" s="3">
        <v>24.470150399405412</v>
      </c>
      <c r="BX675" s="3">
        <v>20.490150399405408</v>
      </c>
      <c r="BY675" s="3">
        <v>15.510150399405404</v>
      </c>
      <c r="BZ675" s="3">
        <v>22.440150399405411</v>
      </c>
      <c r="CA675" s="3">
        <v>9.1401503994053996</v>
      </c>
      <c r="CB675" s="3">
        <v>8.2768170660720699</v>
      </c>
      <c r="CC675" s="3">
        <v>8.9901503994054082</v>
      </c>
      <c r="CD675" s="3">
        <v>8.3968170660720745</v>
      </c>
      <c r="CE675" s="3">
        <v>8.7901503994054053</v>
      </c>
      <c r="CF675" s="3">
        <v>-0.8965162672612621</v>
      </c>
      <c r="CG675" s="3">
        <v>-1.4298496005945935</v>
      </c>
      <c r="CH675" s="3">
        <v>-2.5065162672612615</v>
      </c>
      <c r="CI675" s="13">
        <f>[1]!dbasum(RecData[[#This Row],[20]:[2000]],RecData[[#Headers],[20]:[2000]])</f>
        <v>40.723470364811554</v>
      </c>
      <c r="CJ675" s="14">
        <v>8444</v>
      </c>
      <c r="CK675" s="15" t="s">
        <v>249</v>
      </c>
      <c r="CL675" s="15">
        <f>RecData[[#This Row],[Start Time]]</f>
        <v>43270.185416666674</v>
      </c>
      <c r="CM675" s="16">
        <f>RecData[[#This Row],[Wind Speed avg]]</f>
        <v>0.84</v>
      </c>
      <c r="CN675" s="16">
        <f>RecData[[#This Row],[Wind Dir. avg]]</f>
        <v>166.3</v>
      </c>
      <c r="CO675" s="16">
        <f>RecData[[#This Row],[Amb. Humidity]]</f>
        <v>88.4</v>
      </c>
      <c r="CP675" s="16">
        <f>RecData[[#This Row],[Amb. Temperature]]</f>
        <v>10.7</v>
      </c>
      <c r="CQ675" s="17">
        <f>RecData[[#This Row],[Amb. Rain Gauge]]</f>
        <v>0</v>
      </c>
      <c r="CR675" s="4" t="s">
        <v>1</v>
      </c>
      <c r="CS675" s="4" t="s">
        <v>49</v>
      </c>
      <c r="CT675" s="70">
        <v>1620.22058105468</v>
      </c>
      <c r="CU675" s="70">
        <v>30.0002536773681</v>
      </c>
      <c r="CV675" s="70">
        <v>10.575231552124</v>
      </c>
      <c r="CW675" s="70">
        <v>15.320350646972599</v>
      </c>
      <c r="CX675" s="4"/>
      <c r="CY675" s="69"/>
      <c r="CZ675" s="2" t="b">
        <f>IF($DP$1="YES",IF(RecData[[#This Row],[Power (kW)]]&gt;=$CR$3, TRUE,FALSE),TRUE)</f>
        <v>1</v>
      </c>
      <c r="DA675" s="16">
        <f>MIN(MOD(180-ABS(ABS($DA$1-RecData[Yaw Angle (°)])-180),360),MOD(180-ABS(ABS($DB$1-RecData[Yaw Angle (°)])-180),360))</f>
        <v>22.470326899680543</v>
      </c>
      <c r="DB675" s="2" t="str">
        <f>IF($DP$2="None","None",IF(RecData[[#This Row],[Relative Wind Direction]]&lt;=45,"DW",IF(RecData[[#This Row],[Relative Wind Direction]]&lt;=135,"CW","UW")))</f>
        <v>DW</v>
      </c>
      <c r="DC675" s="61">
        <f>IF($CL675-$CL674&gt;1/24,#REF!,IF(SUM($CQ674:$CQ675)&gt;$DS$1,$DS$5,DC676-1))</f>
        <v>-9</v>
      </c>
      <c r="DD675" s="61">
        <f>IF($CL676-$CL675&gt;1/24,#REF!,IF(SUM($CQ674:$CQ675)&gt;$DS$1,$DS$6,DD674-1))</f>
        <v>-2</v>
      </c>
      <c r="DE675" s="18" t="b">
        <v>0</v>
      </c>
      <c r="DF675" s="2" t="b">
        <f>IF(OR(RecData[[#This Row],[WSpd_Avg '[m/s']]]-RecData[[#This Row],[Wind Speed min]]&gt;=$DF$3,RecData[[#This Row],[Wind Speed max]]-RecData[[#This Row],[WSpd_Avg '[m/s']]]&gt;=$DF$2),TRUE,FALSE)</f>
        <v>0</v>
      </c>
      <c r="DG675" s="2" t="b">
        <f>RecData[[#This Row],[Temperature '[°C']]]&lt;=-20</f>
        <v>0</v>
      </c>
      <c r="DH675" s="18" t="b">
        <f>NOT(OR(MOD(RecData[[#This Row],[TIMESTAMP]],1)&gt;0.91632,MOD(RecData[[#This Row],[TIMESTAMP]],1)&lt;0.208681))</f>
        <v>0</v>
      </c>
      <c r="DI675" s="18" t="b">
        <f>RecData[[#This Row],[Overall (dBA)]]-RecData[[#This Row],[L90]]&gt;=$DS$4</f>
        <v>0</v>
      </c>
      <c r="DJ675" s="18" t="b">
        <f>RecData[[#This Row],[Overall (dBA)]]&gt;$DS$2</f>
        <v>0</v>
      </c>
      <c r="DK675" s="18" t="b">
        <f>RecData[[#This Row],[Overall (dBA)]]&lt;$DS$3</f>
        <v>0</v>
      </c>
      <c r="DL6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5" s="2">
        <f>IF(AND(RecData[[#This Row],[Turbines ON/OFF]] = "OFF", NOT(OR(RecData[[#This Row],[Junk?]]="YES",RecData[[#This Row],[Gust?]],RecData[[#This Row],[Rain?]:[Min SPL Threshold?]]))),1,0)</f>
        <v>0</v>
      </c>
      <c r="DN675" s="16">
        <f>RecData[[#This Row],[dBA Sum]]</f>
        <v>40.723470364811554</v>
      </c>
      <c r="DO675" s="16">
        <f>RecData[[#This Row],[LAF90.0]]</f>
        <v>39.9</v>
      </c>
      <c r="DP675" s="55">
        <f>IF(AND(RecData[[#This Row],[Useable TON Data?]],RecData[[#This Row],[Turbines ON/OFF]]="ON"),RecData[[#This Row],[dBA Sum]],"")</f>
        <v>40.723470364811554</v>
      </c>
      <c r="DQ675" s="55" t="str">
        <f>IF(AND(RecData[[#This Row],[Useable Background Data?]],RecData[[#This Row],[Turbines ON/OFF]]="OFF"),RecData[[#This Row],[dBA Sum]],"")</f>
        <v/>
      </c>
      <c r="DR675" s="3">
        <f>IF(OR(RecData[[#This Row],[Useable TON Data?]],RecData[[#This Row],[Useable Background Data?]]),ROUND(RecData[[#This Row],[WSpd_Avg '[m/s']]],0),"")</f>
        <v>1</v>
      </c>
      <c r="DS675" s="85">
        <f>(0.00002)^2*(10^(RecData[[#This Row],[Overall (dBA)]]/10))</f>
        <v>4.7250567376586579E-6</v>
      </c>
    </row>
    <row r="676" spans="1:123" ht="15" x14ac:dyDescent="0.25">
      <c r="A676" s="3" t="s">
        <v>249</v>
      </c>
      <c r="B676" s="12">
        <v>43270.186111111114</v>
      </c>
      <c r="C676" s="3"/>
      <c r="D676" s="3">
        <v>40.9</v>
      </c>
      <c r="E676" s="3"/>
      <c r="F676" s="3"/>
      <c r="G676" s="3"/>
      <c r="H676" s="3"/>
      <c r="I676" s="3"/>
      <c r="J676" s="3"/>
      <c r="K676" s="3">
        <v>39.5</v>
      </c>
      <c r="L676" s="3"/>
      <c r="M676" s="3"/>
      <c r="N676" s="3">
        <v>180.3</v>
      </c>
      <c r="O676" s="3"/>
      <c r="P676" s="3"/>
      <c r="Q676" s="3">
        <v>0.81</v>
      </c>
      <c r="R676" s="3">
        <v>0.5</v>
      </c>
      <c r="S676" s="3">
        <v>1</v>
      </c>
      <c r="T676" s="3">
        <v>10.7</v>
      </c>
      <c r="U676" s="3">
        <v>88.3</v>
      </c>
      <c r="V676" s="3">
        <v>973.7</v>
      </c>
      <c r="W676" s="3">
        <v>0</v>
      </c>
      <c r="X676" s="3">
        <v>47.1</v>
      </c>
      <c r="Y676" s="3">
        <v>45.9</v>
      </c>
      <c r="Z676" s="3">
        <v>45.6</v>
      </c>
      <c r="AA676" s="3">
        <v>41.8</v>
      </c>
      <c r="AB676" s="3">
        <v>36.299999999999997</v>
      </c>
      <c r="AC676" s="3">
        <v>34.6</v>
      </c>
      <c r="AD676" s="3">
        <v>39.200000000000003</v>
      </c>
      <c r="AE676" s="3">
        <v>41.6</v>
      </c>
      <c r="AF676" s="3">
        <v>45.9</v>
      </c>
      <c r="AG676" s="3">
        <v>39.299999999999997</v>
      </c>
      <c r="AH676" s="3">
        <v>39</v>
      </c>
      <c r="AI676" s="3">
        <v>38.200000000000003</v>
      </c>
      <c r="AJ676" s="3">
        <v>37.4</v>
      </c>
      <c r="AK676" s="3">
        <v>35.700000000000003</v>
      </c>
      <c r="AL676" s="3">
        <v>33.799999999999997</v>
      </c>
      <c r="AM676" s="3">
        <v>33.9</v>
      </c>
      <c r="AN676" s="3">
        <v>32.299999999999997</v>
      </c>
      <c r="AO676" s="3">
        <v>28.7</v>
      </c>
      <c r="AP676" s="3">
        <v>26.9</v>
      </c>
      <c r="AQ676" s="3">
        <v>23.8</v>
      </c>
      <c r="AR676" s="3">
        <v>19.899999999999999</v>
      </c>
      <c r="AS676" s="3">
        <v>21.3</v>
      </c>
      <c r="AT676" s="3">
        <v>26</v>
      </c>
      <c r="AU676" s="3">
        <v>9</v>
      </c>
      <c r="AV676" s="3">
        <v>8.4</v>
      </c>
      <c r="AW676" s="3">
        <v>8.9</v>
      </c>
      <c r="AX676" s="3">
        <v>9.1</v>
      </c>
      <c r="AY676" s="3">
        <v>9.3000000000000007</v>
      </c>
      <c r="AZ676" s="3">
        <v>0</v>
      </c>
      <c r="BA676" s="3">
        <v>0</v>
      </c>
      <c r="BB676" s="3">
        <v>0</v>
      </c>
      <c r="BC676" s="3">
        <v>40.847614900169049</v>
      </c>
      <c r="BD676" s="3">
        <v>47.152385099830951</v>
      </c>
      <c r="BE676" s="3">
        <v>45.952385099830948</v>
      </c>
      <c r="BF676" s="3">
        <v>44.412385099830942</v>
      </c>
      <c r="BG676" s="3">
        <v>40.939051766497613</v>
      </c>
      <c r="BH676" s="3">
        <v>35.579051766497614</v>
      </c>
      <c r="BI676" s="3">
        <v>34.292385099830952</v>
      </c>
      <c r="BJ676" s="3">
        <v>39.685718433164283</v>
      </c>
      <c r="BK676" s="3">
        <v>41.959051766497623</v>
      </c>
      <c r="BL676" s="3">
        <v>45.832385099830958</v>
      </c>
      <c r="BM676" s="3">
        <v>39.36571843316429</v>
      </c>
      <c r="BN676" s="3">
        <v>39.34905176649761</v>
      </c>
      <c r="BO676" s="3">
        <v>37.915718433164287</v>
      </c>
      <c r="BP676" s="3">
        <v>36.832385099830958</v>
      </c>
      <c r="BQ676" s="3">
        <v>35.549051766497612</v>
      </c>
      <c r="BR676" s="3">
        <v>33.975718433164275</v>
      </c>
      <c r="BS676" s="3">
        <v>33.879051766497611</v>
      </c>
      <c r="BT676" s="3">
        <v>32.475718433164275</v>
      </c>
      <c r="BU676" s="3">
        <v>28.842385099830949</v>
      </c>
      <c r="BV676" s="3">
        <v>26.75905176649762</v>
      </c>
      <c r="BW676" s="3">
        <v>24.192385099830958</v>
      </c>
      <c r="BX676" s="3">
        <v>20.212385099830954</v>
      </c>
      <c r="BY676" s="3">
        <v>21.432385099830952</v>
      </c>
      <c r="BZ676" s="3">
        <v>26.262385099830951</v>
      </c>
      <c r="CA676" s="3">
        <v>9.362385099830945</v>
      </c>
      <c r="CB676" s="3">
        <v>8.1990517664976181</v>
      </c>
      <c r="CC676" s="3">
        <v>8.9123850998309493</v>
      </c>
      <c r="CD676" s="3">
        <v>8.419051766497617</v>
      </c>
      <c r="CE676" s="3">
        <v>8.8123850998309479</v>
      </c>
      <c r="CF676" s="3">
        <v>-0.87428156683571956</v>
      </c>
      <c r="CG676" s="3">
        <v>-1.407614900169051</v>
      </c>
      <c r="CH676" s="3">
        <v>-2.484281566835719</v>
      </c>
      <c r="CI676" s="13">
        <f>[1]!dbasum(RecData[[#This Row],[20]:[2000]],RecData[[#Headers],[20]:[2000]])</f>
        <v>40.559801951074171</v>
      </c>
      <c r="CJ676" s="14">
        <v>8445</v>
      </c>
      <c r="CK676" s="15" t="s">
        <v>249</v>
      </c>
      <c r="CL676" s="15">
        <f>RecData[[#This Row],[Start Time]]</f>
        <v>43270.186111111114</v>
      </c>
      <c r="CM676" s="16">
        <f>RecData[[#This Row],[Wind Speed avg]]</f>
        <v>0.81</v>
      </c>
      <c r="CN676" s="16">
        <f>RecData[[#This Row],[Wind Dir. avg]]</f>
        <v>180.3</v>
      </c>
      <c r="CO676" s="16">
        <f>RecData[[#This Row],[Amb. Humidity]]</f>
        <v>88.3</v>
      </c>
      <c r="CP676" s="16">
        <f>RecData[[#This Row],[Amb. Temperature]]</f>
        <v>10.7</v>
      </c>
      <c r="CQ676" s="17">
        <f>RecData[[#This Row],[Amb. Rain Gauge]]</f>
        <v>0</v>
      </c>
      <c r="CR676" s="4" t="s">
        <v>1</v>
      </c>
      <c r="CS676" s="4" t="s">
        <v>49</v>
      </c>
      <c r="CT676" s="70">
        <v>1620.22058105468</v>
      </c>
      <c r="CU676" s="70">
        <v>30.0002536773681</v>
      </c>
      <c r="CV676" s="70">
        <v>10.575231552124</v>
      </c>
      <c r="CW676" s="70">
        <v>15.320350646972599</v>
      </c>
      <c r="CX676" s="4"/>
      <c r="CY676" s="69"/>
      <c r="CZ676" s="2" t="b">
        <f>IF($DP$1="YES",IF(RecData[[#This Row],[Power (kW)]]&gt;=$CR$3, TRUE,FALSE),TRUE)</f>
        <v>1</v>
      </c>
      <c r="DA676" s="16">
        <f>MIN(MOD(180-ABS(ABS($DA$1-RecData[Yaw Angle (°)])-180),360),MOD(180-ABS(ABS($DB$1-RecData[Yaw Angle (°)])-180),360))</f>
        <v>22.470326899680543</v>
      </c>
      <c r="DB676" s="2" t="str">
        <f>IF($DP$2="None","None",IF(RecData[[#This Row],[Relative Wind Direction]]&lt;=45,"DW",IF(RecData[[#This Row],[Relative Wind Direction]]&lt;=135,"CW","UW")))</f>
        <v>DW</v>
      </c>
      <c r="DC676" s="61">
        <f>IF($CL676-$CL674&gt;1/24,#REF!,IF(SUM($CQ674:$CQ676)&gt;$DS$1,$DS$5,DC677-1))</f>
        <v>-8</v>
      </c>
      <c r="DD676" s="61">
        <f>IF($CL677-$CL676&gt;1/24,#REF!,IF(SUM($CQ674:$CQ676)&gt;$DS$1,$DS$6,DD675-1))</f>
        <v>-3</v>
      </c>
      <c r="DE676" s="18" t="b">
        <v>0</v>
      </c>
      <c r="DF676" s="2" t="b">
        <f>IF(OR(RecData[[#This Row],[WSpd_Avg '[m/s']]]-RecData[[#This Row],[Wind Speed min]]&gt;=$DF$3,RecData[[#This Row],[Wind Speed max]]-RecData[[#This Row],[WSpd_Avg '[m/s']]]&gt;=$DF$2),TRUE,FALSE)</f>
        <v>0</v>
      </c>
      <c r="DG676" s="2" t="b">
        <f>RecData[[#This Row],[Temperature '[°C']]]&lt;=-20</f>
        <v>0</v>
      </c>
      <c r="DH676" s="18" t="b">
        <f>NOT(OR(MOD(RecData[[#This Row],[TIMESTAMP]],1)&gt;0.91632,MOD(RecData[[#This Row],[TIMESTAMP]],1)&lt;0.208681))</f>
        <v>0</v>
      </c>
      <c r="DI676" s="18" t="b">
        <f>RecData[[#This Row],[Overall (dBA)]]-RecData[[#This Row],[L90]]&gt;=$DS$4</f>
        <v>0</v>
      </c>
      <c r="DJ676" s="18" t="b">
        <f>RecData[[#This Row],[Overall (dBA)]]&gt;$DS$2</f>
        <v>0</v>
      </c>
      <c r="DK676" s="18" t="b">
        <f>RecData[[#This Row],[Overall (dBA)]]&lt;$DS$3</f>
        <v>0</v>
      </c>
      <c r="DL6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6" s="2">
        <f>IF(AND(RecData[[#This Row],[Turbines ON/OFF]] = "OFF", NOT(OR(RecData[[#This Row],[Junk?]]="YES",RecData[[#This Row],[Gust?]],RecData[[#This Row],[Rain?]:[Min SPL Threshold?]]))),1,0)</f>
        <v>0</v>
      </c>
      <c r="DN676" s="16">
        <f>RecData[[#This Row],[dBA Sum]]</f>
        <v>40.559801951074171</v>
      </c>
      <c r="DO676" s="16">
        <f>RecData[[#This Row],[LAF90.0]]</f>
        <v>39.5</v>
      </c>
      <c r="DP676" s="55">
        <f>IF(AND(RecData[[#This Row],[Useable TON Data?]],RecData[[#This Row],[Turbines ON/OFF]]="ON"),RecData[[#This Row],[dBA Sum]],"")</f>
        <v>40.559801951074171</v>
      </c>
      <c r="DQ676" s="55" t="str">
        <f>IF(AND(RecData[[#This Row],[Useable Background Data?]],RecData[[#This Row],[Turbines ON/OFF]]="OFF"),RecData[[#This Row],[dBA Sum]],"")</f>
        <v/>
      </c>
      <c r="DR676" s="3">
        <f>IF(OR(RecData[[#This Row],[Useable TON Data?]],RecData[[#This Row],[Useable Background Data?]]),ROUND(RecData[[#This Row],[WSpd_Avg '[m/s']]],0),"")</f>
        <v>1</v>
      </c>
      <c r="DS676" s="85">
        <f>(0.00002)^2*(10^(RecData[[#This Row],[Overall (dBA)]]/10))</f>
        <v>4.5503016336576048E-6</v>
      </c>
    </row>
    <row r="677" spans="1:123" ht="15" x14ac:dyDescent="0.25">
      <c r="A677" s="3" t="s">
        <v>249</v>
      </c>
      <c r="B677" s="12">
        <v>43270.186805555561</v>
      </c>
      <c r="C677" s="3"/>
      <c r="D677" s="3">
        <v>40.700000000000003</v>
      </c>
      <c r="E677" s="3"/>
      <c r="F677" s="3"/>
      <c r="G677" s="3"/>
      <c r="H677" s="3"/>
      <c r="I677" s="3"/>
      <c r="J677" s="3"/>
      <c r="K677" s="3">
        <v>38.9</v>
      </c>
      <c r="L677" s="3"/>
      <c r="M677" s="3"/>
      <c r="N677" s="3">
        <v>183.4</v>
      </c>
      <c r="O677" s="3"/>
      <c r="P677" s="3"/>
      <c r="Q677" s="3">
        <v>0.79</v>
      </c>
      <c r="R677" s="3">
        <v>0.6</v>
      </c>
      <c r="S677" s="3">
        <v>1</v>
      </c>
      <c r="T677" s="3">
        <v>10.8</v>
      </c>
      <c r="U677" s="3">
        <v>88</v>
      </c>
      <c r="V677" s="3">
        <v>973.7</v>
      </c>
      <c r="W677" s="3">
        <v>0</v>
      </c>
      <c r="X677" s="3">
        <v>47.9</v>
      </c>
      <c r="Y677" s="3">
        <v>46.3</v>
      </c>
      <c r="Z677" s="3">
        <v>45.6</v>
      </c>
      <c r="AA677" s="3">
        <v>42.2</v>
      </c>
      <c r="AB677" s="3">
        <v>37.6</v>
      </c>
      <c r="AC677" s="3">
        <v>35.200000000000003</v>
      </c>
      <c r="AD677" s="3">
        <v>39.9</v>
      </c>
      <c r="AE677" s="3">
        <v>41.7</v>
      </c>
      <c r="AF677" s="3">
        <v>45.9</v>
      </c>
      <c r="AG677" s="3">
        <v>39.5</v>
      </c>
      <c r="AH677" s="3">
        <v>39.200000000000003</v>
      </c>
      <c r="AI677" s="3">
        <v>38.1</v>
      </c>
      <c r="AJ677" s="3">
        <v>37.700000000000003</v>
      </c>
      <c r="AK677" s="3">
        <v>35.5</v>
      </c>
      <c r="AL677" s="3">
        <v>33.4</v>
      </c>
      <c r="AM677" s="3">
        <v>33.299999999999997</v>
      </c>
      <c r="AN677" s="3">
        <v>31.6</v>
      </c>
      <c r="AO677" s="3">
        <v>27.9</v>
      </c>
      <c r="AP677" s="3">
        <v>25.9</v>
      </c>
      <c r="AQ677" s="3">
        <v>22.8</v>
      </c>
      <c r="AR677" s="3">
        <v>18.899999999999999</v>
      </c>
      <c r="AS677" s="3">
        <v>23.4</v>
      </c>
      <c r="AT677" s="3">
        <v>26.8</v>
      </c>
      <c r="AU677" s="3">
        <v>9.6</v>
      </c>
      <c r="AV677" s="3">
        <v>8.5</v>
      </c>
      <c r="AW677" s="3">
        <v>8.9</v>
      </c>
      <c r="AX677" s="3">
        <v>9.1</v>
      </c>
      <c r="AY677" s="3">
        <v>9.3000000000000007</v>
      </c>
      <c r="AZ677" s="3">
        <v>0</v>
      </c>
      <c r="BA677" s="3">
        <v>0</v>
      </c>
      <c r="BB677" s="3">
        <v>0</v>
      </c>
      <c r="BC677" s="3">
        <v>40.647421939630405</v>
      </c>
      <c r="BD677" s="3">
        <v>47.952578060369589</v>
      </c>
      <c r="BE677" s="3">
        <v>46.352578060369595</v>
      </c>
      <c r="BF677" s="3">
        <v>44.412578060369597</v>
      </c>
      <c r="BG677" s="3">
        <v>41.339244727036274</v>
      </c>
      <c r="BH677" s="3">
        <v>36.879244727036266</v>
      </c>
      <c r="BI677" s="3">
        <v>34.892578060369601</v>
      </c>
      <c r="BJ677" s="3">
        <v>40.385911393702926</v>
      </c>
      <c r="BK677" s="3">
        <v>42.059244727036273</v>
      </c>
      <c r="BL677" s="3">
        <v>45.832578060369599</v>
      </c>
      <c r="BM677" s="3">
        <v>39.565911393702933</v>
      </c>
      <c r="BN677" s="3">
        <v>39.549244727036267</v>
      </c>
      <c r="BO677" s="3">
        <v>37.815911393702933</v>
      </c>
      <c r="BP677" s="3">
        <v>37.132578060369596</v>
      </c>
      <c r="BQ677" s="3">
        <v>35.349244727036265</v>
      </c>
      <c r="BR677" s="3">
        <v>33.575911393702924</v>
      </c>
      <c r="BS677" s="3">
        <v>33.279244727036271</v>
      </c>
      <c r="BT677" s="3">
        <v>31.775911393702941</v>
      </c>
      <c r="BU677" s="3">
        <v>28.042578060369593</v>
      </c>
      <c r="BV677" s="3">
        <v>25.759244727036261</v>
      </c>
      <c r="BW677" s="3">
        <v>23.192578060369598</v>
      </c>
      <c r="BX677" s="3">
        <v>19.212578060369601</v>
      </c>
      <c r="BY677" s="3">
        <v>23.532578060369602</v>
      </c>
      <c r="BZ677" s="3">
        <v>27.062578060369603</v>
      </c>
      <c r="CA677" s="3">
        <v>9.9625780603695944</v>
      </c>
      <c r="CB677" s="3">
        <v>8.2992447270362604</v>
      </c>
      <c r="CC677" s="3">
        <v>8.9125780603695972</v>
      </c>
      <c r="CD677" s="3">
        <v>8.419244727036272</v>
      </c>
      <c r="CE677" s="3">
        <v>8.8125780603695958</v>
      </c>
      <c r="CF677" s="3">
        <v>-0.87408860629707164</v>
      </c>
      <c r="CG677" s="3">
        <v>-1.4074219396304031</v>
      </c>
      <c r="CH677" s="3">
        <v>-2.4840886062970711</v>
      </c>
      <c r="CI677" s="13">
        <f>[1]!dbasum(RecData[[#This Row],[20]:[2000]],RecData[[#Headers],[20]:[2000]])</f>
        <v>40.246937305437712</v>
      </c>
      <c r="CJ677" s="14">
        <v>8446</v>
      </c>
      <c r="CK677" s="15" t="s">
        <v>249</v>
      </c>
      <c r="CL677" s="15">
        <f>RecData[[#This Row],[Start Time]]</f>
        <v>43270.186805555561</v>
      </c>
      <c r="CM677" s="16">
        <f>RecData[[#This Row],[Wind Speed avg]]</f>
        <v>0.79</v>
      </c>
      <c r="CN677" s="16">
        <f>RecData[[#This Row],[Wind Dir. avg]]</f>
        <v>183.4</v>
      </c>
      <c r="CO677" s="16">
        <f>RecData[[#This Row],[Amb. Humidity]]</f>
        <v>88</v>
      </c>
      <c r="CP677" s="16">
        <f>RecData[[#This Row],[Amb. Temperature]]</f>
        <v>10.8</v>
      </c>
      <c r="CQ677" s="17">
        <f>RecData[[#This Row],[Amb. Rain Gauge]]</f>
        <v>0</v>
      </c>
      <c r="CR677" s="4" t="s">
        <v>1</v>
      </c>
      <c r="CS677" s="4" t="s">
        <v>49</v>
      </c>
      <c r="CT677" s="70">
        <v>1620.22058105468</v>
      </c>
      <c r="CU677" s="70">
        <v>30.0002536773681</v>
      </c>
      <c r="CV677" s="70">
        <v>10.575231552124</v>
      </c>
      <c r="CW677" s="70">
        <v>15.320350646972599</v>
      </c>
      <c r="CX677" s="4"/>
      <c r="CY677" s="69"/>
      <c r="CZ677" s="2" t="b">
        <f>IF($DP$1="YES",IF(RecData[[#This Row],[Power (kW)]]&gt;=$CR$3, TRUE,FALSE),TRUE)</f>
        <v>1</v>
      </c>
      <c r="DA677" s="16">
        <f>MIN(MOD(180-ABS(ABS($DA$1-RecData[Yaw Angle (°)])-180),360),MOD(180-ABS(ABS($DB$1-RecData[Yaw Angle (°)])-180),360))</f>
        <v>22.470326899680543</v>
      </c>
      <c r="DB677" s="2" t="str">
        <f>IF($DP$2="None","None",IF(RecData[[#This Row],[Relative Wind Direction]]&lt;=45,"DW",IF(RecData[[#This Row],[Relative Wind Direction]]&lt;=135,"CW","UW")))</f>
        <v>DW</v>
      </c>
      <c r="DC677" s="61">
        <f>IF($CL677-$CL674&gt;1/24,#REF!,IF(SUM($CQ674:$CQ677)&gt;$DS$1,$DS$5,DC678-1))</f>
        <v>-7</v>
      </c>
      <c r="DD677" s="61">
        <f>IF($CL678-$CL677&gt;1/24,#REF!,IF(SUM($CQ674:$CQ677)&gt;$DS$1,$DS$6,DD676-1))</f>
        <v>-4</v>
      </c>
      <c r="DE677" s="18" t="b">
        <v>0</v>
      </c>
      <c r="DF677" s="2" t="b">
        <f>IF(OR(RecData[[#This Row],[WSpd_Avg '[m/s']]]-RecData[[#This Row],[Wind Speed min]]&gt;=$DF$3,RecData[[#This Row],[Wind Speed max]]-RecData[[#This Row],[WSpd_Avg '[m/s']]]&gt;=$DF$2),TRUE,FALSE)</f>
        <v>0</v>
      </c>
      <c r="DG677" s="2" t="b">
        <f>RecData[[#This Row],[Temperature '[°C']]]&lt;=-20</f>
        <v>0</v>
      </c>
      <c r="DH677" s="18" t="b">
        <f>NOT(OR(MOD(RecData[[#This Row],[TIMESTAMP]],1)&gt;0.91632,MOD(RecData[[#This Row],[TIMESTAMP]],1)&lt;0.208681))</f>
        <v>0</v>
      </c>
      <c r="DI677" s="18" t="b">
        <f>RecData[[#This Row],[Overall (dBA)]]-RecData[[#This Row],[L90]]&gt;=$DS$4</f>
        <v>0</v>
      </c>
      <c r="DJ677" s="18" t="b">
        <f>RecData[[#This Row],[Overall (dBA)]]&gt;$DS$2</f>
        <v>0</v>
      </c>
      <c r="DK677" s="18" t="b">
        <f>RecData[[#This Row],[Overall (dBA)]]&lt;$DS$3</f>
        <v>0</v>
      </c>
      <c r="DL6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7" s="2">
        <f>IF(AND(RecData[[#This Row],[Turbines ON/OFF]] = "OFF", NOT(OR(RecData[[#This Row],[Junk?]]="YES",RecData[[#This Row],[Gust?]],RecData[[#This Row],[Rain?]:[Min SPL Threshold?]]))),1,0)</f>
        <v>0</v>
      </c>
      <c r="DN677" s="16">
        <f>RecData[[#This Row],[dBA Sum]]</f>
        <v>40.246937305437712</v>
      </c>
      <c r="DO677" s="16">
        <f>RecData[[#This Row],[LAF90.0]]</f>
        <v>38.9</v>
      </c>
      <c r="DP677" s="55">
        <f>IF(AND(RecData[[#This Row],[Useable TON Data?]],RecData[[#This Row],[Turbines ON/OFF]]="ON"),RecData[[#This Row],[dBA Sum]],"")</f>
        <v>40.246937305437712</v>
      </c>
      <c r="DQ677" s="55" t="str">
        <f>IF(AND(RecData[[#This Row],[Useable Background Data?]],RecData[[#This Row],[Turbines ON/OFF]]="OFF"),RecData[[#This Row],[dBA Sum]],"")</f>
        <v/>
      </c>
      <c r="DR677" s="3">
        <f>IF(OR(RecData[[#This Row],[Useable TON Data?]],RecData[[#This Row],[Useable Background Data?]]),ROUND(RecData[[#This Row],[WSpd_Avg '[m/s']]],0),"")</f>
        <v>1</v>
      </c>
      <c r="DS677" s="85">
        <f>(0.00002)^2*(10^(RecData[[#This Row],[Overall (dBA)]]/10))</f>
        <v>4.2340279624771701E-6</v>
      </c>
    </row>
    <row r="678" spans="1:123" ht="15" x14ac:dyDescent="0.25">
      <c r="A678" s="3" t="s">
        <v>249</v>
      </c>
      <c r="B678" s="12">
        <v>43270.187500000007</v>
      </c>
      <c r="C678" s="3"/>
      <c r="D678" s="3">
        <v>40.700000000000003</v>
      </c>
      <c r="E678" s="3"/>
      <c r="F678" s="3"/>
      <c r="G678" s="3"/>
      <c r="H678" s="3"/>
      <c r="I678" s="3"/>
      <c r="J678" s="3"/>
      <c r="K678" s="3">
        <v>39.4</v>
      </c>
      <c r="L678" s="3"/>
      <c r="M678" s="3"/>
      <c r="N678" s="3">
        <v>181.8</v>
      </c>
      <c r="O678" s="3"/>
      <c r="P678" s="3"/>
      <c r="Q678" s="3">
        <v>0.75</v>
      </c>
      <c r="R678" s="3">
        <v>0.6</v>
      </c>
      <c r="S678" s="3">
        <v>1.1000000000000001</v>
      </c>
      <c r="T678" s="3">
        <v>10.9</v>
      </c>
      <c r="U678" s="3">
        <v>87.4</v>
      </c>
      <c r="V678" s="3">
        <v>973.7</v>
      </c>
      <c r="W678" s="3">
        <v>0</v>
      </c>
      <c r="X678" s="3">
        <v>46.9</v>
      </c>
      <c r="Y678" s="3">
        <v>46.6</v>
      </c>
      <c r="Z678" s="3">
        <v>45.9</v>
      </c>
      <c r="AA678" s="3">
        <v>42.5</v>
      </c>
      <c r="AB678" s="3">
        <v>37.5</v>
      </c>
      <c r="AC678" s="3">
        <v>34.299999999999997</v>
      </c>
      <c r="AD678" s="3">
        <v>39</v>
      </c>
      <c r="AE678" s="3">
        <v>41.2</v>
      </c>
      <c r="AF678" s="3">
        <v>45.5</v>
      </c>
      <c r="AG678" s="3">
        <v>39.700000000000003</v>
      </c>
      <c r="AH678" s="3">
        <v>38.9</v>
      </c>
      <c r="AI678" s="3">
        <v>37.9</v>
      </c>
      <c r="AJ678" s="3">
        <v>37.4</v>
      </c>
      <c r="AK678" s="3">
        <v>35.6</v>
      </c>
      <c r="AL678" s="3">
        <v>33.799999999999997</v>
      </c>
      <c r="AM678" s="3">
        <v>33.799999999999997</v>
      </c>
      <c r="AN678" s="3">
        <v>32.200000000000003</v>
      </c>
      <c r="AO678" s="3">
        <v>28.5</v>
      </c>
      <c r="AP678" s="3">
        <v>26.1</v>
      </c>
      <c r="AQ678" s="3">
        <v>23.4</v>
      </c>
      <c r="AR678" s="3">
        <v>19.5</v>
      </c>
      <c r="AS678" s="3">
        <v>18.5</v>
      </c>
      <c r="AT678" s="3">
        <v>26.4</v>
      </c>
      <c r="AU678" s="3">
        <v>14.2</v>
      </c>
      <c r="AV678" s="3">
        <v>9.8000000000000007</v>
      </c>
      <c r="AW678" s="3">
        <v>9</v>
      </c>
      <c r="AX678" s="3">
        <v>9.1</v>
      </c>
      <c r="AY678" s="3">
        <v>9.3000000000000007</v>
      </c>
      <c r="AZ678" s="3">
        <v>0</v>
      </c>
      <c r="BA678" s="3">
        <v>0</v>
      </c>
      <c r="BB678" s="3">
        <v>0</v>
      </c>
      <c r="BC678" s="3">
        <v>40.700826856311387</v>
      </c>
      <c r="BD678" s="3">
        <v>46.899173143688607</v>
      </c>
      <c r="BE678" s="3">
        <v>46.599173143688624</v>
      </c>
      <c r="BF678" s="3">
        <v>44.659173143688612</v>
      </c>
      <c r="BG678" s="3">
        <v>41.585839810355274</v>
      </c>
      <c r="BH678" s="3">
        <v>36.725839810355289</v>
      </c>
      <c r="BI678" s="3">
        <v>33.939173143688613</v>
      </c>
      <c r="BJ678" s="3">
        <v>39.432506477021938</v>
      </c>
      <c r="BK678" s="3">
        <v>41.50583981035529</v>
      </c>
      <c r="BL678" s="3">
        <v>45.379173143688625</v>
      </c>
      <c r="BM678" s="3">
        <v>39.712506477021954</v>
      </c>
      <c r="BN678" s="3">
        <v>39.195839810355288</v>
      </c>
      <c r="BO678" s="3">
        <v>37.562506477021948</v>
      </c>
      <c r="BP678" s="3">
        <v>36.779173143688617</v>
      </c>
      <c r="BQ678" s="3">
        <v>35.395839810355277</v>
      </c>
      <c r="BR678" s="3">
        <v>33.922506477021948</v>
      </c>
      <c r="BS678" s="3">
        <v>33.725839810355289</v>
      </c>
      <c r="BT678" s="3">
        <v>32.322506477021953</v>
      </c>
      <c r="BU678" s="3">
        <v>28.589173143688619</v>
      </c>
      <c r="BV678" s="3">
        <v>25.905839810355282</v>
      </c>
      <c r="BW678" s="3">
        <v>23.73917314368861</v>
      </c>
      <c r="BX678" s="3">
        <v>19.759173143688621</v>
      </c>
      <c r="BY678" s="3">
        <v>18.579173143688614</v>
      </c>
      <c r="BZ678" s="3">
        <v>26.609173143688615</v>
      </c>
      <c r="CA678" s="3">
        <v>14.509173143688606</v>
      </c>
      <c r="CB678" s="3">
        <v>9.5458398103552824</v>
      </c>
      <c r="CC678" s="3">
        <v>8.9591731436886164</v>
      </c>
      <c r="CD678" s="3">
        <v>8.3658398103552898</v>
      </c>
      <c r="CE678" s="3">
        <v>8.7591731436886135</v>
      </c>
      <c r="CF678" s="3">
        <v>-0.92749352297805387</v>
      </c>
      <c r="CG678" s="3">
        <v>-1.4608268563113853</v>
      </c>
      <c r="CH678" s="3">
        <v>-2.5374935229780533</v>
      </c>
      <c r="CI678" s="13">
        <f>[1]!dbasum(RecData[[#This Row],[20]:[2000]],RecData[[#Headers],[20]:[2000]])</f>
        <v>40.353482322270658</v>
      </c>
      <c r="CJ678" s="14">
        <v>8447</v>
      </c>
      <c r="CK678" s="15" t="s">
        <v>249</v>
      </c>
      <c r="CL678" s="15">
        <f>RecData[[#This Row],[Start Time]]</f>
        <v>43270.187500000007</v>
      </c>
      <c r="CM678" s="16">
        <f>RecData[[#This Row],[Wind Speed avg]]</f>
        <v>0.75</v>
      </c>
      <c r="CN678" s="16">
        <f>RecData[[#This Row],[Wind Dir. avg]]</f>
        <v>181.8</v>
      </c>
      <c r="CO678" s="16">
        <f>RecData[[#This Row],[Amb. Humidity]]</f>
        <v>87.4</v>
      </c>
      <c r="CP678" s="16">
        <f>RecData[[#This Row],[Amb. Temperature]]</f>
        <v>10.9</v>
      </c>
      <c r="CQ678" s="17">
        <f>RecData[[#This Row],[Amb. Rain Gauge]]</f>
        <v>0</v>
      </c>
      <c r="CR678" s="4" t="s">
        <v>1</v>
      </c>
      <c r="CS678" s="4" t="s">
        <v>49</v>
      </c>
      <c r="CT678" s="70">
        <v>1620.22058105468</v>
      </c>
      <c r="CU678" s="70">
        <v>30.0002536773681</v>
      </c>
      <c r="CV678" s="70">
        <v>10.575231552124</v>
      </c>
      <c r="CW678" s="70">
        <v>15.320350646972599</v>
      </c>
      <c r="CX678" s="4"/>
      <c r="CY678" s="69"/>
      <c r="CZ678" s="2" t="b">
        <f>IF($DP$1="YES",IF(RecData[[#This Row],[Power (kW)]]&gt;=$CR$3, TRUE,FALSE),TRUE)</f>
        <v>1</v>
      </c>
      <c r="DA678" s="16">
        <f>MIN(MOD(180-ABS(ABS($DA$1-RecData[Yaw Angle (°)])-180),360),MOD(180-ABS(ABS($DB$1-RecData[Yaw Angle (°)])-180),360))</f>
        <v>22.470326899680543</v>
      </c>
      <c r="DB678" s="2" t="str">
        <f>IF($DP$2="None","None",IF(RecData[[#This Row],[Relative Wind Direction]]&lt;=45,"DW",IF(RecData[[#This Row],[Relative Wind Direction]]&lt;=135,"CW","UW")))</f>
        <v>DW</v>
      </c>
      <c r="DC678" s="61">
        <f>IF($CL678-$CL674&gt;1/24,#REF!,IF(SUM($CQ674:$CQ678)&gt;$DS$1,$DS$5,DC679-1))</f>
        <v>-6</v>
      </c>
      <c r="DD678" s="61">
        <f>IF($CL679-$CL678&gt;1/24,#REF!,IF(SUM($CQ674:$CQ678)&gt;$DS$1,$DS$6,DD677-1))</f>
        <v>-5</v>
      </c>
      <c r="DE678" s="18" t="b">
        <v>0</v>
      </c>
      <c r="DF678" s="2" t="b">
        <f>IF(OR(RecData[[#This Row],[WSpd_Avg '[m/s']]]-RecData[[#This Row],[Wind Speed min]]&gt;=$DF$3,RecData[[#This Row],[Wind Speed max]]-RecData[[#This Row],[WSpd_Avg '[m/s']]]&gt;=$DF$2),TRUE,FALSE)</f>
        <v>0</v>
      </c>
      <c r="DG678" s="2" t="b">
        <f>RecData[[#This Row],[Temperature '[°C']]]&lt;=-20</f>
        <v>0</v>
      </c>
      <c r="DH678" s="18" t="b">
        <f>NOT(OR(MOD(RecData[[#This Row],[TIMESTAMP]],1)&gt;0.91632,MOD(RecData[[#This Row],[TIMESTAMP]],1)&lt;0.208681))</f>
        <v>0</v>
      </c>
      <c r="DI678" s="18" t="b">
        <f>RecData[[#This Row],[Overall (dBA)]]-RecData[[#This Row],[L90]]&gt;=$DS$4</f>
        <v>0</v>
      </c>
      <c r="DJ678" s="18" t="b">
        <f>RecData[[#This Row],[Overall (dBA)]]&gt;$DS$2</f>
        <v>0</v>
      </c>
      <c r="DK678" s="18" t="b">
        <f>RecData[[#This Row],[Overall (dBA)]]&lt;$DS$3</f>
        <v>0</v>
      </c>
      <c r="DL6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8" s="2">
        <f>IF(AND(RecData[[#This Row],[Turbines ON/OFF]] = "OFF", NOT(OR(RecData[[#This Row],[Junk?]]="YES",RecData[[#This Row],[Gust?]],RecData[[#This Row],[Rain?]:[Min SPL Threshold?]]))),1,0)</f>
        <v>0</v>
      </c>
      <c r="DN678" s="16">
        <f>RecData[[#This Row],[dBA Sum]]</f>
        <v>40.353482322270658</v>
      </c>
      <c r="DO678" s="16">
        <f>RecData[[#This Row],[LAF90.0]]</f>
        <v>39.4</v>
      </c>
      <c r="DP678" s="55">
        <f>IF(AND(RecData[[#This Row],[Useable TON Data?]],RecData[[#This Row],[Turbines ON/OFF]]="ON"),RecData[[#This Row],[dBA Sum]],"")</f>
        <v>40.353482322270658</v>
      </c>
      <c r="DQ678" s="55" t="str">
        <f>IF(AND(RecData[[#This Row],[Useable Background Data?]],RecData[[#This Row],[Turbines ON/OFF]]="OFF"),RecData[[#This Row],[dBA Sum]],"")</f>
        <v/>
      </c>
      <c r="DR678" s="3">
        <f>IF(OR(RecData[[#This Row],[Useable TON Data?]],RecData[[#This Row],[Useable Background Data?]]),ROUND(RecData[[#This Row],[WSpd_Avg '[m/s']]],0),"")</f>
        <v>1</v>
      </c>
      <c r="DS678" s="85">
        <f>(0.00002)^2*(10^(RecData[[#This Row],[Overall (dBA)]]/10))</f>
        <v>4.3391855695186048E-6</v>
      </c>
    </row>
    <row r="679" spans="1:123" ht="15" x14ac:dyDescent="0.25">
      <c r="A679" s="3" t="s">
        <v>249</v>
      </c>
      <c r="B679" s="12">
        <v>43270.188194444447</v>
      </c>
      <c r="C679" s="3"/>
      <c r="D679" s="3">
        <v>40.4</v>
      </c>
      <c r="E679" s="3"/>
      <c r="F679" s="3"/>
      <c r="G679" s="3"/>
      <c r="H679" s="3"/>
      <c r="I679" s="3"/>
      <c r="J679" s="3"/>
      <c r="K679" s="3">
        <v>39.299999999999997</v>
      </c>
      <c r="L679" s="3"/>
      <c r="M679" s="3"/>
      <c r="N679" s="3">
        <v>170</v>
      </c>
      <c r="O679" s="3"/>
      <c r="P679" s="3"/>
      <c r="Q679" s="3">
        <v>0.79</v>
      </c>
      <c r="R679" s="3">
        <v>0.5</v>
      </c>
      <c r="S679" s="3">
        <v>0.9</v>
      </c>
      <c r="T679" s="3">
        <v>11</v>
      </c>
      <c r="U679" s="3">
        <v>86.8</v>
      </c>
      <c r="V679" s="3">
        <v>973.8</v>
      </c>
      <c r="W679" s="3">
        <v>0</v>
      </c>
      <c r="X679" s="3">
        <v>46.4</v>
      </c>
      <c r="Y679" s="3">
        <v>45.7</v>
      </c>
      <c r="Z679" s="3">
        <v>44.9</v>
      </c>
      <c r="AA679" s="3">
        <v>41.6</v>
      </c>
      <c r="AB679" s="3">
        <v>36.299999999999997</v>
      </c>
      <c r="AC679" s="3">
        <v>34.6</v>
      </c>
      <c r="AD679" s="3">
        <v>38.700000000000003</v>
      </c>
      <c r="AE679" s="3">
        <v>40.9</v>
      </c>
      <c r="AF679" s="3">
        <v>46.2</v>
      </c>
      <c r="AG679" s="3">
        <v>39.6</v>
      </c>
      <c r="AH679" s="3">
        <v>38.6</v>
      </c>
      <c r="AI679" s="3">
        <v>37.9</v>
      </c>
      <c r="AJ679" s="3">
        <v>37</v>
      </c>
      <c r="AK679" s="3">
        <v>35.200000000000003</v>
      </c>
      <c r="AL679" s="3">
        <v>33.4</v>
      </c>
      <c r="AM679" s="3">
        <v>33.5</v>
      </c>
      <c r="AN679" s="3">
        <v>31.7</v>
      </c>
      <c r="AO679" s="3">
        <v>28.3</v>
      </c>
      <c r="AP679" s="3">
        <v>26.3</v>
      </c>
      <c r="AQ679" s="3">
        <v>23.3</v>
      </c>
      <c r="AR679" s="3">
        <v>19.5</v>
      </c>
      <c r="AS679" s="3">
        <v>15.8</v>
      </c>
      <c r="AT679" s="3">
        <v>24.1</v>
      </c>
      <c r="AU679" s="3">
        <v>9.1</v>
      </c>
      <c r="AV679" s="3">
        <v>8.5</v>
      </c>
      <c r="AW679" s="3">
        <v>8.9</v>
      </c>
      <c r="AX679" s="3">
        <v>9.1</v>
      </c>
      <c r="AY679" s="3">
        <v>9.3000000000000007</v>
      </c>
      <c r="AZ679" s="3">
        <v>0</v>
      </c>
      <c r="BA679" s="3">
        <v>0</v>
      </c>
      <c r="BB679" s="3">
        <v>0</v>
      </c>
      <c r="BC679" s="3">
        <v>40.391969520169027</v>
      </c>
      <c r="BD679" s="3">
        <v>46.40803047983097</v>
      </c>
      <c r="BE679" s="3">
        <v>45.708030479830967</v>
      </c>
      <c r="BF679" s="3">
        <v>43.668030479830975</v>
      </c>
      <c r="BG679" s="3">
        <v>40.694697146497646</v>
      </c>
      <c r="BH679" s="3">
        <v>35.534697146497635</v>
      </c>
      <c r="BI679" s="3">
        <v>34.248030479830973</v>
      </c>
      <c r="BJ679" s="3">
        <v>39.141363813164304</v>
      </c>
      <c r="BK679" s="3">
        <v>41.214697146497628</v>
      </c>
      <c r="BL679" s="3">
        <v>46.088030479830977</v>
      </c>
      <c r="BM679" s="3">
        <v>39.621363813164308</v>
      </c>
      <c r="BN679" s="3">
        <v>38.904697146497639</v>
      </c>
      <c r="BO679" s="3">
        <v>37.571363813164311</v>
      </c>
      <c r="BP679" s="3">
        <v>36.388030479830974</v>
      </c>
      <c r="BQ679" s="3">
        <v>35.004697146497634</v>
      </c>
      <c r="BR679" s="3">
        <v>33.531363813164305</v>
      </c>
      <c r="BS679" s="3">
        <v>33.434697146497641</v>
      </c>
      <c r="BT679" s="3">
        <v>31.831363813164302</v>
      </c>
      <c r="BU679" s="3">
        <v>28.398030479830979</v>
      </c>
      <c r="BV679" s="3">
        <v>26.114697146497633</v>
      </c>
      <c r="BW679" s="3">
        <v>23.648030479830979</v>
      </c>
      <c r="BX679" s="3">
        <v>19.768030479830976</v>
      </c>
      <c r="BY679" s="3">
        <v>15.888030479830974</v>
      </c>
      <c r="BZ679" s="3">
        <v>24.318030479830981</v>
      </c>
      <c r="CA679" s="3">
        <v>9.4180304798309606</v>
      </c>
      <c r="CB679" s="3">
        <v>8.2546971464976338</v>
      </c>
      <c r="CC679" s="3">
        <v>8.8680304798309706</v>
      </c>
      <c r="CD679" s="3">
        <v>8.3746971464976383</v>
      </c>
      <c r="CE679" s="3">
        <v>8.7680304798309692</v>
      </c>
      <c r="CF679" s="3">
        <v>-0.91863618683569825</v>
      </c>
      <c r="CG679" s="3">
        <v>-1.4519695201690297</v>
      </c>
      <c r="CH679" s="3">
        <v>-2.5286361868356977</v>
      </c>
      <c r="CI679" s="13">
        <f>[1]!dbasum(RecData[[#This Row],[20]:[2000]],RecData[[#Headers],[20]:[2000]])</f>
        <v>40.158659114372817</v>
      </c>
      <c r="CJ679" s="14">
        <v>8448</v>
      </c>
      <c r="CK679" s="15" t="s">
        <v>249</v>
      </c>
      <c r="CL679" s="15">
        <f>RecData[[#This Row],[Start Time]]</f>
        <v>43270.188194444447</v>
      </c>
      <c r="CM679" s="16">
        <f>RecData[[#This Row],[Wind Speed avg]]</f>
        <v>0.79</v>
      </c>
      <c r="CN679" s="16">
        <f>RecData[[#This Row],[Wind Dir. avg]]</f>
        <v>170</v>
      </c>
      <c r="CO679" s="16">
        <f>RecData[[#This Row],[Amb. Humidity]]</f>
        <v>86.8</v>
      </c>
      <c r="CP679" s="16">
        <f>RecData[[#This Row],[Amb. Temperature]]</f>
        <v>11</v>
      </c>
      <c r="CQ679" s="17">
        <f>RecData[[#This Row],[Amb. Rain Gauge]]</f>
        <v>0</v>
      </c>
      <c r="CR679" s="4" t="s">
        <v>1</v>
      </c>
      <c r="CS679" s="4" t="s">
        <v>49</v>
      </c>
      <c r="CT679" s="70">
        <v>1552.58166503906</v>
      </c>
      <c r="CU679" s="70">
        <v>30.000257492065401</v>
      </c>
      <c r="CV679" s="70">
        <v>9.9623270034790004</v>
      </c>
      <c r="CW679" s="70">
        <v>15.2603359222412</v>
      </c>
      <c r="CX679" s="4"/>
      <c r="CY679" s="69"/>
      <c r="CZ679" s="2" t="b">
        <f>IF($DP$1="YES",IF(RecData[[#This Row],[Power (kW)]]&gt;=$CR$3, TRUE,FALSE),TRUE)</f>
        <v>1</v>
      </c>
      <c r="DA679" s="16">
        <f>MIN(MOD(180-ABS(ABS($DA$1-RecData[Yaw Angle (°)])-180),360),MOD(180-ABS(ABS($DB$1-RecData[Yaw Angle (°)])-180),360))</f>
        <v>22.470330714377837</v>
      </c>
      <c r="DB679" s="2" t="str">
        <f>IF($DP$2="None","None",IF(RecData[[#This Row],[Relative Wind Direction]]&lt;=45,"DW",IF(RecData[[#This Row],[Relative Wind Direction]]&lt;=135,"CW","UW")))</f>
        <v>DW</v>
      </c>
      <c r="DC679" s="61">
        <f>IF($CL679-$CL675&gt;1/24,#REF!,IF(SUM($CQ675:$CQ679)&gt;$DS$1,$DS$5,DC680-1))</f>
        <v>-5</v>
      </c>
      <c r="DD679" s="61">
        <f>IF($CL680-$CL679&gt;1/24,#REF!,IF(SUM($CQ675:$CQ679)&gt;$DS$1,$DS$6,DD678-1))</f>
        <v>-6</v>
      </c>
      <c r="DE679" s="18" t="b">
        <v>0</v>
      </c>
      <c r="DF679" s="2" t="b">
        <f>IF(OR(RecData[[#This Row],[WSpd_Avg '[m/s']]]-RecData[[#This Row],[Wind Speed min]]&gt;=$DF$3,RecData[[#This Row],[Wind Speed max]]-RecData[[#This Row],[WSpd_Avg '[m/s']]]&gt;=$DF$2),TRUE,FALSE)</f>
        <v>0</v>
      </c>
      <c r="DG679" s="2" t="b">
        <f>RecData[[#This Row],[Temperature '[°C']]]&lt;=-20</f>
        <v>0</v>
      </c>
      <c r="DH679" s="18" t="b">
        <f>NOT(OR(MOD(RecData[[#This Row],[TIMESTAMP]],1)&gt;0.91632,MOD(RecData[[#This Row],[TIMESTAMP]],1)&lt;0.208681))</f>
        <v>0</v>
      </c>
      <c r="DI679" s="18" t="b">
        <f>RecData[[#This Row],[Overall (dBA)]]-RecData[[#This Row],[L90]]&gt;=$DS$4</f>
        <v>0</v>
      </c>
      <c r="DJ679" s="18" t="b">
        <f>RecData[[#This Row],[Overall (dBA)]]&gt;$DS$2</f>
        <v>0</v>
      </c>
      <c r="DK679" s="18" t="b">
        <f>RecData[[#This Row],[Overall (dBA)]]&lt;$DS$3</f>
        <v>0</v>
      </c>
      <c r="DL6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79" s="2">
        <f>IF(AND(RecData[[#This Row],[Turbines ON/OFF]] = "OFF", NOT(OR(RecData[[#This Row],[Junk?]]="YES",RecData[[#This Row],[Gust?]],RecData[[#This Row],[Rain?]:[Min SPL Threshold?]]))),1,0)</f>
        <v>0</v>
      </c>
      <c r="DN679" s="16">
        <f>RecData[[#This Row],[dBA Sum]]</f>
        <v>40.158659114372817</v>
      </c>
      <c r="DO679" s="16">
        <f>RecData[[#This Row],[LAF90.0]]</f>
        <v>39.299999999999997</v>
      </c>
      <c r="DP679" s="55">
        <f>IF(AND(RecData[[#This Row],[Useable TON Data?]],RecData[[#This Row],[Turbines ON/OFF]]="ON"),RecData[[#This Row],[dBA Sum]],"")</f>
        <v>40.158659114372817</v>
      </c>
      <c r="DQ679" s="55" t="str">
        <f>IF(AND(RecData[[#This Row],[Useable Background Data?]],RecData[[#This Row],[Turbines ON/OFF]]="OFF"),RecData[[#This Row],[dBA Sum]],"")</f>
        <v/>
      </c>
      <c r="DR679" s="3">
        <f>IF(OR(RecData[[#This Row],[Useable TON Data?]],RecData[[#This Row],[Useable Background Data?]]),ROUND(RecData[[#This Row],[WSpd_Avg '[m/s']]],0),"")</f>
        <v>1</v>
      </c>
      <c r="DS679" s="85">
        <f>(0.00002)^2*(10^(RecData[[#This Row],[Overall (dBA)]]/10))</f>
        <v>4.1488325121151069E-6</v>
      </c>
    </row>
    <row r="680" spans="1:123" ht="15" x14ac:dyDescent="0.25">
      <c r="A680" s="3" t="s">
        <v>249</v>
      </c>
      <c r="B680" s="12">
        <v>43270.188888888893</v>
      </c>
      <c r="C680" s="3"/>
      <c r="D680" s="3">
        <v>40.200000000000003</v>
      </c>
      <c r="E680" s="3"/>
      <c r="F680" s="3"/>
      <c r="G680" s="3"/>
      <c r="H680" s="3"/>
      <c r="I680" s="3"/>
      <c r="J680" s="3"/>
      <c r="K680" s="3">
        <v>38.9</v>
      </c>
      <c r="L680" s="3"/>
      <c r="M680" s="3"/>
      <c r="N680" s="3">
        <v>177.6</v>
      </c>
      <c r="O680" s="3"/>
      <c r="P680" s="3"/>
      <c r="Q680" s="3">
        <v>0.68</v>
      </c>
      <c r="R680" s="3">
        <v>0.5</v>
      </c>
      <c r="S680" s="3">
        <v>0.8</v>
      </c>
      <c r="T680" s="3">
        <v>11.1</v>
      </c>
      <c r="U680" s="3">
        <v>86.3</v>
      </c>
      <c r="V680" s="3">
        <v>973.8</v>
      </c>
      <c r="W680" s="3">
        <v>0</v>
      </c>
      <c r="X680" s="3">
        <v>46.8</v>
      </c>
      <c r="Y680" s="3">
        <v>45.9</v>
      </c>
      <c r="Z680" s="3">
        <v>45.1</v>
      </c>
      <c r="AA680" s="3">
        <v>41.1</v>
      </c>
      <c r="AB680" s="3">
        <v>36.200000000000003</v>
      </c>
      <c r="AC680" s="3">
        <v>34.4</v>
      </c>
      <c r="AD680" s="3">
        <v>38.5</v>
      </c>
      <c r="AE680" s="3">
        <v>40.9</v>
      </c>
      <c r="AF680" s="3">
        <v>46.5</v>
      </c>
      <c r="AG680" s="3">
        <v>39.1</v>
      </c>
      <c r="AH680" s="3">
        <v>38.5</v>
      </c>
      <c r="AI680" s="3">
        <v>37.9</v>
      </c>
      <c r="AJ680" s="3">
        <v>37.1</v>
      </c>
      <c r="AK680" s="3">
        <v>35.299999999999997</v>
      </c>
      <c r="AL680" s="3">
        <v>33.4</v>
      </c>
      <c r="AM680" s="3">
        <v>33.299999999999997</v>
      </c>
      <c r="AN680" s="3">
        <v>31.2</v>
      </c>
      <c r="AO680" s="3">
        <v>27.6</v>
      </c>
      <c r="AP680" s="3">
        <v>25.9</v>
      </c>
      <c r="AQ680" s="3">
        <v>22.7</v>
      </c>
      <c r="AR680" s="3">
        <v>18.899999999999999</v>
      </c>
      <c r="AS680" s="3">
        <v>14.4</v>
      </c>
      <c r="AT680" s="3">
        <v>21.3</v>
      </c>
      <c r="AU680" s="3">
        <v>8.8000000000000007</v>
      </c>
      <c r="AV680" s="3">
        <v>8.5</v>
      </c>
      <c r="AW680" s="3">
        <v>8.9</v>
      </c>
      <c r="AX680" s="3">
        <v>9.1</v>
      </c>
      <c r="AY680" s="3">
        <v>9.3000000000000007</v>
      </c>
      <c r="AZ680" s="3">
        <v>0</v>
      </c>
      <c r="BA680" s="3">
        <v>0</v>
      </c>
      <c r="BB680" s="3">
        <v>0</v>
      </c>
      <c r="BC680" s="3">
        <v>40.185544016243149</v>
      </c>
      <c r="BD680" s="3">
        <v>46.814455983756851</v>
      </c>
      <c r="BE680" s="3">
        <v>45.914455983756845</v>
      </c>
      <c r="BF680" s="3">
        <v>43.874455983756853</v>
      </c>
      <c r="BG680" s="3">
        <v>40.201122650423521</v>
      </c>
      <c r="BH680" s="3">
        <v>35.441122650423516</v>
      </c>
      <c r="BI680" s="3">
        <v>34.05445598375686</v>
      </c>
      <c r="BJ680" s="3">
        <v>38.947789317090177</v>
      </c>
      <c r="BK680" s="3">
        <v>41.221122650423517</v>
      </c>
      <c r="BL680" s="3">
        <v>46.394455983756863</v>
      </c>
      <c r="BM680" s="3">
        <v>39.127789317090183</v>
      </c>
      <c r="BN680" s="3">
        <v>38.81112265042352</v>
      </c>
      <c r="BO680" s="3">
        <v>37.577789317090186</v>
      </c>
      <c r="BP680" s="3">
        <v>36.494455983756858</v>
      </c>
      <c r="BQ680" s="3">
        <v>35.111122650423503</v>
      </c>
      <c r="BR680" s="3">
        <v>33.53778931709018</v>
      </c>
      <c r="BS680" s="3">
        <v>33.241122650423527</v>
      </c>
      <c r="BT680" s="3">
        <v>31.337789317090191</v>
      </c>
      <c r="BU680" s="3">
        <v>27.704455983756866</v>
      </c>
      <c r="BV680" s="3">
        <v>25.721122650423517</v>
      </c>
      <c r="BW680" s="3">
        <v>23.05445598375686</v>
      </c>
      <c r="BX680" s="3">
        <v>19.174455983756857</v>
      </c>
      <c r="BY680" s="3">
        <v>14.494455983756851</v>
      </c>
      <c r="BZ680" s="3">
        <v>21.524455983756859</v>
      </c>
      <c r="CA680" s="3">
        <v>9.124455983756846</v>
      </c>
      <c r="CB680" s="3">
        <v>8.2611226504235162</v>
      </c>
      <c r="CC680" s="3">
        <v>8.8744559837568531</v>
      </c>
      <c r="CD680" s="3">
        <v>8.3811226504235279</v>
      </c>
      <c r="CE680" s="3">
        <v>8.7744559837568517</v>
      </c>
      <c r="CF680" s="3">
        <v>-0.91221068290981577</v>
      </c>
      <c r="CG680" s="3">
        <v>-1.4455440162431472</v>
      </c>
      <c r="CH680" s="3">
        <v>-2.5222106829098152</v>
      </c>
      <c r="CI680" s="13">
        <f>[1]!dbasum(RecData[[#This Row],[20]:[2000]],RecData[[#Headers],[20]:[2000]])</f>
        <v>40.017086908440277</v>
      </c>
      <c r="CJ680" s="14">
        <v>8449</v>
      </c>
      <c r="CK680" s="15" t="s">
        <v>249</v>
      </c>
      <c r="CL680" s="15">
        <f>RecData[[#This Row],[Start Time]]</f>
        <v>43270.188888888893</v>
      </c>
      <c r="CM680" s="16">
        <f>RecData[[#This Row],[Wind Speed avg]]</f>
        <v>0.68</v>
      </c>
      <c r="CN680" s="16">
        <f>RecData[[#This Row],[Wind Dir. avg]]</f>
        <v>177.6</v>
      </c>
      <c r="CO680" s="16">
        <f>RecData[[#This Row],[Amb. Humidity]]</f>
        <v>86.3</v>
      </c>
      <c r="CP680" s="16">
        <f>RecData[[#This Row],[Amb. Temperature]]</f>
        <v>11.1</v>
      </c>
      <c r="CQ680" s="17">
        <f>RecData[[#This Row],[Amb. Rain Gauge]]</f>
        <v>0</v>
      </c>
      <c r="CR680" s="4" t="s">
        <v>1</v>
      </c>
      <c r="CS680" s="4" t="s">
        <v>49</v>
      </c>
      <c r="CT680" s="70">
        <v>1552.58166503906</v>
      </c>
      <c r="CU680" s="70">
        <v>30.000257492065401</v>
      </c>
      <c r="CV680" s="70">
        <v>9.9623270034790004</v>
      </c>
      <c r="CW680" s="70">
        <v>15.2603359222412</v>
      </c>
      <c r="CX680" s="4"/>
      <c r="CY680" s="69"/>
      <c r="CZ680" s="2" t="b">
        <f>IF($DP$1="YES",IF(RecData[[#This Row],[Power (kW)]]&gt;=$CR$3, TRUE,FALSE),TRUE)</f>
        <v>1</v>
      </c>
      <c r="DA680" s="16">
        <f>MIN(MOD(180-ABS(ABS($DA$1-RecData[Yaw Angle (°)])-180),360),MOD(180-ABS(ABS($DB$1-RecData[Yaw Angle (°)])-180),360))</f>
        <v>22.470330714377837</v>
      </c>
      <c r="DB680" s="2" t="str">
        <f>IF($DP$2="None","None",IF(RecData[[#This Row],[Relative Wind Direction]]&lt;=45,"DW",IF(RecData[[#This Row],[Relative Wind Direction]]&lt;=135,"CW","UW")))</f>
        <v>DW</v>
      </c>
      <c r="DC680" s="61">
        <f>IF($CL680-$CL676&gt;1/24,#REF!,IF(SUM($CQ676:$CQ680)&gt;$DS$1,$DS$5,DC681-1))</f>
        <v>-4</v>
      </c>
      <c r="DD680" s="61">
        <f>IF($CL681-$CL680&gt;1/24,#REF!,IF(SUM($CQ676:$CQ680)&gt;$DS$1,$DS$6,DD679-1))</f>
        <v>-7</v>
      </c>
      <c r="DE680" s="18" t="b">
        <v>0</v>
      </c>
      <c r="DF680" s="2" t="b">
        <f>IF(OR(RecData[[#This Row],[WSpd_Avg '[m/s']]]-RecData[[#This Row],[Wind Speed min]]&gt;=$DF$3,RecData[[#This Row],[Wind Speed max]]-RecData[[#This Row],[WSpd_Avg '[m/s']]]&gt;=$DF$2),TRUE,FALSE)</f>
        <v>0</v>
      </c>
      <c r="DG680" s="2" t="b">
        <f>RecData[[#This Row],[Temperature '[°C']]]&lt;=-20</f>
        <v>0</v>
      </c>
      <c r="DH680" s="18" t="b">
        <f>NOT(OR(MOD(RecData[[#This Row],[TIMESTAMP]],1)&gt;0.91632,MOD(RecData[[#This Row],[TIMESTAMP]],1)&lt;0.208681))</f>
        <v>0</v>
      </c>
      <c r="DI680" s="18" t="b">
        <f>RecData[[#This Row],[Overall (dBA)]]-RecData[[#This Row],[L90]]&gt;=$DS$4</f>
        <v>0</v>
      </c>
      <c r="DJ680" s="18" t="b">
        <f>RecData[[#This Row],[Overall (dBA)]]&gt;$DS$2</f>
        <v>0</v>
      </c>
      <c r="DK680" s="18" t="b">
        <f>RecData[[#This Row],[Overall (dBA)]]&lt;$DS$3</f>
        <v>0</v>
      </c>
      <c r="DL6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0" s="2">
        <f>IF(AND(RecData[[#This Row],[Turbines ON/OFF]] = "OFF", NOT(OR(RecData[[#This Row],[Junk?]]="YES",RecData[[#This Row],[Gust?]],RecData[[#This Row],[Rain?]:[Min SPL Threshold?]]))),1,0)</f>
        <v>0</v>
      </c>
      <c r="DN680" s="16">
        <f>RecData[[#This Row],[dBA Sum]]</f>
        <v>40.017086908440277</v>
      </c>
      <c r="DO680" s="16">
        <f>RecData[[#This Row],[LAF90.0]]</f>
        <v>38.9</v>
      </c>
      <c r="DP680" s="55">
        <f>IF(AND(RecData[[#This Row],[Useable TON Data?]],RecData[[#This Row],[Turbines ON/OFF]]="ON"),RecData[[#This Row],[dBA Sum]],"")</f>
        <v>40.017086908440277</v>
      </c>
      <c r="DQ680" s="55" t="str">
        <f>IF(AND(RecData[[#This Row],[Useable Background Data?]],RecData[[#This Row],[Turbines ON/OFF]]="OFF"),RecData[[#This Row],[dBA Sum]],"")</f>
        <v/>
      </c>
      <c r="DR680" s="3">
        <f>IF(OR(RecData[[#This Row],[Useable TON Data?]],RecData[[#This Row],[Useable Background Data?]]),ROUND(RecData[[#This Row],[WSpd_Avg '[m/s']]],0),"")</f>
        <v>1</v>
      </c>
      <c r="DS680" s="85">
        <f>(0.00002)^2*(10^(RecData[[#This Row],[Overall (dBA)]]/10))</f>
        <v>4.0157686240080259E-6</v>
      </c>
    </row>
    <row r="681" spans="1:123" ht="15" x14ac:dyDescent="0.25">
      <c r="A681" s="3" t="s">
        <v>249</v>
      </c>
      <c r="B681" s="12">
        <v>43270.18958333334</v>
      </c>
      <c r="C681" s="3"/>
      <c r="D681" s="3">
        <v>40.700000000000003</v>
      </c>
      <c r="E681" s="3"/>
      <c r="F681" s="3"/>
      <c r="G681" s="3"/>
      <c r="H681" s="3"/>
      <c r="I681" s="3"/>
      <c r="J681" s="3"/>
      <c r="K681" s="3">
        <v>39.1</v>
      </c>
      <c r="L681" s="3"/>
      <c r="M681" s="3"/>
      <c r="N681" s="3">
        <v>175.6</v>
      </c>
      <c r="O681" s="3"/>
      <c r="P681" s="3"/>
      <c r="Q681" s="3">
        <v>0.71</v>
      </c>
      <c r="R681" s="3">
        <v>0.5</v>
      </c>
      <c r="S681" s="3">
        <v>0.8</v>
      </c>
      <c r="T681" s="3">
        <v>11.1</v>
      </c>
      <c r="U681" s="3">
        <v>86.1</v>
      </c>
      <c r="V681" s="3">
        <v>973.8</v>
      </c>
      <c r="W681" s="3">
        <v>0</v>
      </c>
      <c r="X681" s="3">
        <v>46.4</v>
      </c>
      <c r="Y681" s="3">
        <v>45.7</v>
      </c>
      <c r="Z681" s="3">
        <v>45.4</v>
      </c>
      <c r="AA681" s="3">
        <v>41.7</v>
      </c>
      <c r="AB681" s="3">
        <v>36.299999999999997</v>
      </c>
      <c r="AC681" s="3">
        <v>34.299999999999997</v>
      </c>
      <c r="AD681" s="3">
        <v>38.9</v>
      </c>
      <c r="AE681" s="3">
        <v>41.2</v>
      </c>
      <c r="AF681" s="3">
        <v>46</v>
      </c>
      <c r="AG681" s="3">
        <v>39.6</v>
      </c>
      <c r="AH681" s="3">
        <v>39.4</v>
      </c>
      <c r="AI681" s="3">
        <v>38.299999999999997</v>
      </c>
      <c r="AJ681" s="3">
        <v>37.700000000000003</v>
      </c>
      <c r="AK681" s="3">
        <v>35.6</v>
      </c>
      <c r="AL681" s="3">
        <v>33.5</v>
      </c>
      <c r="AM681" s="3">
        <v>33.200000000000003</v>
      </c>
      <c r="AN681" s="3">
        <v>31</v>
      </c>
      <c r="AO681" s="3">
        <v>27.5</v>
      </c>
      <c r="AP681" s="3">
        <v>26.5</v>
      </c>
      <c r="AQ681" s="3">
        <v>22.8</v>
      </c>
      <c r="AR681" s="3">
        <v>19</v>
      </c>
      <c r="AS681" s="3">
        <v>16.5</v>
      </c>
      <c r="AT681" s="3">
        <v>28.5</v>
      </c>
      <c r="AU681" s="3">
        <v>10.9</v>
      </c>
      <c r="AV681" s="3">
        <v>8.6999999999999993</v>
      </c>
      <c r="AW681" s="3">
        <v>8.9</v>
      </c>
      <c r="AX681" s="3">
        <v>9.1</v>
      </c>
      <c r="AY681" s="3">
        <v>9.3000000000000007</v>
      </c>
      <c r="AZ681" s="3">
        <v>0</v>
      </c>
      <c r="BA681" s="3">
        <v>0</v>
      </c>
      <c r="BB681" s="3">
        <v>0</v>
      </c>
      <c r="BC681" s="3">
        <v>40.65576814130435</v>
      </c>
      <c r="BD681" s="3">
        <v>46.444231858695645</v>
      </c>
      <c r="BE681" s="3">
        <v>45.744231858695656</v>
      </c>
      <c r="BF681" s="3">
        <v>44.20423185869565</v>
      </c>
      <c r="BG681" s="3">
        <v>40.830898525362329</v>
      </c>
      <c r="BH681" s="3">
        <v>35.57089852536231</v>
      </c>
      <c r="BI681" s="3">
        <v>33.984231858695651</v>
      </c>
      <c r="BJ681" s="3">
        <v>39.377565192028982</v>
      </c>
      <c r="BK681" s="3">
        <v>41.550898525362328</v>
      </c>
      <c r="BL681" s="3">
        <v>45.924231858695663</v>
      </c>
      <c r="BM681" s="3">
        <v>39.657565192028983</v>
      </c>
      <c r="BN681" s="3">
        <v>39.740898525362326</v>
      </c>
      <c r="BO681" s="3">
        <v>38.007565192028977</v>
      </c>
      <c r="BP681" s="3">
        <v>37.124231858695651</v>
      </c>
      <c r="BQ681" s="3">
        <v>35.440898525362314</v>
      </c>
      <c r="BR681" s="3">
        <v>33.667565192028988</v>
      </c>
      <c r="BS681" s="3">
        <v>33.170898525362333</v>
      </c>
      <c r="BT681" s="3">
        <v>31.167565192028988</v>
      </c>
      <c r="BU681" s="3">
        <v>27.634231858695657</v>
      </c>
      <c r="BV681" s="3">
        <v>26.350898525362325</v>
      </c>
      <c r="BW681" s="3">
        <v>23.184231858695654</v>
      </c>
      <c r="BX681" s="3">
        <v>19.304231858695658</v>
      </c>
      <c r="BY681" s="3">
        <v>16.624231858695651</v>
      </c>
      <c r="BZ681" s="3">
        <v>28.754231858695661</v>
      </c>
      <c r="CA681" s="3">
        <v>11.254231858695647</v>
      </c>
      <c r="CB681" s="3">
        <v>8.4908985253623186</v>
      </c>
      <c r="CC681" s="3">
        <v>8.9042318586956526</v>
      </c>
      <c r="CD681" s="3">
        <v>8.4108985253623274</v>
      </c>
      <c r="CE681" s="3">
        <v>8.8042318586956512</v>
      </c>
      <c r="CF681" s="3">
        <v>-0.88243480797101626</v>
      </c>
      <c r="CG681" s="3">
        <v>-1.4157681413043477</v>
      </c>
      <c r="CH681" s="3">
        <v>-2.4924348079710157</v>
      </c>
      <c r="CI681" s="13">
        <f>[1]!dbasum(RecData[[#This Row],[20]:[2000]],RecData[[#Headers],[20]:[2000]])</f>
        <v>40.212381412970622</v>
      </c>
      <c r="CJ681" s="14">
        <v>8450</v>
      </c>
      <c r="CK681" s="15" t="s">
        <v>249</v>
      </c>
      <c r="CL681" s="15">
        <f>RecData[[#This Row],[Start Time]]</f>
        <v>43270.18958333334</v>
      </c>
      <c r="CM681" s="16">
        <f>RecData[[#This Row],[Wind Speed avg]]</f>
        <v>0.71</v>
      </c>
      <c r="CN681" s="16">
        <f>RecData[[#This Row],[Wind Dir. avg]]</f>
        <v>175.6</v>
      </c>
      <c r="CO681" s="16">
        <f>RecData[[#This Row],[Amb. Humidity]]</f>
        <v>86.1</v>
      </c>
      <c r="CP681" s="16">
        <f>RecData[[#This Row],[Amb. Temperature]]</f>
        <v>11.1</v>
      </c>
      <c r="CQ681" s="17">
        <f>RecData[[#This Row],[Amb. Rain Gauge]]</f>
        <v>0</v>
      </c>
      <c r="CR681" s="4" t="s">
        <v>1</v>
      </c>
      <c r="CS681" s="4" t="s">
        <v>49</v>
      </c>
      <c r="CT681" s="70">
        <v>1552.58166503906</v>
      </c>
      <c r="CU681" s="70">
        <v>30.000257492065401</v>
      </c>
      <c r="CV681" s="70">
        <v>9.9623270034790004</v>
      </c>
      <c r="CW681" s="70">
        <v>15.2603359222412</v>
      </c>
      <c r="CX681" s="4"/>
      <c r="CY681" s="69"/>
      <c r="CZ681" s="2" t="b">
        <f>IF($DP$1="YES",IF(RecData[[#This Row],[Power (kW)]]&gt;=$CR$3, TRUE,FALSE),TRUE)</f>
        <v>1</v>
      </c>
      <c r="DA681" s="16">
        <f>MIN(MOD(180-ABS(ABS($DA$1-RecData[Yaw Angle (°)])-180),360),MOD(180-ABS(ABS($DB$1-RecData[Yaw Angle (°)])-180),360))</f>
        <v>22.470330714377837</v>
      </c>
      <c r="DB681" s="2" t="str">
        <f>IF($DP$2="None","None",IF(RecData[[#This Row],[Relative Wind Direction]]&lt;=45,"DW",IF(RecData[[#This Row],[Relative Wind Direction]]&lt;=135,"CW","UW")))</f>
        <v>DW</v>
      </c>
      <c r="DC681" s="61">
        <f>IF($CL681-$CL677&gt;1/24,#REF!,IF(SUM($CQ677:$CQ681)&gt;$DS$1,$DS$5,DC682-1))</f>
        <v>-3</v>
      </c>
      <c r="DD681" s="61">
        <f>IF($CL682-$CL681&gt;1/24,#REF!,IF(SUM($CQ677:$CQ681)&gt;$DS$1,$DS$6,DD680-1))</f>
        <v>-8</v>
      </c>
      <c r="DE681" s="18" t="b">
        <v>0</v>
      </c>
      <c r="DF681" s="2" t="b">
        <f>IF(OR(RecData[[#This Row],[WSpd_Avg '[m/s']]]-RecData[[#This Row],[Wind Speed min]]&gt;=$DF$3,RecData[[#This Row],[Wind Speed max]]-RecData[[#This Row],[WSpd_Avg '[m/s']]]&gt;=$DF$2),TRUE,FALSE)</f>
        <v>0</v>
      </c>
      <c r="DG681" s="2" t="b">
        <f>RecData[[#This Row],[Temperature '[°C']]]&lt;=-20</f>
        <v>0</v>
      </c>
      <c r="DH681" s="18" t="b">
        <f>NOT(OR(MOD(RecData[[#This Row],[TIMESTAMP]],1)&gt;0.91632,MOD(RecData[[#This Row],[TIMESTAMP]],1)&lt;0.208681))</f>
        <v>0</v>
      </c>
      <c r="DI681" s="18" t="b">
        <f>RecData[[#This Row],[Overall (dBA)]]-RecData[[#This Row],[L90]]&gt;=$DS$4</f>
        <v>0</v>
      </c>
      <c r="DJ681" s="18" t="b">
        <f>RecData[[#This Row],[Overall (dBA)]]&gt;$DS$2</f>
        <v>0</v>
      </c>
      <c r="DK681" s="18" t="b">
        <f>RecData[[#This Row],[Overall (dBA)]]&lt;$DS$3</f>
        <v>0</v>
      </c>
      <c r="DL6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1" s="2">
        <f>IF(AND(RecData[[#This Row],[Turbines ON/OFF]] = "OFF", NOT(OR(RecData[[#This Row],[Junk?]]="YES",RecData[[#This Row],[Gust?]],RecData[[#This Row],[Rain?]:[Min SPL Threshold?]]))),1,0)</f>
        <v>0</v>
      </c>
      <c r="DN681" s="16">
        <f>RecData[[#This Row],[dBA Sum]]</f>
        <v>40.212381412970622</v>
      </c>
      <c r="DO681" s="16">
        <f>RecData[[#This Row],[LAF90.0]]</f>
        <v>39.1</v>
      </c>
      <c r="DP681" s="55">
        <f>IF(AND(RecData[[#This Row],[Useable TON Data?]],RecData[[#This Row],[Turbines ON/OFF]]="ON"),RecData[[#This Row],[dBA Sum]],"")</f>
        <v>40.212381412970622</v>
      </c>
      <c r="DQ681" s="55" t="str">
        <f>IF(AND(RecData[[#This Row],[Useable Background Data?]],RecData[[#This Row],[Turbines ON/OFF]]="OFF"),RecData[[#This Row],[dBA Sum]],"")</f>
        <v/>
      </c>
      <c r="DR681" s="3">
        <f>IF(OR(RecData[[#This Row],[Useable TON Data?]],RecData[[#This Row],[Useable Background Data?]]),ROUND(RecData[[#This Row],[WSpd_Avg '[m/s']]],0),"")</f>
        <v>1</v>
      </c>
      <c r="DS681" s="85">
        <f>(0.00002)^2*(10^(RecData[[#This Row],[Overall (dBA)]]/10))</f>
        <v>4.2004723727749826E-6</v>
      </c>
    </row>
    <row r="682" spans="1:123" ht="15" x14ac:dyDescent="0.25">
      <c r="A682" s="3" t="s">
        <v>249</v>
      </c>
      <c r="B682" s="12">
        <v>43270.19027777778</v>
      </c>
      <c r="C682" s="3"/>
      <c r="D682" s="3">
        <v>40.799999999999997</v>
      </c>
      <c r="E682" s="3"/>
      <c r="F682" s="3"/>
      <c r="G682" s="3"/>
      <c r="H682" s="3"/>
      <c r="I682" s="3"/>
      <c r="J682" s="3"/>
      <c r="K682" s="3">
        <v>39.700000000000003</v>
      </c>
      <c r="L682" s="3"/>
      <c r="M682" s="3"/>
      <c r="N682" s="3">
        <v>164.8</v>
      </c>
      <c r="O682" s="3"/>
      <c r="P682" s="3"/>
      <c r="Q682" s="3">
        <v>0.72</v>
      </c>
      <c r="R682" s="3">
        <v>0.6</v>
      </c>
      <c r="S682" s="3">
        <v>0.9</v>
      </c>
      <c r="T682" s="3">
        <v>11.1</v>
      </c>
      <c r="U682" s="3">
        <v>86.2</v>
      </c>
      <c r="V682" s="3">
        <v>973.8</v>
      </c>
      <c r="W682" s="3">
        <v>0</v>
      </c>
      <c r="X682" s="3">
        <v>46.1</v>
      </c>
      <c r="Y682" s="3">
        <v>44.5</v>
      </c>
      <c r="Z682" s="3">
        <v>44.5</v>
      </c>
      <c r="AA682" s="3">
        <v>41.2</v>
      </c>
      <c r="AB682" s="3">
        <v>36.6</v>
      </c>
      <c r="AC682" s="3">
        <v>34.799999999999997</v>
      </c>
      <c r="AD682" s="3">
        <v>38.9</v>
      </c>
      <c r="AE682" s="3">
        <v>41.4</v>
      </c>
      <c r="AF682" s="3">
        <v>46.3</v>
      </c>
      <c r="AG682" s="3">
        <v>41.1</v>
      </c>
      <c r="AH682" s="3">
        <v>39.299999999999997</v>
      </c>
      <c r="AI682" s="3">
        <v>39.299999999999997</v>
      </c>
      <c r="AJ682" s="3">
        <v>38</v>
      </c>
      <c r="AK682" s="3">
        <v>36.200000000000003</v>
      </c>
      <c r="AL682" s="3">
        <v>34.200000000000003</v>
      </c>
      <c r="AM682" s="3">
        <v>33.5</v>
      </c>
      <c r="AN682" s="3">
        <v>31.3</v>
      </c>
      <c r="AO682" s="3">
        <v>27.6</v>
      </c>
      <c r="AP682" s="3">
        <v>25.5</v>
      </c>
      <c r="AQ682" s="3">
        <v>23</v>
      </c>
      <c r="AR682" s="3">
        <v>19.2</v>
      </c>
      <c r="AS682" s="3">
        <v>17.5</v>
      </c>
      <c r="AT682" s="3">
        <v>23.6</v>
      </c>
      <c r="AU682" s="3">
        <v>9.1999999999999993</v>
      </c>
      <c r="AV682" s="3">
        <v>8.5</v>
      </c>
      <c r="AW682" s="3">
        <v>8.9</v>
      </c>
      <c r="AX682" s="3">
        <v>9.1</v>
      </c>
      <c r="AY682" s="3">
        <v>9.3000000000000007</v>
      </c>
      <c r="AZ682" s="3">
        <v>0</v>
      </c>
      <c r="BA682" s="3">
        <v>0</v>
      </c>
      <c r="BB682" s="3">
        <v>0</v>
      </c>
      <c r="BC682" s="3">
        <v>40.804280331348721</v>
      </c>
      <c r="BD682" s="3">
        <v>46.095719668651284</v>
      </c>
      <c r="BE682" s="3">
        <v>44.495719668651276</v>
      </c>
      <c r="BF682" s="3">
        <v>43.255719668651281</v>
      </c>
      <c r="BG682" s="3">
        <v>40.282386335317952</v>
      </c>
      <c r="BH682" s="3">
        <v>35.822386335317944</v>
      </c>
      <c r="BI682" s="3">
        <v>34.435719668651274</v>
      </c>
      <c r="BJ682" s="3">
        <v>39.329053001984605</v>
      </c>
      <c r="BK682" s="3">
        <v>41.702386335317939</v>
      </c>
      <c r="BL682" s="3">
        <v>46.175719668651269</v>
      </c>
      <c r="BM682" s="3">
        <v>41.109053001984606</v>
      </c>
      <c r="BN682" s="3">
        <v>39.59238633531794</v>
      </c>
      <c r="BO682" s="3">
        <v>38.9590530019846</v>
      </c>
      <c r="BP682" s="3">
        <v>37.375719668651286</v>
      </c>
      <c r="BQ682" s="3">
        <v>35.992386335317931</v>
      </c>
      <c r="BR682" s="3">
        <v>34.319053001984614</v>
      </c>
      <c r="BS682" s="3">
        <v>33.422386335317938</v>
      </c>
      <c r="BT682" s="3">
        <v>31.419053001984608</v>
      </c>
      <c r="BU682" s="3">
        <v>27.685719668651288</v>
      </c>
      <c r="BV682" s="3">
        <v>25.302386335317948</v>
      </c>
      <c r="BW682" s="3">
        <v>23.335719668651279</v>
      </c>
      <c r="BX682" s="3">
        <v>19.455719668651284</v>
      </c>
      <c r="BY682" s="3">
        <v>17.575719668651274</v>
      </c>
      <c r="BZ682" s="3">
        <v>23.805719668651278</v>
      </c>
      <c r="CA682" s="3">
        <v>9.5057196686512668</v>
      </c>
      <c r="CB682" s="3">
        <v>8.2423863353179385</v>
      </c>
      <c r="CC682" s="3">
        <v>8.8557196686512754</v>
      </c>
      <c r="CD682" s="3">
        <v>8.3623863353179502</v>
      </c>
      <c r="CE682" s="3">
        <v>8.7557196686512739</v>
      </c>
      <c r="CF682" s="3">
        <v>-0.93094699801539349</v>
      </c>
      <c r="CG682" s="3">
        <v>-1.4642803313487249</v>
      </c>
      <c r="CH682" s="3">
        <v>-2.5409469980153929</v>
      </c>
      <c r="CI682" s="13">
        <f>[1]!dbasum(RecData[[#This Row],[20]:[2000]],RecData[[#Headers],[20]:[2000]])</f>
        <v>40.561840413076567</v>
      </c>
      <c r="CJ682" s="14">
        <v>8451</v>
      </c>
      <c r="CK682" s="15" t="s">
        <v>249</v>
      </c>
      <c r="CL682" s="15">
        <f>RecData[[#This Row],[Start Time]]</f>
        <v>43270.19027777778</v>
      </c>
      <c r="CM682" s="16">
        <f>RecData[[#This Row],[Wind Speed avg]]</f>
        <v>0.72</v>
      </c>
      <c r="CN682" s="16">
        <f>RecData[[#This Row],[Wind Dir. avg]]</f>
        <v>164.8</v>
      </c>
      <c r="CO682" s="16">
        <f>RecData[[#This Row],[Amb. Humidity]]</f>
        <v>86.2</v>
      </c>
      <c r="CP682" s="16">
        <f>RecData[[#This Row],[Amb. Temperature]]</f>
        <v>11.1</v>
      </c>
      <c r="CQ682" s="17">
        <f>RecData[[#This Row],[Amb. Rain Gauge]]</f>
        <v>0</v>
      </c>
      <c r="CR682" s="4" t="s">
        <v>1</v>
      </c>
      <c r="CS682" s="4" t="s">
        <v>49</v>
      </c>
      <c r="CT682" s="70">
        <v>1552.58166503906</v>
      </c>
      <c r="CU682" s="70">
        <v>30.000257492065401</v>
      </c>
      <c r="CV682" s="70">
        <v>9.9623270034790004</v>
      </c>
      <c r="CW682" s="70">
        <v>15.2603359222412</v>
      </c>
      <c r="CX682" s="4"/>
      <c r="CY682" s="69"/>
      <c r="CZ682" s="2" t="b">
        <f>IF($DP$1="YES",IF(RecData[[#This Row],[Power (kW)]]&gt;=$CR$3, TRUE,FALSE),TRUE)</f>
        <v>1</v>
      </c>
      <c r="DA682" s="16">
        <f>MIN(MOD(180-ABS(ABS($DA$1-RecData[Yaw Angle (°)])-180),360),MOD(180-ABS(ABS($DB$1-RecData[Yaw Angle (°)])-180),360))</f>
        <v>22.470330714377837</v>
      </c>
      <c r="DB682" s="2" t="str">
        <f>IF($DP$2="None","None",IF(RecData[[#This Row],[Relative Wind Direction]]&lt;=45,"DW",IF(RecData[[#This Row],[Relative Wind Direction]]&lt;=135,"CW","UW")))</f>
        <v>DW</v>
      </c>
      <c r="DC682" s="61">
        <f>IF($CL682-$CL678&gt;1/24,#REF!,IF(SUM($CQ678:$CQ682)&gt;$DS$1,$DS$5,DC683-1))</f>
        <v>-2</v>
      </c>
      <c r="DD682" s="61">
        <f>IF($CL683-$CL682&gt;1/24,#REF!,IF(SUM($CQ678:$CQ682)&gt;$DS$1,$DS$6,DD681-1))</f>
        <v>-9</v>
      </c>
      <c r="DE682" s="18" t="b">
        <v>0</v>
      </c>
      <c r="DF682" s="2" t="b">
        <f>IF(OR(RecData[[#This Row],[WSpd_Avg '[m/s']]]-RecData[[#This Row],[Wind Speed min]]&gt;=$DF$3,RecData[[#This Row],[Wind Speed max]]-RecData[[#This Row],[WSpd_Avg '[m/s']]]&gt;=$DF$2),TRUE,FALSE)</f>
        <v>0</v>
      </c>
      <c r="DG682" s="2" t="b">
        <f>RecData[[#This Row],[Temperature '[°C']]]&lt;=-20</f>
        <v>0</v>
      </c>
      <c r="DH682" s="18" t="b">
        <f>NOT(OR(MOD(RecData[[#This Row],[TIMESTAMP]],1)&gt;0.91632,MOD(RecData[[#This Row],[TIMESTAMP]],1)&lt;0.208681))</f>
        <v>0</v>
      </c>
      <c r="DI682" s="18" t="b">
        <f>RecData[[#This Row],[Overall (dBA)]]-RecData[[#This Row],[L90]]&gt;=$DS$4</f>
        <v>0</v>
      </c>
      <c r="DJ682" s="18" t="b">
        <f>RecData[[#This Row],[Overall (dBA)]]&gt;$DS$2</f>
        <v>0</v>
      </c>
      <c r="DK682" s="18" t="b">
        <f>RecData[[#This Row],[Overall (dBA)]]&lt;$DS$3</f>
        <v>0</v>
      </c>
      <c r="DL6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2" s="2">
        <f>IF(AND(RecData[[#This Row],[Turbines ON/OFF]] = "OFF", NOT(OR(RecData[[#This Row],[Junk?]]="YES",RecData[[#This Row],[Gust?]],RecData[[#This Row],[Rain?]:[Min SPL Threshold?]]))),1,0)</f>
        <v>0</v>
      </c>
      <c r="DN682" s="16">
        <f>RecData[[#This Row],[dBA Sum]]</f>
        <v>40.561840413076567</v>
      </c>
      <c r="DO682" s="16">
        <f>RecData[[#This Row],[LAF90.0]]</f>
        <v>39.700000000000003</v>
      </c>
      <c r="DP682" s="55">
        <f>IF(AND(RecData[[#This Row],[Useable TON Data?]],RecData[[#This Row],[Turbines ON/OFF]]="ON"),RecData[[#This Row],[dBA Sum]],"")</f>
        <v>40.561840413076567</v>
      </c>
      <c r="DQ682" s="55" t="str">
        <f>IF(AND(RecData[[#This Row],[Useable Background Data?]],RecData[[#This Row],[Turbines ON/OFF]]="OFF"),RecData[[#This Row],[dBA Sum]],"")</f>
        <v/>
      </c>
      <c r="DR682" s="3">
        <f>IF(OR(RecData[[#This Row],[Useable TON Data?]],RecData[[#This Row],[Useable Background Data?]]),ROUND(RecData[[#This Row],[WSpd_Avg '[m/s']]],0),"")</f>
        <v>1</v>
      </c>
      <c r="DS682" s="85">
        <f>(0.00002)^2*(10^(RecData[[#This Row],[Overall (dBA)]]/10))</f>
        <v>4.5524379247158544E-6</v>
      </c>
    </row>
    <row r="683" spans="1:123" ht="15" x14ac:dyDescent="0.25">
      <c r="A683" s="3" t="s">
        <v>249</v>
      </c>
      <c r="B683" s="12">
        <v>43270.190972222226</v>
      </c>
      <c r="C683" s="3"/>
      <c r="D683" s="3">
        <v>41.1</v>
      </c>
      <c r="E683" s="3"/>
      <c r="F683" s="3"/>
      <c r="G683" s="3"/>
      <c r="H683" s="3"/>
      <c r="I683" s="3"/>
      <c r="J683" s="3"/>
      <c r="K683" s="3">
        <v>40</v>
      </c>
      <c r="L683" s="3"/>
      <c r="M683" s="3"/>
      <c r="N683" s="3">
        <v>176.1</v>
      </c>
      <c r="O683" s="3"/>
      <c r="P683" s="3"/>
      <c r="Q683" s="3">
        <v>0.68</v>
      </c>
      <c r="R683" s="3">
        <v>0.5</v>
      </c>
      <c r="S683" s="3">
        <v>0.9</v>
      </c>
      <c r="T683" s="3">
        <v>11.1</v>
      </c>
      <c r="U683" s="3">
        <v>86.2</v>
      </c>
      <c r="V683" s="3">
        <v>973.8</v>
      </c>
      <c r="W683" s="3">
        <v>0</v>
      </c>
      <c r="X683" s="3">
        <v>46.1</v>
      </c>
      <c r="Y683" s="3">
        <v>45</v>
      </c>
      <c r="Z683" s="3">
        <v>44.6</v>
      </c>
      <c r="AA683" s="3">
        <v>41</v>
      </c>
      <c r="AB683" s="3">
        <v>36.4</v>
      </c>
      <c r="AC683" s="3">
        <v>34.200000000000003</v>
      </c>
      <c r="AD683" s="3">
        <v>39.1</v>
      </c>
      <c r="AE683" s="3">
        <v>41.8</v>
      </c>
      <c r="AF683" s="3">
        <v>47.4</v>
      </c>
      <c r="AG683" s="3">
        <v>41</v>
      </c>
      <c r="AH683" s="3">
        <v>39.799999999999997</v>
      </c>
      <c r="AI683" s="3">
        <v>40.1</v>
      </c>
      <c r="AJ683" s="3">
        <v>38.299999999999997</v>
      </c>
      <c r="AK683" s="3">
        <v>36.5</v>
      </c>
      <c r="AL683" s="3">
        <v>34.200000000000003</v>
      </c>
      <c r="AM683" s="3">
        <v>33.200000000000003</v>
      </c>
      <c r="AN683" s="3">
        <v>31.3</v>
      </c>
      <c r="AO683" s="3">
        <v>27.8</v>
      </c>
      <c r="AP683" s="3">
        <v>26.1</v>
      </c>
      <c r="AQ683" s="3">
        <v>23.1</v>
      </c>
      <c r="AR683" s="3">
        <v>19.2</v>
      </c>
      <c r="AS683" s="3">
        <v>18.5</v>
      </c>
      <c r="AT683" s="3">
        <v>24</v>
      </c>
      <c r="AU683" s="3">
        <v>9.1999999999999993</v>
      </c>
      <c r="AV683" s="3">
        <v>8.6999999999999993</v>
      </c>
      <c r="AW683" s="3">
        <v>9</v>
      </c>
      <c r="AX683" s="3">
        <v>9.1</v>
      </c>
      <c r="AY683" s="3">
        <v>9.3000000000000007</v>
      </c>
      <c r="AZ683" s="3">
        <v>0</v>
      </c>
      <c r="BA683" s="3">
        <v>0</v>
      </c>
      <c r="BB683" s="3">
        <v>0</v>
      </c>
      <c r="BC683" s="3">
        <v>41.104073266070891</v>
      </c>
      <c r="BD683" s="3">
        <v>46.095926733929112</v>
      </c>
      <c r="BE683" s="3">
        <v>44.995926733929103</v>
      </c>
      <c r="BF683" s="3">
        <v>43.355926733929117</v>
      </c>
      <c r="BG683" s="3">
        <v>40.082593400595776</v>
      </c>
      <c r="BH683" s="3">
        <v>35.622593400595768</v>
      </c>
      <c r="BI683" s="3">
        <v>33.835926733929107</v>
      </c>
      <c r="BJ683" s="3">
        <v>39.529260067262435</v>
      </c>
      <c r="BK683" s="3">
        <v>42.102593400595772</v>
      </c>
      <c r="BL683" s="3">
        <v>47.275926733929104</v>
      </c>
      <c r="BM683" s="3">
        <v>41.009260067262453</v>
      </c>
      <c r="BN683" s="3">
        <v>40.092593400595767</v>
      </c>
      <c r="BO683" s="3">
        <v>39.759260067262453</v>
      </c>
      <c r="BP683" s="3">
        <v>37.67592673392911</v>
      </c>
      <c r="BQ683" s="3">
        <v>36.29259340059577</v>
      </c>
      <c r="BR683" s="3">
        <v>34.319260067262455</v>
      </c>
      <c r="BS683" s="3">
        <v>33.122593400595782</v>
      </c>
      <c r="BT683" s="3">
        <v>31.419260067262449</v>
      </c>
      <c r="BU683" s="3">
        <v>27.885926733929118</v>
      </c>
      <c r="BV683" s="3">
        <v>25.902593400595784</v>
      </c>
      <c r="BW683" s="3">
        <v>23.435926733929115</v>
      </c>
      <c r="BX683" s="3">
        <v>19.455926733929111</v>
      </c>
      <c r="BY683" s="3">
        <v>18.575926733929109</v>
      </c>
      <c r="BZ683" s="3">
        <v>24.205926733929111</v>
      </c>
      <c r="CA683" s="3">
        <v>9.5059267339291011</v>
      </c>
      <c r="CB683" s="3">
        <v>8.4425934005957757</v>
      </c>
      <c r="CC683" s="3">
        <v>8.9559267339291111</v>
      </c>
      <c r="CD683" s="3">
        <v>8.3625934005957774</v>
      </c>
      <c r="CE683" s="3">
        <v>8.7559267339291083</v>
      </c>
      <c r="CF683" s="3">
        <v>-0.93073993273755917</v>
      </c>
      <c r="CG683" s="3">
        <v>-1.4640732660708906</v>
      </c>
      <c r="CH683" s="3">
        <v>-2.5407399327375586</v>
      </c>
      <c r="CI683" s="13">
        <f>[1]!dbasum(RecData[[#This Row],[20]:[2000]],RecData[[#Headers],[20]:[2000]])</f>
        <v>40.848054242857273</v>
      </c>
      <c r="CJ683" s="14">
        <v>8452</v>
      </c>
      <c r="CK683" s="15" t="s">
        <v>249</v>
      </c>
      <c r="CL683" s="15">
        <f>RecData[[#This Row],[Start Time]]</f>
        <v>43270.190972222226</v>
      </c>
      <c r="CM683" s="16">
        <f>RecData[[#This Row],[Wind Speed avg]]</f>
        <v>0.68</v>
      </c>
      <c r="CN683" s="16">
        <f>RecData[[#This Row],[Wind Dir. avg]]</f>
        <v>176.1</v>
      </c>
      <c r="CO683" s="16">
        <f>RecData[[#This Row],[Amb. Humidity]]</f>
        <v>86.2</v>
      </c>
      <c r="CP683" s="16">
        <f>RecData[[#This Row],[Amb. Temperature]]</f>
        <v>11.1</v>
      </c>
      <c r="CQ683" s="17">
        <f>RecData[[#This Row],[Amb. Rain Gauge]]</f>
        <v>0</v>
      </c>
      <c r="CR683" s="4" t="s">
        <v>1</v>
      </c>
      <c r="CS683" s="4" t="s">
        <v>49</v>
      </c>
      <c r="CT683" s="70">
        <v>1552.58166503906</v>
      </c>
      <c r="CU683" s="70">
        <v>30.000257492065401</v>
      </c>
      <c r="CV683" s="70">
        <v>9.9623270034790004</v>
      </c>
      <c r="CW683" s="70">
        <v>15.2603359222412</v>
      </c>
      <c r="CX683" s="4"/>
      <c r="CY683" s="69"/>
      <c r="CZ683" s="2" t="b">
        <f>IF($DP$1="YES",IF(RecData[[#This Row],[Power (kW)]]&gt;=$CR$3, TRUE,FALSE),TRUE)</f>
        <v>1</v>
      </c>
      <c r="DA683" s="16">
        <f>MIN(MOD(180-ABS(ABS($DA$1-RecData[Yaw Angle (°)])-180),360),MOD(180-ABS(ABS($DB$1-RecData[Yaw Angle (°)])-180),360))</f>
        <v>22.470330714377837</v>
      </c>
      <c r="DB683" s="2" t="str">
        <f>IF($DP$2="None","None",IF(RecData[[#This Row],[Relative Wind Direction]]&lt;=45,"DW",IF(RecData[[#This Row],[Relative Wind Direction]]&lt;=135,"CW","UW")))</f>
        <v>DW</v>
      </c>
      <c r="DC683" s="61">
        <v>-1</v>
      </c>
      <c r="DD683" s="61">
        <v>-1</v>
      </c>
      <c r="DE683" s="18" t="b">
        <v>0</v>
      </c>
      <c r="DF683" s="2" t="b">
        <f>IF(OR(RecData[[#This Row],[WSpd_Avg '[m/s']]]-RecData[[#This Row],[Wind Speed min]]&gt;=$DF$3,RecData[[#This Row],[Wind Speed max]]-RecData[[#This Row],[WSpd_Avg '[m/s']]]&gt;=$DF$2),TRUE,FALSE)</f>
        <v>0</v>
      </c>
      <c r="DG683" s="2" t="b">
        <f>RecData[[#This Row],[Temperature '[°C']]]&lt;=-20</f>
        <v>0</v>
      </c>
      <c r="DH683" s="18" t="b">
        <f>NOT(OR(MOD(RecData[[#This Row],[TIMESTAMP]],1)&gt;0.91632,MOD(RecData[[#This Row],[TIMESTAMP]],1)&lt;0.208681))</f>
        <v>0</v>
      </c>
      <c r="DI683" s="18" t="b">
        <f>RecData[[#This Row],[Overall (dBA)]]-RecData[[#This Row],[L90]]&gt;=$DS$4</f>
        <v>0</v>
      </c>
      <c r="DJ683" s="18" t="b">
        <f>RecData[[#This Row],[Overall (dBA)]]&gt;$DS$2</f>
        <v>0</v>
      </c>
      <c r="DK683" s="18" t="b">
        <f>RecData[[#This Row],[Overall (dBA)]]&lt;$DS$3</f>
        <v>0</v>
      </c>
      <c r="DL6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3" s="2">
        <f>IF(AND(RecData[[#This Row],[Turbines ON/OFF]] = "OFF", NOT(OR(RecData[[#This Row],[Junk?]]="YES",RecData[[#This Row],[Gust?]],RecData[[#This Row],[Rain?]:[Min SPL Threshold?]]))),1,0)</f>
        <v>0</v>
      </c>
      <c r="DN683" s="16">
        <f>RecData[[#This Row],[dBA Sum]]</f>
        <v>40.848054242857273</v>
      </c>
      <c r="DO683" s="16">
        <f>RecData[[#This Row],[LAF90.0]]</f>
        <v>40</v>
      </c>
      <c r="DP683" s="55">
        <f>IF(AND(RecData[[#This Row],[Useable TON Data?]],RecData[[#This Row],[Turbines ON/OFF]]="ON"),RecData[[#This Row],[dBA Sum]],"")</f>
        <v>40.848054242857273</v>
      </c>
      <c r="DQ683" s="55" t="str">
        <f>IF(AND(RecData[[#This Row],[Useable Background Data?]],RecData[[#This Row],[Turbines ON/OFF]]="OFF"),RecData[[#This Row],[dBA Sum]],"")</f>
        <v/>
      </c>
      <c r="DR683" s="3">
        <f>IF(OR(RecData[[#This Row],[Useable TON Data?]],RecData[[#This Row],[Useable Background Data?]]),ROUND(RecData[[#This Row],[WSpd_Avg '[m/s']]],0),"")</f>
        <v>1</v>
      </c>
      <c r="DS683" s="85">
        <f>(0.00002)^2*(10^(RecData[[#This Row],[Overall (dBA)]]/10))</f>
        <v>4.8625649534203724E-6</v>
      </c>
    </row>
    <row r="684" spans="1:123" ht="15" x14ac:dyDescent="0.25">
      <c r="A684" s="3" t="s">
        <v>249</v>
      </c>
      <c r="B684" s="12">
        <v>43270.191666666673</v>
      </c>
      <c r="C684" s="3"/>
      <c r="D684" s="3">
        <v>41.4</v>
      </c>
      <c r="E684" s="3"/>
      <c r="F684" s="3"/>
      <c r="G684" s="3"/>
      <c r="H684" s="3"/>
      <c r="I684" s="3"/>
      <c r="J684" s="3"/>
      <c r="K684" s="3">
        <v>40.4</v>
      </c>
      <c r="L684" s="3"/>
      <c r="M684" s="3"/>
      <c r="N684" s="3">
        <v>173.3</v>
      </c>
      <c r="O684" s="3"/>
      <c r="P684" s="3"/>
      <c r="Q684" s="3">
        <v>0.6</v>
      </c>
      <c r="R684" s="3">
        <v>0.2</v>
      </c>
      <c r="S684" s="3">
        <v>0.9</v>
      </c>
      <c r="T684" s="3">
        <v>11.1</v>
      </c>
      <c r="U684" s="3">
        <v>86.4</v>
      </c>
      <c r="V684" s="3">
        <v>973.8</v>
      </c>
      <c r="W684" s="3">
        <v>0</v>
      </c>
      <c r="X684" s="3">
        <v>46.3</v>
      </c>
      <c r="Y684" s="3">
        <v>45</v>
      </c>
      <c r="Z684" s="3">
        <v>44.1</v>
      </c>
      <c r="AA684" s="3">
        <v>41.4</v>
      </c>
      <c r="AB684" s="3">
        <v>36.700000000000003</v>
      </c>
      <c r="AC684" s="3">
        <v>34.200000000000003</v>
      </c>
      <c r="AD684" s="3">
        <v>40.200000000000003</v>
      </c>
      <c r="AE684" s="3">
        <v>42.3</v>
      </c>
      <c r="AF684" s="3">
        <v>46.2</v>
      </c>
      <c r="AG684" s="3">
        <v>41.1</v>
      </c>
      <c r="AH684" s="3">
        <v>40.6</v>
      </c>
      <c r="AI684" s="3">
        <v>40</v>
      </c>
      <c r="AJ684" s="3">
        <v>38.799999999999997</v>
      </c>
      <c r="AK684" s="3">
        <v>36.5</v>
      </c>
      <c r="AL684" s="3">
        <v>34.200000000000003</v>
      </c>
      <c r="AM684" s="3">
        <v>33.799999999999997</v>
      </c>
      <c r="AN684" s="3">
        <v>31.4</v>
      </c>
      <c r="AO684" s="3">
        <v>28.2</v>
      </c>
      <c r="AP684" s="3">
        <v>26.4</v>
      </c>
      <c r="AQ684" s="3">
        <v>23.8</v>
      </c>
      <c r="AR684" s="3">
        <v>19.8</v>
      </c>
      <c r="AS684" s="3">
        <v>18.899999999999999</v>
      </c>
      <c r="AT684" s="3">
        <v>27.6</v>
      </c>
      <c r="AU684" s="3">
        <v>10.9</v>
      </c>
      <c r="AV684" s="3">
        <v>9.1</v>
      </c>
      <c r="AW684" s="3">
        <v>8.9</v>
      </c>
      <c r="AX684" s="3">
        <v>9.1</v>
      </c>
      <c r="AY684" s="3">
        <v>9.3000000000000007</v>
      </c>
      <c r="AZ684" s="3">
        <v>0</v>
      </c>
      <c r="BA684" s="3">
        <v>0</v>
      </c>
      <c r="BB684" s="3">
        <v>0</v>
      </c>
      <c r="BC684" s="3">
        <v>41.383514043706995</v>
      </c>
      <c r="BD684" s="3">
        <v>46.316485956292993</v>
      </c>
      <c r="BE684" s="3">
        <v>45.01648595629301</v>
      </c>
      <c r="BF684" s="3">
        <v>42.876485956292996</v>
      </c>
      <c r="BG684" s="3">
        <v>40.503152622959661</v>
      </c>
      <c r="BH684" s="3">
        <v>35.943152622959673</v>
      </c>
      <c r="BI684" s="3">
        <v>33.856485956293014</v>
      </c>
      <c r="BJ684" s="3">
        <v>40.649819289626336</v>
      </c>
      <c r="BK684" s="3">
        <v>42.623152622959665</v>
      </c>
      <c r="BL684" s="3">
        <v>46.096485956293009</v>
      </c>
      <c r="BM684" s="3">
        <v>41.12981928962634</v>
      </c>
      <c r="BN684" s="3">
        <v>40.913152622959672</v>
      </c>
      <c r="BO684" s="3">
        <v>39.679819289626337</v>
      </c>
      <c r="BP684" s="3">
        <v>38.196485956293003</v>
      </c>
      <c r="BQ684" s="3">
        <v>36.313152622959663</v>
      </c>
      <c r="BR684" s="3">
        <v>34.339819289626334</v>
      </c>
      <c r="BS684" s="3">
        <v>33.74315262295967</v>
      </c>
      <c r="BT684" s="3">
        <v>31.539819289626337</v>
      </c>
      <c r="BU684" s="3">
        <v>28.306485956293002</v>
      </c>
      <c r="BV684" s="3">
        <v>26.223152622959674</v>
      </c>
      <c r="BW684" s="3">
        <v>24.156485956293011</v>
      </c>
      <c r="BX684" s="3">
        <v>20.076485956293013</v>
      </c>
      <c r="BY684" s="3">
        <v>18.996485956293</v>
      </c>
      <c r="BZ684" s="3">
        <v>27.826485956293013</v>
      </c>
      <c r="CA684" s="3">
        <v>11.226485956292997</v>
      </c>
      <c r="CB684" s="3">
        <v>8.8631526229596673</v>
      </c>
      <c r="CC684" s="3">
        <v>8.8764859562930027</v>
      </c>
      <c r="CD684" s="3">
        <v>8.3831526229596705</v>
      </c>
      <c r="CE684" s="3">
        <v>8.7764859562930013</v>
      </c>
      <c r="CF684" s="3">
        <v>-0.9101807103736661</v>
      </c>
      <c r="CG684" s="3">
        <v>-1.4435140437069975</v>
      </c>
      <c r="CH684" s="3">
        <v>-2.5201807103736655</v>
      </c>
      <c r="CI684" s="13">
        <f>[1]!dbasum(RecData[[#This Row],[20]:[2000]],RecData[[#Headers],[20]:[2000]])</f>
        <v>41.015444149099991</v>
      </c>
      <c r="CJ684" s="14">
        <v>8453</v>
      </c>
      <c r="CK684" s="15" t="s">
        <v>249</v>
      </c>
      <c r="CL684" s="15">
        <f>RecData[[#This Row],[Start Time]]</f>
        <v>43270.191666666673</v>
      </c>
      <c r="CM684" s="16">
        <f>RecData[[#This Row],[Wind Speed avg]]</f>
        <v>0.6</v>
      </c>
      <c r="CN684" s="16">
        <f>RecData[[#This Row],[Wind Dir. avg]]</f>
        <v>173.3</v>
      </c>
      <c r="CO684" s="16">
        <f>RecData[[#This Row],[Amb. Humidity]]</f>
        <v>86.4</v>
      </c>
      <c r="CP684" s="16">
        <f>RecData[[#This Row],[Amb. Temperature]]</f>
        <v>11.1</v>
      </c>
      <c r="CQ684" s="17">
        <f>RecData[[#This Row],[Amb. Rain Gauge]]</f>
        <v>0</v>
      </c>
      <c r="CR684" s="4" t="s">
        <v>1</v>
      </c>
      <c r="CS684" s="4" t="s">
        <v>49</v>
      </c>
      <c r="CT684" s="70">
        <v>1552.58166503906</v>
      </c>
      <c r="CU684" s="70">
        <v>30.000257492065401</v>
      </c>
      <c r="CV684" s="70">
        <v>9.9623270034790004</v>
      </c>
      <c r="CW684" s="70">
        <v>15.2603359222412</v>
      </c>
      <c r="CX684" s="4"/>
      <c r="CY684" s="69"/>
      <c r="CZ684" s="2" t="b">
        <f>IF($DP$1="YES",IF(RecData[[#This Row],[Power (kW)]]&gt;=$CR$3, TRUE,FALSE),TRUE)</f>
        <v>1</v>
      </c>
      <c r="DA684" s="16">
        <f>MIN(MOD(180-ABS(ABS($DA$1-RecData[Yaw Angle (°)])-180),360),MOD(180-ABS(ABS($DB$1-RecData[Yaw Angle (°)])-180),360))</f>
        <v>22.470330714377837</v>
      </c>
      <c r="DB684" s="2" t="str">
        <f>IF($DP$2="None","None",IF(RecData[[#This Row],[Relative Wind Direction]]&lt;=45,"DW",IF(RecData[[#This Row],[Relative Wind Direction]]&lt;=135,"CW","UW")))</f>
        <v>DW</v>
      </c>
      <c r="DC684" s="61" t="e">
        <f>IF($CL684-$CL683&gt;1/24,#REF!,IF(SUM($CQ683:$CQ684)&gt;$DS$1,$DS$5,DC685-1))</f>
        <v>#REF!</v>
      </c>
      <c r="DD684" s="61">
        <f>IF($CL685-$CL684&gt;1/24,#REF!,IF(SUM($CQ683:$CQ684)&gt;$DS$1,$DS$6,DD683-1))</f>
        <v>-2</v>
      </c>
      <c r="DE684" s="18" t="b">
        <v>0</v>
      </c>
      <c r="DF684" s="2" t="b">
        <f>IF(OR(RecData[[#This Row],[WSpd_Avg '[m/s']]]-RecData[[#This Row],[Wind Speed min]]&gt;=$DF$3,RecData[[#This Row],[Wind Speed max]]-RecData[[#This Row],[WSpd_Avg '[m/s']]]&gt;=$DF$2),TRUE,FALSE)</f>
        <v>0</v>
      </c>
      <c r="DG684" s="2" t="b">
        <f>RecData[[#This Row],[Temperature '[°C']]]&lt;=-20</f>
        <v>0</v>
      </c>
      <c r="DH684" s="18" t="b">
        <f>NOT(OR(MOD(RecData[[#This Row],[TIMESTAMP]],1)&gt;0.91632,MOD(RecData[[#This Row],[TIMESTAMP]],1)&lt;0.208681))</f>
        <v>0</v>
      </c>
      <c r="DI684" s="18" t="b">
        <f>RecData[[#This Row],[Overall (dBA)]]-RecData[[#This Row],[L90]]&gt;=$DS$4</f>
        <v>0</v>
      </c>
      <c r="DJ684" s="18" t="b">
        <f>RecData[[#This Row],[Overall (dBA)]]&gt;$DS$2</f>
        <v>0</v>
      </c>
      <c r="DK684" s="18" t="b">
        <f>RecData[[#This Row],[Overall (dBA)]]&lt;$DS$3</f>
        <v>0</v>
      </c>
      <c r="DL6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4" s="2">
        <f>IF(AND(RecData[[#This Row],[Turbines ON/OFF]] = "OFF", NOT(OR(RecData[[#This Row],[Junk?]]="YES",RecData[[#This Row],[Gust?]],RecData[[#This Row],[Rain?]:[Min SPL Threshold?]]))),1,0)</f>
        <v>0</v>
      </c>
      <c r="DN684" s="16">
        <f>RecData[[#This Row],[dBA Sum]]</f>
        <v>41.015444149099991</v>
      </c>
      <c r="DO684" s="16">
        <f>RecData[[#This Row],[LAF90.0]]</f>
        <v>40.4</v>
      </c>
      <c r="DP684" s="55">
        <f>IF(AND(RecData[[#This Row],[Useable TON Data?]],RecData[[#This Row],[Turbines ON/OFF]]="ON"),RecData[[#This Row],[dBA Sum]],"")</f>
        <v>41.015444149099991</v>
      </c>
      <c r="DQ684" s="55" t="str">
        <f>IF(AND(RecData[[#This Row],[Useable Background Data?]],RecData[[#This Row],[Turbines ON/OFF]]="OFF"),RecData[[#This Row],[dBA Sum]],"")</f>
        <v/>
      </c>
      <c r="DR684" s="3">
        <f>IF(OR(RecData[[#This Row],[Useable TON Data?]],RecData[[#This Row],[Useable Background Data?]]),ROUND(RecData[[#This Row],[WSpd_Avg '[m/s']]],0),"")</f>
        <v>1</v>
      </c>
      <c r="DS684" s="85">
        <f>(0.00002)^2*(10^(RecData[[#This Row],[Overall (dBA)]]/10))</f>
        <v>5.0536412201905767E-6</v>
      </c>
    </row>
    <row r="685" spans="1:123" ht="15" x14ac:dyDescent="0.25">
      <c r="A685" s="3" t="s">
        <v>249</v>
      </c>
      <c r="B685" s="12">
        <v>43270.192361111112</v>
      </c>
      <c r="C685" s="3"/>
      <c r="D685" s="3">
        <v>41.1</v>
      </c>
      <c r="E685" s="3"/>
      <c r="F685" s="3"/>
      <c r="G685" s="3"/>
      <c r="H685" s="3"/>
      <c r="I685" s="3"/>
      <c r="J685" s="3"/>
      <c r="K685" s="3">
        <v>40.1</v>
      </c>
      <c r="L685" s="3"/>
      <c r="M685" s="3"/>
      <c r="N685" s="3">
        <v>156.80000000000001</v>
      </c>
      <c r="O685" s="3"/>
      <c r="P685" s="3"/>
      <c r="Q685" s="3">
        <v>0.74</v>
      </c>
      <c r="R685" s="3">
        <v>0.5</v>
      </c>
      <c r="S685" s="3">
        <v>1</v>
      </c>
      <c r="T685" s="3">
        <v>11</v>
      </c>
      <c r="U685" s="3">
        <v>87.5</v>
      </c>
      <c r="V685" s="3">
        <v>973.9</v>
      </c>
      <c r="W685" s="3">
        <v>0</v>
      </c>
      <c r="X685" s="3">
        <v>46.2</v>
      </c>
      <c r="Y685" s="3">
        <v>45.1</v>
      </c>
      <c r="Z685" s="3">
        <v>44.8</v>
      </c>
      <c r="AA685" s="3">
        <v>41.1</v>
      </c>
      <c r="AB685" s="3">
        <v>36.5</v>
      </c>
      <c r="AC685" s="3">
        <v>34</v>
      </c>
      <c r="AD685" s="3">
        <v>39.1</v>
      </c>
      <c r="AE685" s="3">
        <v>41.9</v>
      </c>
      <c r="AF685" s="3">
        <v>46.3</v>
      </c>
      <c r="AG685" s="3">
        <v>40.700000000000003</v>
      </c>
      <c r="AH685" s="3">
        <v>40.4</v>
      </c>
      <c r="AI685" s="3">
        <v>39.9</v>
      </c>
      <c r="AJ685" s="3">
        <v>39</v>
      </c>
      <c r="AK685" s="3">
        <v>36.6</v>
      </c>
      <c r="AL685" s="3">
        <v>34.4</v>
      </c>
      <c r="AM685" s="3">
        <v>33.5</v>
      </c>
      <c r="AN685" s="3">
        <v>31.2</v>
      </c>
      <c r="AO685" s="3">
        <v>27</v>
      </c>
      <c r="AP685" s="3">
        <v>25.2</v>
      </c>
      <c r="AQ685" s="3">
        <v>22.5</v>
      </c>
      <c r="AR685" s="3">
        <v>18.7</v>
      </c>
      <c r="AS685" s="3">
        <v>17.8</v>
      </c>
      <c r="AT685" s="3">
        <v>25.3</v>
      </c>
      <c r="AU685" s="3">
        <v>12.1</v>
      </c>
      <c r="AV685" s="3">
        <v>9.5</v>
      </c>
      <c r="AW685" s="3">
        <v>8.9</v>
      </c>
      <c r="AX685" s="3">
        <v>9.1</v>
      </c>
      <c r="AY685" s="3">
        <v>9.3000000000000007</v>
      </c>
      <c r="AZ685" s="3">
        <v>0</v>
      </c>
      <c r="BA685" s="3">
        <v>0</v>
      </c>
      <c r="BB685" s="3">
        <v>0</v>
      </c>
      <c r="BC685" s="3">
        <v>41.111597721253275</v>
      </c>
      <c r="BD685" s="3">
        <v>46.188402278746736</v>
      </c>
      <c r="BE685" s="3">
        <v>45.088402278746727</v>
      </c>
      <c r="BF685" s="3">
        <v>43.548402278746721</v>
      </c>
      <c r="BG685" s="3">
        <v>40.175068945413386</v>
      </c>
      <c r="BH685" s="3">
        <v>35.715068945413392</v>
      </c>
      <c r="BI685" s="3">
        <v>33.628402278746734</v>
      </c>
      <c r="BJ685" s="3">
        <v>39.52173561208005</v>
      </c>
      <c r="BK685" s="3">
        <v>42.195068945413396</v>
      </c>
      <c r="BL685" s="3">
        <v>46.168402278746726</v>
      </c>
      <c r="BM685" s="3">
        <v>40.701735612080057</v>
      </c>
      <c r="BN685" s="3">
        <v>40.685068945413391</v>
      </c>
      <c r="BO685" s="3">
        <v>39.551735612080051</v>
      </c>
      <c r="BP685" s="3">
        <v>38.368402278746728</v>
      </c>
      <c r="BQ685" s="3">
        <v>36.385068945413394</v>
      </c>
      <c r="BR685" s="3">
        <v>34.511735612080059</v>
      </c>
      <c r="BS685" s="3">
        <v>33.415068945413395</v>
      </c>
      <c r="BT685" s="3">
        <v>31.311735612080057</v>
      </c>
      <c r="BU685" s="3">
        <v>27.078402278746722</v>
      </c>
      <c r="BV685" s="3">
        <v>24.995068945413394</v>
      </c>
      <c r="BW685" s="3">
        <v>22.828402278746729</v>
      </c>
      <c r="BX685" s="3">
        <v>18.948402278746727</v>
      </c>
      <c r="BY685" s="3">
        <v>17.868402278746728</v>
      </c>
      <c r="BZ685" s="3">
        <v>25.498402278746738</v>
      </c>
      <c r="CA685" s="3">
        <v>12.398402278746715</v>
      </c>
      <c r="CB685" s="3">
        <v>9.2350689454133885</v>
      </c>
      <c r="CC685" s="3">
        <v>8.8484022787467254</v>
      </c>
      <c r="CD685" s="3">
        <v>8.3550689454133931</v>
      </c>
      <c r="CE685" s="3">
        <v>8.7484022787467239</v>
      </c>
      <c r="CF685" s="3">
        <v>-0.93826438791994349</v>
      </c>
      <c r="CG685" s="3">
        <v>-1.4715977212532749</v>
      </c>
      <c r="CH685" s="3">
        <v>-2.5482643879199429</v>
      </c>
      <c r="CI685" s="13">
        <f>[1]!dbasum(RecData[[#This Row],[20]:[2000]],RecData[[#Headers],[20]:[2000]])</f>
        <v>40.802036131812962</v>
      </c>
      <c r="CJ685" s="14">
        <v>8454</v>
      </c>
      <c r="CK685" s="15" t="s">
        <v>249</v>
      </c>
      <c r="CL685" s="15">
        <f>RecData[[#This Row],[Start Time]]</f>
        <v>43270.192361111112</v>
      </c>
      <c r="CM685" s="16">
        <f>RecData[[#This Row],[Wind Speed avg]]</f>
        <v>0.74</v>
      </c>
      <c r="CN685" s="16">
        <f>RecData[[#This Row],[Wind Dir. avg]]</f>
        <v>156.80000000000001</v>
      </c>
      <c r="CO685" s="16">
        <f>RecData[[#This Row],[Amb. Humidity]]</f>
        <v>87.5</v>
      </c>
      <c r="CP685" s="16">
        <f>RecData[[#This Row],[Amb. Temperature]]</f>
        <v>11</v>
      </c>
      <c r="CQ685" s="17">
        <f>RecData[[#This Row],[Amb. Rain Gauge]]</f>
        <v>0</v>
      </c>
      <c r="CR685" s="4" t="s">
        <v>1</v>
      </c>
      <c r="CS685" s="4" t="s">
        <v>49</v>
      </c>
      <c r="CT685" s="70">
        <v>1552.58166503906</v>
      </c>
      <c r="CU685" s="70">
        <v>30.000257492065401</v>
      </c>
      <c r="CV685" s="70">
        <v>9.9623270034790004</v>
      </c>
      <c r="CW685" s="70">
        <v>15.2603359222412</v>
      </c>
      <c r="CX685" s="4"/>
      <c r="CY685" s="69"/>
      <c r="CZ685" s="2" t="b">
        <f>IF($DP$1="YES",IF(RecData[[#This Row],[Power (kW)]]&gt;=$CR$3, TRUE,FALSE),TRUE)</f>
        <v>1</v>
      </c>
      <c r="DA685" s="16">
        <f>MIN(MOD(180-ABS(ABS($DA$1-RecData[Yaw Angle (°)])-180),360),MOD(180-ABS(ABS($DB$1-RecData[Yaw Angle (°)])-180),360))</f>
        <v>22.470330714377837</v>
      </c>
      <c r="DB685" s="2" t="str">
        <f>IF($DP$2="None","None",IF(RecData[[#This Row],[Relative Wind Direction]]&lt;=45,"DW",IF(RecData[[#This Row],[Relative Wind Direction]]&lt;=135,"CW","UW")))</f>
        <v>DW</v>
      </c>
      <c r="DC685" s="61" t="e">
        <f>IF($CL685-$CL683&gt;1/24,#REF!,IF(SUM($CQ683:$CQ685)&gt;$DS$1,$DS$5,DC686-1))</f>
        <v>#REF!</v>
      </c>
      <c r="DD685" s="61">
        <f>IF($CL686-$CL685&gt;1/24,#REF!,IF(SUM($CQ683:$CQ685)&gt;$DS$1,$DS$6,DD684-1))</f>
        <v>-3</v>
      </c>
      <c r="DE685" s="18" t="b">
        <v>0</v>
      </c>
      <c r="DF685" s="2" t="b">
        <f>IF(OR(RecData[[#This Row],[WSpd_Avg '[m/s']]]-RecData[[#This Row],[Wind Speed min]]&gt;=$DF$3,RecData[[#This Row],[Wind Speed max]]-RecData[[#This Row],[WSpd_Avg '[m/s']]]&gt;=$DF$2),TRUE,FALSE)</f>
        <v>0</v>
      </c>
      <c r="DG685" s="2" t="b">
        <f>RecData[[#This Row],[Temperature '[°C']]]&lt;=-20</f>
        <v>0</v>
      </c>
      <c r="DH685" s="18" t="b">
        <f>NOT(OR(MOD(RecData[[#This Row],[TIMESTAMP]],1)&gt;0.91632,MOD(RecData[[#This Row],[TIMESTAMP]],1)&lt;0.208681))</f>
        <v>0</v>
      </c>
      <c r="DI685" s="18" t="b">
        <f>RecData[[#This Row],[Overall (dBA)]]-RecData[[#This Row],[L90]]&gt;=$DS$4</f>
        <v>0</v>
      </c>
      <c r="DJ685" s="18" t="b">
        <f>RecData[[#This Row],[Overall (dBA)]]&gt;$DS$2</f>
        <v>0</v>
      </c>
      <c r="DK685" s="18" t="b">
        <f>RecData[[#This Row],[Overall (dBA)]]&lt;$DS$3</f>
        <v>0</v>
      </c>
      <c r="DL6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5" s="2">
        <f>IF(AND(RecData[[#This Row],[Turbines ON/OFF]] = "OFF", NOT(OR(RecData[[#This Row],[Junk?]]="YES",RecData[[#This Row],[Gust?]],RecData[[#This Row],[Rain?]:[Min SPL Threshold?]]))),1,0)</f>
        <v>0</v>
      </c>
      <c r="DN685" s="16">
        <f>RecData[[#This Row],[dBA Sum]]</f>
        <v>40.802036131812962</v>
      </c>
      <c r="DO685" s="16">
        <f>RecData[[#This Row],[LAF90.0]]</f>
        <v>40.1</v>
      </c>
      <c r="DP685" s="55">
        <f>IF(AND(RecData[[#This Row],[Useable TON Data?]],RecData[[#This Row],[Turbines ON/OFF]]="ON"),RecData[[#This Row],[dBA Sum]],"")</f>
        <v>40.802036131812962</v>
      </c>
      <c r="DQ685" s="55" t="str">
        <f>IF(AND(RecData[[#This Row],[Useable Background Data?]],RecData[[#This Row],[Turbines ON/OFF]]="OFF"),RecData[[#This Row],[dBA Sum]],"")</f>
        <v/>
      </c>
      <c r="DR685" s="3">
        <f>IF(OR(RecData[[#This Row],[Useable TON Data?]],RecData[[#This Row],[Useable Background Data?]]),ROUND(RecData[[#This Row],[WSpd_Avg '[m/s']]],0),"")</f>
        <v>1</v>
      </c>
      <c r="DS685" s="85">
        <f>(0.00002)^2*(10^(RecData[[#This Row],[Overall (dBA)]]/10))</f>
        <v>4.8113129297312814E-6</v>
      </c>
    </row>
    <row r="686" spans="1:123" ht="15" x14ac:dyDescent="0.25">
      <c r="A686" s="3" t="s">
        <v>249</v>
      </c>
      <c r="B686" s="12">
        <v>43270.193055555559</v>
      </c>
      <c r="C686" s="3"/>
      <c r="D686" s="3">
        <v>40.5</v>
      </c>
      <c r="E686" s="3"/>
      <c r="F686" s="3"/>
      <c r="G686" s="3"/>
      <c r="H686" s="3"/>
      <c r="I686" s="3"/>
      <c r="J686" s="3"/>
      <c r="K686" s="3">
        <v>39.4</v>
      </c>
      <c r="L686" s="3"/>
      <c r="M686" s="3"/>
      <c r="N686" s="3">
        <v>175.5</v>
      </c>
      <c r="O686" s="3"/>
      <c r="P686" s="3"/>
      <c r="Q686" s="3">
        <v>0.75</v>
      </c>
      <c r="R686" s="3">
        <v>0.6</v>
      </c>
      <c r="S686" s="3">
        <v>0.9</v>
      </c>
      <c r="T686" s="3">
        <v>10.9</v>
      </c>
      <c r="U686" s="3">
        <v>88.1</v>
      </c>
      <c r="V686" s="3">
        <v>973.9</v>
      </c>
      <c r="W686" s="3">
        <v>0</v>
      </c>
      <c r="X686" s="3">
        <v>45.8</v>
      </c>
      <c r="Y686" s="3">
        <v>44.8</v>
      </c>
      <c r="Z686" s="3">
        <v>44.8</v>
      </c>
      <c r="AA686" s="3">
        <v>41.2</v>
      </c>
      <c r="AB686" s="3">
        <v>36</v>
      </c>
      <c r="AC686" s="3">
        <v>33.9</v>
      </c>
      <c r="AD686" s="3">
        <v>38.5</v>
      </c>
      <c r="AE686" s="3">
        <v>41.2</v>
      </c>
      <c r="AF686" s="3">
        <v>46.4</v>
      </c>
      <c r="AG686" s="3">
        <v>40.200000000000003</v>
      </c>
      <c r="AH686" s="3">
        <v>39.799999999999997</v>
      </c>
      <c r="AI686" s="3">
        <v>39.200000000000003</v>
      </c>
      <c r="AJ686" s="3">
        <v>38.1</v>
      </c>
      <c r="AK686" s="3">
        <v>36</v>
      </c>
      <c r="AL686" s="3">
        <v>33.6</v>
      </c>
      <c r="AM686" s="3">
        <v>32.9</v>
      </c>
      <c r="AN686" s="3">
        <v>30.7</v>
      </c>
      <c r="AO686" s="3">
        <v>27</v>
      </c>
      <c r="AP686" s="3">
        <v>25.6</v>
      </c>
      <c r="AQ686" s="3">
        <v>22.6</v>
      </c>
      <c r="AR686" s="3">
        <v>18.899999999999999</v>
      </c>
      <c r="AS686" s="3">
        <v>17.7</v>
      </c>
      <c r="AT686" s="3">
        <v>22.3</v>
      </c>
      <c r="AU686" s="3">
        <v>10.6</v>
      </c>
      <c r="AV686" s="3">
        <v>9.6999999999999993</v>
      </c>
      <c r="AW686" s="3">
        <v>8.9</v>
      </c>
      <c r="AX686" s="3">
        <v>9</v>
      </c>
      <c r="AY686" s="3">
        <v>9.3000000000000007</v>
      </c>
      <c r="AZ686" s="3">
        <v>0</v>
      </c>
      <c r="BA686" s="3">
        <v>0</v>
      </c>
      <c r="BB686" s="3">
        <v>0</v>
      </c>
      <c r="BC686" s="3">
        <v>40.533098553832616</v>
      </c>
      <c r="BD686" s="3">
        <v>45.766901446167381</v>
      </c>
      <c r="BE686" s="3">
        <v>44.766901446167381</v>
      </c>
      <c r="BF686" s="3">
        <v>43.526901446167386</v>
      </c>
      <c r="BG686" s="3">
        <v>40.253568112834046</v>
      </c>
      <c r="BH686" s="3">
        <v>35.193568112834043</v>
      </c>
      <c r="BI686" s="3">
        <v>33.506901446167376</v>
      </c>
      <c r="BJ686" s="3">
        <v>38.900234779500721</v>
      </c>
      <c r="BK686" s="3">
        <v>41.473568112834045</v>
      </c>
      <c r="BL686" s="3">
        <v>46.246901446167385</v>
      </c>
      <c r="BM686" s="3">
        <v>40.180234779500722</v>
      </c>
      <c r="BN686" s="3">
        <v>40.063568112834048</v>
      </c>
      <c r="BO686" s="3">
        <v>38.830234779500728</v>
      </c>
      <c r="BP686" s="3">
        <v>37.446901446167388</v>
      </c>
      <c r="BQ686" s="3">
        <v>35.763568112834037</v>
      </c>
      <c r="BR686" s="3">
        <v>33.690234779500713</v>
      </c>
      <c r="BS686" s="3">
        <v>32.793568112834052</v>
      </c>
      <c r="BT686" s="3">
        <v>30.790234779500722</v>
      </c>
      <c r="BU686" s="3">
        <v>27.056901446167387</v>
      </c>
      <c r="BV686" s="3">
        <v>25.37356811283405</v>
      </c>
      <c r="BW686" s="3">
        <v>22.906901446167389</v>
      </c>
      <c r="BX686" s="3">
        <v>19.126901446167388</v>
      </c>
      <c r="BY686" s="3">
        <v>17.746901446167385</v>
      </c>
      <c r="BZ686" s="3">
        <v>22.476901446167389</v>
      </c>
      <c r="CA686" s="3">
        <v>10.876901446167381</v>
      </c>
      <c r="CB686" s="3">
        <v>9.4135681128340494</v>
      </c>
      <c r="CC686" s="3">
        <v>8.8269014461673834</v>
      </c>
      <c r="CD686" s="3">
        <v>8.2335681128340568</v>
      </c>
      <c r="CE686" s="3">
        <v>8.7269014461673819</v>
      </c>
      <c r="CF686" s="3">
        <v>-0.95976522049928548</v>
      </c>
      <c r="CG686" s="3">
        <v>-1.4930985538326169</v>
      </c>
      <c r="CH686" s="3">
        <v>-2.5697652204992849</v>
      </c>
      <c r="CI686" s="13">
        <f>[1]!dbasum(RecData[[#This Row],[20]:[2000]],RecData[[#Headers],[20]:[2000]])</f>
        <v>40.271648922790185</v>
      </c>
      <c r="CJ686" s="14">
        <v>8455</v>
      </c>
      <c r="CK686" s="15" t="s">
        <v>249</v>
      </c>
      <c r="CL686" s="15">
        <f>RecData[[#This Row],[Start Time]]</f>
        <v>43270.193055555559</v>
      </c>
      <c r="CM686" s="16">
        <f>RecData[[#This Row],[Wind Speed avg]]</f>
        <v>0.75</v>
      </c>
      <c r="CN686" s="16">
        <f>RecData[[#This Row],[Wind Dir. avg]]</f>
        <v>175.5</v>
      </c>
      <c r="CO686" s="16">
        <f>RecData[[#This Row],[Amb. Humidity]]</f>
        <v>88.1</v>
      </c>
      <c r="CP686" s="16">
        <f>RecData[[#This Row],[Amb. Temperature]]</f>
        <v>10.9</v>
      </c>
      <c r="CQ686" s="17">
        <f>RecData[[#This Row],[Amb. Rain Gauge]]</f>
        <v>0</v>
      </c>
      <c r="CR686" s="4" t="s">
        <v>1</v>
      </c>
      <c r="CS686" s="4" t="s">
        <v>49</v>
      </c>
      <c r="CT686" s="70">
        <v>1552.58166503906</v>
      </c>
      <c r="CU686" s="70">
        <v>30.000257492065401</v>
      </c>
      <c r="CV686" s="70">
        <v>9.9623270034790004</v>
      </c>
      <c r="CW686" s="70">
        <v>15.2603359222412</v>
      </c>
      <c r="CX686" s="4"/>
      <c r="CY686" s="69"/>
      <c r="CZ686" s="2" t="b">
        <f>IF($DP$1="YES",IF(RecData[[#This Row],[Power (kW)]]&gt;=$CR$3, TRUE,FALSE),TRUE)</f>
        <v>1</v>
      </c>
      <c r="DA686" s="16">
        <f>MIN(MOD(180-ABS(ABS($DA$1-RecData[Yaw Angle (°)])-180),360),MOD(180-ABS(ABS($DB$1-RecData[Yaw Angle (°)])-180),360))</f>
        <v>22.470330714377837</v>
      </c>
      <c r="DB686" s="2" t="str">
        <f>IF($DP$2="None","None",IF(RecData[[#This Row],[Relative Wind Direction]]&lt;=45,"DW",IF(RecData[[#This Row],[Relative Wind Direction]]&lt;=135,"CW","UW")))</f>
        <v>DW</v>
      </c>
      <c r="DC686" s="61" t="e">
        <f>IF($CL686-$CL683&gt;1/24,#REF!,IF(SUM($CQ683:$CQ686)&gt;$DS$1,$DS$5,DC687-1))</f>
        <v>#REF!</v>
      </c>
      <c r="DD686" s="61">
        <f>IF($CL687-$CL686&gt;1/24,#REF!,IF(SUM($CQ683:$CQ686)&gt;$DS$1,$DS$6,DD685-1))</f>
        <v>-4</v>
      </c>
      <c r="DE686" s="18" t="b">
        <v>0</v>
      </c>
      <c r="DF686" s="2" t="b">
        <f>IF(OR(RecData[[#This Row],[WSpd_Avg '[m/s']]]-RecData[[#This Row],[Wind Speed min]]&gt;=$DF$3,RecData[[#This Row],[Wind Speed max]]-RecData[[#This Row],[WSpd_Avg '[m/s']]]&gt;=$DF$2),TRUE,FALSE)</f>
        <v>0</v>
      </c>
      <c r="DG686" s="2" t="b">
        <f>RecData[[#This Row],[Temperature '[°C']]]&lt;=-20</f>
        <v>0</v>
      </c>
      <c r="DH686" s="18" t="b">
        <f>NOT(OR(MOD(RecData[[#This Row],[TIMESTAMP]],1)&gt;0.91632,MOD(RecData[[#This Row],[TIMESTAMP]],1)&lt;0.208681))</f>
        <v>0</v>
      </c>
      <c r="DI686" s="18" t="b">
        <f>RecData[[#This Row],[Overall (dBA)]]-RecData[[#This Row],[L90]]&gt;=$DS$4</f>
        <v>0</v>
      </c>
      <c r="DJ686" s="18" t="b">
        <f>RecData[[#This Row],[Overall (dBA)]]&gt;$DS$2</f>
        <v>0</v>
      </c>
      <c r="DK686" s="18" t="b">
        <f>RecData[[#This Row],[Overall (dBA)]]&lt;$DS$3</f>
        <v>0</v>
      </c>
      <c r="DL6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6" s="2">
        <f>IF(AND(RecData[[#This Row],[Turbines ON/OFF]] = "OFF", NOT(OR(RecData[[#This Row],[Junk?]]="YES",RecData[[#This Row],[Gust?]],RecData[[#This Row],[Rain?]:[Min SPL Threshold?]]))),1,0)</f>
        <v>0</v>
      </c>
      <c r="DN686" s="16">
        <f>RecData[[#This Row],[dBA Sum]]</f>
        <v>40.271648922790185</v>
      </c>
      <c r="DO686" s="16">
        <f>RecData[[#This Row],[LAF90.0]]</f>
        <v>39.4</v>
      </c>
      <c r="DP686" s="55">
        <f>IF(AND(RecData[[#This Row],[Useable TON Data?]],RecData[[#This Row],[Turbines ON/OFF]]="ON"),RecData[[#This Row],[dBA Sum]],"")</f>
        <v>40.271648922790185</v>
      </c>
      <c r="DQ686" s="55" t="str">
        <f>IF(AND(RecData[[#This Row],[Useable Background Data?]],RecData[[#This Row],[Turbines ON/OFF]]="OFF"),RecData[[#This Row],[dBA Sum]],"")</f>
        <v/>
      </c>
      <c r="DR686" s="3">
        <f>IF(OR(RecData[[#This Row],[Useable TON Data?]],RecData[[#This Row],[Useable Background Data?]]),ROUND(RecData[[#This Row],[WSpd_Avg '[m/s']]],0),"")</f>
        <v>1</v>
      </c>
      <c r="DS686" s="85">
        <f>(0.00002)^2*(10^(RecData[[#This Row],[Overall (dBA)]]/10))</f>
        <v>4.2581885086559834E-6</v>
      </c>
    </row>
    <row r="687" spans="1:123" ht="15" x14ac:dyDescent="0.25">
      <c r="A687" s="3" t="s">
        <v>249</v>
      </c>
      <c r="B687" s="12">
        <v>43270.193750000006</v>
      </c>
      <c r="C687" s="3"/>
      <c r="D687" s="3">
        <v>41.2</v>
      </c>
      <c r="E687" s="3"/>
      <c r="F687" s="3"/>
      <c r="G687" s="3"/>
      <c r="H687" s="3"/>
      <c r="I687" s="3"/>
      <c r="J687" s="3"/>
      <c r="K687" s="3">
        <v>40.1</v>
      </c>
      <c r="L687" s="3"/>
      <c r="M687" s="3"/>
      <c r="N687" s="3">
        <v>174</v>
      </c>
      <c r="O687" s="3"/>
      <c r="P687" s="3"/>
      <c r="Q687" s="3">
        <v>0.78</v>
      </c>
      <c r="R687" s="3">
        <v>0.6</v>
      </c>
      <c r="S687" s="3">
        <v>1</v>
      </c>
      <c r="T687" s="3">
        <v>10.8</v>
      </c>
      <c r="U687" s="3">
        <v>88.9</v>
      </c>
      <c r="V687" s="3">
        <v>973.9</v>
      </c>
      <c r="W687" s="3">
        <v>0</v>
      </c>
      <c r="X687" s="3">
        <v>46.2</v>
      </c>
      <c r="Y687" s="3">
        <v>44.2</v>
      </c>
      <c r="Z687" s="3">
        <v>43.8</v>
      </c>
      <c r="AA687" s="3">
        <v>40.9</v>
      </c>
      <c r="AB687" s="3">
        <v>36.200000000000003</v>
      </c>
      <c r="AC687" s="3">
        <v>34.1</v>
      </c>
      <c r="AD687" s="3">
        <v>39.299999999999997</v>
      </c>
      <c r="AE687" s="3">
        <v>41.9</v>
      </c>
      <c r="AF687" s="3">
        <v>47.8</v>
      </c>
      <c r="AG687" s="3">
        <v>41.6</v>
      </c>
      <c r="AH687" s="3">
        <v>40</v>
      </c>
      <c r="AI687" s="3">
        <v>40.5</v>
      </c>
      <c r="AJ687" s="3">
        <v>38.700000000000003</v>
      </c>
      <c r="AK687" s="3">
        <v>36.700000000000003</v>
      </c>
      <c r="AL687" s="3">
        <v>34.1</v>
      </c>
      <c r="AM687" s="3">
        <v>33.299999999999997</v>
      </c>
      <c r="AN687" s="3">
        <v>30.8</v>
      </c>
      <c r="AO687" s="3">
        <v>27.4</v>
      </c>
      <c r="AP687" s="3">
        <v>25.8</v>
      </c>
      <c r="AQ687" s="3">
        <v>23.1</v>
      </c>
      <c r="AR687" s="3">
        <v>19.3</v>
      </c>
      <c r="AS687" s="3">
        <v>15.1</v>
      </c>
      <c r="AT687" s="3">
        <v>22.8</v>
      </c>
      <c r="AU687" s="3">
        <v>11.4</v>
      </c>
      <c r="AV687" s="3">
        <v>10.4</v>
      </c>
      <c r="AW687" s="3">
        <v>8.9</v>
      </c>
      <c r="AX687" s="3">
        <v>9.1</v>
      </c>
      <c r="AY687" s="3">
        <v>9.3000000000000007</v>
      </c>
      <c r="AZ687" s="3">
        <v>0</v>
      </c>
      <c r="BA687" s="3">
        <v>0</v>
      </c>
      <c r="BB687" s="3">
        <v>0</v>
      </c>
      <c r="BC687" s="3">
        <v>41.197984678233809</v>
      </c>
      <c r="BD687" s="3">
        <v>46.202015321766197</v>
      </c>
      <c r="BE687" s="3">
        <v>44.202015321766197</v>
      </c>
      <c r="BF687" s="3">
        <v>42.562015321766182</v>
      </c>
      <c r="BG687" s="3">
        <v>39.988681988432859</v>
      </c>
      <c r="BH687" s="3">
        <v>35.428681988432857</v>
      </c>
      <c r="BI687" s="3">
        <v>33.742015321766189</v>
      </c>
      <c r="BJ687" s="3">
        <v>39.735348655099529</v>
      </c>
      <c r="BK687" s="3">
        <v>42.208681988432858</v>
      </c>
      <c r="BL687" s="3">
        <v>47.682015321766187</v>
      </c>
      <c r="BM687" s="3">
        <v>41.615348655099524</v>
      </c>
      <c r="BN687" s="3">
        <v>40.298681988432861</v>
      </c>
      <c r="BO687" s="3">
        <v>40.165348655099535</v>
      </c>
      <c r="BP687" s="3">
        <v>38.082015321766193</v>
      </c>
      <c r="BQ687" s="3">
        <v>36.49868198843285</v>
      </c>
      <c r="BR687" s="3">
        <v>34.225348655099538</v>
      </c>
      <c r="BS687" s="3">
        <v>33.228681988432868</v>
      </c>
      <c r="BT687" s="3">
        <v>30.925348655099526</v>
      </c>
      <c r="BU687" s="3">
        <v>27.492015321766189</v>
      </c>
      <c r="BV687" s="3">
        <v>25.608681988432863</v>
      </c>
      <c r="BW687" s="3">
        <v>23.442015321766206</v>
      </c>
      <c r="BX687" s="3">
        <v>19.562015321766197</v>
      </c>
      <c r="BY687" s="3">
        <v>15.182015321766194</v>
      </c>
      <c r="BZ687" s="3">
        <v>23.012015321766199</v>
      </c>
      <c r="CA687" s="3">
        <v>11.712015321766188</v>
      </c>
      <c r="CB687" s="3">
        <v>10.148681988432855</v>
      </c>
      <c r="CC687" s="3">
        <v>8.8620153217661937</v>
      </c>
      <c r="CD687" s="3">
        <v>8.3686819884328685</v>
      </c>
      <c r="CE687" s="3">
        <v>8.7620153217661922</v>
      </c>
      <c r="CF687" s="3">
        <v>-0.92465134490047518</v>
      </c>
      <c r="CG687" s="3">
        <v>-1.4579846782338066</v>
      </c>
      <c r="CH687" s="3">
        <v>-2.5346513449004746</v>
      </c>
      <c r="CI687" s="13">
        <f>[1]!dbasum(RecData[[#This Row],[20]:[2000]],RecData[[#Headers],[20]:[2000]])</f>
        <v>40.982938786716431</v>
      </c>
      <c r="CJ687" s="14">
        <v>8456</v>
      </c>
      <c r="CK687" s="15" t="s">
        <v>249</v>
      </c>
      <c r="CL687" s="15">
        <f>RecData[[#This Row],[Start Time]]</f>
        <v>43270.193750000006</v>
      </c>
      <c r="CM687" s="16">
        <f>RecData[[#This Row],[Wind Speed avg]]</f>
        <v>0.78</v>
      </c>
      <c r="CN687" s="16">
        <f>RecData[[#This Row],[Wind Dir. avg]]</f>
        <v>174</v>
      </c>
      <c r="CO687" s="16">
        <f>RecData[[#This Row],[Amb. Humidity]]</f>
        <v>88.9</v>
      </c>
      <c r="CP687" s="16">
        <f>RecData[[#This Row],[Amb. Temperature]]</f>
        <v>10.8</v>
      </c>
      <c r="CQ687" s="17">
        <f>RecData[[#This Row],[Amb. Rain Gauge]]</f>
        <v>0</v>
      </c>
      <c r="CR687" s="4" t="s">
        <v>1</v>
      </c>
      <c r="CS687" s="4" t="s">
        <v>49</v>
      </c>
      <c r="CT687" s="70">
        <v>1552.58166503906</v>
      </c>
      <c r="CU687" s="70">
        <v>30.000257492065401</v>
      </c>
      <c r="CV687" s="70">
        <v>9.9623270034790004</v>
      </c>
      <c r="CW687" s="70">
        <v>15.2603359222412</v>
      </c>
      <c r="CX687" s="4"/>
      <c r="CY687" s="69"/>
      <c r="CZ687" s="2" t="b">
        <f>IF($DP$1="YES",IF(RecData[[#This Row],[Power (kW)]]&gt;=$CR$3, TRUE,FALSE),TRUE)</f>
        <v>1</v>
      </c>
      <c r="DA687" s="16">
        <f>MIN(MOD(180-ABS(ABS($DA$1-RecData[Yaw Angle (°)])-180),360),MOD(180-ABS(ABS($DB$1-RecData[Yaw Angle (°)])-180),360))</f>
        <v>22.470330714377837</v>
      </c>
      <c r="DB687" s="2" t="str">
        <f>IF($DP$2="None","None",IF(RecData[[#This Row],[Relative Wind Direction]]&lt;=45,"DW",IF(RecData[[#This Row],[Relative Wind Direction]]&lt;=135,"CW","UW")))</f>
        <v>DW</v>
      </c>
      <c r="DC687" s="61" t="e">
        <f>IF($CL687-$CL683&gt;1/24,#REF!,IF(SUM($CQ683:$CQ687)&gt;$DS$1,$DS$5,DC688-1))</f>
        <v>#REF!</v>
      </c>
      <c r="DD687" s="61">
        <f>IF($CL688-$CL687&gt;1/24,#REF!,IF(SUM($CQ683:$CQ687)&gt;$DS$1,$DS$6,DD686-1))</f>
        <v>-5</v>
      </c>
      <c r="DE687" s="18" t="b">
        <v>0</v>
      </c>
      <c r="DF687" s="2" t="b">
        <f>IF(OR(RecData[[#This Row],[WSpd_Avg '[m/s']]]-RecData[[#This Row],[Wind Speed min]]&gt;=$DF$3,RecData[[#This Row],[Wind Speed max]]-RecData[[#This Row],[WSpd_Avg '[m/s']]]&gt;=$DF$2),TRUE,FALSE)</f>
        <v>0</v>
      </c>
      <c r="DG687" s="2" t="b">
        <f>RecData[[#This Row],[Temperature '[°C']]]&lt;=-20</f>
        <v>0</v>
      </c>
      <c r="DH687" s="18" t="b">
        <f>NOT(OR(MOD(RecData[[#This Row],[TIMESTAMP]],1)&gt;0.91632,MOD(RecData[[#This Row],[TIMESTAMP]],1)&lt;0.208681))</f>
        <v>0</v>
      </c>
      <c r="DI687" s="18" t="b">
        <f>RecData[[#This Row],[Overall (dBA)]]-RecData[[#This Row],[L90]]&gt;=$DS$4</f>
        <v>0</v>
      </c>
      <c r="DJ687" s="18" t="b">
        <f>RecData[[#This Row],[Overall (dBA)]]&gt;$DS$2</f>
        <v>0</v>
      </c>
      <c r="DK687" s="18" t="b">
        <f>RecData[[#This Row],[Overall (dBA)]]&lt;$DS$3</f>
        <v>0</v>
      </c>
      <c r="DL6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7" s="2">
        <f>IF(AND(RecData[[#This Row],[Turbines ON/OFF]] = "OFF", NOT(OR(RecData[[#This Row],[Junk?]]="YES",RecData[[#This Row],[Gust?]],RecData[[#This Row],[Rain?]:[Min SPL Threshold?]]))),1,0)</f>
        <v>0</v>
      </c>
      <c r="DN687" s="16">
        <f>RecData[[#This Row],[dBA Sum]]</f>
        <v>40.982938786716431</v>
      </c>
      <c r="DO687" s="16">
        <f>RecData[[#This Row],[LAF90.0]]</f>
        <v>40.1</v>
      </c>
      <c r="DP687" s="55">
        <f>IF(AND(RecData[[#This Row],[Useable TON Data?]],RecData[[#This Row],[Turbines ON/OFF]]="ON"),RecData[[#This Row],[dBA Sum]],"")</f>
        <v>40.982938786716431</v>
      </c>
      <c r="DQ687" s="55" t="str">
        <f>IF(AND(RecData[[#This Row],[Useable Background Data?]],RecData[[#This Row],[Turbines ON/OFF]]="OFF"),RecData[[#This Row],[dBA Sum]],"")</f>
        <v/>
      </c>
      <c r="DR687" s="3">
        <f>IF(OR(RecData[[#This Row],[Useable TON Data?]],RecData[[#This Row],[Useable Background Data?]]),ROUND(RecData[[#This Row],[WSpd_Avg '[m/s']]],0),"")</f>
        <v>1</v>
      </c>
      <c r="DS687" s="85">
        <f>(0.00002)^2*(10^(RecData[[#This Row],[Overall (dBA)]]/10))</f>
        <v>5.0159577531745441E-6</v>
      </c>
    </row>
    <row r="688" spans="1:123" ht="15" x14ac:dyDescent="0.25">
      <c r="A688" s="3" t="s">
        <v>249</v>
      </c>
      <c r="B688" s="12">
        <v>43270.194444444453</v>
      </c>
      <c r="C688" s="3"/>
      <c r="D688" s="3">
        <v>40.9</v>
      </c>
      <c r="E688" s="3"/>
      <c r="F688" s="3"/>
      <c r="G688" s="3"/>
      <c r="H688" s="3"/>
      <c r="I688" s="3"/>
      <c r="J688" s="3"/>
      <c r="K688" s="3">
        <v>39.799999999999997</v>
      </c>
      <c r="L688" s="3"/>
      <c r="M688" s="3"/>
      <c r="N688" s="3">
        <v>169.9</v>
      </c>
      <c r="O688" s="3"/>
      <c r="P688" s="3"/>
      <c r="Q688" s="3">
        <v>0.49</v>
      </c>
      <c r="R688" s="3">
        <v>0.1</v>
      </c>
      <c r="S688" s="3">
        <v>0.8</v>
      </c>
      <c r="T688" s="3">
        <v>10.8</v>
      </c>
      <c r="U688" s="3">
        <v>89.4</v>
      </c>
      <c r="V688" s="3">
        <v>974</v>
      </c>
      <c r="W688" s="3">
        <v>0</v>
      </c>
      <c r="X688" s="3">
        <v>46.1</v>
      </c>
      <c r="Y688" s="3">
        <v>43.6</v>
      </c>
      <c r="Z688" s="3">
        <v>43.6</v>
      </c>
      <c r="AA688" s="3">
        <v>40.799999999999997</v>
      </c>
      <c r="AB688" s="3">
        <v>35.9</v>
      </c>
      <c r="AC688" s="3">
        <v>34</v>
      </c>
      <c r="AD688" s="3">
        <v>38.700000000000003</v>
      </c>
      <c r="AE688" s="3">
        <v>41.4</v>
      </c>
      <c r="AF688" s="3">
        <v>46.6</v>
      </c>
      <c r="AG688" s="3">
        <v>41.3</v>
      </c>
      <c r="AH688" s="3">
        <v>39.299999999999997</v>
      </c>
      <c r="AI688" s="3">
        <v>40.4</v>
      </c>
      <c r="AJ688" s="3">
        <v>38.5</v>
      </c>
      <c r="AK688" s="3">
        <v>36.700000000000003</v>
      </c>
      <c r="AL688" s="3">
        <v>33.9</v>
      </c>
      <c r="AM688" s="3">
        <v>32.799999999999997</v>
      </c>
      <c r="AN688" s="3">
        <v>30.6</v>
      </c>
      <c r="AO688" s="3">
        <v>27.4</v>
      </c>
      <c r="AP688" s="3">
        <v>25.2</v>
      </c>
      <c r="AQ688" s="3">
        <v>23.4</v>
      </c>
      <c r="AR688" s="3">
        <v>19.399999999999999</v>
      </c>
      <c r="AS688" s="3">
        <v>15.2</v>
      </c>
      <c r="AT688" s="3">
        <v>21.6</v>
      </c>
      <c r="AU688" s="3">
        <v>8.6999999999999993</v>
      </c>
      <c r="AV688" s="3">
        <v>8.4</v>
      </c>
      <c r="AW688" s="3">
        <v>8.9</v>
      </c>
      <c r="AX688" s="3">
        <v>9.1</v>
      </c>
      <c r="AY688" s="3">
        <v>9.3000000000000007</v>
      </c>
      <c r="AZ688" s="3">
        <v>0</v>
      </c>
      <c r="BA688" s="3">
        <v>0</v>
      </c>
      <c r="BB688" s="3">
        <v>0</v>
      </c>
      <c r="BC688" s="3">
        <v>40.852212202024532</v>
      </c>
      <c r="BD688" s="3">
        <v>46.147787797975468</v>
      </c>
      <c r="BE688" s="3">
        <v>43.647787797975468</v>
      </c>
      <c r="BF688" s="3">
        <v>42.407787797975459</v>
      </c>
      <c r="BG688" s="3">
        <v>39.93445446464213</v>
      </c>
      <c r="BH688" s="3">
        <v>35.174454464642139</v>
      </c>
      <c r="BI688" s="3">
        <v>33.68778779797546</v>
      </c>
      <c r="BJ688" s="3">
        <v>39.181121131308799</v>
      </c>
      <c r="BK688" s="3">
        <v>41.754454464642123</v>
      </c>
      <c r="BL688" s="3">
        <v>46.527787797975463</v>
      </c>
      <c r="BM688" s="3">
        <v>41.361121131308806</v>
      </c>
      <c r="BN688" s="3">
        <v>39.644454464642138</v>
      </c>
      <c r="BO688" s="3">
        <v>40.111121131308806</v>
      </c>
      <c r="BP688" s="3">
        <v>37.927787797975469</v>
      </c>
      <c r="BQ688" s="3">
        <v>36.544454464642129</v>
      </c>
      <c r="BR688" s="3">
        <v>34.0711211313088</v>
      </c>
      <c r="BS688" s="3">
        <v>32.774454464642133</v>
      </c>
      <c r="BT688" s="3">
        <v>30.771121131308803</v>
      </c>
      <c r="BU688" s="3">
        <v>27.537787797975469</v>
      </c>
      <c r="BV688" s="3">
        <v>25.054454464642134</v>
      </c>
      <c r="BW688" s="3">
        <v>23.787787797975469</v>
      </c>
      <c r="BX688" s="3">
        <v>19.70778779797547</v>
      </c>
      <c r="BY688" s="3">
        <v>15.327787797975461</v>
      </c>
      <c r="BZ688" s="3">
        <v>21.857787797975476</v>
      </c>
      <c r="CA688" s="3">
        <v>9.0577877979754575</v>
      </c>
      <c r="CB688" s="3">
        <v>8.1944544646421349</v>
      </c>
      <c r="CC688" s="3">
        <v>8.907787797975466</v>
      </c>
      <c r="CD688" s="3">
        <v>8.4144544646421338</v>
      </c>
      <c r="CE688" s="3">
        <v>8.8077877979754646</v>
      </c>
      <c r="CF688" s="3">
        <v>-0.8788788686912028</v>
      </c>
      <c r="CG688" s="3">
        <v>-1.4122122020245342</v>
      </c>
      <c r="CH688" s="3">
        <v>-2.4888788686912022</v>
      </c>
      <c r="CI688" s="13">
        <f>[1]!dbasum(RecData[[#This Row],[20]:[2000]],RecData[[#Headers],[20]:[2000]])</f>
        <v>40.697019122530619</v>
      </c>
      <c r="CJ688" s="14">
        <v>8457</v>
      </c>
      <c r="CK688" s="15" t="s">
        <v>249</v>
      </c>
      <c r="CL688" s="15">
        <f>RecData[[#This Row],[Start Time]]</f>
        <v>43270.194444444453</v>
      </c>
      <c r="CM688" s="16">
        <f>RecData[[#This Row],[Wind Speed avg]]</f>
        <v>0.49</v>
      </c>
      <c r="CN688" s="16">
        <f>RecData[[#This Row],[Wind Dir. avg]]</f>
        <v>169.9</v>
      </c>
      <c r="CO688" s="16">
        <f>RecData[[#This Row],[Amb. Humidity]]</f>
        <v>89.4</v>
      </c>
      <c r="CP688" s="16">
        <f>RecData[[#This Row],[Amb. Temperature]]</f>
        <v>10.8</v>
      </c>
      <c r="CQ688" s="17">
        <f>RecData[[#This Row],[Amb. Rain Gauge]]</f>
        <v>0</v>
      </c>
      <c r="CR688" s="4" t="s">
        <v>1</v>
      </c>
      <c r="CS688" s="4" t="s">
        <v>49</v>
      </c>
      <c r="CT688" s="70">
        <v>1552.58166503906</v>
      </c>
      <c r="CU688" s="70">
        <v>30.000257492065401</v>
      </c>
      <c r="CV688" s="70">
        <v>9.9623270034790004</v>
      </c>
      <c r="CW688" s="70">
        <v>15.2603359222412</v>
      </c>
      <c r="CX688" s="4"/>
      <c r="CY688" s="69"/>
      <c r="CZ688" s="2" t="b">
        <f>IF($DP$1="YES",IF(RecData[[#This Row],[Power (kW)]]&gt;=$CR$3, TRUE,FALSE),TRUE)</f>
        <v>1</v>
      </c>
      <c r="DA688" s="16">
        <f>MIN(MOD(180-ABS(ABS($DA$1-RecData[Yaw Angle (°)])-180),360),MOD(180-ABS(ABS($DB$1-RecData[Yaw Angle (°)])-180),360))</f>
        <v>22.470330714377837</v>
      </c>
      <c r="DB688" s="2" t="str">
        <f>IF($DP$2="None","None",IF(RecData[[#This Row],[Relative Wind Direction]]&lt;=45,"DW",IF(RecData[[#This Row],[Relative Wind Direction]]&lt;=135,"CW","UW")))</f>
        <v>DW</v>
      </c>
      <c r="DC688" s="61" t="e">
        <f>IF($CL688-$CL684&gt;1/24,#REF!,IF(SUM($CQ684:$CQ688)&gt;$DS$1,$DS$5,#REF!-1))</f>
        <v>#REF!</v>
      </c>
      <c r="DD688" s="61" t="e">
        <f>IF(#REF!-$CL688&gt;1/24,#REF!,IF(SUM($CQ684:$CQ688)&gt;$DS$1,$DS$6,DD687-1))</f>
        <v>#REF!</v>
      </c>
      <c r="DE688" s="18" t="b">
        <v>0</v>
      </c>
      <c r="DF688" s="2" t="b">
        <f>IF(OR(RecData[[#This Row],[WSpd_Avg '[m/s']]]-RecData[[#This Row],[Wind Speed min]]&gt;=$DF$3,RecData[[#This Row],[Wind Speed max]]-RecData[[#This Row],[WSpd_Avg '[m/s']]]&gt;=$DF$2),TRUE,FALSE)</f>
        <v>0</v>
      </c>
      <c r="DG688" s="2" t="b">
        <f>RecData[[#This Row],[Temperature '[°C']]]&lt;=-20</f>
        <v>0</v>
      </c>
      <c r="DH688" s="18" t="b">
        <f>NOT(OR(MOD(RecData[[#This Row],[TIMESTAMP]],1)&gt;0.91632,MOD(RecData[[#This Row],[TIMESTAMP]],1)&lt;0.208681))</f>
        <v>0</v>
      </c>
      <c r="DI688" s="18" t="b">
        <f>RecData[[#This Row],[Overall (dBA)]]-RecData[[#This Row],[L90]]&gt;=$DS$4</f>
        <v>0</v>
      </c>
      <c r="DJ688" s="18" t="b">
        <f>RecData[[#This Row],[Overall (dBA)]]&gt;$DS$2</f>
        <v>0</v>
      </c>
      <c r="DK688" s="18" t="b">
        <f>RecData[[#This Row],[Overall (dBA)]]&lt;$DS$3</f>
        <v>0</v>
      </c>
      <c r="DL6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8" s="2">
        <f>IF(AND(RecData[[#This Row],[Turbines ON/OFF]] = "OFF", NOT(OR(RecData[[#This Row],[Junk?]]="YES",RecData[[#This Row],[Gust?]],RecData[[#This Row],[Rain?]:[Min SPL Threshold?]]))),1,0)</f>
        <v>0</v>
      </c>
      <c r="DN688" s="16">
        <f>RecData[[#This Row],[dBA Sum]]</f>
        <v>40.697019122530619</v>
      </c>
      <c r="DO688" s="16">
        <f>RecData[[#This Row],[LAF90.0]]</f>
        <v>39.799999999999997</v>
      </c>
      <c r="DP688" s="55">
        <f>IF(AND(RecData[[#This Row],[Useable TON Data?]],RecData[[#This Row],[Turbines ON/OFF]]="ON"),RecData[[#This Row],[dBA Sum]],"")</f>
        <v>40.697019122530619</v>
      </c>
      <c r="DQ688" s="55" t="str">
        <f>IF(AND(RecData[[#This Row],[Useable Background Data?]],RecData[[#This Row],[Turbines ON/OFF]]="OFF"),RecData[[#This Row],[dBA Sum]],"")</f>
        <v/>
      </c>
      <c r="DR688" s="3">
        <f>IF(OR(RecData[[#This Row],[Useable TON Data?]],RecData[[#This Row],[Useable Background Data?]]),ROUND(RecData[[#This Row],[WSpd_Avg '[m/s']]],0),"")</f>
        <v>0</v>
      </c>
      <c r="DS688" s="85">
        <f>(0.00002)^2*(10^(RecData[[#This Row],[Overall (dBA)]]/10))</f>
        <v>4.6963656574800744E-6</v>
      </c>
    </row>
    <row r="689" spans="1:123" ht="15" x14ac:dyDescent="0.25">
      <c r="A689" s="3" t="s">
        <v>249</v>
      </c>
      <c r="B689" s="12">
        <v>43271.916666666672</v>
      </c>
      <c r="C689" s="3"/>
      <c r="D689" s="3">
        <v>40.6</v>
      </c>
      <c r="E689" s="3"/>
      <c r="F689" s="3"/>
      <c r="G689" s="3"/>
      <c r="H689" s="3"/>
      <c r="I689" s="3"/>
      <c r="J689" s="3"/>
      <c r="K689" s="3">
        <v>39.4</v>
      </c>
      <c r="L689" s="3"/>
      <c r="M689" s="3"/>
      <c r="N689" s="3">
        <v>153.80000000000001</v>
      </c>
      <c r="O689" s="3"/>
      <c r="P689" s="3"/>
      <c r="Q689" s="3">
        <v>1.53</v>
      </c>
      <c r="R689" s="3">
        <v>1</v>
      </c>
      <c r="S689" s="3">
        <v>2</v>
      </c>
      <c r="T689" s="3">
        <v>15.8</v>
      </c>
      <c r="U689" s="3">
        <v>69.8</v>
      </c>
      <c r="V689" s="3">
        <v>969.2</v>
      </c>
      <c r="W689" s="3">
        <v>0</v>
      </c>
      <c r="X689" s="3">
        <v>46.2</v>
      </c>
      <c r="Y689" s="3">
        <v>45.2</v>
      </c>
      <c r="Z689" s="3">
        <v>44.5</v>
      </c>
      <c r="AA689" s="3">
        <v>40.700000000000003</v>
      </c>
      <c r="AB689" s="3">
        <v>36.299999999999997</v>
      </c>
      <c r="AC689" s="3">
        <v>35.200000000000003</v>
      </c>
      <c r="AD689" s="3">
        <v>37.9</v>
      </c>
      <c r="AE689" s="3">
        <v>39.6</v>
      </c>
      <c r="AF689" s="3">
        <v>44.6</v>
      </c>
      <c r="AG689" s="3">
        <v>39.1</v>
      </c>
      <c r="AH689" s="3">
        <v>37.299999999999997</v>
      </c>
      <c r="AI689" s="3">
        <v>37.1</v>
      </c>
      <c r="AJ689" s="3">
        <v>36.200000000000003</v>
      </c>
      <c r="AK689" s="3">
        <v>34.4</v>
      </c>
      <c r="AL689" s="3">
        <v>32.299999999999997</v>
      </c>
      <c r="AM689" s="3">
        <v>31.8</v>
      </c>
      <c r="AN689" s="3">
        <v>30.1</v>
      </c>
      <c r="AO689" s="3">
        <v>27.6</v>
      </c>
      <c r="AP689" s="3">
        <v>26.4</v>
      </c>
      <c r="AQ689" s="3">
        <v>25.6</v>
      </c>
      <c r="AR689" s="3">
        <v>25.1</v>
      </c>
      <c r="AS689" s="3">
        <v>25.4</v>
      </c>
      <c r="AT689" s="3">
        <v>31.4</v>
      </c>
      <c r="AU689" s="3">
        <v>22.9</v>
      </c>
      <c r="AV689" s="3">
        <v>20</v>
      </c>
      <c r="AW689" s="3">
        <v>18.2</v>
      </c>
      <c r="AX689" s="3">
        <v>13.9</v>
      </c>
      <c r="AY689" s="3">
        <v>12</v>
      </c>
      <c r="AZ689" s="3">
        <v>0</v>
      </c>
      <c r="BA689" s="3">
        <v>0</v>
      </c>
      <c r="BB689" s="3">
        <v>0</v>
      </c>
      <c r="BC689" s="3">
        <v>40.612732055659947</v>
      </c>
      <c r="BD689" s="3">
        <v>46.187267944340064</v>
      </c>
      <c r="BE689" s="3">
        <v>45.187267944340064</v>
      </c>
      <c r="BF689" s="3">
        <v>43.247267944340052</v>
      </c>
      <c r="BG689" s="3">
        <v>39.773934611006723</v>
      </c>
      <c r="BH689" s="3">
        <v>35.513934611006718</v>
      </c>
      <c r="BI689" s="3">
        <v>34.827267944340051</v>
      </c>
      <c r="BJ689" s="3">
        <v>38.32060127767339</v>
      </c>
      <c r="BK689" s="3">
        <v>39.893934611006713</v>
      </c>
      <c r="BL689" s="3">
        <v>44.467267944340065</v>
      </c>
      <c r="BM689" s="3">
        <v>39.100601277673391</v>
      </c>
      <c r="BN689" s="3">
        <v>37.583934611006711</v>
      </c>
      <c r="BO689" s="3">
        <v>36.750601277673397</v>
      </c>
      <c r="BP689" s="3">
        <v>35.56726794434006</v>
      </c>
      <c r="BQ689" s="3">
        <v>34.183934611006705</v>
      </c>
      <c r="BR689" s="3">
        <v>32.410601277673393</v>
      </c>
      <c r="BS689" s="3">
        <v>31.713934611006721</v>
      </c>
      <c r="BT689" s="3">
        <v>30.210601277673391</v>
      </c>
      <c r="BU689" s="3">
        <v>27.677267944340059</v>
      </c>
      <c r="BV689" s="3">
        <v>26.193934611006725</v>
      </c>
      <c r="BW689" s="3">
        <v>25.927267944340059</v>
      </c>
      <c r="BX689" s="3">
        <v>25.347267944340061</v>
      </c>
      <c r="BY689" s="3">
        <v>25.467267944340051</v>
      </c>
      <c r="BZ689" s="3">
        <v>31.597267944340061</v>
      </c>
      <c r="CA689" s="3">
        <v>23.197267944340041</v>
      </c>
      <c r="CB689" s="3">
        <v>19.733934611006717</v>
      </c>
      <c r="CC689" s="3">
        <v>18.147267944340051</v>
      </c>
      <c r="CD689" s="3">
        <v>13.153934611006726</v>
      </c>
      <c r="CE689" s="3">
        <v>11.447267944340055</v>
      </c>
      <c r="CF689" s="3">
        <v>-0.93939872232661514</v>
      </c>
      <c r="CG689" s="3">
        <v>-1.4727320556599466</v>
      </c>
      <c r="CH689" s="3">
        <v>-2.5493987223266146</v>
      </c>
      <c r="CI689" s="13">
        <f>[1]!dbasum(RecData[[#This Row],[20]:[2000]],RecData[[#Headers],[20]:[2000]])</f>
        <v>39.371170139217121</v>
      </c>
      <c r="CJ689" s="14">
        <v>8905</v>
      </c>
      <c r="CK689" s="15" t="s">
        <v>249</v>
      </c>
      <c r="CL689" s="15">
        <f>RecData[[#This Row],[Start Time]]</f>
        <v>43271.916666666672</v>
      </c>
      <c r="CM689" s="16">
        <f>RecData[[#This Row],[Wind Speed avg]]</f>
        <v>1.53</v>
      </c>
      <c r="CN689" s="16">
        <f>RecData[[#This Row],[Wind Dir. avg]]</f>
        <v>153.80000000000001</v>
      </c>
      <c r="CO689" s="16">
        <f>RecData[[#This Row],[Amb. Humidity]]</f>
        <v>69.8</v>
      </c>
      <c r="CP689" s="16">
        <f>RecData[[#This Row],[Amb. Temperature]]</f>
        <v>15.8</v>
      </c>
      <c r="CQ689" s="17">
        <f>RecData[[#This Row],[Amb. Rain Gauge]]</f>
        <v>0</v>
      </c>
      <c r="CR689" s="4" t="s">
        <v>1</v>
      </c>
      <c r="CS689" s="4" t="s">
        <v>49</v>
      </c>
      <c r="CT689" s="70">
        <v>1504.81127929687</v>
      </c>
      <c r="CU689" s="70">
        <v>24.000205993652301</v>
      </c>
      <c r="CV689" s="70">
        <v>10.112803459167401</v>
      </c>
      <c r="CW689" s="70">
        <v>15.066900253295801</v>
      </c>
      <c r="CX689" s="109"/>
      <c r="CY689" s="110"/>
      <c r="CZ689" s="2" t="b">
        <f>IF($DP$1="YES",IF(RecData[[#This Row],[Power (kW)]]&gt;=$CR$3, TRUE,FALSE),TRUE)</f>
        <v>1</v>
      </c>
      <c r="DA689" s="16">
        <f>MIN(MOD(180-ABS(ABS($DA$1-RecData[Yaw Angle (°)])-180),360),MOD(180-ABS(ABS($DB$1-RecData[Yaw Angle (°)])-180),360))</f>
        <v>16.470279215964752</v>
      </c>
      <c r="DB689" s="2" t="str">
        <f>IF($DP$2="None","None",IF(RecData[[#This Row],[Relative Wind Direction]]&lt;=45,"DW",IF(RecData[[#This Row],[Relative Wind Direction]]&lt;=135,"CW","UW")))</f>
        <v>DW</v>
      </c>
      <c r="DC689" s="61" t="e">
        <f>IF($CL689-#REF!&gt;1/24,#REF!,IF(SUM($CQ689:$CQ689)&gt;$DS$1,$DS$5,#REF!-1))</f>
        <v>#REF!</v>
      </c>
      <c r="DD689" s="61" t="e">
        <f>IF(#REF!-$CL689&gt;1/24,#REF!,IF(SUM($CQ689:$CQ689)&gt;$DS$1,$DS$6,#REF!-1))</f>
        <v>#REF!</v>
      </c>
      <c r="DE689" s="18" t="b">
        <v>0</v>
      </c>
      <c r="DF689" s="2" t="b">
        <f>IF(OR(RecData[[#This Row],[WSpd_Avg '[m/s']]]-RecData[[#This Row],[Wind Speed min]]&gt;=$DF$3,RecData[[#This Row],[Wind Speed max]]-RecData[[#This Row],[WSpd_Avg '[m/s']]]&gt;=$DF$2),TRUE,FALSE)</f>
        <v>0</v>
      </c>
      <c r="DG689" s="2" t="b">
        <f>RecData[[#This Row],[Temperature '[°C']]]&lt;=-20</f>
        <v>0</v>
      </c>
      <c r="DH689" s="18" t="b">
        <f>NOT(OR(MOD(RecData[[#This Row],[TIMESTAMP]],1)&gt;0.91632,MOD(RecData[[#This Row],[TIMESTAMP]],1)&lt;0.208681))</f>
        <v>0</v>
      </c>
      <c r="DI689" s="18" t="b">
        <f>RecData[[#This Row],[Overall (dBA)]]-RecData[[#This Row],[L90]]&gt;=$DS$4</f>
        <v>0</v>
      </c>
      <c r="DJ689" s="18" t="b">
        <f>RecData[[#This Row],[Overall (dBA)]]&gt;$DS$2</f>
        <v>0</v>
      </c>
      <c r="DK689" s="18" t="b">
        <f>RecData[[#This Row],[Overall (dBA)]]&lt;$DS$3</f>
        <v>0</v>
      </c>
      <c r="DL6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89" s="2">
        <f>IF(AND(RecData[[#This Row],[Turbines ON/OFF]] = "OFF", NOT(OR(RecData[[#This Row],[Junk?]]="YES",RecData[[#This Row],[Gust?]],RecData[[#This Row],[Rain?]:[Min SPL Threshold?]]))),1,0)</f>
        <v>0</v>
      </c>
      <c r="DN689" s="16">
        <f>RecData[[#This Row],[dBA Sum]]</f>
        <v>39.371170139217121</v>
      </c>
      <c r="DO689" s="16">
        <f>RecData[[#This Row],[LAF90.0]]</f>
        <v>39.4</v>
      </c>
      <c r="DP689" s="55">
        <f>IF(AND(RecData[[#This Row],[Useable TON Data?]],RecData[[#This Row],[Turbines ON/OFF]]="ON"),RecData[[#This Row],[dBA Sum]],"")</f>
        <v>39.371170139217121</v>
      </c>
      <c r="DQ689" s="55" t="str">
        <f>IF(AND(RecData[[#This Row],[Useable Background Data?]],RecData[[#This Row],[Turbines ON/OFF]]="OFF"),RecData[[#This Row],[dBA Sum]],"")</f>
        <v/>
      </c>
      <c r="DR689" s="3">
        <f>IF(OR(RecData[[#This Row],[Useable TON Data?]],RecData[[#This Row],[Useable Background Data?]]),ROUND(RecData[[#This Row],[WSpd_Avg '[m/s']]],0),"")</f>
        <v>2</v>
      </c>
      <c r="DS689" s="85">
        <f>(0.00002)^2*(10^(RecData[[#This Row],[Overall (dBA)]]/10))</f>
        <v>3.4608040095343702E-6</v>
      </c>
    </row>
    <row r="690" spans="1:123" ht="15" x14ac:dyDescent="0.25">
      <c r="A690" s="3" t="s">
        <v>249</v>
      </c>
      <c r="B690" s="12">
        <v>43271.931250000001</v>
      </c>
      <c r="C690" s="3"/>
      <c r="D690" s="3">
        <v>44</v>
      </c>
      <c r="E690" s="3"/>
      <c r="F690" s="3"/>
      <c r="G690" s="3"/>
      <c r="H690" s="3"/>
      <c r="I690" s="3"/>
      <c r="J690" s="3"/>
      <c r="K690" s="3">
        <v>41.2</v>
      </c>
      <c r="L690" s="3"/>
      <c r="M690" s="3"/>
      <c r="N690" s="3">
        <v>171.6</v>
      </c>
      <c r="O690" s="3"/>
      <c r="P690" s="3"/>
      <c r="Q690" s="3">
        <v>2.6</v>
      </c>
      <c r="R690" s="3">
        <v>1.2</v>
      </c>
      <c r="S690" s="3">
        <v>3.6</v>
      </c>
      <c r="T690" s="3">
        <v>15.1</v>
      </c>
      <c r="U690" s="3">
        <v>69.400000000000006</v>
      </c>
      <c r="V690" s="3">
        <v>969.4</v>
      </c>
      <c r="W690" s="3">
        <v>0</v>
      </c>
      <c r="X690" s="3">
        <v>46.4</v>
      </c>
      <c r="Y690" s="3">
        <v>44.7</v>
      </c>
      <c r="Z690" s="3">
        <v>44.9</v>
      </c>
      <c r="AA690" s="3">
        <v>41.9</v>
      </c>
      <c r="AB690" s="3">
        <v>37.9</v>
      </c>
      <c r="AC690" s="3">
        <v>35.200000000000003</v>
      </c>
      <c r="AD690" s="3">
        <v>37.4</v>
      </c>
      <c r="AE690" s="3">
        <v>38.700000000000003</v>
      </c>
      <c r="AF690" s="3">
        <v>45.4</v>
      </c>
      <c r="AG690" s="3">
        <v>40.700000000000003</v>
      </c>
      <c r="AH690" s="3">
        <v>36.200000000000003</v>
      </c>
      <c r="AI690" s="3">
        <v>37.200000000000003</v>
      </c>
      <c r="AJ690" s="3">
        <v>36</v>
      </c>
      <c r="AK690" s="3">
        <v>34.799999999999997</v>
      </c>
      <c r="AL690" s="3">
        <v>33.4</v>
      </c>
      <c r="AM690" s="3">
        <v>33.200000000000003</v>
      </c>
      <c r="AN690" s="3">
        <v>32.4</v>
      </c>
      <c r="AO690" s="3">
        <v>30.8</v>
      </c>
      <c r="AP690" s="3">
        <v>30.1</v>
      </c>
      <c r="AQ690" s="3">
        <v>30.7</v>
      </c>
      <c r="AR690" s="3">
        <v>31.5</v>
      </c>
      <c r="AS690" s="3">
        <v>32.5</v>
      </c>
      <c r="AT690" s="3">
        <v>35.299999999999997</v>
      </c>
      <c r="AU690" s="3">
        <v>32.1</v>
      </c>
      <c r="AV690" s="3">
        <v>30.6</v>
      </c>
      <c r="AW690" s="3">
        <v>29.1</v>
      </c>
      <c r="AX690" s="3">
        <v>24.4</v>
      </c>
      <c r="AY690" s="3">
        <v>22.4</v>
      </c>
      <c r="AZ690" s="3">
        <v>0</v>
      </c>
      <c r="BA690" s="3">
        <v>0</v>
      </c>
      <c r="BB690" s="3">
        <v>0</v>
      </c>
      <c r="BC690" s="3">
        <v>44.023837863869524</v>
      </c>
      <c r="BD690" s="3">
        <v>46.376162136130482</v>
      </c>
      <c r="BE690" s="3">
        <v>44.676162136130479</v>
      </c>
      <c r="BF690" s="3">
        <v>43.636162136130473</v>
      </c>
      <c r="BG690" s="3">
        <v>40.962828802797141</v>
      </c>
      <c r="BH690" s="3">
        <v>37.102828802797141</v>
      </c>
      <c r="BI690" s="3">
        <v>34.81616213613048</v>
      </c>
      <c r="BJ690" s="3">
        <v>37.809495469463805</v>
      </c>
      <c r="BK690" s="3">
        <v>38.982828802797137</v>
      </c>
      <c r="BL690" s="3">
        <v>45.256162136130477</v>
      </c>
      <c r="BM690" s="3">
        <v>40.689495469463814</v>
      </c>
      <c r="BN690" s="3">
        <v>36.472828802797146</v>
      </c>
      <c r="BO690" s="3">
        <v>36.83949546946382</v>
      </c>
      <c r="BP690" s="3">
        <v>35.356162136130472</v>
      </c>
      <c r="BQ690" s="3">
        <v>34.57282880279714</v>
      </c>
      <c r="BR690" s="3">
        <v>33.499495469463817</v>
      </c>
      <c r="BS690" s="3">
        <v>33.102828802797141</v>
      </c>
      <c r="BT690" s="3">
        <v>32.499495469463817</v>
      </c>
      <c r="BU690" s="3">
        <v>30.866162136130477</v>
      </c>
      <c r="BV690" s="3">
        <v>29.882828802797142</v>
      </c>
      <c r="BW690" s="3">
        <v>31.016162136130482</v>
      </c>
      <c r="BX690" s="3">
        <v>31.736162136130481</v>
      </c>
      <c r="BY690" s="3">
        <v>32.556162136130474</v>
      </c>
      <c r="BZ690" s="3">
        <v>35.486162136130467</v>
      </c>
      <c r="CA690" s="3">
        <v>32.386162136130473</v>
      </c>
      <c r="CB690" s="3">
        <v>30.32282880279714</v>
      </c>
      <c r="CC690" s="3">
        <v>29.036162136130478</v>
      </c>
      <c r="CD690" s="3">
        <v>23.642828802797148</v>
      </c>
      <c r="CE690" s="3">
        <v>21.836162136130476</v>
      </c>
      <c r="CF690" s="3">
        <v>-0.95050453053619322</v>
      </c>
      <c r="CG690" s="3">
        <v>-1.4838378638695247</v>
      </c>
      <c r="CH690" s="3">
        <v>-2.5605045305361926</v>
      </c>
      <c r="CI690" s="13">
        <f>[1]!dbasum(RecData[[#This Row],[20]:[2000]],RecData[[#Headers],[20]:[2000]])</f>
        <v>41.44968340791884</v>
      </c>
      <c r="CJ690" s="14">
        <v>8926</v>
      </c>
      <c r="CK690" s="15" t="s">
        <v>249</v>
      </c>
      <c r="CL690" s="15">
        <f>RecData[[#This Row],[Start Time]]</f>
        <v>43271.931250000001</v>
      </c>
      <c r="CM690" s="16">
        <f>RecData[[#This Row],[Wind Speed avg]]</f>
        <v>2.6</v>
      </c>
      <c r="CN690" s="16">
        <f>RecData[[#This Row],[Wind Dir. avg]]</f>
        <v>171.6</v>
      </c>
      <c r="CO690" s="16">
        <f>RecData[[#This Row],[Amb. Humidity]]</f>
        <v>69.400000000000006</v>
      </c>
      <c r="CP690" s="16">
        <f>RecData[[#This Row],[Amb. Temperature]]</f>
        <v>15.1</v>
      </c>
      <c r="CQ690" s="17">
        <f>RecData[[#This Row],[Amb. Rain Gauge]]</f>
        <v>0</v>
      </c>
      <c r="CR690" s="4" t="s">
        <v>1</v>
      </c>
      <c r="CS690" s="4" t="s">
        <v>49</v>
      </c>
      <c r="CT690" s="70">
        <v>1457.82299804687</v>
      </c>
      <c r="CU690" s="70">
        <v>36.0003051757812</v>
      </c>
      <c r="CV690" s="70">
        <v>10.4536008834838</v>
      </c>
      <c r="CW690" s="70">
        <v>15.047366142272899</v>
      </c>
      <c r="CX690" s="109"/>
      <c r="CY690" s="110"/>
      <c r="CZ690" s="2" t="b">
        <f>IF($DP$1="YES",IF(RecData[[#This Row],[Power (kW)]]&gt;=$CR$3, TRUE,FALSE),TRUE)</f>
        <v>1</v>
      </c>
      <c r="DA690" s="16">
        <f>MIN(MOD(180-ABS(ABS($DA$1-RecData[Yaw Angle (°)])-180),360),MOD(180-ABS(ABS($DB$1-RecData[Yaw Angle (°)])-180),360))</f>
        <v>28.470378398093658</v>
      </c>
      <c r="DB690" s="2" t="str">
        <f>IF($DP$2="None","None",IF(RecData[[#This Row],[Relative Wind Direction]]&lt;=45,"DW",IF(RecData[[#This Row],[Relative Wind Direction]]&lt;=135,"CW","UW")))</f>
        <v>DW</v>
      </c>
      <c r="DC690" s="61" t="e">
        <f>IF($CL690-#REF!&gt;1/24,#REF!,IF(SUM($CQ690:$CQ690)&gt;$DS$1,$DS$5,DC691-1))</f>
        <v>#REF!</v>
      </c>
      <c r="DD690" s="61" t="e">
        <f>IF($CL691-$CL690&gt;1/24,#REF!,IF(SUM($CQ690:$CQ690)&gt;$DS$1,$DS$6,#REF!-1))</f>
        <v>#REF!</v>
      </c>
      <c r="DE690" s="18" t="b">
        <v>0</v>
      </c>
      <c r="DF690" s="2" t="b">
        <f>IF(OR(RecData[[#This Row],[WSpd_Avg '[m/s']]]-RecData[[#This Row],[Wind Speed min]]&gt;=$DF$3,RecData[[#This Row],[Wind Speed max]]-RecData[[#This Row],[WSpd_Avg '[m/s']]]&gt;=$DF$2),TRUE,FALSE)</f>
        <v>0</v>
      </c>
      <c r="DG690" s="2" t="b">
        <f>RecData[[#This Row],[Temperature '[°C']]]&lt;=-20</f>
        <v>0</v>
      </c>
      <c r="DH690" s="18" t="b">
        <f>NOT(OR(MOD(RecData[[#This Row],[TIMESTAMP]],1)&gt;0.91632,MOD(RecData[[#This Row],[TIMESTAMP]],1)&lt;0.208681))</f>
        <v>0</v>
      </c>
      <c r="DI690" s="18" t="b">
        <f>RecData[[#This Row],[Overall (dBA)]]-RecData[[#This Row],[L90]]&gt;=$DS$4</f>
        <v>0</v>
      </c>
      <c r="DJ690" s="18" t="b">
        <f>RecData[[#This Row],[Overall (dBA)]]&gt;$DS$2</f>
        <v>0</v>
      </c>
      <c r="DK690" s="18" t="b">
        <f>RecData[[#This Row],[Overall (dBA)]]&lt;$DS$3</f>
        <v>0</v>
      </c>
      <c r="DL6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0" s="2">
        <f>IF(AND(RecData[[#This Row],[Turbines ON/OFF]] = "OFF", NOT(OR(RecData[[#This Row],[Junk?]]="YES",RecData[[#This Row],[Gust?]],RecData[[#This Row],[Rain?]:[Min SPL Threshold?]]))),1,0)</f>
        <v>0</v>
      </c>
      <c r="DN690" s="16">
        <f>RecData[[#This Row],[dBA Sum]]</f>
        <v>41.44968340791884</v>
      </c>
      <c r="DO690" s="16">
        <f>RecData[[#This Row],[LAF90.0]]</f>
        <v>41.2</v>
      </c>
      <c r="DP690" s="55">
        <f>IF(AND(RecData[[#This Row],[Useable TON Data?]],RecData[[#This Row],[Turbines ON/OFF]]="ON"),RecData[[#This Row],[dBA Sum]],"")</f>
        <v>41.44968340791884</v>
      </c>
      <c r="DQ690" s="55" t="str">
        <f>IF(AND(RecData[[#This Row],[Useable Background Data?]],RecData[[#This Row],[Turbines ON/OFF]]="OFF"),RecData[[#This Row],[dBA Sum]],"")</f>
        <v/>
      </c>
      <c r="DR690" s="3">
        <f>IF(OR(RecData[[#This Row],[Useable TON Data?]],RecData[[#This Row],[Useable Background Data?]]),ROUND(RecData[[#This Row],[WSpd_Avg '[m/s']]],0),"")</f>
        <v>3</v>
      </c>
      <c r="DS690" s="85">
        <f>(0.00002)^2*(10^(RecData[[#This Row],[Overall (dBA)]]/10))</f>
        <v>5.5850662891057878E-6</v>
      </c>
    </row>
    <row r="691" spans="1:123" ht="15" x14ac:dyDescent="0.25">
      <c r="A691" s="3" t="s">
        <v>249</v>
      </c>
      <c r="B691" s="12">
        <v>43271.931944444448</v>
      </c>
      <c r="C691" s="3"/>
      <c r="D691" s="3">
        <v>42.1</v>
      </c>
      <c r="E691" s="3"/>
      <c r="F691" s="3"/>
      <c r="G691" s="3"/>
      <c r="H691" s="3"/>
      <c r="I691" s="3"/>
      <c r="J691" s="3"/>
      <c r="K691" s="3">
        <v>41</v>
      </c>
      <c r="L691" s="3"/>
      <c r="M691" s="3"/>
      <c r="N691" s="3">
        <v>197.5</v>
      </c>
      <c r="O691" s="3"/>
      <c r="P691" s="3"/>
      <c r="Q691" s="3">
        <v>1.63</v>
      </c>
      <c r="R691" s="3">
        <v>0.4</v>
      </c>
      <c r="S691" s="3">
        <v>3.1</v>
      </c>
      <c r="T691" s="3">
        <v>15.1</v>
      </c>
      <c r="U691" s="3">
        <v>69.400000000000006</v>
      </c>
      <c r="V691" s="3">
        <v>969.4</v>
      </c>
      <c r="W691" s="3">
        <v>0</v>
      </c>
      <c r="X691" s="3">
        <v>45.9</v>
      </c>
      <c r="Y691" s="3">
        <v>44.1</v>
      </c>
      <c r="Z691" s="3">
        <v>43.6</v>
      </c>
      <c r="AA691" s="3">
        <v>41.2</v>
      </c>
      <c r="AB691" s="3">
        <v>36.799999999999997</v>
      </c>
      <c r="AC691" s="3">
        <v>33.9</v>
      </c>
      <c r="AD691" s="3">
        <v>37.6</v>
      </c>
      <c r="AE691" s="3">
        <v>38.5</v>
      </c>
      <c r="AF691" s="3">
        <v>45.6</v>
      </c>
      <c r="AG691" s="3">
        <v>39</v>
      </c>
      <c r="AH691" s="3">
        <v>35.4</v>
      </c>
      <c r="AI691" s="3">
        <v>36.5</v>
      </c>
      <c r="AJ691" s="3">
        <v>35.200000000000003</v>
      </c>
      <c r="AK691" s="3">
        <v>34</v>
      </c>
      <c r="AL691" s="3">
        <v>32.5</v>
      </c>
      <c r="AM691" s="3">
        <v>32.4</v>
      </c>
      <c r="AN691" s="3">
        <v>31.1</v>
      </c>
      <c r="AO691" s="3">
        <v>29.5</v>
      </c>
      <c r="AP691" s="3">
        <v>28.7</v>
      </c>
      <c r="AQ691" s="3">
        <v>28.4</v>
      </c>
      <c r="AR691" s="3">
        <v>28.6</v>
      </c>
      <c r="AS691" s="3">
        <v>29.2</v>
      </c>
      <c r="AT691" s="3">
        <v>33.299999999999997</v>
      </c>
      <c r="AU691" s="3">
        <v>28</v>
      </c>
      <c r="AV691" s="3">
        <v>26.2</v>
      </c>
      <c r="AW691" s="3">
        <v>24.9</v>
      </c>
      <c r="AX691" s="3">
        <v>20.399999999999999</v>
      </c>
      <c r="AY691" s="3">
        <v>18.3</v>
      </c>
      <c r="AZ691" s="3">
        <v>0</v>
      </c>
      <c r="BA691" s="3">
        <v>0</v>
      </c>
      <c r="BB691" s="3">
        <v>0</v>
      </c>
      <c r="BC691" s="3">
        <v>42.050207553341039</v>
      </c>
      <c r="BD691" s="3">
        <v>45.949792446658961</v>
      </c>
      <c r="BE691" s="3">
        <v>44.149792446658964</v>
      </c>
      <c r="BF691" s="3">
        <v>42.409792446658969</v>
      </c>
      <c r="BG691" s="3">
        <v>40.336459113325631</v>
      </c>
      <c r="BH691" s="3">
        <v>36.076459113325626</v>
      </c>
      <c r="BI691" s="3">
        <v>33.589792446658961</v>
      </c>
      <c r="BJ691" s="3">
        <v>38.083125779992287</v>
      </c>
      <c r="BK691" s="3">
        <v>38.856459113325627</v>
      </c>
      <c r="BL691" s="3">
        <v>45.529792446658973</v>
      </c>
      <c r="BM691" s="3">
        <v>39.063125779992305</v>
      </c>
      <c r="BN691" s="3">
        <v>35.746459113325628</v>
      </c>
      <c r="BO691" s="3">
        <v>36.213125779992296</v>
      </c>
      <c r="BP691" s="3">
        <v>34.629792446658968</v>
      </c>
      <c r="BQ691" s="3">
        <v>33.846459113325622</v>
      </c>
      <c r="BR691" s="3">
        <v>32.67312577999229</v>
      </c>
      <c r="BS691" s="3">
        <v>32.376459113325637</v>
      </c>
      <c r="BT691" s="3">
        <v>31.273125779992299</v>
      </c>
      <c r="BU691" s="3">
        <v>29.639792446658959</v>
      </c>
      <c r="BV691" s="3">
        <v>28.55645911332563</v>
      </c>
      <c r="BW691" s="3">
        <v>28.789792446658964</v>
      </c>
      <c r="BX691" s="3">
        <v>28.909792446658969</v>
      </c>
      <c r="BY691" s="3">
        <v>29.329792446658956</v>
      </c>
      <c r="BZ691" s="3">
        <v>33.55979244665896</v>
      </c>
      <c r="CA691" s="3">
        <v>28.359792446658957</v>
      </c>
      <c r="CB691" s="3">
        <v>25.996459113325628</v>
      </c>
      <c r="CC691" s="3">
        <v>24.909792446658955</v>
      </c>
      <c r="CD691" s="3">
        <v>19.716459113325627</v>
      </c>
      <c r="CE691" s="3">
        <v>17.80979244665896</v>
      </c>
      <c r="CF691" s="3">
        <v>-0.87687422000770709</v>
      </c>
      <c r="CG691" s="3">
        <v>-1.4102075533410385</v>
      </c>
      <c r="CH691" s="3">
        <v>-2.4868742200077065</v>
      </c>
      <c r="CI691" s="13">
        <f>[1]!dbasum(RecData[[#This Row],[20]:[2000]],RecData[[#Headers],[20]:[2000]])</f>
        <v>40.217319816289894</v>
      </c>
      <c r="CJ691" s="14">
        <v>8927</v>
      </c>
      <c r="CK691" s="15" t="s">
        <v>249</v>
      </c>
      <c r="CL691" s="15">
        <f>RecData[[#This Row],[Start Time]]</f>
        <v>43271.931944444448</v>
      </c>
      <c r="CM691" s="16">
        <f>RecData[[#This Row],[Wind Speed avg]]</f>
        <v>1.63</v>
      </c>
      <c r="CN691" s="16">
        <f>RecData[[#This Row],[Wind Dir. avg]]</f>
        <v>197.5</v>
      </c>
      <c r="CO691" s="16">
        <f>RecData[[#This Row],[Amb. Humidity]]</f>
        <v>69.400000000000006</v>
      </c>
      <c r="CP691" s="16">
        <f>RecData[[#This Row],[Amb. Temperature]]</f>
        <v>15.1</v>
      </c>
      <c r="CQ691" s="17">
        <f>RecData[[#This Row],[Amb. Rain Gauge]]</f>
        <v>0</v>
      </c>
      <c r="CR691" s="4" t="s">
        <v>1</v>
      </c>
      <c r="CS691" s="4" t="s">
        <v>49</v>
      </c>
      <c r="CT691" s="70">
        <v>1457.82299804687</v>
      </c>
      <c r="CU691" s="70">
        <v>36.0003051757812</v>
      </c>
      <c r="CV691" s="70">
        <v>10.4536008834838</v>
      </c>
      <c r="CW691" s="70">
        <v>15.047366142272899</v>
      </c>
      <c r="CX691" s="109"/>
      <c r="CY691" s="110"/>
      <c r="CZ691" s="2" t="b">
        <f>IF($DP$1="YES",IF(RecData[[#This Row],[Power (kW)]]&gt;=$CR$3, TRUE,FALSE),TRUE)</f>
        <v>1</v>
      </c>
      <c r="DA691" s="16">
        <f>MIN(MOD(180-ABS(ABS($DA$1-RecData[Yaw Angle (°)])-180),360),MOD(180-ABS(ABS($DB$1-RecData[Yaw Angle (°)])-180),360))</f>
        <v>28.470378398093658</v>
      </c>
      <c r="DB691" s="2" t="str">
        <f>IF($DP$2="None","None",IF(RecData[[#This Row],[Relative Wind Direction]]&lt;=45,"DW",IF(RecData[[#This Row],[Relative Wind Direction]]&lt;=135,"CW","UW")))</f>
        <v>DW</v>
      </c>
      <c r="DC691" s="61" t="e">
        <f>IF($CL691-#REF!&gt;1/24,#REF!,IF(SUM($CQ690:$CQ691)&gt;$DS$1,$DS$5,#REF!-1))</f>
        <v>#REF!</v>
      </c>
      <c r="DD691" s="61" t="e">
        <f>IF(#REF!-$CL691&gt;1/24,#REF!,IF(SUM($CQ690:$CQ691)&gt;$DS$1,$DS$6,DD690-1))</f>
        <v>#REF!</v>
      </c>
      <c r="DE691" s="18" t="b">
        <v>0</v>
      </c>
      <c r="DF691" s="2" t="b">
        <f>IF(OR(RecData[[#This Row],[WSpd_Avg '[m/s']]]-RecData[[#This Row],[Wind Speed min]]&gt;=$DF$3,RecData[[#This Row],[Wind Speed max]]-RecData[[#This Row],[WSpd_Avg '[m/s']]]&gt;=$DF$2),TRUE,FALSE)</f>
        <v>0</v>
      </c>
      <c r="DG691" s="2" t="b">
        <f>RecData[[#This Row],[Temperature '[°C']]]&lt;=-20</f>
        <v>0</v>
      </c>
      <c r="DH691" s="18" t="b">
        <f>NOT(OR(MOD(RecData[[#This Row],[TIMESTAMP]],1)&gt;0.91632,MOD(RecData[[#This Row],[TIMESTAMP]],1)&lt;0.208681))</f>
        <v>0</v>
      </c>
      <c r="DI691" s="18" t="b">
        <f>RecData[[#This Row],[Overall (dBA)]]-RecData[[#This Row],[L90]]&gt;=$DS$4</f>
        <v>0</v>
      </c>
      <c r="DJ691" s="18" t="b">
        <f>RecData[[#This Row],[Overall (dBA)]]&gt;$DS$2</f>
        <v>0</v>
      </c>
      <c r="DK691" s="18" t="b">
        <f>RecData[[#This Row],[Overall (dBA)]]&lt;$DS$3</f>
        <v>0</v>
      </c>
      <c r="DL6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1" s="2">
        <f>IF(AND(RecData[[#This Row],[Turbines ON/OFF]] = "OFF", NOT(OR(RecData[[#This Row],[Junk?]]="YES",RecData[[#This Row],[Gust?]],RecData[[#This Row],[Rain?]:[Min SPL Threshold?]]))),1,0)</f>
        <v>0</v>
      </c>
      <c r="DN691" s="16">
        <f>RecData[[#This Row],[dBA Sum]]</f>
        <v>40.217319816289894</v>
      </c>
      <c r="DO691" s="16">
        <f>RecData[[#This Row],[LAF90.0]]</f>
        <v>41</v>
      </c>
      <c r="DP691" s="55">
        <f>IF(AND(RecData[[#This Row],[Useable TON Data?]],RecData[[#This Row],[Turbines ON/OFF]]="ON"),RecData[[#This Row],[dBA Sum]],"")</f>
        <v>40.217319816289894</v>
      </c>
      <c r="DQ691" s="55" t="str">
        <f>IF(AND(RecData[[#This Row],[Useable Background Data?]],RecData[[#This Row],[Turbines ON/OFF]]="OFF"),RecData[[#This Row],[dBA Sum]],"")</f>
        <v/>
      </c>
      <c r="DR691" s="3">
        <f>IF(OR(RecData[[#This Row],[Useable TON Data?]],RecData[[#This Row],[Useable Background Data?]]),ROUND(RecData[[#This Row],[WSpd_Avg '[m/s']]],0),"")</f>
        <v>2</v>
      </c>
      <c r="DS691" s="85">
        <f>(0.00002)^2*(10^(RecData[[#This Row],[Overall (dBA)]]/10))</f>
        <v>4.2052514860105868E-6</v>
      </c>
    </row>
    <row r="692" spans="1:123" ht="15" x14ac:dyDescent="0.25">
      <c r="A692" s="3" t="s">
        <v>249</v>
      </c>
      <c r="B692" s="12">
        <v>43271.933333333342</v>
      </c>
      <c r="C692" s="3"/>
      <c r="D692" s="3">
        <v>41.3</v>
      </c>
      <c r="E692" s="3"/>
      <c r="F692" s="3"/>
      <c r="G692" s="3"/>
      <c r="H692" s="3"/>
      <c r="I692" s="3"/>
      <c r="J692" s="3"/>
      <c r="K692" s="3">
        <v>40</v>
      </c>
      <c r="L692" s="3"/>
      <c r="M692" s="3"/>
      <c r="N692" s="3">
        <v>187.7</v>
      </c>
      <c r="O692" s="3"/>
      <c r="P692" s="3"/>
      <c r="Q692" s="3">
        <v>1.46</v>
      </c>
      <c r="R692" s="3">
        <v>0.2</v>
      </c>
      <c r="S692" s="3">
        <v>2.9</v>
      </c>
      <c r="T692" s="3">
        <v>15.1</v>
      </c>
      <c r="U692" s="3">
        <v>69.599999999999994</v>
      </c>
      <c r="V692" s="3">
        <v>969.4</v>
      </c>
      <c r="W692" s="3">
        <v>0</v>
      </c>
      <c r="X692" s="3">
        <v>46.1</v>
      </c>
      <c r="Y692" s="3">
        <v>44.2</v>
      </c>
      <c r="Z692" s="3">
        <v>44</v>
      </c>
      <c r="AA692" s="3">
        <v>41.1</v>
      </c>
      <c r="AB692" s="3">
        <v>37.200000000000003</v>
      </c>
      <c r="AC692" s="3">
        <v>34.9</v>
      </c>
      <c r="AD692" s="3">
        <v>37.799999999999997</v>
      </c>
      <c r="AE692" s="3">
        <v>39.6</v>
      </c>
      <c r="AF692" s="3">
        <v>47.5</v>
      </c>
      <c r="AG692" s="3">
        <v>39.5</v>
      </c>
      <c r="AH692" s="3">
        <v>37.200000000000003</v>
      </c>
      <c r="AI692" s="3">
        <v>37.9</v>
      </c>
      <c r="AJ692" s="3">
        <v>35.9</v>
      </c>
      <c r="AK692" s="3">
        <v>34.1</v>
      </c>
      <c r="AL692" s="3">
        <v>31.7</v>
      </c>
      <c r="AM692" s="3">
        <v>31.1</v>
      </c>
      <c r="AN692" s="3">
        <v>29.6</v>
      </c>
      <c r="AO692" s="3">
        <v>27.8</v>
      </c>
      <c r="AP692" s="3">
        <v>27.1</v>
      </c>
      <c r="AQ692" s="3">
        <v>27</v>
      </c>
      <c r="AR692" s="3">
        <v>27.4</v>
      </c>
      <c r="AS692" s="3">
        <v>28.1</v>
      </c>
      <c r="AT692" s="3">
        <v>31.4</v>
      </c>
      <c r="AU692" s="3">
        <v>26.5</v>
      </c>
      <c r="AV692" s="3">
        <v>24.6</v>
      </c>
      <c r="AW692" s="3">
        <v>23</v>
      </c>
      <c r="AX692" s="3">
        <v>18.399999999999999</v>
      </c>
      <c r="AY692" s="3">
        <v>16.5</v>
      </c>
      <c r="AZ692" s="3">
        <v>0</v>
      </c>
      <c r="BA692" s="3">
        <v>0</v>
      </c>
      <c r="BB692" s="3">
        <v>0</v>
      </c>
      <c r="BC692" s="3">
        <v>41.326255890694952</v>
      </c>
      <c r="BD692" s="3">
        <v>46.073744109305053</v>
      </c>
      <c r="BE692" s="3">
        <v>44.173744109305048</v>
      </c>
      <c r="BF692" s="3">
        <v>42.73374410930505</v>
      </c>
      <c r="BG692" s="3">
        <v>40.160410775971712</v>
      </c>
      <c r="BH692" s="3">
        <v>36.400410775971707</v>
      </c>
      <c r="BI692" s="3">
        <v>34.513744109305051</v>
      </c>
      <c r="BJ692" s="3">
        <v>38.207077442638379</v>
      </c>
      <c r="BK692" s="3">
        <v>39.880410775971711</v>
      </c>
      <c r="BL692" s="3">
        <v>47.353744109305055</v>
      </c>
      <c r="BM692" s="3">
        <v>39.48707744263838</v>
      </c>
      <c r="BN692" s="3">
        <v>37.470410775971715</v>
      </c>
      <c r="BO692" s="3">
        <v>37.537077442638378</v>
      </c>
      <c r="BP692" s="3">
        <v>35.253744109305046</v>
      </c>
      <c r="BQ692" s="3">
        <v>33.870410775971706</v>
      </c>
      <c r="BR692" s="3">
        <v>31.797077442638383</v>
      </c>
      <c r="BS692" s="3">
        <v>31.000410775971716</v>
      </c>
      <c r="BT692" s="3">
        <v>29.697077442638388</v>
      </c>
      <c r="BU692" s="3">
        <v>27.863744109305046</v>
      </c>
      <c r="BV692" s="3">
        <v>26.880410775971711</v>
      </c>
      <c r="BW692" s="3">
        <v>27.313744109305048</v>
      </c>
      <c r="BX692" s="3">
        <v>27.633744109305056</v>
      </c>
      <c r="BY692" s="3">
        <v>28.153744109305038</v>
      </c>
      <c r="BZ692" s="3">
        <v>31.583744109305044</v>
      </c>
      <c r="CA692" s="3">
        <v>26.783744109305033</v>
      </c>
      <c r="CB692" s="3">
        <v>24.320410775971709</v>
      </c>
      <c r="CC692" s="3">
        <v>22.933744109305039</v>
      </c>
      <c r="CD692" s="3">
        <v>17.640410775971716</v>
      </c>
      <c r="CE692" s="3">
        <v>15.933744109305046</v>
      </c>
      <c r="CF692" s="3">
        <v>-0.95292255736162446</v>
      </c>
      <c r="CG692" s="3">
        <v>-1.4862558906949559</v>
      </c>
      <c r="CH692" s="3">
        <v>-2.5629225573616239</v>
      </c>
      <c r="CI692" s="13">
        <f>[1]!dbasum(RecData[[#This Row],[20]:[2000]],RecData[[#Headers],[20]:[2000]])</f>
        <v>39.811284347218212</v>
      </c>
      <c r="CJ692" s="14">
        <v>8929</v>
      </c>
      <c r="CK692" s="15" t="s">
        <v>249</v>
      </c>
      <c r="CL692" s="15">
        <f>RecData[[#This Row],[Start Time]]</f>
        <v>43271.933333333342</v>
      </c>
      <c r="CM692" s="16">
        <f>RecData[[#This Row],[Wind Speed avg]]</f>
        <v>1.46</v>
      </c>
      <c r="CN692" s="16">
        <f>RecData[[#This Row],[Wind Dir. avg]]</f>
        <v>187.7</v>
      </c>
      <c r="CO692" s="16">
        <f>RecData[[#This Row],[Amb. Humidity]]</f>
        <v>69.599999999999994</v>
      </c>
      <c r="CP692" s="16">
        <f>RecData[[#This Row],[Amb. Temperature]]</f>
        <v>15.1</v>
      </c>
      <c r="CQ692" s="17">
        <f>RecData[[#This Row],[Amb. Rain Gauge]]</f>
        <v>0</v>
      </c>
      <c r="CR692" s="4" t="s">
        <v>1</v>
      </c>
      <c r="CS692" s="4" t="s">
        <v>49</v>
      </c>
      <c r="CT692" s="70">
        <v>1457.82299804687</v>
      </c>
      <c r="CU692" s="70">
        <v>36.0003051757812</v>
      </c>
      <c r="CV692" s="70">
        <v>10.4536008834838</v>
      </c>
      <c r="CW692" s="70">
        <v>15.047366142272899</v>
      </c>
      <c r="CX692" s="109"/>
      <c r="CY692" s="110"/>
      <c r="CZ692" s="2" t="b">
        <f>IF($DP$1="YES",IF(RecData[[#This Row],[Power (kW)]]&gt;=$CR$3, TRUE,FALSE),TRUE)</f>
        <v>1</v>
      </c>
      <c r="DA692" s="16">
        <f>MIN(MOD(180-ABS(ABS($DA$1-RecData[Yaw Angle (°)])-180),360),MOD(180-ABS(ABS($DB$1-RecData[Yaw Angle (°)])-180),360))</f>
        <v>28.470378398093658</v>
      </c>
      <c r="DB692" s="2" t="str">
        <f>IF($DP$2="None","None",IF(RecData[[#This Row],[Relative Wind Direction]]&lt;=45,"DW",IF(RecData[[#This Row],[Relative Wind Direction]]&lt;=135,"CW","UW")))</f>
        <v>DW</v>
      </c>
      <c r="DC692" s="61">
        <v>-1</v>
      </c>
      <c r="DD692" s="61">
        <v>-1</v>
      </c>
      <c r="DE692" s="18" t="b">
        <v>0</v>
      </c>
      <c r="DF692" s="2" t="b">
        <f>IF(OR(RecData[[#This Row],[WSpd_Avg '[m/s']]]-RecData[[#This Row],[Wind Speed min]]&gt;=$DF$3,RecData[[#This Row],[Wind Speed max]]-RecData[[#This Row],[WSpd_Avg '[m/s']]]&gt;=$DF$2),TRUE,FALSE)</f>
        <v>0</v>
      </c>
      <c r="DG692" s="2" t="b">
        <f>RecData[[#This Row],[Temperature '[°C']]]&lt;=-20</f>
        <v>0</v>
      </c>
      <c r="DH692" s="18" t="b">
        <f>NOT(OR(MOD(RecData[[#This Row],[TIMESTAMP]],1)&gt;0.91632,MOD(RecData[[#This Row],[TIMESTAMP]],1)&lt;0.208681))</f>
        <v>0</v>
      </c>
      <c r="DI692" s="18" t="b">
        <f>RecData[[#This Row],[Overall (dBA)]]-RecData[[#This Row],[L90]]&gt;=$DS$4</f>
        <v>0</v>
      </c>
      <c r="DJ692" s="18" t="b">
        <f>RecData[[#This Row],[Overall (dBA)]]&gt;$DS$2</f>
        <v>0</v>
      </c>
      <c r="DK692" s="18" t="b">
        <f>RecData[[#This Row],[Overall (dBA)]]&lt;$DS$3</f>
        <v>0</v>
      </c>
      <c r="DL6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2" s="2">
        <f>IF(AND(RecData[[#This Row],[Turbines ON/OFF]] = "OFF", NOT(OR(RecData[[#This Row],[Junk?]]="YES",RecData[[#This Row],[Gust?]],RecData[[#This Row],[Rain?]:[Min SPL Threshold?]]))),1,0)</f>
        <v>0</v>
      </c>
      <c r="DN692" s="16">
        <f>RecData[[#This Row],[dBA Sum]]</f>
        <v>39.811284347218212</v>
      </c>
      <c r="DO692" s="16">
        <f>RecData[[#This Row],[LAF90.0]]</f>
        <v>40</v>
      </c>
      <c r="DP692" s="55">
        <f>IF(AND(RecData[[#This Row],[Useable TON Data?]],RecData[[#This Row],[Turbines ON/OFF]]="ON"),RecData[[#This Row],[dBA Sum]],"")</f>
        <v>39.811284347218212</v>
      </c>
      <c r="DQ692" s="55" t="str">
        <f>IF(AND(RecData[[#This Row],[Useable Background Data?]],RecData[[#This Row],[Turbines ON/OFF]]="OFF"),RecData[[#This Row],[dBA Sum]],"")</f>
        <v/>
      </c>
      <c r="DR692" s="3">
        <f>IF(OR(RecData[[#This Row],[Useable TON Data?]],RecData[[#This Row],[Useable Background Data?]]),ROUND(RecData[[#This Row],[WSpd_Avg '[m/s']]],0),"")</f>
        <v>1</v>
      </c>
      <c r="DS692" s="85">
        <f>(0.00002)^2*(10^(RecData[[#This Row],[Overall (dBA)]]/10))</f>
        <v>3.8299087438163598E-6</v>
      </c>
    </row>
    <row r="693" spans="1:123" ht="15" x14ac:dyDescent="0.25">
      <c r="A693" s="3" t="s">
        <v>249</v>
      </c>
      <c r="B693" s="12">
        <v>43271.934722222228</v>
      </c>
      <c r="C693" s="3"/>
      <c r="D693" s="3">
        <v>42.4</v>
      </c>
      <c r="E693" s="3"/>
      <c r="F693" s="3"/>
      <c r="G693" s="3"/>
      <c r="H693" s="3"/>
      <c r="I693" s="3"/>
      <c r="J693" s="3"/>
      <c r="K693" s="3">
        <v>40.6</v>
      </c>
      <c r="L693" s="3"/>
      <c r="M693" s="3"/>
      <c r="N693" s="3">
        <v>170</v>
      </c>
      <c r="O693" s="3"/>
      <c r="P693" s="3"/>
      <c r="Q693" s="3">
        <v>1.66</v>
      </c>
      <c r="R693" s="3">
        <v>0.6</v>
      </c>
      <c r="S693" s="3">
        <v>3.1</v>
      </c>
      <c r="T693" s="3">
        <v>15</v>
      </c>
      <c r="U693" s="3">
        <v>69.8</v>
      </c>
      <c r="V693" s="3">
        <v>969.4</v>
      </c>
      <c r="W693" s="3">
        <v>0</v>
      </c>
      <c r="X693" s="3">
        <v>46.9</v>
      </c>
      <c r="Y693" s="3">
        <v>45.5</v>
      </c>
      <c r="Z693" s="3">
        <v>44.2</v>
      </c>
      <c r="AA693" s="3">
        <v>41.3</v>
      </c>
      <c r="AB693" s="3">
        <v>38.200000000000003</v>
      </c>
      <c r="AC693" s="3">
        <v>37.700000000000003</v>
      </c>
      <c r="AD693" s="3">
        <v>39.700000000000003</v>
      </c>
      <c r="AE693" s="3">
        <v>40.5</v>
      </c>
      <c r="AF693" s="3">
        <v>45.3</v>
      </c>
      <c r="AG693" s="3">
        <v>39.1</v>
      </c>
      <c r="AH693" s="3">
        <v>37.6</v>
      </c>
      <c r="AI693" s="3">
        <v>37.4</v>
      </c>
      <c r="AJ693" s="3">
        <v>36.299999999999997</v>
      </c>
      <c r="AK693" s="3">
        <v>34.700000000000003</v>
      </c>
      <c r="AL693" s="3">
        <v>33.200000000000003</v>
      </c>
      <c r="AM693" s="3">
        <v>33</v>
      </c>
      <c r="AN693" s="3">
        <v>32</v>
      </c>
      <c r="AO693" s="3">
        <v>30.3</v>
      </c>
      <c r="AP693" s="3">
        <v>29.3</v>
      </c>
      <c r="AQ693" s="3">
        <v>28.9</v>
      </c>
      <c r="AR693" s="3">
        <v>28.9</v>
      </c>
      <c r="AS693" s="3">
        <v>29.2</v>
      </c>
      <c r="AT693" s="3">
        <v>32.799999999999997</v>
      </c>
      <c r="AU693" s="3">
        <v>27.3</v>
      </c>
      <c r="AV693" s="3">
        <v>25.8</v>
      </c>
      <c r="AW693" s="3">
        <v>24.4</v>
      </c>
      <c r="AX693" s="3">
        <v>19.8</v>
      </c>
      <c r="AY693" s="3">
        <v>17.7</v>
      </c>
      <c r="AZ693" s="3">
        <v>0</v>
      </c>
      <c r="BA693" s="3">
        <v>0</v>
      </c>
      <c r="BB693" s="3">
        <v>0</v>
      </c>
      <c r="BC693" s="3">
        <v>42.373245327885122</v>
      </c>
      <c r="BD693" s="3">
        <v>46.926754672114875</v>
      </c>
      <c r="BE693" s="3">
        <v>45.526754672114883</v>
      </c>
      <c r="BF693" s="3">
        <v>42.986754672114877</v>
      </c>
      <c r="BG693" s="3">
        <v>40.413421338781539</v>
      </c>
      <c r="BH693" s="3">
        <v>37.453421338781546</v>
      </c>
      <c r="BI693" s="3">
        <v>37.366754672114887</v>
      </c>
      <c r="BJ693" s="3">
        <v>40.160088005448209</v>
      </c>
      <c r="BK693" s="3">
        <v>40.833421338781541</v>
      </c>
      <c r="BL693" s="3">
        <v>45.206754672114876</v>
      </c>
      <c r="BM693" s="3">
        <v>39.140088005448213</v>
      </c>
      <c r="BN693" s="3">
        <v>37.923421338781544</v>
      </c>
      <c r="BO693" s="3">
        <v>37.090088005448216</v>
      </c>
      <c r="BP693" s="3">
        <v>35.706754672114876</v>
      </c>
      <c r="BQ693" s="3">
        <v>34.523421338781539</v>
      </c>
      <c r="BR693" s="3">
        <v>33.350088005448207</v>
      </c>
      <c r="BS693" s="3">
        <v>32.953421338781546</v>
      </c>
      <c r="BT693" s="3">
        <v>32.150088005448218</v>
      </c>
      <c r="BU693" s="3">
        <v>30.416754672114884</v>
      </c>
      <c r="BV693" s="3">
        <v>29.133421338781538</v>
      </c>
      <c r="BW693" s="3">
        <v>29.266754672114878</v>
      </c>
      <c r="BX693" s="3">
        <v>29.18675467211488</v>
      </c>
      <c r="BY693" s="3">
        <v>29.30675467211487</v>
      </c>
      <c r="BZ693" s="3">
        <v>33.036754672114874</v>
      </c>
      <c r="CA693" s="3">
        <v>27.636754672114868</v>
      </c>
      <c r="CB693" s="3">
        <v>25.573421338781536</v>
      </c>
      <c r="CC693" s="3">
        <v>24.386754672114868</v>
      </c>
      <c r="CD693" s="3">
        <v>19.093421338781546</v>
      </c>
      <c r="CE693" s="3">
        <v>17.186754672114873</v>
      </c>
      <c r="CF693" s="3">
        <v>-0.89991199455179327</v>
      </c>
      <c r="CG693" s="3">
        <v>-1.4332453278851247</v>
      </c>
      <c r="CH693" s="3">
        <v>-2.5099119945517927</v>
      </c>
      <c r="CI693" s="13">
        <f>[1]!dbasum(RecData[[#This Row],[20]:[2000]],RecData[[#Headers],[20]:[2000]])</f>
        <v>40.868880084278956</v>
      </c>
      <c r="CJ693" s="14">
        <v>8931</v>
      </c>
      <c r="CK693" s="15" t="s">
        <v>249</v>
      </c>
      <c r="CL693" s="15">
        <f>RecData[[#This Row],[Start Time]]</f>
        <v>43271.934722222228</v>
      </c>
      <c r="CM693" s="16">
        <f>RecData[[#This Row],[Wind Speed avg]]</f>
        <v>1.66</v>
      </c>
      <c r="CN693" s="16">
        <f>RecData[[#This Row],[Wind Dir. avg]]</f>
        <v>170</v>
      </c>
      <c r="CO693" s="16">
        <f>RecData[[#This Row],[Amb. Humidity]]</f>
        <v>69.8</v>
      </c>
      <c r="CP693" s="16">
        <f>RecData[[#This Row],[Amb. Temperature]]</f>
        <v>15</v>
      </c>
      <c r="CQ693" s="17">
        <f>RecData[[#This Row],[Amb. Rain Gauge]]</f>
        <v>0</v>
      </c>
      <c r="CR693" s="4" t="s">
        <v>1</v>
      </c>
      <c r="CS693" s="4" t="s">
        <v>49</v>
      </c>
      <c r="CT693" s="70">
        <v>1457.82299804687</v>
      </c>
      <c r="CU693" s="70">
        <v>36.0003051757812</v>
      </c>
      <c r="CV693" s="70">
        <v>10.4536008834838</v>
      </c>
      <c r="CW693" s="70">
        <v>15.047366142272899</v>
      </c>
      <c r="CX693" s="109"/>
      <c r="CY693" s="110"/>
      <c r="CZ693" s="2" t="b">
        <f>IF($DP$1="YES",IF(RecData[[#This Row],[Power (kW)]]&gt;=$CR$3, TRUE,FALSE),TRUE)</f>
        <v>1</v>
      </c>
      <c r="DA693" s="16">
        <f>MIN(MOD(180-ABS(ABS($DA$1-RecData[Yaw Angle (°)])-180),360),MOD(180-ABS(ABS($DB$1-RecData[Yaw Angle (°)])-180),360))</f>
        <v>28.470378398093658</v>
      </c>
      <c r="DB693" s="2" t="str">
        <f>IF($DP$2="None","None",IF(RecData[[#This Row],[Relative Wind Direction]]&lt;=45,"DW",IF(RecData[[#This Row],[Relative Wind Direction]]&lt;=135,"CW","UW")))</f>
        <v>DW</v>
      </c>
      <c r="DC693" s="61" t="e">
        <f>IF($CL693-$CL692&gt;1/24,#REF!,IF(SUM($CQ692:$CQ693)&gt;$DS$1,$DS$5,DC694-1))</f>
        <v>#REF!</v>
      </c>
      <c r="DD693" s="61" t="e">
        <f>IF($CL694-$CL693&gt;1/24,#REF!,IF(SUM($CQ692:$CQ693)&gt;$DS$1,$DS$6,#REF!-1))</f>
        <v>#REF!</v>
      </c>
      <c r="DE693" s="18" t="b">
        <v>0</v>
      </c>
      <c r="DF693" s="2" t="b">
        <f>IF(OR(RecData[[#This Row],[WSpd_Avg '[m/s']]]-RecData[[#This Row],[Wind Speed min]]&gt;=$DF$3,RecData[[#This Row],[Wind Speed max]]-RecData[[#This Row],[WSpd_Avg '[m/s']]]&gt;=$DF$2),TRUE,FALSE)</f>
        <v>0</v>
      </c>
      <c r="DG693" s="2" t="b">
        <f>RecData[[#This Row],[Temperature '[°C']]]&lt;=-20</f>
        <v>0</v>
      </c>
      <c r="DH693" s="18" t="b">
        <f>NOT(OR(MOD(RecData[[#This Row],[TIMESTAMP]],1)&gt;0.91632,MOD(RecData[[#This Row],[TIMESTAMP]],1)&lt;0.208681))</f>
        <v>0</v>
      </c>
      <c r="DI693" s="18" t="b">
        <f>RecData[[#This Row],[Overall (dBA)]]-RecData[[#This Row],[L90]]&gt;=$DS$4</f>
        <v>0</v>
      </c>
      <c r="DJ693" s="18" t="b">
        <f>RecData[[#This Row],[Overall (dBA)]]&gt;$DS$2</f>
        <v>0</v>
      </c>
      <c r="DK693" s="18" t="b">
        <f>RecData[[#This Row],[Overall (dBA)]]&lt;$DS$3</f>
        <v>0</v>
      </c>
      <c r="DL6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3" s="2">
        <f>IF(AND(RecData[[#This Row],[Turbines ON/OFF]] = "OFF", NOT(OR(RecData[[#This Row],[Junk?]]="YES",RecData[[#This Row],[Gust?]],RecData[[#This Row],[Rain?]:[Min SPL Threshold?]]))),1,0)</f>
        <v>0</v>
      </c>
      <c r="DN693" s="16">
        <f>RecData[[#This Row],[dBA Sum]]</f>
        <v>40.868880084278956</v>
      </c>
      <c r="DO693" s="16">
        <f>RecData[[#This Row],[LAF90.0]]</f>
        <v>40.6</v>
      </c>
      <c r="DP693" s="55">
        <f>IF(AND(RecData[[#This Row],[Useable TON Data?]],RecData[[#This Row],[Turbines ON/OFF]]="ON"),RecData[[#This Row],[dBA Sum]],"")</f>
        <v>40.868880084278956</v>
      </c>
      <c r="DQ693" s="55" t="str">
        <f>IF(AND(RecData[[#This Row],[Useable Background Data?]],RecData[[#This Row],[Turbines ON/OFF]]="OFF"),RecData[[#This Row],[dBA Sum]],"")</f>
        <v/>
      </c>
      <c r="DR693" s="3">
        <f>IF(OR(RecData[[#This Row],[Useable TON Data?]],RecData[[#This Row],[Useable Background Data?]]),ROUND(RecData[[#This Row],[WSpd_Avg '[m/s']]],0),"")</f>
        <v>2</v>
      </c>
      <c r="DS693" s="85">
        <f>(0.00002)^2*(10^(RecData[[#This Row],[Overall (dBA)]]/10))</f>
        <v>4.8859385406157893E-6</v>
      </c>
    </row>
    <row r="694" spans="1:123" ht="15" x14ac:dyDescent="0.25">
      <c r="A694" s="3" t="s">
        <v>249</v>
      </c>
      <c r="B694" s="12">
        <v>43271.935416666674</v>
      </c>
      <c r="C694" s="3"/>
      <c r="D694" s="3">
        <v>42</v>
      </c>
      <c r="E694" s="3"/>
      <c r="F694" s="3"/>
      <c r="G694" s="3"/>
      <c r="H694" s="3"/>
      <c r="I694" s="3"/>
      <c r="J694" s="3"/>
      <c r="K694" s="3">
        <v>40</v>
      </c>
      <c r="L694" s="3"/>
      <c r="M694" s="3"/>
      <c r="N694" s="3">
        <v>156</v>
      </c>
      <c r="O694" s="3"/>
      <c r="P694" s="3"/>
      <c r="Q694" s="3">
        <v>1.8</v>
      </c>
      <c r="R694" s="3">
        <v>0.6</v>
      </c>
      <c r="S694" s="3">
        <v>2.9</v>
      </c>
      <c r="T694" s="3">
        <v>15</v>
      </c>
      <c r="U694" s="3">
        <v>69.7</v>
      </c>
      <c r="V694" s="3">
        <v>969.4</v>
      </c>
      <c r="W694" s="3">
        <v>0</v>
      </c>
      <c r="X694" s="3">
        <v>46.6</v>
      </c>
      <c r="Y694" s="3">
        <v>45.4</v>
      </c>
      <c r="Z694" s="3">
        <v>45</v>
      </c>
      <c r="AA694" s="3">
        <v>41.9</v>
      </c>
      <c r="AB694" s="3">
        <v>38.4</v>
      </c>
      <c r="AC694" s="3">
        <v>38.1</v>
      </c>
      <c r="AD694" s="3">
        <v>39.5</v>
      </c>
      <c r="AE694" s="3">
        <v>40.1</v>
      </c>
      <c r="AF694" s="3">
        <v>46.4</v>
      </c>
      <c r="AG694" s="3">
        <v>39.200000000000003</v>
      </c>
      <c r="AH694" s="3">
        <v>36.9</v>
      </c>
      <c r="AI694" s="3">
        <v>37.799999999999997</v>
      </c>
      <c r="AJ694" s="3">
        <v>35.9</v>
      </c>
      <c r="AK694" s="3">
        <v>34.6</v>
      </c>
      <c r="AL694" s="3">
        <v>32.700000000000003</v>
      </c>
      <c r="AM694" s="3">
        <v>32.200000000000003</v>
      </c>
      <c r="AN694" s="3">
        <v>31</v>
      </c>
      <c r="AO694" s="3">
        <v>28.9</v>
      </c>
      <c r="AP694" s="3">
        <v>28.1</v>
      </c>
      <c r="AQ694" s="3">
        <v>27.7</v>
      </c>
      <c r="AR694" s="3">
        <v>27.9</v>
      </c>
      <c r="AS694" s="3">
        <v>28.4</v>
      </c>
      <c r="AT694" s="3">
        <v>33.4</v>
      </c>
      <c r="AU694" s="3">
        <v>27</v>
      </c>
      <c r="AV694" s="3">
        <v>25.1</v>
      </c>
      <c r="AW694" s="3">
        <v>23.7</v>
      </c>
      <c r="AX694" s="3">
        <v>19.100000000000001</v>
      </c>
      <c r="AY694" s="3">
        <v>17.2</v>
      </c>
      <c r="AZ694" s="3">
        <v>0</v>
      </c>
      <c r="BA694" s="3">
        <v>0</v>
      </c>
      <c r="BB694" s="3">
        <v>0</v>
      </c>
      <c r="BC694" s="3">
        <v>42.00101285099371</v>
      </c>
      <c r="BD694" s="3">
        <v>46.598987149006284</v>
      </c>
      <c r="BE694" s="3">
        <v>45.398987149006295</v>
      </c>
      <c r="BF694" s="3">
        <v>43.758987149006281</v>
      </c>
      <c r="BG694" s="3">
        <v>40.985653815672954</v>
      </c>
      <c r="BH694" s="3">
        <v>37.625653815672955</v>
      </c>
      <c r="BI694" s="3">
        <v>37.738987149006299</v>
      </c>
      <c r="BJ694" s="3">
        <v>39.932320482339627</v>
      </c>
      <c r="BK694" s="3">
        <v>40.405653815672956</v>
      </c>
      <c r="BL694" s="3">
        <v>46.278987149006291</v>
      </c>
      <c r="BM694" s="3">
        <v>39.212320482339628</v>
      </c>
      <c r="BN694" s="3">
        <v>37.195653815672948</v>
      </c>
      <c r="BO694" s="3">
        <v>37.462320482339628</v>
      </c>
      <c r="BP694" s="3">
        <v>35.278987149006291</v>
      </c>
      <c r="BQ694" s="3">
        <v>34.395653815672951</v>
      </c>
      <c r="BR694" s="3">
        <v>32.822320482339627</v>
      </c>
      <c r="BS694" s="3">
        <v>32.125653815672955</v>
      </c>
      <c r="BT694" s="3">
        <v>31.122320482339624</v>
      </c>
      <c r="BU694" s="3">
        <v>28.988987149006299</v>
      </c>
      <c r="BV694" s="3">
        <v>27.905653815672956</v>
      </c>
      <c r="BW694" s="3">
        <v>28.038987149006296</v>
      </c>
      <c r="BX694" s="3">
        <v>28.158987149006286</v>
      </c>
      <c r="BY694" s="3">
        <v>28.478987149006279</v>
      </c>
      <c r="BZ694" s="3">
        <v>33.608987149006289</v>
      </c>
      <c r="CA694" s="3">
        <v>27.308987149006278</v>
      </c>
      <c r="CB694" s="3">
        <v>24.845653815672954</v>
      </c>
      <c r="CC694" s="3">
        <v>23.658987149006286</v>
      </c>
      <c r="CD694" s="3">
        <v>18.365653815672964</v>
      </c>
      <c r="CE694" s="3">
        <v>16.658987149006286</v>
      </c>
      <c r="CF694" s="3">
        <v>-0.92767951766037982</v>
      </c>
      <c r="CG694" s="3">
        <v>-1.4610128509937113</v>
      </c>
      <c r="CH694" s="3">
        <v>-2.5376795176603792</v>
      </c>
      <c r="CI694" s="13">
        <f>[1]!dbasum(RecData[[#This Row],[20]:[2000]],RecData[[#Headers],[20]:[2000]])</f>
        <v>40.275789415947294</v>
      </c>
      <c r="CJ694" s="14">
        <v>8932</v>
      </c>
      <c r="CK694" s="15" t="s">
        <v>249</v>
      </c>
      <c r="CL694" s="15">
        <f>RecData[[#This Row],[Start Time]]</f>
        <v>43271.935416666674</v>
      </c>
      <c r="CM694" s="16">
        <f>RecData[[#This Row],[Wind Speed avg]]</f>
        <v>1.8</v>
      </c>
      <c r="CN694" s="16">
        <f>RecData[[#This Row],[Wind Dir. avg]]</f>
        <v>156</v>
      </c>
      <c r="CO694" s="16">
        <f>RecData[[#This Row],[Amb. Humidity]]</f>
        <v>69.7</v>
      </c>
      <c r="CP694" s="16">
        <f>RecData[[#This Row],[Amb. Temperature]]</f>
        <v>15</v>
      </c>
      <c r="CQ694" s="17">
        <f>RecData[[#This Row],[Amb. Rain Gauge]]</f>
        <v>0</v>
      </c>
      <c r="CR694" s="4" t="s">
        <v>1</v>
      </c>
      <c r="CS694" s="4" t="s">
        <v>49</v>
      </c>
      <c r="CT694" s="70">
        <v>1457.82299804687</v>
      </c>
      <c r="CU694" s="70">
        <v>36.0003051757812</v>
      </c>
      <c r="CV694" s="70">
        <v>10.4536008834838</v>
      </c>
      <c r="CW694" s="70">
        <v>15.047366142272899</v>
      </c>
      <c r="CX694" s="109"/>
      <c r="CY694" s="110"/>
      <c r="CZ694" s="2" t="b">
        <f>IF($DP$1="YES",IF(RecData[[#This Row],[Power (kW)]]&gt;=$CR$3, TRUE,FALSE),TRUE)</f>
        <v>1</v>
      </c>
      <c r="DA694" s="16">
        <f>MIN(MOD(180-ABS(ABS($DA$1-RecData[Yaw Angle (°)])-180),360),MOD(180-ABS(ABS($DB$1-RecData[Yaw Angle (°)])-180),360))</f>
        <v>28.470378398093658</v>
      </c>
      <c r="DB694" s="2" t="str">
        <f>IF($DP$2="None","None",IF(RecData[[#This Row],[Relative Wind Direction]]&lt;=45,"DW",IF(RecData[[#This Row],[Relative Wind Direction]]&lt;=135,"CW","UW")))</f>
        <v>DW</v>
      </c>
      <c r="DC694" s="61" t="e">
        <f>IF($CL694-$CL692&gt;1/24,#REF!,IF(SUM($CQ692:$CQ694)&gt;$DS$1,$DS$5,#REF!-1))</f>
        <v>#REF!</v>
      </c>
      <c r="DD694" s="61" t="e">
        <f>IF(#REF!-$CL694&gt;1/24,#REF!,IF(SUM($CQ692:$CQ694)&gt;$DS$1,$DS$6,DD693-1))</f>
        <v>#REF!</v>
      </c>
      <c r="DE694" s="18" t="b">
        <v>0</v>
      </c>
      <c r="DF694" s="2" t="b">
        <f>IF(OR(RecData[[#This Row],[WSpd_Avg '[m/s']]]-RecData[[#This Row],[Wind Speed min]]&gt;=$DF$3,RecData[[#This Row],[Wind Speed max]]-RecData[[#This Row],[WSpd_Avg '[m/s']]]&gt;=$DF$2),TRUE,FALSE)</f>
        <v>0</v>
      </c>
      <c r="DG694" s="2" t="b">
        <f>RecData[[#This Row],[Temperature '[°C']]]&lt;=-20</f>
        <v>0</v>
      </c>
      <c r="DH694" s="18" t="b">
        <f>NOT(OR(MOD(RecData[[#This Row],[TIMESTAMP]],1)&gt;0.91632,MOD(RecData[[#This Row],[TIMESTAMP]],1)&lt;0.208681))</f>
        <v>0</v>
      </c>
      <c r="DI694" s="18" t="b">
        <f>RecData[[#This Row],[Overall (dBA)]]-RecData[[#This Row],[L90]]&gt;=$DS$4</f>
        <v>0</v>
      </c>
      <c r="DJ694" s="18" t="b">
        <f>RecData[[#This Row],[Overall (dBA)]]&gt;$DS$2</f>
        <v>0</v>
      </c>
      <c r="DK694" s="18" t="b">
        <f>RecData[[#This Row],[Overall (dBA)]]&lt;$DS$3</f>
        <v>0</v>
      </c>
      <c r="DL6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4" s="2">
        <f>IF(AND(RecData[[#This Row],[Turbines ON/OFF]] = "OFF", NOT(OR(RecData[[#This Row],[Junk?]]="YES",RecData[[#This Row],[Gust?]],RecData[[#This Row],[Rain?]:[Min SPL Threshold?]]))),1,0)</f>
        <v>0</v>
      </c>
      <c r="DN694" s="16">
        <f>RecData[[#This Row],[dBA Sum]]</f>
        <v>40.275789415947294</v>
      </c>
      <c r="DO694" s="16">
        <f>RecData[[#This Row],[LAF90.0]]</f>
        <v>40</v>
      </c>
      <c r="DP694" s="55">
        <f>IF(AND(RecData[[#This Row],[Useable TON Data?]],RecData[[#This Row],[Turbines ON/OFF]]="ON"),RecData[[#This Row],[dBA Sum]],"")</f>
        <v>40.275789415947294</v>
      </c>
      <c r="DQ694" s="55" t="str">
        <f>IF(AND(RecData[[#This Row],[Useable Background Data?]],RecData[[#This Row],[Turbines ON/OFF]]="OFF"),RecData[[#This Row],[dBA Sum]],"")</f>
        <v/>
      </c>
      <c r="DR694" s="3">
        <f>IF(OR(RecData[[#This Row],[Useable TON Data?]],RecData[[#This Row],[Useable Background Data?]]),ROUND(RecData[[#This Row],[WSpd_Avg '[m/s']]],0),"")</f>
        <v>2</v>
      </c>
      <c r="DS694" s="85">
        <f>(0.00002)^2*(10^(RecData[[#This Row],[Overall (dBA)]]/10))</f>
        <v>4.2622501323567802E-6</v>
      </c>
    </row>
    <row r="695" spans="1:123" ht="15" x14ac:dyDescent="0.25">
      <c r="A695" s="3" t="s">
        <v>249</v>
      </c>
      <c r="B695" s="12">
        <v>43272.104861111111</v>
      </c>
      <c r="C695" s="3"/>
      <c r="D695" s="3">
        <v>40.799999999999997</v>
      </c>
      <c r="E695" s="3"/>
      <c r="F695" s="3"/>
      <c r="G695" s="3"/>
      <c r="H695" s="3"/>
      <c r="I695" s="3"/>
      <c r="J695" s="3"/>
      <c r="K695" s="3">
        <v>39.6</v>
      </c>
      <c r="L695" s="3"/>
      <c r="M695" s="3"/>
      <c r="N695" s="3">
        <v>151.69999999999999</v>
      </c>
      <c r="O695" s="3"/>
      <c r="P695" s="3"/>
      <c r="Q695" s="3">
        <v>1.04</v>
      </c>
      <c r="R695" s="3">
        <v>0.2</v>
      </c>
      <c r="S695" s="3">
        <v>2</v>
      </c>
      <c r="T695" s="3">
        <v>11.5</v>
      </c>
      <c r="U695" s="3">
        <v>69.599999999999994</v>
      </c>
      <c r="V695" s="3">
        <v>970.2</v>
      </c>
      <c r="W695" s="3">
        <v>0</v>
      </c>
      <c r="X695" s="3">
        <v>46.6</v>
      </c>
      <c r="Y695" s="3">
        <v>45.7</v>
      </c>
      <c r="Z695" s="3">
        <v>44</v>
      </c>
      <c r="AA695" s="3">
        <v>41.3</v>
      </c>
      <c r="AB695" s="3">
        <v>37.4</v>
      </c>
      <c r="AC695" s="3">
        <v>34.5</v>
      </c>
      <c r="AD695" s="3">
        <v>38.6</v>
      </c>
      <c r="AE695" s="3">
        <v>40.4</v>
      </c>
      <c r="AF695" s="3">
        <v>46.2</v>
      </c>
      <c r="AG695" s="3">
        <v>40.299999999999997</v>
      </c>
      <c r="AH695" s="3">
        <v>37.6</v>
      </c>
      <c r="AI695" s="3">
        <v>37.700000000000003</v>
      </c>
      <c r="AJ695" s="3">
        <v>36.4</v>
      </c>
      <c r="AK695" s="3">
        <v>34.799999999999997</v>
      </c>
      <c r="AL695" s="3">
        <v>32.9</v>
      </c>
      <c r="AM695" s="3">
        <v>33</v>
      </c>
      <c r="AN695" s="3">
        <v>31.1</v>
      </c>
      <c r="AO695" s="3">
        <v>28.1</v>
      </c>
      <c r="AP695" s="3">
        <v>26.9</v>
      </c>
      <c r="AQ695" s="3">
        <v>25.6</v>
      </c>
      <c r="AR695" s="3">
        <v>24.6</v>
      </c>
      <c r="AS695" s="3">
        <v>23.8</v>
      </c>
      <c r="AT695" s="3">
        <v>28.9</v>
      </c>
      <c r="AU695" s="3">
        <v>21.3</v>
      </c>
      <c r="AV695" s="3">
        <v>19.2</v>
      </c>
      <c r="AW695" s="3">
        <v>17.600000000000001</v>
      </c>
      <c r="AX695" s="3">
        <v>13.5</v>
      </c>
      <c r="AY695" s="3">
        <v>11.7</v>
      </c>
      <c r="AZ695" s="3">
        <v>0</v>
      </c>
      <c r="BA695" s="3">
        <v>0</v>
      </c>
      <c r="BB695" s="3">
        <v>0</v>
      </c>
      <c r="BC695" s="3">
        <v>40.76686661194514</v>
      </c>
      <c r="BD695" s="3">
        <v>46.633133388054866</v>
      </c>
      <c r="BE695" s="3">
        <v>45.73313338805486</v>
      </c>
      <c r="BF695" s="3">
        <v>42.793133388054862</v>
      </c>
      <c r="BG695" s="3">
        <v>40.419800054721527</v>
      </c>
      <c r="BH695" s="3">
        <v>36.659800054721522</v>
      </c>
      <c r="BI695" s="3">
        <v>34.173133388054858</v>
      </c>
      <c r="BJ695" s="3">
        <v>39.066466721388188</v>
      </c>
      <c r="BK695" s="3">
        <v>40.73980005472152</v>
      </c>
      <c r="BL695" s="3">
        <v>46.113133388054855</v>
      </c>
      <c r="BM695" s="3">
        <v>40.34646672138819</v>
      </c>
      <c r="BN695" s="3">
        <v>37.929800054721518</v>
      </c>
      <c r="BO695" s="3">
        <v>37.396466721388187</v>
      </c>
      <c r="BP695" s="3">
        <v>35.813133388054858</v>
      </c>
      <c r="BQ695" s="3">
        <v>34.629800054721507</v>
      </c>
      <c r="BR695" s="3">
        <v>33.056466721388183</v>
      </c>
      <c r="BS695" s="3">
        <v>32.959800054721519</v>
      </c>
      <c r="BT695" s="3">
        <v>31.2564667213882</v>
      </c>
      <c r="BU695" s="3">
        <v>28.223133388054869</v>
      </c>
      <c r="BV695" s="3">
        <v>26.73980005472152</v>
      </c>
      <c r="BW695" s="3">
        <v>25.973133388054869</v>
      </c>
      <c r="BX695" s="3">
        <v>24.893133388054856</v>
      </c>
      <c r="BY695" s="3">
        <v>23.913133388054852</v>
      </c>
      <c r="BZ695" s="3">
        <v>29.143133388054856</v>
      </c>
      <c r="CA695" s="3">
        <v>21.643133388054849</v>
      </c>
      <c r="CB695" s="3">
        <v>18.979800054721522</v>
      </c>
      <c r="CC695" s="3">
        <v>17.593133388054859</v>
      </c>
      <c r="CD695" s="3">
        <v>12.79980005472153</v>
      </c>
      <c r="CE695" s="3">
        <v>11.193133388054854</v>
      </c>
      <c r="CF695" s="3">
        <v>-0.89353327861181242</v>
      </c>
      <c r="CG695" s="3">
        <v>-1.4268666119451439</v>
      </c>
      <c r="CH695" s="3">
        <v>-2.5035332786118119</v>
      </c>
      <c r="CI695" s="13">
        <f>[1]!dbasum(RecData[[#This Row],[20]:[2000]],RecData[[#Headers],[20]:[2000]])</f>
        <v>40.083472411336551</v>
      </c>
      <c r="CJ695" s="14">
        <v>9176</v>
      </c>
      <c r="CK695" s="15" t="s">
        <v>249</v>
      </c>
      <c r="CL695" s="15">
        <f>RecData[[#This Row],[Start Time]]</f>
        <v>43272.104861111111</v>
      </c>
      <c r="CM695" s="16">
        <f>RecData[[#This Row],[Wind Speed avg]]</f>
        <v>1.04</v>
      </c>
      <c r="CN695" s="16">
        <f>RecData[[#This Row],[Wind Dir. avg]]</f>
        <v>151.69999999999999</v>
      </c>
      <c r="CO695" s="16">
        <f>RecData[[#This Row],[Amb. Humidity]]</f>
        <v>69.599999999999994</v>
      </c>
      <c r="CP695" s="16">
        <f>RecData[[#This Row],[Amb. Temperature]]</f>
        <v>11.5</v>
      </c>
      <c r="CQ695" s="17">
        <f>RecData[[#This Row],[Amb. Rain Gauge]]</f>
        <v>0</v>
      </c>
      <c r="CR695" s="4" t="s">
        <v>1</v>
      </c>
      <c r="CS695" s="4" t="s">
        <v>49</v>
      </c>
      <c r="CT695" s="70">
        <v>1458.26452636718</v>
      </c>
      <c r="CU695" s="70">
        <v>52.000453948974602</v>
      </c>
      <c r="CV695" s="70">
        <v>8.6362619400024396</v>
      </c>
      <c r="CW695" s="70">
        <v>15.1412963867187</v>
      </c>
      <c r="CX695" s="109"/>
      <c r="CY695" s="110"/>
      <c r="CZ695" s="2" t="b">
        <f>IF($DP$1="YES",IF(RecData[[#This Row],[Power (kW)]]&gt;=$CR$3, TRUE,FALSE),TRUE)</f>
        <v>1</v>
      </c>
      <c r="DA695" s="16">
        <f>MIN(MOD(180-ABS(ABS($DA$1-RecData[Yaw Angle (°)])-180),360),MOD(180-ABS(ABS($DB$1-RecData[Yaw Angle (°)])-180),360))</f>
        <v>44.470527171287046</v>
      </c>
      <c r="DB695" s="2" t="str">
        <f>IF($DP$2="None","None",IF(RecData[[#This Row],[Relative Wind Direction]]&lt;=45,"DW",IF(RecData[[#This Row],[Relative Wind Direction]]&lt;=135,"CW","UW")))</f>
        <v>DW</v>
      </c>
      <c r="DC695" s="61" t="e">
        <f>IF($CL695-#REF!&gt;1/24,#REF!,IF(SUM($CQ695:$CQ695)&gt;$DS$1,$DS$5,DC696-1))</f>
        <v>#REF!</v>
      </c>
      <c r="DD695" s="61" t="e">
        <f>IF($CL696-$CL695&gt;1/24,#REF!,IF(SUM($CQ695:$CQ695)&gt;$DS$1,$DS$6,#REF!-1))</f>
        <v>#REF!</v>
      </c>
      <c r="DE695" s="18" t="b">
        <v>0</v>
      </c>
      <c r="DF695" s="2" t="b">
        <f>IF(OR(RecData[[#This Row],[WSpd_Avg '[m/s']]]-RecData[[#This Row],[Wind Speed min]]&gt;=$DF$3,RecData[[#This Row],[Wind Speed max]]-RecData[[#This Row],[WSpd_Avg '[m/s']]]&gt;=$DF$2),TRUE,FALSE)</f>
        <v>0</v>
      </c>
      <c r="DG695" s="2" t="b">
        <f>RecData[[#This Row],[Temperature '[°C']]]&lt;=-20</f>
        <v>0</v>
      </c>
      <c r="DH695" s="18" t="b">
        <f>NOT(OR(MOD(RecData[[#This Row],[TIMESTAMP]],1)&gt;0.91632,MOD(RecData[[#This Row],[TIMESTAMP]],1)&lt;0.208681))</f>
        <v>0</v>
      </c>
      <c r="DI695" s="18" t="b">
        <f>RecData[[#This Row],[Overall (dBA)]]-RecData[[#This Row],[L90]]&gt;=$DS$4</f>
        <v>0</v>
      </c>
      <c r="DJ695" s="18" t="b">
        <f>RecData[[#This Row],[Overall (dBA)]]&gt;$DS$2</f>
        <v>0</v>
      </c>
      <c r="DK695" s="18" t="b">
        <f>RecData[[#This Row],[Overall (dBA)]]&lt;$DS$3</f>
        <v>0</v>
      </c>
      <c r="DL6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5" s="2">
        <f>IF(AND(RecData[[#This Row],[Turbines ON/OFF]] = "OFF", NOT(OR(RecData[[#This Row],[Junk?]]="YES",RecData[[#This Row],[Gust?]],RecData[[#This Row],[Rain?]:[Min SPL Threshold?]]))),1,0)</f>
        <v>0</v>
      </c>
      <c r="DN695" s="16">
        <f>RecData[[#This Row],[dBA Sum]]</f>
        <v>40.083472411336551</v>
      </c>
      <c r="DO695" s="16">
        <f>RecData[[#This Row],[LAF90.0]]</f>
        <v>39.6</v>
      </c>
      <c r="DP695" s="55">
        <f>IF(AND(RecData[[#This Row],[Useable TON Data?]],RecData[[#This Row],[Turbines ON/OFF]]="ON"),RecData[[#This Row],[dBA Sum]],"")</f>
        <v>40.083472411336551</v>
      </c>
      <c r="DQ695" s="55" t="str">
        <f>IF(AND(RecData[[#This Row],[Useable Background Data?]],RecData[[#This Row],[Turbines ON/OFF]]="OFF"),RecData[[#This Row],[dBA Sum]],"")</f>
        <v/>
      </c>
      <c r="DR695" s="3">
        <f>IF(OR(RecData[[#This Row],[Useable TON Data?]],RecData[[#This Row],[Useable Background Data?]]),ROUND(RecData[[#This Row],[WSpd_Avg '[m/s']]],0),"")</f>
        <v>1</v>
      </c>
      <c r="DS695" s="85">
        <f>(0.00002)^2*(10^(RecData[[#This Row],[Overall (dBA)]]/10))</f>
        <v>4.0776245230789196E-6</v>
      </c>
    </row>
    <row r="696" spans="1:123" ht="15" x14ac:dyDescent="0.25">
      <c r="A696" s="3" t="s">
        <v>249</v>
      </c>
      <c r="B696" s="12">
        <v>43272.105555555558</v>
      </c>
      <c r="C696" s="3"/>
      <c r="D696" s="3">
        <v>40.1</v>
      </c>
      <c r="E696" s="3"/>
      <c r="F696" s="3"/>
      <c r="G696" s="3"/>
      <c r="H696" s="3"/>
      <c r="I696" s="3"/>
      <c r="J696" s="3"/>
      <c r="K696" s="3">
        <v>38.1</v>
      </c>
      <c r="L696" s="3"/>
      <c r="M696" s="3"/>
      <c r="N696" s="3">
        <v>183.3</v>
      </c>
      <c r="O696" s="3"/>
      <c r="P696" s="3"/>
      <c r="Q696" s="3">
        <v>0.91</v>
      </c>
      <c r="R696" s="3">
        <v>0.2</v>
      </c>
      <c r="S696" s="3">
        <v>1.9</v>
      </c>
      <c r="T696" s="3">
        <v>11.5</v>
      </c>
      <c r="U696" s="3">
        <v>69.8</v>
      </c>
      <c r="V696" s="3">
        <v>970.2</v>
      </c>
      <c r="W696" s="3">
        <v>0</v>
      </c>
      <c r="X696" s="3">
        <v>46.3</v>
      </c>
      <c r="Y696" s="3">
        <v>45.7</v>
      </c>
      <c r="Z696" s="3">
        <v>43.4</v>
      </c>
      <c r="AA696" s="3">
        <v>40.700000000000003</v>
      </c>
      <c r="AB696" s="3">
        <v>37</v>
      </c>
      <c r="AC696" s="3">
        <v>34</v>
      </c>
      <c r="AD696" s="3">
        <v>36.700000000000003</v>
      </c>
      <c r="AE696" s="3">
        <v>38.6</v>
      </c>
      <c r="AF696" s="3">
        <v>47.6</v>
      </c>
      <c r="AG696" s="3">
        <v>42</v>
      </c>
      <c r="AH696" s="3">
        <v>36.6</v>
      </c>
      <c r="AI696" s="3">
        <v>37.200000000000003</v>
      </c>
      <c r="AJ696" s="3">
        <v>35.799999999999997</v>
      </c>
      <c r="AK696" s="3">
        <v>34</v>
      </c>
      <c r="AL696" s="3">
        <v>32.4</v>
      </c>
      <c r="AM696" s="3">
        <v>32.6</v>
      </c>
      <c r="AN696" s="3">
        <v>30.5</v>
      </c>
      <c r="AO696" s="3">
        <v>27.2</v>
      </c>
      <c r="AP696" s="3">
        <v>25.9</v>
      </c>
      <c r="AQ696" s="3">
        <v>24.5</v>
      </c>
      <c r="AR696" s="3">
        <v>23.1</v>
      </c>
      <c r="AS696" s="3">
        <v>22.2</v>
      </c>
      <c r="AT696" s="3">
        <v>24.5</v>
      </c>
      <c r="AU696" s="3">
        <v>18.8</v>
      </c>
      <c r="AV696" s="3">
        <v>17.100000000000001</v>
      </c>
      <c r="AW696" s="3">
        <v>15.1</v>
      </c>
      <c r="AX696" s="3">
        <v>11.7</v>
      </c>
      <c r="AY696" s="3">
        <v>10.4</v>
      </c>
      <c r="AZ696" s="3">
        <v>0</v>
      </c>
      <c r="BA696" s="3">
        <v>0</v>
      </c>
      <c r="BB696" s="3">
        <v>0</v>
      </c>
      <c r="BC696" s="3">
        <v>40.138896492352288</v>
      </c>
      <c r="BD696" s="3">
        <v>46.261103507647718</v>
      </c>
      <c r="BE696" s="3">
        <v>45.661103507647724</v>
      </c>
      <c r="BF696" s="3">
        <v>42.121103507647703</v>
      </c>
      <c r="BG696" s="3">
        <v>39.747770174314383</v>
      </c>
      <c r="BH696" s="3">
        <v>36.18777017431438</v>
      </c>
      <c r="BI696" s="3">
        <v>33.601103507647721</v>
      </c>
      <c r="BJ696" s="3">
        <v>37.094436840981047</v>
      </c>
      <c r="BK696" s="3">
        <v>38.867770174314373</v>
      </c>
      <c r="BL696" s="3">
        <v>47.441103507647725</v>
      </c>
      <c r="BM696" s="3">
        <v>41.974436840981056</v>
      </c>
      <c r="BN696" s="3">
        <v>36.857770174314382</v>
      </c>
      <c r="BO696" s="3">
        <v>36.824436840981051</v>
      </c>
      <c r="BP696" s="3">
        <v>35.141103507647713</v>
      </c>
      <c r="BQ696" s="3">
        <v>33.757770174314373</v>
      </c>
      <c r="BR696" s="3">
        <v>32.484436840981047</v>
      </c>
      <c r="BS696" s="3">
        <v>32.487770174314377</v>
      </c>
      <c r="BT696" s="3">
        <v>30.584436840981041</v>
      </c>
      <c r="BU696" s="3">
        <v>27.251103507647713</v>
      </c>
      <c r="BV696" s="3">
        <v>25.667770174314384</v>
      </c>
      <c r="BW696" s="3">
        <v>24.80110350764771</v>
      </c>
      <c r="BX696" s="3">
        <v>23.32110350764772</v>
      </c>
      <c r="BY696" s="3">
        <v>22.241103507647708</v>
      </c>
      <c r="BZ696" s="3">
        <v>24.671103507647715</v>
      </c>
      <c r="CA696" s="3">
        <v>19.071103507647706</v>
      </c>
      <c r="CB696" s="3">
        <v>16.807770174314385</v>
      </c>
      <c r="CC696" s="3">
        <v>15.021103507647709</v>
      </c>
      <c r="CD696" s="3">
        <v>10.927770174314382</v>
      </c>
      <c r="CE696" s="3">
        <v>9.8211035076477131</v>
      </c>
      <c r="CF696" s="3">
        <v>-0.96556315901895573</v>
      </c>
      <c r="CG696" s="3">
        <v>-1.4988964923522872</v>
      </c>
      <c r="CH696" s="3">
        <v>-2.5755631590189552</v>
      </c>
      <c r="CI696" s="13">
        <f>[1]!dbasum(RecData[[#This Row],[20]:[2000]],RecData[[#Headers],[20]:[2000]])</f>
        <v>39.689951055344345</v>
      </c>
      <c r="CJ696" s="14">
        <v>9177</v>
      </c>
      <c r="CK696" s="15" t="s">
        <v>249</v>
      </c>
      <c r="CL696" s="15">
        <f>RecData[[#This Row],[Start Time]]</f>
        <v>43272.105555555558</v>
      </c>
      <c r="CM696" s="16">
        <f>RecData[[#This Row],[Wind Speed avg]]</f>
        <v>0.91</v>
      </c>
      <c r="CN696" s="16">
        <f>RecData[[#This Row],[Wind Dir. avg]]</f>
        <v>183.3</v>
      </c>
      <c r="CO696" s="16">
        <f>RecData[[#This Row],[Amb. Humidity]]</f>
        <v>69.8</v>
      </c>
      <c r="CP696" s="16">
        <f>RecData[[#This Row],[Amb. Temperature]]</f>
        <v>11.5</v>
      </c>
      <c r="CQ696" s="17">
        <f>RecData[[#This Row],[Amb. Rain Gauge]]</f>
        <v>0</v>
      </c>
      <c r="CR696" s="4" t="s">
        <v>1</v>
      </c>
      <c r="CS696" s="4" t="s">
        <v>49</v>
      </c>
      <c r="CT696" s="70">
        <v>1458.26452636718</v>
      </c>
      <c r="CU696" s="70">
        <v>52.000453948974602</v>
      </c>
      <c r="CV696" s="70">
        <v>8.6362619400024396</v>
      </c>
      <c r="CW696" s="70">
        <v>15.1412963867187</v>
      </c>
      <c r="CX696" s="109"/>
      <c r="CY696" s="110"/>
      <c r="CZ696" s="2" t="b">
        <f>IF($DP$1="YES",IF(RecData[[#This Row],[Power (kW)]]&gt;=$CR$3, TRUE,FALSE),TRUE)</f>
        <v>1</v>
      </c>
      <c r="DA696" s="16">
        <f>MIN(MOD(180-ABS(ABS($DA$1-RecData[Yaw Angle (°)])-180),360),MOD(180-ABS(ABS($DB$1-RecData[Yaw Angle (°)])-180),360))</f>
        <v>44.470527171287046</v>
      </c>
      <c r="DB696" s="2" t="str">
        <f>IF($DP$2="None","None",IF(RecData[[#This Row],[Relative Wind Direction]]&lt;=45,"DW",IF(RecData[[#This Row],[Relative Wind Direction]]&lt;=135,"CW","UW")))</f>
        <v>DW</v>
      </c>
      <c r="DC696" s="61" t="e">
        <f>IF($CL696-#REF!&gt;1/24,#REF!,IF(SUM($CQ695:$CQ696)&gt;$DS$1,$DS$5,DC697-1))</f>
        <v>#REF!</v>
      </c>
      <c r="DD696" s="61" t="e">
        <f>IF($CL697-$CL696&gt;1/24,#REF!,IF(SUM($CQ695:$CQ696)&gt;$DS$1,$DS$6,DD695-1))</f>
        <v>#REF!</v>
      </c>
      <c r="DE696" s="18" t="b">
        <v>0</v>
      </c>
      <c r="DF696" s="2" t="b">
        <f>IF(OR(RecData[[#This Row],[WSpd_Avg '[m/s']]]-RecData[[#This Row],[Wind Speed min]]&gt;=$DF$3,RecData[[#This Row],[Wind Speed max]]-RecData[[#This Row],[WSpd_Avg '[m/s']]]&gt;=$DF$2),TRUE,FALSE)</f>
        <v>0</v>
      </c>
      <c r="DG696" s="2" t="b">
        <f>RecData[[#This Row],[Temperature '[°C']]]&lt;=-20</f>
        <v>0</v>
      </c>
      <c r="DH696" s="18" t="b">
        <f>NOT(OR(MOD(RecData[[#This Row],[TIMESTAMP]],1)&gt;0.91632,MOD(RecData[[#This Row],[TIMESTAMP]],1)&lt;0.208681))</f>
        <v>0</v>
      </c>
      <c r="DI696" s="18" t="b">
        <f>RecData[[#This Row],[Overall (dBA)]]-RecData[[#This Row],[L90]]&gt;=$DS$4</f>
        <v>0</v>
      </c>
      <c r="DJ696" s="18" t="b">
        <f>RecData[[#This Row],[Overall (dBA)]]&gt;$DS$2</f>
        <v>0</v>
      </c>
      <c r="DK696" s="18" t="b">
        <f>RecData[[#This Row],[Overall (dBA)]]&lt;$DS$3</f>
        <v>0</v>
      </c>
      <c r="DL6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6" s="2">
        <f>IF(AND(RecData[[#This Row],[Turbines ON/OFF]] = "OFF", NOT(OR(RecData[[#This Row],[Junk?]]="YES",RecData[[#This Row],[Gust?]],RecData[[#This Row],[Rain?]:[Min SPL Threshold?]]))),1,0)</f>
        <v>0</v>
      </c>
      <c r="DN696" s="16">
        <f>RecData[[#This Row],[dBA Sum]]</f>
        <v>39.689951055344345</v>
      </c>
      <c r="DO696" s="16">
        <f>RecData[[#This Row],[LAF90.0]]</f>
        <v>38.1</v>
      </c>
      <c r="DP696" s="55">
        <f>IF(AND(RecData[[#This Row],[Useable TON Data?]],RecData[[#This Row],[Turbines ON/OFF]]="ON"),RecData[[#This Row],[dBA Sum]],"")</f>
        <v>39.689951055344345</v>
      </c>
      <c r="DQ696" s="55" t="str">
        <f>IF(AND(RecData[[#This Row],[Useable Background Data?]],RecData[[#This Row],[Turbines ON/OFF]]="OFF"),RecData[[#This Row],[dBA Sum]],"")</f>
        <v/>
      </c>
      <c r="DR696" s="3">
        <f>IF(OR(RecData[[#This Row],[Useable TON Data?]],RecData[[#This Row],[Useable Background Data?]]),ROUND(RecData[[#This Row],[WSpd_Avg '[m/s']]],0),"")</f>
        <v>1</v>
      </c>
      <c r="DS696" s="85">
        <f>(0.00002)^2*(10^(RecData[[#This Row],[Overall (dBA)]]/10))</f>
        <v>3.7243895280499258E-6</v>
      </c>
    </row>
    <row r="697" spans="1:123" ht="15" x14ac:dyDescent="0.25">
      <c r="A697" s="3" t="s">
        <v>249</v>
      </c>
      <c r="B697" s="12">
        <v>43272.106250000004</v>
      </c>
      <c r="C697" s="3"/>
      <c r="D697" s="3">
        <v>40.6</v>
      </c>
      <c r="E697" s="3"/>
      <c r="F697" s="3"/>
      <c r="G697" s="3"/>
      <c r="H697" s="3"/>
      <c r="I697" s="3"/>
      <c r="J697" s="3"/>
      <c r="K697" s="3">
        <v>39.1</v>
      </c>
      <c r="L697" s="3"/>
      <c r="M697" s="3"/>
      <c r="N697" s="3">
        <v>173.2</v>
      </c>
      <c r="O697" s="3"/>
      <c r="P697" s="3"/>
      <c r="Q697" s="3">
        <v>1.23</v>
      </c>
      <c r="R697" s="3">
        <v>0.6</v>
      </c>
      <c r="S697" s="3">
        <v>2.5</v>
      </c>
      <c r="T697" s="3">
        <v>11.4</v>
      </c>
      <c r="U697" s="3">
        <v>70</v>
      </c>
      <c r="V697" s="3">
        <v>970.2</v>
      </c>
      <c r="W697" s="3">
        <v>0</v>
      </c>
      <c r="X697" s="3">
        <v>46</v>
      </c>
      <c r="Y697" s="3">
        <v>45.4</v>
      </c>
      <c r="Z697" s="3">
        <v>43.5</v>
      </c>
      <c r="AA697" s="3">
        <v>40.1</v>
      </c>
      <c r="AB697" s="3">
        <v>36.5</v>
      </c>
      <c r="AC697" s="3">
        <v>35.200000000000003</v>
      </c>
      <c r="AD697" s="3">
        <v>38</v>
      </c>
      <c r="AE697" s="3">
        <v>39.799999999999997</v>
      </c>
      <c r="AF697" s="3">
        <v>45.7</v>
      </c>
      <c r="AG697" s="3">
        <v>40.200000000000003</v>
      </c>
      <c r="AH697" s="3">
        <v>37.4</v>
      </c>
      <c r="AI697" s="3">
        <v>37.799999999999997</v>
      </c>
      <c r="AJ697" s="3">
        <v>36.4</v>
      </c>
      <c r="AK697" s="3">
        <v>34.700000000000003</v>
      </c>
      <c r="AL697" s="3">
        <v>32.799999999999997</v>
      </c>
      <c r="AM697" s="3">
        <v>32.799999999999997</v>
      </c>
      <c r="AN697" s="3">
        <v>31.1</v>
      </c>
      <c r="AO697" s="3">
        <v>28.3</v>
      </c>
      <c r="AP697" s="3">
        <v>27.1</v>
      </c>
      <c r="AQ697" s="3">
        <v>26</v>
      </c>
      <c r="AR697" s="3">
        <v>25.3</v>
      </c>
      <c r="AS697" s="3">
        <v>24.7</v>
      </c>
      <c r="AT697" s="3">
        <v>26.4</v>
      </c>
      <c r="AU697" s="3">
        <v>22.3</v>
      </c>
      <c r="AV697" s="3">
        <v>20.8</v>
      </c>
      <c r="AW697" s="3">
        <v>18.600000000000001</v>
      </c>
      <c r="AX697" s="3">
        <v>14.3</v>
      </c>
      <c r="AY697" s="3">
        <v>12.2</v>
      </c>
      <c r="AZ697" s="3">
        <v>0</v>
      </c>
      <c r="BA697" s="3">
        <v>0</v>
      </c>
      <c r="BB697" s="3">
        <v>0</v>
      </c>
      <c r="BC697" s="3">
        <v>40.637324668189677</v>
      </c>
      <c r="BD697" s="3">
        <v>45.962675331810317</v>
      </c>
      <c r="BE697" s="3">
        <v>45.362675331810323</v>
      </c>
      <c r="BF697" s="3">
        <v>42.222675331810322</v>
      </c>
      <c r="BG697" s="3">
        <v>39.149341998476984</v>
      </c>
      <c r="BH697" s="3">
        <v>35.689341998476991</v>
      </c>
      <c r="BI697" s="3">
        <v>34.80267533181032</v>
      </c>
      <c r="BJ697" s="3">
        <v>38.396008665143654</v>
      </c>
      <c r="BK697" s="3">
        <v>40.069341998476986</v>
      </c>
      <c r="BL697" s="3">
        <v>45.542675331810329</v>
      </c>
      <c r="BM697" s="3">
        <v>40.176008665143655</v>
      </c>
      <c r="BN697" s="3">
        <v>37.659341998476989</v>
      </c>
      <c r="BO697" s="3">
        <v>37.426008665143655</v>
      </c>
      <c r="BP697" s="3">
        <v>35.742675331810318</v>
      </c>
      <c r="BQ697" s="3">
        <v>34.459341998476987</v>
      </c>
      <c r="BR697" s="3">
        <v>32.886008665143663</v>
      </c>
      <c r="BS697" s="3">
        <v>32.689341998476991</v>
      </c>
      <c r="BT697" s="3">
        <v>31.18600866514366</v>
      </c>
      <c r="BU697" s="3">
        <v>28.352675331810332</v>
      </c>
      <c r="BV697" s="3">
        <v>26.869341998476997</v>
      </c>
      <c r="BW697" s="3">
        <v>26.30267533181032</v>
      </c>
      <c r="BX697" s="3">
        <v>25.522675331810333</v>
      </c>
      <c r="BY697" s="3">
        <v>24.742675331810318</v>
      </c>
      <c r="BZ697" s="3">
        <v>26.572675331810331</v>
      </c>
      <c r="CA697" s="3">
        <v>22.572675331810316</v>
      </c>
      <c r="CB697" s="3">
        <v>20.509341998476991</v>
      </c>
      <c r="CC697" s="3">
        <v>18.522675331810319</v>
      </c>
      <c r="CD697" s="3">
        <v>13.529341998476994</v>
      </c>
      <c r="CE697" s="3">
        <v>11.622675331810321</v>
      </c>
      <c r="CF697" s="3">
        <v>-0.96399133485634536</v>
      </c>
      <c r="CG697" s="3">
        <v>-1.4973246681896768</v>
      </c>
      <c r="CH697" s="3">
        <v>-2.5739913348563448</v>
      </c>
      <c r="CI697" s="13">
        <f>[1]!dbasum(RecData[[#This Row],[20]:[2000]],RecData[[#Headers],[20]:[2000]])</f>
        <v>39.980937197227547</v>
      </c>
      <c r="CJ697" s="14">
        <v>9178</v>
      </c>
      <c r="CK697" s="15" t="s">
        <v>249</v>
      </c>
      <c r="CL697" s="15">
        <f>RecData[[#This Row],[Start Time]]</f>
        <v>43272.106250000004</v>
      </c>
      <c r="CM697" s="16">
        <f>RecData[[#This Row],[Wind Speed avg]]</f>
        <v>1.23</v>
      </c>
      <c r="CN697" s="16">
        <f>RecData[[#This Row],[Wind Dir. avg]]</f>
        <v>173.2</v>
      </c>
      <c r="CO697" s="16">
        <f>RecData[[#This Row],[Amb. Humidity]]</f>
        <v>70</v>
      </c>
      <c r="CP697" s="16">
        <f>RecData[[#This Row],[Amb. Temperature]]</f>
        <v>11.4</v>
      </c>
      <c r="CQ697" s="17">
        <f>RecData[[#This Row],[Amb. Rain Gauge]]</f>
        <v>0</v>
      </c>
      <c r="CR697" s="4" t="s">
        <v>1</v>
      </c>
      <c r="CS697" s="4" t="s">
        <v>49</v>
      </c>
      <c r="CT697" s="70">
        <v>1458.26452636718</v>
      </c>
      <c r="CU697" s="70">
        <v>52.000453948974602</v>
      </c>
      <c r="CV697" s="70">
        <v>8.6362619400024396</v>
      </c>
      <c r="CW697" s="70">
        <v>15.1412963867187</v>
      </c>
      <c r="CX697" s="109"/>
      <c r="CY697" s="110"/>
      <c r="CZ697" s="2" t="b">
        <f>IF($DP$1="YES",IF(RecData[[#This Row],[Power (kW)]]&gt;=$CR$3, TRUE,FALSE),TRUE)</f>
        <v>1</v>
      </c>
      <c r="DA697" s="16">
        <f>MIN(MOD(180-ABS(ABS($DA$1-RecData[Yaw Angle (°)])-180),360),MOD(180-ABS(ABS($DB$1-RecData[Yaw Angle (°)])-180),360))</f>
        <v>44.470527171287046</v>
      </c>
      <c r="DB697" s="2" t="str">
        <f>IF($DP$2="None","None",IF(RecData[[#This Row],[Relative Wind Direction]]&lt;=45,"DW",IF(RecData[[#This Row],[Relative Wind Direction]]&lt;=135,"CW","UW")))</f>
        <v>DW</v>
      </c>
      <c r="DC697" s="61" t="e">
        <f>IF($CL697-#REF!&gt;1/24,#REF!,IF(SUM($CQ695:$CQ697)&gt;$DS$1,$DS$5,#REF!-1))</f>
        <v>#REF!</v>
      </c>
      <c r="DD697" s="61" t="e">
        <f>IF(#REF!-$CL697&gt;1/24,#REF!,IF(SUM($CQ695:$CQ697)&gt;$DS$1,$DS$6,DD696-1))</f>
        <v>#REF!</v>
      </c>
      <c r="DE697" s="18" t="b">
        <v>0</v>
      </c>
      <c r="DF697" s="2" t="b">
        <f>IF(OR(RecData[[#This Row],[WSpd_Avg '[m/s']]]-RecData[[#This Row],[Wind Speed min]]&gt;=$DF$3,RecData[[#This Row],[Wind Speed max]]-RecData[[#This Row],[WSpd_Avg '[m/s']]]&gt;=$DF$2),TRUE,FALSE)</f>
        <v>0</v>
      </c>
      <c r="DG697" s="2" t="b">
        <f>RecData[[#This Row],[Temperature '[°C']]]&lt;=-20</f>
        <v>0</v>
      </c>
      <c r="DH697" s="18" t="b">
        <f>NOT(OR(MOD(RecData[[#This Row],[TIMESTAMP]],1)&gt;0.91632,MOD(RecData[[#This Row],[TIMESTAMP]],1)&lt;0.208681))</f>
        <v>0</v>
      </c>
      <c r="DI697" s="18" t="b">
        <f>RecData[[#This Row],[Overall (dBA)]]-RecData[[#This Row],[L90]]&gt;=$DS$4</f>
        <v>0</v>
      </c>
      <c r="DJ697" s="18" t="b">
        <f>RecData[[#This Row],[Overall (dBA)]]&gt;$DS$2</f>
        <v>0</v>
      </c>
      <c r="DK697" s="18" t="b">
        <f>RecData[[#This Row],[Overall (dBA)]]&lt;$DS$3</f>
        <v>0</v>
      </c>
      <c r="DL6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7" s="2">
        <f>IF(AND(RecData[[#This Row],[Turbines ON/OFF]] = "OFF", NOT(OR(RecData[[#This Row],[Junk?]]="YES",RecData[[#This Row],[Gust?]],RecData[[#This Row],[Rain?]:[Min SPL Threshold?]]))),1,0)</f>
        <v>0</v>
      </c>
      <c r="DN697" s="16">
        <f>RecData[[#This Row],[dBA Sum]]</f>
        <v>39.980937197227547</v>
      </c>
      <c r="DO697" s="16">
        <f>RecData[[#This Row],[LAF90.0]]</f>
        <v>39.1</v>
      </c>
      <c r="DP697" s="55">
        <f>IF(AND(RecData[[#This Row],[Useable TON Data?]],RecData[[#This Row],[Turbines ON/OFF]]="ON"),RecData[[#This Row],[dBA Sum]],"")</f>
        <v>39.980937197227547</v>
      </c>
      <c r="DQ697" s="55" t="str">
        <f>IF(AND(RecData[[#This Row],[Useable Background Data?]],RecData[[#This Row],[Turbines ON/OFF]]="OFF"),RecData[[#This Row],[dBA Sum]],"")</f>
        <v/>
      </c>
      <c r="DR697" s="3">
        <f>IF(OR(RecData[[#This Row],[Useable TON Data?]],RecData[[#This Row],[Useable Background Data?]]),ROUND(RecData[[#This Row],[WSpd_Avg '[m/s']]],0),"")</f>
        <v>1</v>
      </c>
      <c r="DS697" s="85">
        <f>(0.00002)^2*(10^(RecData[[#This Row],[Overall (dBA)]]/10))</f>
        <v>3.9824809866679243E-6</v>
      </c>
    </row>
    <row r="698" spans="1:123" ht="15" x14ac:dyDescent="0.25">
      <c r="A698" s="3" t="s">
        <v>249</v>
      </c>
      <c r="B698" s="12">
        <v>43272.109027777777</v>
      </c>
      <c r="C698" s="3"/>
      <c r="D698" s="3">
        <v>40.6</v>
      </c>
      <c r="E698" s="3"/>
      <c r="F698" s="3"/>
      <c r="G698" s="3"/>
      <c r="H698" s="3"/>
      <c r="I698" s="3"/>
      <c r="J698" s="3"/>
      <c r="K698" s="3">
        <v>39.5</v>
      </c>
      <c r="L698" s="3"/>
      <c r="M698" s="3"/>
      <c r="N698" s="3">
        <v>166.9</v>
      </c>
      <c r="O698" s="3"/>
      <c r="P698" s="3"/>
      <c r="Q698" s="3">
        <v>1.03</v>
      </c>
      <c r="R698" s="3">
        <v>0.3</v>
      </c>
      <c r="S698" s="3">
        <v>1.7</v>
      </c>
      <c r="T698" s="3">
        <v>11.4</v>
      </c>
      <c r="U698" s="3">
        <v>69.599999999999994</v>
      </c>
      <c r="V698" s="3">
        <v>970.2</v>
      </c>
      <c r="W698" s="3">
        <v>0</v>
      </c>
      <c r="X698" s="3">
        <v>45.8</v>
      </c>
      <c r="Y698" s="3">
        <v>45.2</v>
      </c>
      <c r="Z698" s="3">
        <v>43</v>
      </c>
      <c r="AA698" s="3">
        <v>40.6</v>
      </c>
      <c r="AB698" s="3">
        <v>36.200000000000003</v>
      </c>
      <c r="AC698" s="3">
        <v>34.1</v>
      </c>
      <c r="AD698" s="3">
        <v>37.299999999999997</v>
      </c>
      <c r="AE698" s="3">
        <v>38.799999999999997</v>
      </c>
      <c r="AF698" s="3">
        <v>47.1</v>
      </c>
      <c r="AG698" s="3">
        <v>40.299999999999997</v>
      </c>
      <c r="AH698" s="3">
        <v>36.6</v>
      </c>
      <c r="AI698" s="3">
        <v>37.4</v>
      </c>
      <c r="AJ698" s="3">
        <v>35.799999999999997</v>
      </c>
      <c r="AK698" s="3">
        <v>34.200000000000003</v>
      </c>
      <c r="AL698" s="3">
        <v>32.5</v>
      </c>
      <c r="AM698" s="3">
        <v>33</v>
      </c>
      <c r="AN698" s="3">
        <v>30.8</v>
      </c>
      <c r="AO698" s="3">
        <v>27.9</v>
      </c>
      <c r="AP698" s="3">
        <v>26.7</v>
      </c>
      <c r="AQ698" s="3">
        <v>25.5</v>
      </c>
      <c r="AR698" s="3">
        <v>24.9</v>
      </c>
      <c r="AS698" s="3">
        <v>24.6</v>
      </c>
      <c r="AT698" s="3">
        <v>28</v>
      </c>
      <c r="AU698" s="3">
        <v>22.5</v>
      </c>
      <c r="AV698" s="3">
        <v>20.5</v>
      </c>
      <c r="AW698" s="3">
        <v>18.899999999999999</v>
      </c>
      <c r="AX698" s="3">
        <v>14.6</v>
      </c>
      <c r="AY698" s="3">
        <v>12.8</v>
      </c>
      <c r="AZ698" s="3">
        <v>0</v>
      </c>
      <c r="BA698" s="3">
        <v>0</v>
      </c>
      <c r="BB698" s="3">
        <v>0</v>
      </c>
      <c r="BC698" s="3">
        <v>40.607518696567304</v>
      </c>
      <c r="BD698" s="3">
        <v>45.792481303432702</v>
      </c>
      <c r="BE698" s="3">
        <v>45.192481303432707</v>
      </c>
      <c r="BF698" s="3">
        <v>41.752481303432695</v>
      </c>
      <c r="BG698" s="3">
        <v>39.679147970099358</v>
      </c>
      <c r="BH698" s="3">
        <v>35.419147970099367</v>
      </c>
      <c r="BI698" s="3">
        <v>33.732481303432699</v>
      </c>
      <c r="BJ698" s="3">
        <v>37.725814636766025</v>
      </c>
      <c r="BK698" s="3">
        <v>39.099147970099359</v>
      </c>
      <c r="BL698" s="3">
        <v>46.972481303432708</v>
      </c>
      <c r="BM698" s="3">
        <v>40.305814636766023</v>
      </c>
      <c r="BN698" s="3">
        <v>36.889147970099366</v>
      </c>
      <c r="BO698" s="3">
        <v>37.055814636766023</v>
      </c>
      <c r="BP698" s="3">
        <v>35.172481303432697</v>
      </c>
      <c r="BQ698" s="3">
        <v>33.98914797009936</v>
      </c>
      <c r="BR698" s="3">
        <v>32.615814636766025</v>
      </c>
      <c r="BS698" s="3">
        <v>32.919147970099367</v>
      </c>
      <c r="BT698" s="3">
        <v>30.915814636766036</v>
      </c>
      <c r="BU698" s="3">
        <v>27.982481303432699</v>
      </c>
      <c r="BV698" s="3">
        <v>26.499147970099365</v>
      </c>
      <c r="BW698" s="3">
        <v>25.832481303432694</v>
      </c>
      <c r="BX698" s="3">
        <v>25.152481303432701</v>
      </c>
      <c r="BY698" s="3">
        <v>24.672481303432697</v>
      </c>
      <c r="BZ698" s="3">
        <v>28.202481303432698</v>
      </c>
      <c r="CA698" s="3">
        <v>22.802481303432693</v>
      </c>
      <c r="CB698" s="3">
        <v>20.23914797009936</v>
      </c>
      <c r="CC698" s="3">
        <v>18.85248130343269</v>
      </c>
      <c r="CD698" s="3">
        <v>13.859147970099364</v>
      </c>
      <c r="CE698" s="3">
        <v>12.252481303432695</v>
      </c>
      <c r="CF698" s="3">
        <v>-0.93418536323397205</v>
      </c>
      <c r="CG698" s="3">
        <v>-1.4675186965673035</v>
      </c>
      <c r="CH698" s="3">
        <v>-2.5441853632339715</v>
      </c>
      <c r="CI698" s="13">
        <f>[1]!dbasum(RecData[[#This Row],[20]:[2000]],RecData[[#Headers],[20]:[2000]])</f>
        <v>39.862918356963064</v>
      </c>
      <c r="CJ698" s="14">
        <v>9182</v>
      </c>
      <c r="CK698" s="15" t="s">
        <v>249</v>
      </c>
      <c r="CL698" s="15">
        <f>RecData[[#This Row],[Start Time]]</f>
        <v>43272.109027777777</v>
      </c>
      <c r="CM698" s="16">
        <f>RecData[[#This Row],[Wind Speed avg]]</f>
        <v>1.03</v>
      </c>
      <c r="CN698" s="16">
        <f>RecData[[#This Row],[Wind Dir. avg]]</f>
        <v>166.9</v>
      </c>
      <c r="CO698" s="16">
        <f>RecData[[#This Row],[Amb. Humidity]]</f>
        <v>69.599999999999994</v>
      </c>
      <c r="CP698" s="16">
        <f>RecData[[#This Row],[Amb. Temperature]]</f>
        <v>11.4</v>
      </c>
      <c r="CQ698" s="17">
        <f>RecData[[#This Row],[Amb. Rain Gauge]]</f>
        <v>0</v>
      </c>
      <c r="CR698" s="4" t="s">
        <v>1</v>
      </c>
      <c r="CS698" s="4" t="s">
        <v>49</v>
      </c>
      <c r="CT698" s="70">
        <v>1458.26452636718</v>
      </c>
      <c r="CU698" s="70">
        <v>52.000453948974602</v>
      </c>
      <c r="CV698" s="70">
        <v>8.6362619400024396</v>
      </c>
      <c r="CW698" s="70">
        <v>15.1412963867187</v>
      </c>
      <c r="CX698" s="109"/>
      <c r="CY698" s="110"/>
      <c r="CZ698" s="2" t="b">
        <f>IF($DP$1="YES",IF(RecData[[#This Row],[Power (kW)]]&gt;=$CR$3, TRUE,FALSE),TRUE)</f>
        <v>1</v>
      </c>
      <c r="DA698" s="16">
        <f>MIN(MOD(180-ABS(ABS($DA$1-RecData[Yaw Angle (°)])-180),360),MOD(180-ABS(ABS($DB$1-RecData[Yaw Angle (°)])-180),360))</f>
        <v>44.470527171287046</v>
      </c>
      <c r="DB698" s="2" t="str">
        <f>IF($DP$2="None","None",IF(RecData[[#This Row],[Relative Wind Direction]]&lt;=45,"DW",IF(RecData[[#This Row],[Relative Wind Direction]]&lt;=135,"CW","UW")))</f>
        <v>DW</v>
      </c>
      <c r="DC698" s="61" t="e">
        <f>IF($CL698-#REF!&gt;1/24,#REF!,IF(SUM($CQ698:$CQ698)&gt;$DS$1,$DS$5,#REF!-1))</f>
        <v>#REF!</v>
      </c>
      <c r="DD698" s="61" t="e">
        <f>IF(#REF!-$CL698&gt;1/24,#REF!,IF(SUM($CQ698:$CQ698)&gt;$DS$1,$DS$6,#REF!-1))</f>
        <v>#REF!</v>
      </c>
      <c r="DE698" s="18" t="b">
        <v>0</v>
      </c>
      <c r="DF698" s="2" t="b">
        <f>IF(OR(RecData[[#This Row],[WSpd_Avg '[m/s']]]-RecData[[#This Row],[Wind Speed min]]&gt;=$DF$3,RecData[[#This Row],[Wind Speed max]]-RecData[[#This Row],[WSpd_Avg '[m/s']]]&gt;=$DF$2),TRUE,FALSE)</f>
        <v>0</v>
      </c>
      <c r="DG698" s="2" t="b">
        <f>RecData[[#This Row],[Temperature '[°C']]]&lt;=-20</f>
        <v>0</v>
      </c>
      <c r="DH698" s="18" t="b">
        <f>NOT(OR(MOD(RecData[[#This Row],[TIMESTAMP]],1)&gt;0.91632,MOD(RecData[[#This Row],[TIMESTAMP]],1)&lt;0.208681))</f>
        <v>0</v>
      </c>
      <c r="DI698" s="18" t="b">
        <f>RecData[[#This Row],[Overall (dBA)]]-RecData[[#This Row],[L90]]&gt;=$DS$4</f>
        <v>0</v>
      </c>
      <c r="DJ698" s="18" t="b">
        <f>RecData[[#This Row],[Overall (dBA)]]&gt;$DS$2</f>
        <v>0</v>
      </c>
      <c r="DK698" s="18" t="b">
        <f>RecData[[#This Row],[Overall (dBA)]]&lt;$DS$3</f>
        <v>0</v>
      </c>
      <c r="DL6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8" s="2">
        <f>IF(AND(RecData[[#This Row],[Turbines ON/OFF]] = "OFF", NOT(OR(RecData[[#This Row],[Junk?]]="YES",RecData[[#This Row],[Gust?]],RecData[[#This Row],[Rain?]:[Min SPL Threshold?]]))),1,0)</f>
        <v>0</v>
      </c>
      <c r="DN698" s="16">
        <f>RecData[[#This Row],[dBA Sum]]</f>
        <v>39.862918356963064</v>
      </c>
      <c r="DO698" s="16">
        <f>RecData[[#This Row],[LAF90.0]]</f>
        <v>39.5</v>
      </c>
      <c r="DP698" s="55">
        <f>IF(AND(RecData[[#This Row],[Useable TON Data?]],RecData[[#This Row],[Turbines ON/OFF]]="ON"),RecData[[#This Row],[dBA Sum]],"")</f>
        <v>39.862918356963064</v>
      </c>
      <c r="DQ698" s="55" t="str">
        <f>IF(AND(RecData[[#This Row],[Useable Background Data?]],RecData[[#This Row],[Turbines ON/OFF]]="OFF"),RecData[[#This Row],[dBA Sum]],"")</f>
        <v/>
      </c>
      <c r="DR698" s="3">
        <f>IF(OR(RecData[[#This Row],[Useable TON Data?]],RecData[[#This Row],[Useable Background Data?]]),ROUND(RecData[[#This Row],[WSpd_Avg '[m/s']]],0),"")</f>
        <v>1</v>
      </c>
      <c r="DS698" s="85">
        <f>(0.00002)^2*(10^(RecData[[#This Row],[Overall (dBA)]]/10))</f>
        <v>3.8757149396495321E-6</v>
      </c>
    </row>
    <row r="699" spans="1:123" ht="15" x14ac:dyDescent="0.25">
      <c r="A699" s="3" t="s">
        <v>249</v>
      </c>
      <c r="B699" s="12">
        <v>43272.11041666667</v>
      </c>
      <c r="C699" s="3"/>
      <c r="D699" s="3">
        <v>39.6</v>
      </c>
      <c r="E699" s="3"/>
      <c r="F699" s="3"/>
      <c r="G699" s="3"/>
      <c r="H699" s="3"/>
      <c r="I699" s="3"/>
      <c r="J699" s="3"/>
      <c r="K699" s="3">
        <v>38.4</v>
      </c>
      <c r="L699" s="3"/>
      <c r="M699" s="3"/>
      <c r="N699" s="3">
        <v>172.5</v>
      </c>
      <c r="O699" s="3"/>
      <c r="P699" s="3"/>
      <c r="Q699" s="3">
        <v>1.46</v>
      </c>
      <c r="R699" s="3">
        <v>0.4</v>
      </c>
      <c r="S699" s="3">
        <v>2.2000000000000002</v>
      </c>
      <c r="T699" s="3">
        <v>11.4</v>
      </c>
      <c r="U699" s="3">
        <v>69.400000000000006</v>
      </c>
      <c r="V699" s="3">
        <v>970.2</v>
      </c>
      <c r="W699" s="3">
        <v>0</v>
      </c>
      <c r="X699" s="3">
        <v>46</v>
      </c>
      <c r="Y699" s="3">
        <v>44.9</v>
      </c>
      <c r="Z699" s="3">
        <v>43.2</v>
      </c>
      <c r="AA699" s="3">
        <v>40.200000000000003</v>
      </c>
      <c r="AB699" s="3">
        <v>36.1</v>
      </c>
      <c r="AC699" s="3">
        <v>34.799999999999997</v>
      </c>
      <c r="AD699" s="3">
        <v>36.799999999999997</v>
      </c>
      <c r="AE699" s="3">
        <v>38.5</v>
      </c>
      <c r="AF699" s="3">
        <v>45.9</v>
      </c>
      <c r="AG699" s="3">
        <v>39.299999999999997</v>
      </c>
      <c r="AH699" s="3">
        <v>36.4</v>
      </c>
      <c r="AI699" s="3">
        <v>36.700000000000003</v>
      </c>
      <c r="AJ699" s="3">
        <v>35</v>
      </c>
      <c r="AK699" s="3">
        <v>33.5</v>
      </c>
      <c r="AL699" s="3">
        <v>31.8</v>
      </c>
      <c r="AM699" s="3">
        <v>31.6</v>
      </c>
      <c r="AN699" s="3">
        <v>30</v>
      </c>
      <c r="AO699" s="3">
        <v>27.4</v>
      </c>
      <c r="AP699" s="3">
        <v>26.2</v>
      </c>
      <c r="AQ699" s="3">
        <v>25.1</v>
      </c>
      <c r="AR699" s="3">
        <v>24.5</v>
      </c>
      <c r="AS699" s="3">
        <v>24.1</v>
      </c>
      <c r="AT699" s="3">
        <v>23.6</v>
      </c>
      <c r="AU699" s="3">
        <v>21.5</v>
      </c>
      <c r="AV699" s="3">
        <v>20</v>
      </c>
      <c r="AW699" s="3">
        <v>17.899999999999999</v>
      </c>
      <c r="AX699" s="3">
        <v>13.7</v>
      </c>
      <c r="AY699" s="3">
        <v>11.7</v>
      </c>
      <c r="AZ699" s="3">
        <v>0</v>
      </c>
      <c r="BA699" s="3">
        <v>0</v>
      </c>
      <c r="BB699" s="3">
        <v>0</v>
      </c>
      <c r="BC699" s="3">
        <v>39.634998536779328</v>
      </c>
      <c r="BD699" s="3">
        <v>45.965001463220666</v>
      </c>
      <c r="BE699" s="3">
        <v>44.865001463220672</v>
      </c>
      <c r="BF699" s="3">
        <v>41.925001463220674</v>
      </c>
      <c r="BG699" s="3">
        <v>39.251668129887342</v>
      </c>
      <c r="BH699" s="3">
        <v>35.291668129887348</v>
      </c>
      <c r="BI699" s="3">
        <v>34.405001463220664</v>
      </c>
      <c r="BJ699" s="3">
        <v>37.198334796554001</v>
      </c>
      <c r="BK699" s="3">
        <v>38.771668129887338</v>
      </c>
      <c r="BL699" s="3">
        <v>45.745001463220667</v>
      </c>
      <c r="BM699" s="3">
        <v>39.278334796553999</v>
      </c>
      <c r="BN699" s="3">
        <v>36.661668129887339</v>
      </c>
      <c r="BO699" s="3">
        <v>36.32833479655401</v>
      </c>
      <c r="BP699" s="3">
        <v>34.345001463220676</v>
      </c>
      <c r="BQ699" s="3">
        <v>33.261668129887333</v>
      </c>
      <c r="BR699" s="3">
        <v>31.888334796554012</v>
      </c>
      <c r="BS699" s="3">
        <v>31.491668129887337</v>
      </c>
      <c r="BT699" s="3">
        <v>30.088334796554001</v>
      </c>
      <c r="BU699" s="3">
        <v>27.455001463220675</v>
      </c>
      <c r="BV699" s="3">
        <v>25.971668129887341</v>
      </c>
      <c r="BW699" s="3">
        <v>25.405001463220678</v>
      </c>
      <c r="BX699" s="3">
        <v>24.725001463220686</v>
      </c>
      <c r="BY699" s="3">
        <v>24.145001463220673</v>
      </c>
      <c r="BZ699" s="3">
        <v>23.775001463220683</v>
      </c>
      <c r="CA699" s="3">
        <v>21.775001463220669</v>
      </c>
      <c r="CB699" s="3">
        <v>19.711668129887336</v>
      </c>
      <c r="CC699" s="3">
        <v>17.825001463220666</v>
      </c>
      <c r="CD699" s="3">
        <v>12.931668129887342</v>
      </c>
      <c r="CE699" s="3">
        <v>11.12500146322067</v>
      </c>
      <c r="CF699" s="3">
        <v>-0.96166520344599604</v>
      </c>
      <c r="CG699" s="3">
        <v>-1.4949985367793275</v>
      </c>
      <c r="CH699" s="3">
        <v>-2.5716652034459955</v>
      </c>
      <c r="CI699" s="13">
        <f>[1]!dbasum(RecData[[#This Row],[20]:[2000]],RecData[[#Headers],[20]:[2000]])</f>
        <v>39.040812886293907</v>
      </c>
      <c r="CJ699" s="14">
        <v>9184</v>
      </c>
      <c r="CK699" s="15" t="s">
        <v>249</v>
      </c>
      <c r="CL699" s="15">
        <f>RecData[[#This Row],[Start Time]]</f>
        <v>43272.11041666667</v>
      </c>
      <c r="CM699" s="16">
        <f>RecData[[#This Row],[Wind Speed avg]]</f>
        <v>1.46</v>
      </c>
      <c r="CN699" s="16">
        <f>RecData[[#This Row],[Wind Dir. avg]]</f>
        <v>172.5</v>
      </c>
      <c r="CO699" s="16">
        <f>RecData[[#This Row],[Amb. Humidity]]</f>
        <v>69.400000000000006</v>
      </c>
      <c r="CP699" s="16">
        <f>RecData[[#This Row],[Amb. Temperature]]</f>
        <v>11.4</v>
      </c>
      <c r="CQ699" s="17">
        <f>RecData[[#This Row],[Amb. Rain Gauge]]</f>
        <v>0</v>
      </c>
      <c r="CR699" s="4" t="s">
        <v>1</v>
      </c>
      <c r="CS699" s="4" t="s">
        <v>49</v>
      </c>
      <c r="CT699" s="70">
        <v>1458.26452636718</v>
      </c>
      <c r="CU699" s="70">
        <v>52.000453948974602</v>
      </c>
      <c r="CV699" s="70">
        <v>8.6362619400024396</v>
      </c>
      <c r="CW699" s="70">
        <v>15.1412963867187</v>
      </c>
      <c r="CX699" s="109"/>
      <c r="CY699" s="110"/>
      <c r="CZ699" s="2" t="b">
        <f>IF($DP$1="YES",IF(RecData[[#This Row],[Power (kW)]]&gt;=$CR$3, TRUE,FALSE),TRUE)</f>
        <v>1</v>
      </c>
      <c r="DA699" s="16">
        <f>MIN(MOD(180-ABS(ABS($DA$1-RecData[Yaw Angle (°)])-180),360),MOD(180-ABS(ABS($DB$1-RecData[Yaw Angle (°)])-180),360))</f>
        <v>44.470527171287046</v>
      </c>
      <c r="DB699" s="2" t="str">
        <f>IF($DP$2="None","None",IF(RecData[[#This Row],[Relative Wind Direction]]&lt;=45,"DW",IF(RecData[[#This Row],[Relative Wind Direction]]&lt;=135,"CW","UW")))</f>
        <v>DW</v>
      </c>
      <c r="DC699" s="61" t="e">
        <f>IF($CL699-#REF!&gt;1/24,#REF!,IF(SUM($CQ698:$CQ699)&gt;$DS$1,$DS$5,DC700-1))</f>
        <v>#REF!</v>
      </c>
      <c r="DD699" s="61" t="e">
        <f>IF($CL700-$CL699&gt;1/24,#REF!,IF(SUM($CQ698:$CQ699)&gt;$DS$1,$DS$6,#REF!-1))</f>
        <v>#REF!</v>
      </c>
      <c r="DE699" s="18" t="b">
        <v>0</v>
      </c>
      <c r="DF699" s="2" t="b">
        <f>IF(OR(RecData[[#This Row],[WSpd_Avg '[m/s']]]-RecData[[#This Row],[Wind Speed min]]&gt;=$DF$3,RecData[[#This Row],[Wind Speed max]]-RecData[[#This Row],[WSpd_Avg '[m/s']]]&gt;=$DF$2),TRUE,FALSE)</f>
        <v>0</v>
      </c>
      <c r="DG699" s="2" t="b">
        <f>RecData[[#This Row],[Temperature '[°C']]]&lt;=-20</f>
        <v>0</v>
      </c>
      <c r="DH699" s="18" t="b">
        <f>NOT(OR(MOD(RecData[[#This Row],[TIMESTAMP]],1)&gt;0.91632,MOD(RecData[[#This Row],[TIMESTAMP]],1)&lt;0.208681))</f>
        <v>0</v>
      </c>
      <c r="DI699" s="18" t="b">
        <f>RecData[[#This Row],[Overall (dBA)]]-RecData[[#This Row],[L90]]&gt;=$DS$4</f>
        <v>0</v>
      </c>
      <c r="DJ699" s="18" t="b">
        <f>RecData[[#This Row],[Overall (dBA)]]&gt;$DS$2</f>
        <v>0</v>
      </c>
      <c r="DK699" s="18" t="b">
        <f>RecData[[#This Row],[Overall (dBA)]]&lt;$DS$3</f>
        <v>0</v>
      </c>
      <c r="DL6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699" s="2">
        <f>IF(AND(RecData[[#This Row],[Turbines ON/OFF]] = "OFF", NOT(OR(RecData[[#This Row],[Junk?]]="YES",RecData[[#This Row],[Gust?]],RecData[[#This Row],[Rain?]:[Min SPL Threshold?]]))),1,0)</f>
        <v>0</v>
      </c>
      <c r="DN699" s="16">
        <f>RecData[[#This Row],[dBA Sum]]</f>
        <v>39.040812886293907</v>
      </c>
      <c r="DO699" s="16">
        <f>RecData[[#This Row],[LAF90.0]]</f>
        <v>38.4</v>
      </c>
      <c r="DP699" s="55">
        <f>IF(AND(RecData[[#This Row],[Useable TON Data?]],RecData[[#This Row],[Turbines ON/OFF]]="ON"),RecData[[#This Row],[dBA Sum]],"")</f>
        <v>39.040812886293907</v>
      </c>
      <c r="DQ699" s="55" t="str">
        <f>IF(AND(RecData[[#This Row],[Useable Background Data?]],RecData[[#This Row],[Turbines ON/OFF]]="OFF"),RecData[[#This Row],[dBA Sum]],"")</f>
        <v/>
      </c>
      <c r="DR699" s="3">
        <f>IF(OR(RecData[[#This Row],[Useable TON Data?]],RecData[[#This Row],[Useable Background Data?]]),ROUND(RecData[[#This Row],[WSpd_Avg '[m/s']]],0),"")</f>
        <v>1</v>
      </c>
      <c r="DS699" s="85">
        <f>(0.00002)^2*(10^(RecData[[#This Row],[Overall (dBA)]]/10))</f>
        <v>3.2073125228416645E-6</v>
      </c>
    </row>
    <row r="700" spans="1:123" ht="15" x14ac:dyDescent="0.25">
      <c r="A700" s="3" t="s">
        <v>249</v>
      </c>
      <c r="B700" s="12">
        <v>43272.111111111117</v>
      </c>
      <c r="C700" s="3"/>
      <c r="D700" s="3">
        <v>40.4</v>
      </c>
      <c r="E700" s="3"/>
      <c r="F700" s="3"/>
      <c r="G700" s="3"/>
      <c r="H700" s="3"/>
      <c r="I700" s="3"/>
      <c r="J700" s="3"/>
      <c r="K700" s="3">
        <v>39</v>
      </c>
      <c r="L700" s="3"/>
      <c r="M700" s="3"/>
      <c r="N700" s="3">
        <v>157.4</v>
      </c>
      <c r="O700" s="3"/>
      <c r="P700" s="3"/>
      <c r="Q700" s="3">
        <v>1.2</v>
      </c>
      <c r="R700" s="3">
        <v>0.3</v>
      </c>
      <c r="S700" s="3">
        <v>2.6</v>
      </c>
      <c r="T700" s="3">
        <v>11.3</v>
      </c>
      <c r="U700" s="3">
        <v>69.7</v>
      </c>
      <c r="V700" s="3">
        <v>970.2</v>
      </c>
      <c r="W700" s="3">
        <v>0</v>
      </c>
      <c r="X700" s="3">
        <v>46.9</v>
      </c>
      <c r="Y700" s="3">
        <v>45</v>
      </c>
      <c r="Z700" s="3">
        <v>44.1</v>
      </c>
      <c r="AA700" s="3">
        <v>41.3</v>
      </c>
      <c r="AB700" s="3">
        <v>37.9</v>
      </c>
      <c r="AC700" s="3">
        <v>34.4</v>
      </c>
      <c r="AD700" s="3">
        <v>37.4</v>
      </c>
      <c r="AE700" s="3">
        <v>39.299999999999997</v>
      </c>
      <c r="AF700" s="3">
        <v>45.9</v>
      </c>
      <c r="AG700" s="3">
        <v>40.1</v>
      </c>
      <c r="AH700" s="3">
        <v>36.6</v>
      </c>
      <c r="AI700" s="3">
        <v>37.6</v>
      </c>
      <c r="AJ700" s="3">
        <v>36</v>
      </c>
      <c r="AK700" s="3">
        <v>34.299999999999997</v>
      </c>
      <c r="AL700" s="3">
        <v>32.799999999999997</v>
      </c>
      <c r="AM700" s="3">
        <v>33.200000000000003</v>
      </c>
      <c r="AN700" s="3">
        <v>31.1</v>
      </c>
      <c r="AO700" s="3">
        <v>28</v>
      </c>
      <c r="AP700" s="3">
        <v>26.7</v>
      </c>
      <c r="AQ700" s="3">
        <v>25.6</v>
      </c>
      <c r="AR700" s="3">
        <v>24.5</v>
      </c>
      <c r="AS700" s="3">
        <v>24.2</v>
      </c>
      <c r="AT700" s="3">
        <v>23.8</v>
      </c>
      <c r="AU700" s="3">
        <v>22</v>
      </c>
      <c r="AV700" s="3">
        <v>20.3</v>
      </c>
      <c r="AW700" s="3">
        <v>18.600000000000001</v>
      </c>
      <c r="AX700" s="3">
        <v>14.3</v>
      </c>
      <c r="AY700" s="3">
        <v>12.7</v>
      </c>
      <c r="AZ700" s="3">
        <v>0</v>
      </c>
      <c r="BA700" s="3">
        <v>0</v>
      </c>
      <c r="BB700" s="3">
        <v>0</v>
      </c>
      <c r="BC700" s="3">
        <v>40.36884588666183</v>
      </c>
      <c r="BD700" s="3">
        <v>46.931154113338167</v>
      </c>
      <c r="BE700" s="3">
        <v>45.031154113338175</v>
      </c>
      <c r="BF700" s="3">
        <v>42.89115411333816</v>
      </c>
      <c r="BG700" s="3">
        <v>40.417820780004831</v>
      </c>
      <c r="BH700" s="3">
        <v>37.15782078000484</v>
      </c>
      <c r="BI700" s="3">
        <v>34.071154113338167</v>
      </c>
      <c r="BJ700" s="3">
        <v>37.86448744667149</v>
      </c>
      <c r="BK700" s="3">
        <v>39.63782078000483</v>
      </c>
      <c r="BL700" s="3">
        <v>45.811154113338176</v>
      </c>
      <c r="BM700" s="3">
        <v>40.144487446671505</v>
      </c>
      <c r="BN700" s="3">
        <v>36.927820780004836</v>
      </c>
      <c r="BO700" s="3">
        <v>37.294487446671496</v>
      </c>
      <c r="BP700" s="3">
        <v>35.411154113338171</v>
      </c>
      <c r="BQ700" s="3">
        <v>34.127820780004825</v>
      </c>
      <c r="BR700" s="3">
        <v>32.954487446671493</v>
      </c>
      <c r="BS700" s="3">
        <v>33.15782078000484</v>
      </c>
      <c r="BT700" s="3">
        <v>31.254487446671504</v>
      </c>
      <c r="BU700" s="3">
        <v>28.121154113338179</v>
      </c>
      <c r="BV700" s="3">
        <v>26.537820780004836</v>
      </c>
      <c r="BW700" s="3">
        <v>25.971154113338173</v>
      </c>
      <c r="BX700" s="3">
        <v>24.791154113338166</v>
      </c>
      <c r="BY700" s="3">
        <v>24.311154113338162</v>
      </c>
      <c r="BZ700" s="3">
        <v>24.041154113338166</v>
      </c>
      <c r="CA700" s="3">
        <v>22.341154113338163</v>
      </c>
      <c r="CB700" s="3">
        <v>20.077820780004835</v>
      </c>
      <c r="CC700" s="3">
        <v>18.591154113338163</v>
      </c>
      <c r="CD700" s="3">
        <v>13.597820780004838</v>
      </c>
      <c r="CE700" s="3">
        <v>12.191154113338165</v>
      </c>
      <c r="CF700" s="3">
        <v>-0.89551255332850133</v>
      </c>
      <c r="CG700" s="3">
        <v>-1.4288458866618328</v>
      </c>
      <c r="CH700" s="3">
        <v>-2.5055125533285008</v>
      </c>
      <c r="CI700" s="13">
        <f>[1]!dbasum(RecData[[#This Row],[20]:[2000]],RecData[[#Headers],[20]:[2000]])</f>
        <v>39.889101233110608</v>
      </c>
      <c r="CJ700" s="14">
        <v>9185</v>
      </c>
      <c r="CK700" s="15" t="s">
        <v>249</v>
      </c>
      <c r="CL700" s="15">
        <f>RecData[[#This Row],[Start Time]]</f>
        <v>43272.111111111117</v>
      </c>
      <c r="CM700" s="16">
        <f>RecData[[#This Row],[Wind Speed avg]]</f>
        <v>1.2</v>
      </c>
      <c r="CN700" s="16">
        <f>RecData[[#This Row],[Wind Dir. avg]]</f>
        <v>157.4</v>
      </c>
      <c r="CO700" s="16">
        <f>RecData[[#This Row],[Amb. Humidity]]</f>
        <v>69.7</v>
      </c>
      <c r="CP700" s="16">
        <f>RecData[[#This Row],[Amb. Temperature]]</f>
        <v>11.3</v>
      </c>
      <c r="CQ700" s="17">
        <f>RecData[[#This Row],[Amb. Rain Gauge]]</f>
        <v>0</v>
      </c>
      <c r="CR700" s="4" t="s">
        <v>1</v>
      </c>
      <c r="CS700" s="4" t="s">
        <v>49</v>
      </c>
      <c r="CT700" s="70">
        <v>1458.26452636718</v>
      </c>
      <c r="CU700" s="70">
        <v>52.000453948974602</v>
      </c>
      <c r="CV700" s="70">
        <v>8.6362619400024396</v>
      </c>
      <c r="CW700" s="70">
        <v>15.1412963867187</v>
      </c>
      <c r="CX700" s="109"/>
      <c r="CY700" s="110"/>
      <c r="CZ700" s="2" t="b">
        <f>IF($DP$1="YES",IF(RecData[[#This Row],[Power (kW)]]&gt;=$CR$3, TRUE,FALSE),TRUE)</f>
        <v>1</v>
      </c>
      <c r="DA700" s="16">
        <f>MIN(MOD(180-ABS(ABS($DA$1-RecData[Yaw Angle (°)])-180),360),MOD(180-ABS(ABS($DB$1-RecData[Yaw Angle (°)])-180),360))</f>
        <v>44.470527171287046</v>
      </c>
      <c r="DB700" s="2" t="str">
        <f>IF($DP$2="None","None",IF(RecData[[#This Row],[Relative Wind Direction]]&lt;=45,"DW",IF(RecData[[#This Row],[Relative Wind Direction]]&lt;=135,"CW","UW")))</f>
        <v>DW</v>
      </c>
      <c r="DC700" s="61" t="e">
        <f>IF($CL700-#REF!&gt;1/24,#REF!,IF(SUM($CQ698:$CQ700)&gt;$DS$1,$DS$5,#REF!-1))</f>
        <v>#REF!</v>
      </c>
      <c r="DD700" s="61" t="e">
        <f>IF(#REF!-$CL700&gt;1/24,#REF!,IF(SUM($CQ698:$CQ700)&gt;$DS$1,$DS$6,DD699-1))</f>
        <v>#REF!</v>
      </c>
      <c r="DE700" s="18" t="b">
        <v>0</v>
      </c>
      <c r="DF700" s="2" t="b">
        <f>IF(OR(RecData[[#This Row],[WSpd_Avg '[m/s']]]-RecData[[#This Row],[Wind Speed min]]&gt;=$DF$3,RecData[[#This Row],[Wind Speed max]]-RecData[[#This Row],[WSpd_Avg '[m/s']]]&gt;=$DF$2),TRUE,FALSE)</f>
        <v>0</v>
      </c>
      <c r="DG700" s="2" t="b">
        <f>RecData[[#This Row],[Temperature '[°C']]]&lt;=-20</f>
        <v>0</v>
      </c>
      <c r="DH700" s="18" t="b">
        <f>NOT(OR(MOD(RecData[[#This Row],[TIMESTAMP]],1)&gt;0.91632,MOD(RecData[[#This Row],[TIMESTAMP]],1)&lt;0.208681))</f>
        <v>0</v>
      </c>
      <c r="DI700" s="18" t="b">
        <f>RecData[[#This Row],[Overall (dBA)]]-RecData[[#This Row],[L90]]&gt;=$DS$4</f>
        <v>0</v>
      </c>
      <c r="DJ700" s="18" t="b">
        <f>RecData[[#This Row],[Overall (dBA)]]&gt;$DS$2</f>
        <v>0</v>
      </c>
      <c r="DK700" s="18" t="b">
        <f>RecData[[#This Row],[Overall (dBA)]]&lt;$DS$3</f>
        <v>0</v>
      </c>
      <c r="DL7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0" s="2">
        <f>IF(AND(RecData[[#This Row],[Turbines ON/OFF]] = "OFF", NOT(OR(RecData[[#This Row],[Junk?]]="YES",RecData[[#This Row],[Gust?]],RecData[[#This Row],[Rain?]:[Min SPL Threshold?]]))),1,0)</f>
        <v>0</v>
      </c>
      <c r="DN700" s="16">
        <f>RecData[[#This Row],[dBA Sum]]</f>
        <v>39.889101233110608</v>
      </c>
      <c r="DO700" s="16">
        <f>RecData[[#This Row],[LAF90.0]]</f>
        <v>39</v>
      </c>
      <c r="DP700" s="55">
        <f>IF(AND(RecData[[#This Row],[Useable TON Data?]],RecData[[#This Row],[Turbines ON/OFF]]="ON"),RecData[[#This Row],[dBA Sum]],"")</f>
        <v>39.889101233110608</v>
      </c>
      <c r="DQ700" s="55" t="str">
        <f>IF(AND(RecData[[#This Row],[Useable Background Data?]],RecData[[#This Row],[Turbines ON/OFF]]="OFF"),RecData[[#This Row],[dBA Sum]],"")</f>
        <v/>
      </c>
      <c r="DR700" s="3">
        <f>IF(OR(RecData[[#This Row],[Useable TON Data?]],RecData[[#This Row],[Useable Background Data?]]),ROUND(RecData[[#This Row],[WSpd_Avg '[m/s']]],0),"")</f>
        <v>1</v>
      </c>
      <c r="DS700" s="85">
        <f>(0.00002)^2*(10^(RecData[[#This Row],[Overall (dBA)]]/10))</f>
        <v>3.8991515429306856E-6</v>
      </c>
    </row>
    <row r="701" spans="1:123" ht="15" x14ac:dyDescent="0.25">
      <c r="A701" s="3" t="s">
        <v>249</v>
      </c>
      <c r="B701" s="12">
        <v>43272.12777777778</v>
      </c>
      <c r="C701" s="3"/>
      <c r="D701" s="3">
        <v>43.5</v>
      </c>
      <c r="E701" s="3"/>
      <c r="F701" s="3"/>
      <c r="G701" s="3"/>
      <c r="H701" s="3"/>
      <c r="I701" s="3"/>
      <c r="J701" s="3"/>
      <c r="K701" s="3">
        <v>41.7</v>
      </c>
      <c r="L701" s="3"/>
      <c r="M701" s="3"/>
      <c r="N701" s="3">
        <v>144.19999999999999</v>
      </c>
      <c r="O701" s="3"/>
      <c r="P701" s="3"/>
      <c r="Q701" s="3">
        <v>1.99</v>
      </c>
      <c r="R701" s="3">
        <v>0.5</v>
      </c>
      <c r="S701" s="3">
        <v>3.3</v>
      </c>
      <c r="T701" s="3">
        <v>11</v>
      </c>
      <c r="U701" s="3">
        <v>66.900000000000006</v>
      </c>
      <c r="V701" s="3">
        <v>970.1</v>
      </c>
      <c r="W701" s="3">
        <v>0</v>
      </c>
      <c r="X701" s="3">
        <v>45.9</v>
      </c>
      <c r="Y701" s="3">
        <v>44.8</v>
      </c>
      <c r="Z701" s="3">
        <v>43</v>
      </c>
      <c r="AA701" s="3">
        <v>39.799999999999997</v>
      </c>
      <c r="AB701" s="3">
        <v>35.9</v>
      </c>
      <c r="AC701" s="3">
        <v>35.299999999999997</v>
      </c>
      <c r="AD701" s="3">
        <v>37.9</v>
      </c>
      <c r="AE701" s="3">
        <v>39</v>
      </c>
      <c r="AF701" s="3">
        <v>45.5</v>
      </c>
      <c r="AG701" s="3">
        <v>40.6</v>
      </c>
      <c r="AH701" s="3">
        <v>37</v>
      </c>
      <c r="AI701" s="3">
        <v>37.700000000000003</v>
      </c>
      <c r="AJ701" s="3">
        <v>36.4</v>
      </c>
      <c r="AK701" s="3">
        <v>35</v>
      </c>
      <c r="AL701" s="3">
        <v>33.5</v>
      </c>
      <c r="AM701" s="3">
        <v>33.4</v>
      </c>
      <c r="AN701" s="3">
        <v>32.200000000000003</v>
      </c>
      <c r="AO701" s="3">
        <v>30.7</v>
      </c>
      <c r="AP701" s="3">
        <v>30.3</v>
      </c>
      <c r="AQ701" s="3">
        <v>30.6</v>
      </c>
      <c r="AR701" s="3">
        <v>31.4</v>
      </c>
      <c r="AS701" s="3">
        <v>32.1</v>
      </c>
      <c r="AT701" s="3">
        <v>32.700000000000003</v>
      </c>
      <c r="AU701" s="3">
        <v>30.8</v>
      </c>
      <c r="AV701" s="3">
        <v>29.1</v>
      </c>
      <c r="AW701" s="3">
        <v>27.5</v>
      </c>
      <c r="AX701" s="3">
        <v>22.7</v>
      </c>
      <c r="AY701" s="3">
        <v>20.399999999999999</v>
      </c>
      <c r="AZ701" s="3">
        <v>0</v>
      </c>
      <c r="BA701" s="3">
        <v>0</v>
      </c>
      <c r="BB701" s="3">
        <v>0</v>
      </c>
      <c r="BC701" s="3">
        <v>43.435407483686021</v>
      </c>
      <c r="BD701" s="3">
        <v>45.964592516313985</v>
      </c>
      <c r="BE701" s="3">
        <v>44.864592516313976</v>
      </c>
      <c r="BF701" s="3">
        <v>41.82459251631397</v>
      </c>
      <c r="BG701" s="3">
        <v>38.951259182980635</v>
      </c>
      <c r="BH701" s="3">
        <v>35.191259182980644</v>
      </c>
      <c r="BI701" s="3">
        <v>35.004592516313977</v>
      </c>
      <c r="BJ701" s="3">
        <v>38.397925849647308</v>
      </c>
      <c r="BK701" s="3">
        <v>39.371259182980651</v>
      </c>
      <c r="BL701" s="3">
        <v>45.444592516313975</v>
      </c>
      <c r="BM701" s="3">
        <v>40.677925849647323</v>
      </c>
      <c r="BN701" s="3">
        <v>37.361259182980646</v>
      </c>
      <c r="BO701" s="3">
        <v>37.427925849647323</v>
      </c>
      <c r="BP701" s="3">
        <v>35.84459251631398</v>
      </c>
      <c r="BQ701" s="3">
        <v>34.861259182980632</v>
      </c>
      <c r="BR701" s="3">
        <v>33.687925849647314</v>
      </c>
      <c r="BS701" s="3">
        <v>33.391259182980647</v>
      </c>
      <c r="BT701" s="3">
        <v>32.387925849647317</v>
      </c>
      <c r="BU701" s="3">
        <v>30.854592516313986</v>
      </c>
      <c r="BV701" s="3">
        <v>30.171259182980648</v>
      </c>
      <c r="BW701" s="3">
        <v>31.004592516313977</v>
      </c>
      <c r="BX701" s="3">
        <v>31.724592516313976</v>
      </c>
      <c r="BY701" s="3">
        <v>32.244592516313986</v>
      </c>
      <c r="BZ701" s="3">
        <v>32.974592516313976</v>
      </c>
      <c r="CA701" s="3">
        <v>31.174592516313965</v>
      </c>
      <c r="CB701" s="3">
        <v>28.911259182980643</v>
      </c>
      <c r="CC701" s="3">
        <v>27.524592516313973</v>
      </c>
      <c r="CD701" s="3">
        <v>22.031259182980648</v>
      </c>
      <c r="CE701" s="3">
        <v>19.924592516313979</v>
      </c>
      <c r="CF701" s="3">
        <v>-0.86207415035269008</v>
      </c>
      <c r="CG701" s="3">
        <v>-1.3954074836860215</v>
      </c>
      <c r="CH701" s="3">
        <v>-2.4720741503526895</v>
      </c>
      <c r="CI701" s="13">
        <f>[1]!dbasum(RecData[[#This Row],[20]:[2000]],RecData[[#Headers],[20]:[2000]])</f>
        <v>41.614304349517958</v>
      </c>
      <c r="CJ701" s="14">
        <v>9209</v>
      </c>
      <c r="CK701" s="15" t="s">
        <v>249</v>
      </c>
      <c r="CL701" s="15">
        <f>RecData[[#This Row],[Start Time]]</f>
        <v>43272.12777777778</v>
      </c>
      <c r="CM701" s="16">
        <f>RecData[[#This Row],[Wind Speed avg]]</f>
        <v>1.99</v>
      </c>
      <c r="CN701" s="16">
        <f>RecData[[#This Row],[Wind Dir. avg]]</f>
        <v>144.19999999999999</v>
      </c>
      <c r="CO701" s="16">
        <f>RecData[[#This Row],[Amb. Humidity]]</f>
        <v>66.900000000000006</v>
      </c>
      <c r="CP701" s="16">
        <f>RecData[[#This Row],[Amb. Temperature]]</f>
        <v>11</v>
      </c>
      <c r="CQ701" s="17">
        <f>RecData[[#This Row],[Amb. Rain Gauge]]</f>
        <v>0</v>
      </c>
      <c r="CR701" s="4" t="s">
        <v>1</v>
      </c>
      <c r="CS701" s="4" t="s">
        <v>49</v>
      </c>
      <c r="CT701" s="70">
        <v>1491.03735351562</v>
      </c>
      <c r="CU701" s="70">
        <v>52.00044631958</v>
      </c>
      <c r="CV701" s="70">
        <v>8.7105455398559499</v>
      </c>
      <c r="CW701" s="70">
        <v>15.1966094970703</v>
      </c>
      <c r="CX701" s="109"/>
      <c r="CY701" s="110"/>
      <c r="CZ701" s="2" t="b">
        <f>IF($DP$1="YES",IF(RecData[[#This Row],[Power (kW)]]&gt;=$CR$3, TRUE,FALSE),TRUE)</f>
        <v>1</v>
      </c>
      <c r="DA701" s="16">
        <f>MIN(MOD(180-ABS(ABS($DA$1-RecData[Yaw Angle (°)])-180),360),MOD(180-ABS(ABS($DB$1-RecData[Yaw Angle (°)])-180),360))</f>
        <v>44.470519541892457</v>
      </c>
      <c r="DB701" s="2" t="str">
        <f>IF($DP$2="None","None",IF(RecData[[#This Row],[Relative Wind Direction]]&lt;=45,"DW",IF(RecData[[#This Row],[Relative Wind Direction]]&lt;=135,"CW","UW")))</f>
        <v>DW</v>
      </c>
      <c r="DC701" s="61" t="e">
        <f>IF($CL701-#REF!&gt;1/24,#REF!,IF(SUM($CQ701:$CQ701)&gt;$DS$1,$DS$5,DC702-1))</f>
        <v>#REF!</v>
      </c>
      <c r="DD701" s="61" t="e">
        <f>IF($CL702-$CL701&gt;1/24,#REF!,IF(SUM($CQ701:$CQ701)&gt;$DS$1,$DS$6,#REF!-1))</f>
        <v>#REF!</v>
      </c>
      <c r="DE701" s="18" t="b">
        <v>0</v>
      </c>
      <c r="DF701" s="2" t="b">
        <f>IF(OR(RecData[[#This Row],[WSpd_Avg '[m/s']]]-RecData[[#This Row],[Wind Speed min]]&gt;=$DF$3,RecData[[#This Row],[Wind Speed max]]-RecData[[#This Row],[WSpd_Avg '[m/s']]]&gt;=$DF$2),TRUE,FALSE)</f>
        <v>0</v>
      </c>
      <c r="DG701" s="2" t="b">
        <f>RecData[[#This Row],[Temperature '[°C']]]&lt;=-20</f>
        <v>0</v>
      </c>
      <c r="DH701" s="18" t="b">
        <f>NOT(OR(MOD(RecData[[#This Row],[TIMESTAMP]],1)&gt;0.91632,MOD(RecData[[#This Row],[TIMESTAMP]],1)&lt;0.208681))</f>
        <v>0</v>
      </c>
      <c r="DI701" s="18" t="b">
        <f>RecData[[#This Row],[Overall (dBA)]]-RecData[[#This Row],[L90]]&gt;=$DS$4</f>
        <v>0</v>
      </c>
      <c r="DJ701" s="18" t="b">
        <f>RecData[[#This Row],[Overall (dBA)]]&gt;$DS$2</f>
        <v>0</v>
      </c>
      <c r="DK701" s="18" t="b">
        <f>RecData[[#This Row],[Overall (dBA)]]&lt;$DS$3</f>
        <v>0</v>
      </c>
      <c r="DL7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1" s="2">
        <f>IF(AND(RecData[[#This Row],[Turbines ON/OFF]] = "OFF", NOT(OR(RecData[[#This Row],[Junk?]]="YES",RecData[[#This Row],[Gust?]],RecData[[#This Row],[Rain?]:[Min SPL Threshold?]]))),1,0)</f>
        <v>0</v>
      </c>
      <c r="DN701" s="16">
        <f>RecData[[#This Row],[dBA Sum]]</f>
        <v>41.614304349517958</v>
      </c>
      <c r="DO701" s="16">
        <f>RecData[[#This Row],[LAF90.0]]</f>
        <v>41.7</v>
      </c>
      <c r="DP701" s="55">
        <f>IF(AND(RecData[[#This Row],[Useable TON Data?]],RecData[[#This Row],[Turbines ON/OFF]]="ON"),RecData[[#This Row],[dBA Sum]],"")</f>
        <v>41.614304349517958</v>
      </c>
      <c r="DQ701" s="55" t="str">
        <f>IF(AND(RecData[[#This Row],[Useable Background Data?]],RecData[[#This Row],[Turbines ON/OFF]]="OFF"),RecData[[#This Row],[dBA Sum]],"")</f>
        <v/>
      </c>
      <c r="DR701" s="3">
        <f>IF(OR(RecData[[#This Row],[Useable TON Data?]],RecData[[#This Row],[Useable Background Data?]]),ROUND(RecData[[#This Row],[WSpd_Avg '[m/s']]],0),"")</f>
        <v>2</v>
      </c>
      <c r="DS701" s="85">
        <f>(0.00002)^2*(10^(RecData[[#This Row],[Overall (dBA)]]/10))</f>
        <v>5.8008338484639873E-6</v>
      </c>
    </row>
    <row r="702" spans="1:123" ht="15" x14ac:dyDescent="0.25">
      <c r="A702" s="3" t="s">
        <v>249</v>
      </c>
      <c r="B702" s="12">
        <v>43272.128472222219</v>
      </c>
      <c r="C702" s="3"/>
      <c r="D702" s="3">
        <v>42.4</v>
      </c>
      <c r="E702" s="3"/>
      <c r="F702" s="3"/>
      <c r="G702" s="3"/>
      <c r="H702" s="3"/>
      <c r="I702" s="3"/>
      <c r="J702" s="3"/>
      <c r="K702" s="3">
        <v>40.5</v>
      </c>
      <c r="L702" s="3"/>
      <c r="M702" s="3"/>
      <c r="N702" s="3">
        <v>151.9</v>
      </c>
      <c r="O702" s="3"/>
      <c r="P702" s="3"/>
      <c r="Q702" s="3">
        <v>2.27</v>
      </c>
      <c r="R702" s="3">
        <v>0.8</v>
      </c>
      <c r="S702" s="3">
        <v>3.6</v>
      </c>
      <c r="T702" s="3">
        <v>11</v>
      </c>
      <c r="U702" s="3">
        <v>66.900000000000006</v>
      </c>
      <c r="V702" s="3">
        <v>970.1</v>
      </c>
      <c r="W702" s="3">
        <v>0</v>
      </c>
      <c r="X702" s="3">
        <v>46.6</v>
      </c>
      <c r="Y702" s="3">
        <v>45.4</v>
      </c>
      <c r="Z702" s="3">
        <v>43.6</v>
      </c>
      <c r="AA702" s="3">
        <v>40</v>
      </c>
      <c r="AB702" s="3">
        <v>36.700000000000003</v>
      </c>
      <c r="AC702" s="3">
        <v>35</v>
      </c>
      <c r="AD702" s="3">
        <v>36.9</v>
      </c>
      <c r="AE702" s="3">
        <v>38.200000000000003</v>
      </c>
      <c r="AF702" s="3">
        <v>44.6</v>
      </c>
      <c r="AG702" s="3">
        <v>39.9</v>
      </c>
      <c r="AH702" s="3">
        <v>36.700000000000003</v>
      </c>
      <c r="AI702" s="3">
        <v>37.200000000000003</v>
      </c>
      <c r="AJ702" s="3">
        <v>36.299999999999997</v>
      </c>
      <c r="AK702" s="3">
        <v>34.700000000000003</v>
      </c>
      <c r="AL702" s="3">
        <v>33</v>
      </c>
      <c r="AM702" s="3">
        <v>33</v>
      </c>
      <c r="AN702" s="3">
        <v>32</v>
      </c>
      <c r="AO702" s="3">
        <v>30.1</v>
      </c>
      <c r="AP702" s="3">
        <v>29.5</v>
      </c>
      <c r="AQ702" s="3">
        <v>29.5</v>
      </c>
      <c r="AR702" s="3">
        <v>30.1</v>
      </c>
      <c r="AS702" s="3">
        <v>30.5</v>
      </c>
      <c r="AT702" s="3">
        <v>30.6</v>
      </c>
      <c r="AU702" s="3">
        <v>29.1</v>
      </c>
      <c r="AV702" s="3">
        <v>27.2</v>
      </c>
      <c r="AW702" s="3">
        <v>25.4</v>
      </c>
      <c r="AX702" s="3">
        <v>20.8</v>
      </c>
      <c r="AY702" s="3">
        <v>18.600000000000001</v>
      </c>
      <c r="AZ702" s="3">
        <v>0</v>
      </c>
      <c r="BA702" s="3">
        <v>0</v>
      </c>
      <c r="BB702" s="3">
        <v>0</v>
      </c>
      <c r="BC702" s="3">
        <v>42.413553554421632</v>
      </c>
      <c r="BD702" s="3">
        <v>46.586446445578368</v>
      </c>
      <c r="BE702" s="3">
        <v>45.386446445578365</v>
      </c>
      <c r="BF702" s="3">
        <v>42.346446445578358</v>
      </c>
      <c r="BG702" s="3">
        <v>39.073113112245032</v>
      </c>
      <c r="BH702" s="3">
        <v>35.913113112245036</v>
      </c>
      <c r="BI702" s="3">
        <v>34.62644644557836</v>
      </c>
      <c r="BJ702" s="3">
        <v>37.319779778911688</v>
      </c>
      <c r="BK702" s="3">
        <v>38.493113112245034</v>
      </c>
      <c r="BL702" s="3">
        <v>44.466446445578363</v>
      </c>
      <c r="BM702" s="3">
        <v>39.8997797789117</v>
      </c>
      <c r="BN702" s="3">
        <v>36.983113112245043</v>
      </c>
      <c r="BO702" s="3">
        <v>36.849779778911703</v>
      </c>
      <c r="BP702" s="3">
        <v>35.666446445578366</v>
      </c>
      <c r="BQ702" s="3">
        <v>34.483113112245029</v>
      </c>
      <c r="BR702" s="3">
        <v>33.109779778911708</v>
      </c>
      <c r="BS702" s="3">
        <v>32.913113112245036</v>
      </c>
      <c r="BT702" s="3">
        <v>32.109779778911708</v>
      </c>
      <c r="BU702" s="3">
        <v>30.176446445578371</v>
      </c>
      <c r="BV702" s="3">
        <v>29.293113112245031</v>
      </c>
      <c r="BW702" s="3">
        <v>29.826446445578377</v>
      </c>
      <c r="BX702" s="3">
        <v>30.346446445578373</v>
      </c>
      <c r="BY702" s="3">
        <v>30.566446445578357</v>
      </c>
      <c r="BZ702" s="3">
        <v>30.796446445578376</v>
      </c>
      <c r="CA702" s="3">
        <v>29.396446445578356</v>
      </c>
      <c r="CB702" s="3">
        <v>26.933113112245032</v>
      </c>
      <c r="CC702" s="3">
        <v>25.346446445578358</v>
      </c>
      <c r="CD702" s="3">
        <v>20.053113112245036</v>
      </c>
      <c r="CE702" s="3">
        <v>18.046446445578361</v>
      </c>
      <c r="CF702" s="3">
        <v>-0.94022022108830328</v>
      </c>
      <c r="CG702" s="3">
        <v>-1.4735535544216347</v>
      </c>
      <c r="CH702" s="3">
        <v>-2.5502202210883027</v>
      </c>
      <c r="CI702" s="13">
        <f>[1]!dbasum(RecData[[#This Row],[20]:[2000]],RecData[[#Headers],[20]:[2000]])</f>
        <v>40.895208339382911</v>
      </c>
      <c r="CJ702" s="14">
        <v>9210</v>
      </c>
      <c r="CK702" s="15" t="s">
        <v>249</v>
      </c>
      <c r="CL702" s="15">
        <f>RecData[[#This Row],[Start Time]]</f>
        <v>43272.128472222219</v>
      </c>
      <c r="CM702" s="16">
        <f>RecData[[#This Row],[Wind Speed avg]]</f>
        <v>2.27</v>
      </c>
      <c r="CN702" s="16">
        <f>RecData[[#This Row],[Wind Dir. avg]]</f>
        <v>151.9</v>
      </c>
      <c r="CO702" s="16">
        <f>RecData[[#This Row],[Amb. Humidity]]</f>
        <v>66.900000000000006</v>
      </c>
      <c r="CP702" s="16">
        <f>RecData[[#This Row],[Amb. Temperature]]</f>
        <v>11</v>
      </c>
      <c r="CQ702" s="17">
        <f>RecData[[#This Row],[Amb. Rain Gauge]]</f>
        <v>0</v>
      </c>
      <c r="CR702" s="4" t="s">
        <v>1</v>
      </c>
      <c r="CS702" s="4" t="s">
        <v>49</v>
      </c>
      <c r="CT702" s="70">
        <v>1491.03735351562</v>
      </c>
      <c r="CU702" s="70">
        <v>52.00044631958</v>
      </c>
      <c r="CV702" s="70">
        <v>8.7105455398559499</v>
      </c>
      <c r="CW702" s="70">
        <v>15.1966094970703</v>
      </c>
      <c r="CX702" s="109"/>
      <c r="CY702" s="110"/>
      <c r="CZ702" s="2" t="b">
        <f>IF($DP$1="YES",IF(RecData[[#This Row],[Power (kW)]]&gt;=$CR$3, TRUE,FALSE),TRUE)</f>
        <v>1</v>
      </c>
      <c r="DA702" s="16">
        <f>MIN(MOD(180-ABS(ABS($DA$1-RecData[Yaw Angle (°)])-180),360),MOD(180-ABS(ABS($DB$1-RecData[Yaw Angle (°)])-180),360))</f>
        <v>44.470519541892457</v>
      </c>
      <c r="DB702" s="2" t="str">
        <f>IF($DP$2="None","None",IF(RecData[[#This Row],[Relative Wind Direction]]&lt;=45,"DW",IF(RecData[[#This Row],[Relative Wind Direction]]&lt;=135,"CW","UW")))</f>
        <v>DW</v>
      </c>
      <c r="DC702" s="61" t="e">
        <f>IF($CL702-#REF!&gt;1/24,#REF!,IF(SUM($CQ701:$CQ702)&gt;$DS$1,$DS$5,#REF!-1))</f>
        <v>#REF!</v>
      </c>
      <c r="DD702" s="61" t="e">
        <f>IF(#REF!-$CL702&gt;1/24,#REF!,IF(SUM($CQ701:$CQ702)&gt;$DS$1,$DS$6,DD701-1))</f>
        <v>#REF!</v>
      </c>
      <c r="DE702" s="18" t="b">
        <v>0</v>
      </c>
      <c r="DF702" s="2" t="b">
        <f>IF(OR(RecData[[#This Row],[WSpd_Avg '[m/s']]]-RecData[[#This Row],[Wind Speed min]]&gt;=$DF$3,RecData[[#This Row],[Wind Speed max]]-RecData[[#This Row],[WSpd_Avg '[m/s']]]&gt;=$DF$2),TRUE,FALSE)</f>
        <v>0</v>
      </c>
      <c r="DG702" s="2" t="b">
        <f>RecData[[#This Row],[Temperature '[°C']]]&lt;=-20</f>
        <v>0</v>
      </c>
      <c r="DH702" s="18" t="b">
        <f>NOT(OR(MOD(RecData[[#This Row],[TIMESTAMP]],1)&gt;0.91632,MOD(RecData[[#This Row],[TIMESTAMP]],1)&lt;0.208681))</f>
        <v>0</v>
      </c>
      <c r="DI702" s="18" t="b">
        <f>RecData[[#This Row],[Overall (dBA)]]-RecData[[#This Row],[L90]]&gt;=$DS$4</f>
        <v>0</v>
      </c>
      <c r="DJ702" s="18" t="b">
        <f>RecData[[#This Row],[Overall (dBA)]]&gt;$DS$2</f>
        <v>0</v>
      </c>
      <c r="DK702" s="18" t="b">
        <f>RecData[[#This Row],[Overall (dBA)]]&lt;$DS$3</f>
        <v>0</v>
      </c>
      <c r="DL7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2" s="2">
        <f>IF(AND(RecData[[#This Row],[Turbines ON/OFF]] = "OFF", NOT(OR(RecData[[#This Row],[Junk?]]="YES",RecData[[#This Row],[Gust?]],RecData[[#This Row],[Rain?]:[Min SPL Threshold?]]))),1,0)</f>
        <v>0</v>
      </c>
      <c r="DN702" s="16">
        <f>RecData[[#This Row],[dBA Sum]]</f>
        <v>40.895208339382911</v>
      </c>
      <c r="DO702" s="16">
        <f>RecData[[#This Row],[LAF90.0]]</f>
        <v>40.5</v>
      </c>
      <c r="DP702" s="55">
        <f>IF(AND(RecData[[#This Row],[Useable TON Data?]],RecData[[#This Row],[Turbines ON/OFF]]="ON"),RecData[[#This Row],[dBA Sum]],"")</f>
        <v>40.895208339382911</v>
      </c>
      <c r="DQ702" s="55" t="str">
        <f>IF(AND(RecData[[#This Row],[Useable Background Data?]],RecData[[#This Row],[Turbines ON/OFF]]="OFF"),RecData[[#This Row],[dBA Sum]],"")</f>
        <v/>
      </c>
      <c r="DR702" s="3">
        <f>IF(OR(RecData[[#This Row],[Useable TON Data?]],RecData[[#This Row],[Useable Background Data?]]),ROUND(RecData[[#This Row],[WSpd_Avg '[m/s']]],0),"")</f>
        <v>2</v>
      </c>
      <c r="DS702" s="85">
        <f>(0.00002)^2*(10^(RecData[[#This Row],[Overall (dBA)]]/10))</f>
        <v>4.9156485537361346E-6</v>
      </c>
    </row>
    <row r="703" spans="1:123" ht="15" x14ac:dyDescent="0.25">
      <c r="A703" s="3" t="s">
        <v>249</v>
      </c>
      <c r="B703" s="12">
        <v>43272.129861111112</v>
      </c>
      <c r="C703" s="3"/>
      <c r="D703" s="3">
        <v>42.2</v>
      </c>
      <c r="E703" s="3"/>
      <c r="F703" s="3"/>
      <c r="G703" s="3"/>
      <c r="H703" s="3"/>
      <c r="I703" s="3"/>
      <c r="J703" s="3"/>
      <c r="K703" s="3">
        <v>40.4</v>
      </c>
      <c r="L703" s="3"/>
      <c r="M703" s="3"/>
      <c r="N703" s="3">
        <v>162.80000000000001</v>
      </c>
      <c r="O703" s="3"/>
      <c r="P703" s="3"/>
      <c r="Q703" s="3">
        <v>1.56</v>
      </c>
      <c r="R703" s="3">
        <v>0.2</v>
      </c>
      <c r="S703" s="3">
        <v>2.9</v>
      </c>
      <c r="T703" s="3">
        <v>11</v>
      </c>
      <c r="U703" s="3">
        <v>66.8</v>
      </c>
      <c r="V703" s="3">
        <v>970.2</v>
      </c>
      <c r="W703" s="3">
        <v>0</v>
      </c>
      <c r="X703" s="3">
        <v>46.4</v>
      </c>
      <c r="Y703" s="3">
        <v>45.6</v>
      </c>
      <c r="Z703" s="3">
        <v>44</v>
      </c>
      <c r="AA703" s="3">
        <v>40.5</v>
      </c>
      <c r="AB703" s="3">
        <v>37</v>
      </c>
      <c r="AC703" s="3">
        <v>36.4</v>
      </c>
      <c r="AD703" s="3">
        <v>38.299999999999997</v>
      </c>
      <c r="AE703" s="3">
        <v>39.299999999999997</v>
      </c>
      <c r="AF703" s="3">
        <v>44.4</v>
      </c>
      <c r="AG703" s="3">
        <v>41.3</v>
      </c>
      <c r="AH703" s="3">
        <v>37.1</v>
      </c>
      <c r="AI703" s="3">
        <v>37.4</v>
      </c>
      <c r="AJ703" s="3">
        <v>36.6</v>
      </c>
      <c r="AK703" s="3">
        <v>34.799999999999997</v>
      </c>
      <c r="AL703" s="3">
        <v>33.1</v>
      </c>
      <c r="AM703" s="3">
        <v>33</v>
      </c>
      <c r="AN703" s="3">
        <v>31.6</v>
      </c>
      <c r="AO703" s="3">
        <v>29.5</v>
      </c>
      <c r="AP703" s="3">
        <v>28.7</v>
      </c>
      <c r="AQ703" s="3">
        <v>28.6</v>
      </c>
      <c r="AR703" s="3">
        <v>29.1</v>
      </c>
      <c r="AS703" s="3">
        <v>29.7</v>
      </c>
      <c r="AT703" s="3">
        <v>30.3</v>
      </c>
      <c r="AU703" s="3">
        <v>28.8</v>
      </c>
      <c r="AV703" s="3">
        <v>27.1</v>
      </c>
      <c r="AW703" s="3">
        <v>25.3</v>
      </c>
      <c r="AX703" s="3">
        <v>20.7</v>
      </c>
      <c r="AY703" s="3">
        <v>18.899999999999999</v>
      </c>
      <c r="AZ703" s="3">
        <v>0</v>
      </c>
      <c r="BA703" s="3">
        <v>0</v>
      </c>
      <c r="BB703" s="3">
        <v>0</v>
      </c>
      <c r="BC703" s="3">
        <v>42.161348920290884</v>
      </c>
      <c r="BD703" s="3">
        <v>46.438651079709111</v>
      </c>
      <c r="BE703" s="3">
        <v>45.638651079709128</v>
      </c>
      <c r="BF703" s="3">
        <v>42.798651079709124</v>
      </c>
      <c r="BG703" s="3">
        <v>39.625317746375778</v>
      </c>
      <c r="BH703" s="3">
        <v>36.265317746375793</v>
      </c>
      <c r="BI703" s="3">
        <v>36.078651079709125</v>
      </c>
      <c r="BJ703" s="3">
        <v>38.771984413042453</v>
      </c>
      <c r="BK703" s="3">
        <v>39.645317746375788</v>
      </c>
      <c r="BL703" s="3">
        <v>44.31865107970912</v>
      </c>
      <c r="BM703" s="3">
        <v>41.351984413042452</v>
      </c>
      <c r="BN703" s="3">
        <v>37.43531774637578</v>
      </c>
      <c r="BO703" s="3">
        <v>37.101984413042452</v>
      </c>
      <c r="BP703" s="3">
        <v>36.018651079709123</v>
      </c>
      <c r="BQ703" s="3">
        <v>34.635317746375769</v>
      </c>
      <c r="BR703" s="3">
        <v>33.261984413042462</v>
      </c>
      <c r="BS703" s="3">
        <v>32.965317746375781</v>
      </c>
      <c r="BT703" s="3">
        <v>31.761984413042462</v>
      </c>
      <c r="BU703" s="3">
        <v>29.628651079709122</v>
      </c>
      <c r="BV703" s="3">
        <v>28.545317746375794</v>
      </c>
      <c r="BW703" s="3">
        <v>28.978651079709131</v>
      </c>
      <c r="BX703" s="3">
        <v>29.398651079709119</v>
      </c>
      <c r="BY703" s="3">
        <v>29.81865107970912</v>
      </c>
      <c r="BZ703" s="3">
        <v>30.548651079709124</v>
      </c>
      <c r="CA703" s="3">
        <v>29.148651079709119</v>
      </c>
      <c r="CB703" s="3">
        <v>26.885317746375783</v>
      </c>
      <c r="CC703" s="3">
        <v>25.298651079709124</v>
      </c>
      <c r="CD703" s="3">
        <v>20.005317746375788</v>
      </c>
      <c r="CE703" s="3">
        <v>18.398651079709119</v>
      </c>
      <c r="CF703" s="3">
        <v>-0.88801558695755034</v>
      </c>
      <c r="CG703" s="3">
        <v>-1.4213489202908818</v>
      </c>
      <c r="CH703" s="3">
        <v>-2.4980155869575498</v>
      </c>
      <c r="CI703" s="13">
        <f>[1]!dbasum(RecData[[#This Row],[20]:[2000]],RecData[[#Headers],[20]:[2000]])</f>
        <v>40.738178164216947</v>
      </c>
      <c r="CJ703" s="14">
        <v>9212</v>
      </c>
      <c r="CK703" s="15" t="s">
        <v>249</v>
      </c>
      <c r="CL703" s="15">
        <f>RecData[[#This Row],[Start Time]]</f>
        <v>43272.129861111112</v>
      </c>
      <c r="CM703" s="16">
        <f>RecData[[#This Row],[Wind Speed avg]]</f>
        <v>1.56</v>
      </c>
      <c r="CN703" s="16">
        <f>RecData[[#This Row],[Wind Dir. avg]]</f>
        <v>162.80000000000001</v>
      </c>
      <c r="CO703" s="16">
        <f>RecData[[#This Row],[Amb. Humidity]]</f>
        <v>66.8</v>
      </c>
      <c r="CP703" s="16">
        <f>RecData[[#This Row],[Amb. Temperature]]</f>
        <v>11</v>
      </c>
      <c r="CQ703" s="17">
        <f>RecData[[#This Row],[Amb. Rain Gauge]]</f>
        <v>0</v>
      </c>
      <c r="CR703" s="4" t="s">
        <v>1</v>
      </c>
      <c r="CS703" s="4" t="s">
        <v>49</v>
      </c>
      <c r="CT703" s="70">
        <v>1491.03735351562</v>
      </c>
      <c r="CU703" s="70">
        <v>52.00044631958</v>
      </c>
      <c r="CV703" s="70">
        <v>8.7105455398559499</v>
      </c>
      <c r="CW703" s="70">
        <v>15.1966094970703</v>
      </c>
      <c r="CX703" s="109"/>
      <c r="CY703" s="110"/>
      <c r="CZ703" s="2" t="b">
        <f>IF($DP$1="YES",IF(RecData[[#This Row],[Power (kW)]]&gt;=$CR$3, TRUE,FALSE),TRUE)</f>
        <v>1</v>
      </c>
      <c r="DA703" s="16">
        <f>MIN(MOD(180-ABS(ABS($DA$1-RecData[Yaw Angle (°)])-180),360),MOD(180-ABS(ABS($DB$1-RecData[Yaw Angle (°)])-180),360))</f>
        <v>44.470519541892457</v>
      </c>
      <c r="DB703" s="2" t="str">
        <f>IF($DP$2="None","None",IF(RecData[[#This Row],[Relative Wind Direction]]&lt;=45,"DW",IF(RecData[[#This Row],[Relative Wind Direction]]&lt;=135,"CW","UW")))</f>
        <v>DW</v>
      </c>
      <c r="DC703" s="61" t="e">
        <f>IF($CL703-#REF!&gt;1/24,#REF!,IF(SUM($CQ701:$CQ703)&gt;$DS$1,$DS$5,#REF!-1))</f>
        <v>#REF!</v>
      </c>
      <c r="DD703" s="61" t="e">
        <f>IF(#REF!-$CL703&gt;1/24,#REF!,IF(SUM($CQ701:$CQ703)&gt;$DS$1,$DS$6,#REF!-1))</f>
        <v>#REF!</v>
      </c>
      <c r="DE703" s="18" t="b">
        <v>0</v>
      </c>
      <c r="DF703" s="2" t="b">
        <f>IF(OR(RecData[[#This Row],[WSpd_Avg '[m/s']]]-RecData[[#This Row],[Wind Speed min]]&gt;=$DF$3,RecData[[#This Row],[Wind Speed max]]-RecData[[#This Row],[WSpd_Avg '[m/s']]]&gt;=$DF$2),TRUE,FALSE)</f>
        <v>0</v>
      </c>
      <c r="DG703" s="2" t="b">
        <f>RecData[[#This Row],[Temperature '[°C']]]&lt;=-20</f>
        <v>0</v>
      </c>
      <c r="DH703" s="18" t="b">
        <f>NOT(OR(MOD(RecData[[#This Row],[TIMESTAMP]],1)&gt;0.91632,MOD(RecData[[#This Row],[TIMESTAMP]],1)&lt;0.208681))</f>
        <v>0</v>
      </c>
      <c r="DI703" s="18" t="b">
        <f>RecData[[#This Row],[Overall (dBA)]]-RecData[[#This Row],[L90]]&gt;=$DS$4</f>
        <v>0</v>
      </c>
      <c r="DJ703" s="18" t="b">
        <f>RecData[[#This Row],[Overall (dBA)]]&gt;$DS$2</f>
        <v>0</v>
      </c>
      <c r="DK703" s="18" t="b">
        <f>RecData[[#This Row],[Overall (dBA)]]&lt;$DS$3</f>
        <v>0</v>
      </c>
      <c r="DL7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3" s="2">
        <f>IF(AND(RecData[[#This Row],[Turbines ON/OFF]] = "OFF", NOT(OR(RecData[[#This Row],[Junk?]]="YES",RecData[[#This Row],[Gust?]],RecData[[#This Row],[Rain?]:[Min SPL Threshold?]]))),1,0)</f>
        <v>0</v>
      </c>
      <c r="DN703" s="16">
        <f>RecData[[#This Row],[dBA Sum]]</f>
        <v>40.738178164216947</v>
      </c>
      <c r="DO703" s="16">
        <f>RecData[[#This Row],[LAF90.0]]</f>
        <v>40.4</v>
      </c>
      <c r="DP703" s="55">
        <f>IF(AND(RecData[[#This Row],[Useable TON Data?]],RecData[[#This Row],[Turbines ON/OFF]]="ON"),RecData[[#This Row],[dBA Sum]],"")</f>
        <v>40.738178164216947</v>
      </c>
      <c r="DQ703" s="55" t="str">
        <f>IF(AND(RecData[[#This Row],[Useable Background Data?]],RecData[[#This Row],[Turbines ON/OFF]]="OFF"),RecData[[#This Row],[dBA Sum]],"")</f>
        <v/>
      </c>
      <c r="DR703" s="3">
        <f>IF(OR(RecData[[#This Row],[Useable TON Data?]],RecData[[#This Row],[Useable Background Data?]]),ROUND(RecData[[#This Row],[WSpd_Avg '[m/s']]],0),"")</f>
        <v>2</v>
      </c>
      <c r="DS703" s="85">
        <f>(0.00002)^2*(10^(RecData[[#This Row],[Overall (dBA)]]/10))</f>
        <v>4.7410857222738626E-6</v>
      </c>
    </row>
    <row r="704" spans="1:123" ht="15" x14ac:dyDescent="0.25">
      <c r="A704" s="3" t="s">
        <v>249</v>
      </c>
      <c r="B704" s="12">
        <v>43272.135416666664</v>
      </c>
      <c r="C704" s="3"/>
      <c r="D704" s="3">
        <v>42.2</v>
      </c>
      <c r="E704" s="3"/>
      <c r="F704" s="3"/>
      <c r="G704" s="3"/>
      <c r="H704" s="3"/>
      <c r="I704" s="3"/>
      <c r="J704" s="3"/>
      <c r="K704" s="3">
        <v>40.5</v>
      </c>
      <c r="L704" s="3"/>
      <c r="M704" s="3"/>
      <c r="N704" s="3">
        <v>176.5</v>
      </c>
      <c r="O704" s="3"/>
      <c r="P704" s="3"/>
      <c r="Q704" s="3">
        <v>1.97</v>
      </c>
      <c r="R704" s="3">
        <v>0.8</v>
      </c>
      <c r="S704" s="3">
        <v>2.9</v>
      </c>
      <c r="T704" s="3">
        <v>10.9</v>
      </c>
      <c r="U704" s="3">
        <v>67.2</v>
      </c>
      <c r="V704" s="3">
        <v>970.2</v>
      </c>
      <c r="W704" s="3">
        <v>0</v>
      </c>
      <c r="X704" s="3">
        <v>45.8</v>
      </c>
      <c r="Y704" s="3">
        <v>45.2</v>
      </c>
      <c r="Z704" s="3">
        <v>43.5</v>
      </c>
      <c r="AA704" s="3">
        <v>40.4</v>
      </c>
      <c r="AB704" s="3">
        <v>36.700000000000003</v>
      </c>
      <c r="AC704" s="3">
        <v>34.200000000000003</v>
      </c>
      <c r="AD704" s="3">
        <v>37.200000000000003</v>
      </c>
      <c r="AE704" s="3">
        <v>38.6</v>
      </c>
      <c r="AF704" s="3">
        <v>44.6</v>
      </c>
      <c r="AG704" s="3">
        <v>40.799999999999997</v>
      </c>
      <c r="AH704" s="3">
        <v>37.299999999999997</v>
      </c>
      <c r="AI704" s="3">
        <v>37.700000000000003</v>
      </c>
      <c r="AJ704" s="3">
        <v>36.700000000000003</v>
      </c>
      <c r="AK704" s="3">
        <v>35</v>
      </c>
      <c r="AL704" s="3">
        <v>33.4</v>
      </c>
      <c r="AM704" s="3">
        <v>33.5</v>
      </c>
      <c r="AN704" s="3">
        <v>31.8</v>
      </c>
      <c r="AO704" s="3">
        <v>29.3</v>
      </c>
      <c r="AP704" s="3">
        <v>28.4</v>
      </c>
      <c r="AQ704" s="3">
        <v>28.3</v>
      </c>
      <c r="AR704" s="3">
        <v>28.9</v>
      </c>
      <c r="AS704" s="3">
        <v>29.5</v>
      </c>
      <c r="AT704" s="3">
        <v>30.2</v>
      </c>
      <c r="AU704" s="3">
        <v>28.6</v>
      </c>
      <c r="AV704" s="3">
        <v>27</v>
      </c>
      <c r="AW704" s="3">
        <v>25.3</v>
      </c>
      <c r="AX704" s="3">
        <v>20.6</v>
      </c>
      <c r="AY704" s="3">
        <v>18.3</v>
      </c>
      <c r="AZ704" s="3">
        <v>0</v>
      </c>
      <c r="BA704" s="3">
        <v>0</v>
      </c>
      <c r="BB704" s="3">
        <v>0</v>
      </c>
      <c r="BC704" s="3">
        <v>42.161691357412664</v>
      </c>
      <c r="BD704" s="3">
        <v>45.838308642587336</v>
      </c>
      <c r="BE704" s="3">
        <v>45.238308642587342</v>
      </c>
      <c r="BF704" s="3">
        <v>42.298308642587344</v>
      </c>
      <c r="BG704" s="3">
        <v>39.524975309254003</v>
      </c>
      <c r="BH704" s="3">
        <v>35.964975309254001</v>
      </c>
      <c r="BI704" s="3">
        <v>33.878308642587342</v>
      </c>
      <c r="BJ704" s="3">
        <v>37.671641975920679</v>
      </c>
      <c r="BK704" s="3">
        <v>38.944975309254005</v>
      </c>
      <c r="BL704" s="3">
        <v>44.518308642587343</v>
      </c>
      <c r="BM704" s="3">
        <v>40.851641975920671</v>
      </c>
      <c r="BN704" s="3">
        <v>37.634975309254003</v>
      </c>
      <c r="BO704" s="3">
        <v>37.401641975920668</v>
      </c>
      <c r="BP704" s="3">
        <v>36.118308642587337</v>
      </c>
      <c r="BQ704" s="3">
        <v>34.834975309254006</v>
      </c>
      <c r="BR704" s="3">
        <v>33.561641975920665</v>
      </c>
      <c r="BS704" s="3">
        <v>33.464975309254001</v>
      </c>
      <c r="BT704" s="3">
        <v>31.961641975920671</v>
      </c>
      <c r="BU704" s="3">
        <v>29.428308642587339</v>
      </c>
      <c r="BV704" s="3">
        <v>28.244975309254002</v>
      </c>
      <c r="BW704" s="3">
        <v>28.678308642587339</v>
      </c>
      <c r="BX704" s="3">
        <v>29.198308642587349</v>
      </c>
      <c r="BY704" s="3">
        <v>29.618308642587337</v>
      </c>
      <c r="BZ704" s="3">
        <v>30.448308642587349</v>
      </c>
      <c r="CA704" s="3">
        <v>28.948308642587335</v>
      </c>
      <c r="CB704" s="3">
        <v>26.784975309254008</v>
      </c>
      <c r="CC704" s="3">
        <v>25.298308642587344</v>
      </c>
      <c r="CD704" s="3">
        <v>19.904975309254013</v>
      </c>
      <c r="CE704" s="3">
        <v>17.798308642587337</v>
      </c>
      <c r="CF704" s="3">
        <v>-0.88835802407933073</v>
      </c>
      <c r="CG704" s="3">
        <v>-1.4216913574126622</v>
      </c>
      <c r="CH704" s="3">
        <v>-2.4983580240793302</v>
      </c>
      <c r="CI704" s="13">
        <f>[1]!dbasum(RecData[[#This Row],[20]:[2000]],RecData[[#Headers],[20]:[2000]])</f>
        <v>40.788360263233763</v>
      </c>
      <c r="CJ704" s="14">
        <v>9220</v>
      </c>
      <c r="CK704" s="15" t="s">
        <v>249</v>
      </c>
      <c r="CL704" s="15">
        <f>RecData[[#This Row],[Start Time]]</f>
        <v>43272.135416666664</v>
      </c>
      <c r="CM704" s="16">
        <f>RecData[[#This Row],[Wind Speed avg]]</f>
        <v>1.97</v>
      </c>
      <c r="CN704" s="16">
        <f>RecData[[#This Row],[Wind Dir. avg]]</f>
        <v>176.5</v>
      </c>
      <c r="CO704" s="16">
        <f>RecData[[#This Row],[Amb. Humidity]]</f>
        <v>67.2</v>
      </c>
      <c r="CP704" s="16">
        <f>RecData[[#This Row],[Amb. Temperature]]</f>
        <v>10.9</v>
      </c>
      <c r="CQ704" s="17">
        <f>RecData[[#This Row],[Amb. Rain Gauge]]</f>
        <v>0</v>
      </c>
      <c r="CR704" s="4" t="s">
        <v>1</v>
      </c>
      <c r="CS704" s="4" t="s">
        <v>49</v>
      </c>
      <c r="CT704" s="70">
        <v>1542.982421875</v>
      </c>
      <c r="CU704" s="70">
        <v>52.000442504882798</v>
      </c>
      <c r="CV704" s="70">
        <v>8.7978668212890607</v>
      </c>
      <c r="CW704" s="70">
        <v>15.1691741943359</v>
      </c>
      <c r="CX704" s="109"/>
      <c r="CY704" s="110"/>
      <c r="CZ704" s="2" t="b">
        <f>IF($DP$1="YES",IF(RecData[[#This Row],[Power (kW)]]&gt;=$CR$3, TRUE,FALSE),TRUE)</f>
        <v>1</v>
      </c>
      <c r="DA704" s="16">
        <f>MIN(MOD(180-ABS(ABS($DA$1-RecData[Yaw Angle (°)])-180),360),MOD(180-ABS(ABS($DB$1-RecData[Yaw Angle (°)])-180),360))</f>
        <v>44.470515727195249</v>
      </c>
      <c r="DB704" s="2" t="str">
        <f>IF($DP$2="None","None",IF(RecData[[#This Row],[Relative Wind Direction]]&lt;=45,"DW",IF(RecData[[#This Row],[Relative Wind Direction]]&lt;=135,"CW","UW")))</f>
        <v>DW</v>
      </c>
      <c r="DC704" s="61" t="e">
        <f>IF($CL704-#REF!&gt;1/24,#REF!,IF(SUM($CQ704:$CQ704)&gt;$DS$1,$DS$5,DC705-1))</f>
        <v>#REF!</v>
      </c>
      <c r="DD704" s="61" t="e">
        <f>IF($CL705-$CL704&gt;1/24,#REF!,IF(SUM($CQ704:$CQ704)&gt;$DS$1,$DS$6,#REF!-1))</f>
        <v>#REF!</v>
      </c>
      <c r="DE704" s="18" t="b">
        <v>0</v>
      </c>
      <c r="DF704" s="2" t="b">
        <f>IF(OR(RecData[[#This Row],[WSpd_Avg '[m/s']]]-RecData[[#This Row],[Wind Speed min]]&gt;=$DF$3,RecData[[#This Row],[Wind Speed max]]-RecData[[#This Row],[WSpd_Avg '[m/s']]]&gt;=$DF$2),TRUE,FALSE)</f>
        <v>0</v>
      </c>
      <c r="DG704" s="2" t="b">
        <f>RecData[[#This Row],[Temperature '[°C']]]&lt;=-20</f>
        <v>0</v>
      </c>
      <c r="DH704" s="18" t="b">
        <f>NOT(OR(MOD(RecData[[#This Row],[TIMESTAMP]],1)&gt;0.91632,MOD(RecData[[#This Row],[TIMESTAMP]],1)&lt;0.208681))</f>
        <v>0</v>
      </c>
      <c r="DI704" s="18" t="b">
        <f>RecData[[#This Row],[Overall (dBA)]]-RecData[[#This Row],[L90]]&gt;=$DS$4</f>
        <v>0</v>
      </c>
      <c r="DJ704" s="18" t="b">
        <f>RecData[[#This Row],[Overall (dBA)]]&gt;$DS$2</f>
        <v>0</v>
      </c>
      <c r="DK704" s="18" t="b">
        <f>RecData[[#This Row],[Overall (dBA)]]&lt;$DS$3</f>
        <v>0</v>
      </c>
      <c r="DL7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4" s="2">
        <f>IF(AND(RecData[[#This Row],[Turbines ON/OFF]] = "OFF", NOT(OR(RecData[[#This Row],[Junk?]]="YES",RecData[[#This Row],[Gust?]],RecData[[#This Row],[Rain?]:[Min SPL Threshold?]]))),1,0)</f>
        <v>0</v>
      </c>
      <c r="DN704" s="16">
        <f>RecData[[#This Row],[dBA Sum]]</f>
        <v>40.788360263233763</v>
      </c>
      <c r="DO704" s="16">
        <f>RecData[[#This Row],[LAF90.0]]</f>
        <v>40.5</v>
      </c>
      <c r="DP704" s="55">
        <f>IF(AND(RecData[[#This Row],[Useable TON Data?]],RecData[[#This Row],[Turbines ON/OFF]]="ON"),RecData[[#This Row],[dBA Sum]],"")</f>
        <v>40.788360263233763</v>
      </c>
      <c r="DQ704" s="55" t="str">
        <f>IF(AND(RecData[[#This Row],[Useable Background Data?]],RecData[[#This Row],[Turbines ON/OFF]]="OFF"),RecData[[#This Row],[dBA Sum]],"")</f>
        <v/>
      </c>
      <c r="DR704" s="3">
        <f>IF(OR(RecData[[#This Row],[Useable TON Data?]],RecData[[#This Row],[Useable Background Data?]]),ROUND(RecData[[#This Row],[WSpd_Avg '[m/s']]],0),"")</f>
        <v>2</v>
      </c>
      <c r="DS704" s="85">
        <f>(0.00002)^2*(10^(RecData[[#This Row],[Overall (dBA)]]/10))</f>
        <v>4.7961860066721259E-6</v>
      </c>
    </row>
    <row r="705" spans="1:123" ht="15" x14ac:dyDescent="0.25">
      <c r="A705" s="3" t="s">
        <v>249</v>
      </c>
      <c r="B705" s="12">
        <v>43272.136111111111</v>
      </c>
      <c r="C705" s="3"/>
      <c r="D705" s="3">
        <v>40.700000000000003</v>
      </c>
      <c r="E705" s="3"/>
      <c r="F705" s="3"/>
      <c r="G705" s="3"/>
      <c r="H705" s="3"/>
      <c r="I705" s="3"/>
      <c r="J705" s="3"/>
      <c r="K705" s="3">
        <v>39.1</v>
      </c>
      <c r="L705" s="3"/>
      <c r="M705" s="3"/>
      <c r="N705" s="3">
        <v>173.5</v>
      </c>
      <c r="O705" s="3"/>
      <c r="P705" s="3"/>
      <c r="Q705" s="3">
        <v>1.05</v>
      </c>
      <c r="R705" s="3">
        <v>0.2</v>
      </c>
      <c r="S705" s="3">
        <v>2.1</v>
      </c>
      <c r="T705" s="3">
        <v>10.8</v>
      </c>
      <c r="U705" s="3">
        <v>67.400000000000006</v>
      </c>
      <c r="V705" s="3">
        <v>970.2</v>
      </c>
      <c r="W705" s="3">
        <v>0</v>
      </c>
      <c r="X705" s="3">
        <v>45.5</v>
      </c>
      <c r="Y705" s="3">
        <v>45.1</v>
      </c>
      <c r="Z705" s="3">
        <v>43.2</v>
      </c>
      <c r="AA705" s="3">
        <v>40.6</v>
      </c>
      <c r="AB705" s="3">
        <v>36.799999999999997</v>
      </c>
      <c r="AC705" s="3">
        <v>34</v>
      </c>
      <c r="AD705" s="3">
        <v>37</v>
      </c>
      <c r="AE705" s="3">
        <v>38.700000000000003</v>
      </c>
      <c r="AF705" s="3">
        <v>46.3</v>
      </c>
      <c r="AG705" s="3">
        <v>40.5</v>
      </c>
      <c r="AH705" s="3">
        <v>36.9</v>
      </c>
      <c r="AI705" s="3">
        <v>37.6</v>
      </c>
      <c r="AJ705" s="3">
        <v>36.1</v>
      </c>
      <c r="AK705" s="3">
        <v>34.799999999999997</v>
      </c>
      <c r="AL705" s="3">
        <v>32.9</v>
      </c>
      <c r="AM705" s="3">
        <v>33</v>
      </c>
      <c r="AN705" s="3">
        <v>31</v>
      </c>
      <c r="AO705" s="3">
        <v>28.2</v>
      </c>
      <c r="AP705" s="3">
        <v>27.1</v>
      </c>
      <c r="AQ705" s="3">
        <v>25.8</v>
      </c>
      <c r="AR705" s="3">
        <v>25</v>
      </c>
      <c r="AS705" s="3">
        <v>24.7</v>
      </c>
      <c r="AT705" s="3">
        <v>25.8</v>
      </c>
      <c r="AU705" s="3">
        <v>22.9</v>
      </c>
      <c r="AV705" s="3">
        <v>21.9</v>
      </c>
      <c r="AW705" s="3">
        <v>20.2</v>
      </c>
      <c r="AX705" s="3">
        <v>16.100000000000001</v>
      </c>
      <c r="AY705" s="3">
        <v>13.7</v>
      </c>
      <c r="AZ705" s="3">
        <v>0</v>
      </c>
      <c r="BA705" s="3">
        <v>0</v>
      </c>
      <c r="BB705" s="3">
        <v>0</v>
      </c>
      <c r="BC705" s="3">
        <v>40.650744479107949</v>
      </c>
      <c r="BD705" s="3">
        <v>45.549255520892054</v>
      </c>
      <c r="BE705" s="3">
        <v>45.149255520892062</v>
      </c>
      <c r="BF705" s="3">
        <v>42.009255520892047</v>
      </c>
      <c r="BG705" s="3">
        <v>39.735922187558721</v>
      </c>
      <c r="BH705" s="3">
        <v>36.07592218755871</v>
      </c>
      <c r="BI705" s="3">
        <v>33.689255520892054</v>
      </c>
      <c r="BJ705" s="3">
        <v>37.482588854225376</v>
      </c>
      <c r="BK705" s="3">
        <v>39.055922187558728</v>
      </c>
      <c r="BL705" s="3">
        <v>46.229255520892046</v>
      </c>
      <c r="BM705" s="3">
        <v>40.562588854225389</v>
      </c>
      <c r="BN705" s="3">
        <v>37.245922187558726</v>
      </c>
      <c r="BO705" s="3">
        <v>37.312588854225389</v>
      </c>
      <c r="BP705" s="3">
        <v>35.529255520892058</v>
      </c>
      <c r="BQ705" s="3">
        <v>34.645922187558703</v>
      </c>
      <c r="BR705" s="3">
        <v>33.07258885422538</v>
      </c>
      <c r="BS705" s="3">
        <v>32.975922187558716</v>
      </c>
      <c r="BT705" s="3">
        <v>31.172588854225388</v>
      </c>
      <c r="BU705" s="3">
        <v>28.33925552089206</v>
      </c>
      <c r="BV705" s="3">
        <v>26.95592218755872</v>
      </c>
      <c r="BW705" s="3">
        <v>26.189255520892054</v>
      </c>
      <c r="BX705" s="3">
        <v>25.309255520892059</v>
      </c>
      <c r="BY705" s="3">
        <v>24.829255520892055</v>
      </c>
      <c r="BZ705" s="3">
        <v>26.059255520892059</v>
      </c>
      <c r="CA705" s="3">
        <v>23.259255520892047</v>
      </c>
      <c r="CB705" s="3">
        <v>21.695922187558715</v>
      </c>
      <c r="CC705" s="3">
        <v>20.20925552089205</v>
      </c>
      <c r="CD705" s="3">
        <v>15.415922187558728</v>
      </c>
      <c r="CE705" s="3">
        <v>13.20925552089205</v>
      </c>
      <c r="CF705" s="3">
        <v>-0.87741114577461587</v>
      </c>
      <c r="CG705" s="3">
        <v>-1.4107444791079473</v>
      </c>
      <c r="CH705" s="3">
        <v>-2.4874111457746153</v>
      </c>
      <c r="CI705" s="13">
        <f>[1]!dbasum(RecData[[#This Row],[20]:[2000]],RecData[[#Headers],[20]:[2000]])</f>
        <v>40.062707067026615</v>
      </c>
      <c r="CJ705" s="14">
        <v>9221</v>
      </c>
      <c r="CK705" s="15" t="s">
        <v>249</v>
      </c>
      <c r="CL705" s="15">
        <f>RecData[[#This Row],[Start Time]]</f>
        <v>43272.136111111111</v>
      </c>
      <c r="CM705" s="16">
        <f>RecData[[#This Row],[Wind Speed avg]]</f>
        <v>1.05</v>
      </c>
      <c r="CN705" s="16">
        <f>RecData[[#This Row],[Wind Dir. avg]]</f>
        <v>173.5</v>
      </c>
      <c r="CO705" s="16">
        <f>RecData[[#This Row],[Amb. Humidity]]</f>
        <v>67.400000000000006</v>
      </c>
      <c r="CP705" s="16">
        <f>RecData[[#This Row],[Amb. Temperature]]</f>
        <v>10.8</v>
      </c>
      <c r="CQ705" s="17">
        <f>RecData[[#This Row],[Amb. Rain Gauge]]</f>
        <v>0</v>
      </c>
      <c r="CR705" s="4" t="s">
        <v>1</v>
      </c>
      <c r="CS705" s="4" t="s">
        <v>49</v>
      </c>
      <c r="CT705" s="70">
        <v>1542.982421875</v>
      </c>
      <c r="CU705" s="70">
        <v>52.000442504882798</v>
      </c>
      <c r="CV705" s="70">
        <v>8.7978668212890607</v>
      </c>
      <c r="CW705" s="70">
        <v>15.1691741943359</v>
      </c>
      <c r="CX705" s="109"/>
      <c r="CY705" s="110"/>
      <c r="CZ705" s="2" t="b">
        <f>IF($DP$1="YES",IF(RecData[[#This Row],[Power (kW)]]&gt;=$CR$3, TRUE,FALSE),TRUE)</f>
        <v>1</v>
      </c>
      <c r="DA705" s="16">
        <f>MIN(MOD(180-ABS(ABS($DA$1-RecData[Yaw Angle (°)])-180),360),MOD(180-ABS(ABS($DB$1-RecData[Yaw Angle (°)])-180),360))</f>
        <v>44.470515727195249</v>
      </c>
      <c r="DB705" s="2" t="str">
        <f>IF($DP$2="None","None",IF(RecData[[#This Row],[Relative Wind Direction]]&lt;=45,"DW",IF(RecData[[#This Row],[Relative Wind Direction]]&lt;=135,"CW","UW")))</f>
        <v>DW</v>
      </c>
      <c r="DC705" s="61" t="e">
        <f>IF($CL705-#REF!&gt;1/24,#REF!,IF(SUM($CQ704:$CQ705)&gt;$DS$1,$DS$5,DC706-1))</f>
        <v>#REF!</v>
      </c>
      <c r="DD705" s="61" t="e">
        <f>IF($CL706-$CL705&gt;1/24,#REF!,IF(SUM($CQ704:$CQ705)&gt;$DS$1,$DS$6,DD704-1))</f>
        <v>#REF!</v>
      </c>
      <c r="DE705" s="18" t="b">
        <v>0</v>
      </c>
      <c r="DF705" s="2" t="b">
        <f>IF(OR(RecData[[#This Row],[WSpd_Avg '[m/s']]]-RecData[[#This Row],[Wind Speed min]]&gt;=$DF$3,RecData[[#This Row],[Wind Speed max]]-RecData[[#This Row],[WSpd_Avg '[m/s']]]&gt;=$DF$2),TRUE,FALSE)</f>
        <v>0</v>
      </c>
      <c r="DG705" s="2" t="b">
        <f>RecData[[#This Row],[Temperature '[°C']]]&lt;=-20</f>
        <v>0</v>
      </c>
      <c r="DH705" s="18" t="b">
        <f>NOT(OR(MOD(RecData[[#This Row],[TIMESTAMP]],1)&gt;0.91632,MOD(RecData[[#This Row],[TIMESTAMP]],1)&lt;0.208681))</f>
        <v>0</v>
      </c>
      <c r="DI705" s="18" t="b">
        <f>RecData[[#This Row],[Overall (dBA)]]-RecData[[#This Row],[L90]]&gt;=$DS$4</f>
        <v>0</v>
      </c>
      <c r="DJ705" s="18" t="b">
        <f>RecData[[#This Row],[Overall (dBA)]]&gt;$DS$2</f>
        <v>0</v>
      </c>
      <c r="DK705" s="18" t="b">
        <f>RecData[[#This Row],[Overall (dBA)]]&lt;$DS$3</f>
        <v>0</v>
      </c>
      <c r="DL7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5" s="2">
        <f>IF(AND(RecData[[#This Row],[Turbines ON/OFF]] = "OFF", NOT(OR(RecData[[#This Row],[Junk?]]="YES",RecData[[#This Row],[Gust?]],RecData[[#This Row],[Rain?]:[Min SPL Threshold?]]))),1,0)</f>
        <v>0</v>
      </c>
      <c r="DN705" s="16">
        <f>RecData[[#This Row],[dBA Sum]]</f>
        <v>40.062707067026615</v>
      </c>
      <c r="DO705" s="16">
        <f>RecData[[#This Row],[LAF90.0]]</f>
        <v>39.1</v>
      </c>
      <c r="DP705" s="55">
        <f>IF(AND(RecData[[#This Row],[Useable TON Data?]],RecData[[#This Row],[Turbines ON/OFF]]="ON"),RecData[[#This Row],[dBA Sum]],"")</f>
        <v>40.062707067026615</v>
      </c>
      <c r="DQ705" s="55" t="str">
        <f>IF(AND(RecData[[#This Row],[Useable Background Data?]],RecData[[#This Row],[Turbines ON/OFF]]="OFF"),RecData[[#This Row],[dBA Sum]],"")</f>
        <v/>
      </c>
      <c r="DR705" s="3">
        <f>IF(OR(RecData[[#This Row],[Useable TON Data?]],RecData[[#This Row],[Useable Background Data?]]),ROUND(RecData[[#This Row],[WSpd_Avg '[m/s']]],0),"")</f>
        <v>1</v>
      </c>
      <c r="DS705" s="85">
        <f>(0.00002)^2*(10^(RecData[[#This Row],[Overall (dBA)]]/10))</f>
        <v>4.0581743171318909E-6</v>
      </c>
    </row>
    <row r="706" spans="1:123" ht="15" x14ac:dyDescent="0.25">
      <c r="A706" s="3" t="s">
        <v>249</v>
      </c>
      <c r="B706" s="12">
        <v>43272.136805555558</v>
      </c>
      <c r="C706" s="3"/>
      <c r="D706" s="3">
        <v>40.9</v>
      </c>
      <c r="E706" s="3"/>
      <c r="F706" s="3"/>
      <c r="G706" s="3"/>
      <c r="H706" s="3"/>
      <c r="I706" s="3"/>
      <c r="J706" s="3"/>
      <c r="K706" s="3">
        <v>39.4</v>
      </c>
      <c r="L706" s="3"/>
      <c r="M706" s="3"/>
      <c r="N706" s="3">
        <v>173</v>
      </c>
      <c r="O706" s="3"/>
      <c r="P706" s="3"/>
      <c r="Q706" s="3">
        <v>1.17</v>
      </c>
      <c r="R706" s="3">
        <v>0.3</v>
      </c>
      <c r="S706" s="3">
        <v>2.4</v>
      </c>
      <c r="T706" s="3">
        <v>10.8</v>
      </c>
      <c r="U706" s="3">
        <v>67.8</v>
      </c>
      <c r="V706" s="3">
        <v>970.2</v>
      </c>
      <c r="W706" s="3">
        <v>0</v>
      </c>
      <c r="X706" s="3">
        <v>46.5</v>
      </c>
      <c r="Y706" s="3">
        <v>45.2</v>
      </c>
      <c r="Z706" s="3">
        <v>44</v>
      </c>
      <c r="AA706" s="3">
        <v>40.299999999999997</v>
      </c>
      <c r="AB706" s="3">
        <v>36.799999999999997</v>
      </c>
      <c r="AC706" s="3">
        <v>34.299999999999997</v>
      </c>
      <c r="AD706" s="3">
        <v>37.799999999999997</v>
      </c>
      <c r="AE706" s="3">
        <v>39.5</v>
      </c>
      <c r="AF706" s="3">
        <v>46.6</v>
      </c>
      <c r="AG706" s="3">
        <v>40.700000000000003</v>
      </c>
      <c r="AH706" s="3">
        <v>37.700000000000003</v>
      </c>
      <c r="AI706" s="3">
        <v>38.200000000000003</v>
      </c>
      <c r="AJ706" s="3">
        <v>36.799999999999997</v>
      </c>
      <c r="AK706" s="3">
        <v>35.5</v>
      </c>
      <c r="AL706" s="3">
        <v>33.6</v>
      </c>
      <c r="AM706" s="3">
        <v>33.9</v>
      </c>
      <c r="AN706" s="3">
        <v>31.6</v>
      </c>
      <c r="AO706" s="3">
        <v>28.1</v>
      </c>
      <c r="AP706" s="3">
        <v>26.6</v>
      </c>
      <c r="AQ706" s="3">
        <v>25.4</v>
      </c>
      <c r="AR706" s="3">
        <v>24.3</v>
      </c>
      <c r="AS706" s="3">
        <v>23.7</v>
      </c>
      <c r="AT706" s="3">
        <v>23.3</v>
      </c>
      <c r="AU706" s="3">
        <v>21.2</v>
      </c>
      <c r="AV706" s="3">
        <v>19.5</v>
      </c>
      <c r="AW706" s="3">
        <v>17.899999999999999</v>
      </c>
      <c r="AX706" s="3">
        <v>13.8</v>
      </c>
      <c r="AY706" s="3">
        <v>12.2</v>
      </c>
      <c r="AZ706" s="3">
        <v>0</v>
      </c>
      <c r="BA706" s="3">
        <v>0</v>
      </c>
      <c r="BB706" s="3">
        <v>0</v>
      </c>
      <c r="BC706" s="3">
        <v>40.857727033815124</v>
      </c>
      <c r="BD706" s="3">
        <v>46.542272966184882</v>
      </c>
      <c r="BE706" s="3">
        <v>45.242272966184871</v>
      </c>
      <c r="BF706" s="3">
        <v>42.802272966184873</v>
      </c>
      <c r="BG706" s="3">
        <v>39.428939632851538</v>
      </c>
      <c r="BH706" s="3">
        <v>36.068939632851539</v>
      </c>
      <c r="BI706" s="3">
        <v>33.98227296618488</v>
      </c>
      <c r="BJ706" s="3">
        <v>38.275606299518202</v>
      </c>
      <c r="BK706" s="3">
        <v>39.84893963285154</v>
      </c>
      <c r="BL706" s="3">
        <v>46.522272966184872</v>
      </c>
      <c r="BM706" s="3">
        <v>40.75560629951822</v>
      </c>
      <c r="BN706" s="3">
        <v>38.038939632851552</v>
      </c>
      <c r="BO706" s="3">
        <v>37.905606299518212</v>
      </c>
      <c r="BP706" s="3">
        <v>36.222272966184875</v>
      </c>
      <c r="BQ706" s="3">
        <v>35.338939632851535</v>
      </c>
      <c r="BR706" s="3">
        <v>33.765606299518211</v>
      </c>
      <c r="BS706" s="3">
        <v>33.868939632851536</v>
      </c>
      <c r="BT706" s="3">
        <v>31.765606299518211</v>
      </c>
      <c r="BU706" s="3">
        <v>28.23227296618488</v>
      </c>
      <c r="BV706" s="3">
        <v>26.448939632851548</v>
      </c>
      <c r="BW706" s="3">
        <v>25.782272966184877</v>
      </c>
      <c r="BX706" s="3">
        <v>24.602272966184884</v>
      </c>
      <c r="BY706" s="3">
        <v>23.822272966184869</v>
      </c>
      <c r="BZ706" s="3">
        <v>23.552272966184873</v>
      </c>
      <c r="CA706" s="3">
        <v>21.552272966184866</v>
      </c>
      <c r="CB706" s="3">
        <v>19.288939632851537</v>
      </c>
      <c r="CC706" s="3">
        <v>17.902272966184867</v>
      </c>
      <c r="CD706" s="3">
        <v>13.108939632851545</v>
      </c>
      <c r="CE706" s="3">
        <v>11.702272966184871</v>
      </c>
      <c r="CF706" s="3">
        <v>-0.88439370048179455</v>
      </c>
      <c r="CG706" s="3">
        <v>-1.417727033815126</v>
      </c>
      <c r="CH706" s="3">
        <v>-2.494393700481794</v>
      </c>
      <c r="CI706" s="13">
        <f>[1]!dbasum(RecData[[#This Row],[20]:[2000]],RecData[[#Headers],[20]:[2000]])</f>
        <v>40.487076472286681</v>
      </c>
      <c r="CJ706" s="14">
        <v>9222</v>
      </c>
      <c r="CK706" s="15" t="s">
        <v>249</v>
      </c>
      <c r="CL706" s="15">
        <f>RecData[[#This Row],[Start Time]]</f>
        <v>43272.136805555558</v>
      </c>
      <c r="CM706" s="16">
        <f>RecData[[#This Row],[Wind Speed avg]]</f>
        <v>1.17</v>
      </c>
      <c r="CN706" s="16">
        <f>RecData[[#This Row],[Wind Dir. avg]]</f>
        <v>173</v>
      </c>
      <c r="CO706" s="16">
        <f>RecData[[#This Row],[Amb. Humidity]]</f>
        <v>67.8</v>
      </c>
      <c r="CP706" s="16">
        <f>RecData[[#This Row],[Amb. Temperature]]</f>
        <v>10.8</v>
      </c>
      <c r="CQ706" s="17">
        <f>RecData[[#This Row],[Amb. Rain Gauge]]</f>
        <v>0</v>
      </c>
      <c r="CR706" s="4" t="s">
        <v>1</v>
      </c>
      <c r="CS706" s="4" t="s">
        <v>49</v>
      </c>
      <c r="CT706" s="70">
        <v>1542.982421875</v>
      </c>
      <c r="CU706" s="70">
        <v>52.000442504882798</v>
      </c>
      <c r="CV706" s="70">
        <v>8.7978668212890607</v>
      </c>
      <c r="CW706" s="70">
        <v>15.1691741943359</v>
      </c>
      <c r="CX706" s="109"/>
      <c r="CY706" s="110"/>
      <c r="CZ706" s="2" t="b">
        <f>IF($DP$1="YES",IF(RecData[[#This Row],[Power (kW)]]&gt;=$CR$3, TRUE,FALSE),TRUE)</f>
        <v>1</v>
      </c>
      <c r="DA706" s="16">
        <f>MIN(MOD(180-ABS(ABS($DA$1-RecData[Yaw Angle (°)])-180),360),MOD(180-ABS(ABS($DB$1-RecData[Yaw Angle (°)])-180),360))</f>
        <v>44.470515727195249</v>
      </c>
      <c r="DB706" s="2" t="str">
        <f>IF($DP$2="None","None",IF(RecData[[#This Row],[Relative Wind Direction]]&lt;=45,"DW",IF(RecData[[#This Row],[Relative Wind Direction]]&lt;=135,"CW","UW")))</f>
        <v>DW</v>
      </c>
      <c r="DC706" s="61" t="e">
        <f>IF($CL706-#REF!&gt;1/24,#REF!,IF(SUM($CQ704:$CQ706)&gt;$DS$1,$DS$5,#REF!-1))</f>
        <v>#REF!</v>
      </c>
      <c r="DD706" s="61" t="e">
        <f>IF(#REF!-$CL706&gt;1/24,#REF!,IF(SUM($CQ704:$CQ706)&gt;$DS$1,$DS$6,DD705-1))</f>
        <v>#REF!</v>
      </c>
      <c r="DE706" s="18" t="b">
        <v>0</v>
      </c>
      <c r="DF706" s="2" t="b">
        <f>IF(OR(RecData[[#This Row],[WSpd_Avg '[m/s']]]-RecData[[#This Row],[Wind Speed min]]&gt;=$DF$3,RecData[[#This Row],[Wind Speed max]]-RecData[[#This Row],[WSpd_Avg '[m/s']]]&gt;=$DF$2),TRUE,FALSE)</f>
        <v>0</v>
      </c>
      <c r="DG706" s="2" t="b">
        <f>RecData[[#This Row],[Temperature '[°C']]]&lt;=-20</f>
        <v>0</v>
      </c>
      <c r="DH706" s="18" t="b">
        <f>NOT(OR(MOD(RecData[[#This Row],[TIMESTAMP]],1)&gt;0.91632,MOD(RecData[[#This Row],[TIMESTAMP]],1)&lt;0.208681))</f>
        <v>0</v>
      </c>
      <c r="DI706" s="18" t="b">
        <f>RecData[[#This Row],[Overall (dBA)]]-RecData[[#This Row],[L90]]&gt;=$DS$4</f>
        <v>0</v>
      </c>
      <c r="DJ706" s="18" t="b">
        <f>RecData[[#This Row],[Overall (dBA)]]&gt;$DS$2</f>
        <v>0</v>
      </c>
      <c r="DK706" s="18" t="b">
        <f>RecData[[#This Row],[Overall (dBA)]]&lt;$DS$3</f>
        <v>0</v>
      </c>
      <c r="DL7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6" s="2">
        <f>IF(AND(RecData[[#This Row],[Turbines ON/OFF]] = "OFF", NOT(OR(RecData[[#This Row],[Junk?]]="YES",RecData[[#This Row],[Gust?]],RecData[[#This Row],[Rain?]:[Min SPL Threshold?]]))),1,0)</f>
        <v>0</v>
      </c>
      <c r="DN706" s="16">
        <f>RecData[[#This Row],[dBA Sum]]</f>
        <v>40.487076472286681</v>
      </c>
      <c r="DO706" s="16">
        <f>RecData[[#This Row],[LAF90.0]]</f>
        <v>39.4</v>
      </c>
      <c r="DP706" s="55">
        <f>IF(AND(RecData[[#This Row],[Useable TON Data?]],RecData[[#This Row],[Turbines ON/OFF]]="ON"),RecData[[#This Row],[dBA Sum]],"")</f>
        <v>40.487076472286681</v>
      </c>
      <c r="DQ706" s="55" t="str">
        <f>IF(AND(RecData[[#This Row],[Useable Background Data?]],RecData[[#This Row],[Turbines ON/OFF]]="OFF"),RecData[[#This Row],[dBA Sum]],"")</f>
        <v/>
      </c>
      <c r="DR706" s="3">
        <f>IF(OR(RecData[[#This Row],[Useable TON Data?]],RecData[[#This Row],[Useable Background Data?]]),ROUND(RecData[[#This Row],[WSpd_Avg '[m/s']]],0),"")</f>
        <v>1</v>
      </c>
      <c r="DS706" s="85">
        <f>(0.00002)^2*(10^(RecData[[#This Row],[Overall (dBA)]]/10))</f>
        <v>4.4747382730334018E-6</v>
      </c>
    </row>
    <row r="707" spans="1:123" ht="15" x14ac:dyDescent="0.25">
      <c r="A707" s="3" t="s">
        <v>249</v>
      </c>
      <c r="B707" s="12">
        <v>43272.138194444444</v>
      </c>
      <c r="C707" s="3"/>
      <c r="D707" s="3">
        <v>41.4</v>
      </c>
      <c r="E707" s="3"/>
      <c r="F707" s="3"/>
      <c r="G707" s="3"/>
      <c r="H707" s="3"/>
      <c r="I707" s="3"/>
      <c r="J707" s="3"/>
      <c r="K707" s="3">
        <v>39.700000000000003</v>
      </c>
      <c r="L707" s="3"/>
      <c r="M707" s="3"/>
      <c r="N707" s="3">
        <v>157.19999999999999</v>
      </c>
      <c r="O707" s="3"/>
      <c r="P707" s="3"/>
      <c r="Q707" s="3">
        <v>1.58</v>
      </c>
      <c r="R707" s="3">
        <v>0.7</v>
      </c>
      <c r="S707" s="3">
        <v>2.7</v>
      </c>
      <c r="T707" s="3">
        <v>10.7</v>
      </c>
      <c r="U707" s="3">
        <v>67.8</v>
      </c>
      <c r="V707" s="3">
        <v>970.2</v>
      </c>
      <c r="W707" s="3">
        <v>0</v>
      </c>
      <c r="X707" s="3">
        <v>45.8</v>
      </c>
      <c r="Y707" s="3">
        <v>45.9</v>
      </c>
      <c r="Z707" s="3">
        <v>44.3</v>
      </c>
      <c r="AA707" s="3">
        <v>40.9</v>
      </c>
      <c r="AB707" s="3">
        <v>36.5</v>
      </c>
      <c r="AC707" s="3">
        <v>34.9</v>
      </c>
      <c r="AD707" s="3">
        <v>38.200000000000003</v>
      </c>
      <c r="AE707" s="3">
        <v>39.299999999999997</v>
      </c>
      <c r="AF707" s="3">
        <v>46</v>
      </c>
      <c r="AG707" s="3">
        <v>39.9</v>
      </c>
      <c r="AH707" s="3">
        <v>37</v>
      </c>
      <c r="AI707" s="3">
        <v>37.5</v>
      </c>
      <c r="AJ707" s="3">
        <v>36.4</v>
      </c>
      <c r="AK707" s="3">
        <v>34.9</v>
      </c>
      <c r="AL707" s="3">
        <v>33.299999999999997</v>
      </c>
      <c r="AM707" s="3">
        <v>33.5</v>
      </c>
      <c r="AN707" s="3">
        <v>31.9</v>
      </c>
      <c r="AO707" s="3">
        <v>29</v>
      </c>
      <c r="AP707" s="3">
        <v>27.7</v>
      </c>
      <c r="AQ707" s="3">
        <v>26.9</v>
      </c>
      <c r="AR707" s="3">
        <v>26.6</v>
      </c>
      <c r="AS707" s="3">
        <v>26.7</v>
      </c>
      <c r="AT707" s="3">
        <v>28.9</v>
      </c>
      <c r="AU707" s="3">
        <v>25</v>
      </c>
      <c r="AV707" s="3">
        <v>23.5</v>
      </c>
      <c r="AW707" s="3">
        <v>21.9</v>
      </c>
      <c r="AX707" s="3">
        <v>17.2</v>
      </c>
      <c r="AY707" s="3">
        <v>15.5</v>
      </c>
      <c r="AZ707" s="3">
        <v>0</v>
      </c>
      <c r="BA707" s="3">
        <v>0</v>
      </c>
      <c r="BB707" s="3">
        <v>0</v>
      </c>
      <c r="BC707" s="3">
        <v>41.354434637033812</v>
      </c>
      <c r="BD707" s="3">
        <v>45.845565362966177</v>
      </c>
      <c r="BE707" s="3">
        <v>45.945565362966185</v>
      </c>
      <c r="BF707" s="3">
        <v>43.105565362966182</v>
      </c>
      <c r="BG707" s="3">
        <v>40.032232029632844</v>
      </c>
      <c r="BH707" s="3">
        <v>35.772232029632853</v>
      </c>
      <c r="BI707" s="3">
        <v>34.585565362966186</v>
      </c>
      <c r="BJ707" s="3">
        <v>38.67889869629952</v>
      </c>
      <c r="BK707" s="3">
        <v>39.652232029632849</v>
      </c>
      <c r="BL707" s="3">
        <v>45.925565362966189</v>
      </c>
      <c r="BM707" s="3">
        <v>39.958898696299521</v>
      </c>
      <c r="BN707" s="3">
        <v>37.342232029632846</v>
      </c>
      <c r="BO707" s="3">
        <v>37.208898696299521</v>
      </c>
      <c r="BP707" s="3">
        <v>35.825565362966195</v>
      </c>
      <c r="BQ707" s="3">
        <v>34.742232029632852</v>
      </c>
      <c r="BR707" s="3">
        <v>33.468898696299512</v>
      </c>
      <c r="BS707" s="3">
        <v>33.472232029632856</v>
      </c>
      <c r="BT707" s="3">
        <v>32.06889869629952</v>
      </c>
      <c r="BU707" s="3">
        <v>29.135565362966197</v>
      </c>
      <c r="BV707" s="3">
        <v>27.552232029632854</v>
      </c>
      <c r="BW707" s="3">
        <v>27.285565362966189</v>
      </c>
      <c r="BX707" s="3">
        <v>26.905565362966193</v>
      </c>
      <c r="BY707" s="3">
        <v>26.825565362966181</v>
      </c>
      <c r="BZ707" s="3">
        <v>29.155565362966193</v>
      </c>
      <c r="CA707" s="3">
        <v>25.355565362966182</v>
      </c>
      <c r="CB707" s="3">
        <v>23.292232029632849</v>
      </c>
      <c r="CC707" s="3">
        <v>21.905565362966179</v>
      </c>
      <c r="CD707" s="3">
        <v>16.512232029632855</v>
      </c>
      <c r="CE707" s="3">
        <v>15.005565362966188</v>
      </c>
      <c r="CF707" s="3">
        <v>-0.88110130370048267</v>
      </c>
      <c r="CG707" s="3">
        <v>-1.4144346370338141</v>
      </c>
      <c r="CH707" s="3">
        <v>-2.4911013037004821</v>
      </c>
      <c r="CI707" s="13">
        <f>[1]!dbasum(RecData[[#This Row],[20]:[2000]],RecData[[#Headers],[20]:[2000]])</f>
        <v>40.479832211055154</v>
      </c>
      <c r="CJ707" s="14">
        <v>9224</v>
      </c>
      <c r="CK707" s="15" t="s">
        <v>249</v>
      </c>
      <c r="CL707" s="15">
        <f>RecData[[#This Row],[Start Time]]</f>
        <v>43272.138194444444</v>
      </c>
      <c r="CM707" s="16">
        <f>RecData[[#This Row],[Wind Speed avg]]</f>
        <v>1.58</v>
      </c>
      <c r="CN707" s="16">
        <f>RecData[[#This Row],[Wind Dir. avg]]</f>
        <v>157.19999999999999</v>
      </c>
      <c r="CO707" s="16">
        <f>RecData[[#This Row],[Amb. Humidity]]</f>
        <v>67.8</v>
      </c>
      <c r="CP707" s="16">
        <f>RecData[[#This Row],[Amb. Temperature]]</f>
        <v>10.7</v>
      </c>
      <c r="CQ707" s="17">
        <f>RecData[[#This Row],[Amb. Rain Gauge]]</f>
        <v>0</v>
      </c>
      <c r="CR707" s="4" t="s">
        <v>1</v>
      </c>
      <c r="CS707" s="4" t="s">
        <v>49</v>
      </c>
      <c r="CT707" s="70">
        <v>1542.982421875</v>
      </c>
      <c r="CU707" s="70">
        <v>52.000442504882798</v>
      </c>
      <c r="CV707" s="70">
        <v>8.7978668212890607</v>
      </c>
      <c r="CW707" s="70">
        <v>15.1691741943359</v>
      </c>
      <c r="CX707" s="109"/>
      <c r="CY707" s="110"/>
      <c r="CZ707" s="2" t="b">
        <f>IF($DP$1="YES",IF(RecData[[#This Row],[Power (kW)]]&gt;=$CR$3, TRUE,FALSE),TRUE)</f>
        <v>1</v>
      </c>
      <c r="DA707" s="16">
        <f>MIN(MOD(180-ABS(ABS($DA$1-RecData[Yaw Angle (°)])-180),360),MOD(180-ABS(ABS($DB$1-RecData[Yaw Angle (°)])-180),360))</f>
        <v>44.470515727195249</v>
      </c>
      <c r="DB707" s="2" t="str">
        <f>IF($DP$2="None","None",IF(RecData[[#This Row],[Relative Wind Direction]]&lt;=45,"DW",IF(RecData[[#This Row],[Relative Wind Direction]]&lt;=135,"CW","UW")))</f>
        <v>DW</v>
      </c>
      <c r="DC707" s="61">
        <f>IF($CL707-$CL704&gt;1/24,#REF!,IF(SUM($CQ704:$CQ707)&gt;$DS$1,$DS$5,DC708-1))</f>
        <v>-3</v>
      </c>
      <c r="DD707" s="61" t="e">
        <f>IF($CL708-$CL707&gt;1/24,#REF!,IF(SUM($CQ704:$CQ707)&gt;$DS$1,$DS$6,#REF!-1))</f>
        <v>#REF!</v>
      </c>
      <c r="DE707" s="18" t="b">
        <v>0</v>
      </c>
      <c r="DF707" s="2" t="b">
        <f>IF(OR(RecData[[#This Row],[WSpd_Avg '[m/s']]]-RecData[[#This Row],[Wind Speed min]]&gt;=$DF$3,RecData[[#This Row],[Wind Speed max]]-RecData[[#This Row],[WSpd_Avg '[m/s']]]&gt;=$DF$2),TRUE,FALSE)</f>
        <v>0</v>
      </c>
      <c r="DG707" s="2" t="b">
        <f>RecData[[#This Row],[Temperature '[°C']]]&lt;=-20</f>
        <v>0</v>
      </c>
      <c r="DH707" s="18" t="b">
        <f>NOT(OR(MOD(RecData[[#This Row],[TIMESTAMP]],1)&gt;0.91632,MOD(RecData[[#This Row],[TIMESTAMP]],1)&lt;0.208681))</f>
        <v>0</v>
      </c>
      <c r="DI707" s="18" t="b">
        <f>RecData[[#This Row],[Overall (dBA)]]-RecData[[#This Row],[L90]]&gt;=$DS$4</f>
        <v>0</v>
      </c>
      <c r="DJ707" s="18" t="b">
        <f>RecData[[#This Row],[Overall (dBA)]]&gt;$DS$2</f>
        <v>0</v>
      </c>
      <c r="DK707" s="18" t="b">
        <f>RecData[[#This Row],[Overall (dBA)]]&lt;$DS$3</f>
        <v>0</v>
      </c>
      <c r="DL7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7" s="2">
        <f>IF(AND(RecData[[#This Row],[Turbines ON/OFF]] = "OFF", NOT(OR(RecData[[#This Row],[Junk?]]="YES",RecData[[#This Row],[Gust?]],RecData[[#This Row],[Rain?]:[Min SPL Threshold?]]))),1,0)</f>
        <v>0</v>
      </c>
      <c r="DN707" s="16">
        <f>RecData[[#This Row],[dBA Sum]]</f>
        <v>40.479832211055154</v>
      </c>
      <c r="DO707" s="16">
        <f>RecData[[#This Row],[LAF90.0]]</f>
        <v>39.700000000000003</v>
      </c>
      <c r="DP707" s="55">
        <f>IF(AND(RecData[[#This Row],[Useable TON Data?]],RecData[[#This Row],[Turbines ON/OFF]]="ON"),RecData[[#This Row],[dBA Sum]],"")</f>
        <v>40.479832211055154</v>
      </c>
      <c r="DQ707" s="55" t="str">
        <f>IF(AND(RecData[[#This Row],[Useable Background Data?]],RecData[[#This Row],[Turbines ON/OFF]]="OFF"),RecData[[#This Row],[dBA Sum]],"")</f>
        <v/>
      </c>
      <c r="DR707" s="3">
        <f>IF(OR(RecData[[#This Row],[Useable TON Data?]],RecData[[#This Row],[Useable Background Data?]]),ROUND(RecData[[#This Row],[WSpd_Avg '[m/s']]],0),"")</f>
        <v>2</v>
      </c>
      <c r="DS707" s="85">
        <f>(0.00002)^2*(10^(RecData[[#This Row],[Overall (dBA)]]/10))</f>
        <v>4.4672803951591843E-6</v>
      </c>
    </row>
    <row r="708" spans="1:123" ht="15" x14ac:dyDescent="0.25">
      <c r="A708" s="3" t="s">
        <v>249</v>
      </c>
      <c r="B708" s="12">
        <v>43272.138888888891</v>
      </c>
      <c r="C708" s="3"/>
      <c r="D708" s="3">
        <v>40.799999999999997</v>
      </c>
      <c r="E708" s="3"/>
      <c r="F708" s="3"/>
      <c r="G708" s="3"/>
      <c r="H708" s="3"/>
      <c r="I708" s="3"/>
      <c r="J708" s="3"/>
      <c r="K708" s="3">
        <v>39.4</v>
      </c>
      <c r="L708" s="3"/>
      <c r="M708" s="3"/>
      <c r="N708" s="3">
        <v>204.3</v>
      </c>
      <c r="O708" s="3"/>
      <c r="P708" s="3"/>
      <c r="Q708" s="3">
        <v>0.33</v>
      </c>
      <c r="R708" s="3">
        <v>0.1</v>
      </c>
      <c r="S708" s="3">
        <v>0.9</v>
      </c>
      <c r="T708" s="3">
        <v>10.7</v>
      </c>
      <c r="U708" s="3">
        <v>68.3</v>
      </c>
      <c r="V708" s="3">
        <v>970.2</v>
      </c>
      <c r="W708" s="3">
        <v>0</v>
      </c>
      <c r="X708" s="3">
        <v>46.2</v>
      </c>
      <c r="Y708" s="3">
        <v>45.4</v>
      </c>
      <c r="Z708" s="3">
        <v>43.7</v>
      </c>
      <c r="AA708" s="3">
        <v>40.5</v>
      </c>
      <c r="AB708" s="3">
        <v>35.799999999999997</v>
      </c>
      <c r="AC708" s="3">
        <v>34.5</v>
      </c>
      <c r="AD708" s="3">
        <v>37.700000000000003</v>
      </c>
      <c r="AE708" s="3">
        <v>39.4</v>
      </c>
      <c r="AF708" s="3">
        <v>46.2</v>
      </c>
      <c r="AG708" s="3">
        <v>40.4</v>
      </c>
      <c r="AH708" s="3">
        <v>37.4</v>
      </c>
      <c r="AI708" s="3">
        <v>37.299999999999997</v>
      </c>
      <c r="AJ708" s="3">
        <v>36</v>
      </c>
      <c r="AK708" s="3">
        <v>34.6</v>
      </c>
      <c r="AL708" s="3">
        <v>32.799999999999997</v>
      </c>
      <c r="AM708" s="3">
        <v>33.1</v>
      </c>
      <c r="AN708" s="3">
        <v>31.7</v>
      </c>
      <c r="AO708" s="3">
        <v>28.5</v>
      </c>
      <c r="AP708" s="3">
        <v>27.1</v>
      </c>
      <c r="AQ708" s="3">
        <v>26.1</v>
      </c>
      <c r="AR708" s="3">
        <v>25.6</v>
      </c>
      <c r="AS708" s="3">
        <v>25.3</v>
      </c>
      <c r="AT708" s="3">
        <v>26</v>
      </c>
      <c r="AU708" s="3">
        <v>22.6</v>
      </c>
      <c r="AV708" s="3">
        <v>21.6</v>
      </c>
      <c r="AW708" s="3">
        <v>18.899999999999999</v>
      </c>
      <c r="AX708" s="3">
        <v>14.6</v>
      </c>
      <c r="AY708" s="3">
        <v>11.8</v>
      </c>
      <c r="AZ708" s="3">
        <v>0</v>
      </c>
      <c r="BA708" s="3">
        <v>0</v>
      </c>
      <c r="BB708" s="3">
        <v>0</v>
      </c>
      <c r="BC708" s="3">
        <v>40.749246581420017</v>
      </c>
      <c r="BD708" s="3">
        <v>46.250753418579983</v>
      </c>
      <c r="BE708" s="3">
        <v>45.450753418579971</v>
      </c>
      <c r="BF708" s="3">
        <v>42.510753418579974</v>
      </c>
      <c r="BG708" s="3">
        <v>39.637420085246639</v>
      </c>
      <c r="BH708" s="3">
        <v>35.077420085246636</v>
      </c>
      <c r="BI708" s="3">
        <v>34.19075341857998</v>
      </c>
      <c r="BJ708" s="3">
        <v>38.18408675191332</v>
      </c>
      <c r="BK708" s="3">
        <v>39.757420085246643</v>
      </c>
      <c r="BL708" s="3">
        <v>46.130753418579978</v>
      </c>
      <c r="BM708" s="3">
        <v>40.464086751913321</v>
      </c>
      <c r="BN708" s="3">
        <v>37.747420085246652</v>
      </c>
      <c r="BO708" s="3">
        <v>37.014086751913304</v>
      </c>
      <c r="BP708" s="3">
        <v>35.430753418579989</v>
      </c>
      <c r="BQ708" s="3">
        <v>34.447420085246641</v>
      </c>
      <c r="BR708" s="3">
        <v>32.974086751913312</v>
      </c>
      <c r="BS708" s="3">
        <v>33.077420085246651</v>
      </c>
      <c r="BT708" s="3">
        <v>31.874086751913318</v>
      </c>
      <c r="BU708" s="3">
        <v>28.640753418579983</v>
      </c>
      <c r="BV708" s="3">
        <v>26.957420085246646</v>
      </c>
      <c r="BW708" s="3">
        <v>26.490753418579992</v>
      </c>
      <c r="BX708" s="3">
        <v>25.910753418579979</v>
      </c>
      <c r="BY708" s="3">
        <v>25.430753418579975</v>
      </c>
      <c r="BZ708" s="3">
        <v>26.260753418579988</v>
      </c>
      <c r="CA708" s="3">
        <v>22.960753418579976</v>
      </c>
      <c r="CB708" s="3">
        <v>21.397420085246644</v>
      </c>
      <c r="CC708" s="3">
        <v>18.910753418579979</v>
      </c>
      <c r="CD708" s="3">
        <v>13.917420085246654</v>
      </c>
      <c r="CE708" s="3">
        <v>11.310753418579978</v>
      </c>
      <c r="CF708" s="3">
        <v>-0.87591324808668958</v>
      </c>
      <c r="CG708" s="3">
        <v>-1.409246581420021</v>
      </c>
      <c r="CH708" s="3">
        <v>-2.485913248086689</v>
      </c>
      <c r="CI708" s="13">
        <f>[1]!dbasum(RecData[[#This Row],[20]:[2000]],RecData[[#Headers],[20]:[2000]])</f>
        <v>40.18320162706398</v>
      </c>
      <c r="CJ708" s="14">
        <v>9225</v>
      </c>
      <c r="CK708" s="15" t="s">
        <v>249</v>
      </c>
      <c r="CL708" s="15">
        <f>RecData[[#This Row],[Start Time]]</f>
        <v>43272.138888888891</v>
      </c>
      <c r="CM708" s="16">
        <f>RecData[[#This Row],[Wind Speed avg]]</f>
        <v>0.33</v>
      </c>
      <c r="CN708" s="16">
        <f>RecData[[#This Row],[Wind Dir. avg]]</f>
        <v>204.3</v>
      </c>
      <c r="CO708" s="16">
        <f>RecData[[#This Row],[Amb. Humidity]]</f>
        <v>68.3</v>
      </c>
      <c r="CP708" s="16">
        <f>RecData[[#This Row],[Amb. Temperature]]</f>
        <v>10.7</v>
      </c>
      <c r="CQ708" s="17">
        <f>RecData[[#This Row],[Amb. Rain Gauge]]</f>
        <v>0</v>
      </c>
      <c r="CR708" s="4" t="s">
        <v>1</v>
      </c>
      <c r="CS708" s="4" t="s">
        <v>49</v>
      </c>
      <c r="CT708" s="70">
        <v>1542.982421875</v>
      </c>
      <c r="CU708" s="70">
        <v>52.000442504882798</v>
      </c>
      <c r="CV708" s="70">
        <v>8.7978668212890607</v>
      </c>
      <c r="CW708" s="70">
        <v>15.1691741943359</v>
      </c>
      <c r="CX708" s="109"/>
      <c r="CY708" s="110"/>
      <c r="CZ708" s="2" t="b">
        <f>IF($DP$1="YES",IF(RecData[[#This Row],[Power (kW)]]&gt;=$CR$3, TRUE,FALSE),TRUE)</f>
        <v>1</v>
      </c>
      <c r="DA708" s="16">
        <f>MIN(MOD(180-ABS(ABS($DA$1-RecData[Yaw Angle (°)])-180),360),MOD(180-ABS(ABS($DB$1-RecData[Yaw Angle (°)])-180),360))</f>
        <v>44.470515727195249</v>
      </c>
      <c r="DB708" s="2" t="str">
        <f>IF($DP$2="None","None",IF(RecData[[#This Row],[Relative Wind Direction]]&lt;=45,"DW",IF(RecData[[#This Row],[Relative Wind Direction]]&lt;=135,"CW","UW")))</f>
        <v>DW</v>
      </c>
      <c r="DC708" s="61">
        <f>IF($CL708-$CL705&gt;1/24,#REF!,IF(SUM($CQ705:$CQ708)&gt;$DS$1,$DS$5,DC709-1))</f>
        <v>-2</v>
      </c>
      <c r="DD708" s="61" t="e">
        <f>IF($CL709-$CL708&gt;1/24,#REF!,IF(SUM($CQ705:$CQ708)&gt;$DS$1,$DS$6,DD707-1))</f>
        <v>#REF!</v>
      </c>
      <c r="DE708" s="18" t="b">
        <v>0</v>
      </c>
      <c r="DF708" s="2" t="b">
        <f>IF(OR(RecData[[#This Row],[WSpd_Avg '[m/s']]]-RecData[[#This Row],[Wind Speed min]]&gt;=$DF$3,RecData[[#This Row],[Wind Speed max]]-RecData[[#This Row],[WSpd_Avg '[m/s']]]&gt;=$DF$2),TRUE,FALSE)</f>
        <v>0</v>
      </c>
      <c r="DG708" s="2" t="b">
        <f>RecData[[#This Row],[Temperature '[°C']]]&lt;=-20</f>
        <v>0</v>
      </c>
      <c r="DH708" s="18" t="b">
        <f>NOT(OR(MOD(RecData[[#This Row],[TIMESTAMP]],1)&gt;0.91632,MOD(RecData[[#This Row],[TIMESTAMP]],1)&lt;0.208681))</f>
        <v>0</v>
      </c>
      <c r="DI708" s="18" t="b">
        <f>RecData[[#This Row],[Overall (dBA)]]-RecData[[#This Row],[L90]]&gt;=$DS$4</f>
        <v>0</v>
      </c>
      <c r="DJ708" s="18" t="b">
        <f>RecData[[#This Row],[Overall (dBA)]]&gt;$DS$2</f>
        <v>0</v>
      </c>
      <c r="DK708" s="18" t="b">
        <f>RecData[[#This Row],[Overall (dBA)]]&lt;$DS$3</f>
        <v>0</v>
      </c>
      <c r="DL7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8" s="2">
        <f>IF(AND(RecData[[#This Row],[Turbines ON/OFF]] = "OFF", NOT(OR(RecData[[#This Row],[Junk?]]="YES",RecData[[#This Row],[Gust?]],RecData[[#This Row],[Rain?]:[Min SPL Threshold?]]))),1,0)</f>
        <v>0</v>
      </c>
      <c r="DN708" s="16">
        <f>RecData[[#This Row],[dBA Sum]]</f>
        <v>40.18320162706398</v>
      </c>
      <c r="DO708" s="16">
        <f>RecData[[#This Row],[LAF90.0]]</f>
        <v>39.4</v>
      </c>
      <c r="DP708" s="55">
        <f>IF(AND(RecData[[#This Row],[Useable TON Data?]],RecData[[#This Row],[Turbines ON/OFF]]="ON"),RecData[[#This Row],[dBA Sum]],"")</f>
        <v>40.18320162706398</v>
      </c>
      <c r="DQ708" s="55" t="str">
        <f>IF(AND(RecData[[#This Row],[Useable Background Data?]],RecData[[#This Row],[Turbines ON/OFF]]="OFF"),RecData[[#This Row],[dBA Sum]],"")</f>
        <v/>
      </c>
      <c r="DR708" s="3">
        <f>IF(OR(RecData[[#This Row],[Useable TON Data?]],RecData[[#This Row],[Useable Background Data?]]),ROUND(RecData[[#This Row],[WSpd_Avg '[m/s']]],0),"")</f>
        <v>0</v>
      </c>
      <c r="DS708" s="85">
        <f>(0.00002)^2*(10^(RecData[[#This Row],[Overall (dBA)]]/10))</f>
        <v>4.1723444442346295E-6</v>
      </c>
    </row>
    <row r="709" spans="1:123" ht="15" x14ac:dyDescent="0.25">
      <c r="A709" s="3" t="s">
        <v>249</v>
      </c>
      <c r="B709" s="12">
        <v>43272.13958333333</v>
      </c>
      <c r="C709" s="3"/>
      <c r="D709" s="3">
        <v>39.299999999999997</v>
      </c>
      <c r="E709" s="3"/>
      <c r="F709" s="3"/>
      <c r="G709" s="3"/>
      <c r="H709" s="3"/>
      <c r="I709" s="3"/>
      <c r="J709" s="3"/>
      <c r="K709" s="3">
        <v>37.799999999999997</v>
      </c>
      <c r="L709" s="3"/>
      <c r="M709" s="3"/>
      <c r="N709" s="3">
        <v>173.4</v>
      </c>
      <c r="O709" s="3"/>
      <c r="P709" s="3"/>
      <c r="Q709" s="3">
        <v>1.26</v>
      </c>
      <c r="R709" s="3">
        <v>0.1</v>
      </c>
      <c r="S709" s="3">
        <v>2.1</v>
      </c>
      <c r="T709" s="3">
        <v>10.7</v>
      </c>
      <c r="U709" s="3">
        <v>68.099999999999994</v>
      </c>
      <c r="V709" s="3">
        <v>970.2</v>
      </c>
      <c r="W709" s="3">
        <v>0</v>
      </c>
      <c r="X709" s="3">
        <v>45.3</v>
      </c>
      <c r="Y709" s="3">
        <v>44.3</v>
      </c>
      <c r="Z709" s="3">
        <v>42.4</v>
      </c>
      <c r="AA709" s="3">
        <v>39.299999999999997</v>
      </c>
      <c r="AB709" s="3">
        <v>35.6</v>
      </c>
      <c r="AC709" s="3">
        <v>33.4</v>
      </c>
      <c r="AD709" s="3">
        <v>37</v>
      </c>
      <c r="AE709" s="3">
        <v>38.700000000000003</v>
      </c>
      <c r="AF709" s="3">
        <v>45.2</v>
      </c>
      <c r="AG709" s="3">
        <v>37.799999999999997</v>
      </c>
      <c r="AH709" s="3">
        <v>35.799999999999997</v>
      </c>
      <c r="AI709" s="3">
        <v>36.4</v>
      </c>
      <c r="AJ709" s="3">
        <v>34.700000000000003</v>
      </c>
      <c r="AK709" s="3">
        <v>33.4</v>
      </c>
      <c r="AL709" s="3">
        <v>31.4</v>
      </c>
      <c r="AM709" s="3">
        <v>31.2</v>
      </c>
      <c r="AN709" s="3">
        <v>29.7</v>
      </c>
      <c r="AO709" s="3">
        <v>26.8</v>
      </c>
      <c r="AP709" s="3">
        <v>25.2</v>
      </c>
      <c r="AQ709" s="3">
        <v>24.1</v>
      </c>
      <c r="AR709" s="3">
        <v>23.1</v>
      </c>
      <c r="AS709" s="3">
        <v>22.7</v>
      </c>
      <c r="AT709" s="3">
        <v>27.7</v>
      </c>
      <c r="AU709" s="3">
        <v>20.8</v>
      </c>
      <c r="AV709" s="3">
        <v>18.7</v>
      </c>
      <c r="AW709" s="3">
        <v>16.899999999999999</v>
      </c>
      <c r="AX709" s="3">
        <v>13.4</v>
      </c>
      <c r="AY709" s="3">
        <v>12.3</v>
      </c>
      <c r="AZ709" s="3">
        <v>0</v>
      </c>
      <c r="BA709" s="3">
        <v>0</v>
      </c>
      <c r="BB709" s="3">
        <v>0</v>
      </c>
      <c r="BC709" s="3">
        <v>39.316568171711801</v>
      </c>
      <c r="BD709" s="3">
        <v>45.283431828288194</v>
      </c>
      <c r="BE709" s="3">
        <v>44.283431828288194</v>
      </c>
      <c r="BF709" s="3">
        <v>41.143431828288193</v>
      </c>
      <c r="BG709" s="3">
        <v>38.370098494954867</v>
      </c>
      <c r="BH709" s="3">
        <v>34.810098494954865</v>
      </c>
      <c r="BI709" s="3">
        <v>33.023431828288203</v>
      </c>
      <c r="BJ709" s="3">
        <v>37.41676516162152</v>
      </c>
      <c r="BK709" s="3">
        <v>38.990098494954871</v>
      </c>
      <c r="BL709" s="3">
        <v>45.063431828288195</v>
      </c>
      <c r="BM709" s="3">
        <v>37.796765161621529</v>
      </c>
      <c r="BN709" s="3">
        <v>36.080098494954861</v>
      </c>
      <c r="BO709" s="3">
        <v>36.046765161621529</v>
      </c>
      <c r="BP709" s="3">
        <v>34.063431828288195</v>
      </c>
      <c r="BQ709" s="3">
        <v>33.180098494954855</v>
      </c>
      <c r="BR709" s="3">
        <v>31.506765161621523</v>
      </c>
      <c r="BS709" s="3">
        <v>31.110098494954862</v>
      </c>
      <c r="BT709" s="3">
        <v>29.806765161621534</v>
      </c>
      <c r="BU709" s="3">
        <v>26.873431828288197</v>
      </c>
      <c r="BV709" s="3">
        <v>24.990098494954871</v>
      </c>
      <c r="BW709" s="3">
        <v>24.423431828288201</v>
      </c>
      <c r="BX709" s="3">
        <v>23.343431828288203</v>
      </c>
      <c r="BY709" s="3">
        <v>22.763431828288198</v>
      </c>
      <c r="BZ709" s="3">
        <v>27.893431828288207</v>
      </c>
      <c r="CA709" s="3">
        <v>21.093431828288189</v>
      </c>
      <c r="CB709" s="3">
        <v>18.430098494954862</v>
      </c>
      <c r="CC709" s="3">
        <v>16.843431828288196</v>
      </c>
      <c r="CD709" s="3">
        <v>12.650098494954868</v>
      </c>
      <c r="CE709" s="3">
        <v>11.743431828288195</v>
      </c>
      <c r="CF709" s="3">
        <v>-0.94323483837847277</v>
      </c>
      <c r="CG709" s="3">
        <v>-1.4765681717118042</v>
      </c>
      <c r="CH709" s="3">
        <v>-2.5532348383784722</v>
      </c>
      <c r="CI709" s="13">
        <f>[1]!dbasum(RecData[[#This Row],[20]:[2000]],RecData[[#Headers],[20]:[2000]])</f>
        <v>38.508583574447329</v>
      </c>
      <c r="CJ709" s="14">
        <v>9226</v>
      </c>
      <c r="CK709" s="15" t="s">
        <v>249</v>
      </c>
      <c r="CL709" s="15">
        <f>RecData[[#This Row],[Start Time]]</f>
        <v>43272.13958333333</v>
      </c>
      <c r="CM709" s="16">
        <f>RecData[[#This Row],[Wind Speed avg]]</f>
        <v>1.26</v>
      </c>
      <c r="CN709" s="16">
        <f>RecData[[#This Row],[Wind Dir. avg]]</f>
        <v>173.4</v>
      </c>
      <c r="CO709" s="16">
        <f>RecData[[#This Row],[Amb. Humidity]]</f>
        <v>68.099999999999994</v>
      </c>
      <c r="CP709" s="16">
        <f>RecData[[#This Row],[Amb. Temperature]]</f>
        <v>10.7</v>
      </c>
      <c r="CQ709" s="17">
        <f>RecData[[#This Row],[Amb. Rain Gauge]]</f>
        <v>0</v>
      </c>
      <c r="CR709" s="4" t="s">
        <v>1</v>
      </c>
      <c r="CS709" s="4" t="s">
        <v>49</v>
      </c>
      <c r="CT709" s="70">
        <v>1530.67248535156</v>
      </c>
      <c r="CU709" s="70">
        <v>52.00044631958</v>
      </c>
      <c r="CV709" s="70">
        <v>8.6577186584472603</v>
      </c>
      <c r="CW709" s="70">
        <v>15.1814718246459</v>
      </c>
      <c r="CX709" s="109"/>
      <c r="CY709" s="110"/>
      <c r="CZ709" s="2" t="b">
        <f>IF($DP$1="YES",IF(RecData[[#This Row],[Power (kW)]]&gt;=$CR$3, TRUE,FALSE),TRUE)</f>
        <v>1</v>
      </c>
      <c r="DA709" s="16">
        <f>MIN(MOD(180-ABS(ABS($DA$1-RecData[Yaw Angle (°)])-180),360),MOD(180-ABS(ABS($DB$1-RecData[Yaw Angle (°)])-180),360))</f>
        <v>44.470519541892457</v>
      </c>
      <c r="DB709" s="2" t="str">
        <f>IF($DP$2="None","None",IF(RecData[[#This Row],[Relative Wind Direction]]&lt;=45,"DW",IF(RecData[[#This Row],[Relative Wind Direction]]&lt;=135,"CW","UW")))</f>
        <v>DW</v>
      </c>
      <c r="DC709" s="61">
        <v>-1</v>
      </c>
      <c r="DD709" s="61">
        <v>-1</v>
      </c>
      <c r="DE709" s="18" t="b">
        <v>0</v>
      </c>
      <c r="DF709" s="2" t="b">
        <f>IF(OR(RecData[[#This Row],[WSpd_Avg '[m/s']]]-RecData[[#This Row],[Wind Speed min]]&gt;=$DF$3,RecData[[#This Row],[Wind Speed max]]-RecData[[#This Row],[WSpd_Avg '[m/s']]]&gt;=$DF$2),TRUE,FALSE)</f>
        <v>0</v>
      </c>
      <c r="DG709" s="2" t="b">
        <f>RecData[[#This Row],[Temperature '[°C']]]&lt;=-20</f>
        <v>0</v>
      </c>
      <c r="DH709" s="18" t="b">
        <f>NOT(OR(MOD(RecData[[#This Row],[TIMESTAMP]],1)&gt;0.91632,MOD(RecData[[#This Row],[TIMESTAMP]],1)&lt;0.208681))</f>
        <v>0</v>
      </c>
      <c r="DI709" s="18" t="b">
        <f>RecData[[#This Row],[Overall (dBA)]]-RecData[[#This Row],[L90]]&gt;=$DS$4</f>
        <v>0</v>
      </c>
      <c r="DJ709" s="18" t="b">
        <f>RecData[[#This Row],[Overall (dBA)]]&gt;$DS$2</f>
        <v>0</v>
      </c>
      <c r="DK709" s="18" t="b">
        <f>RecData[[#This Row],[Overall (dBA)]]&lt;$DS$3</f>
        <v>0</v>
      </c>
      <c r="DL7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09" s="2">
        <f>IF(AND(RecData[[#This Row],[Turbines ON/OFF]] = "OFF", NOT(OR(RecData[[#This Row],[Junk?]]="YES",RecData[[#This Row],[Gust?]],RecData[[#This Row],[Rain?]:[Min SPL Threshold?]]))),1,0)</f>
        <v>0</v>
      </c>
      <c r="DN709" s="16">
        <f>RecData[[#This Row],[dBA Sum]]</f>
        <v>38.508583574447329</v>
      </c>
      <c r="DO709" s="16">
        <f>RecData[[#This Row],[LAF90.0]]</f>
        <v>37.799999999999997</v>
      </c>
      <c r="DP709" s="55">
        <f>IF(AND(RecData[[#This Row],[Useable TON Data?]],RecData[[#This Row],[Turbines ON/OFF]]="ON"),RecData[[#This Row],[dBA Sum]],"")</f>
        <v>38.508583574447329</v>
      </c>
      <c r="DQ709" s="55" t="str">
        <f>IF(AND(RecData[[#This Row],[Useable Background Data?]],RecData[[#This Row],[Turbines ON/OFF]]="OFF"),RecData[[#This Row],[dBA Sum]],"")</f>
        <v/>
      </c>
      <c r="DR709" s="3">
        <f>IF(OR(RecData[[#This Row],[Useable TON Data?]],RecData[[#This Row],[Useable Background Data?]]),ROUND(RecData[[#This Row],[WSpd_Avg '[m/s']]],0),"")</f>
        <v>1</v>
      </c>
      <c r="DS709" s="85">
        <f>(0.00002)^2*(10^(RecData[[#This Row],[Overall (dBA)]]/10))</f>
        <v>2.8373855245634024E-6</v>
      </c>
    </row>
    <row r="710" spans="1:123" ht="15" x14ac:dyDescent="0.25">
      <c r="A710" s="3" t="s">
        <v>249</v>
      </c>
      <c r="B710" s="12">
        <v>43272.140277777777</v>
      </c>
      <c r="C710" s="3"/>
      <c r="D710" s="3">
        <v>40</v>
      </c>
      <c r="E710" s="3"/>
      <c r="F710" s="3"/>
      <c r="G710" s="3"/>
      <c r="H710" s="3"/>
      <c r="I710" s="3"/>
      <c r="J710" s="3"/>
      <c r="K710" s="3">
        <v>38.799999999999997</v>
      </c>
      <c r="L710" s="3"/>
      <c r="M710" s="3"/>
      <c r="N710" s="3">
        <v>196.7</v>
      </c>
      <c r="O710" s="3"/>
      <c r="P710" s="3"/>
      <c r="Q710" s="3">
        <v>1.35</v>
      </c>
      <c r="R710" s="3">
        <v>0.1</v>
      </c>
      <c r="S710" s="3">
        <v>2.8</v>
      </c>
      <c r="T710" s="3">
        <v>10.7</v>
      </c>
      <c r="U710" s="3">
        <v>68.2</v>
      </c>
      <c r="V710" s="3">
        <v>970.2</v>
      </c>
      <c r="W710" s="3">
        <v>0</v>
      </c>
      <c r="X710" s="3">
        <v>44.9</v>
      </c>
      <c r="Y710" s="3">
        <v>43.7</v>
      </c>
      <c r="Z710" s="3">
        <v>42.6</v>
      </c>
      <c r="AA710" s="3">
        <v>39.799999999999997</v>
      </c>
      <c r="AB710" s="3">
        <v>36.4</v>
      </c>
      <c r="AC710" s="3">
        <v>33.4</v>
      </c>
      <c r="AD710" s="3">
        <v>36.6</v>
      </c>
      <c r="AE710" s="3">
        <v>38.5</v>
      </c>
      <c r="AF710" s="3">
        <v>45.1</v>
      </c>
      <c r="AG710" s="3">
        <v>39.9</v>
      </c>
      <c r="AH710" s="3">
        <v>36.1</v>
      </c>
      <c r="AI710" s="3">
        <v>37.200000000000003</v>
      </c>
      <c r="AJ710" s="3">
        <v>35.9</v>
      </c>
      <c r="AK710" s="3">
        <v>34.200000000000003</v>
      </c>
      <c r="AL710" s="3">
        <v>32.4</v>
      </c>
      <c r="AM710" s="3">
        <v>32.9</v>
      </c>
      <c r="AN710" s="3">
        <v>30.9</v>
      </c>
      <c r="AO710" s="3">
        <v>28</v>
      </c>
      <c r="AP710" s="3">
        <v>26.8</v>
      </c>
      <c r="AQ710" s="3">
        <v>25.3</v>
      </c>
      <c r="AR710" s="3">
        <v>24</v>
      </c>
      <c r="AS710" s="3">
        <v>23.2</v>
      </c>
      <c r="AT710" s="3">
        <v>22.4</v>
      </c>
      <c r="AU710" s="3">
        <v>20.100000000000001</v>
      </c>
      <c r="AV710" s="3">
        <v>18.5</v>
      </c>
      <c r="AW710" s="3">
        <v>16.7</v>
      </c>
      <c r="AX710" s="3">
        <v>12.8</v>
      </c>
      <c r="AY710" s="3">
        <v>11.3</v>
      </c>
      <c r="AZ710" s="3">
        <v>0</v>
      </c>
      <c r="BA710" s="3">
        <v>0</v>
      </c>
      <c r="BB710" s="3">
        <v>0</v>
      </c>
      <c r="BC710" s="3">
        <v>39.977813286099476</v>
      </c>
      <c r="BD710" s="3">
        <v>44.92218671390053</v>
      </c>
      <c r="BE710" s="3">
        <v>43.722186713900527</v>
      </c>
      <c r="BF710" s="3">
        <v>41.382186713900524</v>
      </c>
      <c r="BG710" s="3">
        <v>38.90885338056718</v>
      </c>
      <c r="BH710" s="3">
        <v>35.648853380567189</v>
      </c>
      <c r="BI710" s="3">
        <v>33.062186713900516</v>
      </c>
      <c r="BJ710" s="3">
        <v>37.055520047233856</v>
      </c>
      <c r="BK710" s="3">
        <v>38.828853380567196</v>
      </c>
      <c r="BL710" s="3">
        <v>45.002186713900528</v>
      </c>
      <c r="BM710" s="3">
        <v>39.935520047233851</v>
      </c>
      <c r="BN710" s="3">
        <v>36.418853380567199</v>
      </c>
      <c r="BO710" s="3">
        <v>36.885520047233868</v>
      </c>
      <c r="BP710" s="3">
        <v>35.302186713900525</v>
      </c>
      <c r="BQ710" s="3">
        <v>34.018853380567194</v>
      </c>
      <c r="BR710" s="3">
        <v>32.545520047233865</v>
      </c>
      <c r="BS710" s="3">
        <v>32.848853380567192</v>
      </c>
      <c r="BT710" s="3">
        <v>31.045520047233865</v>
      </c>
      <c r="BU710" s="3">
        <v>28.112186713900527</v>
      </c>
      <c r="BV710" s="3">
        <v>26.628853380567193</v>
      </c>
      <c r="BW710" s="3">
        <v>25.662186713900525</v>
      </c>
      <c r="BX710" s="3">
        <v>24.282186713900529</v>
      </c>
      <c r="BY710" s="3">
        <v>23.302186713900525</v>
      </c>
      <c r="BZ710" s="3">
        <v>22.632186713900524</v>
      </c>
      <c r="CA710" s="3">
        <v>20.432186713900521</v>
      </c>
      <c r="CB710" s="3">
        <v>18.268853380567194</v>
      </c>
      <c r="CC710" s="3">
        <v>16.682186713900521</v>
      </c>
      <c r="CD710" s="3">
        <v>12.088853380567194</v>
      </c>
      <c r="CE710" s="3">
        <v>10.782186713900522</v>
      </c>
      <c r="CF710" s="3">
        <v>-0.90447995276614535</v>
      </c>
      <c r="CG710" s="3">
        <v>-1.4378132860994768</v>
      </c>
      <c r="CH710" s="3">
        <v>-2.5144799527661448</v>
      </c>
      <c r="CI710" s="13">
        <f>[1]!dbasum(RecData[[#This Row],[20]:[2000]],RecData[[#Headers],[20]:[2000]])</f>
        <v>39.587193553234911</v>
      </c>
      <c r="CJ710" s="14">
        <v>9227</v>
      </c>
      <c r="CK710" s="15" t="s">
        <v>249</v>
      </c>
      <c r="CL710" s="15">
        <f>RecData[[#This Row],[Start Time]]</f>
        <v>43272.140277777777</v>
      </c>
      <c r="CM710" s="16">
        <f>RecData[[#This Row],[Wind Speed avg]]</f>
        <v>1.35</v>
      </c>
      <c r="CN710" s="16">
        <f>RecData[[#This Row],[Wind Dir. avg]]</f>
        <v>196.7</v>
      </c>
      <c r="CO710" s="16">
        <f>RecData[[#This Row],[Amb. Humidity]]</f>
        <v>68.2</v>
      </c>
      <c r="CP710" s="16">
        <f>RecData[[#This Row],[Amb. Temperature]]</f>
        <v>10.7</v>
      </c>
      <c r="CQ710" s="17">
        <f>RecData[[#This Row],[Amb. Rain Gauge]]</f>
        <v>0</v>
      </c>
      <c r="CR710" s="4" t="s">
        <v>1</v>
      </c>
      <c r="CS710" s="4" t="s">
        <v>49</v>
      </c>
      <c r="CT710" s="70">
        <v>1530.67248535156</v>
      </c>
      <c r="CU710" s="70">
        <v>52.00044631958</v>
      </c>
      <c r="CV710" s="70">
        <v>8.6577186584472603</v>
      </c>
      <c r="CW710" s="70">
        <v>15.1814718246459</v>
      </c>
      <c r="CX710" s="109"/>
      <c r="CY710" s="110"/>
      <c r="CZ710" s="2" t="b">
        <f>IF($DP$1="YES",IF(RecData[[#This Row],[Power (kW)]]&gt;=$CR$3, TRUE,FALSE),TRUE)</f>
        <v>1</v>
      </c>
      <c r="DA710" s="16">
        <f>MIN(MOD(180-ABS(ABS($DA$1-RecData[Yaw Angle (°)])-180),360),MOD(180-ABS(ABS($DB$1-RecData[Yaw Angle (°)])-180),360))</f>
        <v>44.470519541892457</v>
      </c>
      <c r="DB710" s="2" t="str">
        <f>IF($DP$2="None","None",IF(RecData[[#This Row],[Relative Wind Direction]]&lt;=45,"DW",IF(RecData[[#This Row],[Relative Wind Direction]]&lt;=135,"CW","UW")))</f>
        <v>DW</v>
      </c>
      <c r="DC710" s="61" t="e">
        <f>IF($CL710-$CL709&gt;1/24,#REF!,IF(SUM($CQ709:$CQ710)&gt;$DS$1,$DS$5,DC711-1))</f>
        <v>#REF!</v>
      </c>
      <c r="DD710" s="61">
        <f>IF($CL711-$CL710&gt;1/24,#REF!,IF(SUM($CQ709:$CQ710)&gt;$DS$1,$DS$6,DD709-1))</f>
        <v>-2</v>
      </c>
      <c r="DE710" s="18" t="b">
        <v>0</v>
      </c>
      <c r="DF710" s="2" t="b">
        <f>IF(OR(RecData[[#This Row],[WSpd_Avg '[m/s']]]-RecData[[#This Row],[Wind Speed min]]&gt;=$DF$3,RecData[[#This Row],[Wind Speed max]]-RecData[[#This Row],[WSpd_Avg '[m/s']]]&gt;=$DF$2),TRUE,FALSE)</f>
        <v>0</v>
      </c>
      <c r="DG710" s="2" t="b">
        <f>RecData[[#This Row],[Temperature '[°C']]]&lt;=-20</f>
        <v>0</v>
      </c>
      <c r="DH710" s="18" t="b">
        <f>NOT(OR(MOD(RecData[[#This Row],[TIMESTAMP]],1)&gt;0.91632,MOD(RecData[[#This Row],[TIMESTAMP]],1)&lt;0.208681))</f>
        <v>0</v>
      </c>
      <c r="DI710" s="18" t="b">
        <f>RecData[[#This Row],[Overall (dBA)]]-RecData[[#This Row],[L90]]&gt;=$DS$4</f>
        <v>0</v>
      </c>
      <c r="DJ710" s="18" t="b">
        <f>RecData[[#This Row],[Overall (dBA)]]&gt;$DS$2</f>
        <v>0</v>
      </c>
      <c r="DK710" s="18" t="b">
        <f>RecData[[#This Row],[Overall (dBA)]]&lt;$DS$3</f>
        <v>0</v>
      </c>
      <c r="DL7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0" s="2">
        <f>IF(AND(RecData[[#This Row],[Turbines ON/OFF]] = "OFF", NOT(OR(RecData[[#This Row],[Junk?]]="YES",RecData[[#This Row],[Gust?]],RecData[[#This Row],[Rain?]:[Min SPL Threshold?]]))),1,0)</f>
        <v>0</v>
      </c>
      <c r="DN710" s="16">
        <f>RecData[[#This Row],[dBA Sum]]</f>
        <v>39.587193553234911</v>
      </c>
      <c r="DO710" s="16">
        <f>RecData[[#This Row],[LAF90.0]]</f>
        <v>38.799999999999997</v>
      </c>
      <c r="DP710" s="55">
        <f>IF(AND(RecData[[#This Row],[Useable TON Data?]],RecData[[#This Row],[Turbines ON/OFF]]="ON"),RecData[[#This Row],[dBA Sum]],"")</f>
        <v>39.587193553234911</v>
      </c>
      <c r="DQ710" s="55" t="str">
        <f>IF(AND(RecData[[#This Row],[Useable Background Data?]],RecData[[#This Row],[Turbines ON/OFF]]="OFF"),RecData[[#This Row],[dBA Sum]],"")</f>
        <v/>
      </c>
      <c r="DR710" s="3">
        <f>IF(OR(RecData[[#This Row],[Useable TON Data?]],RecData[[#This Row],[Useable Background Data?]]),ROUND(RecData[[#This Row],[WSpd_Avg '[m/s']]],0),"")</f>
        <v>1</v>
      </c>
      <c r="DS710" s="85">
        <f>(0.00002)^2*(10^(RecData[[#This Row],[Overall (dBA)]]/10))</f>
        <v>3.6373018764488063E-6</v>
      </c>
    </row>
    <row r="711" spans="1:123" ht="15" x14ac:dyDescent="0.25">
      <c r="A711" s="3" t="s">
        <v>249</v>
      </c>
      <c r="B711" s="12">
        <v>43272.140972222223</v>
      </c>
      <c r="C711" s="3"/>
      <c r="D711" s="3">
        <v>40.9</v>
      </c>
      <c r="E711" s="3"/>
      <c r="F711" s="3"/>
      <c r="G711" s="3"/>
      <c r="H711" s="3"/>
      <c r="I711" s="3"/>
      <c r="J711" s="3"/>
      <c r="K711" s="3">
        <v>39.1</v>
      </c>
      <c r="L711" s="3"/>
      <c r="M711" s="3"/>
      <c r="N711" s="3">
        <v>158.80000000000001</v>
      </c>
      <c r="O711" s="3"/>
      <c r="P711" s="3"/>
      <c r="Q711" s="3">
        <v>1.65</v>
      </c>
      <c r="R711" s="3">
        <v>1</v>
      </c>
      <c r="S711" s="3">
        <v>3</v>
      </c>
      <c r="T711" s="3">
        <v>10.6</v>
      </c>
      <c r="U711" s="3">
        <v>68.099999999999994</v>
      </c>
      <c r="V711" s="3">
        <v>970.2</v>
      </c>
      <c r="W711" s="3">
        <v>0</v>
      </c>
      <c r="X711" s="3">
        <v>45.4</v>
      </c>
      <c r="Y711" s="3">
        <v>44.9</v>
      </c>
      <c r="Z711" s="3">
        <v>43</v>
      </c>
      <c r="AA711" s="3">
        <v>39.6</v>
      </c>
      <c r="AB711" s="3">
        <v>35.799999999999997</v>
      </c>
      <c r="AC711" s="3">
        <v>33.9</v>
      </c>
      <c r="AD711" s="3">
        <v>36.700000000000003</v>
      </c>
      <c r="AE711" s="3">
        <v>38.4</v>
      </c>
      <c r="AF711" s="3">
        <v>47.2</v>
      </c>
      <c r="AG711" s="3">
        <v>41.2</v>
      </c>
      <c r="AH711" s="3">
        <v>36.5</v>
      </c>
      <c r="AI711" s="3">
        <v>37.5</v>
      </c>
      <c r="AJ711" s="3">
        <v>36</v>
      </c>
      <c r="AK711" s="3">
        <v>34.6</v>
      </c>
      <c r="AL711" s="3">
        <v>33</v>
      </c>
      <c r="AM711" s="3">
        <v>33.1</v>
      </c>
      <c r="AN711" s="3">
        <v>31.5</v>
      </c>
      <c r="AO711" s="3">
        <v>28.5</v>
      </c>
      <c r="AP711" s="3">
        <v>27.2</v>
      </c>
      <c r="AQ711" s="3">
        <v>25.9</v>
      </c>
      <c r="AR711" s="3">
        <v>25.1</v>
      </c>
      <c r="AS711" s="3">
        <v>24.8</v>
      </c>
      <c r="AT711" s="3">
        <v>26.2</v>
      </c>
      <c r="AU711" s="3">
        <v>23</v>
      </c>
      <c r="AV711" s="3">
        <v>21.4</v>
      </c>
      <c r="AW711" s="3">
        <v>19.5</v>
      </c>
      <c r="AX711" s="3">
        <v>15.3</v>
      </c>
      <c r="AY711" s="3">
        <v>13.5</v>
      </c>
      <c r="AZ711" s="3">
        <v>0</v>
      </c>
      <c r="BA711" s="3">
        <v>0</v>
      </c>
      <c r="BB711" s="3">
        <v>0</v>
      </c>
      <c r="BC711" s="3">
        <v>40.828122513184404</v>
      </c>
      <c r="BD711" s="3">
        <v>45.471877486815593</v>
      </c>
      <c r="BE711" s="3">
        <v>44.971877486815593</v>
      </c>
      <c r="BF711" s="3">
        <v>41.831877486815593</v>
      </c>
      <c r="BG711" s="3">
        <v>38.758544153482269</v>
      </c>
      <c r="BH711" s="3">
        <v>35.098544153482258</v>
      </c>
      <c r="BI711" s="3">
        <v>33.611877486815594</v>
      </c>
      <c r="BJ711" s="3">
        <v>37.205210820148928</v>
      </c>
      <c r="BK711" s="3">
        <v>38.778544153482251</v>
      </c>
      <c r="BL711" s="3">
        <v>47.1518774868156</v>
      </c>
      <c r="BM711" s="3">
        <v>41.28521082014894</v>
      </c>
      <c r="BN711" s="3">
        <v>36.868544153482254</v>
      </c>
      <c r="BO711" s="3">
        <v>37.235210820148929</v>
      </c>
      <c r="BP711" s="3">
        <v>35.451877486815597</v>
      </c>
      <c r="BQ711" s="3">
        <v>34.468544153482249</v>
      </c>
      <c r="BR711" s="3">
        <v>33.195210820148937</v>
      </c>
      <c r="BS711" s="3">
        <v>33.098544153482273</v>
      </c>
      <c r="BT711" s="3">
        <v>31.695210820148937</v>
      </c>
      <c r="BU711" s="3">
        <v>28.661877486815605</v>
      </c>
      <c r="BV711" s="3">
        <v>27.078544153482262</v>
      </c>
      <c r="BW711" s="3">
        <v>26.311877486815597</v>
      </c>
      <c r="BX711" s="3">
        <v>25.431877486815601</v>
      </c>
      <c r="BY711" s="3">
        <v>24.951877486815597</v>
      </c>
      <c r="BZ711" s="3">
        <v>26.481877486815598</v>
      </c>
      <c r="CA711" s="3">
        <v>23.38187748681559</v>
      </c>
      <c r="CB711" s="3">
        <v>21.218544153482263</v>
      </c>
      <c r="CC711" s="3">
        <v>19.531877486815596</v>
      </c>
      <c r="CD711" s="3">
        <v>14.638544153482265</v>
      </c>
      <c r="CE711" s="3">
        <v>13.031877486815596</v>
      </c>
      <c r="CF711" s="3">
        <v>-0.85478917985107472</v>
      </c>
      <c r="CG711" s="3">
        <v>-1.3881225131844062</v>
      </c>
      <c r="CH711" s="3">
        <v>-2.4647891798510742</v>
      </c>
      <c r="CI711" s="13">
        <f>[1]!dbasum(RecData[[#This Row],[20]:[2000]],RecData[[#Headers],[20]:[2000]])</f>
        <v>40.281726704414211</v>
      </c>
      <c r="CJ711" s="14">
        <v>9228</v>
      </c>
      <c r="CK711" s="15" t="s">
        <v>249</v>
      </c>
      <c r="CL711" s="15">
        <f>RecData[[#This Row],[Start Time]]</f>
        <v>43272.140972222223</v>
      </c>
      <c r="CM711" s="16">
        <f>RecData[[#This Row],[Wind Speed avg]]</f>
        <v>1.65</v>
      </c>
      <c r="CN711" s="16">
        <f>RecData[[#This Row],[Wind Dir. avg]]</f>
        <v>158.80000000000001</v>
      </c>
      <c r="CO711" s="16">
        <f>RecData[[#This Row],[Amb. Humidity]]</f>
        <v>68.099999999999994</v>
      </c>
      <c r="CP711" s="16">
        <f>RecData[[#This Row],[Amb. Temperature]]</f>
        <v>10.6</v>
      </c>
      <c r="CQ711" s="17">
        <f>RecData[[#This Row],[Amb. Rain Gauge]]</f>
        <v>0</v>
      </c>
      <c r="CR711" s="4" t="s">
        <v>1</v>
      </c>
      <c r="CS711" s="4" t="s">
        <v>49</v>
      </c>
      <c r="CT711" s="70">
        <v>1530.67248535156</v>
      </c>
      <c r="CU711" s="70">
        <v>52.00044631958</v>
      </c>
      <c r="CV711" s="70">
        <v>8.6577186584472603</v>
      </c>
      <c r="CW711" s="70">
        <v>15.1814718246459</v>
      </c>
      <c r="CX711" s="109"/>
      <c r="CY711" s="110"/>
      <c r="CZ711" s="2" t="b">
        <f>IF($DP$1="YES",IF(RecData[[#This Row],[Power (kW)]]&gt;=$CR$3, TRUE,FALSE),TRUE)</f>
        <v>1</v>
      </c>
      <c r="DA711" s="16">
        <f>MIN(MOD(180-ABS(ABS($DA$1-RecData[Yaw Angle (°)])-180),360),MOD(180-ABS(ABS($DB$1-RecData[Yaw Angle (°)])-180),360))</f>
        <v>44.470519541892457</v>
      </c>
      <c r="DB711" s="2" t="str">
        <f>IF($DP$2="None","None",IF(RecData[[#This Row],[Relative Wind Direction]]&lt;=45,"DW",IF(RecData[[#This Row],[Relative Wind Direction]]&lt;=135,"CW","UW")))</f>
        <v>DW</v>
      </c>
      <c r="DC711" s="61" t="e">
        <f>IF($CL711-$CL709&gt;1/24,#REF!,IF(SUM($CQ709:$CQ711)&gt;$DS$1,$DS$5,DC712-1))</f>
        <v>#REF!</v>
      </c>
      <c r="DD711" s="61">
        <f>IF($CL712-$CL711&gt;1/24,#REF!,IF(SUM($CQ709:$CQ711)&gt;$DS$1,$DS$6,DD710-1))</f>
        <v>-3</v>
      </c>
      <c r="DE711" s="18" t="b">
        <v>0</v>
      </c>
      <c r="DF711" s="2" t="b">
        <f>IF(OR(RecData[[#This Row],[WSpd_Avg '[m/s']]]-RecData[[#This Row],[Wind Speed min]]&gt;=$DF$3,RecData[[#This Row],[Wind Speed max]]-RecData[[#This Row],[WSpd_Avg '[m/s']]]&gt;=$DF$2),TRUE,FALSE)</f>
        <v>0</v>
      </c>
      <c r="DG711" s="2" t="b">
        <f>RecData[[#This Row],[Temperature '[°C']]]&lt;=-20</f>
        <v>0</v>
      </c>
      <c r="DH711" s="18" t="b">
        <f>NOT(OR(MOD(RecData[[#This Row],[TIMESTAMP]],1)&gt;0.91632,MOD(RecData[[#This Row],[TIMESTAMP]],1)&lt;0.208681))</f>
        <v>0</v>
      </c>
      <c r="DI711" s="18" t="b">
        <f>RecData[[#This Row],[Overall (dBA)]]-RecData[[#This Row],[L90]]&gt;=$DS$4</f>
        <v>0</v>
      </c>
      <c r="DJ711" s="18" t="b">
        <f>RecData[[#This Row],[Overall (dBA)]]&gt;$DS$2</f>
        <v>0</v>
      </c>
      <c r="DK711" s="18" t="b">
        <f>RecData[[#This Row],[Overall (dBA)]]&lt;$DS$3</f>
        <v>0</v>
      </c>
      <c r="DL7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1" s="2">
        <f>IF(AND(RecData[[#This Row],[Turbines ON/OFF]] = "OFF", NOT(OR(RecData[[#This Row],[Junk?]]="YES",RecData[[#This Row],[Gust?]],RecData[[#This Row],[Rain?]:[Min SPL Threshold?]]))),1,0)</f>
        <v>0</v>
      </c>
      <c r="DN711" s="16">
        <f>RecData[[#This Row],[dBA Sum]]</f>
        <v>40.281726704414211</v>
      </c>
      <c r="DO711" s="16">
        <f>RecData[[#This Row],[LAF90.0]]</f>
        <v>39.1</v>
      </c>
      <c r="DP711" s="55">
        <f>IF(AND(RecData[[#This Row],[Useable TON Data?]],RecData[[#This Row],[Turbines ON/OFF]]="ON"),RecData[[#This Row],[dBA Sum]],"")</f>
        <v>40.281726704414211</v>
      </c>
      <c r="DQ711" s="55" t="str">
        <f>IF(AND(RecData[[#This Row],[Useable Background Data?]],RecData[[#This Row],[Turbines ON/OFF]]="OFF"),RecData[[#This Row],[dBA Sum]],"")</f>
        <v/>
      </c>
      <c r="DR711" s="3">
        <f>IF(OR(RecData[[#This Row],[Useable TON Data?]],RecData[[#This Row],[Useable Background Data?]]),ROUND(RecData[[#This Row],[WSpd_Avg '[m/s']]],0),"")</f>
        <v>2</v>
      </c>
      <c r="DS711" s="85">
        <f>(0.00002)^2*(10^(RecData[[#This Row],[Overall (dBA)]]/10))</f>
        <v>4.268081087088002E-6</v>
      </c>
    </row>
    <row r="712" spans="1:123" ht="15" x14ac:dyDescent="0.25">
      <c r="A712" s="3" t="s">
        <v>249</v>
      </c>
      <c r="B712" s="12">
        <v>43272.14166666667</v>
      </c>
      <c r="C712" s="3"/>
      <c r="D712" s="3">
        <v>41.6</v>
      </c>
      <c r="E712" s="3"/>
      <c r="F712" s="3"/>
      <c r="G712" s="3"/>
      <c r="H712" s="3"/>
      <c r="I712" s="3"/>
      <c r="J712" s="3"/>
      <c r="K712" s="3">
        <v>39.9</v>
      </c>
      <c r="L712" s="3"/>
      <c r="M712" s="3"/>
      <c r="N712" s="3">
        <v>175.8</v>
      </c>
      <c r="O712" s="3"/>
      <c r="P712" s="3"/>
      <c r="Q712" s="3">
        <v>1.46</v>
      </c>
      <c r="R712" s="3">
        <v>0.1</v>
      </c>
      <c r="S712" s="3">
        <v>2.6</v>
      </c>
      <c r="T712" s="3">
        <v>10.6</v>
      </c>
      <c r="U712" s="3">
        <v>68.099999999999994</v>
      </c>
      <c r="V712" s="3">
        <v>970.2</v>
      </c>
      <c r="W712" s="3">
        <v>0</v>
      </c>
      <c r="X712" s="3">
        <v>46</v>
      </c>
      <c r="Y712" s="3">
        <v>45.4</v>
      </c>
      <c r="Z712" s="3">
        <v>44.1</v>
      </c>
      <c r="AA712" s="3">
        <v>40.9</v>
      </c>
      <c r="AB712" s="3">
        <v>37</v>
      </c>
      <c r="AC712" s="3">
        <v>34.299999999999997</v>
      </c>
      <c r="AD712" s="3">
        <v>37.9</v>
      </c>
      <c r="AE712" s="3">
        <v>39.9</v>
      </c>
      <c r="AF712" s="3">
        <v>49.6</v>
      </c>
      <c r="AG712" s="3">
        <v>41.8</v>
      </c>
      <c r="AH712" s="3">
        <v>37.799999999999997</v>
      </c>
      <c r="AI712" s="3">
        <v>39.200000000000003</v>
      </c>
      <c r="AJ712" s="3">
        <v>36.9</v>
      </c>
      <c r="AK712" s="3">
        <v>35.4</v>
      </c>
      <c r="AL712" s="3">
        <v>33.299999999999997</v>
      </c>
      <c r="AM712" s="3">
        <v>33.5</v>
      </c>
      <c r="AN712" s="3">
        <v>31.3</v>
      </c>
      <c r="AO712" s="3">
        <v>28.5</v>
      </c>
      <c r="AP712" s="3">
        <v>27.4</v>
      </c>
      <c r="AQ712" s="3">
        <v>26.4</v>
      </c>
      <c r="AR712" s="3">
        <v>25.7</v>
      </c>
      <c r="AS712" s="3">
        <v>25.5</v>
      </c>
      <c r="AT712" s="3">
        <v>26.7</v>
      </c>
      <c r="AU712" s="3">
        <v>23.4</v>
      </c>
      <c r="AV712" s="3">
        <v>21.4</v>
      </c>
      <c r="AW712" s="3">
        <v>19.600000000000001</v>
      </c>
      <c r="AX712" s="3">
        <v>15.6</v>
      </c>
      <c r="AY712" s="3">
        <v>14</v>
      </c>
      <c r="AZ712" s="3">
        <v>0</v>
      </c>
      <c r="BA712" s="3">
        <v>0</v>
      </c>
      <c r="BB712" s="3">
        <v>0</v>
      </c>
      <c r="BC712" s="3">
        <v>41.618329243910075</v>
      </c>
      <c r="BD712" s="3">
        <v>45.981670756089919</v>
      </c>
      <c r="BE712" s="3">
        <v>45.381670756089925</v>
      </c>
      <c r="BF712" s="3">
        <v>42.841670756089933</v>
      </c>
      <c r="BG712" s="3">
        <v>39.968337422756598</v>
      </c>
      <c r="BH712" s="3">
        <v>36.208337422756593</v>
      </c>
      <c r="BI712" s="3">
        <v>33.921670756089917</v>
      </c>
      <c r="BJ712" s="3">
        <v>38.315004089423262</v>
      </c>
      <c r="BK712" s="3">
        <v>40.188337422756597</v>
      </c>
      <c r="BL712" s="3">
        <v>49.461670756089937</v>
      </c>
      <c r="BM712" s="3">
        <v>41.795004089423252</v>
      </c>
      <c r="BN712" s="3">
        <v>38.078337422756583</v>
      </c>
      <c r="BO712" s="3">
        <v>38.845004089423263</v>
      </c>
      <c r="BP712" s="3">
        <v>36.26167075608992</v>
      </c>
      <c r="BQ712" s="3">
        <v>35.178337422756577</v>
      </c>
      <c r="BR712" s="3">
        <v>33.405004089423265</v>
      </c>
      <c r="BS712" s="3">
        <v>33.408337422756595</v>
      </c>
      <c r="BT712" s="3">
        <v>31.405004089423265</v>
      </c>
      <c r="BU712" s="3">
        <v>28.571670756089922</v>
      </c>
      <c r="BV712" s="3">
        <v>27.188337422756597</v>
      </c>
      <c r="BW712" s="3">
        <v>26.721670756089928</v>
      </c>
      <c r="BX712" s="3">
        <v>25.941670756089927</v>
      </c>
      <c r="BY712" s="3">
        <v>25.561670756089931</v>
      </c>
      <c r="BZ712" s="3">
        <v>26.89167075608993</v>
      </c>
      <c r="CA712" s="3">
        <v>23.691670756089913</v>
      </c>
      <c r="CB712" s="3">
        <v>21.128337422756594</v>
      </c>
      <c r="CC712" s="3">
        <v>19.541670756089921</v>
      </c>
      <c r="CD712" s="3">
        <v>14.848337422756593</v>
      </c>
      <c r="CE712" s="3">
        <v>13.441670756089927</v>
      </c>
      <c r="CF712" s="3">
        <v>-0.94499591057674337</v>
      </c>
      <c r="CG712" s="3">
        <v>-1.4783292439100748</v>
      </c>
      <c r="CH712" s="3">
        <v>-2.5549959105767428</v>
      </c>
      <c r="CI712" s="13">
        <f>[1]!dbasum(RecData[[#This Row],[20]:[2000]],RecData[[#Headers],[20]:[2000]])</f>
        <v>41.010406558178289</v>
      </c>
      <c r="CJ712" s="14">
        <v>9229</v>
      </c>
      <c r="CK712" s="15" t="s">
        <v>249</v>
      </c>
      <c r="CL712" s="15">
        <f>RecData[[#This Row],[Start Time]]</f>
        <v>43272.14166666667</v>
      </c>
      <c r="CM712" s="16">
        <f>RecData[[#This Row],[Wind Speed avg]]</f>
        <v>1.46</v>
      </c>
      <c r="CN712" s="16">
        <f>RecData[[#This Row],[Wind Dir. avg]]</f>
        <v>175.8</v>
      </c>
      <c r="CO712" s="16">
        <f>RecData[[#This Row],[Amb. Humidity]]</f>
        <v>68.099999999999994</v>
      </c>
      <c r="CP712" s="16">
        <f>RecData[[#This Row],[Amb. Temperature]]</f>
        <v>10.6</v>
      </c>
      <c r="CQ712" s="17">
        <f>RecData[[#This Row],[Amb. Rain Gauge]]</f>
        <v>0</v>
      </c>
      <c r="CR712" s="4" t="s">
        <v>1</v>
      </c>
      <c r="CS712" s="4" t="s">
        <v>49</v>
      </c>
      <c r="CT712" s="70">
        <v>1530.67248535156</v>
      </c>
      <c r="CU712" s="70">
        <v>52.00044631958</v>
      </c>
      <c r="CV712" s="70">
        <v>8.6577186584472603</v>
      </c>
      <c r="CW712" s="70">
        <v>15.1814718246459</v>
      </c>
      <c r="CX712" s="109"/>
      <c r="CY712" s="110"/>
      <c r="CZ712" s="2" t="b">
        <f>IF($DP$1="YES",IF(RecData[[#This Row],[Power (kW)]]&gt;=$CR$3, TRUE,FALSE),TRUE)</f>
        <v>1</v>
      </c>
      <c r="DA712" s="16">
        <f>MIN(MOD(180-ABS(ABS($DA$1-RecData[Yaw Angle (°)])-180),360),MOD(180-ABS(ABS($DB$1-RecData[Yaw Angle (°)])-180),360))</f>
        <v>44.470519541892457</v>
      </c>
      <c r="DB712" s="2" t="str">
        <f>IF($DP$2="None","None",IF(RecData[[#This Row],[Relative Wind Direction]]&lt;=45,"DW",IF(RecData[[#This Row],[Relative Wind Direction]]&lt;=135,"CW","UW")))</f>
        <v>DW</v>
      </c>
      <c r="DC712" s="61" t="e">
        <f>IF($CL712-$CL709&gt;1/24,#REF!,IF(SUM($CQ709:$CQ712)&gt;$DS$1,$DS$5,#REF!-1))</f>
        <v>#REF!</v>
      </c>
      <c r="DD712" s="61" t="e">
        <f>IF(#REF!-$CL712&gt;1/24,#REF!,IF(SUM($CQ709:$CQ712)&gt;$DS$1,$DS$6,DD711-1))</f>
        <v>#REF!</v>
      </c>
      <c r="DE712" s="18" t="b">
        <v>0</v>
      </c>
      <c r="DF712" s="2" t="b">
        <f>IF(OR(RecData[[#This Row],[WSpd_Avg '[m/s']]]-RecData[[#This Row],[Wind Speed min]]&gt;=$DF$3,RecData[[#This Row],[Wind Speed max]]-RecData[[#This Row],[WSpd_Avg '[m/s']]]&gt;=$DF$2),TRUE,FALSE)</f>
        <v>0</v>
      </c>
      <c r="DG712" s="2" t="b">
        <f>RecData[[#This Row],[Temperature '[°C']]]&lt;=-20</f>
        <v>0</v>
      </c>
      <c r="DH712" s="18" t="b">
        <f>NOT(OR(MOD(RecData[[#This Row],[TIMESTAMP]],1)&gt;0.91632,MOD(RecData[[#This Row],[TIMESTAMP]],1)&lt;0.208681))</f>
        <v>0</v>
      </c>
      <c r="DI712" s="18" t="b">
        <f>RecData[[#This Row],[Overall (dBA)]]-RecData[[#This Row],[L90]]&gt;=$DS$4</f>
        <v>0</v>
      </c>
      <c r="DJ712" s="18" t="b">
        <f>RecData[[#This Row],[Overall (dBA)]]&gt;$DS$2</f>
        <v>0</v>
      </c>
      <c r="DK712" s="18" t="b">
        <f>RecData[[#This Row],[Overall (dBA)]]&lt;$DS$3</f>
        <v>0</v>
      </c>
      <c r="DL7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2" s="2">
        <f>IF(AND(RecData[[#This Row],[Turbines ON/OFF]] = "OFF", NOT(OR(RecData[[#This Row],[Junk?]]="YES",RecData[[#This Row],[Gust?]],RecData[[#This Row],[Rain?]:[Min SPL Threshold?]]))),1,0)</f>
        <v>0</v>
      </c>
      <c r="DN712" s="16">
        <f>RecData[[#This Row],[dBA Sum]]</f>
        <v>41.010406558178289</v>
      </c>
      <c r="DO712" s="16">
        <f>RecData[[#This Row],[LAF90.0]]</f>
        <v>39.9</v>
      </c>
      <c r="DP712" s="55">
        <f>IF(AND(RecData[[#This Row],[Useable TON Data?]],RecData[[#This Row],[Turbines ON/OFF]]="ON"),RecData[[#This Row],[dBA Sum]],"")</f>
        <v>41.010406558178289</v>
      </c>
      <c r="DQ712" s="55" t="str">
        <f>IF(AND(RecData[[#This Row],[Useable Background Data?]],RecData[[#This Row],[Turbines ON/OFF]]="OFF"),RecData[[#This Row],[dBA Sum]],"")</f>
        <v/>
      </c>
      <c r="DR712" s="3">
        <f>IF(OR(RecData[[#This Row],[Useable TON Data?]],RecData[[#This Row],[Useable Background Data?]]),ROUND(RecData[[#This Row],[WSpd_Avg '[m/s']]],0),"")</f>
        <v>1</v>
      </c>
      <c r="DS712" s="85">
        <f>(0.00002)^2*(10^(RecData[[#This Row],[Overall (dBA)]]/10))</f>
        <v>5.0477826567464579E-6</v>
      </c>
    </row>
    <row r="713" spans="1:123" ht="15" x14ac:dyDescent="0.25">
      <c r="A713" s="3" t="s">
        <v>249</v>
      </c>
      <c r="B713" s="12">
        <v>43272.143055555556</v>
      </c>
      <c r="C713" s="3"/>
      <c r="D713" s="3">
        <v>41.1</v>
      </c>
      <c r="E713" s="3"/>
      <c r="F713" s="3"/>
      <c r="G713" s="3"/>
      <c r="H713" s="3"/>
      <c r="I713" s="3"/>
      <c r="J713" s="3"/>
      <c r="K713" s="3">
        <v>39.700000000000003</v>
      </c>
      <c r="L713" s="3"/>
      <c r="M713" s="3"/>
      <c r="N713" s="3">
        <v>183.7</v>
      </c>
      <c r="O713" s="3"/>
      <c r="P713" s="3"/>
      <c r="Q713" s="3">
        <v>0.95</v>
      </c>
      <c r="R713" s="3">
        <v>0.1</v>
      </c>
      <c r="S713" s="3">
        <v>2.2999999999999998</v>
      </c>
      <c r="T713" s="3">
        <v>10.6</v>
      </c>
      <c r="U713" s="3">
        <v>68.2</v>
      </c>
      <c r="V713" s="3">
        <v>970.2</v>
      </c>
      <c r="W713" s="3">
        <v>0</v>
      </c>
      <c r="X713" s="3">
        <v>45.9</v>
      </c>
      <c r="Y713" s="3">
        <v>44.4</v>
      </c>
      <c r="Z713" s="3">
        <v>42.6</v>
      </c>
      <c r="AA713" s="3">
        <v>40.299999999999997</v>
      </c>
      <c r="AB713" s="3">
        <v>35.700000000000003</v>
      </c>
      <c r="AC713" s="3">
        <v>33.299999999999997</v>
      </c>
      <c r="AD713" s="3">
        <v>37.799999999999997</v>
      </c>
      <c r="AE713" s="3">
        <v>39.6</v>
      </c>
      <c r="AF713" s="3">
        <v>47.8</v>
      </c>
      <c r="AG713" s="3">
        <v>40.5</v>
      </c>
      <c r="AH713" s="3">
        <v>37.6</v>
      </c>
      <c r="AI713" s="3">
        <v>38</v>
      </c>
      <c r="AJ713" s="3">
        <v>36.4</v>
      </c>
      <c r="AK713" s="3">
        <v>34.799999999999997</v>
      </c>
      <c r="AL713" s="3">
        <v>32.799999999999997</v>
      </c>
      <c r="AM713" s="3">
        <v>33</v>
      </c>
      <c r="AN713" s="3">
        <v>31.3</v>
      </c>
      <c r="AO713" s="3">
        <v>28.5</v>
      </c>
      <c r="AP713" s="3">
        <v>27.2</v>
      </c>
      <c r="AQ713" s="3">
        <v>26.2</v>
      </c>
      <c r="AR713" s="3">
        <v>25.6</v>
      </c>
      <c r="AS713" s="3">
        <v>25.3</v>
      </c>
      <c r="AT713" s="3">
        <v>27.9</v>
      </c>
      <c r="AU713" s="3">
        <v>23.1</v>
      </c>
      <c r="AV713" s="3">
        <v>21.6</v>
      </c>
      <c r="AW713" s="3">
        <v>20.2</v>
      </c>
      <c r="AX713" s="3">
        <v>15.9</v>
      </c>
      <c r="AY713" s="3">
        <v>13.4</v>
      </c>
      <c r="AZ713" s="3">
        <v>0</v>
      </c>
      <c r="BA713" s="3">
        <v>0</v>
      </c>
      <c r="BB713" s="3">
        <v>0</v>
      </c>
      <c r="BC713" s="3">
        <v>41.093045369161914</v>
      </c>
      <c r="BD713" s="3">
        <v>45.906954630838086</v>
      </c>
      <c r="BE713" s="3">
        <v>44.406954630838086</v>
      </c>
      <c r="BF713" s="3">
        <v>41.366954630838094</v>
      </c>
      <c r="BG713" s="3">
        <v>39.393621297504751</v>
      </c>
      <c r="BH713" s="3">
        <v>34.933621297504757</v>
      </c>
      <c r="BI713" s="3">
        <v>32.946954630838079</v>
      </c>
      <c r="BJ713" s="3">
        <v>38.240287964171415</v>
      </c>
      <c r="BK713" s="3">
        <v>39.913621297504747</v>
      </c>
      <c r="BL713" s="3">
        <v>47.686954630838088</v>
      </c>
      <c r="BM713" s="3">
        <v>40.52028796417143</v>
      </c>
      <c r="BN713" s="3">
        <v>37.903621297504756</v>
      </c>
      <c r="BO713" s="3">
        <v>37.670287964171422</v>
      </c>
      <c r="BP713" s="3">
        <v>35.786954630838082</v>
      </c>
      <c r="BQ713" s="3">
        <v>34.603621297504745</v>
      </c>
      <c r="BR713" s="3">
        <v>32.930287964171427</v>
      </c>
      <c r="BS713" s="3">
        <v>32.933621297504757</v>
      </c>
      <c r="BT713" s="3">
        <v>31.430287964171427</v>
      </c>
      <c r="BU713" s="3">
        <v>28.596954630838084</v>
      </c>
      <c r="BV713" s="3">
        <v>27.013621297504756</v>
      </c>
      <c r="BW713" s="3">
        <v>26.546954630838087</v>
      </c>
      <c r="BX713" s="3">
        <v>25.866954630838094</v>
      </c>
      <c r="BY713" s="3">
        <v>25.38695463083809</v>
      </c>
      <c r="BZ713" s="3">
        <v>28.116954630838094</v>
      </c>
      <c r="CA713" s="3">
        <v>23.416954630838077</v>
      </c>
      <c r="CB713" s="3">
        <v>21.353621297504759</v>
      </c>
      <c r="CC713" s="3">
        <v>20.166954630838084</v>
      </c>
      <c r="CD713" s="3">
        <v>15.173621297504759</v>
      </c>
      <c r="CE713" s="3">
        <v>12.866954630838087</v>
      </c>
      <c r="CF713" s="3">
        <v>-0.91971203582858152</v>
      </c>
      <c r="CG713" s="3">
        <v>-1.453045369161913</v>
      </c>
      <c r="CH713" s="3">
        <v>-2.529712035828581</v>
      </c>
      <c r="CI713" s="13">
        <f>[1]!dbasum(RecData[[#This Row],[20]:[2000]],RecData[[#Headers],[20]:[2000]])</f>
        <v>40.381395820788974</v>
      </c>
      <c r="CJ713" s="14">
        <v>9231</v>
      </c>
      <c r="CK713" s="15" t="s">
        <v>249</v>
      </c>
      <c r="CL713" s="15">
        <f>RecData[[#This Row],[Start Time]]</f>
        <v>43272.143055555556</v>
      </c>
      <c r="CM713" s="16">
        <f>RecData[[#This Row],[Wind Speed avg]]</f>
        <v>0.95</v>
      </c>
      <c r="CN713" s="16">
        <f>RecData[[#This Row],[Wind Dir. avg]]</f>
        <v>183.7</v>
      </c>
      <c r="CO713" s="16">
        <f>RecData[[#This Row],[Amb. Humidity]]</f>
        <v>68.2</v>
      </c>
      <c r="CP713" s="16">
        <f>RecData[[#This Row],[Amb. Temperature]]</f>
        <v>10.6</v>
      </c>
      <c r="CQ713" s="17">
        <f>RecData[[#This Row],[Amb. Rain Gauge]]</f>
        <v>0</v>
      </c>
      <c r="CR713" s="4" t="s">
        <v>1</v>
      </c>
      <c r="CS713" s="4" t="s">
        <v>49</v>
      </c>
      <c r="CT713" s="70">
        <v>1530.67248535156</v>
      </c>
      <c r="CU713" s="70">
        <v>52.00044631958</v>
      </c>
      <c r="CV713" s="70">
        <v>8.6577186584472603</v>
      </c>
      <c r="CW713" s="70">
        <v>15.1814718246459</v>
      </c>
      <c r="CX713" s="109"/>
      <c r="CY713" s="110"/>
      <c r="CZ713" s="2" t="b">
        <f>IF($DP$1="YES",IF(RecData[[#This Row],[Power (kW)]]&gt;=$CR$3, TRUE,FALSE),TRUE)</f>
        <v>1</v>
      </c>
      <c r="DA713" s="16">
        <f>MIN(MOD(180-ABS(ABS($DA$1-RecData[Yaw Angle (°)])-180),360),MOD(180-ABS(ABS($DB$1-RecData[Yaw Angle (°)])-180),360))</f>
        <v>44.470519541892457</v>
      </c>
      <c r="DB713" s="2" t="str">
        <f>IF($DP$2="None","None",IF(RecData[[#This Row],[Relative Wind Direction]]&lt;=45,"DW",IF(RecData[[#This Row],[Relative Wind Direction]]&lt;=135,"CW","UW")))</f>
        <v>DW</v>
      </c>
      <c r="DC713" s="61" t="e">
        <f>IF($CL713-$CL710&gt;1/24,#REF!,IF(SUM($CQ710:$CQ713)&gt;$DS$1,$DS$5,DC714-1))</f>
        <v>#REF!</v>
      </c>
      <c r="DD713" s="61" t="e">
        <f>IF($CL714-$CL713&gt;1/24,#REF!,IF(SUM($CQ710:$CQ713)&gt;$DS$1,$DS$6,#REF!-1))</f>
        <v>#REF!</v>
      </c>
      <c r="DE713" s="18" t="b">
        <v>0</v>
      </c>
      <c r="DF713" s="2" t="b">
        <f>IF(OR(RecData[[#This Row],[WSpd_Avg '[m/s']]]-RecData[[#This Row],[Wind Speed min]]&gt;=$DF$3,RecData[[#This Row],[Wind Speed max]]-RecData[[#This Row],[WSpd_Avg '[m/s']]]&gt;=$DF$2),TRUE,FALSE)</f>
        <v>0</v>
      </c>
      <c r="DG713" s="2" t="b">
        <f>RecData[[#This Row],[Temperature '[°C']]]&lt;=-20</f>
        <v>0</v>
      </c>
      <c r="DH713" s="18" t="b">
        <f>NOT(OR(MOD(RecData[[#This Row],[TIMESTAMP]],1)&gt;0.91632,MOD(RecData[[#This Row],[TIMESTAMP]],1)&lt;0.208681))</f>
        <v>0</v>
      </c>
      <c r="DI713" s="18" t="b">
        <f>RecData[[#This Row],[Overall (dBA)]]-RecData[[#This Row],[L90]]&gt;=$DS$4</f>
        <v>0</v>
      </c>
      <c r="DJ713" s="18" t="b">
        <f>RecData[[#This Row],[Overall (dBA)]]&gt;$DS$2</f>
        <v>0</v>
      </c>
      <c r="DK713" s="18" t="b">
        <f>RecData[[#This Row],[Overall (dBA)]]&lt;$DS$3</f>
        <v>0</v>
      </c>
      <c r="DL7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3" s="2">
        <f>IF(AND(RecData[[#This Row],[Turbines ON/OFF]] = "OFF", NOT(OR(RecData[[#This Row],[Junk?]]="YES",RecData[[#This Row],[Gust?]],RecData[[#This Row],[Rain?]:[Min SPL Threshold?]]))),1,0)</f>
        <v>0</v>
      </c>
      <c r="DN713" s="16">
        <f>RecData[[#This Row],[dBA Sum]]</f>
        <v>40.381395820788974</v>
      </c>
      <c r="DO713" s="16">
        <f>RecData[[#This Row],[LAF90.0]]</f>
        <v>39.700000000000003</v>
      </c>
      <c r="DP713" s="55">
        <f>IF(AND(RecData[[#This Row],[Useable TON Data?]],RecData[[#This Row],[Turbines ON/OFF]]="ON"),RecData[[#This Row],[dBA Sum]],"")</f>
        <v>40.381395820788974</v>
      </c>
      <c r="DQ713" s="55" t="str">
        <f>IF(AND(RecData[[#This Row],[Useable Background Data?]],RecData[[#This Row],[Turbines ON/OFF]]="OFF"),RecData[[#This Row],[dBA Sum]],"")</f>
        <v/>
      </c>
      <c r="DR713" s="3">
        <f>IF(OR(RecData[[#This Row],[Useable TON Data?]],RecData[[#This Row],[Useable Background Data?]]),ROUND(RecData[[#This Row],[WSpd_Avg '[m/s']]],0),"")</f>
        <v>1</v>
      </c>
      <c r="DS713" s="85">
        <f>(0.00002)^2*(10^(RecData[[#This Row],[Overall (dBA)]]/10))</f>
        <v>4.3671647253176358E-6</v>
      </c>
    </row>
    <row r="714" spans="1:123" ht="15" x14ac:dyDescent="0.25">
      <c r="A714" s="3" t="s">
        <v>249</v>
      </c>
      <c r="B714" s="12">
        <v>43272.143750000003</v>
      </c>
      <c r="C714" s="3"/>
      <c r="D714" s="3">
        <v>41.1</v>
      </c>
      <c r="E714" s="3"/>
      <c r="F714" s="3"/>
      <c r="G714" s="3"/>
      <c r="H714" s="3"/>
      <c r="I714" s="3"/>
      <c r="J714" s="3"/>
      <c r="K714" s="3">
        <v>40</v>
      </c>
      <c r="L714" s="3"/>
      <c r="M714" s="3"/>
      <c r="N714" s="3">
        <v>164.9</v>
      </c>
      <c r="O714" s="3"/>
      <c r="P714" s="3"/>
      <c r="Q714" s="3">
        <v>1.34</v>
      </c>
      <c r="R714" s="3">
        <v>0.1</v>
      </c>
      <c r="S714" s="3">
        <v>2.7</v>
      </c>
      <c r="T714" s="3">
        <v>10.6</v>
      </c>
      <c r="U714" s="3">
        <v>68</v>
      </c>
      <c r="V714" s="3">
        <v>970.2</v>
      </c>
      <c r="W714" s="3">
        <v>0</v>
      </c>
      <c r="X714" s="3">
        <v>45.7</v>
      </c>
      <c r="Y714" s="3">
        <v>44</v>
      </c>
      <c r="Z714" s="3">
        <v>42</v>
      </c>
      <c r="AA714" s="3">
        <v>39.200000000000003</v>
      </c>
      <c r="AB714" s="3">
        <v>35.799999999999997</v>
      </c>
      <c r="AC714" s="3">
        <v>33.9</v>
      </c>
      <c r="AD714" s="3">
        <v>37.1</v>
      </c>
      <c r="AE714" s="3">
        <v>38</v>
      </c>
      <c r="AF714" s="3">
        <v>45.6</v>
      </c>
      <c r="AG714" s="3">
        <v>40.1</v>
      </c>
      <c r="AH714" s="3">
        <v>36.4</v>
      </c>
      <c r="AI714" s="3">
        <v>37.200000000000003</v>
      </c>
      <c r="AJ714" s="3">
        <v>36</v>
      </c>
      <c r="AK714" s="3">
        <v>34.5</v>
      </c>
      <c r="AL714" s="3">
        <v>32.9</v>
      </c>
      <c r="AM714" s="3">
        <v>33.299999999999997</v>
      </c>
      <c r="AN714" s="3">
        <v>31.7</v>
      </c>
      <c r="AO714" s="3">
        <v>28.9</v>
      </c>
      <c r="AP714" s="3">
        <v>27.9</v>
      </c>
      <c r="AQ714" s="3">
        <v>27.1</v>
      </c>
      <c r="AR714" s="3">
        <v>26.8</v>
      </c>
      <c r="AS714" s="3">
        <v>27</v>
      </c>
      <c r="AT714" s="3">
        <v>27.7</v>
      </c>
      <c r="AU714" s="3">
        <v>25.2</v>
      </c>
      <c r="AV714" s="3">
        <v>23.6</v>
      </c>
      <c r="AW714" s="3">
        <v>21.9</v>
      </c>
      <c r="AX714" s="3">
        <v>17.5</v>
      </c>
      <c r="AY714" s="3">
        <v>15.2</v>
      </c>
      <c r="AZ714" s="3">
        <v>0</v>
      </c>
      <c r="BA714" s="3">
        <v>0</v>
      </c>
      <c r="BB714" s="3">
        <v>0</v>
      </c>
      <c r="BC714" s="3">
        <v>41.126839060391198</v>
      </c>
      <c r="BD714" s="3">
        <v>45.673160939608813</v>
      </c>
      <c r="BE714" s="3">
        <v>43.973160939608796</v>
      </c>
      <c r="BF714" s="3">
        <v>40.733160939608801</v>
      </c>
      <c r="BG714" s="3">
        <v>38.259827606275472</v>
      </c>
      <c r="BH714" s="3">
        <v>34.999827606275467</v>
      </c>
      <c r="BI714" s="3">
        <v>33.513160939608802</v>
      </c>
      <c r="BJ714" s="3">
        <v>37.506494272942128</v>
      </c>
      <c r="BK714" s="3">
        <v>38.279827606275468</v>
      </c>
      <c r="BL714" s="3">
        <v>45.453160939608814</v>
      </c>
      <c r="BM714" s="3">
        <v>40.08649427294214</v>
      </c>
      <c r="BN714" s="3">
        <v>36.669827606275469</v>
      </c>
      <c r="BO714" s="3">
        <v>36.83649427294214</v>
      </c>
      <c r="BP714" s="3">
        <v>35.353160939608806</v>
      </c>
      <c r="BQ714" s="3">
        <v>34.269827606275463</v>
      </c>
      <c r="BR714" s="3">
        <v>32.996494272942137</v>
      </c>
      <c r="BS714" s="3">
        <v>33.19982760627547</v>
      </c>
      <c r="BT714" s="3">
        <v>31.796494272942134</v>
      </c>
      <c r="BU714" s="3">
        <v>28.963160939608805</v>
      </c>
      <c r="BV714" s="3">
        <v>27.679827606275474</v>
      </c>
      <c r="BW714" s="3">
        <v>27.413160939608808</v>
      </c>
      <c r="BX714" s="3">
        <v>27.033160939608813</v>
      </c>
      <c r="BY714" s="3">
        <v>27.053160939608809</v>
      </c>
      <c r="BZ714" s="3">
        <v>27.883160939608807</v>
      </c>
      <c r="CA714" s="3">
        <v>25.483160939608787</v>
      </c>
      <c r="CB714" s="3">
        <v>23.319827606275474</v>
      </c>
      <c r="CC714" s="3">
        <v>21.833160939608796</v>
      </c>
      <c r="CD714" s="3">
        <v>16.739827606275476</v>
      </c>
      <c r="CE714" s="3">
        <v>14.6331609396088</v>
      </c>
      <c r="CF714" s="3">
        <v>-0.95350572705786618</v>
      </c>
      <c r="CG714" s="3">
        <v>-1.4868390603911976</v>
      </c>
      <c r="CH714" s="3">
        <v>-2.5635057270578656</v>
      </c>
      <c r="CI714" s="13">
        <f>[1]!dbasum(RecData[[#This Row],[20]:[2000]],RecData[[#Headers],[20]:[2000]])</f>
        <v>40.203639306132438</v>
      </c>
      <c r="CJ714" s="14">
        <v>9232</v>
      </c>
      <c r="CK714" s="15" t="s">
        <v>249</v>
      </c>
      <c r="CL714" s="15">
        <f>RecData[[#This Row],[Start Time]]</f>
        <v>43272.143750000003</v>
      </c>
      <c r="CM714" s="16">
        <f>RecData[[#This Row],[Wind Speed avg]]</f>
        <v>1.34</v>
      </c>
      <c r="CN714" s="16">
        <f>RecData[[#This Row],[Wind Dir. avg]]</f>
        <v>164.9</v>
      </c>
      <c r="CO714" s="16">
        <f>RecData[[#This Row],[Amb. Humidity]]</f>
        <v>68</v>
      </c>
      <c r="CP714" s="16">
        <f>RecData[[#This Row],[Amb. Temperature]]</f>
        <v>10.6</v>
      </c>
      <c r="CQ714" s="17">
        <f>RecData[[#This Row],[Amb. Rain Gauge]]</f>
        <v>0</v>
      </c>
      <c r="CR714" s="4" t="s">
        <v>1</v>
      </c>
      <c r="CS714" s="4" t="s">
        <v>49</v>
      </c>
      <c r="CT714" s="70">
        <v>1530.67248535156</v>
      </c>
      <c r="CU714" s="70">
        <v>52.00044631958</v>
      </c>
      <c r="CV714" s="70">
        <v>8.6577186584472603</v>
      </c>
      <c r="CW714" s="70">
        <v>15.1814718246459</v>
      </c>
      <c r="CX714" s="109"/>
      <c r="CY714" s="110"/>
      <c r="CZ714" s="2" t="b">
        <f>IF($DP$1="YES",IF(RecData[[#This Row],[Power (kW)]]&gt;=$CR$3, TRUE,FALSE),TRUE)</f>
        <v>1</v>
      </c>
      <c r="DA714" s="16">
        <f>MIN(MOD(180-ABS(ABS($DA$1-RecData[Yaw Angle (°)])-180),360),MOD(180-ABS(ABS($DB$1-RecData[Yaw Angle (°)])-180),360))</f>
        <v>44.470519541892457</v>
      </c>
      <c r="DB714" s="2" t="str">
        <f>IF($DP$2="None","None",IF(RecData[[#This Row],[Relative Wind Direction]]&lt;=45,"DW",IF(RecData[[#This Row],[Relative Wind Direction]]&lt;=135,"CW","UW")))</f>
        <v>DW</v>
      </c>
      <c r="DC714" s="61" t="e">
        <f>IF($CL714-$CL711&gt;1/24,#REF!,IF(SUM($CQ711:$CQ714)&gt;$DS$1,$DS$5,DC715-1))</f>
        <v>#REF!</v>
      </c>
      <c r="DD714" s="61" t="e">
        <f>IF($CL715-$CL714&gt;1/24,#REF!,IF(SUM($CQ711:$CQ714)&gt;$DS$1,$DS$6,DD713-1))</f>
        <v>#REF!</v>
      </c>
      <c r="DE714" s="18" t="b">
        <v>0</v>
      </c>
      <c r="DF714" s="2" t="b">
        <f>IF(OR(RecData[[#This Row],[WSpd_Avg '[m/s']]]-RecData[[#This Row],[Wind Speed min]]&gt;=$DF$3,RecData[[#This Row],[Wind Speed max]]-RecData[[#This Row],[WSpd_Avg '[m/s']]]&gt;=$DF$2),TRUE,FALSE)</f>
        <v>0</v>
      </c>
      <c r="DG714" s="2" t="b">
        <f>RecData[[#This Row],[Temperature '[°C']]]&lt;=-20</f>
        <v>0</v>
      </c>
      <c r="DH714" s="18" t="b">
        <f>NOT(OR(MOD(RecData[[#This Row],[TIMESTAMP]],1)&gt;0.91632,MOD(RecData[[#This Row],[TIMESTAMP]],1)&lt;0.208681))</f>
        <v>0</v>
      </c>
      <c r="DI714" s="18" t="b">
        <f>RecData[[#This Row],[Overall (dBA)]]-RecData[[#This Row],[L90]]&gt;=$DS$4</f>
        <v>0</v>
      </c>
      <c r="DJ714" s="18" t="b">
        <f>RecData[[#This Row],[Overall (dBA)]]&gt;$DS$2</f>
        <v>0</v>
      </c>
      <c r="DK714" s="18" t="b">
        <f>RecData[[#This Row],[Overall (dBA)]]&lt;$DS$3</f>
        <v>0</v>
      </c>
      <c r="DL7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4" s="2">
        <f>IF(AND(RecData[[#This Row],[Turbines ON/OFF]] = "OFF", NOT(OR(RecData[[#This Row],[Junk?]]="YES",RecData[[#This Row],[Gust?]],RecData[[#This Row],[Rain?]:[Min SPL Threshold?]]))),1,0)</f>
        <v>0</v>
      </c>
      <c r="DN714" s="16">
        <f>RecData[[#This Row],[dBA Sum]]</f>
        <v>40.203639306132438</v>
      </c>
      <c r="DO714" s="16">
        <f>RecData[[#This Row],[LAF90.0]]</f>
        <v>40</v>
      </c>
      <c r="DP714" s="55">
        <f>IF(AND(RecData[[#This Row],[Useable TON Data?]],RecData[[#This Row],[Turbines ON/OFF]]="ON"),RecData[[#This Row],[dBA Sum]],"")</f>
        <v>40.203639306132438</v>
      </c>
      <c r="DQ714" s="55" t="str">
        <f>IF(AND(RecData[[#This Row],[Useable Background Data?]],RecData[[#This Row],[Turbines ON/OFF]]="OFF"),RecData[[#This Row],[dBA Sum]],"")</f>
        <v/>
      </c>
      <c r="DR714" s="3">
        <f>IF(OR(RecData[[#This Row],[Useable TON Data?]],RecData[[#This Row],[Useable Background Data?]]),ROUND(RecData[[#This Row],[WSpd_Avg '[m/s']]],0),"")</f>
        <v>1</v>
      </c>
      <c r="DS714" s="85">
        <f>(0.00002)^2*(10^(RecData[[#This Row],[Overall (dBA)]]/10))</f>
        <v>4.1920255593976726E-6</v>
      </c>
    </row>
    <row r="715" spans="1:123" ht="15" x14ac:dyDescent="0.25">
      <c r="A715" s="3" t="s">
        <v>249</v>
      </c>
      <c r="B715" s="12">
        <v>43272.144444444442</v>
      </c>
      <c r="C715" s="3"/>
      <c r="D715" s="3">
        <v>41</v>
      </c>
      <c r="E715" s="3"/>
      <c r="F715" s="3"/>
      <c r="G715" s="3"/>
      <c r="H715" s="3"/>
      <c r="I715" s="3"/>
      <c r="J715" s="3"/>
      <c r="K715" s="3">
        <v>38.4</v>
      </c>
      <c r="L715" s="3"/>
      <c r="M715" s="3"/>
      <c r="N715" s="3">
        <v>179.6</v>
      </c>
      <c r="O715" s="3"/>
      <c r="P715" s="3"/>
      <c r="Q715" s="3">
        <v>1</v>
      </c>
      <c r="R715" s="3">
        <v>0.3</v>
      </c>
      <c r="S715" s="3">
        <v>1.9</v>
      </c>
      <c r="T715" s="3">
        <v>10.5</v>
      </c>
      <c r="U715" s="3">
        <v>68.099999999999994</v>
      </c>
      <c r="V715" s="3">
        <v>970.3</v>
      </c>
      <c r="W715" s="3">
        <v>0</v>
      </c>
      <c r="X715" s="3">
        <v>46.6</v>
      </c>
      <c r="Y715" s="3">
        <v>45.3</v>
      </c>
      <c r="Z715" s="3">
        <v>43.4</v>
      </c>
      <c r="AA715" s="3">
        <v>39.6</v>
      </c>
      <c r="AB715" s="3">
        <v>36.1</v>
      </c>
      <c r="AC715" s="3">
        <v>33.6</v>
      </c>
      <c r="AD715" s="3">
        <v>37.200000000000003</v>
      </c>
      <c r="AE715" s="3">
        <v>38.799999999999997</v>
      </c>
      <c r="AF715" s="3">
        <v>46.3</v>
      </c>
      <c r="AG715" s="3">
        <v>41.7</v>
      </c>
      <c r="AH715" s="3">
        <v>36.5</v>
      </c>
      <c r="AI715" s="3">
        <v>37.299999999999997</v>
      </c>
      <c r="AJ715" s="3">
        <v>36.200000000000003</v>
      </c>
      <c r="AK715" s="3">
        <v>34.799999999999997</v>
      </c>
      <c r="AL715" s="3">
        <v>33.200000000000003</v>
      </c>
      <c r="AM715" s="3">
        <v>33.5</v>
      </c>
      <c r="AN715" s="3">
        <v>31.9</v>
      </c>
      <c r="AO715" s="3">
        <v>29.1</v>
      </c>
      <c r="AP715" s="3">
        <v>27.6</v>
      </c>
      <c r="AQ715" s="3">
        <v>26.5</v>
      </c>
      <c r="AR715" s="3">
        <v>25.5</v>
      </c>
      <c r="AS715" s="3">
        <v>25.1</v>
      </c>
      <c r="AT715" s="3">
        <v>25.3</v>
      </c>
      <c r="AU715" s="3">
        <v>22.5</v>
      </c>
      <c r="AV715" s="3">
        <v>21.2</v>
      </c>
      <c r="AW715" s="3">
        <v>19.399999999999999</v>
      </c>
      <c r="AX715" s="3">
        <v>15.1</v>
      </c>
      <c r="AY715" s="3">
        <v>12.9</v>
      </c>
      <c r="AZ715" s="3">
        <v>0</v>
      </c>
      <c r="BA715" s="3">
        <v>0</v>
      </c>
      <c r="BB715" s="3">
        <v>0</v>
      </c>
      <c r="BC715" s="3">
        <v>40.952410686157705</v>
      </c>
      <c r="BD715" s="3">
        <v>46.647589313842289</v>
      </c>
      <c r="BE715" s="3">
        <v>45.347589313842292</v>
      </c>
      <c r="BF715" s="3">
        <v>42.207589313842291</v>
      </c>
      <c r="BG715" s="3">
        <v>38.734255980508962</v>
      </c>
      <c r="BH715" s="3">
        <v>35.374255980508963</v>
      </c>
      <c r="BI715" s="3">
        <v>33.287589313842304</v>
      </c>
      <c r="BJ715" s="3">
        <v>37.68092264717562</v>
      </c>
      <c r="BK715" s="3">
        <v>39.15425598050895</v>
      </c>
      <c r="BL715" s="3">
        <v>46.227589313842302</v>
      </c>
      <c r="BM715" s="3">
        <v>41.760922647175633</v>
      </c>
      <c r="BN715" s="3">
        <v>36.844255980508962</v>
      </c>
      <c r="BO715" s="3">
        <v>37.010922647175633</v>
      </c>
      <c r="BP715" s="3">
        <v>35.627589313842307</v>
      </c>
      <c r="BQ715" s="3">
        <v>34.644255980508959</v>
      </c>
      <c r="BR715" s="3">
        <v>33.370922647175632</v>
      </c>
      <c r="BS715" s="3">
        <v>33.474255980508971</v>
      </c>
      <c r="BT715" s="3">
        <v>32.070922647175635</v>
      </c>
      <c r="BU715" s="3">
        <v>29.237589313842292</v>
      </c>
      <c r="BV715" s="3">
        <v>27.454255980508961</v>
      </c>
      <c r="BW715" s="3">
        <v>26.887589313842298</v>
      </c>
      <c r="BX715" s="3">
        <v>25.8075893138423</v>
      </c>
      <c r="BY715" s="3">
        <v>25.227589313842302</v>
      </c>
      <c r="BZ715" s="3">
        <v>25.5575893138423</v>
      </c>
      <c r="CA715" s="3">
        <v>22.857589313842283</v>
      </c>
      <c r="CB715" s="3">
        <v>20.99425598050896</v>
      </c>
      <c r="CC715" s="3">
        <v>19.407589313842294</v>
      </c>
      <c r="CD715" s="3">
        <v>14.414255980508969</v>
      </c>
      <c r="CE715" s="3">
        <v>12.407589313842294</v>
      </c>
      <c r="CF715" s="3">
        <v>-0.87907735282437471</v>
      </c>
      <c r="CG715" s="3">
        <v>-1.4124106861577062</v>
      </c>
      <c r="CH715" s="3">
        <v>-2.4890773528243741</v>
      </c>
      <c r="CI715" s="13">
        <f>[1]!dbasum(RecData[[#This Row],[20]:[2000]],RecData[[#Headers],[20]:[2000]])</f>
        <v>40.450569180406092</v>
      </c>
      <c r="CJ715" s="14">
        <v>9233</v>
      </c>
      <c r="CK715" s="15" t="s">
        <v>249</v>
      </c>
      <c r="CL715" s="15">
        <f>RecData[[#This Row],[Start Time]]</f>
        <v>43272.144444444442</v>
      </c>
      <c r="CM715" s="16">
        <f>RecData[[#This Row],[Wind Speed avg]]</f>
        <v>1</v>
      </c>
      <c r="CN715" s="16">
        <f>RecData[[#This Row],[Wind Dir. avg]]</f>
        <v>179.6</v>
      </c>
      <c r="CO715" s="16">
        <f>RecData[[#This Row],[Amb. Humidity]]</f>
        <v>68.099999999999994</v>
      </c>
      <c r="CP715" s="16">
        <f>RecData[[#This Row],[Amb. Temperature]]</f>
        <v>10.5</v>
      </c>
      <c r="CQ715" s="17">
        <f>RecData[[#This Row],[Amb. Rain Gauge]]</f>
        <v>0</v>
      </c>
      <c r="CR715" s="4" t="s">
        <v>1</v>
      </c>
      <c r="CS715" s="4" t="s">
        <v>49</v>
      </c>
      <c r="CT715" s="70">
        <v>1530.67248535156</v>
      </c>
      <c r="CU715" s="70">
        <v>52.00044631958</v>
      </c>
      <c r="CV715" s="70">
        <v>8.6577186584472603</v>
      </c>
      <c r="CW715" s="70">
        <v>15.1814718246459</v>
      </c>
      <c r="CX715" s="109"/>
      <c r="CY715" s="110"/>
      <c r="CZ715" s="2" t="b">
        <f>IF($DP$1="YES",IF(RecData[[#This Row],[Power (kW)]]&gt;=$CR$3, TRUE,FALSE),TRUE)</f>
        <v>1</v>
      </c>
      <c r="DA715" s="16">
        <f>MIN(MOD(180-ABS(ABS($DA$1-RecData[Yaw Angle (°)])-180),360),MOD(180-ABS(ABS($DB$1-RecData[Yaw Angle (°)])-180),360))</f>
        <v>44.470519541892457</v>
      </c>
      <c r="DB715" s="2" t="str">
        <f>IF($DP$2="None","None",IF(RecData[[#This Row],[Relative Wind Direction]]&lt;=45,"DW",IF(RecData[[#This Row],[Relative Wind Direction]]&lt;=135,"CW","UW")))</f>
        <v>DW</v>
      </c>
      <c r="DC715" s="61" t="e">
        <f>IF($CL715-$CL712&gt;1/24,#REF!,IF(SUM($CQ712:$CQ715)&gt;$DS$1,$DS$5,DC716-1))</f>
        <v>#REF!</v>
      </c>
      <c r="DD715" s="61" t="e">
        <f>IF($CL716-$CL715&gt;1/24,#REF!,IF(SUM($CQ712:$CQ715)&gt;$DS$1,$DS$6,DD714-1))</f>
        <v>#REF!</v>
      </c>
      <c r="DE715" s="18" t="b">
        <v>0</v>
      </c>
      <c r="DF715" s="2" t="b">
        <f>IF(OR(RecData[[#This Row],[WSpd_Avg '[m/s']]]-RecData[[#This Row],[Wind Speed min]]&gt;=$DF$3,RecData[[#This Row],[Wind Speed max]]-RecData[[#This Row],[WSpd_Avg '[m/s']]]&gt;=$DF$2),TRUE,FALSE)</f>
        <v>0</v>
      </c>
      <c r="DG715" s="2" t="b">
        <f>RecData[[#This Row],[Temperature '[°C']]]&lt;=-20</f>
        <v>0</v>
      </c>
      <c r="DH715" s="18" t="b">
        <f>NOT(OR(MOD(RecData[[#This Row],[TIMESTAMP]],1)&gt;0.91632,MOD(RecData[[#This Row],[TIMESTAMP]],1)&lt;0.208681))</f>
        <v>0</v>
      </c>
      <c r="DI715" s="18" t="b">
        <f>RecData[[#This Row],[Overall (dBA)]]-RecData[[#This Row],[L90]]&gt;=$DS$4</f>
        <v>0</v>
      </c>
      <c r="DJ715" s="18" t="b">
        <f>RecData[[#This Row],[Overall (dBA)]]&gt;$DS$2</f>
        <v>0</v>
      </c>
      <c r="DK715" s="18" t="b">
        <f>RecData[[#This Row],[Overall (dBA)]]&lt;$DS$3</f>
        <v>0</v>
      </c>
      <c r="DL7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715" s="2">
        <f>IF(AND(RecData[[#This Row],[Turbines ON/OFF]] = "OFF", NOT(OR(RecData[[#This Row],[Junk?]]="YES",RecData[[#This Row],[Gust?]],RecData[[#This Row],[Rain?]:[Min SPL Threshold?]]))),1,0)</f>
        <v>0</v>
      </c>
      <c r="DN715" s="16">
        <f>RecData[[#This Row],[dBA Sum]]</f>
        <v>40.450569180406092</v>
      </c>
      <c r="DO715" s="16">
        <f>RecData[[#This Row],[LAF90.0]]</f>
        <v>38.4</v>
      </c>
      <c r="DP715" s="55">
        <f>IF(AND(RecData[[#This Row],[Useable TON Data?]],RecData[[#This Row],[Turbines ON/OFF]]="ON"),RecData[[#This Row],[dBA Sum]],"")</f>
        <v>40.450569180406092</v>
      </c>
      <c r="DQ715" s="55" t="str">
        <f>IF(AND(RecData[[#This Row],[Useable Background Data?]],RecData[[#This Row],[Turbines ON/OFF]]="OFF"),RecData[[#This Row],[dBA Sum]],"")</f>
        <v/>
      </c>
      <c r="DR715" s="3">
        <f>IF(OR(RecData[[#This Row],[Useable TON Data?]],RecData[[#This Row],[Useable Background Data?]]),ROUND(RecData[[#This Row],[WSpd_Avg '[m/s']]],0),"")</f>
        <v>1</v>
      </c>
      <c r="DS715" s="85">
        <f>(0.00002)^2*(10^(RecData[[#This Row],[Overall (dBA)]]/10))</f>
        <v>4.4372807668894479E-6</v>
      </c>
    </row>
    <row r="716" spans="1:123" ht="15" x14ac:dyDescent="0.25">
      <c r="A716" s="3" t="s">
        <v>249</v>
      </c>
      <c r="B716" s="12">
        <v>43272.145138888889</v>
      </c>
      <c r="C716" s="3"/>
      <c r="D716" s="3">
        <v>41.2</v>
      </c>
      <c r="E716" s="3"/>
      <c r="F716" s="3"/>
      <c r="G716" s="3"/>
      <c r="H716" s="3"/>
      <c r="I716" s="3"/>
      <c r="J716" s="3"/>
      <c r="K716" s="3">
        <v>39.799999999999997</v>
      </c>
      <c r="L716" s="3"/>
      <c r="M716" s="3"/>
      <c r="N716" s="3">
        <v>184.3</v>
      </c>
      <c r="O716" s="3"/>
      <c r="P716" s="3"/>
      <c r="Q716" s="3">
        <v>1.59</v>
      </c>
      <c r="R716" s="3">
        <v>0.4</v>
      </c>
      <c r="S716" s="3">
        <v>2.8</v>
      </c>
      <c r="T716" s="3">
        <v>10.5</v>
      </c>
      <c r="U716" s="3">
        <v>68.099999999999994</v>
      </c>
      <c r="V716" s="3">
        <v>970.3</v>
      </c>
      <c r="W716" s="3">
        <v>0</v>
      </c>
      <c r="X716" s="3">
        <v>46.5</v>
      </c>
      <c r="Y716" s="3">
        <v>45.4</v>
      </c>
      <c r="Z716" s="3">
        <v>42.5</v>
      </c>
      <c r="AA716" s="3">
        <v>39.299999999999997</v>
      </c>
      <c r="AB716" s="3">
        <v>35.700000000000003</v>
      </c>
      <c r="AC716" s="3">
        <v>34.799999999999997</v>
      </c>
      <c r="AD716" s="3">
        <v>37.700000000000003</v>
      </c>
      <c r="AE716" s="3">
        <v>38.1</v>
      </c>
      <c r="AF716" s="3">
        <v>44.9</v>
      </c>
      <c r="AG716" s="3">
        <v>40.4</v>
      </c>
      <c r="AH716" s="3">
        <v>36.299999999999997</v>
      </c>
      <c r="AI716" s="3">
        <v>36.9</v>
      </c>
      <c r="AJ716" s="3">
        <v>36.200000000000003</v>
      </c>
      <c r="AK716" s="3">
        <v>34.4</v>
      </c>
      <c r="AL716" s="3">
        <v>33</v>
      </c>
      <c r="AM716" s="3">
        <v>33.299999999999997</v>
      </c>
      <c r="AN716" s="3">
        <v>31.5</v>
      </c>
      <c r="AO716" s="3">
        <v>28.8</v>
      </c>
      <c r="AP716" s="3">
        <v>27.5</v>
      </c>
      <c r="AQ716" s="3">
        <v>27.1</v>
      </c>
      <c r="AR716" s="3">
        <v>26.9</v>
      </c>
      <c r="AS716" s="3">
        <v>27.2</v>
      </c>
      <c r="AT716" s="3">
        <v>27.9</v>
      </c>
      <c r="AU716" s="3">
        <v>25.9</v>
      </c>
      <c r="AV716" s="3">
        <v>24</v>
      </c>
      <c r="AW716" s="3">
        <v>22.4</v>
      </c>
      <c r="AX716" s="3">
        <v>18.100000000000001</v>
      </c>
      <c r="AY716" s="3">
        <v>16.399999999999999</v>
      </c>
      <c r="AZ716" s="3">
        <v>0</v>
      </c>
      <c r="BA716" s="3">
        <v>0</v>
      </c>
      <c r="BB716" s="3">
        <v>0</v>
      </c>
      <c r="BC716" s="3">
        <v>41.118111258182417</v>
      </c>
      <c r="BD716" s="3">
        <v>46.581888741817586</v>
      </c>
      <c r="BE716" s="3">
        <v>45.481888741817578</v>
      </c>
      <c r="BF716" s="3">
        <v>41.341888741817591</v>
      </c>
      <c r="BG716" s="3">
        <v>38.468555408484256</v>
      </c>
      <c r="BH716" s="3">
        <v>35.008555408484249</v>
      </c>
      <c r="BI716" s="3">
        <v>34.521888741817584</v>
      </c>
      <c r="BJ716" s="3">
        <v>38.215222075150926</v>
      </c>
      <c r="BK716" s="3">
        <v>38.488555408484252</v>
      </c>
      <c r="BL716" s="3">
        <v>44.861888741817587</v>
      </c>
      <c r="BM716" s="3">
        <v>40.495222075150927</v>
      </c>
      <c r="BN716" s="3">
        <v>36.67855540848425</v>
      </c>
      <c r="BO716" s="3">
        <v>36.645222075150919</v>
      </c>
      <c r="BP716" s="3">
        <v>35.661888741817585</v>
      </c>
      <c r="BQ716" s="3">
        <v>34.278555408484245</v>
      </c>
      <c r="BR716" s="3">
        <v>33.205222075150921</v>
      </c>
      <c r="BS716" s="3">
        <v>33.30855540848426</v>
      </c>
      <c r="BT716" s="3">
        <v>31.705222075150921</v>
      </c>
      <c r="BU716" s="3">
        <v>28.971888741817587</v>
      </c>
      <c r="BV716" s="3">
        <v>27.388555408484258</v>
      </c>
      <c r="BW716" s="3">
        <v>27.521888741817598</v>
      </c>
      <c r="BX716" s="3">
        <v>27.241888741817597</v>
      </c>
      <c r="BY716" s="3">
        <v>27.361888741817587</v>
      </c>
      <c r="BZ716" s="3">
        <v>28.191888741817586</v>
      </c>
      <c r="CA716" s="3">
        <v>26.29188874181758</v>
      </c>
      <c r="CB716" s="3">
        <v>23.828555408484256</v>
      </c>
      <c r="CC716" s="3">
        <v>22.441888741817586</v>
      </c>
      <c r="CD716" s="3">
        <v>17.44855540848426</v>
      </c>
      <c r="CE716" s="3">
        <v>15.941888741817586</v>
      </c>
      <c r="CF716" s="3">
        <v>-0.84477792484908321</v>
      </c>
      <c r="CG716" s="3">
        <v>-1.3781112581824146</v>
      </c>
      <c r="CH716" s="3">
        <v>-2.4547779248490826</v>
      </c>
      <c r="CI716" s="13">
        <f>[1]!dbasum(RecData[[#This Row],[20]:[2000]],RecData[[#Headers],[20]:[2000]])</f>
        <v>40.221897026080065</v>
      </c>
      <c r="CJ716" s="14">
        <v>9234</v>
      </c>
      <c r="CK716" s="15" t="s">
        <v>249</v>
      </c>
      <c r="CL716" s="15">
        <f>RecData[[#This Row],[Start Time]]</f>
        <v>43272.145138888889</v>
      </c>
      <c r="CM716" s="16">
        <f>RecData[[#This Row],[Wind Speed avg]]</f>
        <v>1.59</v>
      </c>
      <c r="CN716" s="16">
        <f>RecData[[#This Row],[Wind Dir. avg]]</f>
        <v>184.3</v>
      </c>
      <c r="CO716" s="16">
        <f>RecData[[#This Row],[Amb. Humidity]]</f>
        <v>68.099999999999994</v>
      </c>
      <c r="CP716" s="16">
        <f>RecData[[#This Row],[Amb. Temperature]]</f>
        <v>10.5</v>
      </c>
      <c r="CQ716" s="17">
        <f>RecData[[#This Row],[Amb. Rain Gauge]]</f>
        <v>0</v>
      </c>
      <c r="CR716" s="4" t="s">
        <v>1</v>
      </c>
      <c r="CS716" s="4" t="s">
        <v>49</v>
      </c>
      <c r="CT716" s="70">
        <v>1530.67248535156</v>
      </c>
      <c r="CU716" s="70">
        <v>52.00044631958</v>
      </c>
      <c r="CV716" s="70">
        <v>8.6577186584472603</v>
      </c>
      <c r="CW716" s="70">
        <v>15.1814718246459</v>
      </c>
      <c r="CX716" s="4" t="s">
        <v>49</v>
      </c>
      <c r="CY716" s="69" t="s">
        <v>254</v>
      </c>
      <c r="CZ716" s="2" t="b">
        <f>IF($DP$1="YES",IF(RecData[[#This Row],[Power (kW)]]&gt;=$CR$3, TRUE,FALSE),TRUE)</f>
        <v>1</v>
      </c>
      <c r="DA716" s="16">
        <f>MIN(MOD(180-ABS(ABS($DA$1-RecData[Yaw Angle (°)])-180),360),MOD(180-ABS(ABS($DB$1-RecData[Yaw Angle (°)])-180),360))</f>
        <v>44.470519541892457</v>
      </c>
      <c r="DB716" s="2" t="str">
        <f>IF($DP$2="None","None",IF(RecData[[#This Row],[Relative Wind Direction]]&lt;=45,"DW",IF(RecData[[#This Row],[Relative Wind Direction]]&lt;=135,"CW","UW")))</f>
        <v>DW</v>
      </c>
      <c r="DC716" s="61" t="e">
        <f>IF($CL716-#REF!&gt;1/24,#REF!,IF(SUM($CQ713:$CQ716)&gt;$DS$1,$DS$5,DC717-1))</f>
        <v>#REF!</v>
      </c>
      <c r="DD716" s="61" t="e">
        <f>IF($CL717-$CL716&gt;1/24,#REF!,IF(SUM($CQ713:$CQ716)&gt;$DS$1,$DS$6,DD715-1))</f>
        <v>#REF!</v>
      </c>
      <c r="DE716" s="18" t="b">
        <v>0</v>
      </c>
      <c r="DF716" s="2" t="b">
        <f>IF(OR(RecData[[#This Row],[WSpd_Avg '[m/s']]]-RecData[[#This Row],[Wind Speed min]]&gt;=$DF$3,RecData[[#This Row],[Wind Speed max]]-RecData[[#This Row],[WSpd_Avg '[m/s']]]&gt;=$DF$2),TRUE,FALSE)</f>
        <v>0</v>
      </c>
      <c r="DG716" s="2" t="b">
        <f>RecData[[#This Row],[Temperature '[°C']]]&lt;=-20</f>
        <v>0</v>
      </c>
      <c r="DH716" s="18" t="b">
        <f>NOT(OR(MOD(RecData[[#This Row],[TIMESTAMP]],1)&gt;0.91632,MOD(RecData[[#This Row],[TIMESTAMP]],1)&lt;0.208681))</f>
        <v>0</v>
      </c>
      <c r="DI716" s="18" t="b">
        <f>RecData[[#This Row],[Overall (dBA)]]-RecData[[#This Row],[L90]]&gt;=$DS$4</f>
        <v>0</v>
      </c>
      <c r="DJ716" s="18" t="b">
        <f>RecData[[#This Row],[Overall (dBA)]]&gt;$DS$2</f>
        <v>0</v>
      </c>
      <c r="DK716" s="18" t="b">
        <f>RecData[[#This Row],[Overall (dBA)]]&lt;$DS$3</f>
        <v>0</v>
      </c>
      <c r="DL7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16" s="2">
        <f>IF(AND(RecData[[#This Row],[Turbines ON/OFF]] = "OFF", NOT(OR(RecData[[#This Row],[Junk?]]="YES",RecData[[#This Row],[Gust?]],RecData[[#This Row],[Rain?]:[Min SPL Threshold?]]))),1,0)</f>
        <v>0</v>
      </c>
      <c r="DN716" s="16">
        <f>RecData[[#This Row],[dBA Sum]]</f>
        <v>40.221897026080065</v>
      </c>
      <c r="DO716" s="16">
        <f>RecData[[#This Row],[LAF90.0]]</f>
        <v>39.799999999999997</v>
      </c>
      <c r="DP716" s="55" t="str">
        <f>IF(AND(RecData[[#This Row],[Useable TON Data?]],RecData[[#This Row],[Turbines ON/OFF]]="ON"),RecData[[#This Row],[dBA Sum]],"")</f>
        <v/>
      </c>
      <c r="DQ716" s="55" t="str">
        <f>IF(AND(RecData[[#This Row],[Useable Background Data?]],RecData[[#This Row],[Turbines ON/OFF]]="OFF"),RecData[[#This Row],[dBA Sum]],"")</f>
        <v/>
      </c>
      <c r="DR716" s="3" t="str">
        <f>IF(OR(RecData[[#This Row],[Useable TON Data?]],RecData[[#This Row],[Useable Background Data?]]),ROUND(RecData[[#This Row],[WSpd_Avg '[m/s']]],0),"")</f>
        <v/>
      </c>
      <c r="DS716" s="85">
        <f>(0.00002)^2*(10^(RecData[[#This Row],[Overall (dBA)]]/10))</f>
        <v>4.2096859114844376E-6</v>
      </c>
    </row>
    <row r="717" spans="1:123" ht="15" x14ac:dyDescent="0.25">
      <c r="A717" s="3" t="s">
        <v>249</v>
      </c>
      <c r="B717" s="12">
        <v>43272.145833333336</v>
      </c>
      <c r="C717" s="3"/>
      <c r="D717" s="3">
        <v>41.7</v>
      </c>
      <c r="E717" s="3"/>
      <c r="F717" s="3"/>
      <c r="G717" s="3"/>
      <c r="H717" s="3"/>
      <c r="I717" s="3"/>
      <c r="J717" s="3"/>
      <c r="K717" s="3">
        <v>40.4</v>
      </c>
      <c r="L717" s="3"/>
      <c r="M717" s="3"/>
      <c r="N717" s="3">
        <v>177.2</v>
      </c>
      <c r="O717" s="3"/>
      <c r="P717" s="3"/>
      <c r="Q717" s="3">
        <v>1.74</v>
      </c>
      <c r="R717" s="3">
        <v>0.2</v>
      </c>
      <c r="S717" s="3">
        <v>3.1</v>
      </c>
      <c r="T717" s="3">
        <v>10.5</v>
      </c>
      <c r="U717" s="3">
        <v>68</v>
      </c>
      <c r="V717" s="3">
        <v>970.3</v>
      </c>
      <c r="W717" s="3">
        <v>0</v>
      </c>
      <c r="X717" s="3">
        <v>46.2</v>
      </c>
      <c r="Y717" s="3">
        <v>45.3</v>
      </c>
      <c r="Z717" s="3">
        <v>43.4</v>
      </c>
      <c r="AA717" s="3">
        <v>40.200000000000003</v>
      </c>
      <c r="AB717" s="3">
        <v>36.1</v>
      </c>
      <c r="AC717" s="3">
        <v>34.1</v>
      </c>
      <c r="AD717" s="3">
        <v>36.9</v>
      </c>
      <c r="AE717" s="3">
        <v>38.299999999999997</v>
      </c>
      <c r="AF717" s="3">
        <v>44.6</v>
      </c>
      <c r="AG717" s="3">
        <v>38.799999999999997</v>
      </c>
      <c r="AH717" s="3">
        <v>36.4</v>
      </c>
      <c r="AI717" s="3">
        <v>37.1</v>
      </c>
      <c r="AJ717" s="3">
        <v>36</v>
      </c>
      <c r="AK717" s="3">
        <v>34.700000000000003</v>
      </c>
      <c r="AL717" s="3">
        <v>33.299999999999997</v>
      </c>
      <c r="AM717" s="3">
        <v>33.4</v>
      </c>
      <c r="AN717" s="3">
        <v>32.1</v>
      </c>
      <c r="AO717" s="3">
        <v>29.4</v>
      </c>
      <c r="AP717" s="3">
        <v>28.4</v>
      </c>
      <c r="AQ717" s="3">
        <v>28</v>
      </c>
      <c r="AR717" s="3">
        <v>28.2</v>
      </c>
      <c r="AS717" s="3">
        <v>28.8</v>
      </c>
      <c r="AT717" s="3">
        <v>29.5</v>
      </c>
      <c r="AU717" s="3">
        <v>27.7</v>
      </c>
      <c r="AV717" s="3">
        <v>25.5</v>
      </c>
      <c r="AW717" s="3">
        <v>23.5</v>
      </c>
      <c r="AX717" s="3">
        <v>19</v>
      </c>
      <c r="AY717" s="3">
        <v>17</v>
      </c>
      <c r="AZ717" s="3">
        <v>0</v>
      </c>
      <c r="BA717" s="3">
        <v>0</v>
      </c>
      <c r="BB717" s="3">
        <v>0</v>
      </c>
      <c r="BC717" s="3">
        <v>41.703277309414858</v>
      </c>
      <c r="BD717" s="3">
        <v>46.196722690585148</v>
      </c>
      <c r="BE717" s="3">
        <v>45.296722690585142</v>
      </c>
      <c r="BF717" s="3">
        <v>42.156722690585141</v>
      </c>
      <c r="BG717" s="3">
        <v>39.283389357251821</v>
      </c>
      <c r="BH717" s="3">
        <v>35.323389357251813</v>
      </c>
      <c r="BI717" s="3">
        <v>33.73672269058514</v>
      </c>
      <c r="BJ717" s="3">
        <v>37.330056023918473</v>
      </c>
      <c r="BK717" s="3">
        <v>38.603389357251814</v>
      </c>
      <c r="BL717" s="3">
        <v>44.476722690585149</v>
      </c>
      <c r="BM717" s="3">
        <v>38.810056023918477</v>
      </c>
      <c r="BN717" s="3">
        <v>36.693389357251817</v>
      </c>
      <c r="BO717" s="3">
        <v>36.76005602391848</v>
      </c>
      <c r="BP717" s="3">
        <v>35.376722690585154</v>
      </c>
      <c r="BQ717" s="3">
        <v>34.4933893572518</v>
      </c>
      <c r="BR717" s="3">
        <v>33.420056023918477</v>
      </c>
      <c r="BS717" s="3">
        <v>33.323389357251813</v>
      </c>
      <c r="BT717" s="3">
        <v>32.220056023918488</v>
      </c>
      <c r="BU717" s="3">
        <v>29.48672269058514</v>
      </c>
      <c r="BV717" s="3">
        <v>28.203389357251808</v>
      </c>
      <c r="BW717" s="3">
        <v>28.336722690585148</v>
      </c>
      <c r="BX717" s="3">
        <v>28.456722690585153</v>
      </c>
      <c r="BY717" s="3">
        <v>28.87672269058514</v>
      </c>
      <c r="BZ717" s="3">
        <v>29.706722690585153</v>
      </c>
      <c r="CA717" s="3">
        <v>28.006722690585136</v>
      </c>
      <c r="CB717" s="3">
        <v>25.243389357251814</v>
      </c>
      <c r="CC717" s="3">
        <v>23.456722690585138</v>
      </c>
      <c r="CD717" s="3">
        <v>18.26338935725181</v>
      </c>
      <c r="CE717" s="3">
        <v>16.456722690585138</v>
      </c>
      <c r="CF717" s="3">
        <v>-0.92994397608152468</v>
      </c>
      <c r="CG717" s="3">
        <v>-1.4632773094148561</v>
      </c>
      <c r="CH717" s="3">
        <v>-2.5399439760815241</v>
      </c>
      <c r="CI717" s="13">
        <f>[1]!dbasum(RecData[[#This Row],[20]:[2000]],RecData[[#Headers],[20]:[2000]])</f>
        <v>40.456726795857975</v>
      </c>
      <c r="CJ717" s="14">
        <v>9235</v>
      </c>
      <c r="CK717" s="15" t="s">
        <v>249</v>
      </c>
      <c r="CL717" s="15">
        <f>RecData[[#This Row],[Start Time]]</f>
        <v>43272.145833333336</v>
      </c>
      <c r="CM717" s="16">
        <f>RecData[[#This Row],[Wind Speed avg]]</f>
        <v>1.74</v>
      </c>
      <c r="CN717" s="16">
        <f>RecData[[#This Row],[Wind Dir. avg]]</f>
        <v>177.2</v>
      </c>
      <c r="CO717" s="16">
        <f>RecData[[#This Row],[Amb. Humidity]]</f>
        <v>68</v>
      </c>
      <c r="CP717" s="16">
        <f>RecData[[#This Row],[Amb. Temperature]]</f>
        <v>10.5</v>
      </c>
      <c r="CQ717" s="17">
        <f>RecData[[#This Row],[Amb. Rain Gauge]]</f>
        <v>0</v>
      </c>
      <c r="CR717" s="4" t="s">
        <v>1</v>
      </c>
      <c r="CS717" s="4" t="s">
        <v>49</v>
      </c>
      <c r="CT717" s="70">
        <v>1530.67248535156</v>
      </c>
      <c r="CU717" s="70">
        <v>52.00044631958</v>
      </c>
      <c r="CV717" s="70">
        <v>8.6577186584472603</v>
      </c>
      <c r="CW717" s="70">
        <v>15.1814718246459</v>
      </c>
      <c r="CX717" s="4" t="s">
        <v>49</v>
      </c>
      <c r="CY717" s="69" t="s">
        <v>254</v>
      </c>
      <c r="CZ717" s="2" t="b">
        <f>IF($DP$1="YES",IF(RecData[[#This Row],[Power (kW)]]&gt;=$CR$3, TRUE,FALSE),TRUE)</f>
        <v>1</v>
      </c>
      <c r="DA717" s="16">
        <f>MIN(MOD(180-ABS(ABS($DA$1-RecData[Yaw Angle (°)])-180),360),MOD(180-ABS(ABS($DB$1-RecData[Yaw Angle (°)])-180),360))</f>
        <v>44.470519541892457</v>
      </c>
      <c r="DB717" s="2" t="str">
        <f>IF($DP$2="None","None",IF(RecData[[#This Row],[Relative Wind Direction]]&lt;=45,"DW",IF(RecData[[#This Row],[Relative Wind Direction]]&lt;=135,"CW","UW")))</f>
        <v>DW</v>
      </c>
      <c r="DC717" s="61">
        <v>-1</v>
      </c>
      <c r="DD717" s="61">
        <v>-1</v>
      </c>
      <c r="DE717" s="18" t="b">
        <v>0</v>
      </c>
      <c r="DF717" s="2" t="b">
        <f>IF(OR(RecData[[#This Row],[WSpd_Avg '[m/s']]]-RecData[[#This Row],[Wind Speed min]]&gt;=$DF$3,RecData[[#This Row],[Wind Speed max]]-RecData[[#This Row],[WSpd_Avg '[m/s']]]&gt;=$DF$2),TRUE,FALSE)</f>
        <v>1</v>
      </c>
      <c r="DG717" s="2" t="b">
        <f>RecData[[#This Row],[Temperature '[°C']]]&lt;=-20</f>
        <v>0</v>
      </c>
      <c r="DH717" s="18" t="b">
        <f>NOT(OR(MOD(RecData[[#This Row],[TIMESTAMP]],1)&gt;0.91632,MOD(RecData[[#This Row],[TIMESTAMP]],1)&lt;0.208681))</f>
        <v>0</v>
      </c>
      <c r="DI717" s="18" t="b">
        <f>RecData[[#This Row],[Overall (dBA)]]-RecData[[#This Row],[L90]]&gt;=$DS$4</f>
        <v>0</v>
      </c>
      <c r="DJ717" s="18" t="b">
        <f>RecData[[#This Row],[Overall (dBA)]]&gt;$DS$2</f>
        <v>0</v>
      </c>
      <c r="DK717" s="18" t="b">
        <f>RecData[[#This Row],[Overall (dBA)]]&lt;$DS$3</f>
        <v>0</v>
      </c>
      <c r="DL7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17" s="2">
        <f>IF(AND(RecData[[#This Row],[Turbines ON/OFF]] = "OFF", NOT(OR(RecData[[#This Row],[Junk?]]="YES",RecData[[#This Row],[Gust?]],RecData[[#This Row],[Rain?]:[Min SPL Threshold?]]))),1,0)</f>
        <v>0</v>
      </c>
      <c r="DN717" s="16">
        <f>RecData[[#This Row],[dBA Sum]]</f>
        <v>40.456726795857975</v>
      </c>
      <c r="DO717" s="16">
        <f>RecData[[#This Row],[LAF90.0]]</f>
        <v>40.4</v>
      </c>
      <c r="DP717" s="55" t="str">
        <f>IF(AND(RecData[[#This Row],[Useable TON Data?]],RecData[[#This Row],[Turbines ON/OFF]]="ON"),RecData[[#This Row],[dBA Sum]],"")</f>
        <v/>
      </c>
      <c r="DQ717" s="55" t="str">
        <f>IF(AND(RecData[[#This Row],[Useable Background Data?]],RecData[[#This Row],[Turbines ON/OFF]]="OFF"),RecData[[#This Row],[dBA Sum]],"")</f>
        <v/>
      </c>
      <c r="DR717" s="3" t="str">
        <f>IF(OR(RecData[[#This Row],[Useable TON Data?]],RecData[[#This Row],[Useable Background Data?]]),ROUND(RecData[[#This Row],[WSpd_Avg '[m/s']]],0),"")</f>
        <v/>
      </c>
      <c r="DS717" s="85">
        <f>(0.00002)^2*(10^(RecData[[#This Row],[Overall (dBA)]]/10))</f>
        <v>4.4435765981346614E-6</v>
      </c>
    </row>
    <row r="718" spans="1:123" ht="15" x14ac:dyDescent="0.25">
      <c r="A718" s="3" t="s">
        <v>249</v>
      </c>
      <c r="B718" s="12">
        <v>43272.146527777775</v>
      </c>
      <c r="C718" s="3"/>
      <c r="D718" s="3">
        <v>41.3</v>
      </c>
      <c r="E718" s="3"/>
      <c r="F718" s="3"/>
      <c r="G718" s="3"/>
      <c r="H718" s="3"/>
      <c r="I718" s="3"/>
      <c r="J718" s="3"/>
      <c r="K718" s="3">
        <v>39.5</v>
      </c>
      <c r="L718" s="3"/>
      <c r="M718" s="3"/>
      <c r="N718" s="3">
        <v>183.6</v>
      </c>
      <c r="O718" s="3"/>
      <c r="P718" s="3"/>
      <c r="Q718" s="3">
        <v>1.22</v>
      </c>
      <c r="R718" s="3">
        <v>0.3</v>
      </c>
      <c r="S718" s="3">
        <v>2.1</v>
      </c>
      <c r="T718" s="3">
        <v>10.5</v>
      </c>
      <c r="U718" s="3">
        <v>68.099999999999994</v>
      </c>
      <c r="V718" s="3">
        <v>970.3</v>
      </c>
      <c r="W718" s="3">
        <v>0</v>
      </c>
      <c r="X718" s="3">
        <v>45.9</v>
      </c>
      <c r="Y718" s="3">
        <v>45.1</v>
      </c>
      <c r="Z718" s="3">
        <v>43.1</v>
      </c>
      <c r="AA718" s="3">
        <v>40.200000000000003</v>
      </c>
      <c r="AB718" s="3">
        <v>36.1</v>
      </c>
      <c r="AC718" s="3">
        <v>35.1</v>
      </c>
      <c r="AD718" s="3">
        <v>37.4</v>
      </c>
      <c r="AE718" s="3">
        <v>38.6</v>
      </c>
      <c r="AF718" s="3">
        <v>46.1</v>
      </c>
      <c r="AG718" s="3">
        <v>39.299999999999997</v>
      </c>
      <c r="AH718" s="3">
        <v>36.1</v>
      </c>
      <c r="AI718" s="3">
        <v>36.799999999999997</v>
      </c>
      <c r="AJ718" s="3">
        <v>35.299999999999997</v>
      </c>
      <c r="AK718" s="3">
        <v>34.200000000000003</v>
      </c>
      <c r="AL718" s="3">
        <v>32.4</v>
      </c>
      <c r="AM718" s="3">
        <v>32.700000000000003</v>
      </c>
      <c r="AN718" s="3">
        <v>31.7</v>
      </c>
      <c r="AO718" s="3">
        <v>28.7</v>
      </c>
      <c r="AP718" s="3">
        <v>27.7</v>
      </c>
      <c r="AQ718" s="3">
        <v>27.2</v>
      </c>
      <c r="AR718" s="3">
        <v>27.4</v>
      </c>
      <c r="AS718" s="3">
        <v>28</v>
      </c>
      <c r="AT718" s="3">
        <v>29</v>
      </c>
      <c r="AU718" s="3">
        <v>27.1</v>
      </c>
      <c r="AV718" s="3">
        <v>25.5</v>
      </c>
      <c r="AW718" s="3">
        <v>23.6</v>
      </c>
      <c r="AX718" s="3">
        <v>18.899999999999999</v>
      </c>
      <c r="AY718" s="3">
        <v>16.899999999999999</v>
      </c>
      <c r="AZ718" s="3">
        <v>0</v>
      </c>
      <c r="BA718" s="3">
        <v>0</v>
      </c>
      <c r="BB718" s="3">
        <v>0</v>
      </c>
      <c r="BC718" s="3">
        <v>41.271857127377551</v>
      </c>
      <c r="BD718" s="3">
        <v>45.928142872622438</v>
      </c>
      <c r="BE718" s="3">
        <v>45.128142872622455</v>
      </c>
      <c r="BF718" s="3">
        <v>41.888142872622446</v>
      </c>
      <c r="BG718" s="3">
        <v>39.314809539289122</v>
      </c>
      <c r="BH718" s="3">
        <v>35.354809539289114</v>
      </c>
      <c r="BI718" s="3">
        <v>34.768142872622441</v>
      </c>
      <c r="BJ718" s="3">
        <v>37.861476205955775</v>
      </c>
      <c r="BK718" s="3">
        <v>38.934809539289112</v>
      </c>
      <c r="BL718" s="3">
        <v>46.00814287262245</v>
      </c>
      <c r="BM718" s="3">
        <v>39.341476205955779</v>
      </c>
      <c r="BN718" s="3">
        <v>36.424809539289107</v>
      </c>
      <c r="BO718" s="3">
        <v>36.49147620595577</v>
      </c>
      <c r="BP718" s="3">
        <v>34.708142872622439</v>
      </c>
      <c r="BQ718" s="3">
        <v>34.024809539289102</v>
      </c>
      <c r="BR718" s="3">
        <v>32.551476205955773</v>
      </c>
      <c r="BS718" s="3">
        <v>32.654809539289126</v>
      </c>
      <c r="BT718" s="3">
        <v>31.851476205955784</v>
      </c>
      <c r="BU718" s="3">
        <v>28.818142872622452</v>
      </c>
      <c r="BV718" s="3">
        <v>27.534809539289121</v>
      </c>
      <c r="BW718" s="3">
        <v>27.568142872622452</v>
      </c>
      <c r="BX718" s="3">
        <v>27.688142872622457</v>
      </c>
      <c r="BY718" s="3">
        <v>28.108142872622444</v>
      </c>
      <c r="BZ718" s="3">
        <v>29.238142872622454</v>
      </c>
      <c r="CA718" s="3">
        <v>27.438142872622443</v>
      </c>
      <c r="CB718" s="3">
        <v>25.274809539289116</v>
      </c>
      <c r="CC718" s="3">
        <v>23.588142872622448</v>
      </c>
      <c r="CD718" s="3">
        <v>18.194809539289118</v>
      </c>
      <c r="CE718" s="3">
        <v>16.388142872622446</v>
      </c>
      <c r="CF718" s="3">
        <v>-0.89852379404422322</v>
      </c>
      <c r="CG718" s="3">
        <v>-1.4318571273775547</v>
      </c>
      <c r="CH718" s="3">
        <v>-2.5085237940442227</v>
      </c>
      <c r="CI718" s="13">
        <f>[1]!dbasum(RecData[[#This Row],[20]:[2000]],RecData[[#Headers],[20]:[2000]])</f>
        <v>40.072118634108804</v>
      </c>
      <c r="CJ718" s="14">
        <v>9236</v>
      </c>
      <c r="CK718" s="15" t="s">
        <v>249</v>
      </c>
      <c r="CL718" s="15">
        <f>RecData[[#This Row],[Start Time]]</f>
        <v>43272.146527777775</v>
      </c>
      <c r="CM718" s="16">
        <f>RecData[[#This Row],[Wind Speed avg]]</f>
        <v>1.22</v>
      </c>
      <c r="CN718" s="16">
        <f>RecData[[#This Row],[Wind Dir. avg]]</f>
        <v>183.6</v>
      </c>
      <c r="CO718" s="16">
        <f>RecData[[#This Row],[Amb. Humidity]]</f>
        <v>68.099999999999994</v>
      </c>
      <c r="CP718" s="16">
        <f>RecData[[#This Row],[Amb. Temperature]]</f>
        <v>10.5</v>
      </c>
      <c r="CQ718" s="17">
        <f>RecData[[#This Row],[Amb. Rain Gauge]]</f>
        <v>0</v>
      </c>
      <c r="CR718" s="4" t="s">
        <v>1</v>
      </c>
      <c r="CS718" s="4" t="s">
        <v>49</v>
      </c>
      <c r="CT718" s="70">
        <v>1611.9208984375</v>
      </c>
      <c r="CU718" s="70">
        <v>53.816989898681598</v>
      </c>
      <c r="CV718" s="70">
        <v>10.151644706726</v>
      </c>
      <c r="CW718" s="70">
        <v>15.275819778442299</v>
      </c>
      <c r="CX718" s="4" t="s">
        <v>49</v>
      </c>
      <c r="CY718" s="69" t="s">
        <v>254</v>
      </c>
      <c r="CZ718" s="2" t="b">
        <f>IF($DP$1="YES",IF(RecData[[#This Row],[Power (kW)]]&gt;=$CR$3, TRUE,FALSE),TRUE)</f>
        <v>1</v>
      </c>
      <c r="DA718" s="16">
        <f>MIN(MOD(180-ABS(ABS($DA$1-RecData[Yaw Angle (°)])-180),360),MOD(180-ABS(ABS($DB$1-RecData[Yaw Angle (°)])-180),360))</f>
        <v>46.287063120994048</v>
      </c>
      <c r="DB718" s="2" t="str">
        <f>IF($DP$2="None","None",IF(RecData[[#This Row],[Relative Wind Direction]]&lt;=45,"DW",IF(RecData[[#This Row],[Relative Wind Direction]]&lt;=135,"CW","UW")))</f>
        <v>CW</v>
      </c>
      <c r="DC718" s="61" t="e">
        <f>IF($CL718-$CL717&gt;1/24,#REF!,IF(SUM($CQ717:$CQ718)&gt;$DS$1,$DS$5,DC719-1))</f>
        <v>#REF!</v>
      </c>
      <c r="DD718" s="61">
        <f>IF($CL719-$CL718&gt;1/24,#REF!,IF(SUM($CQ717:$CQ718)&gt;$DS$1,$DS$6,DD717-1))</f>
        <v>-2</v>
      </c>
      <c r="DE718" s="18" t="b">
        <v>0</v>
      </c>
      <c r="DF718" s="2" t="b">
        <f>IF(OR(RecData[[#This Row],[WSpd_Avg '[m/s']]]-RecData[[#This Row],[Wind Speed min]]&gt;=$DF$3,RecData[[#This Row],[Wind Speed max]]-RecData[[#This Row],[WSpd_Avg '[m/s']]]&gt;=$DF$2),TRUE,FALSE)</f>
        <v>0</v>
      </c>
      <c r="DG718" s="2" t="b">
        <f>RecData[[#This Row],[Temperature '[°C']]]&lt;=-20</f>
        <v>0</v>
      </c>
      <c r="DH718" s="18" t="b">
        <f>NOT(OR(MOD(RecData[[#This Row],[TIMESTAMP]],1)&gt;0.91632,MOD(RecData[[#This Row],[TIMESTAMP]],1)&lt;0.208681))</f>
        <v>0</v>
      </c>
      <c r="DI718" s="18" t="b">
        <f>RecData[[#This Row],[Overall (dBA)]]-RecData[[#This Row],[L90]]&gt;=$DS$4</f>
        <v>0</v>
      </c>
      <c r="DJ718" s="18" t="b">
        <f>RecData[[#This Row],[Overall (dBA)]]&gt;$DS$2</f>
        <v>0</v>
      </c>
      <c r="DK718" s="18" t="b">
        <f>RecData[[#This Row],[Overall (dBA)]]&lt;$DS$3</f>
        <v>0</v>
      </c>
      <c r="DL7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18" s="2">
        <f>IF(AND(RecData[[#This Row],[Turbines ON/OFF]] = "OFF", NOT(OR(RecData[[#This Row],[Junk?]]="YES",RecData[[#This Row],[Gust?]],RecData[[#This Row],[Rain?]:[Min SPL Threshold?]]))),1,0)</f>
        <v>0</v>
      </c>
      <c r="DN718" s="16">
        <f>RecData[[#This Row],[dBA Sum]]</f>
        <v>40.072118634108804</v>
      </c>
      <c r="DO718" s="16">
        <f>RecData[[#This Row],[LAF90.0]]</f>
        <v>39.5</v>
      </c>
      <c r="DP718" s="55" t="str">
        <f>IF(AND(RecData[[#This Row],[Useable TON Data?]],RecData[[#This Row],[Turbines ON/OFF]]="ON"),RecData[[#This Row],[dBA Sum]],"")</f>
        <v/>
      </c>
      <c r="DQ718" s="55" t="str">
        <f>IF(AND(RecData[[#This Row],[Useable Background Data?]],RecData[[#This Row],[Turbines ON/OFF]]="OFF"),RecData[[#This Row],[dBA Sum]],"")</f>
        <v/>
      </c>
      <c r="DR718" s="3" t="str">
        <f>IF(OR(RecData[[#This Row],[Useable TON Data?]],RecData[[#This Row],[Useable Background Data?]]),ROUND(RecData[[#This Row],[WSpd_Avg '[m/s']]],0),"")</f>
        <v/>
      </c>
      <c r="DS718" s="85">
        <f>(0.00002)^2*(10^(RecData[[#This Row],[Overall (dBA)]]/10))</f>
        <v>4.066978296013828E-6</v>
      </c>
    </row>
    <row r="719" spans="1:123" ht="15" x14ac:dyDescent="0.25">
      <c r="A719" s="3" t="s">
        <v>249</v>
      </c>
      <c r="B719" s="12">
        <v>43272.147222222222</v>
      </c>
      <c r="C719" s="3"/>
      <c r="D719" s="3">
        <v>40.799999999999997</v>
      </c>
      <c r="E719" s="3"/>
      <c r="F719" s="3"/>
      <c r="G719" s="3"/>
      <c r="H719" s="3"/>
      <c r="I719" s="3"/>
      <c r="J719" s="3"/>
      <c r="K719" s="3">
        <v>39.4</v>
      </c>
      <c r="L719" s="3"/>
      <c r="M719" s="3"/>
      <c r="N719" s="3">
        <v>183</v>
      </c>
      <c r="O719" s="3"/>
      <c r="P719" s="3"/>
      <c r="Q719" s="3">
        <v>0.98</v>
      </c>
      <c r="R719" s="3">
        <v>0.1</v>
      </c>
      <c r="S719" s="3">
        <v>2.2999999999999998</v>
      </c>
      <c r="T719" s="3">
        <v>10.5</v>
      </c>
      <c r="U719" s="3">
        <v>68.2</v>
      </c>
      <c r="V719" s="3">
        <v>970.3</v>
      </c>
      <c r="W719" s="3">
        <v>0</v>
      </c>
      <c r="X719" s="3">
        <v>46.1</v>
      </c>
      <c r="Y719" s="3">
        <v>45.2</v>
      </c>
      <c r="Z719" s="3">
        <v>43.3</v>
      </c>
      <c r="AA719" s="3">
        <v>40.1</v>
      </c>
      <c r="AB719" s="3">
        <v>36</v>
      </c>
      <c r="AC719" s="3">
        <v>34</v>
      </c>
      <c r="AD719" s="3">
        <v>37.1</v>
      </c>
      <c r="AE719" s="3">
        <v>38.799999999999997</v>
      </c>
      <c r="AF719" s="3">
        <v>44.7</v>
      </c>
      <c r="AG719" s="3">
        <v>39.4</v>
      </c>
      <c r="AH719" s="3">
        <v>36.299999999999997</v>
      </c>
      <c r="AI719" s="3">
        <v>36.5</v>
      </c>
      <c r="AJ719" s="3">
        <v>35.700000000000003</v>
      </c>
      <c r="AK719" s="3">
        <v>34.1</v>
      </c>
      <c r="AL719" s="3">
        <v>32.5</v>
      </c>
      <c r="AM719" s="3">
        <v>33</v>
      </c>
      <c r="AN719" s="3">
        <v>31.5</v>
      </c>
      <c r="AO719" s="3">
        <v>28.9</v>
      </c>
      <c r="AP719" s="3">
        <v>27.7</v>
      </c>
      <c r="AQ719" s="3">
        <v>26.9</v>
      </c>
      <c r="AR719" s="3">
        <v>26.3</v>
      </c>
      <c r="AS719" s="3">
        <v>26</v>
      </c>
      <c r="AT719" s="3">
        <v>28.5</v>
      </c>
      <c r="AU719" s="3">
        <v>23.4</v>
      </c>
      <c r="AV719" s="3">
        <v>21.8</v>
      </c>
      <c r="AW719" s="3">
        <v>19.399999999999999</v>
      </c>
      <c r="AX719" s="3">
        <v>14.9</v>
      </c>
      <c r="AY719" s="3">
        <v>12.3</v>
      </c>
      <c r="AZ719" s="3">
        <v>0</v>
      </c>
      <c r="BA719" s="3">
        <v>0</v>
      </c>
      <c r="BB719" s="3">
        <v>0</v>
      </c>
      <c r="BC719" s="3">
        <v>40.729397180986062</v>
      </c>
      <c r="BD719" s="3">
        <v>46.170602819013943</v>
      </c>
      <c r="BE719" s="3">
        <v>45.270602819013938</v>
      </c>
      <c r="BF719" s="3">
        <v>42.130602819013923</v>
      </c>
      <c r="BG719" s="3">
        <v>39.257269485680602</v>
      </c>
      <c r="BH719" s="3">
        <v>35.297269485680609</v>
      </c>
      <c r="BI719" s="3">
        <v>33.710602819013936</v>
      </c>
      <c r="BJ719" s="3">
        <v>37.603936152347266</v>
      </c>
      <c r="BK719" s="3">
        <v>39.177269485680604</v>
      </c>
      <c r="BL719" s="3">
        <v>44.650602819013933</v>
      </c>
      <c r="BM719" s="3">
        <v>39.483936152347276</v>
      </c>
      <c r="BN719" s="3">
        <v>36.667269485680599</v>
      </c>
      <c r="BO719" s="3">
        <v>36.233936152347276</v>
      </c>
      <c r="BP719" s="3">
        <v>35.150602819013933</v>
      </c>
      <c r="BQ719" s="3">
        <v>33.967269485680596</v>
      </c>
      <c r="BR719" s="3">
        <v>32.69393615234727</v>
      </c>
      <c r="BS719" s="3">
        <v>32.997269485680597</v>
      </c>
      <c r="BT719" s="3">
        <v>31.69393615234727</v>
      </c>
      <c r="BU719" s="3">
        <v>29.06060281901393</v>
      </c>
      <c r="BV719" s="3">
        <v>27.57726948568061</v>
      </c>
      <c r="BW719" s="3">
        <v>27.31060281901393</v>
      </c>
      <c r="BX719" s="3">
        <v>26.630602819013937</v>
      </c>
      <c r="BY719" s="3">
        <v>26.150602819013933</v>
      </c>
      <c r="BZ719" s="3">
        <v>28.780602819013943</v>
      </c>
      <c r="CA719" s="3">
        <v>23.780602819013929</v>
      </c>
      <c r="CB719" s="3">
        <v>21.617269485680602</v>
      </c>
      <c r="CC719" s="3">
        <v>19.430602819013934</v>
      </c>
      <c r="CD719" s="3">
        <v>14.237269485680606</v>
      </c>
      <c r="CE719" s="3">
        <v>11.830602819013933</v>
      </c>
      <c r="CF719" s="3">
        <v>-0.85606384765273447</v>
      </c>
      <c r="CG719" s="3">
        <v>-1.3893971809860659</v>
      </c>
      <c r="CH719" s="3">
        <v>-2.4660638476527339</v>
      </c>
      <c r="CI719" s="13">
        <f>[1]!dbasum(RecData[[#This Row],[20]:[2000]],RecData[[#Headers],[20]:[2000]])</f>
        <v>39.952447493368759</v>
      </c>
      <c r="CJ719" s="14">
        <v>9237</v>
      </c>
      <c r="CK719" s="15" t="s">
        <v>249</v>
      </c>
      <c r="CL719" s="15">
        <f>RecData[[#This Row],[Start Time]]</f>
        <v>43272.147222222222</v>
      </c>
      <c r="CM719" s="16">
        <f>RecData[[#This Row],[Wind Speed avg]]</f>
        <v>0.98</v>
      </c>
      <c r="CN719" s="16">
        <f>RecData[[#This Row],[Wind Dir. avg]]</f>
        <v>183</v>
      </c>
      <c r="CO719" s="16">
        <f>RecData[[#This Row],[Amb. Humidity]]</f>
        <v>68.2</v>
      </c>
      <c r="CP719" s="16">
        <f>RecData[[#This Row],[Amb. Temperature]]</f>
        <v>10.5</v>
      </c>
      <c r="CQ719" s="17">
        <f>RecData[[#This Row],[Amb. Rain Gauge]]</f>
        <v>0</v>
      </c>
      <c r="CR719" s="4" t="s">
        <v>1</v>
      </c>
      <c r="CS719" s="4" t="s">
        <v>49</v>
      </c>
      <c r="CT719" s="70">
        <v>1611.9208984375</v>
      </c>
      <c r="CU719" s="70">
        <v>53.816989898681598</v>
      </c>
      <c r="CV719" s="70">
        <v>10.151644706726</v>
      </c>
      <c r="CW719" s="70">
        <v>15.275819778442299</v>
      </c>
      <c r="CX719" s="4" t="s">
        <v>49</v>
      </c>
      <c r="CY719" s="69" t="s">
        <v>254</v>
      </c>
      <c r="CZ719" s="2" t="b">
        <f>IF($DP$1="YES",IF(RecData[[#This Row],[Power (kW)]]&gt;=$CR$3, TRUE,FALSE),TRUE)</f>
        <v>1</v>
      </c>
      <c r="DA719" s="16">
        <f>MIN(MOD(180-ABS(ABS($DA$1-RecData[Yaw Angle (°)])-180),360),MOD(180-ABS(ABS($DB$1-RecData[Yaw Angle (°)])-180),360))</f>
        <v>46.287063120994048</v>
      </c>
      <c r="DB719" s="2" t="str">
        <f>IF($DP$2="None","None",IF(RecData[[#This Row],[Relative Wind Direction]]&lt;=45,"DW",IF(RecData[[#This Row],[Relative Wind Direction]]&lt;=135,"CW","UW")))</f>
        <v>CW</v>
      </c>
      <c r="DC719" s="61" t="e">
        <f>IF($CL719-$CL717&gt;1/24,#REF!,IF(SUM($CQ717:$CQ719)&gt;$DS$1,$DS$5,DC720-1))</f>
        <v>#REF!</v>
      </c>
      <c r="DD719" s="61">
        <f>IF($CL720-$CL719&gt;1/24,#REF!,IF(SUM($CQ717:$CQ719)&gt;$DS$1,$DS$6,DD718-1))</f>
        <v>-3</v>
      </c>
      <c r="DE719" s="18" t="b">
        <v>0</v>
      </c>
      <c r="DF719" s="2" t="b">
        <f>IF(OR(RecData[[#This Row],[WSpd_Avg '[m/s']]]-RecData[[#This Row],[Wind Speed min]]&gt;=$DF$3,RecData[[#This Row],[Wind Speed max]]-RecData[[#This Row],[WSpd_Avg '[m/s']]]&gt;=$DF$2),TRUE,FALSE)</f>
        <v>0</v>
      </c>
      <c r="DG719" s="2" t="b">
        <f>RecData[[#This Row],[Temperature '[°C']]]&lt;=-20</f>
        <v>0</v>
      </c>
      <c r="DH719" s="18" t="b">
        <f>NOT(OR(MOD(RecData[[#This Row],[TIMESTAMP]],1)&gt;0.91632,MOD(RecData[[#This Row],[TIMESTAMP]],1)&lt;0.208681))</f>
        <v>0</v>
      </c>
      <c r="DI719" s="18" t="b">
        <f>RecData[[#This Row],[Overall (dBA)]]-RecData[[#This Row],[L90]]&gt;=$DS$4</f>
        <v>0</v>
      </c>
      <c r="DJ719" s="18" t="b">
        <f>RecData[[#This Row],[Overall (dBA)]]&gt;$DS$2</f>
        <v>0</v>
      </c>
      <c r="DK719" s="18" t="b">
        <f>RecData[[#This Row],[Overall (dBA)]]&lt;$DS$3</f>
        <v>0</v>
      </c>
      <c r="DL7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19" s="2">
        <f>IF(AND(RecData[[#This Row],[Turbines ON/OFF]] = "OFF", NOT(OR(RecData[[#This Row],[Junk?]]="YES",RecData[[#This Row],[Gust?]],RecData[[#This Row],[Rain?]:[Min SPL Threshold?]]))),1,0)</f>
        <v>0</v>
      </c>
      <c r="DN719" s="16">
        <f>RecData[[#This Row],[dBA Sum]]</f>
        <v>39.952447493368759</v>
      </c>
      <c r="DO719" s="16">
        <f>RecData[[#This Row],[LAF90.0]]</f>
        <v>39.4</v>
      </c>
      <c r="DP719" s="55" t="str">
        <f>IF(AND(RecData[[#This Row],[Useable TON Data?]],RecData[[#This Row],[Turbines ON/OFF]]="ON"),RecData[[#This Row],[dBA Sum]],"")</f>
        <v/>
      </c>
      <c r="DQ719" s="55" t="str">
        <f>IF(AND(RecData[[#This Row],[Useable Background Data?]],RecData[[#This Row],[Turbines ON/OFF]]="OFF"),RecData[[#This Row],[dBA Sum]],"")</f>
        <v/>
      </c>
      <c r="DR719" s="3" t="str">
        <f>IF(OR(RecData[[#This Row],[Useable TON Data?]],RecData[[#This Row],[Useable Background Data?]]),ROUND(RecData[[#This Row],[WSpd_Avg '[m/s']]],0),"")</f>
        <v/>
      </c>
      <c r="DS719" s="85">
        <f>(0.00002)^2*(10^(RecData[[#This Row],[Overall (dBA)]]/10))</f>
        <v>3.9564414274675787E-6</v>
      </c>
    </row>
    <row r="720" spans="1:123" ht="15" x14ac:dyDescent="0.25">
      <c r="A720" s="3" t="s">
        <v>249</v>
      </c>
      <c r="B720" s="12">
        <v>43272.147916666669</v>
      </c>
      <c r="C720" s="3"/>
      <c r="D720" s="3">
        <v>40.5</v>
      </c>
      <c r="E720" s="3"/>
      <c r="F720" s="3"/>
      <c r="G720" s="3"/>
      <c r="H720" s="3"/>
      <c r="I720" s="3"/>
      <c r="J720" s="3"/>
      <c r="K720" s="3">
        <v>39</v>
      </c>
      <c r="L720" s="3"/>
      <c r="M720" s="3"/>
      <c r="N720" s="3">
        <v>191.4</v>
      </c>
      <c r="O720" s="3"/>
      <c r="P720" s="3"/>
      <c r="Q720" s="3">
        <v>1.1000000000000001</v>
      </c>
      <c r="R720" s="3">
        <v>0.1</v>
      </c>
      <c r="S720" s="3">
        <v>1.8</v>
      </c>
      <c r="T720" s="3">
        <v>10.5</v>
      </c>
      <c r="U720" s="3">
        <v>68.2</v>
      </c>
      <c r="V720" s="3">
        <v>970.3</v>
      </c>
      <c r="W720" s="3">
        <v>0</v>
      </c>
      <c r="X720" s="3">
        <v>45.8</v>
      </c>
      <c r="Y720" s="3">
        <v>45.2</v>
      </c>
      <c r="Z720" s="3">
        <v>43.6</v>
      </c>
      <c r="AA720" s="3">
        <v>40.799999999999997</v>
      </c>
      <c r="AB720" s="3">
        <v>36</v>
      </c>
      <c r="AC720" s="3">
        <v>33.4</v>
      </c>
      <c r="AD720" s="3">
        <v>36.700000000000003</v>
      </c>
      <c r="AE720" s="3">
        <v>39</v>
      </c>
      <c r="AF720" s="3">
        <v>47.7</v>
      </c>
      <c r="AG720" s="3">
        <v>40.5</v>
      </c>
      <c r="AH720" s="3">
        <v>36.799999999999997</v>
      </c>
      <c r="AI720" s="3">
        <v>37.799999999999997</v>
      </c>
      <c r="AJ720" s="3">
        <v>36.1</v>
      </c>
      <c r="AK720" s="3">
        <v>34.700000000000003</v>
      </c>
      <c r="AL720" s="3">
        <v>33</v>
      </c>
      <c r="AM720" s="3">
        <v>33</v>
      </c>
      <c r="AN720" s="3">
        <v>31.7</v>
      </c>
      <c r="AO720" s="3">
        <v>28.3</v>
      </c>
      <c r="AP720" s="3">
        <v>26.5</v>
      </c>
      <c r="AQ720" s="3">
        <v>25.2</v>
      </c>
      <c r="AR720" s="3">
        <v>23.5</v>
      </c>
      <c r="AS720" s="3">
        <v>22.7</v>
      </c>
      <c r="AT720" s="3">
        <v>22.8</v>
      </c>
      <c r="AU720" s="3">
        <v>19.7</v>
      </c>
      <c r="AV720" s="3">
        <v>18.8</v>
      </c>
      <c r="AW720" s="3">
        <v>17.2</v>
      </c>
      <c r="AX720" s="3">
        <v>13.4</v>
      </c>
      <c r="AY720" s="3">
        <v>11.5</v>
      </c>
      <c r="AZ720" s="3">
        <v>0</v>
      </c>
      <c r="BA720" s="3">
        <v>0</v>
      </c>
      <c r="BB720" s="3">
        <v>0</v>
      </c>
      <c r="BC720" s="3">
        <v>40.528073603683339</v>
      </c>
      <c r="BD720" s="3">
        <v>45.771926396316658</v>
      </c>
      <c r="BE720" s="3">
        <v>45.171926396316664</v>
      </c>
      <c r="BF720" s="3">
        <v>42.331926396316661</v>
      </c>
      <c r="BG720" s="3">
        <v>39.858593062983317</v>
      </c>
      <c r="BH720" s="3">
        <v>35.198593062983321</v>
      </c>
      <c r="BI720" s="3">
        <v>33.011926396316653</v>
      </c>
      <c r="BJ720" s="3">
        <v>37.105259729649987</v>
      </c>
      <c r="BK720" s="3">
        <v>39.278593062983333</v>
      </c>
      <c r="BL720" s="3">
        <v>47.551926396316674</v>
      </c>
      <c r="BM720" s="3">
        <v>40.485259729649997</v>
      </c>
      <c r="BN720" s="3">
        <v>37.068593062983325</v>
      </c>
      <c r="BO720" s="3">
        <v>37.435259729649999</v>
      </c>
      <c r="BP720" s="3">
        <v>35.451926396316665</v>
      </c>
      <c r="BQ720" s="3">
        <v>34.468593062983331</v>
      </c>
      <c r="BR720" s="3">
        <v>33.095259729649996</v>
      </c>
      <c r="BS720" s="3">
        <v>32.898593062983338</v>
      </c>
      <c r="BT720" s="3">
        <v>31.795259729649999</v>
      </c>
      <c r="BU720" s="3">
        <v>28.361926396316662</v>
      </c>
      <c r="BV720" s="3">
        <v>26.278593062983333</v>
      </c>
      <c r="BW720" s="3">
        <v>25.511926396316667</v>
      </c>
      <c r="BX720" s="3">
        <v>23.731926396316666</v>
      </c>
      <c r="BY720" s="3">
        <v>22.751926396316662</v>
      </c>
      <c r="BZ720" s="3">
        <v>22.981926396316666</v>
      </c>
      <c r="CA720" s="3">
        <v>19.981926396316652</v>
      </c>
      <c r="CB720" s="3">
        <v>18.518593062983328</v>
      </c>
      <c r="CC720" s="3">
        <v>17.131926396316658</v>
      </c>
      <c r="CD720" s="3">
        <v>12.638593062983333</v>
      </c>
      <c r="CE720" s="3">
        <v>10.931926396316662</v>
      </c>
      <c r="CF720" s="3">
        <v>-0.9547402703500083</v>
      </c>
      <c r="CG720" s="3">
        <v>-1.4880736036833397</v>
      </c>
      <c r="CH720" s="3">
        <v>-2.5647402703500077</v>
      </c>
      <c r="CI720" s="13">
        <f>[1]!dbasum(RecData[[#This Row],[20]:[2000]],RecData[[#Headers],[20]:[2000]])</f>
        <v>40.131647258287813</v>
      </c>
      <c r="CJ720" s="14">
        <v>9238</v>
      </c>
      <c r="CK720" s="15" t="s">
        <v>249</v>
      </c>
      <c r="CL720" s="15">
        <f>RecData[[#This Row],[Start Time]]</f>
        <v>43272.147916666669</v>
      </c>
      <c r="CM720" s="16">
        <f>RecData[[#This Row],[Wind Speed avg]]</f>
        <v>1.1000000000000001</v>
      </c>
      <c r="CN720" s="16">
        <f>RecData[[#This Row],[Wind Dir. avg]]</f>
        <v>191.4</v>
      </c>
      <c r="CO720" s="16">
        <f>RecData[[#This Row],[Amb. Humidity]]</f>
        <v>68.2</v>
      </c>
      <c r="CP720" s="16">
        <f>RecData[[#This Row],[Amb. Temperature]]</f>
        <v>10.5</v>
      </c>
      <c r="CQ720" s="17">
        <f>RecData[[#This Row],[Amb. Rain Gauge]]</f>
        <v>0</v>
      </c>
      <c r="CR720" s="4" t="s">
        <v>1</v>
      </c>
      <c r="CS720" s="4" t="s">
        <v>49</v>
      </c>
      <c r="CT720" s="70">
        <v>1611.9208984375</v>
      </c>
      <c r="CU720" s="70">
        <v>53.816989898681598</v>
      </c>
      <c r="CV720" s="70">
        <v>10.151644706726</v>
      </c>
      <c r="CW720" s="70">
        <v>15.275819778442299</v>
      </c>
      <c r="CX720" s="4" t="s">
        <v>49</v>
      </c>
      <c r="CY720" s="69" t="s">
        <v>254</v>
      </c>
      <c r="CZ720" s="2" t="b">
        <f>IF($DP$1="YES",IF(RecData[[#This Row],[Power (kW)]]&gt;=$CR$3, TRUE,FALSE),TRUE)</f>
        <v>1</v>
      </c>
      <c r="DA720" s="16">
        <f>MIN(MOD(180-ABS(ABS($DA$1-RecData[Yaw Angle (°)])-180),360),MOD(180-ABS(ABS($DB$1-RecData[Yaw Angle (°)])-180),360))</f>
        <v>46.287063120994048</v>
      </c>
      <c r="DB720" s="2" t="str">
        <f>IF($DP$2="None","None",IF(RecData[[#This Row],[Relative Wind Direction]]&lt;=45,"DW",IF(RecData[[#This Row],[Relative Wind Direction]]&lt;=135,"CW","UW")))</f>
        <v>CW</v>
      </c>
      <c r="DC720" s="61" t="e">
        <f>IF($CL720-$CL717&gt;1/24,#REF!,IF(SUM($CQ717:$CQ720)&gt;$DS$1,$DS$5,DC721-1))</f>
        <v>#REF!</v>
      </c>
      <c r="DD720" s="61">
        <f>IF($CL721-$CL720&gt;1/24,#REF!,IF(SUM($CQ717:$CQ720)&gt;$DS$1,$DS$6,DD719-1))</f>
        <v>-4</v>
      </c>
      <c r="DE720" s="18" t="b">
        <v>0</v>
      </c>
      <c r="DF720" s="2" t="b">
        <f>IF(OR(RecData[[#This Row],[WSpd_Avg '[m/s']]]-RecData[[#This Row],[Wind Speed min]]&gt;=$DF$3,RecData[[#This Row],[Wind Speed max]]-RecData[[#This Row],[WSpd_Avg '[m/s']]]&gt;=$DF$2),TRUE,FALSE)</f>
        <v>0</v>
      </c>
      <c r="DG720" s="2" t="b">
        <f>RecData[[#This Row],[Temperature '[°C']]]&lt;=-20</f>
        <v>0</v>
      </c>
      <c r="DH720" s="18" t="b">
        <f>NOT(OR(MOD(RecData[[#This Row],[TIMESTAMP]],1)&gt;0.91632,MOD(RecData[[#This Row],[TIMESTAMP]],1)&lt;0.208681))</f>
        <v>0</v>
      </c>
      <c r="DI720" s="18" t="b">
        <f>RecData[[#This Row],[Overall (dBA)]]-RecData[[#This Row],[L90]]&gt;=$DS$4</f>
        <v>0</v>
      </c>
      <c r="DJ720" s="18" t="b">
        <f>RecData[[#This Row],[Overall (dBA)]]&gt;$DS$2</f>
        <v>0</v>
      </c>
      <c r="DK720" s="18" t="b">
        <f>RecData[[#This Row],[Overall (dBA)]]&lt;$DS$3</f>
        <v>0</v>
      </c>
      <c r="DL7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0" s="2">
        <f>IF(AND(RecData[[#This Row],[Turbines ON/OFF]] = "OFF", NOT(OR(RecData[[#This Row],[Junk?]]="YES",RecData[[#This Row],[Gust?]],RecData[[#This Row],[Rain?]:[Min SPL Threshold?]]))),1,0)</f>
        <v>0</v>
      </c>
      <c r="DN720" s="16">
        <f>RecData[[#This Row],[dBA Sum]]</f>
        <v>40.131647258287813</v>
      </c>
      <c r="DO720" s="16">
        <f>RecData[[#This Row],[LAF90.0]]</f>
        <v>39</v>
      </c>
      <c r="DP720" s="55" t="str">
        <f>IF(AND(RecData[[#This Row],[Useable TON Data?]],RecData[[#This Row],[Turbines ON/OFF]]="ON"),RecData[[#This Row],[dBA Sum]],"")</f>
        <v/>
      </c>
      <c r="DQ720" s="55" t="str">
        <f>IF(AND(RecData[[#This Row],[Useable Background Data?]],RecData[[#This Row],[Turbines ON/OFF]]="OFF"),RecData[[#This Row],[dBA Sum]],"")</f>
        <v/>
      </c>
      <c r="DR720" s="3" t="str">
        <f>IF(OR(RecData[[#This Row],[Useable TON Data?]],RecData[[#This Row],[Useable Background Data?]]),ROUND(RecData[[#This Row],[WSpd_Avg '[m/s']]],0),"")</f>
        <v/>
      </c>
      <c r="DS720" s="85">
        <f>(0.00002)^2*(10^(RecData[[#This Row],[Overall (dBA)]]/10))</f>
        <v>4.1231080604709482E-6</v>
      </c>
    </row>
    <row r="721" spans="1:123" ht="15" x14ac:dyDescent="0.25">
      <c r="A721" s="3" t="s">
        <v>249</v>
      </c>
      <c r="B721" s="12">
        <v>43272.148611111108</v>
      </c>
      <c r="C721" s="3"/>
      <c r="D721" s="3">
        <v>40.9</v>
      </c>
      <c r="E721" s="3"/>
      <c r="F721" s="3"/>
      <c r="G721" s="3"/>
      <c r="H721" s="3"/>
      <c r="I721" s="3"/>
      <c r="J721" s="3"/>
      <c r="K721" s="3">
        <v>39.200000000000003</v>
      </c>
      <c r="L721" s="3"/>
      <c r="M721" s="3"/>
      <c r="N721" s="3">
        <v>160.6</v>
      </c>
      <c r="O721" s="3"/>
      <c r="P721" s="3"/>
      <c r="Q721" s="3">
        <v>1.17</v>
      </c>
      <c r="R721" s="3">
        <v>0.6</v>
      </c>
      <c r="S721" s="3">
        <v>1.9</v>
      </c>
      <c r="T721" s="3">
        <v>10.4</v>
      </c>
      <c r="U721" s="3">
        <v>68.900000000000006</v>
      </c>
      <c r="V721" s="3">
        <v>970.3</v>
      </c>
      <c r="W721" s="3">
        <v>0</v>
      </c>
      <c r="X721" s="3">
        <v>45.3</v>
      </c>
      <c r="Y721" s="3">
        <v>44.8</v>
      </c>
      <c r="Z721" s="3">
        <v>41.6</v>
      </c>
      <c r="AA721" s="3">
        <v>38.799999999999997</v>
      </c>
      <c r="AB721" s="3">
        <v>35.1</v>
      </c>
      <c r="AC721" s="3">
        <v>33.200000000000003</v>
      </c>
      <c r="AD721" s="3">
        <v>36.6</v>
      </c>
      <c r="AE721" s="3">
        <v>38.4</v>
      </c>
      <c r="AF721" s="3">
        <v>47</v>
      </c>
      <c r="AG721" s="3">
        <v>41.5</v>
      </c>
      <c r="AH721" s="3">
        <v>36.1</v>
      </c>
      <c r="AI721" s="3">
        <v>37.299999999999997</v>
      </c>
      <c r="AJ721" s="3">
        <v>35.9</v>
      </c>
      <c r="AK721" s="3">
        <v>34.299999999999997</v>
      </c>
      <c r="AL721" s="3">
        <v>32.799999999999997</v>
      </c>
      <c r="AM721" s="3">
        <v>33.4</v>
      </c>
      <c r="AN721" s="3">
        <v>31.9</v>
      </c>
      <c r="AO721" s="3">
        <v>28.9</v>
      </c>
      <c r="AP721" s="3">
        <v>27.4</v>
      </c>
      <c r="AQ721" s="3">
        <v>26.1</v>
      </c>
      <c r="AR721" s="3">
        <v>24.9</v>
      </c>
      <c r="AS721" s="3">
        <v>24.2</v>
      </c>
      <c r="AT721" s="3">
        <v>27.4</v>
      </c>
      <c r="AU721" s="3">
        <v>21.7</v>
      </c>
      <c r="AV721" s="3">
        <v>20.7</v>
      </c>
      <c r="AW721" s="3">
        <v>18.399999999999999</v>
      </c>
      <c r="AX721" s="3">
        <v>14.3</v>
      </c>
      <c r="AY721" s="3">
        <v>11.8</v>
      </c>
      <c r="AZ721" s="3">
        <v>0</v>
      </c>
      <c r="BA721" s="3">
        <v>0</v>
      </c>
      <c r="BB721" s="3">
        <v>0</v>
      </c>
      <c r="BC721" s="3">
        <v>40.865887018651421</v>
      </c>
      <c r="BD721" s="3">
        <v>45.334112981348568</v>
      </c>
      <c r="BE721" s="3">
        <v>44.834112981348568</v>
      </c>
      <c r="BF721" s="3">
        <v>40.39411298134857</v>
      </c>
      <c r="BG721" s="3">
        <v>37.920779648015241</v>
      </c>
      <c r="BH721" s="3">
        <v>34.360779648015239</v>
      </c>
      <c r="BI721" s="3">
        <v>32.874112981348588</v>
      </c>
      <c r="BJ721" s="3">
        <v>37.067446314681916</v>
      </c>
      <c r="BK721" s="3">
        <v>38.740779648015234</v>
      </c>
      <c r="BL721" s="3">
        <v>46.91411298134858</v>
      </c>
      <c r="BM721" s="3">
        <v>41.547446314681906</v>
      </c>
      <c r="BN721" s="3">
        <v>36.430779648015246</v>
      </c>
      <c r="BO721" s="3">
        <v>36.997446314681909</v>
      </c>
      <c r="BP721" s="3">
        <v>35.314112981348586</v>
      </c>
      <c r="BQ721" s="3">
        <v>34.130779648015235</v>
      </c>
      <c r="BR721" s="3">
        <v>32.957446314681903</v>
      </c>
      <c r="BS721" s="3">
        <v>33.360779648015239</v>
      </c>
      <c r="BT721" s="3">
        <v>32.057446314681911</v>
      </c>
      <c r="BU721" s="3">
        <v>29.02411298134858</v>
      </c>
      <c r="BV721" s="3">
        <v>27.240779648015248</v>
      </c>
      <c r="BW721" s="3">
        <v>26.474112981348583</v>
      </c>
      <c r="BX721" s="3">
        <v>25.194112981348582</v>
      </c>
      <c r="BY721" s="3">
        <v>24.314112981348572</v>
      </c>
      <c r="BZ721" s="3">
        <v>27.644112981348584</v>
      </c>
      <c r="CA721" s="3">
        <v>22.044112981348569</v>
      </c>
      <c r="CB721" s="3">
        <v>20.480779648015243</v>
      </c>
      <c r="CC721" s="3">
        <v>18.39411298134857</v>
      </c>
      <c r="CD721" s="3">
        <v>13.600779648015248</v>
      </c>
      <c r="CE721" s="3">
        <v>11.294112981348576</v>
      </c>
      <c r="CF721" s="3">
        <v>-0.89255368531809154</v>
      </c>
      <c r="CG721" s="3">
        <v>-1.425887018651423</v>
      </c>
      <c r="CH721" s="3">
        <v>-2.502553685318091</v>
      </c>
      <c r="CI721" s="13">
        <f>[1]!dbasum(RecData[[#This Row],[20]:[2000]],RecData[[#Headers],[20]:[2000]])</f>
        <v>40.288757153269266</v>
      </c>
      <c r="CJ721" s="14">
        <v>9239</v>
      </c>
      <c r="CK721" s="15" t="s">
        <v>249</v>
      </c>
      <c r="CL721" s="15">
        <f>RecData[[#This Row],[Start Time]]</f>
        <v>43272.148611111108</v>
      </c>
      <c r="CM721" s="16">
        <f>RecData[[#This Row],[Wind Speed avg]]</f>
        <v>1.17</v>
      </c>
      <c r="CN721" s="16">
        <f>RecData[[#This Row],[Wind Dir. avg]]</f>
        <v>160.6</v>
      </c>
      <c r="CO721" s="16">
        <f>RecData[[#This Row],[Amb. Humidity]]</f>
        <v>68.900000000000006</v>
      </c>
      <c r="CP721" s="16">
        <f>RecData[[#This Row],[Amb. Temperature]]</f>
        <v>10.4</v>
      </c>
      <c r="CQ721" s="17">
        <f>RecData[[#This Row],[Amb. Rain Gauge]]</f>
        <v>0</v>
      </c>
      <c r="CR721" s="4" t="s">
        <v>1</v>
      </c>
      <c r="CS721" s="4" t="s">
        <v>49</v>
      </c>
      <c r="CT721" s="70">
        <v>1611.9208984375</v>
      </c>
      <c r="CU721" s="70">
        <v>53.816989898681598</v>
      </c>
      <c r="CV721" s="70">
        <v>10.151644706726</v>
      </c>
      <c r="CW721" s="70">
        <v>15.275819778442299</v>
      </c>
      <c r="CX721" s="4" t="s">
        <v>49</v>
      </c>
      <c r="CY721" s="69" t="s">
        <v>254</v>
      </c>
      <c r="CZ721" s="2" t="b">
        <f>IF($DP$1="YES",IF(RecData[[#This Row],[Power (kW)]]&gt;=$CR$3, TRUE,FALSE),TRUE)</f>
        <v>1</v>
      </c>
      <c r="DA721" s="16">
        <f>MIN(MOD(180-ABS(ABS($DA$1-RecData[Yaw Angle (°)])-180),360),MOD(180-ABS(ABS($DB$1-RecData[Yaw Angle (°)])-180),360))</f>
        <v>46.287063120994048</v>
      </c>
      <c r="DB721" s="2" t="str">
        <f>IF($DP$2="None","None",IF(RecData[[#This Row],[Relative Wind Direction]]&lt;=45,"DW",IF(RecData[[#This Row],[Relative Wind Direction]]&lt;=135,"CW","UW")))</f>
        <v>CW</v>
      </c>
      <c r="DC721" s="61" t="e">
        <f>IF($CL721-$CL717&gt;1/24,#REF!,IF(SUM($CQ717:$CQ721)&gt;$DS$1,$DS$5,DC722-1))</f>
        <v>#REF!</v>
      </c>
      <c r="DD721" s="61">
        <f>IF($CL722-$CL721&gt;1/24,#REF!,IF(SUM($CQ717:$CQ721)&gt;$DS$1,$DS$6,DD720-1))</f>
        <v>-5</v>
      </c>
      <c r="DE721" s="18" t="b">
        <v>0</v>
      </c>
      <c r="DF721" s="2" t="b">
        <f>IF(OR(RecData[[#This Row],[WSpd_Avg '[m/s']]]-RecData[[#This Row],[Wind Speed min]]&gt;=$DF$3,RecData[[#This Row],[Wind Speed max]]-RecData[[#This Row],[WSpd_Avg '[m/s']]]&gt;=$DF$2),TRUE,FALSE)</f>
        <v>0</v>
      </c>
      <c r="DG721" s="2" t="b">
        <f>RecData[[#This Row],[Temperature '[°C']]]&lt;=-20</f>
        <v>0</v>
      </c>
      <c r="DH721" s="18" t="b">
        <f>NOT(OR(MOD(RecData[[#This Row],[TIMESTAMP]],1)&gt;0.91632,MOD(RecData[[#This Row],[TIMESTAMP]],1)&lt;0.208681))</f>
        <v>0</v>
      </c>
      <c r="DI721" s="18" t="b">
        <f>RecData[[#This Row],[Overall (dBA)]]-RecData[[#This Row],[L90]]&gt;=$DS$4</f>
        <v>0</v>
      </c>
      <c r="DJ721" s="18" t="b">
        <f>RecData[[#This Row],[Overall (dBA)]]&gt;$DS$2</f>
        <v>0</v>
      </c>
      <c r="DK721" s="18" t="b">
        <f>RecData[[#This Row],[Overall (dBA)]]&lt;$DS$3</f>
        <v>0</v>
      </c>
      <c r="DL7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1" s="2">
        <f>IF(AND(RecData[[#This Row],[Turbines ON/OFF]] = "OFF", NOT(OR(RecData[[#This Row],[Junk?]]="YES",RecData[[#This Row],[Gust?]],RecData[[#This Row],[Rain?]:[Min SPL Threshold?]]))),1,0)</f>
        <v>0</v>
      </c>
      <c r="DN721" s="16">
        <f>RecData[[#This Row],[dBA Sum]]</f>
        <v>40.288757153269266</v>
      </c>
      <c r="DO721" s="16">
        <f>RecData[[#This Row],[LAF90.0]]</f>
        <v>39.200000000000003</v>
      </c>
      <c r="DP721" s="55" t="str">
        <f>IF(AND(RecData[[#This Row],[Useable TON Data?]],RecData[[#This Row],[Turbines ON/OFF]]="ON"),RecData[[#This Row],[dBA Sum]],"")</f>
        <v/>
      </c>
      <c r="DQ721" s="55" t="str">
        <f>IF(AND(RecData[[#This Row],[Useable Background Data?]],RecData[[#This Row],[Turbines ON/OFF]]="OFF"),RecData[[#This Row],[dBA Sum]],"")</f>
        <v/>
      </c>
      <c r="DR721" s="3" t="str">
        <f>IF(OR(RecData[[#This Row],[Useable TON Data?]],RecData[[#This Row],[Useable Background Data?]]),ROUND(RecData[[#This Row],[WSpd_Avg '[m/s']]],0),"")</f>
        <v/>
      </c>
      <c r="DS721" s="85">
        <f>(0.00002)^2*(10^(RecData[[#This Row],[Overall (dBA)]]/10))</f>
        <v>4.2749959404298182E-6</v>
      </c>
    </row>
    <row r="722" spans="1:123" ht="15" x14ac:dyDescent="0.25">
      <c r="A722" s="3" t="s">
        <v>249</v>
      </c>
      <c r="B722" s="12">
        <v>43272.149305555555</v>
      </c>
      <c r="C722" s="3"/>
      <c r="D722" s="3">
        <v>40.700000000000003</v>
      </c>
      <c r="E722" s="3"/>
      <c r="F722" s="3"/>
      <c r="G722" s="3"/>
      <c r="H722" s="3"/>
      <c r="I722" s="3"/>
      <c r="J722" s="3"/>
      <c r="K722" s="3">
        <v>39.5</v>
      </c>
      <c r="L722" s="3"/>
      <c r="M722" s="3"/>
      <c r="N722" s="3">
        <v>203.4</v>
      </c>
      <c r="O722" s="3"/>
      <c r="P722" s="3"/>
      <c r="Q722" s="3">
        <v>1.34</v>
      </c>
      <c r="R722" s="3">
        <v>0.3</v>
      </c>
      <c r="S722" s="3">
        <v>2.4</v>
      </c>
      <c r="T722" s="3">
        <v>10.4</v>
      </c>
      <c r="U722" s="3">
        <v>68.599999999999994</v>
      </c>
      <c r="V722" s="3">
        <v>970.3</v>
      </c>
      <c r="W722" s="3">
        <v>0</v>
      </c>
      <c r="X722" s="3">
        <v>45.4</v>
      </c>
      <c r="Y722" s="3">
        <v>43.8</v>
      </c>
      <c r="Z722" s="3">
        <v>42</v>
      </c>
      <c r="AA722" s="3">
        <v>39.299999999999997</v>
      </c>
      <c r="AB722" s="3">
        <v>34.799999999999997</v>
      </c>
      <c r="AC722" s="3">
        <v>32.1</v>
      </c>
      <c r="AD722" s="3">
        <v>36.1</v>
      </c>
      <c r="AE722" s="3">
        <v>38.5</v>
      </c>
      <c r="AF722" s="3">
        <v>47.4</v>
      </c>
      <c r="AG722" s="3">
        <v>41.3</v>
      </c>
      <c r="AH722" s="3">
        <v>36.200000000000003</v>
      </c>
      <c r="AI722" s="3">
        <v>36.700000000000003</v>
      </c>
      <c r="AJ722" s="3">
        <v>35.6</v>
      </c>
      <c r="AK722" s="3">
        <v>34.200000000000003</v>
      </c>
      <c r="AL722" s="3">
        <v>32.799999999999997</v>
      </c>
      <c r="AM722" s="3">
        <v>33.299999999999997</v>
      </c>
      <c r="AN722" s="3">
        <v>31.7</v>
      </c>
      <c r="AO722" s="3">
        <v>28.9</v>
      </c>
      <c r="AP722" s="3">
        <v>27.4</v>
      </c>
      <c r="AQ722" s="3">
        <v>26.2</v>
      </c>
      <c r="AR722" s="3">
        <v>25.2</v>
      </c>
      <c r="AS722" s="3">
        <v>24.7</v>
      </c>
      <c r="AT722" s="3">
        <v>23.8</v>
      </c>
      <c r="AU722" s="3">
        <v>22.1</v>
      </c>
      <c r="AV722" s="3">
        <v>20.399999999999999</v>
      </c>
      <c r="AW722" s="3">
        <v>18.3</v>
      </c>
      <c r="AX722" s="3">
        <v>14.1</v>
      </c>
      <c r="AY722" s="3">
        <v>12.1</v>
      </c>
      <c r="AZ722" s="3">
        <v>0</v>
      </c>
      <c r="BA722" s="3">
        <v>0</v>
      </c>
      <c r="BB722" s="3">
        <v>0</v>
      </c>
      <c r="BC722" s="3">
        <v>40.689598648260755</v>
      </c>
      <c r="BD722" s="3">
        <v>45.410401351739239</v>
      </c>
      <c r="BE722" s="3">
        <v>43.810401351739245</v>
      </c>
      <c r="BF722" s="3">
        <v>40.770401351739253</v>
      </c>
      <c r="BG722" s="3">
        <v>38.397068018405918</v>
      </c>
      <c r="BH722" s="3">
        <v>34.037068018405904</v>
      </c>
      <c r="BI722" s="3">
        <v>31.750401351739242</v>
      </c>
      <c r="BJ722" s="3">
        <v>36.543734685072579</v>
      </c>
      <c r="BK722" s="3">
        <v>38.817068018405905</v>
      </c>
      <c r="BL722" s="3">
        <v>47.290401351739249</v>
      </c>
      <c r="BM722" s="3">
        <v>41.32373468507258</v>
      </c>
      <c r="BN722" s="3">
        <v>36.507068018405917</v>
      </c>
      <c r="BO722" s="3">
        <v>36.373734685072577</v>
      </c>
      <c r="BP722" s="3">
        <v>34.990401351739251</v>
      </c>
      <c r="BQ722" s="3">
        <v>34.007068018405903</v>
      </c>
      <c r="BR722" s="3">
        <v>32.933734685072579</v>
      </c>
      <c r="BS722" s="3">
        <v>33.237068018405921</v>
      </c>
      <c r="BT722" s="3">
        <v>31.833734685072585</v>
      </c>
      <c r="BU722" s="3">
        <v>29.000401351739242</v>
      </c>
      <c r="BV722" s="3">
        <v>27.217068018405911</v>
      </c>
      <c r="BW722" s="3">
        <v>26.550401351739254</v>
      </c>
      <c r="BX722" s="3">
        <v>25.470401351739255</v>
      </c>
      <c r="BY722" s="3">
        <v>24.790401351739249</v>
      </c>
      <c r="BZ722" s="3">
        <v>24.020401351739253</v>
      </c>
      <c r="CA722" s="3">
        <v>22.420401351739244</v>
      </c>
      <c r="CB722" s="3">
        <v>20.157068018405909</v>
      </c>
      <c r="CC722" s="3">
        <v>18.270401351739245</v>
      </c>
      <c r="CD722" s="3">
        <v>13.377068018405922</v>
      </c>
      <c r="CE722" s="3">
        <v>11.57040135173925</v>
      </c>
      <c r="CF722" s="3">
        <v>-0.91626531492742203</v>
      </c>
      <c r="CG722" s="3">
        <v>-1.4495986482607535</v>
      </c>
      <c r="CH722" s="3">
        <v>-2.5262653149274215</v>
      </c>
      <c r="CI722" s="13">
        <f>[1]!dbasum(RecData[[#This Row],[20]:[2000]],RecData[[#Headers],[20]:[2000]])</f>
        <v>40.218357536633462</v>
      </c>
      <c r="CJ722" s="14">
        <v>9240</v>
      </c>
      <c r="CK722" s="15" t="s">
        <v>249</v>
      </c>
      <c r="CL722" s="15">
        <f>RecData[[#This Row],[Start Time]]</f>
        <v>43272.149305555555</v>
      </c>
      <c r="CM722" s="16">
        <f>RecData[[#This Row],[Wind Speed avg]]</f>
        <v>1.34</v>
      </c>
      <c r="CN722" s="16">
        <f>RecData[[#This Row],[Wind Dir. avg]]</f>
        <v>203.4</v>
      </c>
      <c r="CO722" s="16">
        <f>RecData[[#This Row],[Amb. Humidity]]</f>
        <v>68.599999999999994</v>
      </c>
      <c r="CP722" s="16">
        <f>RecData[[#This Row],[Amb. Temperature]]</f>
        <v>10.4</v>
      </c>
      <c r="CQ722" s="17">
        <f>RecData[[#This Row],[Amb. Rain Gauge]]</f>
        <v>0</v>
      </c>
      <c r="CR722" s="4" t="s">
        <v>1</v>
      </c>
      <c r="CS722" s="4" t="s">
        <v>49</v>
      </c>
      <c r="CT722" s="70">
        <v>1611.9208984375</v>
      </c>
      <c r="CU722" s="70">
        <v>53.816989898681598</v>
      </c>
      <c r="CV722" s="70">
        <v>10.151644706726</v>
      </c>
      <c r="CW722" s="70">
        <v>15.275819778442299</v>
      </c>
      <c r="CX722" s="4" t="s">
        <v>49</v>
      </c>
      <c r="CY722" s="69" t="s">
        <v>254</v>
      </c>
      <c r="CZ722" s="2" t="b">
        <f>IF($DP$1="YES",IF(RecData[[#This Row],[Power (kW)]]&gt;=$CR$3, TRUE,FALSE),TRUE)</f>
        <v>1</v>
      </c>
      <c r="DA722" s="16">
        <f>MIN(MOD(180-ABS(ABS($DA$1-RecData[Yaw Angle (°)])-180),360),MOD(180-ABS(ABS($DB$1-RecData[Yaw Angle (°)])-180),360))</f>
        <v>46.287063120994048</v>
      </c>
      <c r="DB722" s="2" t="str">
        <f>IF($DP$2="None","None",IF(RecData[[#This Row],[Relative Wind Direction]]&lt;=45,"DW",IF(RecData[[#This Row],[Relative Wind Direction]]&lt;=135,"CW","UW")))</f>
        <v>CW</v>
      </c>
      <c r="DC722" s="61" t="e">
        <f>IF($CL722-$CL718&gt;1/24,#REF!,IF(SUM($CQ718:$CQ722)&gt;$DS$1,$DS$5,DC723-1))</f>
        <v>#REF!</v>
      </c>
      <c r="DD722" s="61">
        <f>IF($CL723-$CL722&gt;1/24,#REF!,IF(SUM($CQ718:$CQ722)&gt;$DS$1,$DS$6,DD721-1))</f>
        <v>-6</v>
      </c>
      <c r="DE722" s="18" t="b">
        <v>0</v>
      </c>
      <c r="DF722" s="2" t="b">
        <f>IF(OR(RecData[[#This Row],[WSpd_Avg '[m/s']]]-RecData[[#This Row],[Wind Speed min]]&gt;=$DF$3,RecData[[#This Row],[Wind Speed max]]-RecData[[#This Row],[WSpd_Avg '[m/s']]]&gt;=$DF$2),TRUE,FALSE)</f>
        <v>0</v>
      </c>
      <c r="DG722" s="2" t="b">
        <f>RecData[[#This Row],[Temperature '[°C']]]&lt;=-20</f>
        <v>0</v>
      </c>
      <c r="DH722" s="18" t="b">
        <f>NOT(OR(MOD(RecData[[#This Row],[TIMESTAMP]],1)&gt;0.91632,MOD(RecData[[#This Row],[TIMESTAMP]],1)&lt;0.208681))</f>
        <v>0</v>
      </c>
      <c r="DI722" s="18" t="b">
        <f>RecData[[#This Row],[Overall (dBA)]]-RecData[[#This Row],[L90]]&gt;=$DS$4</f>
        <v>0</v>
      </c>
      <c r="DJ722" s="18" t="b">
        <f>RecData[[#This Row],[Overall (dBA)]]&gt;$DS$2</f>
        <v>0</v>
      </c>
      <c r="DK722" s="18" t="b">
        <f>RecData[[#This Row],[Overall (dBA)]]&lt;$DS$3</f>
        <v>0</v>
      </c>
      <c r="DL7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2" s="2">
        <f>IF(AND(RecData[[#This Row],[Turbines ON/OFF]] = "OFF", NOT(OR(RecData[[#This Row],[Junk?]]="YES",RecData[[#This Row],[Gust?]],RecData[[#This Row],[Rain?]:[Min SPL Threshold?]]))),1,0)</f>
        <v>0</v>
      </c>
      <c r="DN722" s="16">
        <f>RecData[[#This Row],[dBA Sum]]</f>
        <v>40.218357536633462</v>
      </c>
      <c r="DO722" s="16">
        <f>RecData[[#This Row],[LAF90.0]]</f>
        <v>39.5</v>
      </c>
      <c r="DP722" s="55" t="str">
        <f>IF(AND(RecData[[#This Row],[Useable TON Data?]],RecData[[#This Row],[Turbines ON/OFF]]="ON"),RecData[[#This Row],[dBA Sum]],"")</f>
        <v/>
      </c>
      <c r="DQ722" s="55" t="str">
        <f>IF(AND(RecData[[#This Row],[Useable Background Data?]],RecData[[#This Row],[Turbines ON/OFF]]="OFF"),RecData[[#This Row],[dBA Sum]],"")</f>
        <v/>
      </c>
      <c r="DR722" s="3" t="str">
        <f>IF(OR(RecData[[#This Row],[Useable TON Data?]],RecData[[#This Row],[Useable Background Data?]]),ROUND(RecData[[#This Row],[WSpd_Avg '[m/s']]],0),"")</f>
        <v/>
      </c>
      <c r="DS722" s="85">
        <f>(0.00002)^2*(10^(RecData[[#This Row],[Overall (dBA)]]/10))</f>
        <v>4.2062564254240455E-6</v>
      </c>
    </row>
    <row r="723" spans="1:123" ht="15" x14ac:dyDescent="0.25">
      <c r="A723" s="3" t="s">
        <v>249</v>
      </c>
      <c r="B723" s="12">
        <v>43272.15</v>
      </c>
      <c r="C723" s="3"/>
      <c r="D723" s="3">
        <v>39.6</v>
      </c>
      <c r="E723" s="3"/>
      <c r="F723" s="3"/>
      <c r="G723" s="3"/>
      <c r="H723" s="3"/>
      <c r="I723" s="3"/>
      <c r="J723" s="3"/>
      <c r="K723" s="3">
        <v>38.700000000000003</v>
      </c>
      <c r="L723" s="3"/>
      <c r="M723" s="3"/>
      <c r="N723" s="3">
        <v>174.8</v>
      </c>
      <c r="O723" s="3"/>
      <c r="P723" s="3"/>
      <c r="Q723" s="3">
        <v>1.1499999999999999</v>
      </c>
      <c r="R723" s="3">
        <v>0.2</v>
      </c>
      <c r="S723" s="3">
        <v>2.4</v>
      </c>
      <c r="T723" s="3">
        <v>10.4</v>
      </c>
      <c r="U723" s="3">
        <v>69.099999999999994</v>
      </c>
      <c r="V723" s="3">
        <v>970.3</v>
      </c>
      <c r="W723" s="3">
        <v>0</v>
      </c>
      <c r="X723" s="3">
        <v>45.1</v>
      </c>
      <c r="Y723" s="3">
        <v>44</v>
      </c>
      <c r="Z723" s="3">
        <v>41.2</v>
      </c>
      <c r="AA723" s="3">
        <v>38.4</v>
      </c>
      <c r="AB723" s="3">
        <v>34.799999999999997</v>
      </c>
      <c r="AC723" s="3">
        <v>31.9</v>
      </c>
      <c r="AD723" s="3">
        <v>35.1</v>
      </c>
      <c r="AE723" s="3">
        <v>36.799999999999997</v>
      </c>
      <c r="AF723" s="3">
        <v>45.4</v>
      </c>
      <c r="AG723" s="3">
        <v>39.200000000000003</v>
      </c>
      <c r="AH723" s="3">
        <v>34.6</v>
      </c>
      <c r="AI723" s="3">
        <v>35.5</v>
      </c>
      <c r="AJ723" s="3">
        <v>34.200000000000003</v>
      </c>
      <c r="AK723" s="3">
        <v>33</v>
      </c>
      <c r="AL723" s="3">
        <v>31.6</v>
      </c>
      <c r="AM723" s="3">
        <v>32.5</v>
      </c>
      <c r="AN723" s="3">
        <v>31</v>
      </c>
      <c r="AO723" s="3">
        <v>28.1</v>
      </c>
      <c r="AP723" s="3">
        <v>26.8</v>
      </c>
      <c r="AQ723" s="3">
        <v>25.5</v>
      </c>
      <c r="AR723" s="3">
        <v>24.6</v>
      </c>
      <c r="AS723" s="3">
        <v>24.1</v>
      </c>
      <c r="AT723" s="3">
        <v>23.2</v>
      </c>
      <c r="AU723" s="3">
        <v>21.2</v>
      </c>
      <c r="AV723" s="3">
        <v>20</v>
      </c>
      <c r="AW723" s="3">
        <v>17.600000000000001</v>
      </c>
      <c r="AX723" s="3">
        <v>13.4</v>
      </c>
      <c r="AY723" s="3">
        <v>11.2</v>
      </c>
      <c r="AZ723" s="3">
        <v>0</v>
      </c>
      <c r="BA723" s="3">
        <v>0</v>
      </c>
      <c r="BB723" s="3">
        <v>0</v>
      </c>
      <c r="BC723" s="3">
        <v>39.607496609487811</v>
      </c>
      <c r="BD723" s="3">
        <v>45.092503390512192</v>
      </c>
      <c r="BE723" s="3">
        <v>43.992503390512184</v>
      </c>
      <c r="BF723" s="3">
        <v>39.952503390512192</v>
      </c>
      <c r="BG723" s="3">
        <v>37.479170057178862</v>
      </c>
      <c r="BH723" s="3">
        <v>34.019170057178854</v>
      </c>
      <c r="BI723" s="3">
        <v>31.53250339051219</v>
      </c>
      <c r="BJ723" s="3">
        <v>35.525836723845515</v>
      </c>
      <c r="BK723" s="3">
        <v>37.099170057178853</v>
      </c>
      <c r="BL723" s="3">
        <v>45.272503390512185</v>
      </c>
      <c r="BM723" s="3">
        <v>39.205836723845522</v>
      </c>
      <c r="BN723" s="3">
        <v>34.889170057178859</v>
      </c>
      <c r="BO723" s="3">
        <v>35.155836723845525</v>
      </c>
      <c r="BP723" s="3">
        <v>33.572503390512196</v>
      </c>
      <c r="BQ723" s="3">
        <v>32.78917005717885</v>
      </c>
      <c r="BR723" s="3">
        <v>31.715836723845527</v>
      </c>
      <c r="BS723" s="3">
        <v>32.41917005717886</v>
      </c>
      <c r="BT723" s="3">
        <v>31.115836723845518</v>
      </c>
      <c r="BU723" s="3">
        <v>28.182503390512196</v>
      </c>
      <c r="BV723" s="3">
        <v>26.599170057178867</v>
      </c>
      <c r="BW723" s="3">
        <v>25.832503390512187</v>
      </c>
      <c r="BX723" s="3">
        <v>24.852503390512197</v>
      </c>
      <c r="BY723" s="3">
        <v>24.17250339051219</v>
      </c>
      <c r="BZ723" s="3">
        <v>23.402503390512194</v>
      </c>
      <c r="CA723" s="3">
        <v>21.502503390512182</v>
      </c>
      <c r="CB723" s="3">
        <v>19.739170057178853</v>
      </c>
      <c r="CC723" s="3">
        <v>17.552503390512186</v>
      </c>
      <c r="CD723" s="3">
        <v>12.659170057178862</v>
      </c>
      <c r="CE723" s="3">
        <v>10.652503390512187</v>
      </c>
      <c r="CF723" s="3">
        <v>-0.93416327615447869</v>
      </c>
      <c r="CG723" s="3">
        <v>-1.4674966094878101</v>
      </c>
      <c r="CH723" s="3">
        <v>-2.5441632761544781</v>
      </c>
      <c r="CI723" s="13">
        <f>[1]!dbasum(RecData[[#This Row],[20]:[2000]],RecData[[#Headers],[20]:[2000]])</f>
        <v>39.075420813039173</v>
      </c>
      <c r="CJ723" s="14">
        <v>9241</v>
      </c>
      <c r="CK723" s="15" t="s">
        <v>249</v>
      </c>
      <c r="CL723" s="15">
        <f>RecData[[#This Row],[Start Time]]</f>
        <v>43272.15</v>
      </c>
      <c r="CM723" s="16">
        <f>RecData[[#This Row],[Wind Speed avg]]</f>
        <v>1.1499999999999999</v>
      </c>
      <c r="CN723" s="16">
        <f>RecData[[#This Row],[Wind Dir. avg]]</f>
        <v>174.8</v>
      </c>
      <c r="CO723" s="16">
        <f>RecData[[#This Row],[Amb. Humidity]]</f>
        <v>69.099999999999994</v>
      </c>
      <c r="CP723" s="16">
        <f>RecData[[#This Row],[Amb. Temperature]]</f>
        <v>10.4</v>
      </c>
      <c r="CQ723" s="17">
        <f>RecData[[#This Row],[Amb. Rain Gauge]]</f>
        <v>0</v>
      </c>
      <c r="CR723" s="4" t="s">
        <v>1</v>
      </c>
      <c r="CS723" s="4" t="s">
        <v>49</v>
      </c>
      <c r="CT723" s="70">
        <v>1611.9208984375</v>
      </c>
      <c r="CU723" s="70">
        <v>53.816989898681598</v>
      </c>
      <c r="CV723" s="70">
        <v>10.151644706726</v>
      </c>
      <c r="CW723" s="70">
        <v>15.275819778442299</v>
      </c>
      <c r="CX723" s="4" t="s">
        <v>49</v>
      </c>
      <c r="CY723" s="69" t="s">
        <v>254</v>
      </c>
      <c r="CZ723" s="2" t="b">
        <f>IF($DP$1="YES",IF(RecData[[#This Row],[Power (kW)]]&gt;=$CR$3, TRUE,FALSE),TRUE)</f>
        <v>1</v>
      </c>
      <c r="DA723" s="16">
        <f>MIN(MOD(180-ABS(ABS($DA$1-RecData[Yaw Angle (°)])-180),360),MOD(180-ABS(ABS($DB$1-RecData[Yaw Angle (°)])-180),360))</f>
        <v>46.287063120994048</v>
      </c>
      <c r="DB723" s="2" t="str">
        <f>IF($DP$2="None","None",IF(RecData[[#This Row],[Relative Wind Direction]]&lt;=45,"DW",IF(RecData[[#This Row],[Relative Wind Direction]]&lt;=135,"CW","UW")))</f>
        <v>CW</v>
      </c>
      <c r="DC723" s="61" t="e">
        <f>IF($CL723-$CL719&gt;1/24,#REF!,IF(SUM($CQ719:$CQ723)&gt;$DS$1,$DS$5,DC724-1))</f>
        <v>#REF!</v>
      </c>
      <c r="DD723" s="61">
        <f>IF($CL724-$CL723&gt;1/24,#REF!,IF(SUM($CQ719:$CQ723)&gt;$DS$1,$DS$6,DD722-1))</f>
        <v>-7</v>
      </c>
      <c r="DE723" s="18" t="b">
        <v>0</v>
      </c>
      <c r="DF723" s="2" t="b">
        <f>IF(OR(RecData[[#This Row],[WSpd_Avg '[m/s']]]-RecData[[#This Row],[Wind Speed min]]&gt;=$DF$3,RecData[[#This Row],[Wind Speed max]]-RecData[[#This Row],[WSpd_Avg '[m/s']]]&gt;=$DF$2),TRUE,FALSE)</f>
        <v>0</v>
      </c>
      <c r="DG723" s="2" t="b">
        <f>RecData[[#This Row],[Temperature '[°C']]]&lt;=-20</f>
        <v>0</v>
      </c>
      <c r="DH723" s="18" t="b">
        <f>NOT(OR(MOD(RecData[[#This Row],[TIMESTAMP]],1)&gt;0.91632,MOD(RecData[[#This Row],[TIMESTAMP]],1)&lt;0.208681))</f>
        <v>0</v>
      </c>
      <c r="DI723" s="18" t="b">
        <f>RecData[[#This Row],[Overall (dBA)]]-RecData[[#This Row],[L90]]&gt;=$DS$4</f>
        <v>0</v>
      </c>
      <c r="DJ723" s="18" t="b">
        <f>RecData[[#This Row],[Overall (dBA)]]&gt;$DS$2</f>
        <v>0</v>
      </c>
      <c r="DK723" s="18" t="b">
        <f>RecData[[#This Row],[Overall (dBA)]]&lt;$DS$3</f>
        <v>0</v>
      </c>
      <c r="DL7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3" s="2">
        <f>IF(AND(RecData[[#This Row],[Turbines ON/OFF]] = "OFF", NOT(OR(RecData[[#This Row],[Junk?]]="YES",RecData[[#This Row],[Gust?]],RecData[[#This Row],[Rain?]:[Min SPL Threshold?]]))),1,0)</f>
        <v>0</v>
      </c>
      <c r="DN723" s="16">
        <f>RecData[[#This Row],[dBA Sum]]</f>
        <v>39.075420813039173</v>
      </c>
      <c r="DO723" s="16">
        <f>RecData[[#This Row],[LAF90.0]]</f>
        <v>38.700000000000003</v>
      </c>
      <c r="DP723" s="55" t="str">
        <f>IF(AND(RecData[[#This Row],[Useable TON Data?]],RecData[[#This Row],[Turbines ON/OFF]]="ON"),RecData[[#This Row],[dBA Sum]],"")</f>
        <v/>
      </c>
      <c r="DQ723" s="55" t="str">
        <f>IF(AND(RecData[[#This Row],[Useable Background Data?]],RecData[[#This Row],[Turbines ON/OFF]]="OFF"),RecData[[#This Row],[dBA Sum]],"")</f>
        <v/>
      </c>
      <c r="DR723" s="3" t="str">
        <f>IF(OR(RecData[[#This Row],[Useable TON Data?]],RecData[[#This Row],[Useable Background Data?]]),ROUND(RecData[[#This Row],[WSpd_Avg '[m/s']]],0),"")</f>
        <v/>
      </c>
      <c r="DS723" s="85">
        <f>(0.00002)^2*(10^(RecData[[#This Row],[Overall (dBA)]]/10))</f>
        <v>3.2329729627207304E-6</v>
      </c>
    </row>
    <row r="724" spans="1:123" ht="15" x14ac:dyDescent="0.25">
      <c r="A724" s="3" t="s">
        <v>249</v>
      </c>
      <c r="B724" s="12">
        <v>43272.150694444441</v>
      </c>
      <c r="C724" s="3"/>
      <c r="D724" s="3">
        <v>41.3</v>
      </c>
      <c r="E724" s="3"/>
      <c r="F724" s="3"/>
      <c r="G724" s="3"/>
      <c r="H724" s="3"/>
      <c r="I724" s="3"/>
      <c r="J724" s="3"/>
      <c r="K724" s="3">
        <v>39.799999999999997</v>
      </c>
      <c r="L724" s="3"/>
      <c r="M724" s="3"/>
      <c r="N724" s="3">
        <v>164.1</v>
      </c>
      <c r="O724" s="3"/>
      <c r="P724" s="3"/>
      <c r="Q724" s="3">
        <v>1.75</v>
      </c>
      <c r="R724" s="3">
        <v>1.1000000000000001</v>
      </c>
      <c r="S724" s="3">
        <v>2.5</v>
      </c>
      <c r="T724" s="3">
        <v>10.4</v>
      </c>
      <c r="U724" s="3">
        <v>69.099999999999994</v>
      </c>
      <c r="V724" s="3">
        <v>970.3</v>
      </c>
      <c r="W724" s="3">
        <v>0</v>
      </c>
      <c r="X724" s="3">
        <v>45.8</v>
      </c>
      <c r="Y724" s="3">
        <v>44.8</v>
      </c>
      <c r="Z724" s="3">
        <v>42.7</v>
      </c>
      <c r="AA724" s="3">
        <v>39</v>
      </c>
      <c r="AB724" s="3">
        <v>35.5</v>
      </c>
      <c r="AC724" s="3">
        <v>35.4</v>
      </c>
      <c r="AD724" s="3">
        <v>38</v>
      </c>
      <c r="AE724" s="3">
        <v>38.4</v>
      </c>
      <c r="AF724" s="3">
        <v>47.1</v>
      </c>
      <c r="AG724" s="3">
        <v>41.6</v>
      </c>
      <c r="AH724" s="3">
        <v>35.9</v>
      </c>
      <c r="AI724" s="3">
        <v>37</v>
      </c>
      <c r="AJ724" s="3">
        <v>36</v>
      </c>
      <c r="AK724" s="3">
        <v>34.5</v>
      </c>
      <c r="AL724" s="3">
        <v>33.1</v>
      </c>
      <c r="AM724" s="3">
        <v>34.1</v>
      </c>
      <c r="AN724" s="3">
        <v>32.1</v>
      </c>
      <c r="AO724" s="3">
        <v>29.3</v>
      </c>
      <c r="AP724" s="3">
        <v>27.7</v>
      </c>
      <c r="AQ724" s="3">
        <v>26.8</v>
      </c>
      <c r="AR724" s="3">
        <v>26</v>
      </c>
      <c r="AS724" s="3">
        <v>25.9</v>
      </c>
      <c r="AT724" s="3">
        <v>26.4</v>
      </c>
      <c r="AU724" s="3">
        <v>24.4</v>
      </c>
      <c r="AV724" s="3">
        <v>22.7</v>
      </c>
      <c r="AW724" s="3">
        <v>20.9</v>
      </c>
      <c r="AX724" s="3">
        <v>16.5</v>
      </c>
      <c r="AY724" s="3">
        <v>14.6</v>
      </c>
      <c r="AZ724" s="3">
        <v>0</v>
      </c>
      <c r="BA724" s="3">
        <v>0</v>
      </c>
      <c r="BB724" s="3">
        <v>0</v>
      </c>
      <c r="BC724" s="3">
        <v>41.235579625194696</v>
      </c>
      <c r="BD724" s="3">
        <v>45.864420374805299</v>
      </c>
      <c r="BE724" s="3">
        <v>44.864420374805299</v>
      </c>
      <c r="BF724" s="3">
        <v>41.524420374805295</v>
      </c>
      <c r="BG724" s="3">
        <v>38.151087041471961</v>
      </c>
      <c r="BH724" s="3">
        <v>34.791087041471975</v>
      </c>
      <c r="BI724" s="3">
        <v>35.104420374805308</v>
      </c>
      <c r="BJ724" s="3">
        <v>38.497753708138625</v>
      </c>
      <c r="BK724" s="3">
        <v>38.771087041471965</v>
      </c>
      <c r="BL724" s="3">
        <v>47.044420374805306</v>
      </c>
      <c r="BM724" s="3">
        <v>41.677753708138631</v>
      </c>
      <c r="BN724" s="3">
        <v>36.261087041471974</v>
      </c>
      <c r="BO724" s="3">
        <v>36.727753708138643</v>
      </c>
      <c r="BP724" s="3">
        <v>35.444420374805311</v>
      </c>
      <c r="BQ724" s="3">
        <v>34.361087041471968</v>
      </c>
      <c r="BR724" s="3">
        <v>33.287753708138645</v>
      </c>
      <c r="BS724" s="3">
        <v>34.091087041471972</v>
      </c>
      <c r="BT724" s="3">
        <v>32.287753708138645</v>
      </c>
      <c r="BU724" s="3">
        <v>29.454420374805302</v>
      </c>
      <c r="BV724" s="3">
        <v>27.571087041471976</v>
      </c>
      <c r="BW724" s="3">
        <v>27.204420374805302</v>
      </c>
      <c r="BX724" s="3">
        <v>26.324420374805307</v>
      </c>
      <c r="BY724" s="3">
        <v>26.044420374805306</v>
      </c>
      <c r="BZ724" s="3">
        <v>26.674420374805301</v>
      </c>
      <c r="CA724" s="3">
        <v>24.774420374805295</v>
      </c>
      <c r="CB724" s="3">
        <v>22.511087041471967</v>
      </c>
      <c r="CC724" s="3">
        <v>20.924420374805301</v>
      </c>
      <c r="CD724" s="3">
        <v>15.831087041471974</v>
      </c>
      <c r="CE724" s="3">
        <v>14.124420374805304</v>
      </c>
      <c r="CF724" s="3">
        <v>-0.86224629186136781</v>
      </c>
      <c r="CG724" s="3">
        <v>-1.3955796251946992</v>
      </c>
      <c r="CH724" s="3">
        <v>-2.4722462918613672</v>
      </c>
      <c r="CI724" s="13">
        <f>[1]!dbasum(RecData[[#This Row],[20]:[2000]],RecData[[#Headers],[20]:[2000]])</f>
        <v>40.621781180077789</v>
      </c>
      <c r="CJ724" s="14">
        <v>9242</v>
      </c>
      <c r="CK724" s="15" t="s">
        <v>249</v>
      </c>
      <c r="CL724" s="15">
        <f>RecData[[#This Row],[Start Time]]</f>
        <v>43272.150694444441</v>
      </c>
      <c r="CM724" s="16">
        <f>RecData[[#This Row],[Wind Speed avg]]</f>
        <v>1.75</v>
      </c>
      <c r="CN724" s="16">
        <f>RecData[[#This Row],[Wind Dir. avg]]</f>
        <v>164.1</v>
      </c>
      <c r="CO724" s="16">
        <f>RecData[[#This Row],[Amb. Humidity]]</f>
        <v>69.099999999999994</v>
      </c>
      <c r="CP724" s="16">
        <f>RecData[[#This Row],[Amb. Temperature]]</f>
        <v>10.4</v>
      </c>
      <c r="CQ724" s="17">
        <f>RecData[[#This Row],[Amb. Rain Gauge]]</f>
        <v>0</v>
      </c>
      <c r="CR724" s="4" t="s">
        <v>1</v>
      </c>
      <c r="CS724" s="4" t="s">
        <v>49</v>
      </c>
      <c r="CT724" s="70">
        <v>1611.9208984375</v>
      </c>
      <c r="CU724" s="70">
        <v>53.816989898681598</v>
      </c>
      <c r="CV724" s="70">
        <v>10.151644706726</v>
      </c>
      <c r="CW724" s="70">
        <v>15.275819778442299</v>
      </c>
      <c r="CX724" s="4" t="s">
        <v>49</v>
      </c>
      <c r="CY724" s="69" t="s">
        <v>254</v>
      </c>
      <c r="CZ724" s="2" t="b">
        <f>IF($DP$1="YES",IF(RecData[[#This Row],[Power (kW)]]&gt;=$CR$3, TRUE,FALSE),TRUE)</f>
        <v>1</v>
      </c>
      <c r="DA724" s="16">
        <f>MIN(MOD(180-ABS(ABS($DA$1-RecData[Yaw Angle (°)])-180),360),MOD(180-ABS(ABS($DB$1-RecData[Yaw Angle (°)])-180),360))</f>
        <v>46.287063120994048</v>
      </c>
      <c r="DB724" s="2" t="str">
        <f>IF($DP$2="None","None",IF(RecData[[#This Row],[Relative Wind Direction]]&lt;=45,"DW",IF(RecData[[#This Row],[Relative Wind Direction]]&lt;=135,"CW","UW")))</f>
        <v>CW</v>
      </c>
      <c r="DC724" s="61" t="e">
        <f>IF($CL724-$CL720&gt;1/24,#REF!,IF(SUM($CQ720:$CQ724)&gt;$DS$1,$DS$5,#REF!-1))</f>
        <v>#REF!</v>
      </c>
      <c r="DD724" s="61" t="e">
        <f>IF(#REF!-$CL724&gt;1/24,#REF!,IF(SUM($CQ720:$CQ724)&gt;$DS$1,$DS$6,DD723-1))</f>
        <v>#REF!</v>
      </c>
      <c r="DE724" s="18" t="b">
        <v>0</v>
      </c>
      <c r="DF724" s="2" t="b">
        <f>IF(OR(RecData[[#This Row],[WSpd_Avg '[m/s']]]-RecData[[#This Row],[Wind Speed min]]&gt;=$DF$3,RecData[[#This Row],[Wind Speed max]]-RecData[[#This Row],[WSpd_Avg '[m/s']]]&gt;=$DF$2),TRUE,FALSE)</f>
        <v>0</v>
      </c>
      <c r="DG724" s="2" t="b">
        <f>RecData[[#This Row],[Temperature '[°C']]]&lt;=-20</f>
        <v>0</v>
      </c>
      <c r="DH724" s="18" t="b">
        <f>NOT(OR(MOD(RecData[[#This Row],[TIMESTAMP]],1)&gt;0.91632,MOD(RecData[[#This Row],[TIMESTAMP]],1)&lt;0.208681))</f>
        <v>0</v>
      </c>
      <c r="DI724" s="18" t="b">
        <f>RecData[[#This Row],[Overall (dBA)]]-RecData[[#This Row],[L90]]&gt;=$DS$4</f>
        <v>0</v>
      </c>
      <c r="DJ724" s="18" t="b">
        <f>RecData[[#This Row],[Overall (dBA)]]&gt;$DS$2</f>
        <v>0</v>
      </c>
      <c r="DK724" s="18" t="b">
        <f>RecData[[#This Row],[Overall (dBA)]]&lt;$DS$3</f>
        <v>0</v>
      </c>
      <c r="DL7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4" s="2">
        <f>IF(AND(RecData[[#This Row],[Turbines ON/OFF]] = "OFF", NOT(OR(RecData[[#This Row],[Junk?]]="YES",RecData[[#This Row],[Gust?]],RecData[[#This Row],[Rain?]:[Min SPL Threshold?]]))),1,0)</f>
        <v>0</v>
      </c>
      <c r="DN724" s="16">
        <f>RecData[[#This Row],[dBA Sum]]</f>
        <v>40.621781180077789</v>
      </c>
      <c r="DO724" s="16">
        <f>RecData[[#This Row],[LAF90.0]]</f>
        <v>39.799999999999997</v>
      </c>
      <c r="DP724" s="55" t="str">
        <f>IF(AND(RecData[[#This Row],[Useable TON Data?]],RecData[[#This Row],[Turbines ON/OFF]]="ON"),RecData[[#This Row],[dBA Sum]],"")</f>
        <v/>
      </c>
      <c r="DQ724" s="55" t="str">
        <f>IF(AND(RecData[[#This Row],[Useable Background Data?]],RecData[[#This Row],[Turbines ON/OFF]]="OFF"),RecData[[#This Row],[dBA Sum]],"")</f>
        <v/>
      </c>
      <c r="DR724" s="3" t="str">
        <f>IF(OR(RecData[[#This Row],[Useable TON Data?]],RecData[[#This Row],[Useable Background Data?]]),ROUND(RecData[[#This Row],[WSpd_Avg '[m/s']]],0),"")</f>
        <v/>
      </c>
      <c r="DS724" s="85">
        <f>(0.00002)^2*(10^(RecData[[#This Row],[Overall (dBA)]]/10))</f>
        <v>4.6157056911419739E-6</v>
      </c>
    </row>
    <row r="725" spans="1:123" ht="15" x14ac:dyDescent="0.25">
      <c r="A725" s="3" t="s">
        <v>249</v>
      </c>
      <c r="B725" s="12">
        <v>43272.938194444447</v>
      </c>
      <c r="C725" s="3"/>
      <c r="D725" s="3">
        <v>31.3</v>
      </c>
      <c r="E725" s="3"/>
      <c r="F725" s="3"/>
      <c r="G725" s="3"/>
      <c r="H725" s="3"/>
      <c r="I725" s="3"/>
      <c r="J725" s="3"/>
      <c r="K725" s="3">
        <v>25.1</v>
      </c>
      <c r="L725" s="3"/>
      <c r="M725" s="3"/>
      <c r="N725" s="3">
        <v>158.6</v>
      </c>
      <c r="O725" s="3"/>
      <c r="P725" s="3"/>
      <c r="Q725" s="3">
        <v>0.55000000000000004</v>
      </c>
      <c r="R725" s="3">
        <v>0.2</v>
      </c>
      <c r="S725" s="3">
        <v>0.7</v>
      </c>
      <c r="T725" s="3">
        <v>9.6</v>
      </c>
      <c r="U725" s="3">
        <v>68.8</v>
      </c>
      <c r="V725" s="3">
        <v>970.6</v>
      </c>
      <c r="W725" s="3">
        <v>0</v>
      </c>
      <c r="X725" s="3">
        <v>23.3</v>
      </c>
      <c r="Y725" s="3">
        <v>23.5</v>
      </c>
      <c r="Z725" s="3">
        <v>24.2</v>
      </c>
      <c r="AA725" s="3">
        <v>16.2</v>
      </c>
      <c r="AB725" s="3">
        <v>16.600000000000001</v>
      </c>
      <c r="AC725" s="3">
        <v>19.3</v>
      </c>
      <c r="AD725" s="3">
        <v>17.600000000000001</v>
      </c>
      <c r="AE725" s="3">
        <v>15.1</v>
      </c>
      <c r="AF725" s="3">
        <v>15.2</v>
      </c>
      <c r="AG725" s="3">
        <v>10.6</v>
      </c>
      <c r="AH725" s="3">
        <v>9.1</v>
      </c>
      <c r="AI725" s="3">
        <v>8.6999999999999993</v>
      </c>
      <c r="AJ725" s="3">
        <v>8.1</v>
      </c>
      <c r="AK725" s="3">
        <v>8.6999999999999993</v>
      </c>
      <c r="AL725" s="3">
        <v>8.1999999999999993</v>
      </c>
      <c r="AM725" s="3">
        <v>10.3</v>
      </c>
      <c r="AN725" s="3">
        <v>9.6</v>
      </c>
      <c r="AO725" s="3">
        <v>7.7</v>
      </c>
      <c r="AP725" s="3">
        <v>7</v>
      </c>
      <c r="AQ725" s="3">
        <v>6.8</v>
      </c>
      <c r="AR725" s="3">
        <v>6.2</v>
      </c>
      <c r="AS725" s="3">
        <v>23.8</v>
      </c>
      <c r="AT725" s="3">
        <v>28.5</v>
      </c>
      <c r="AU725" s="3">
        <v>8.6999999999999993</v>
      </c>
      <c r="AV725" s="3">
        <v>8.1999999999999993</v>
      </c>
      <c r="AW725" s="3">
        <v>8.6</v>
      </c>
      <c r="AX725" s="3">
        <v>8.9</v>
      </c>
      <c r="AY725" s="3">
        <v>9.1</v>
      </c>
      <c r="AZ725" s="3">
        <v>0</v>
      </c>
      <c r="BA725" s="3">
        <v>0</v>
      </c>
      <c r="BB725" s="3">
        <v>0</v>
      </c>
      <c r="BC725" s="3">
        <v>31.26073075939177</v>
      </c>
      <c r="BD725" s="3">
        <v>23.339269240608232</v>
      </c>
      <c r="BE725" s="3">
        <v>23.539269240608228</v>
      </c>
      <c r="BF725" s="3">
        <v>22.999269240608236</v>
      </c>
      <c r="BG725" s="3">
        <v>15.325935907274896</v>
      </c>
      <c r="BH725" s="3">
        <v>15.865935907274903</v>
      </c>
      <c r="BI725" s="3">
        <v>18.979269240608232</v>
      </c>
      <c r="BJ725" s="3">
        <v>18.072602573941566</v>
      </c>
      <c r="BK725" s="3">
        <v>15.445935907274894</v>
      </c>
      <c r="BL725" s="3">
        <v>15.119269240608233</v>
      </c>
      <c r="BM725" s="3">
        <v>10.652602573941564</v>
      </c>
      <c r="BN725" s="3">
        <v>9.4359359072748958</v>
      </c>
      <c r="BO725" s="3">
        <v>8.4026025739415644</v>
      </c>
      <c r="BP725" s="3">
        <v>7.5192692406082315</v>
      </c>
      <c r="BQ725" s="3">
        <v>8.5359359072748902</v>
      </c>
      <c r="BR725" s="3">
        <v>8.3626025739415653</v>
      </c>
      <c r="BS725" s="3">
        <v>10.265935907274901</v>
      </c>
      <c r="BT725" s="3">
        <v>9.7626025739415638</v>
      </c>
      <c r="BU725" s="3">
        <v>7.8292692406082338</v>
      </c>
      <c r="BV725" s="3">
        <v>6.8459359072748995</v>
      </c>
      <c r="BW725" s="3">
        <v>7.1792692406082352</v>
      </c>
      <c r="BX725" s="3">
        <v>6.4992692406082355</v>
      </c>
      <c r="BY725" s="3">
        <v>23.91926924060823</v>
      </c>
      <c r="BZ725" s="3">
        <v>28.749269240608236</v>
      </c>
      <c r="CA725" s="3">
        <v>9.0492692406082256</v>
      </c>
      <c r="CB725" s="3">
        <v>7.985935907274893</v>
      </c>
      <c r="CC725" s="3">
        <v>8.5992692406082298</v>
      </c>
      <c r="CD725" s="3">
        <v>8.205935907274899</v>
      </c>
      <c r="CE725" s="3">
        <v>8.5992692406082298</v>
      </c>
      <c r="CF725" s="3">
        <v>-0.88739742605843475</v>
      </c>
      <c r="CG725" s="3">
        <v>-1.4207307593917662</v>
      </c>
      <c r="CH725" s="3">
        <v>-2.4973974260584342</v>
      </c>
      <c r="CI725" s="13">
        <f>[1]!dbasum(RecData[[#This Row],[20]:[2000]],RecData[[#Headers],[20]:[2000]])</f>
        <v>16.958166888059846</v>
      </c>
      <c r="CJ725" s="14">
        <v>9360</v>
      </c>
      <c r="CK725" s="15" t="s">
        <v>249</v>
      </c>
      <c r="CL725" s="15">
        <f>RecData[[#This Row],[Start Time]]</f>
        <v>43272.938194444447</v>
      </c>
      <c r="CM725" s="16">
        <f>RecData[[#This Row],[Wind Speed avg]]</f>
        <v>0.55000000000000004</v>
      </c>
      <c r="CN725" s="16">
        <f>RecData[[#This Row],[Wind Dir. avg]]</f>
        <v>158.6</v>
      </c>
      <c r="CO725" s="16">
        <f>RecData[[#This Row],[Amb. Humidity]]</f>
        <v>68.8</v>
      </c>
      <c r="CP725" s="16">
        <f>RecData[[#This Row],[Amb. Temperature]]</f>
        <v>9.6</v>
      </c>
      <c r="CQ725" s="17">
        <f>RecData[[#This Row],[Amb. Rain Gauge]]</f>
        <v>0</v>
      </c>
      <c r="CR725" s="4" t="s">
        <v>50</v>
      </c>
      <c r="CS725" s="4" t="s">
        <v>49</v>
      </c>
      <c r="CT725" s="70">
        <v>-8.5273485183715803</v>
      </c>
      <c r="CU725" s="70">
        <v>270.00228881835898</v>
      </c>
      <c r="CV725" s="70">
        <v>1.9545369148254299</v>
      </c>
      <c r="CW725" s="70">
        <v>0</v>
      </c>
      <c r="CX725" s="109"/>
      <c r="CY725" s="110"/>
      <c r="CZ725" s="2" t="b">
        <f>IF($DP$1="YES",IF(RecData[[#This Row],[Power (kW)]]&gt;=$CR$3, TRUE,FALSE),TRUE)</f>
        <v>0</v>
      </c>
      <c r="DA725" s="16">
        <f>MIN(MOD(180-ABS(ABS($DA$1-RecData[Yaw Angle (°)])-180),360),MOD(180-ABS(ABS($DB$1-RecData[Yaw Angle (°)])-180),360))</f>
        <v>97.527637959328558</v>
      </c>
      <c r="DB725" s="2" t="str">
        <f>IF($DP$2="None","None",IF(RecData[[#This Row],[Relative Wind Direction]]&lt;=45,"DW",IF(RecData[[#This Row],[Relative Wind Direction]]&lt;=135,"CW","UW")))</f>
        <v>CW</v>
      </c>
      <c r="DC725" s="61" t="e">
        <f>IF($CL725-#REF!&gt;1/24,#REF!,IF(SUM($CQ725:$CQ725)&gt;$DS$1,$DS$5,DC726-1))</f>
        <v>#REF!</v>
      </c>
      <c r="DD725" s="61" t="e">
        <f>IF($CL726-$CL725&gt;1/24,#REF!,IF(SUM($CQ725:$CQ725)&gt;$DS$1,$DS$6,#REF!-1))</f>
        <v>#REF!</v>
      </c>
      <c r="DE725" s="18" t="b">
        <v>0</v>
      </c>
      <c r="DF725" s="2" t="b">
        <f>IF(OR(RecData[[#This Row],[WSpd_Avg '[m/s']]]-RecData[[#This Row],[Wind Speed min]]&gt;=$DF$3,RecData[[#This Row],[Wind Speed max]]-RecData[[#This Row],[WSpd_Avg '[m/s']]]&gt;=$DF$2),TRUE,FALSE)</f>
        <v>0</v>
      </c>
      <c r="DG725" s="2" t="b">
        <f>RecData[[#This Row],[Temperature '[°C']]]&lt;=-20</f>
        <v>0</v>
      </c>
      <c r="DH725" s="18" t="b">
        <f>NOT(OR(MOD(RecData[[#This Row],[TIMESTAMP]],1)&gt;0.91632,MOD(RecData[[#This Row],[TIMESTAMP]],1)&lt;0.208681))</f>
        <v>0</v>
      </c>
      <c r="DI725" s="18" t="b">
        <f>RecData[[#This Row],[Overall (dBA)]]-RecData[[#This Row],[L90]]&gt;=$DS$4</f>
        <v>0</v>
      </c>
      <c r="DJ725" s="18" t="b">
        <f>RecData[[#This Row],[Overall (dBA)]]&gt;$DS$2</f>
        <v>0</v>
      </c>
      <c r="DK725" s="18" t="b">
        <f>RecData[[#This Row],[Overall (dBA)]]&lt;$DS$3</f>
        <v>0</v>
      </c>
      <c r="DL7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5" s="2">
        <f>IF(AND(RecData[[#This Row],[Turbines ON/OFF]] = "OFF", NOT(OR(RecData[[#This Row],[Junk?]]="YES",RecData[[#This Row],[Gust?]],RecData[[#This Row],[Rain?]:[Min SPL Threshold?]]))),1,0)</f>
        <v>1</v>
      </c>
      <c r="DN725" s="16">
        <f>RecData[[#This Row],[dBA Sum]]</f>
        <v>16.958166888059846</v>
      </c>
      <c r="DO725" s="16">
        <f>RecData[[#This Row],[LAF90.0]]</f>
        <v>25.1</v>
      </c>
      <c r="DP725" s="55" t="str">
        <f>IF(AND(RecData[[#This Row],[Useable TON Data?]],RecData[[#This Row],[Turbines ON/OFF]]="ON"),RecData[[#This Row],[dBA Sum]],"")</f>
        <v/>
      </c>
      <c r="DQ725" s="55">
        <f>IF(AND(RecData[[#This Row],[Useable Background Data?]],RecData[[#This Row],[Turbines ON/OFF]]="OFF"),RecData[[#This Row],[dBA Sum]],"")</f>
        <v>16.958166888059846</v>
      </c>
      <c r="DR725" s="3">
        <f>IF(OR(RecData[[#This Row],[Useable TON Data?]],RecData[[#This Row],[Useable Background Data?]]),ROUND(RecData[[#This Row],[WSpd_Avg '[m/s']]],0),"")</f>
        <v>1</v>
      </c>
      <c r="DS725" s="85">
        <f>(0.00002)^2*(10^(RecData[[#This Row],[Overall (dBA)]]/10))</f>
        <v>1.9855310368594561E-8</v>
      </c>
    </row>
    <row r="726" spans="1:123" ht="15" x14ac:dyDescent="0.25">
      <c r="A726" s="3" t="s">
        <v>249</v>
      </c>
      <c r="B726" s="12">
        <v>43272.938888888893</v>
      </c>
      <c r="C726" s="3"/>
      <c r="D726" s="3">
        <v>30.3</v>
      </c>
      <c r="E726" s="3"/>
      <c r="F726" s="3"/>
      <c r="G726" s="3"/>
      <c r="H726" s="3"/>
      <c r="I726" s="3"/>
      <c r="J726" s="3"/>
      <c r="K726" s="3">
        <v>25.4</v>
      </c>
      <c r="L726" s="3"/>
      <c r="M726" s="3"/>
      <c r="N726" s="3">
        <v>162</v>
      </c>
      <c r="O726" s="3"/>
      <c r="P726" s="3"/>
      <c r="Q726" s="3">
        <v>0.42</v>
      </c>
      <c r="R726" s="3">
        <v>0.1</v>
      </c>
      <c r="S726" s="3">
        <v>0.7</v>
      </c>
      <c r="T726" s="3">
        <v>9.5</v>
      </c>
      <c r="U726" s="3">
        <v>69.7</v>
      </c>
      <c r="V726" s="3">
        <v>970.6</v>
      </c>
      <c r="W726" s="3">
        <v>0</v>
      </c>
      <c r="X726" s="3">
        <v>23.8</v>
      </c>
      <c r="Y726" s="3">
        <v>24.6</v>
      </c>
      <c r="Z726" s="3">
        <v>23.9</v>
      </c>
      <c r="AA726" s="3">
        <v>19.3</v>
      </c>
      <c r="AB726" s="3">
        <v>18.399999999999999</v>
      </c>
      <c r="AC726" s="3">
        <v>16.600000000000001</v>
      </c>
      <c r="AD726" s="3">
        <v>18.399999999999999</v>
      </c>
      <c r="AE726" s="3">
        <v>19.2</v>
      </c>
      <c r="AF726" s="3">
        <v>15.5</v>
      </c>
      <c r="AG726" s="3">
        <v>10.9</v>
      </c>
      <c r="AH726" s="3">
        <v>10.3</v>
      </c>
      <c r="AI726" s="3">
        <v>8.9</v>
      </c>
      <c r="AJ726" s="3">
        <v>9.3000000000000007</v>
      </c>
      <c r="AK726" s="3">
        <v>9.6</v>
      </c>
      <c r="AL726" s="3">
        <v>8.1</v>
      </c>
      <c r="AM726" s="3">
        <v>9</v>
      </c>
      <c r="AN726" s="3">
        <v>10.199999999999999</v>
      </c>
      <c r="AO726" s="3">
        <v>11.1</v>
      </c>
      <c r="AP726" s="3">
        <v>8.1</v>
      </c>
      <c r="AQ726" s="3">
        <v>7.5</v>
      </c>
      <c r="AR726" s="3">
        <v>9.1999999999999993</v>
      </c>
      <c r="AS726" s="3">
        <v>21.3</v>
      </c>
      <c r="AT726" s="3">
        <v>27.8</v>
      </c>
      <c r="AU726" s="3">
        <v>8.4</v>
      </c>
      <c r="AV726" s="3">
        <v>8.3000000000000007</v>
      </c>
      <c r="AW726" s="3">
        <v>8.6999999999999993</v>
      </c>
      <c r="AX726" s="3">
        <v>8.9</v>
      </c>
      <c r="AY726" s="3">
        <v>9.1</v>
      </c>
      <c r="AZ726" s="3">
        <v>0</v>
      </c>
      <c r="BA726" s="3">
        <v>0</v>
      </c>
      <c r="BB726" s="3">
        <v>0</v>
      </c>
      <c r="BC726" s="3">
        <v>30.308276410128741</v>
      </c>
      <c r="BD726" s="3">
        <v>23.79172358987126</v>
      </c>
      <c r="BE726" s="3">
        <v>24.591723589871265</v>
      </c>
      <c r="BF726" s="3">
        <v>22.65172358987126</v>
      </c>
      <c r="BG726" s="3">
        <v>18.378390256537926</v>
      </c>
      <c r="BH726" s="3">
        <v>17.618390256537928</v>
      </c>
      <c r="BI726" s="3">
        <v>16.231723589871265</v>
      </c>
      <c r="BJ726" s="3">
        <v>18.825056923204592</v>
      </c>
      <c r="BK726" s="3">
        <v>19.498390256537917</v>
      </c>
      <c r="BL726" s="3">
        <v>15.371723589871259</v>
      </c>
      <c r="BM726" s="3">
        <v>10.905056923204597</v>
      </c>
      <c r="BN726" s="3">
        <v>10.588390256537927</v>
      </c>
      <c r="BO726" s="3">
        <v>8.5550569232045959</v>
      </c>
      <c r="BP726" s="3">
        <v>8.671723589871263</v>
      </c>
      <c r="BQ726" s="3">
        <v>9.3883902565379174</v>
      </c>
      <c r="BR726" s="3">
        <v>8.2150569232045925</v>
      </c>
      <c r="BS726" s="3">
        <v>8.9183902565379256</v>
      </c>
      <c r="BT726" s="3">
        <v>10.315056923204594</v>
      </c>
      <c r="BU726" s="3">
        <v>11.181723589871261</v>
      </c>
      <c r="BV726" s="3">
        <v>7.8983902565379296</v>
      </c>
      <c r="BW726" s="3">
        <v>7.8317235898712596</v>
      </c>
      <c r="BX726" s="3">
        <v>9.4517235898712642</v>
      </c>
      <c r="BY726" s="3">
        <v>21.371723589871259</v>
      </c>
      <c r="BZ726" s="3">
        <v>28.001723589871261</v>
      </c>
      <c r="CA726" s="3">
        <v>8.7017235898712499</v>
      </c>
      <c r="CB726" s="3">
        <v>8.0383902565379231</v>
      </c>
      <c r="CC726" s="3">
        <v>8.6517235898712599</v>
      </c>
      <c r="CD726" s="3">
        <v>8.1583902565379276</v>
      </c>
      <c r="CE726" s="3">
        <v>8.5517235898712585</v>
      </c>
      <c r="CF726" s="3">
        <v>-0.93494307679540611</v>
      </c>
      <c r="CG726" s="3">
        <v>-1.4682764101287376</v>
      </c>
      <c r="CH726" s="3">
        <v>-2.5449430767954055</v>
      </c>
      <c r="CI726" s="13">
        <f>[1]!dbasum(RecData[[#This Row],[20]:[2000]],RecData[[#Headers],[20]:[2000]])</f>
        <v>18.196778143833296</v>
      </c>
      <c r="CJ726" s="14">
        <v>9361</v>
      </c>
      <c r="CK726" s="15" t="s">
        <v>249</v>
      </c>
      <c r="CL726" s="15">
        <f>RecData[[#This Row],[Start Time]]</f>
        <v>43272.938888888893</v>
      </c>
      <c r="CM726" s="16">
        <f>RecData[[#This Row],[Wind Speed avg]]</f>
        <v>0.42</v>
      </c>
      <c r="CN726" s="16">
        <f>RecData[[#This Row],[Wind Dir. avg]]</f>
        <v>162</v>
      </c>
      <c r="CO726" s="16">
        <f>RecData[[#This Row],[Amb. Humidity]]</f>
        <v>69.7</v>
      </c>
      <c r="CP726" s="16">
        <f>RecData[[#This Row],[Amb. Temperature]]</f>
        <v>9.5</v>
      </c>
      <c r="CQ726" s="17">
        <f>RecData[[#This Row],[Amb. Rain Gauge]]</f>
        <v>0</v>
      </c>
      <c r="CR726" s="4" t="s">
        <v>50</v>
      </c>
      <c r="CS726" s="4" t="s">
        <v>49</v>
      </c>
      <c r="CT726" s="70">
        <v>-8.5273485183715803</v>
      </c>
      <c r="CU726" s="70">
        <v>270.00228881835898</v>
      </c>
      <c r="CV726" s="70">
        <v>1.9545369148254299</v>
      </c>
      <c r="CW726" s="70">
        <v>0</v>
      </c>
      <c r="CX726" s="109"/>
      <c r="CY726" s="110"/>
      <c r="CZ726" s="2" t="b">
        <f>IF($DP$1="YES",IF(RecData[[#This Row],[Power (kW)]]&gt;=$CR$3, TRUE,FALSE),TRUE)</f>
        <v>0</v>
      </c>
      <c r="DA726" s="16">
        <f>MIN(MOD(180-ABS(ABS($DA$1-RecData[Yaw Angle (°)])-180),360),MOD(180-ABS(ABS($DB$1-RecData[Yaw Angle (°)])-180),360))</f>
        <v>97.527637959328558</v>
      </c>
      <c r="DB726" s="2" t="str">
        <f>IF($DP$2="None","None",IF(RecData[[#This Row],[Relative Wind Direction]]&lt;=45,"DW",IF(RecData[[#This Row],[Relative Wind Direction]]&lt;=135,"CW","UW")))</f>
        <v>CW</v>
      </c>
      <c r="DC726" s="61">
        <v>-1</v>
      </c>
      <c r="DD726" s="61">
        <v>-1</v>
      </c>
      <c r="DE726" s="18" t="b">
        <v>0</v>
      </c>
      <c r="DF726" s="2" t="b">
        <f>IF(OR(RecData[[#This Row],[WSpd_Avg '[m/s']]]-RecData[[#This Row],[Wind Speed min]]&gt;=$DF$3,RecData[[#This Row],[Wind Speed max]]-RecData[[#This Row],[WSpd_Avg '[m/s']]]&gt;=$DF$2),TRUE,FALSE)</f>
        <v>0</v>
      </c>
      <c r="DG726" s="2" t="b">
        <f>RecData[[#This Row],[Temperature '[°C']]]&lt;=-20</f>
        <v>0</v>
      </c>
      <c r="DH726" s="18" t="b">
        <f>NOT(OR(MOD(RecData[[#This Row],[TIMESTAMP]],1)&gt;0.91632,MOD(RecData[[#This Row],[TIMESTAMP]],1)&lt;0.208681))</f>
        <v>0</v>
      </c>
      <c r="DI726" s="18" t="b">
        <f>RecData[[#This Row],[Overall (dBA)]]-RecData[[#This Row],[L90]]&gt;=$DS$4</f>
        <v>0</v>
      </c>
      <c r="DJ726" s="18" t="b">
        <f>RecData[[#This Row],[Overall (dBA)]]&gt;$DS$2</f>
        <v>0</v>
      </c>
      <c r="DK726" s="18" t="b">
        <f>RecData[[#This Row],[Overall (dBA)]]&lt;$DS$3</f>
        <v>0</v>
      </c>
      <c r="DL7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6" s="2">
        <f>IF(AND(RecData[[#This Row],[Turbines ON/OFF]] = "OFF", NOT(OR(RecData[[#This Row],[Junk?]]="YES",RecData[[#This Row],[Gust?]],RecData[[#This Row],[Rain?]:[Min SPL Threshold?]]))),1,0)</f>
        <v>1</v>
      </c>
      <c r="DN726" s="16">
        <f>RecData[[#This Row],[dBA Sum]]</f>
        <v>18.196778143833296</v>
      </c>
      <c r="DO726" s="16">
        <f>RecData[[#This Row],[LAF90.0]]</f>
        <v>25.4</v>
      </c>
      <c r="DP726" s="55" t="str">
        <f>IF(AND(RecData[[#This Row],[Useable TON Data?]],RecData[[#This Row],[Turbines ON/OFF]]="ON"),RecData[[#This Row],[dBA Sum]],"")</f>
        <v/>
      </c>
      <c r="DQ726" s="55">
        <f>IF(AND(RecData[[#This Row],[Useable Background Data?]],RecData[[#This Row],[Turbines ON/OFF]]="OFF"),RecData[[#This Row],[dBA Sum]],"")</f>
        <v>18.196778143833296</v>
      </c>
      <c r="DR726" s="3">
        <f>IF(OR(RecData[[#This Row],[Useable TON Data?]],RecData[[#This Row],[Useable Background Data?]]),ROUND(RecData[[#This Row],[WSpd_Avg '[m/s']]],0),"")</f>
        <v>0</v>
      </c>
      <c r="DS726" s="85">
        <f>(0.00002)^2*(10^(RecData[[#This Row],[Overall (dBA)]]/10))</f>
        <v>2.6408139514518995E-8</v>
      </c>
    </row>
    <row r="727" spans="1:123" ht="15" x14ac:dyDescent="0.25">
      <c r="A727" s="3" t="s">
        <v>249</v>
      </c>
      <c r="B727" s="12">
        <v>43272.93958333334</v>
      </c>
      <c r="C727" s="3"/>
      <c r="D727" s="3">
        <v>30</v>
      </c>
      <c r="E727" s="3"/>
      <c r="F727" s="3"/>
      <c r="G727" s="3"/>
      <c r="H727" s="3"/>
      <c r="I727" s="3"/>
      <c r="J727" s="3"/>
      <c r="K727" s="3">
        <v>25.1</v>
      </c>
      <c r="L727" s="3"/>
      <c r="M727" s="3"/>
      <c r="N727" s="3">
        <v>159.4</v>
      </c>
      <c r="O727" s="3"/>
      <c r="P727" s="3"/>
      <c r="Q727" s="3">
        <v>0.44</v>
      </c>
      <c r="R727" s="3">
        <v>0.2</v>
      </c>
      <c r="S727" s="3">
        <v>0.7</v>
      </c>
      <c r="T727" s="3">
        <v>9.5</v>
      </c>
      <c r="U727" s="3">
        <v>70.8</v>
      </c>
      <c r="V727" s="3">
        <v>970.6</v>
      </c>
      <c r="W727" s="3">
        <v>0</v>
      </c>
      <c r="X727" s="3">
        <v>23.6</v>
      </c>
      <c r="Y727" s="3">
        <v>23.6</v>
      </c>
      <c r="Z727" s="3">
        <v>22.1</v>
      </c>
      <c r="AA727" s="3">
        <v>16.3</v>
      </c>
      <c r="AB727" s="3">
        <v>17.899999999999999</v>
      </c>
      <c r="AC727" s="3">
        <v>20.100000000000001</v>
      </c>
      <c r="AD727" s="3">
        <v>22</v>
      </c>
      <c r="AE727" s="3">
        <v>21.5</v>
      </c>
      <c r="AF727" s="3">
        <v>15.5</v>
      </c>
      <c r="AG727" s="3">
        <v>13.7</v>
      </c>
      <c r="AH727" s="3">
        <v>10.5</v>
      </c>
      <c r="AI727" s="3">
        <v>8.6999999999999993</v>
      </c>
      <c r="AJ727" s="3">
        <v>7.9</v>
      </c>
      <c r="AK727" s="3">
        <v>8</v>
      </c>
      <c r="AL727" s="3">
        <v>7.5</v>
      </c>
      <c r="AM727" s="3">
        <v>7.3</v>
      </c>
      <c r="AN727" s="3">
        <v>8.1</v>
      </c>
      <c r="AO727" s="3">
        <v>7.6</v>
      </c>
      <c r="AP727" s="3">
        <v>6.8</v>
      </c>
      <c r="AQ727" s="3">
        <v>6.8</v>
      </c>
      <c r="AR727" s="3">
        <v>6</v>
      </c>
      <c r="AS727" s="3">
        <v>20.399999999999999</v>
      </c>
      <c r="AT727" s="3">
        <v>27.7</v>
      </c>
      <c r="AU727" s="3">
        <v>8.3000000000000007</v>
      </c>
      <c r="AV727" s="3">
        <v>8.1999999999999993</v>
      </c>
      <c r="AW727" s="3">
        <v>8.6</v>
      </c>
      <c r="AX727" s="3">
        <v>8.8000000000000007</v>
      </c>
      <c r="AY727" s="3">
        <v>9.1</v>
      </c>
      <c r="AZ727" s="3">
        <v>0</v>
      </c>
      <c r="BA727" s="3">
        <v>0</v>
      </c>
      <c r="BB727" s="3">
        <v>0</v>
      </c>
      <c r="BC727" s="3">
        <v>30.001038697137563</v>
      </c>
      <c r="BD727" s="3">
        <v>23.598961302862438</v>
      </c>
      <c r="BE727" s="3">
        <v>23.598961302862438</v>
      </c>
      <c r="BF727" s="3">
        <v>20.858961302862436</v>
      </c>
      <c r="BG727" s="3">
        <v>15.3856279695291</v>
      </c>
      <c r="BH727" s="3">
        <v>17.125627969529102</v>
      </c>
      <c r="BI727" s="3">
        <v>19.738961302862439</v>
      </c>
      <c r="BJ727" s="3">
        <v>22.432294636195774</v>
      </c>
      <c r="BK727" s="3">
        <v>21.805627969529095</v>
      </c>
      <c r="BL727" s="3">
        <v>15.378961302862439</v>
      </c>
      <c r="BM727" s="3">
        <v>13.712294636195775</v>
      </c>
      <c r="BN727" s="3">
        <v>10.795627969529104</v>
      </c>
      <c r="BO727" s="3">
        <v>8.3622946361957737</v>
      </c>
      <c r="BP727" s="3">
        <v>7.278961302862438</v>
      </c>
      <c r="BQ727" s="3">
        <v>7.7956279695290966</v>
      </c>
      <c r="BR727" s="3">
        <v>7.6222946361957717</v>
      </c>
      <c r="BS727" s="3">
        <v>7.2256279695291035</v>
      </c>
      <c r="BT727" s="3">
        <v>8.2222946361957732</v>
      </c>
      <c r="BU727" s="3">
        <v>7.6889613028624417</v>
      </c>
      <c r="BV727" s="3">
        <v>6.605627969529106</v>
      </c>
      <c r="BW727" s="3">
        <v>7.1389613028624375</v>
      </c>
      <c r="BX727" s="3">
        <v>6.258961302862442</v>
      </c>
      <c r="BY727" s="3">
        <v>20.478961302862434</v>
      </c>
      <c r="BZ727" s="3">
        <v>27.908961302862441</v>
      </c>
      <c r="CA727" s="3">
        <v>8.6089613028624292</v>
      </c>
      <c r="CB727" s="3">
        <v>7.9456279695291023</v>
      </c>
      <c r="CC727" s="3">
        <v>8.5589613028624392</v>
      </c>
      <c r="CD727" s="3">
        <v>8.0656279695291069</v>
      </c>
      <c r="CE727" s="3">
        <v>8.5589613028624392</v>
      </c>
      <c r="CF727" s="3">
        <v>-0.92770536380422897</v>
      </c>
      <c r="CG727" s="3">
        <v>-1.4610386971375604</v>
      </c>
      <c r="CH727" s="3">
        <v>-2.5377053638042284</v>
      </c>
      <c r="CI727" s="13">
        <f>[1]!dbasum(RecData[[#This Row],[20]:[2000]],RecData[[#Headers],[20]:[2000]])</f>
        <v>16.53113023349173</v>
      </c>
      <c r="CJ727" s="14">
        <v>9362</v>
      </c>
      <c r="CK727" s="15" t="s">
        <v>249</v>
      </c>
      <c r="CL727" s="15">
        <f>RecData[[#This Row],[Start Time]]</f>
        <v>43272.93958333334</v>
      </c>
      <c r="CM727" s="16">
        <f>RecData[[#This Row],[Wind Speed avg]]</f>
        <v>0.44</v>
      </c>
      <c r="CN727" s="16">
        <f>RecData[[#This Row],[Wind Dir. avg]]</f>
        <v>159.4</v>
      </c>
      <c r="CO727" s="16">
        <f>RecData[[#This Row],[Amb. Humidity]]</f>
        <v>70.8</v>
      </c>
      <c r="CP727" s="16">
        <f>RecData[[#This Row],[Amb. Temperature]]</f>
        <v>9.5</v>
      </c>
      <c r="CQ727" s="17">
        <f>RecData[[#This Row],[Amb. Rain Gauge]]</f>
        <v>0</v>
      </c>
      <c r="CR727" s="4" t="s">
        <v>50</v>
      </c>
      <c r="CS727" s="4" t="s">
        <v>49</v>
      </c>
      <c r="CT727" s="70">
        <v>-8.5273485183715803</v>
      </c>
      <c r="CU727" s="70">
        <v>270.00228881835898</v>
      </c>
      <c r="CV727" s="70">
        <v>1.9545369148254299</v>
      </c>
      <c r="CW727" s="70">
        <v>0</v>
      </c>
      <c r="CX727" s="109"/>
      <c r="CY727" s="110"/>
      <c r="CZ727" s="2" t="b">
        <f>IF($DP$1="YES",IF(RecData[[#This Row],[Power (kW)]]&gt;=$CR$3, TRUE,FALSE),TRUE)</f>
        <v>0</v>
      </c>
      <c r="DA727" s="16">
        <f>MIN(MOD(180-ABS(ABS($DA$1-RecData[Yaw Angle (°)])-180),360),MOD(180-ABS(ABS($DB$1-RecData[Yaw Angle (°)])-180),360))</f>
        <v>97.527637959328558</v>
      </c>
      <c r="DB727" s="2" t="str">
        <f>IF($DP$2="None","None",IF(RecData[[#This Row],[Relative Wind Direction]]&lt;=45,"DW",IF(RecData[[#This Row],[Relative Wind Direction]]&lt;=135,"CW","UW")))</f>
        <v>CW</v>
      </c>
      <c r="DC727" s="61">
        <f>IF($CL727-$CL726&gt;1/24,#REF!,IF(SUM($CQ726:$CQ727)&gt;$DS$1,$DS$5,DC728-1))</f>
        <v>-9</v>
      </c>
      <c r="DD727" s="61">
        <f>IF($CL728-$CL727&gt;1/24,#REF!,IF(SUM($CQ726:$CQ727)&gt;$DS$1,$DS$6,DD726-1))</f>
        <v>-2</v>
      </c>
      <c r="DE727" s="18" t="b">
        <v>0</v>
      </c>
      <c r="DF727" s="2" t="b">
        <f>IF(OR(RecData[[#This Row],[WSpd_Avg '[m/s']]]-RecData[[#This Row],[Wind Speed min]]&gt;=$DF$3,RecData[[#This Row],[Wind Speed max]]-RecData[[#This Row],[WSpd_Avg '[m/s']]]&gt;=$DF$2),TRUE,FALSE)</f>
        <v>0</v>
      </c>
      <c r="DG727" s="2" t="b">
        <f>RecData[[#This Row],[Temperature '[°C']]]&lt;=-20</f>
        <v>0</v>
      </c>
      <c r="DH727" s="18" t="b">
        <f>NOT(OR(MOD(RecData[[#This Row],[TIMESTAMP]],1)&gt;0.91632,MOD(RecData[[#This Row],[TIMESTAMP]],1)&lt;0.208681))</f>
        <v>0</v>
      </c>
      <c r="DI727" s="18" t="b">
        <f>RecData[[#This Row],[Overall (dBA)]]-RecData[[#This Row],[L90]]&gt;=$DS$4</f>
        <v>0</v>
      </c>
      <c r="DJ727" s="18" t="b">
        <f>RecData[[#This Row],[Overall (dBA)]]&gt;$DS$2</f>
        <v>0</v>
      </c>
      <c r="DK727" s="18" t="b">
        <f>RecData[[#This Row],[Overall (dBA)]]&lt;$DS$3</f>
        <v>0</v>
      </c>
      <c r="DL7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7" s="2">
        <f>IF(AND(RecData[[#This Row],[Turbines ON/OFF]] = "OFF", NOT(OR(RecData[[#This Row],[Junk?]]="YES",RecData[[#This Row],[Gust?]],RecData[[#This Row],[Rain?]:[Min SPL Threshold?]]))),1,0)</f>
        <v>1</v>
      </c>
      <c r="DN727" s="16">
        <f>RecData[[#This Row],[dBA Sum]]</f>
        <v>16.53113023349173</v>
      </c>
      <c r="DO727" s="16">
        <f>RecData[[#This Row],[LAF90.0]]</f>
        <v>25.1</v>
      </c>
      <c r="DP727" s="55" t="str">
        <f>IF(AND(RecData[[#This Row],[Useable TON Data?]],RecData[[#This Row],[Turbines ON/OFF]]="ON"),RecData[[#This Row],[dBA Sum]],"")</f>
        <v/>
      </c>
      <c r="DQ727" s="55">
        <f>IF(AND(RecData[[#This Row],[Useable Background Data?]],RecData[[#This Row],[Turbines ON/OFF]]="OFF"),RecData[[#This Row],[dBA Sum]],"")</f>
        <v>16.53113023349173</v>
      </c>
      <c r="DR727" s="3">
        <f>IF(OR(RecData[[#This Row],[Useable TON Data?]],RecData[[#This Row],[Useable Background Data?]]),ROUND(RecData[[#This Row],[WSpd_Avg '[m/s']]],0),"")</f>
        <v>0</v>
      </c>
      <c r="DS727" s="85">
        <f>(0.00002)^2*(10^(RecData[[#This Row],[Overall (dBA)]]/10))</f>
        <v>1.7995876939184561E-8</v>
      </c>
    </row>
    <row r="728" spans="1:123" ht="15" x14ac:dyDescent="0.25">
      <c r="A728" s="3" t="s">
        <v>249</v>
      </c>
      <c r="B728" s="12">
        <v>43272.94027777778</v>
      </c>
      <c r="C728" s="3"/>
      <c r="D728" s="3">
        <v>30</v>
      </c>
      <c r="E728" s="3"/>
      <c r="F728" s="3"/>
      <c r="G728" s="3"/>
      <c r="H728" s="3"/>
      <c r="I728" s="3"/>
      <c r="J728" s="3"/>
      <c r="K728" s="3">
        <v>25.3</v>
      </c>
      <c r="L728" s="3"/>
      <c r="M728" s="3"/>
      <c r="N728" s="3">
        <v>166.6</v>
      </c>
      <c r="O728" s="3"/>
      <c r="P728" s="3"/>
      <c r="Q728" s="3">
        <v>0.55000000000000004</v>
      </c>
      <c r="R728" s="3">
        <v>0.3</v>
      </c>
      <c r="S728" s="3">
        <v>0.7</v>
      </c>
      <c r="T728" s="3">
        <v>9.4</v>
      </c>
      <c r="U728" s="3">
        <v>70.2</v>
      </c>
      <c r="V728" s="3">
        <v>970.6</v>
      </c>
      <c r="W728" s="3">
        <v>0</v>
      </c>
      <c r="X728" s="3">
        <v>24.8</v>
      </c>
      <c r="Y728" s="3">
        <v>22.7</v>
      </c>
      <c r="Z728" s="3">
        <v>22</v>
      </c>
      <c r="AA728" s="3">
        <v>16</v>
      </c>
      <c r="AB728" s="3">
        <v>18.7</v>
      </c>
      <c r="AC728" s="3">
        <v>20.3</v>
      </c>
      <c r="AD728" s="3">
        <v>18.899999999999999</v>
      </c>
      <c r="AE728" s="3">
        <v>17.899999999999999</v>
      </c>
      <c r="AF728" s="3">
        <v>17.399999999999999</v>
      </c>
      <c r="AG728" s="3">
        <v>11.1</v>
      </c>
      <c r="AH728" s="3">
        <v>11.3</v>
      </c>
      <c r="AI728" s="3">
        <v>9.8000000000000007</v>
      </c>
      <c r="AJ728" s="3">
        <v>9.6</v>
      </c>
      <c r="AK728" s="3">
        <v>8.8000000000000007</v>
      </c>
      <c r="AL728" s="3">
        <v>7.7</v>
      </c>
      <c r="AM728" s="3">
        <v>8.4</v>
      </c>
      <c r="AN728" s="3">
        <v>8.5</v>
      </c>
      <c r="AO728" s="3">
        <v>8</v>
      </c>
      <c r="AP728" s="3">
        <v>7.3</v>
      </c>
      <c r="AQ728" s="3">
        <v>7.2</v>
      </c>
      <c r="AR728" s="3">
        <v>6.5</v>
      </c>
      <c r="AS728" s="3">
        <v>20.8</v>
      </c>
      <c r="AT728" s="3">
        <v>27.6</v>
      </c>
      <c r="AU728" s="3">
        <v>8.6</v>
      </c>
      <c r="AV728" s="3">
        <v>8.3000000000000007</v>
      </c>
      <c r="AW728" s="3">
        <v>8.6999999999999993</v>
      </c>
      <c r="AX728" s="3">
        <v>8.9</v>
      </c>
      <c r="AY728" s="3">
        <v>9.3000000000000007</v>
      </c>
      <c r="AZ728" s="3">
        <v>0</v>
      </c>
      <c r="BA728" s="3">
        <v>0</v>
      </c>
      <c r="BB728" s="3">
        <v>0</v>
      </c>
      <c r="BC728" s="3">
        <v>30.009593579358814</v>
      </c>
      <c r="BD728" s="3">
        <v>24.790406420641183</v>
      </c>
      <c r="BE728" s="3">
        <v>22.690406420641189</v>
      </c>
      <c r="BF728" s="3">
        <v>20.750406420641191</v>
      </c>
      <c r="BG728" s="3">
        <v>15.077073087307852</v>
      </c>
      <c r="BH728" s="3">
        <v>17.917073087307855</v>
      </c>
      <c r="BI728" s="3">
        <v>19.930406420641184</v>
      </c>
      <c r="BJ728" s="3">
        <v>19.323739753974515</v>
      </c>
      <c r="BK728" s="3">
        <v>18.197073087307849</v>
      </c>
      <c r="BL728" s="3">
        <v>17.270406420641187</v>
      </c>
      <c r="BM728" s="3">
        <v>11.103739753974523</v>
      </c>
      <c r="BN728" s="3">
        <v>11.58707308730785</v>
      </c>
      <c r="BO728" s="3">
        <v>9.4537397539745243</v>
      </c>
      <c r="BP728" s="3">
        <v>8.97040642064119</v>
      </c>
      <c r="BQ728" s="3">
        <v>8.5870730873078429</v>
      </c>
      <c r="BR728" s="3">
        <v>7.8137397539745237</v>
      </c>
      <c r="BS728" s="3">
        <v>8.317073087307854</v>
      </c>
      <c r="BT728" s="3">
        <v>8.6137397539745209</v>
      </c>
      <c r="BU728" s="3">
        <v>8.0804064206411894</v>
      </c>
      <c r="BV728" s="3">
        <v>7.0970730873078551</v>
      </c>
      <c r="BW728" s="3">
        <v>7.5304064206411923</v>
      </c>
      <c r="BX728" s="3">
        <v>6.7504064206411911</v>
      </c>
      <c r="BY728" s="3">
        <v>20.870406420641181</v>
      </c>
      <c r="BZ728" s="3">
        <v>27.800406420641188</v>
      </c>
      <c r="CA728" s="3">
        <v>8.9004064206411826</v>
      </c>
      <c r="CB728" s="3">
        <v>8.0370730873078529</v>
      </c>
      <c r="CC728" s="3">
        <v>8.6504064206411826</v>
      </c>
      <c r="CD728" s="3">
        <v>8.1570730873078574</v>
      </c>
      <c r="CE728" s="3">
        <v>8.750406420641184</v>
      </c>
      <c r="CF728" s="3">
        <v>-0.93626024602547986</v>
      </c>
      <c r="CG728" s="3">
        <v>-1.4695935793588113</v>
      </c>
      <c r="CH728" s="3">
        <v>-2.5462602460254793</v>
      </c>
      <c r="CI728" s="13">
        <f>[1]!dbasum(RecData[[#This Row],[20]:[2000]],RecData[[#Headers],[20]:[2000]])</f>
        <v>16.892269413519571</v>
      </c>
      <c r="CJ728" s="14">
        <v>9363</v>
      </c>
      <c r="CK728" s="15" t="s">
        <v>249</v>
      </c>
      <c r="CL728" s="15">
        <f>RecData[[#This Row],[Start Time]]</f>
        <v>43272.94027777778</v>
      </c>
      <c r="CM728" s="16">
        <f>RecData[[#This Row],[Wind Speed avg]]</f>
        <v>0.55000000000000004</v>
      </c>
      <c r="CN728" s="16">
        <f>RecData[[#This Row],[Wind Dir. avg]]</f>
        <v>166.6</v>
      </c>
      <c r="CO728" s="16">
        <f>RecData[[#This Row],[Amb. Humidity]]</f>
        <v>70.2</v>
      </c>
      <c r="CP728" s="16">
        <f>RecData[[#This Row],[Amb. Temperature]]</f>
        <v>9.4</v>
      </c>
      <c r="CQ728" s="17">
        <f>RecData[[#This Row],[Amb. Rain Gauge]]</f>
        <v>0</v>
      </c>
      <c r="CR728" s="4" t="s">
        <v>50</v>
      </c>
      <c r="CS728" s="4" t="s">
        <v>49</v>
      </c>
      <c r="CT728" s="70">
        <v>-8.5273485183715803</v>
      </c>
      <c r="CU728" s="70">
        <v>270.00228881835898</v>
      </c>
      <c r="CV728" s="70">
        <v>1.9545369148254299</v>
      </c>
      <c r="CW728" s="70">
        <v>0</v>
      </c>
      <c r="CX728" s="109"/>
      <c r="CY728" s="110"/>
      <c r="CZ728" s="2" t="b">
        <f>IF($DP$1="YES",IF(RecData[[#This Row],[Power (kW)]]&gt;=$CR$3, TRUE,FALSE),TRUE)</f>
        <v>0</v>
      </c>
      <c r="DA728" s="16">
        <f>MIN(MOD(180-ABS(ABS($DA$1-RecData[Yaw Angle (°)])-180),360),MOD(180-ABS(ABS($DB$1-RecData[Yaw Angle (°)])-180),360))</f>
        <v>97.527637959328558</v>
      </c>
      <c r="DB728" s="2" t="str">
        <f>IF($DP$2="None","None",IF(RecData[[#This Row],[Relative Wind Direction]]&lt;=45,"DW",IF(RecData[[#This Row],[Relative Wind Direction]]&lt;=135,"CW","UW")))</f>
        <v>CW</v>
      </c>
      <c r="DC728" s="61">
        <f>IF($CL728-$CL726&gt;1/24,#REF!,IF(SUM($CQ726:$CQ728)&gt;$DS$1,$DS$5,DC729-1))</f>
        <v>-8</v>
      </c>
      <c r="DD728" s="61">
        <f>IF($CL729-$CL728&gt;1/24,#REF!,IF(SUM($CQ726:$CQ728)&gt;$DS$1,$DS$6,DD727-1))</f>
        <v>-3</v>
      </c>
      <c r="DE728" s="18" t="b">
        <v>0</v>
      </c>
      <c r="DF728" s="2" t="b">
        <f>IF(OR(RecData[[#This Row],[WSpd_Avg '[m/s']]]-RecData[[#This Row],[Wind Speed min]]&gt;=$DF$3,RecData[[#This Row],[Wind Speed max]]-RecData[[#This Row],[WSpd_Avg '[m/s']]]&gt;=$DF$2),TRUE,FALSE)</f>
        <v>0</v>
      </c>
      <c r="DG728" s="2" t="b">
        <f>RecData[[#This Row],[Temperature '[°C']]]&lt;=-20</f>
        <v>0</v>
      </c>
      <c r="DH728" s="18" t="b">
        <f>NOT(OR(MOD(RecData[[#This Row],[TIMESTAMP]],1)&gt;0.91632,MOD(RecData[[#This Row],[TIMESTAMP]],1)&lt;0.208681))</f>
        <v>0</v>
      </c>
      <c r="DI728" s="18" t="b">
        <f>RecData[[#This Row],[Overall (dBA)]]-RecData[[#This Row],[L90]]&gt;=$DS$4</f>
        <v>0</v>
      </c>
      <c r="DJ728" s="18" t="b">
        <f>RecData[[#This Row],[Overall (dBA)]]&gt;$DS$2</f>
        <v>0</v>
      </c>
      <c r="DK728" s="18" t="b">
        <f>RecData[[#This Row],[Overall (dBA)]]&lt;$DS$3</f>
        <v>0</v>
      </c>
      <c r="DL7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8" s="2">
        <f>IF(AND(RecData[[#This Row],[Turbines ON/OFF]] = "OFF", NOT(OR(RecData[[#This Row],[Junk?]]="YES",RecData[[#This Row],[Gust?]],RecData[[#This Row],[Rain?]:[Min SPL Threshold?]]))),1,0)</f>
        <v>1</v>
      </c>
      <c r="DN728" s="16">
        <f>RecData[[#This Row],[dBA Sum]]</f>
        <v>16.892269413519571</v>
      </c>
      <c r="DO728" s="16">
        <f>RecData[[#This Row],[LAF90.0]]</f>
        <v>25.3</v>
      </c>
      <c r="DP728" s="55" t="str">
        <f>IF(AND(RecData[[#This Row],[Useable TON Data?]],RecData[[#This Row],[Turbines ON/OFF]]="ON"),RecData[[#This Row],[dBA Sum]],"")</f>
        <v/>
      </c>
      <c r="DQ728" s="55">
        <f>IF(AND(RecData[[#This Row],[Useable Background Data?]],RecData[[#This Row],[Turbines ON/OFF]]="OFF"),RecData[[#This Row],[dBA Sum]],"")</f>
        <v>16.892269413519571</v>
      </c>
      <c r="DR728" s="3">
        <f>IF(OR(RecData[[#This Row],[Useable TON Data?]],RecData[[#This Row],[Useable Background Data?]]),ROUND(RecData[[#This Row],[WSpd_Avg '[m/s']]],0),"")</f>
        <v>1</v>
      </c>
      <c r="DS728" s="85">
        <f>(0.00002)^2*(10^(RecData[[#This Row],[Overall (dBA)]]/10))</f>
        <v>1.9556310889099759E-8</v>
      </c>
    </row>
    <row r="729" spans="1:123" ht="15" x14ac:dyDescent="0.25">
      <c r="A729" s="3" t="s">
        <v>249</v>
      </c>
      <c r="B729" s="12">
        <v>43272.940972222226</v>
      </c>
      <c r="C729" s="3"/>
      <c r="D729" s="3">
        <v>30</v>
      </c>
      <c r="E729" s="3"/>
      <c r="F729" s="3"/>
      <c r="G729" s="3"/>
      <c r="H729" s="3"/>
      <c r="I729" s="3"/>
      <c r="J729" s="3"/>
      <c r="K729" s="3">
        <v>23.9</v>
      </c>
      <c r="L729" s="3"/>
      <c r="M729" s="3"/>
      <c r="N729" s="3">
        <v>164.3</v>
      </c>
      <c r="O729" s="3"/>
      <c r="P729" s="3"/>
      <c r="Q729" s="3">
        <v>0.56999999999999995</v>
      </c>
      <c r="R729" s="3">
        <v>0.4</v>
      </c>
      <c r="S729" s="3">
        <v>0.7</v>
      </c>
      <c r="T729" s="3">
        <v>9.4</v>
      </c>
      <c r="U729" s="3">
        <v>70</v>
      </c>
      <c r="V729" s="3">
        <v>970.6</v>
      </c>
      <c r="W729" s="3">
        <v>0</v>
      </c>
      <c r="X729" s="3">
        <v>24.4</v>
      </c>
      <c r="Y729" s="3">
        <v>23.5</v>
      </c>
      <c r="Z729" s="3">
        <v>24.1</v>
      </c>
      <c r="AA729" s="3">
        <v>19.5</v>
      </c>
      <c r="AB729" s="3">
        <v>17</v>
      </c>
      <c r="AC729" s="3">
        <v>16.3</v>
      </c>
      <c r="AD729" s="3">
        <v>15.8</v>
      </c>
      <c r="AE729" s="3">
        <v>13.4</v>
      </c>
      <c r="AF729" s="3">
        <v>13.3</v>
      </c>
      <c r="AG729" s="3">
        <v>10.1</v>
      </c>
      <c r="AH729" s="3">
        <v>8.6999999999999993</v>
      </c>
      <c r="AI729" s="3">
        <v>8.6999999999999993</v>
      </c>
      <c r="AJ729" s="3">
        <v>7.9</v>
      </c>
      <c r="AK729" s="3">
        <v>7.8</v>
      </c>
      <c r="AL729" s="3">
        <v>7.3</v>
      </c>
      <c r="AM729" s="3">
        <v>9.5</v>
      </c>
      <c r="AN729" s="3">
        <v>9.3000000000000007</v>
      </c>
      <c r="AO729" s="3">
        <v>7.8</v>
      </c>
      <c r="AP729" s="3">
        <v>7.1</v>
      </c>
      <c r="AQ729" s="3">
        <v>7</v>
      </c>
      <c r="AR729" s="3">
        <v>6.1</v>
      </c>
      <c r="AS729" s="3">
        <v>21.3</v>
      </c>
      <c r="AT729" s="3">
        <v>27.5</v>
      </c>
      <c r="AU729" s="3">
        <v>8.5</v>
      </c>
      <c r="AV729" s="3">
        <v>8.1</v>
      </c>
      <c r="AW729" s="3">
        <v>8.6</v>
      </c>
      <c r="AX729" s="3">
        <v>8.8000000000000007</v>
      </c>
      <c r="AY729" s="3">
        <v>9.1</v>
      </c>
      <c r="AZ729" s="3">
        <v>0</v>
      </c>
      <c r="BA729" s="3">
        <v>0</v>
      </c>
      <c r="BB729" s="3">
        <v>0</v>
      </c>
      <c r="BC729" s="3">
        <v>30.002795565453106</v>
      </c>
      <c r="BD729" s="3">
        <v>24.397204434546893</v>
      </c>
      <c r="BE729" s="3">
        <v>23.497204434546894</v>
      </c>
      <c r="BF729" s="3">
        <v>22.857204434546894</v>
      </c>
      <c r="BG729" s="3">
        <v>18.583871101213553</v>
      </c>
      <c r="BH729" s="3">
        <v>16.223871101213568</v>
      </c>
      <c r="BI729" s="3">
        <v>15.937204434546892</v>
      </c>
      <c r="BJ729" s="3">
        <v>16.230537767880229</v>
      </c>
      <c r="BK729" s="3">
        <v>13.703871101213558</v>
      </c>
      <c r="BL729" s="3">
        <v>13.177204434546894</v>
      </c>
      <c r="BM729" s="3">
        <v>10.110537767880231</v>
      </c>
      <c r="BN729" s="3">
        <v>8.9938711012135641</v>
      </c>
      <c r="BO729" s="3">
        <v>8.3605377678802313</v>
      </c>
      <c r="BP729" s="3">
        <v>7.2772044345468956</v>
      </c>
      <c r="BQ729" s="3">
        <v>7.5938711012135514</v>
      </c>
      <c r="BR729" s="3">
        <v>7.4205377678802265</v>
      </c>
      <c r="BS729" s="3">
        <v>9.4238711012135639</v>
      </c>
      <c r="BT729" s="3">
        <v>9.4205377678802265</v>
      </c>
      <c r="BU729" s="3">
        <v>7.887204434546895</v>
      </c>
      <c r="BV729" s="3">
        <v>6.9038711012135607</v>
      </c>
      <c r="BW729" s="3">
        <v>7.3372044345468979</v>
      </c>
      <c r="BX729" s="3">
        <v>6.357204434546901</v>
      </c>
      <c r="BY729" s="3">
        <v>21.37720443454689</v>
      </c>
      <c r="BZ729" s="3">
        <v>27.707204434546902</v>
      </c>
      <c r="CA729" s="3">
        <v>8.8072044345468896</v>
      </c>
      <c r="CB729" s="3">
        <v>7.8438711012135585</v>
      </c>
      <c r="CC729" s="3">
        <v>8.5572044345468967</v>
      </c>
      <c r="CD729" s="3">
        <v>8.0638711012135644</v>
      </c>
      <c r="CE729" s="3">
        <v>8.5572044345468967</v>
      </c>
      <c r="CF729" s="3">
        <v>-0.92946223211977141</v>
      </c>
      <c r="CG729" s="3">
        <v>-1.4627955654531029</v>
      </c>
      <c r="CH729" s="3">
        <v>-2.5394622321197708</v>
      </c>
      <c r="CI729" s="13">
        <f>[1]!dbasum(RecData[[#This Row],[20]:[2000]],RecData[[#Headers],[20]:[2000]])</f>
        <v>16.637982077517236</v>
      </c>
      <c r="CJ729" s="14">
        <v>9364</v>
      </c>
      <c r="CK729" s="15" t="s">
        <v>249</v>
      </c>
      <c r="CL729" s="15">
        <f>RecData[[#This Row],[Start Time]]</f>
        <v>43272.940972222226</v>
      </c>
      <c r="CM729" s="16">
        <f>RecData[[#This Row],[Wind Speed avg]]</f>
        <v>0.56999999999999995</v>
      </c>
      <c r="CN729" s="16">
        <f>RecData[[#This Row],[Wind Dir. avg]]</f>
        <v>164.3</v>
      </c>
      <c r="CO729" s="16">
        <f>RecData[[#This Row],[Amb. Humidity]]</f>
        <v>70</v>
      </c>
      <c r="CP729" s="16">
        <f>RecData[[#This Row],[Amb. Temperature]]</f>
        <v>9.4</v>
      </c>
      <c r="CQ729" s="17">
        <f>RecData[[#This Row],[Amb. Rain Gauge]]</f>
        <v>0</v>
      </c>
      <c r="CR729" s="4" t="s">
        <v>50</v>
      </c>
      <c r="CS729" s="4" t="s">
        <v>49</v>
      </c>
      <c r="CT729" s="70">
        <v>-8.5273485183715803</v>
      </c>
      <c r="CU729" s="70">
        <v>270.00228881835898</v>
      </c>
      <c r="CV729" s="70">
        <v>1.9545369148254299</v>
      </c>
      <c r="CW729" s="70">
        <v>0</v>
      </c>
      <c r="CX729" s="109"/>
      <c r="CY729" s="110"/>
      <c r="CZ729" s="2" t="b">
        <f>IF($DP$1="YES",IF(RecData[[#This Row],[Power (kW)]]&gt;=$CR$3, TRUE,FALSE),TRUE)</f>
        <v>0</v>
      </c>
      <c r="DA729" s="16">
        <f>MIN(MOD(180-ABS(ABS($DA$1-RecData[Yaw Angle (°)])-180),360),MOD(180-ABS(ABS($DB$1-RecData[Yaw Angle (°)])-180),360))</f>
        <v>97.527637959328558</v>
      </c>
      <c r="DB729" s="2" t="str">
        <f>IF($DP$2="None","None",IF(RecData[[#This Row],[Relative Wind Direction]]&lt;=45,"DW",IF(RecData[[#This Row],[Relative Wind Direction]]&lt;=135,"CW","UW")))</f>
        <v>CW</v>
      </c>
      <c r="DC729" s="61">
        <f>IF($CL729-$CL726&gt;1/24,#REF!,IF(SUM($CQ726:$CQ729)&gt;$DS$1,$DS$5,DC730-1))</f>
        <v>-7</v>
      </c>
      <c r="DD729" s="61">
        <f>IF($CL730-$CL729&gt;1/24,#REF!,IF(SUM($CQ726:$CQ729)&gt;$DS$1,$DS$6,DD728-1))</f>
        <v>-4</v>
      </c>
      <c r="DE729" s="18" t="b">
        <v>0</v>
      </c>
      <c r="DF729" s="2" t="b">
        <f>IF(OR(RecData[[#This Row],[WSpd_Avg '[m/s']]]-RecData[[#This Row],[Wind Speed min]]&gt;=$DF$3,RecData[[#This Row],[Wind Speed max]]-RecData[[#This Row],[WSpd_Avg '[m/s']]]&gt;=$DF$2),TRUE,FALSE)</f>
        <v>0</v>
      </c>
      <c r="DG729" s="2" t="b">
        <f>RecData[[#This Row],[Temperature '[°C']]]&lt;=-20</f>
        <v>0</v>
      </c>
      <c r="DH729" s="18" t="b">
        <f>NOT(OR(MOD(RecData[[#This Row],[TIMESTAMP]],1)&gt;0.91632,MOD(RecData[[#This Row],[TIMESTAMP]],1)&lt;0.208681))</f>
        <v>0</v>
      </c>
      <c r="DI729" s="18" t="b">
        <f>RecData[[#This Row],[Overall (dBA)]]-RecData[[#This Row],[L90]]&gt;=$DS$4</f>
        <v>0</v>
      </c>
      <c r="DJ729" s="18" t="b">
        <f>RecData[[#This Row],[Overall (dBA)]]&gt;$DS$2</f>
        <v>0</v>
      </c>
      <c r="DK729" s="18" t="b">
        <f>RecData[[#This Row],[Overall (dBA)]]&lt;$DS$3</f>
        <v>0</v>
      </c>
      <c r="DL7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29" s="2">
        <f>IF(AND(RecData[[#This Row],[Turbines ON/OFF]] = "OFF", NOT(OR(RecData[[#This Row],[Junk?]]="YES",RecData[[#This Row],[Gust?]],RecData[[#This Row],[Rain?]:[Min SPL Threshold?]]))),1,0)</f>
        <v>1</v>
      </c>
      <c r="DN729" s="16">
        <f>RecData[[#This Row],[dBA Sum]]</f>
        <v>16.637982077517236</v>
      </c>
      <c r="DO729" s="16">
        <f>RecData[[#This Row],[LAF90.0]]</f>
        <v>23.9</v>
      </c>
      <c r="DP729" s="55" t="str">
        <f>IF(AND(RecData[[#This Row],[Useable TON Data?]],RecData[[#This Row],[Turbines ON/OFF]]="ON"),RecData[[#This Row],[dBA Sum]],"")</f>
        <v/>
      </c>
      <c r="DQ729" s="55">
        <f>IF(AND(RecData[[#This Row],[Useable Background Data?]],RecData[[#This Row],[Turbines ON/OFF]]="OFF"),RecData[[#This Row],[dBA Sum]],"")</f>
        <v>16.637982077517236</v>
      </c>
      <c r="DR729" s="3">
        <f>IF(OR(RecData[[#This Row],[Useable TON Data?]],RecData[[#This Row],[Useable Background Data?]]),ROUND(RecData[[#This Row],[WSpd_Avg '[m/s']]],0),"")</f>
        <v>1</v>
      </c>
      <c r="DS729" s="85">
        <f>(0.00002)^2*(10^(RecData[[#This Row],[Overall (dBA)]]/10))</f>
        <v>1.8444131039565496E-8</v>
      </c>
    </row>
    <row r="730" spans="1:123" ht="15" x14ac:dyDescent="0.25">
      <c r="A730" s="3" t="s">
        <v>249</v>
      </c>
      <c r="B730" s="12">
        <v>43272.941666666673</v>
      </c>
      <c r="C730" s="3"/>
      <c r="D730" s="3">
        <v>28.4</v>
      </c>
      <c r="E730" s="3"/>
      <c r="F730" s="3"/>
      <c r="G730" s="3"/>
      <c r="H730" s="3"/>
      <c r="I730" s="3"/>
      <c r="J730" s="3"/>
      <c r="K730" s="3">
        <v>22.9</v>
      </c>
      <c r="L730" s="3"/>
      <c r="M730" s="3"/>
      <c r="N730" s="3">
        <v>167</v>
      </c>
      <c r="O730" s="3"/>
      <c r="P730" s="3"/>
      <c r="Q730" s="3">
        <v>0.55000000000000004</v>
      </c>
      <c r="R730" s="3">
        <v>0.4</v>
      </c>
      <c r="S730" s="3">
        <v>0.7</v>
      </c>
      <c r="T730" s="3">
        <v>9.4</v>
      </c>
      <c r="U730" s="3">
        <v>68.8</v>
      </c>
      <c r="V730" s="3">
        <v>970.6</v>
      </c>
      <c r="W730" s="3">
        <v>0</v>
      </c>
      <c r="X730" s="3">
        <v>21</v>
      </c>
      <c r="Y730" s="3">
        <v>20.399999999999999</v>
      </c>
      <c r="Z730" s="3">
        <v>19.7</v>
      </c>
      <c r="AA730" s="3">
        <v>13.6</v>
      </c>
      <c r="AB730" s="3">
        <v>12.2</v>
      </c>
      <c r="AC730" s="3">
        <v>9.1</v>
      </c>
      <c r="AD730" s="3">
        <v>9.5</v>
      </c>
      <c r="AE730" s="3">
        <v>10.7</v>
      </c>
      <c r="AF730" s="3">
        <v>12.3</v>
      </c>
      <c r="AG730" s="3">
        <v>9.6</v>
      </c>
      <c r="AH730" s="3">
        <v>9.1</v>
      </c>
      <c r="AI730" s="3">
        <v>9</v>
      </c>
      <c r="AJ730" s="3">
        <v>7.9</v>
      </c>
      <c r="AK730" s="3">
        <v>7.6</v>
      </c>
      <c r="AL730" s="3">
        <v>6.8</v>
      </c>
      <c r="AM730" s="3">
        <v>7.1</v>
      </c>
      <c r="AN730" s="3">
        <v>8</v>
      </c>
      <c r="AO730" s="3">
        <v>7.6</v>
      </c>
      <c r="AP730" s="3">
        <v>6.8</v>
      </c>
      <c r="AQ730" s="3">
        <v>6.8</v>
      </c>
      <c r="AR730" s="3">
        <v>6.1</v>
      </c>
      <c r="AS730" s="3">
        <v>18.899999999999999</v>
      </c>
      <c r="AT730" s="3">
        <v>25.8</v>
      </c>
      <c r="AU730" s="3">
        <v>8.1</v>
      </c>
      <c r="AV730" s="3">
        <v>8.1999999999999993</v>
      </c>
      <c r="AW730" s="3">
        <v>8.6</v>
      </c>
      <c r="AX730" s="3">
        <v>8.8000000000000007</v>
      </c>
      <c r="AY730" s="3">
        <v>9.1</v>
      </c>
      <c r="AZ730" s="3">
        <v>0</v>
      </c>
      <c r="BA730" s="3">
        <v>0</v>
      </c>
      <c r="BB730" s="3">
        <v>0</v>
      </c>
      <c r="BC730" s="3">
        <v>28.307937558888177</v>
      </c>
      <c r="BD730" s="3">
        <v>21.092062441111821</v>
      </c>
      <c r="BE730" s="3">
        <v>20.49206244111182</v>
      </c>
      <c r="BF730" s="3">
        <v>18.552062441111822</v>
      </c>
      <c r="BG730" s="3">
        <v>12.778729107778481</v>
      </c>
      <c r="BH730" s="3">
        <v>11.518729107778491</v>
      </c>
      <c r="BI730" s="3">
        <v>8.8320624411118231</v>
      </c>
      <c r="BJ730" s="3">
        <v>10.025395774445151</v>
      </c>
      <c r="BK730" s="3">
        <v>11.098729107778482</v>
      </c>
      <c r="BL730" s="3">
        <v>12.272062441111821</v>
      </c>
      <c r="BM730" s="3">
        <v>9.705395774445158</v>
      </c>
      <c r="BN730" s="3">
        <v>9.4887291077784894</v>
      </c>
      <c r="BO730" s="3">
        <v>8.7553957744451552</v>
      </c>
      <c r="BP730" s="3">
        <v>7.3720624411118223</v>
      </c>
      <c r="BQ730" s="3">
        <v>7.4887291077784752</v>
      </c>
      <c r="BR730" s="3">
        <v>7.0153957744451532</v>
      </c>
      <c r="BS730" s="3">
        <v>7.1187291077784849</v>
      </c>
      <c r="BT730" s="3">
        <v>8.215395774445156</v>
      </c>
      <c r="BU730" s="3">
        <v>7.782062441111826</v>
      </c>
      <c r="BV730" s="3">
        <v>6.6987291077784903</v>
      </c>
      <c r="BW730" s="3">
        <v>7.2320624411118217</v>
      </c>
      <c r="BX730" s="3">
        <v>6.4520624411118277</v>
      </c>
      <c r="BY730" s="3">
        <v>19.072062441111818</v>
      </c>
      <c r="BZ730" s="3">
        <v>26.102062441111826</v>
      </c>
      <c r="CA730" s="3">
        <v>8.5020624411118106</v>
      </c>
      <c r="CB730" s="3">
        <v>8.0387291077784866</v>
      </c>
      <c r="CC730" s="3">
        <v>8.6520624411118163</v>
      </c>
      <c r="CD730" s="3">
        <v>8.1587291077784911</v>
      </c>
      <c r="CE730" s="3">
        <v>8.6520624411118163</v>
      </c>
      <c r="CF730" s="3">
        <v>-0.8346042255548447</v>
      </c>
      <c r="CG730" s="3">
        <v>-1.3679375588881761</v>
      </c>
      <c r="CH730" s="3">
        <v>-2.4446042255548441</v>
      </c>
      <c r="CI730" s="13">
        <f>[1]!dbasum(RecData[[#This Row],[20]:[2000]],RecData[[#Headers],[20]:[2000]])</f>
        <v>16.118149169324351</v>
      </c>
      <c r="CJ730" s="14">
        <v>9365</v>
      </c>
      <c r="CK730" s="15" t="s">
        <v>249</v>
      </c>
      <c r="CL730" s="15">
        <f>RecData[[#This Row],[Start Time]]</f>
        <v>43272.941666666673</v>
      </c>
      <c r="CM730" s="16">
        <f>RecData[[#This Row],[Wind Speed avg]]</f>
        <v>0.55000000000000004</v>
      </c>
      <c r="CN730" s="16">
        <f>RecData[[#This Row],[Wind Dir. avg]]</f>
        <v>167</v>
      </c>
      <c r="CO730" s="16">
        <f>RecData[[#This Row],[Amb. Humidity]]</f>
        <v>68.8</v>
      </c>
      <c r="CP730" s="16">
        <f>RecData[[#This Row],[Amb. Temperature]]</f>
        <v>9.4</v>
      </c>
      <c r="CQ730" s="17">
        <f>RecData[[#This Row],[Amb. Rain Gauge]]</f>
        <v>0</v>
      </c>
      <c r="CR730" s="4" t="s">
        <v>50</v>
      </c>
      <c r="CS730" s="4" t="s">
        <v>49</v>
      </c>
      <c r="CT730" s="70">
        <v>-8.5273485183715803</v>
      </c>
      <c r="CU730" s="70">
        <v>270.00228881835898</v>
      </c>
      <c r="CV730" s="70">
        <v>1.9545369148254299</v>
      </c>
      <c r="CW730" s="70">
        <v>0</v>
      </c>
      <c r="CX730" s="109"/>
      <c r="CY730" s="110"/>
      <c r="CZ730" s="2" t="b">
        <f>IF($DP$1="YES",IF(RecData[[#This Row],[Power (kW)]]&gt;=$CR$3, TRUE,FALSE),TRUE)</f>
        <v>0</v>
      </c>
      <c r="DA730" s="16">
        <f>MIN(MOD(180-ABS(ABS($DA$1-RecData[Yaw Angle (°)])-180),360),MOD(180-ABS(ABS($DB$1-RecData[Yaw Angle (°)])-180),360))</f>
        <v>97.527637959328558</v>
      </c>
      <c r="DB730" s="2" t="str">
        <f>IF($DP$2="None","None",IF(RecData[[#This Row],[Relative Wind Direction]]&lt;=45,"DW",IF(RecData[[#This Row],[Relative Wind Direction]]&lt;=135,"CW","UW")))</f>
        <v>CW</v>
      </c>
      <c r="DC730" s="61">
        <f>IF($CL730-$CL726&gt;1/24,#REF!,IF(SUM($CQ726:$CQ730)&gt;$DS$1,$DS$5,DC731-1))</f>
        <v>-6</v>
      </c>
      <c r="DD730" s="61">
        <f>IF($CL731-$CL730&gt;1/24,#REF!,IF(SUM($CQ726:$CQ730)&gt;$DS$1,$DS$6,DD729-1))</f>
        <v>-5</v>
      </c>
      <c r="DE730" s="18" t="b">
        <v>0</v>
      </c>
      <c r="DF730" s="2" t="b">
        <f>IF(OR(RecData[[#This Row],[WSpd_Avg '[m/s']]]-RecData[[#This Row],[Wind Speed min]]&gt;=$DF$3,RecData[[#This Row],[Wind Speed max]]-RecData[[#This Row],[WSpd_Avg '[m/s']]]&gt;=$DF$2),TRUE,FALSE)</f>
        <v>0</v>
      </c>
      <c r="DG730" s="2" t="b">
        <f>RecData[[#This Row],[Temperature '[°C']]]&lt;=-20</f>
        <v>0</v>
      </c>
      <c r="DH730" s="18" t="b">
        <f>NOT(OR(MOD(RecData[[#This Row],[TIMESTAMP]],1)&gt;0.91632,MOD(RecData[[#This Row],[TIMESTAMP]],1)&lt;0.208681))</f>
        <v>0</v>
      </c>
      <c r="DI730" s="18" t="b">
        <f>RecData[[#This Row],[Overall (dBA)]]-RecData[[#This Row],[L90]]&gt;=$DS$4</f>
        <v>0</v>
      </c>
      <c r="DJ730" s="18" t="b">
        <f>RecData[[#This Row],[Overall (dBA)]]&gt;$DS$2</f>
        <v>0</v>
      </c>
      <c r="DK730" s="18" t="b">
        <f>RecData[[#This Row],[Overall (dBA)]]&lt;$DS$3</f>
        <v>0</v>
      </c>
      <c r="DL7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0" s="2">
        <f>IF(AND(RecData[[#This Row],[Turbines ON/OFF]] = "OFF", NOT(OR(RecData[[#This Row],[Junk?]]="YES",RecData[[#This Row],[Gust?]],RecData[[#This Row],[Rain?]:[Min SPL Threshold?]]))),1,0)</f>
        <v>1</v>
      </c>
      <c r="DN730" s="16">
        <f>RecData[[#This Row],[dBA Sum]]</f>
        <v>16.118149169324351</v>
      </c>
      <c r="DO730" s="16">
        <f>RecData[[#This Row],[LAF90.0]]</f>
        <v>22.9</v>
      </c>
      <c r="DP730" s="55" t="str">
        <f>IF(AND(RecData[[#This Row],[Useable TON Data?]],RecData[[#This Row],[Turbines ON/OFF]]="ON"),RecData[[#This Row],[dBA Sum]],"")</f>
        <v/>
      </c>
      <c r="DQ730" s="55">
        <f>IF(AND(RecData[[#This Row],[Useable Background Data?]],RecData[[#This Row],[Turbines ON/OFF]]="OFF"),RecData[[#This Row],[dBA Sum]],"")</f>
        <v>16.118149169324351</v>
      </c>
      <c r="DR730" s="3">
        <f>IF(OR(RecData[[#This Row],[Useable TON Data?]],RecData[[#This Row],[Useable Background Data?]]),ROUND(RecData[[#This Row],[WSpd_Avg '[m/s']]],0),"")</f>
        <v>1</v>
      </c>
      <c r="DS730" s="85">
        <f>(0.00002)^2*(10^(RecData[[#This Row],[Overall (dBA)]]/10))</f>
        <v>1.6363451298960326E-8</v>
      </c>
    </row>
    <row r="731" spans="1:123" ht="15" x14ac:dyDescent="0.25">
      <c r="A731" s="3" t="s">
        <v>249</v>
      </c>
      <c r="B731" s="12">
        <v>43272.942361111112</v>
      </c>
      <c r="C731" s="3"/>
      <c r="D731" s="3">
        <v>29.3</v>
      </c>
      <c r="E731" s="3"/>
      <c r="F731" s="3"/>
      <c r="G731" s="3"/>
      <c r="H731" s="3"/>
      <c r="I731" s="3"/>
      <c r="J731" s="3"/>
      <c r="K731" s="3">
        <v>23.2</v>
      </c>
      <c r="L731" s="3"/>
      <c r="M731" s="3"/>
      <c r="N731" s="3">
        <v>165.4</v>
      </c>
      <c r="O731" s="3"/>
      <c r="P731" s="3"/>
      <c r="Q731" s="3">
        <v>0.62</v>
      </c>
      <c r="R731" s="3">
        <v>0.5</v>
      </c>
      <c r="S731" s="3">
        <v>0.8</v>
      </c>
      <c r="T731" s="3">
        <v>9.3000000000000007</v>
      </c>
      <c r="U731" s="3">
        <v>69.3</v>
      </c>
      <c r="V731" s="3">
        <v>970.7</v>
      </c>
      <c r="W731" s="3">
        <v>0</v>
      </c>
      <c r="X731" s="3">
        <v>20.7</v>
      </c>
      <c r="Y731" s="3">
        <v>16.2</v>
      </c>
      <c r="Z731" s="3">
        <v>17.8</v>
      </c>
      <c r="AA731" s="3">
        <v>9.9</v>
      </c>
      <c r="AB731" s="3">
        <v>9.8000000000000007</v>
      </c>
      <c r="AC731" s="3">
        <v>10.7</v>
      </c>
      <c r="AD731" s="3">
        <v>8.6</v>
      </c>
      <c r="AE731" s="3">
        <v>8.6999999999999993</v>
      </c>
      <c r="AF731" s="3">
        <v>12.2</v>
      </c>
      <c r="AG731" s="3">
        <v>8.4</v>
      </c>
      <c r="AH731" s="3">
        <v>8.3000000000000007</v>
      </c>
      <c r="AI731" s="3">
        <v>8.5</v>
      </c>
      <c r="AJ731" s="3">
        <v>8.1</v>
      </c>
      <c r="AK731" s="3">
        <v>7.9</v>
      </c>
      <c r="AL731" s="3">
        <v>6.8</v>
      </c>
      <c r="AM731" s="3">
        <v>7.1</v>
      </c>
      <c r="AN731" s="3">
        <v>7.8</v>
      </c>
      <c r="AO731" s="3">
        <v>7.5</v>
      </c>
      <c r="AP731" s="3">
        <v>6.7</v>
      </c>
      <c r="AQ731" s="3">
        <v>6.8</v>
      </c>
      <c r="AR731" s="3">
        <v>6.1</v>
      </c>
      <c r="AS731" s="3">
        <v>18.100000000000001</v>
      </c>
      <c r="AT731" s="3">
        <v>27.2</v>
      </c>
      <c r="AU731" s="3">
        <v>8.1</v>
      </c>
      <c r="AV731" s="3">
        <v>8.1999999999999993</v>
      </c>
      <c r="AW731" s="3">
        <v>8.6</v>
      </c>
      <c r="AX731" s="3">
        <v>8.9</v>
      </c>
      <c r="AY731" s="3">
        <v>9.1</v>
      </c>
      <c r="AZ731" s="3">
        <v>0</v>
      </c>
      <c r="BA731" s="3">
        <v>0</v>
      </c>
      <c r="BB731" s="3">
        <v>0</v>
      </c>
      <c r="BC731" s="3">
        <v>29.293192657704083</v>
      </c>
      <c r="BD731" s="3">
        <v>20.706807342295917</v>
      </c>
      <c r="BE731" s="3">
        <v>16.206807342295917</v>
      </c>
      <c r="BF731" s="3">
        <v>16.566807342295917</v>
      </c>
      <c r="BG731" s="3">
        <v>8.9934740089625791</v>
      </c>
      <c r="BH731" s="3">
        <v>9.0334740089625853</v>
      </c>
      <c r="BI731" s="3">
        <v>10.346807342295918</v>
      </c>
      <c r="BJ731" s="3">
        <v>9.0401406756292459</v>
      </c>
      <c r="BK731" s="3">
        <v>9.0134740089625822</v>
      </c>
      <c r="BL731" s="3">
        <v>12.08680734229592</v>
      </c>
      <c r="BM731" s="3">
        <v>8.4201406756292556</v>
      </c>
      <c r="BN731" s="3">
        <v>8.6034740089625856</v>
      </c>
      <c r="BO731" s="3">
        <v>8.1701406756292556</v>
      </c>
      <c r="BP731" s="3">
        <v>7.4868073422959185</v>
      </c>
      <c r="BQ731" s="3">
        <v>7.7034740089625728</v>
      </c>
      <c r="BR731" s="3">
        <v>6.9301406756292536</v>
      </c>
      <c r="BS731" s="3">
        <v>7.0334740089625853</v>
      </c>
      <c r="BT731" s="3">
        <v>7.9301406756292536</v>
      </c>
      <c r="BU731" s="3">
        <v>7.5968073422959179</v>
      </c>
      <c r="BV731" s="3">
        <v>6.5134740089625893</v>
      </c>
      <c r="BW731" s="3">
        <v>7.1468073422959222</v>
      </c>
      <c r="BX731" s="3">
        <v>6.366807342295921</v>
      </c>
      <c r="BY731" s="3">
        <v>18.186807342295921</v>
      </c>
      <c r="BZ731" s="3">
        <v>27.416807342295925</v>
      </c>
      <c r="CA731" s="3">
        <v>8.4168073422959111</v>
      </c>
      <c r="CB731" s="3">
        <v>7.9534740089625799</v>
      </c>
      <c r="CC731" s="3">
        <v>8.5668073422959168</v>
      </c>
      <c r="CD731" s="3">
        <v>8.1734740089625859</v>
      </c>
      <c r="CE731" s="3">
        <v>8.5668073422959168</v>
      </c>
      <c r="CF731" s="3">
        <v>-0.9198593243707478</v>
      </c>
      <c r="CG731" s="3">
        <v>-1.4531926577040792</v>
      </c>
      <c r="CH731" s="3">
        <v>-2.5298593243707472</v>
      </c>
      <c r="CI731" s="13">
        <f>[1]!dbasum(RecData[[#This Row],[20]:[2000]],RecData[[#Headers],[20]:[2000]])</f>
        <v>15.953424453365869</v>
      </c>
      <c r="CJ731" s="14">
        <v>9366</v>
      </c>
      <c r="CK731" s="15" t="s">
        <v>249</v>
      </c>
      <c r="CL731" s="15">
        <f>RecData[[#This Row],[Start Time]]</f>
        <v>43272.942361111112</v>
      </c>
      <c r="CM731" s="16">
        <f>RecData[[#This Row],[Wind Speed avg]]</f>
        <v>0.62</v>
      </c>
      <c r="CN731" s="16">
        <f>RecData[[#This Row],[Wind Dir. avg]]</f>
        <v>165.4</v>
      </c>
      <c r="CO731" s="16">
        <f>RecData[[#This Row],[Amb. Humidity]]</f>
        <v>69.3</v>
      </c>
      <c r="CP731" s="16">
        <f>RecData[[#This Row],[Amb. Temperature]]</f>
        <v>9.3000000000000007</v>
      </c>
      <c r="CQ731" s="17">
        <f>RecData[[#This Row],[Amb. Rain Gauge]]</f>
        <v>0</v>
      </c>
      <c r="CR731" s="4" t="s">
        <v>50</v>
      </c>
      <c r="CS731" s="4" t="s">
        <v>49</v>
      </c>
      <c r="CT731" s="70">
        <v>-8.5273485183715803</v>
      </c>
      <c r="CU731" s="70">
        <v>270.00228881835898</v>
      </c>
      <c r="CV731" s="70">
        <v>1.9545369148254299</v>
      </c>
      <c r="CW731" s="70">
        <v>0</v>
      </c>
      <c r="CX731" s="109"/>
      <c r="CY731" s="110"/>
      <c r="CZ731" s="2" t="b">
        <f>IF($DP$1="YES",IF(RecData[[#This Row],[Power (kW)]]&gt;=$CR$3, TRUE,FALSE),TRUE)</f>
        <v>0</v>
      </c>
      <c r="DA731" s="16">
        <f>MIN(MOD(180-ABS(ABS($DA$1-RecData[Yaw Angle (°)])-180),360),MOD(180-ABS(ABS($DB$1-RecData[Yaw Angle (°)])-180),360))</f>
        <v>97.527637959328558</v>
      </c>
      <c r="DB731" s="2" t="str">
        <f>IF($DP$2="None","None",IF(RecData[[#This Row],[Relative Wind Direction]]&lt;=45,"DW",IF(RecData[[#This Row],[Relative Wind Direction]]&lt;=135,"CW","UW")))</f>
        <v>CW</v>
      </c>
      <c r="DC731" s="61">
        <f>IF($CL731-$CL727&gt;1/24,#REF!,IF(SUM($CQ727:$CQ731)&gt;$DS$1,$DS$5,DC732-1))</f>
        <v>-5</v>
      </c>
      <c r="DD731" s="61">
        <f>IF($CL732-$CL731&gt;1/24,#REF!,IF(SUM($CQ727:$CQ731)&gt;$DS$1,$DS$6,DD730-1))</f>
        <v>-6</v>
      </c>
      <c r="DE731" s="18" t="b">
        <v>0</v>
      </c>
      <c r="DF731" s="2" t="b">
        <f>IF(OR(RecData[[#This Row],[WSpd_Avg '[m/s']]]-RecData[[#This Row],[Wind Speed min]]&gt;=$DF$3,RecData[[#This Row],[Wind Speed max]]-RecData[[#This Row],[WSpd_Avg '[m/s']]]&gt;=$DF$2),TRUE,FALSE)</f>
        <v>0</v>
      </c>
      <c r="DG731" s="2" t="b">
        <f>RecData[[#This Row],[Temperature '[°C']]]&lt;=-20</f>
        <v>0</v>
      </c>
      <c r="DH731" s="18" t="b">
        <f>NOT(OR(MOD(RecData[[#This Row],[TIMESTAMP]],1)&gt;0.91632,MOD(RecData[[#This Row],[TIMESTAMP]],1)&lt;0.208681))</f>
        <v>0</v>
      </c>
      <c r="DI731" s="18" t="b">
        <f>RecData[[#This Row],[Overall (dBA)]]-RecData[[#This Row],[L90]]&gt;=$DS$4</f>
        <v>0</v>
      </c>
      <c r="DJ731" s="18" t="b">
        <f>RecData[[#This Row],[Overall (dBA)]]&gt;$DS$2</f>
        <v>0</v>
      </c>
      <c r="DK731" s="18" t="b">
        <f>RecData[[#This Row],[Overall (dBA)]]&lt;$DS$3</f>
        <v>0</v>
      </c>
      <c r="DL7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1" s="2">
        <f>IF(AND(RecData[[#This Row],[Turbines ON/OFF]] = "OFF", NOT(OR(RecData[[#This Row],[Junk?]]="YES",RecData[[#This Row],[Gust?]],RecData[[#This Row],[Rain?]:[Min SPL Threshold?]]))),1,0)</f>
        <v>1</v>
      </c>
      <c r="DN731" s="16">
        <f>RecData[[#This Row],[dBA Sum]]</f>
        <v>15.953424453365869</v>
      </c>
      <c r="DO731" s="16">
        <f>RecData[[#This Row],[LAF90.0]]</f>
        <v>23.2</v>
      </c>
      <c r="DP731" s="55" t="str">
        <f>IF(AND(RecData[[#This Row],[Useable TON Data?]],RecData[[#This Row],[Turbines ON/OFF]]="ON"),RecData[[#This Row],[dBA Sum]],"")</f>
        <v/>
      </c>
      <c r="DQ731" s="55">
        <f>IF(AND(RecData[[#This Row],[Useable Background Data?]],RecData[[#This Row],[Turbines ON/OFF]]="OFF"),RecData[[#This Row],[dBA Sum]],"")</f>
        <v>15.953424453365869</v>
      </c>
      <c r="DR731" s="3">
        <f>IF(OR(RecData[[#This Row],[Useable TON Data?]],RecData[[#This Row],[Useable Background Data?]]),ROUND(RecData[[#This Row],[WSpd_Avg '[m/s']]],0),"")</f>
        <v>1</v>
      </c>
      <c r="DS731" s="85">
        <f>(0.00002)^2*(10^(RecData[[#This Row],[Overall (dBA)]]/10))</f>
        <v>1.5754420632648298E-8</v>
      </c>
    </row>
    <row r="732" spans="1:123" ht="15" x14ac:dyDescent="0.25">
      <c r="A732" s="3" t="s">
        <v>249</v>
      </c>
      <c r="B732" s="12">
        <v>43272.943055555559</v>
      </c>
      <c r="C732" s="3"/>
      <c r="D732" s="3">
        <v>29.2</v>
      </c>
      <c r="E732" s="3"/>
      <c r="F732" s="3"/>
      <c r="G732" s="3"/>
      <c r="H732" s="3"/>
      <c r="I732" s="3"/>
      <c r="J732" s="3"/>
      <c r="K732" s="3">
        <v>23.4</v>
      </c>
      <c r="L732" s="3"/>
      <c r="M732" s="3"/>
      <c r="N732" s="3">
        <v>151.30000000000001</v>
      </c>
      <c r="O732" s="3"/>
      <c r="P732" s="3"/>
      <c r="Q732" s="3">
        <v>0.61</v>
      </c>
      <c r="R732" s="3">
        <v>0.6</v>
      </c>
      <c r="S732" s="3">
        <v>0.7</v>
      </c>
      <c r="T732" s="3">
        <v>9.3000000000000007</v>
      </c>
      <c r="U732" s="3">
        <v>70</v>
      </c>
      <c r="V732" s="3">
        <v>970.7</v>
      </c>
      <c r="W732" s="3">
        <v>0</v>
      </c>
      <c r="X732" s="3">
        <v>20.100000000000001</v>
      </c>
      <c r="Y732" s="3">
        <v>17.8</v>
      </c>
      <c r="Z732" s="3">
        <v>18.2</v>
      </c>
      <c r="AA732" s="3">
        <v>11.8</v>
      </c>
      <c r="AB732" s="3">
        <v>10.6</v>
      </c>
      <c r="AC732" s="3">
        <v>7.1</v>
      </c>
      <c r="AD732" s="3">
        <v>8.4</v>
      </c>
      <c r="AE732" s="3">
        <v>11.6</v>
      </c>
      <c r="AF732" s="3">
        <v>12.5</v>
      </c>
      <c r="AG732" s="3">
        <v>10.6</v>
      </c>
      <c r="AH732" s="3">
        <v>10.9</v>
      </c>
      <c r="AI732" s="3">
        <v>9.1</v>
      </c>
      <c r="AJ732" s="3">
        <v>9.6</v>
      </c>
      <c r="AK732" s="3">
        <v>8.6</v>
      </c>
      <c r="AL732" s="3">
        <v>7.2</v>
      </c>
      <c r="AM732" s="3">
        <v>8.3000000000000007</v>
      </c>
      <c r="AN732" s="3">
        <v>8</v>
      </c>
      <c r="AO732" s="3">
        <v>7.7</v>
      </c>
      <c r="AP732" s="3">
        <v>6.9</v>
      </c>
      <c r="AQ732" s="3">
        <v>7.1</v>
      </c>
      <c r="AR732" s="3">
        <v>6.6</v>
      </c>
      <c r="AS732" s="3">
        <v>19</v>
      </c>
      <c r="AT732" s="3">
        <v>27</v>
      </c>
      <c r="AU732" s="3">
        <v>8.3000000000000007</v>
      </c>
      <c r="AV732" s="3">
        <v>8.4</v>
      </c>
      <c r="AW732" s="3">
        <v>8.9</v>
      </c>
      <c r="AX732" s="3">
        <v>9</v>
      </c>
      <c r="AY732" s="3">
        <v>9.3000000000000007</v>
      </c>
      <c r="AZ732" s="3">
        <v>0</v>
      </c>
      <c r="BA732" s="3">
        <v>0</v>
      </c>
      <c r="BB732" s="3">
        <v>0</v>
      </c>
      <c r="BC732" s="3">
        <v>29.26926847881106</v>
      </c>
      <c r="BD732" s="3">
        <v>20.030731521188937</v>
      </c>
      <c r="BE732" s="3">
        <v>17.73073152118894</v>
      </c>
      <c r="BF732" s="3">
        <v>16.890731521188936</v>
      </c>
      <c r="BG732" s="3">
        <v>10.817398187855606</v>
      </c>
      <c r="BH732" s="3">
        <v>9.7573981878556104</v>
      </c>
      <c r="BI732" s="3">
        <v>6.6707315211889373</v>
      </c>
      <c r="BJ732" s="3">
        <v>8.764064854522271</v>
      </c>
      <c r="BK732" s="3">
        <v>11.837398187855602</v>
      </c>
      <c r="BL732" s="3">
        <v>12.310731521188938</v>
      </c>
      <c r="BM732" s="3">
        <v>10.544064854522272</v>
      </c>
      <c r="BN732" s="3">
        <v>11.127398187855608</v>
      </c>
      <c r="BO732" s="3">
        <v>8.6940648545222778</v>
      </c>
      <c r="BP732" s="3">
        <v>8.9107315211889393</v>
      </c>
      <c r="BQ732" s="3">
        <v>8.3273981878555965</v>
      </c>
      <c r="BR732" s="3">
        <v>7.254064854522273</v>
      </c>
      <c r="BS732" s="3">
        <v>8.157398187855609</v>
      </c>
      <c r="BT732" s="3">
        <v>8.0540648545222773</v>
      </c>
      <c r="BU732" s="3">
        <v>7.7207315211889416</v>
      </c>
      <c r="BV732" s="3">
        <v>6.6373981878556059</v>
      </c>
      <c r="BW732" s="3">
        <v>7.3707315211889401</v>
      </c>
      <c r="BX732" s="3">
        <v>6.7907315211889419</v>
      </c>
      <c r="BY732" s="3">
        <v>19.010731521188941</v>
      </c>
      <c r="BZ732" s="3">
        <v>27.140731521188943</v>
      </c>
      <c r="CA732" s="3">
        <v>8.5407315211889347</v>
      </c>
      <c r="CB732" s="3">
        <v>8.0773981878556036</v>
      </c>
      <c r="CC732" s="3">
        <v>8.7907315211889419</v>
      </c>
      <c r="CD732" s="3">
        <v>8.1973981878556081</v>
      </c>
      <c r="CE732" s="3">
        <v>8.6907315211889404</v>
      </c>
      <c r="CF732" s="3">
        <v>-0.99593514547772699</v>
      </c>
      <c r="CG732" s="3">
        <v>-1.5292684788110584</v>
      </c>
      <c r="CH732" s="3">
        <v>-2.6059351454777264</v>
      </c>
      <c r="CI732" s="13">
        <f>[1]!dbasum(RecData[[#This Row],[20]:[2000]],RecData[[#Headers],[20]:[2000]])</f>
        <v>16.392935950600808</v>
      </c>
      <c r="CJ732" s="14">
        <v>9367</v>
      </c>
      <c r="CK732" s="15" t="s">
        <v>249</v>
      </c>
      <c r="CL732" s="15">
        <f>RecData[[#This Row],[Start Time]]</f>
        <v>43272.943055555559</v>
      </c>
      <c r="CM732" s="16">
        <f>RecData[[#This Row],[Wind Speed avg]]</f>
        <v>0.61</v>
      </c>
      <c r="CN732" s="16">
        <f>RecData[[#This Row],[Wind Dir. avg]]</f>
        <v>151.30000000000001</v>
      </c>
      <c r="CO732" s="16">
        <f>RecData[[#This Row],[Amb. Humidity]]</f>
        <v>70</v>
      </c>
      <c r="CP732" s="16">
        <f>RecData[[#This Row],[Amb. Temperature]]</f>
        <v>9.3000000000000007</v>
      </c>
      <c r="CQ732" s="17">
        <f>RecData[[#This Row],[Amb. Rain Gauge]]</f>
        <v>0</v>
      </c>
      <c r="CR732" s="4" t="s">
        <v>50</v>
      </c>
      <c r="CS732" s="4" t="s">
        <v>49</v>
      </c>
      <c r="CT732" s="70">
        <v>-8.5273485183715803</v>
      </c>
      <c r="CU732" s="70">
        <v>270.00228881835898</v>
      </c>
      <c r="CV732" s="70">
        <v>1.9545369148254299</v>
      </c>
      <c r="CW732" s="70">
        <v>0</v>
      </c>
      <c r="CX732" s="109"/>
      <c r="CY732" s="110"/>
      <c r="CZ732" s="2" t="b">
        <f>IF($DP$1="YES",IF(RecData[[#This Row],[Power (kW)]]&gt;=$CR$3, TRUE,FALSE),TRUE)</f>
        <v>0</v>
      </c>
      <c r="DA732" s="16">
        <f>MIN(MOD(180-ABS(ABS($DA$1-RecData[Yaw Angle (°)])-180),360),MOD(180-ABS(ABS($DB$1-RecData[Yaw Angle (°)])-180),360))</f>
        <v>97.527637959328558</v>
      </c>
      <c r="DB732" s="2" t="str">
        <f>IF($DP$2="None","None",IF(RecData[[#This Row],[Relative Wind Direction]]&lt;=45,"DW",IF(RecData[[#This Row],[Relative Wind Direction]]&lt;=135,"CW","UW")))</f>
        <v>CW</v>
      </c>
      <c r="DC732" s="61">
        <f>IF($CL732-$CL728&gt;1/24,#REF!,IF(SUM($CQ728:$CQ732)&gt;$DS$1,$DS$5,DC733-1))</f>
        <v>-4</v>
      </c>
      <c r="DD732" s="61">
        <f>IF($CL733-$CL732&gt;1/24,#REF!,IF(SUM($CQ728:$CQ732)&gt;$DS$1,$DS$6,DD731-1))</f>
        <v>-7</v>
      </c>
      <c r="DE732" s="18" t="b">
        <v>0</v>
      </c>
      <c r="DF732" s="2" t="b">
        <f>IF(OR(RecData[[#This Row],[WSpd_Avg '[m/s']]]-RecData[[#This Row],[Wind Speed min]]&gt;=$DF$3,RecData[[#This Row],[Wind Speed max]]-RecData[[#This Row],[WSpd_Avg '[m/s']]]&gt;=$DF$2),TRUE,FALSE)</f>
        <v>0</v>
      </c>
      <c r="DG732" s="2" t="b">
        <f>RecData[[#This Row],[Temperature '[°C']]]&lt;=-20</f>
        <v>0</v>
      </c>
      <c r="DH732" s="18" t="b">
        <f>NOT(OR(MOD(RecData[[#This Row],[TIMESTAMP]],1)&gt;0.91632,MOD(RecData[[#This Row],[TIMESTAMP]],1)&lt;0.208681))</f>
        <v>0</v>
      </c>
      <c r="DI732" s="18" t="b">
        <f>RecData[[#This Row],[Overall (dBA)]]-RecData[[#This Row],[L90]]&gt;=$DS$4</f>
        <v>0</v>
      </c>
      <c r="DJ732" s="18" t="b">
        <f>RecData[[#This Row],[Overall (dBA)]]&gt;$DS$2</f>
        <v>0</v>
      </c>
      <c r="DK732" s="18" t="b">
        <f>RecData[[#This Row],[Overall (dBA)]]&lt;$DS$3</f>
        <v>0</v>
      </c>
      <c r="DL7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2" s="2">
        <f>IF(AND(RecData[[#This Row],[Turbines ON/OFF]] = "OFF", NOT(OR(RecData[[#This Row],[Junk?]]="YES",RecData[[#This Row],[Gust?]],RecData[[#This Row],[Rain?]:[Min SPL Threshold?]]))),1,0)</f>
        <v>1</v>
      </c>
      <c r="DN732" s="16">
        <f>RecData[[#This Row],[dBA Sum]]</f>
        <v>16.392935950600808</v>
      </c>
      <c r="DO732" s="16">
        <f>RecData[[#This Row],[LAF90.0]]</f>
        <v>23.4</v>
      </c>
      <c r="DP732" s="55" t="str">
        <f>IF(AND(RecData[[#This Row],[Useable TON Data?]],RecData[[#This Row],[Turbines ON/OFF]]="ON"),RecData[[#This Row],[dBA Sum]],"")</f>
        <v/>
      </c>
      <c r="DQ732" s="55">
        <f>IF(AND(RecData[[#This Row],[Useable Background Data?]],RecData[[#This Row],[Turbines ON/OFF]]="OFF"),RecData[[#This Row],[dBA Sum]],"")</f>
        <v>16.392935950600808</v>
      </c>
      <c r="DR732" s="3">
        <f>IF(OR(RecData[[#This Row],[Useable TON Data?]],RecData[[#This Row],[Useable Background Data?]]),ROUND(RecData[[#This Row],[WSpd_Avg '[m/s']]],0),"")</f>
        <v>1</v>
      </c>
      <c r="DS732" s="85">
        <f>(0.00002)^2*(10^(RecData[[#This Row],[Overall (dBA)]]/10))</f>
        <v>1.7432255651035991E-8</v>
      </c>
    </row>
    <row r="733" spans="1:123" ht="15" x14ac:dyDescent="0.25">
      <c r="A733" s="3" t="s">
        <v>249</v>
      </c>
      <c r="B733" s="12">
        <v>43272.943750000006</v>
      </c>
      <c r="C733" s="3"/>
      <c r="D733" s="3">
        <v>29.3</v>
      </c>
      <c r="E733" s="3"/>
      <c r="F733" s="3"/>
      <c r="G733" s="3"/>
      <c r="H733" s="3"/>
      <c r="I733" s="3"/>
      <c r="J733" s="3"/>
      <c r="K733" s="3">
        <v>23.5</v>
      </c>
      <c r="L733" s="3"/>
      <c r="M733" s="3"/>
      <c r="N733" s="3">
        <v>152.1</v>
      </c>
      <c r="O733" s="3"/>
      <c r="P733" s="3"/>
      <c r="Q733" s="3">
        <v>0.57999999999999996</v>
      </c>
      <c r="R733" s="3">
        <v>0.5</v>
      </c>
      <c r="S733" s="3">
        <v>0.7</v>
      </c>
      <c r="T733" s="3">
        <v>9.3000000000000007</v>
      </c>
      <c r="U733" s="3">
        <v>71.3</v>
      </c>
      <c r="V733" s="3">
        <v>970.7</v>
      </c>
      <c r="W733" s="3">
        <v>0</v>
      </c>
      <c r="X733" s="3">
        <v>19.600000000000001</v>
      </c>
      <c r="Y733" s="3">
        <v>18.399999999999999</v>
      </c>
      <c r="Z733" s="3">
        <v>21.2</v>
      </c>
      <c r="AA733" s="3">
        <v>13</v>
      </c>
      <c r="AB733" s="3">
        <v>10</v>
      </c>
      <c r="AC733" s="3">
        <v>6.5</v>
      </c>
      <c r="AD733" s="3">
        <v>7.4</v>
      </c>
      <c r="AE733" s="3">
        <v>7.8</v>
      </c>
      <c r="AF733" s="3">
        <v>12.8</v>
      </c>
      <c r="AG733" s="3">
        <v>9.5</v>
      </c>
      <c r="AH733" s="3">
        <v>7.9</v>
      </c>
      <c r="AI733" s="3">
        <v>7.9</v>
      </c>
      <c r="AJ733" s="3">
        <v>8.1</v>
      </c>
      <c r="AK733" s="3">
        <v>7.9</v>
      </c>
      <c r="AL733" s="3">
        <v>7.6</v>
      </c>
      <c r="AM733" s="3">
        <v>10.6</v>
      </c>
      <c r="AN733" s="3">
        <v>9.6999999999999993</v>
      </c>
      <c r="AO733" s="3">
        <v>7.6</v>
      </c>
      <c r="AP733" s="3">
        <v>6.7</v>
      </c>
      <c r="AQ733" s="3">
        <v>6.5</v>
      </c>
      <c r="AR733" s="3">
        <v>6</v>
      </c>
      <c r="AS733" s="3">
        <v>20.100000000000001</v>
      </c>
      <c r="AT733" s="3">
        <v>26.8</v>
      </c>
      <c r="AU733" s="3">
        <v>8</v>
      </c>
      <c r="AV733" s="3">
        <v>8.1999999999999993</v>
      </c>
      <c r="AW733" s="3">
        <v>8.6999999999999993</v>
      </c>
      <c r="AX733" s="3">
        <v>8.8000000000000007</v>
      </c>
      <c r="AY733" s="3">
        <v>9.1</v>
      </c>
      <c r="AZ733" s="3">
        <v>0</v>
      </c>
      <c r="BA733" s="3">
        <v>0</v>
      </c>
      <c r="BB733" s="3">
        <v>0</v>
      </c>
      <c r="BC733" s="3">
        <v>29.274838954350898</v>
      </c>
      <c r="BD733" s="3">
        <v>19.625161045649108</v>
      </c>
      <c r="BE733" s="3">
        <v>18.425161045649105</v>
      </c>
      <c r="BF733" s="3">
        <v>19.985161045649107</v>
      </c>
      <c r="BG733" s="3">
        <v>12.111827712315765</v>
      </c>
      <c r="BH733" s="3">
        <v>9.2518277123157731</v>
      </c>
      <c r="BI733" s="3">
        <v>6.1651610456490999</v>
      </c>
      <c r="BJ733" s="3">
        <v>7.8584943789824351</v>
      </c>
      <c r="BK733" s="3">
        <v>8.1318277123157685</v>
      </c>
      <c r="BL733" s="3">
        <v>12.705161045649106</v>
      </c>
      <c r="BM733" s="3">
        <v>9.5384943789824348</v>
      </c>
      <c r="BN733" s="3">
        <v>8.2218277123157719</v>
      </c>
      <c r="BO733" s="3">
        <v>7.5884943789824391</v>
      </c>
      <c r="BP733" s="3">
        <v>7.5051610456491034</v>
      </c>
      <c r="BQ733" s="3">
        <v>7.7218277123157577</v>
      </c>
      <c r="BR733" s="3">
        <v>7.7484943789824356</v>
      </c>
      <c r="BS733" s="3">
        <v>10.55182771231577</v>
      </c>
      <c r="BT733" s="3">
        <v>9.8484943789824371</v>
      </c>
      <c r="BU733" s="3">
        <v>7.7151610456491042</v>
      </c>
      <c r="BV733" s="3">
        <v>6.5318277123157742</v>
      </c>
      <c r="BW733" s="3">
        <v>6.8651610456491028</v>
      </c>
      <c r="BX733" s="3">
        <v>6.2851610456491045</v>
      </c>
      <c r="BY733" s="3">
        <v>20.205161045649106</v>
      </c>
      <c r="BZ733" s="3">
        <v>27.035161045649104</v>
      </c>
      <c r="CA733" s="3">
        <v>8.3351610456490945</v>
      </c>
      <c r="CB733" s="3">
        <v>7.9718277123157648</v>
      </c>
      <c r="CC733" s="3">
        <v>8.6851610456491031</v>
      </c>
      <c r="CD733" s="3">
        <v>8.0918277123157765</v>
      </c>
      <c r="CE733" s="3">
        <v>8.5851610456491017</v>
      </c>
      <c r="CF733" s="3">
        <v>-0.90150562101756293</v>
      </c>
      <c r="CG733" s="3">
        <v>-1.4348389543508944</v>
      </c>
      <c r="CH733" s="3">
        <v>-2.5115056210175624</v>
      </c>
      <c r="CI733" s="13">
        <f>[1]!dbasum(RecData[[#This Row],[20]:[2000]],RecData[[#Headers],[20]:[2000]])</f>
        <v>16.668483361140453</v>
      </c>
      <c r="CJ733" s="14">
        <v>9368</v>
      </c>
      <c r="CK733" s="15" t="s">
        <v>249</v>
      </c>
      <c r="CL733" s="15">
        <f>RecData[[#This Row],[Start Time]]</f>
        <v>43272.943750000006</v>
      </c>
      <c r="CM733" s="16">
        <f>RecData[[#This Row],[Wind Speed avg]]</f>
        <v>0.57999999999999996</v>
      </c>
      <c r="CN733" s="16">
        <f>RecData[[#This Row],[Wind Dir. avg]]</f>
        <v>152.1</v>
      </c>
      <c r="CO733" s="16">
        <f>RecData[[#This Row],[Amb. Humidity]]</f>
        <v>71.3</v>
      </c>
      <c r="CP733" s="16">
        <f>RecData[[#This Row],[Amb. Temperature]]</f>
        <v>9.3000000000000007</v>
      </c>
      <c r="CQ733" s="17">
        <f>RecData[[#This Row],[Amb. Rain Gauge]]</f>
        <v>0</v>
      </c>
      <c r="CR733" s="4" t="s">
        <v>50</v>
      </c>
      <c r="CS733" s="4" t="s">
        <v>49</v>
      </c>
      <c r="CT733" s="70">
        <v>-8.5273485183715803</v>
      </c>
      <c r="CU733" s="70">
        <v>270.00228881835898</v>
      </c>
      <c r="CV733" s="70">
        <v>1.9545369148254299</v>
      </c>
      <c r="CW733" s="70">
        <v>0</v>
      </c>
      <c r="CX733" s="109"/>
      <c r="CY733" s="110"/>
      <c r="CZ733" s="2" t="b">
        <f>IF($DP$1="YES",IF(RecData[[#This Row],[Power (kW)]]&gt;=$CR$3, TRUE,FALSE),TRUE)</f>
        <v>0</v>
      </c>
      <c r="DA733" s="16">
        <f>MIN(MOD(180-ABS(ABS($DA$1-RecData[Yaw Angle (°)])-180),360),MOD(180-ABS(ABS($DB$1-RecData[Yaw Angle (°)])-180),360))</f>
        <v>97.527637959328558</v>
      </c>
      <c r="DB733" s="2" t="str">
        <f>IF($DP$2="None","None",IF(RecData[[#This Row],[Relative Wind Direction]]&lt;=45,"DW",IF(RecData[[#This Row],[Relative Wind Direction]]&lt;=135,"CW","UW")))</f>
        <v>CW</v>
      </c>
      <c r="DC733" s="61">
        <f>IF($CL733-$CL729&gt;1/24,#REF!,IF(SUM($CQ729:$CQ733)&gt;$DS$1,$DS$5,DC734-1))</f>
        <v>-3</v>
      </c>
      <c r="DD733" s="61">
        <f>IF($CL734-$CL733&gt;1/24,#REF!,IF(SUM($CQ729:$CQ733)&gt;$DS$1,$DS$6,DD732-1))</f>
        <v>-8</v>
      </c>
      <c r="DE733" s="18" t="b">
        <v>0</v>
      </c>
      <c r="DF733" s="2" t="b">
        <f>IF(OR(RecData[[#This Row],[WSpd_Avg '[m/s']]]-RecData[[#This Row],[Wind Speed min]]&gt;=$DF$3,RecData[[#This Row],[Wind Speed max]]-RecData[[#This Row],[WSpd_Avg '[m/s']]]&gt;=$DF$2),TRUE,FALSE)</f>
        <v>0</v>
      </c>
      <c r="DG733" s="2" t="b">
        <f>RecData[[#This Row],[Temperature '[°C']]]&lt;=-20</f>
        <v>0</v>
      </c>
      <c r="DH733" s="18" t="b">
        <f>NOT(OR(MOD(RecData[[#This Row],[TIMESTAMP]],1)&gt;0.91632,MOD(RecData[[#This Row],[TIMESTAMP]],1)&lt;0.208681))</f>
        <v>0</v>
      </c>
      <c r="DI733" s="18" t="b">
        <f>RecData[[#This Row],[Overall (dBA)]]-RecData[[#This Row],[L90]]&gt;=$DS$4</f>
        <v>0</v>
      </c>
      <c r="DJ733" s="18" t="b">
        <f>RecData[[#This Row],[Overall (dBA)]]&gt;$DS$2</f>
        <v>0</v>
      </c>
      <c r="DK733" s="18" t="b">
        <f>RecData[[#This Row],[Overall (dBA)]]&lt;$DS$3</f>
        <v>0</v>
      </c>
      <c r="DL7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3" s="2">
        <f>IF(AND(RecData[[#This Row],[Turbines ON/OFF]] = "OFF", NOT(OR(RecData[[#This Row],[Junk?]]="YES",RecData[[#This Row],[Gust?]],RecData[[#This Row],[Rain?]:[Min SPL Threshold?]]))),1,0)</f>
        <v>1</v>
      </c>
      <c r="DN733" s="16">
        <f>RecData[[#This Row],[dBA Sum]]</f>
        <v>16.668483361140453</v>
      </c>
      <c r="DO733" s="16">
        <f>RecData[[#This Row],[LAF90.0]]</f>
        <v>23.5</v>
      </c>
      <c r="DP733" s="55" t="str">
        <f>IF(AND(RecData[[#This Row],[Useable TON Data?]],RecData[[#This Row],[Turbines ON/OFF]]="ON"),RecData[[#This Row],[dBA Sum]],"")</f>
        <v/>
      </c>
      <c r="DQ733" s="55">
        <f>IF(AND(RecData[[#This Row],[Useable Background Data?]],RecData[[#This Row],[Turbines ON/OFF]]="OFF"),RecData[[#This Row],[dBA Sum]],"")</f>
        <v>16.668483361140453</v>
      </c>
      <c r="DR733" s="3">
        <f>IF(OR(RecData[[#This Row],[Useable TON Data?]],RecData[[#This Row],[Useable Background Data?]]),ROUND(RecData[[#This Row],[WSpd_Avg '[m/s']]],0),"")</f>
        <v>1</v>
      </c>
      <c r="DS733" s="85">
        <f>(0.00002)^2*(10^(RecData[[#This Row],[Overall (dBA)]]/10))</f>
        <v>1.8574123439316574E-8</v>
      </c>
    </row>
    <row r="734" spans="1:123" ht="15" x14ac:dyDescent="0.25">
      <c r="A734" s="3" t="s">
        <v>249</v>
      </c>
      <c r="B734" s="12">
        <v>43272.944444444453</v>
      </c>
      <c r="C734" s="3"/>
      <c r="D734" s="3">
        <v>29.6</v>
      </c>
      <c r="E734" s="3"/>
      <c r="F734" s="3"/>
      <c r="G734" s="3"/>
      <c r="H734" s="3"/>
      <c r="I734" s="3"/>
      <c r="J734" s="3"/>
      <c r="K734" s="3">
        <v>22.7</v>
      </c>
      <c r="L734" s="3"/>
      <c r="M734" s="3"/>
      <c r="N734" s="3">
        <v>149.19999999999999</v>
      </c>
      <c r="O734" s="3"/>
      <c r="P734" s="3"/>
      <c r="Q734" s="3">
        <v>0.59</v>
      </c>
      <c r="R734" s="3">
        <v>0.5</v>
      </c>
      <c r="S734" s="3">
        <v>0.7</v>
      </c>
      <c r="T734" s="3">
        <v>9.3000000000000007</v>
      </c>
      <c r="U734" s="3">
        <v>71.5</v>
      </c>
      <c r="V734" s="3">
        <v>970.7</v>
      </c>
      <c r="W734" s="3">
        <v>0</v>
      </c>
      <c r="X734" s="3">
        <v>18.399999999999999</v>
      </c>
      <c r="Y734" s="3">
        <v>14.9</v>
      </c>
      <c r="Z734" s="3">
        <v>17.899999999999999</v>
      </c>
      <c r="AA734" s="3">
        <v>9.9</v>
      </c>
      <c r="AB734" s="3">
        <v>7.8</v>
      </c>
      <c r="AC734" s="3">
        <v>5</v>
      </c>
      <c r="AD734" s="3">
        <v>7.6</v>
      </c>
      <c r="AE734" s="3">
        <v>7.4</v>
      </c>
      <c r="AF734" s="3">
        <v>12</v>
      </c>
      <c r="AG734" s="3">
        <v>8.4</v>
      </c>
      <c r="AH734" s="3">
        <v>8</v>
      </c>
      <c r="AI734" s="3">
        <v>7.6</v>
      </c>
      <c r="AJ734" s="3">
        <v>7.6</v>
      </c>
      <c r="AK734" s="3">
        <v>7.4</v>
      </c>
      <c r="AL734" s="3">
        <v>6.7</v>
      </c>
      <c r="AM734" s="3">
        <v>7.1</v>
      </c>
      <c r="AN734" s="3">
        <v>7.6</v>
      </c>
      <c r="AO734" s="3">
        <v>7.3</v>
      </c>
      <c r="AP734" s="3">
        <v>6.8</v>
      </c>
      <c r="AQ734" s="3">
        <v>6.6</v>
      </c>
      <c r="AR734" s="3">
        <v>6.1</v>
      </c>
      <c r="AS734" s="3">
        <v>20.6</v>
      </c>
      <c r="AT734" s="3">
        <v>27.1</v>
      </c>
      <c r="AU734" s="3">
        <v>8.1</v>
      </c>
      <c r="AV734" s="3">
        <v>8.1999999999999993</v>
      </c>
      <c r="AW734" s="3">
        <v>8.6999999999999993</v>
      </c>
      <c r="AX734" s="3">
        <v>8.9</v>
      </c>
      <c r="AY734" s="3">
        <v>9.1</v>
      </c>
      <c r="AZ734" s="3">
        <v>0</v>
      </c>
      <c r="BA734" s="3">
        <v>0</v>
      </c>
      <c r="BB734" s="3">
        <v>0</v>
      </c>
      <c r="BC734" s="3">
        <v>29.543189789502051</v>
      </c>
      <c r="BD734" s="3">
        <v>18.456810210497949</v>
      </c>
      <c r="BE734" s="3">
        <v>14.956810210497949</v>
      </c>
      <c r="BF734" s="3">
        <v>16.716810210497954</v>
      </c>
      <c r="BG734" s="3">
        <v>9.0434768771646148</v>
      </c>
      <c r="BH734" s="3">
        <v>7.083476877164621</v>
      </c>
      <c r="BI734" s="3">
        <v>4.6968102104979508</v>
      </c>
      <c r="BJ734" s="3">
        <v>8.0901435438312816</v>
      </c>
      <c r="BK734" s="3">
        <v>7.7634768771646137</v>
      </c>
      <c r="BL734" s="3">
        <v>11.936810210497953</v>
      </c>
      <c r="BM734" s="3">
        <v>8.4701435438312842</v>
      </c>
      <c r="BN734" s="3">
        <v>8.3534768771646171</v>
      </c>
      <c r="BO734" s="3">
        <v>7.3201435438312856</v>
      </c>
      <c r="BP734" s="3">
        <v>7.0368102104979471</v>
      </c>
      <c r="BQ734" s="3">
        <v>7.2534768771646085</v>
      </c>
      <c r="BR734" s="3">
        <v>6.8801435438312879</v>
      </c>
      <c r="BS734" s="3">
        <v>7.0834768771646139</v>
      </c>
      <c r="BT734" s="3">
        <v>7.7801435438312865</v>
      </c>
      <c r="BU734" s="3">
        <v>7.4468102104979508</v>
      </c>
      <c r="BV734" s="3">
        <v>6.6634768771646193</v>
      </c>
      <c r="BW734" s="3">
        <v>6.996810210497955</v>
      </c>
      <c r="BX734" s="3">
        <v>6.4168102104979567</v>
      </c>
      <c r="BY734" s="3">
        <v>20.73681021049795</v>
      </c>
      <c r="BZ734" s="3">
        <v>27.36681021049796</v>
      </c>
      <c r="CA734" s="3">
        <v>8.4668102104979397</v>
      </c>
      <c r="CB734" s="3">
        <v>8.0034768771646156</v>
      </c>
      <c r="CC734" s="3">
        <v>8.7168102104979468</v>
      </c>
      <c r="CD734" s="3">
        <v>8.2234768771646216</v>
      </c>
      <c r="CE734" s="3">
        <v>8.6168102104979454</v>
      </c>
      <c r="CF734" s="3">
        <v>-0.86985645616871565</v>
      </c>
      <c r="CG734" s="3">
        <v>-1.4031897895020471</v>
      </c>
      <c r="CH734" s="3">
        <v>-2.4798564561687151</v>
      </c>
      <c r="CI734" s="13">
        <f>[1]!dbasum(RecData[[#This Row],[20]:[2000]],RecData[[#Headers],[20]:[2000]])</f>
        <v>15.852659137972477</v>
      </c>
      <c r="CJ734" s="14">
        <v>9369</v>
      </c>
      <c r="CK734" s="15" t="s">
        <v>249</v>
      </c>
      <c r="CL734" s="15">
        <f>RecData[[#This Row],[Start Time]]</f>
        <v>43272.944444444453</v>
      </c>
      <c r="CM734" s="16">
        <f>RecData[[#This Row],[Wind Speed avg]]</f>
        <v>0.59</v>
      </c>
      <c r="CN734" s="16">
        <f>RecData[[#This Row],[Wind Dir. avg]]</f>
        <v>149.19999999999999</v>
      </c>
      <c r="CO734" s="16">
        <f>RecData[[#This Row],[Amb. Humidity]]</f>
        <v>71.5</v>
      </c>
      <c r="CP734" s="16">
        <f>RecData[[#This Row],[Amb. Temperature]]</f>
        <v>9.3000000000000007</v>
      </c>
      <c r="CQ734" s="17">
        <f>RecData[[#This Row],[Amb. Rain Gauge]]</f>
        <v>0</v>
      </c>
      <c r="CR734" s="4" t="s">
        <v>50</v>
      </c>
      <c r="CS734" s="4" t="s">
        <v>49</v>
      </c>
      <c r="CT734" s="70">
        <v>-8.5273485183715803</v>
      </c>
      <c r="CU734" s="70">
        <v>270.00228881835898</v>
      </c>
      <c r="CV734" s="70">
        <v>1.9545369148254299</v>
      </c>
      <c r="CW734" s="70">
        <v>0</v>
      </c>
      <c r="CX734" s="109"/>
      <c r="CY734" s="110"/>
      <c r="CZ734" s="2" t="b">
        <f>IF($DP$1="YES",IF(RecData[[#This Row],[Power (kW)]]&gt;=$CR$3, TRUE,FALSE),TRUE)</f>
        <v>0</v>
      </c>
      <c r="DA734" s="16">
        <f>MIN(MOD(180-ABS(ABS($DA$1-RecData[Yaw Angle (°)])-180),360),MOD(180-ABS(ABS($DB$1-RecData[Yaw Angle (°)])-180),360))</f>
        <v>97.527637959328558</v>
      </c>
      <c r="DB734" s="2" t="str">
        <f>IF($DP$2="None","None",IF(RecData[[#This Row],[Relative Wind Direction]]&lt;=45,"DW",IF(RecData[[#This Row],[Relative Wind Direction]]&lt;=135,"CW","UW")))</f>
        <v>CW</v>
      </c>
      <c r="DC734" s="61">
        <f>IF($CL734-$CL730&gt;1/24,#REF!,IF(SUM($CQ730:$CQ734)&gt;$DS$1,$DS$5,DC735-1))</f>
        <v>-2</v>
      </c>
      <c r="DD734" s="61">
        <f>IF($CL735-$CL734&gt;1/24,#REF!,IF(SUM($CQ730:$CQ734)&gt;$DS$1,$DS$6,DD733-1))</f>
        <v>-9</v>
      </c>
      <c r="DE734" s="18" t="b">
        <v>0</v>
      </c>
      <c r="DF734" s="2" t="b">
        <f>IF(OR(RecData[[#This Row],[WSpd_Avg '[m/s']]]-RecData[[#This Row],[Wind Speed min]]&gt;=$DF$3,RecData[[#This Row],[Wind Speed max]]-RecData[[#This Row],[WSpd_Avg '[m/s']]]&gt;=$DF$2),TRUE,FALSE)</f>
        <v>0</v>
      </c>
      <c r="DG734" s="2" t="b">
        <f>RecData[[#This Row],[Temperature '[°C']]]&lt;=-20</f>
        <v>0</v>
      </c>
      <c r="DH734" s="18" t="b">
        <f>NOT(OR(MOD(RecData[[#This Row],[TIMESTAMP]],1)&gt;0.91632,MOD(RecData[[#This Row],[TIMESTAMP]],1)&lt;0.208681))</f>
        <v>0</v>
      </c>
      <c r="DI734" s="18" t="b">
        <f>RecData[[#This Row],[Overall (dBA)]]-RecData[[#This Row],[L90]]&gt;=$DS$4</f>
        <v>0</v>
      </c>
      <c r="DJ734" s="18" t="b">
        <f>RecData[[#This Row],[Overall (dBA)]]&gt;$DS$2</f>
        <v>0</v>
      </c>
      <c r="DK734" s="18" t="b">
        <f>RecData[[#This Row],[Overall (dBA)]]&lt;$DS$3</f>
        <v>0</v>
      </c>
      <c r="DL7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4" s="2">
        <f>IF(AND(RecData[[#This Row],[Turbines ON/OFF]] = "OFF", NOT(OR(RecData[[#This Row],[Junk?]]="YES",RecData[[#This Row],[Gust?]],RecData[[#This Row],[Rain?]:[Min SPL Threshold?]]))),1,0)</f>
        <v>1</v>
      </c>
      <c r="DN734" s="16">
        <f>RecData[[#This Row],[dBA Sum]]</f>
        <v>15.852659137972477</v>
      </c>
      <c r="DO734" s="16">
        <f>RecData[[#This Row],[LAF90.0]]</f>
        <v>22.7</v>
      </c>
      <c r="DP734" s="55" t="str">
        <f>IF(AND(RecData[[#This Row],[Useable TON Data?]],RecData[[#This Row],[Turbines ON/OFF]]="ON"),RecData[[#This Row],[dBA Sum]],"")</f>
        <v/>
      </c>
      <c r="DQ734" s="55">
        <f>IF(AND(RecData[[#This Row],[Useable Background Data?]],RecData[[#This Row],[Turbines ON/OFF]]="OFF"),RecData[[#This Row],[dBA Sum]],"")</f>
        <v>15.852659137972477</v>
      </c>
      <c r="DR734" s="3">
        <f>IF(OR(RecData[[#This Row],[Useable TON Data?]],RecData[[#This Row],[Useable Background Data?]]),ROUND(RecData[[#This Row],[WSpd_Avg '[m/s']]],0),"")</f>
        <v>1</v>
      </c>
      <c r="DS734" s="85">
        <f>(0.00002)^2*(10^(RecData[[#This Row],[Overall (dBA)]]/10))</f>
        <v>1.5393093421001346E-8</v>
      </c>
    </row>
    <row r="735" spans="1:123" ht="15" x14ac:dyDescent="0.25">
      <c r="A735" s="3" t="s">
        <v>249</v>
      </c>
      <c r="B735" s="12">
        <v>43272.945138888892</v>
      </c>
      <c r="C735" s="3"/>
      <c r="D735" s="3">
        <v>28.5</v>
      </c>
      <c r="E735" s="3"/>
      <c r="F735" s="3"/>
      <c r="G735" s="3"/>
      <c r="H735" s="3"/>
      <c r="I735" s="3"/>
      <c r="J735" s="3"/>
      <c r="K735" s="3">
        <v>23.5</v>
      </c>
      <c r="L735" s="3"/>
      <c r="M735" s="3"/>
      <c r="N735" s="3">
        <v>140.4</v>
      </c>
      <c r="O735" s="3"/>
      <c r="P735" s="3"/>
      <c r="Q735" s="3">
        <v>0.5</v>
      </c>
      <c r="R735" s="3">
        <v>0.5</v>
      </c>
      <c r="S735" s="3">
        <v>0.6</v>
      </c>
      <c r="T735" s="3">
        <v>9.3000000000000007</v>
      </c>
      <c r="U735" s="3">
        <v>72.7</v>
      </c>
      <c r="V735" s="3">
        <v>970.7</v>
      </c>
      <c r="W735" s="3">
        <v>0</v>
      </c>
      <c r="X735" s="3">
        <v>19</v>
      </c>
      <c r="Y735" s="3">
        <v>16.2</v>
      </c>
      <c r="Z735" s="3">
        <v>19</v>
      </c>
      <c r="AA735" s="3">
        <v>10.9</v>
      </c>
      <c r="AB735" s="3">
        <v>7.9</v>
      </c>
      <c r="AC735" s="3">
        <v>5.7</v>
      </c>
      <c r="AD735" s="3">
        <v>8.1999999999999993</v>
      </c>
      <c r="AE735" s="3">
        <v>7.7</v>
      </c>
      <c r="AF735" s="3">
        <v>12.7</v>
      </c>
      <c r="AG735" s="3">
        <v>9.1999999999999993</v>
      </c>
      <c r="AH735" s="3">
        <v>8.3000000000000007</v>
      </c>
      <c r="AI735" s="3">
        <v>8</v>
      </c>
      <c r="AJ735" s="3">
        <v>7.6</v>
      </c>
      <c r="AK735" s="3">
        <v>7.7</v>
      </c>
      <c r="AL735" s="3">
        <v>6.9</v>
      </c>
      <c r="AM735" s="3">
        <v>7.1</v>
      </c>
      <c r="AN735" s="3">
        <v>7.7</v>
      </c>
      <c r="AO735" s="3">
        <v>7.3</v>
      </c>
      <c r="AP735" s="3">
        <v>6.8</v>
      </c>
      <c r="AQ735" s="3">
        <v>6.7</v>
      </c>
      <c r="AR735" s="3">
        <v>6.1</v>
      </c>
      <c r="AS735" s="3">
        <v>20.6</v>
      </c>
      <c r="AT735" s="3">
        <v>25.6</v>
      </c>
      <c r="AU735" s="3">
        <v>7.9</v>
      </c>
      <c r="AV735" s="3">
        <v>8.3000000000000007</v>
      </c>
      <c r="AW735" s="3">
        <v>8.8000000000000007</v>
      </c>
      <c r="AX735" s="3">
        <v>8.9</v>
      </c>
      <c r="AY735" s="3">
        <v>9.1999999999999993</v>
      </c>
      <c r="AZ735" s="3">
        <v>0</v>
      </c>
      <c r="BA735" s="3">
        <v>0</v>
      </c>
      <c r="BB735" s="3">
        <v>0</v>
      </c>
      <c r="BC735" s="3">
        <v>28.473518149908969</v>
      </c>
      <c r="BD735" s="3">
        <v>19.026481850091031</v>
      </c>
      <c r="BE735" s="3">
        <v>16.226481850091034</v>
      </c>
      <c r="BF735" s="3">
        <v>17.786481850091036</v>
      </c>
      <c r="BG735" s="3">
        <v>10.013148516757695</v>
      </c>
      <c r="BH735" s="3">
        <v>7.1531485167577031</v>
      </c>
      <c r="BI735" s="3">
        <v>5.3664818500910343</v>
      </c>
      <c r="BJ735" s="3">
        <v>8.6598151834243637</v>
      </c>
      <c r="BK735" s="3">
        <v>8.0331485167576915</v>
      </c>
      <c r="BL735" s="3">
        <v>12.606481850091029</v>
      </c>
      <c r="BM735" s="3">
        <v>9.2398151834243691</v>
      </c>
      <c r="BN735" s="3">
        <v>8.6231485167576949</v>
      </c>
      <c r="BO735" s="3">
        <v>7.6898151834243649</v>
      </c>
      <c r="BP735" s="3">
        <v>7.0064818500910278</v>
      </c>
      <c r="BQ735" s="3">
        <v>7.5231485167576864</v>
      </c>
      <c r="BR735" s="3">
        <v>7.0498151834243643</v>
      </c>
      <c r="BS735" s="3">
        <v>7.0531485167576946</v>
      </c>
      <c r="BT735" s="3">
        <v>7.8498151834243686</v>
      </c>
      <c r="BU735" s="3">
        <v>7.4164818500910314</v>
      </c>
      <c r="BV735" s="3">
        <v>6.6331485167577</v>
      </c>
      <c r="BW735" s="3">
        <v>7.0664818500910371</v>
      </c>
      <c r="BX735" s="3">
        <v>6.3864818500910374</v>
      </c>
      <c r="BY735" s="3">
        <v>20.706481850091031</v>
      </c>
      <c r="BZ735" s="3">
        <v>25.836481850091033</v>
      </c>
      <c r="CA735" s="3">
        <v>8.2364818500910246</v>
      </c>
      <c r="CB735" s="3">
        <v>8.0731485167576977</v>
      </c>
      <c r="CC735" s="3">
        <v>8.7864818500910289</v>
      </c>
      <c r="CD735" s="3">
        <v>8.1931485167577023</v>
      </c>
      <c r="CE735" s="3">
        <v>8.6864818500910275</v>
      </c>
      <c r="CF735" s="3">
        <v>-0.90018481657563498</v>
      </c>
      <c r="CG735" s="3">
        <v>-1.4335181499089664</v>
      </c>
      <c r="CH735" s="3">
        <v>-2.5101848165756344</v>
      </c>
      <c r="CI735" s="13">
        <f>[1]!dbasum(RecData[[#This Row],[20]:[2000]],RecData[[#Headers],[20]:[2000]])</f>
        <v>15.906852899140096</v>
      </c>
      <c r="CJ735" s="14">
        <v>9370</v>
      </c>
      <c r="CK735" s="15" t="s">
        <v>249</v>
      </c>
      <c r="CL735" s="15">
        <f>RecData[[#This Row],[Start Time]]</f>
        <v>43272.945138888892</v>
      </c>
      <c r="CM735" s="16">
        <f>RecData[[#This Row],[Wind Speed avg]]</f>
        <v>0.5</v>
      </c>
      <c r="CN735" s="16">
        <f>RecData[[#This Row],[Wind Dir. avg]]</f>
        <v>140.4</v>
      </c>
      <c r="CO735" s="16">
        <f>RecData[[#This Row],[Amb. Humidity]]</f>
        <v>72.7</v>
      </c>
      <c r="CP735" s="16">
        <f>RecData[[#This Row],[Amb. Temperature]]</f>
        <v>9.3000000000000007</v>
      </c>
      <c r="CQ735" s="17">
        <f>RecData[[#This Row],[Amb. Rain Gauge]]</f>
        <v>0</v>
      </c>
      <c r="CR735" s="4" t="s">
        <v>50</v>
      </c>
      <c r="CS735" s="4" t="s">
        <v>49</v>
      </c>
      <c r="CT735" s="70">
        <v>-8.5423507690429599</v>
      </c>
      <c r="CU735" s="70">
        <v>270.00228881835898</v>
      </c>
      <c r="CV735" s="70">
        <v>1.7978998422622601</v>
      </c>
      <c r="CW735" s="70">
        <v>0</v>
      </c>
      <c r="CX735" s="109"/>
      <c r="CY735" s="110"/>
      <c r="CZ735" s="2" t="b">
        <f>IF($DP$1="YES",IF(RecData[[#This Row],[Power (kW)]]&gt;=$CR$3, TRUE,FALSE),TRUE)</f>
        <v>0</v>
      </c>
      <c r="DA735" s="16">
        <f>MIN(MOD(180-ABS(ABS($DA$1-RecData[Yaw Angle (°)])-180),360),MOD(180-ABS(ABS($DB$1-RecData[Yaw Angle (°)])-180),360))</f>
        <v>97.527637959328558</v>
      </c>
      <c r="DB735" s="2" t="str">
        <f>IF($DP$2="None","None",IF(RecData[[#This Row],[Relative Wind Direction]]&lt;=45,"DW",IF(RecData[[#This Row],[Relative Wind Direction]]&lt;=135,"CW","UW")))</f>
        <v>CW</v>
      </c>
      <c r="DC735" s="61">
        <v>-1</v>
      </c>
      <c r="DD735" s="61">
        <v>-1</v>
      </c>
      <c r="DE735" s="18" t="b">
        <v>0</v>
      </c>
      <c r="DF735" s="2" t="b">
        <f>IF(OR(RecData[[#This Row],[WSpd_Avg '[m/s']]]-RecData[[#This Row],[Wind Speed min]]&gt;=$DF$3,RecData[[#This Row],[Wind Speed max]]-RecData[[#This Row],[WSpd_Avg '[m/s']]]&gt;=$DF$2),TRUE,FALSE)</f>
        <v>0</v>
      </c>
      <c r="DG735" s="2" t="b">
        <f>RecData[[#This Row],[Temperature '[°C']]]&lt;=-20</f>
        <v>0</v>
      </c>
      <c r="DH735" s="18" t="b">
        <f>NOT(OR(MOD(RecData[[#This Row],[TIMESTAMP]],1)&gt;0.91632,MOD(RecData[[#This Row],[TIMESTAMP]],1)&lt;0.208681))</f>
        <v>0</v>
      </c>
      <c r="DI735" s="18" t="b">
        <f>RecData[[#This Row],[Overall (dBA)]]-RecData[[#This Row],[L90]]&gt;=$DS$4</f>
        <v>0</v>
      </c>
      <c r="DJ735" s="18" t="b">
        <f>RecData[[#This Row],[Overall (dBA)]]&gt;$DS$2</f>
        <v>0</v>
      </c>
      <c r="DK735" s="18" t="b">
        <f>RecData[[#This Row],[Overall (dBA)]]&lt;$DS$3</f>
        <v>0</v>
      </c>
      <c r="DL7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5" s="2">
        <f>IF(AND(RecData[[#This Row],[Turbines ON/OFF]] = "OFF", NOT(OR(RecData[[#This Row],[Junk?]]="YES",RecData[[#This Row],[Gust?]],RecData[[#This Row],[Rain?]:[Min SPL Threshold?]]))),1,0)</f>
        <v>1</v>
      </c>
      <c r="DN735" s="16">
        <f>RecData[[#This Row],[dBA Sum]]</f>
        <v>15.906852899140096</v>
      </c>
      <c r="DO735" s="16">
        <f>RecData[[#This Row],[LAF90.0]]</f>
        <v>23.5</v>
      </c>
      <c r="DP735" s="55" t="str">
        <f>IF(AND(RecData[[#This Row],[Useable TON Data?]],RecData[[#This Row],[Turbines ON/OFF]]="ON"),RecData[[#This Row],[dBA Sum]],"")</f>
        <v/>
      </c>
      <c r="DQ735" s="55">
        <f>IF(AND(RecData[[#This Row],[Useable Background Data?]],RecData[[#This Row],[Turbines ON/OFF]]="OFF"),RecData[[#This Row],[dBA Sum]],"")</f>
        <v>15.906852899140096</v>
      </c>
      <c r="DR735" s="3">
        <f>IF(OR(RecData[[#This Row],[Useable TON Data?]],RecData[[#This Row],[Useable Background Data?]]),ROUND(RecData[[#This Row],[WSpd_Avg '[m/s']]],0),"")</f>
        <v>1</v>
      </c>
      <c r="DS735" s="85">
        <f>(0.00002)^2*(10^(RecData[[#This Row],[Overall (dBA)]]/10))</f>
        <v>1.5586380753570032E-8</v>
      </c>
    </row>
    <row r="736" spans="1:123" ht="15" x14ac:dyDescent="0.25">
      <c r="A736" s="3" t="s">
        <v>249</v>
      </c>
      <c r="B736" s="12">
        <v>43272.945833333339</v>
      </c>
      <c r="C736" s="3"/>
      <c r="D736" s="3">
        <v>28.9</v>
      </c>
      <c r="E736" s="3"/>
      <c r="F736" s="3"/>
      <c r="G736" s="3"/>
      <c r="H736" s="3"/>
      <c r="I736" s="3"/>
      <c r="J736" s="3"/>
      <c r="K736" s="3">
        <v>23.3</v>
      </c>
      <c r="L736" s="3"/>
      <c r="M736" s="3"/>
      <c r="N736" s="3">
        <v>132.5</v>
      </c>
      <c r="O736" s="3"/>
      <c r="P736" s="3"/>
      <c r="Q736" s="3">
        <v>0.5</v>
      </c>
      <c r="R736" s="3">
        <v>0.4</v>
      </c>
      <c r="S736" s="3">
        <v>0.6</v>
      </c>
      <c r="T736" s="3">
        <v>9.3000000000000007</v>
      </c>
      <c r="U736" s="3">
        <v>74</v>
      </c>
      <c r="V736" s="3">
        <v>970.7</v>
      </c>
      <c r="W736" s="3">
        <v>0</v>
      </c>
      <c r="X736" s="3">
        <v>17.8</v>
      </c>
      <c r="Y736" s="3">
        <v>15</v>
      </c>
      <c r="Z736" s="3">
        <v>19.5</v>
      </c>
      <c r="AA736" s="3">
        <v>8.4</v>
      </c>
      <c r="AB736" s="3">
        <v>6.9</v>
      </c>
      <c r="AC736" s="3">
        <v>5.3</v>
      </c>
      <c r="AD736" s="3">
        <v>7.8</v>
      </c>
      <c r="AE736" s="3">
        <v>7.5</v>
      </c>
      <c r="AF736" s="3">
        <v>13.3</v>
      </c>
      <c r="AG736" s="3">
        <v>8.8000000000000007</v>
      </c>
      <c r="AH736" s="3">
        <v>8</v>
      </c>
      <c r="AI736" s="3">
        <v>7.8</v>
      </c>
      <c r="AJ736" s="3">
        <v>7.7</v>
      </c>
      <c r="AK736" s="3">
        <v>7.6</v>
      </c>
      <c r="AL736" s="3">
        <v>7.1</v>
      </c>
      <c r="AM736" s="3">
        <v>7.4</v>
      </c>
      <c r="AN736" s="3">
        <v>7.9</v>
      </c>
      <c r="AO736" s="3">
        <v>7.4</v>
      </c>
      <c r="AP736" s="3">
        <v>6.8</v>
      </c>
      <c r="AQ736" s="3">
        <v>6.9</v>
      </c>
      <c r="AR736" s="3">
        <v>6.3</v>
      </c>
      <c r="AS736" s="3">
        <v>18.3</v>
      </c>
      <c r="AT736" s="3">
        <v>26.7</v>
      </c>
      <c r="AU736" s="3">
        <v>8</v>
      </c>
      <c r="AV736" s="3">
        <v>8.1999999999999993</v>
      </c>
      <c r="AW736" s="3">
        <v>8.6999999999999993</v>
      </c>
      <c r="AX736" s="3">
        <v>8.9</v>
      </c>
      <c r="AY736" s="3">
        <v>9.1</v>
      </c>
      <c r="AZ736" s="3">
        <v>0</v>
      </c>
      <c r="BA736" s="3">
        <v>0</v>
      </c>
      <c r="BB736" s="3">
        <v>0</v>
      </c>
      <c r="BC736" s="3">
        <v>28.916625203328692</v>
      </c>
      <c r="BD736" s="3">
        <v>17.78337479667131</v>
      </c>
      <c r="BE736" s="3">
        <v>14.983374796671306</v>
      </c>
      <c r="BF736" s="3">
        <v>18.243374796671304</v>
      </c>
      <c r="BG736" s="3">
        <v>7.4700414633379708</v>
      </c>
      <c r="BH736" s="3">
        <v>6.1100414633379785</v>
      </c>
      <c r="BI736" s="3">
        <v>4.923374796671304</v>
      </c>
      <c r="BJ736" s="3">
        <v>8.2167081300046405</v>
      </c>
      <c r="BK736" s="3">
        <v>7.7900414633379711</v>
      </c>
      <c r="BL736" s="3">
        <v>13.163374796671306</v>
      </c>
      <c r="BM736" s="3">
        <v>8.7967081300046459</v>
      </c>
      <c r="BN736" s="3">
        <v>8.2800414633379731</v>
      </c>
      <c r="BO736" s="3">
        <v>7.4467081300046445</v>
      </c>
      <c r="BP736" s="3">
        <v>7.0633747966713045</v>
      </c>
      <c r="BQ736" s="3">
        <v>7.3800414633379603</v>
      </c>
      <c r="BR736" s="3">
        <v>7.2067081300046425</v>
      </c>
      <c r="BS736" s="3">
        <v>7.3100414633379742</v>
      </c>
      <c r="BT736" s="3">
        <v>8.0067081300046397</v>
      </c>
      <c r="BU736" s="3">
        <v>7.4733747966713082</v>
      </c>
      <c r="BV736" s="3">
        <v>6.5900414633379754</v>
      </c>
      <c r="BW736" s="3">
        <v>7.2233747966713082</v>
      </c>
      <c r="BX736" s="3">
        <v>6.5433747966713085</v>
      </c>
      <c r="BY736" s="3">
        <v>18.363374796671309</v>
      </c>
      <c r="BZ736" s="3">
        <v>26.89337479667131</v>
      </c>
      <c r="CA736" s="3">
        <v>8.2933747966713014</v>
      </c>
      <c r="CB736" s="3">
        <v>7.9300414633379717</v>
      </c>
      <c r="CC736" s="3">
        <v>8.6433747966713028</v>
      </c>
      <c r="CD736" s="3">
        <v>8.1500414633379776</v>
      </c>
      <c r="CE736" s="3">
        <v>8.5433747966713014</v>
      </c>
      <c r="CF736" s="3">
        <v>-0.94329186999535963</v>
      </c>
      <c r="CG736" s="3">
        <v>-1.4766252033286911</v>
      </c>
      <c r="CH736" s="3">
        <v>-2.5532918699953591</v>
      </c>
      <c r="CI736" s="13">
        <f>[1]!dbasum(RecData[[#This Row],[20]:[2000]],RecData[[#Headers],[20]:[2000]])</f>
        <v>15.996741468284871</v>
      </c>
      <c r="CJ736" s="14">
        <v>9371</v>
      </c>
      <c r="CK736" s="15" t="s">
        <v>249</v>
      </c>
      <c r="CL736" s="15">
        <f>RecData[[#This Row],[Start Time]]</f>
        <v>43272.945833333339</v>
      </c>
      <c r="CM736" s="16">
        <f>RecData[[#This Row],[Wind Speed avg]]</f>
        <v>0.5</v>
      </c>
      <c r="CN736" s="16">
        <f>RecData[[#This Row],[Wind Dir. avg]]</f>
        <v>132.5</v>
      </c>
      <c r="CO736" s="16">
        <f>RecData[[#This Row],[Amb. Humidity]]</f>
        <v>74</v>
      </c>
      <c r="CP736" s="16">
        <f>RecData[[#This Row],[Amb. Temperature]]</f>
        <v>9.3000000000000007</v>
      </c>
      <c r="CQ736" s="17">
        <f>RecData[[#This Row],[Amb. Rain Gauge]]</f>
        <v>0</v>
      </c>
      <c r="CR736" s="4" t="s">
        <v>50</v>
      </c>
      <c r="CS736" s="4" t="s">
        <v>49</v>
      </c>
      <c r="CT736" s="70">
        <v>-8.5423507690429599</v>
      </c>
      <c r="CU736" s="70">
        <v>270.00228881835898</v>
      </c>
      <c r="CV736" s="70">
        <v>1.7978998422622601</v>
      </c>
      <c r="CW736" s="70">
        <v>0</v>
      </c>
      <c r="CX736" s="109"/>
      <c r="CY736" s="110"/>
      <c r="CZ736" s="2" t="b">
        <f>IF($DP$1="YES",IF(RecData[[#This Row],[Power (kW)]]&gt;=$CR$3, TRUE,FALSE),TRUE)</f>
        <v>0</v>
      </c>
      <c r="DA736" s="16">
        <f>MIN(MOD(180-ABS(ABS($DA$1-RecData[Yaw Angle (°)])-180),360),MOD(180-ABS(ABS($DB$1-RecData[Yaw Angle (°)])-180),360))</f>
        <v>97.527637959328558</v>
      </c>
      <c r="DB736" s="2" t="str">
        <f>IF($DP$2="None","None",IF(RecData[[#This Row],[Relative Wind Direction]]&lt;=45,"DW",IF(RecData[[#This Row],[Relative Wind Direction]]&lt;=135,"CW","UW")))</f>
        <v>CW</v>
      </c>
      <c r="DC736" s="61">
        <f>IF($CL736-$CL735&gt;1/24,#REF!,IF(SUM($CQ735:$CQ736)&gt;$DS$1,$DS$5,DC737-1))</f>
        <v>-9</v>
      </c>
      <c r="DD736" s="61">
        <f>IF($CL737-$CL736&gt;1/24,#REF!,IF(SUM($CQ735:$CQ736)&gt;$DS$1,$DS$6,DD735-1))</f>
        <v>-2</v>
      </c>
      <c r="DE736" s="18" t="b">
        <v>0</v>
      </c>
      <c r="DF736" s="2" t="b">
        <f>IF(OR(RecData[[#This Row],[WSpd_Avg '[m/s']]]-RecData[[#This Row],[Wind Speed min]]&gt;=$DF$3,RecData[[#This Row],[Wind Speed max]]-RecData[[#This Row],[WSpd_Avg '[m/s']]]&gt;=$DF$2),TRUE,FALSE)</f>
        <v>0</v>
      </c>
      <c r="DG736" s="2" t="b">
        <f>RecData[[#This Row],[Temperature '[°C']]]&lt;=-20</f>
        <v>0</v>
      </c>
      <c r="DH736" s="18" t="b">
        <f>NOT(OR(MOD(RecData[[#This Row],[TIMESTAMP]],1)&gt;0.91632,MOD(RecData[[#This Row],[TIMESTAMP]],1)&lt;0.208681))</f>
        <v>0</v>
      </c>
      <c r="DI736" s="18" t="b">
        <f>RecData[[#This Row],[Overall (dBA)]]-RecData[[#This Row],[L90]]&gt;=$DS$4</f>
        <v>0</v>
      </c>
      <c r="DJ736" s="18" t="b">
        <f>RecData[[#This Row],[Overall (dBA)]]&gt;$DS$2</f>
        <v>0</v>
      </c>
      <c r="DK736" s="18" t="b">
        <f>RecData[[#This Row],[Overall (dBA)]]&lt;$DS$3</f>
        <v>0</v>
      </c>
      <c r="DL7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6" s="2">
        <f>IF(AND(RecData[[#This Row],[Turbines ON/OFF]] = "OFF", NOT(OR(RecData[[#This Row],[Junk?]]="YES",RecData[[#This Row],[Gust?]],RecData[[#This Row],[Rain?]:[Min SPL Threshold?]]))),1,0)</f>
        <v>1</v>
      </c>
      <c r="DN736" s="16">
        <f>RecData[[#This Row],[dBA Sum]]</f>
        <v>15.996741468284871</v>
      </c>
      <c r="DO736" s="16">
        <f>RecData[[#This Row],[LAF90.0]]</f>
        <v>23.3</v>
      </c>
      <c r="DP736" s="55" t="str">
        <f>IF(AND(RecData[[#This Row],[Useable TON Data?]],RecData[[#This Row],[Turbines ON/OFF]]="ON"),RecData[[#This Row],[dBA Sum]],"")</f>
        <v/>
      </c>
      <c r="DQ736" s="55">
        <f>IF(AND(RecData[[#This Row],[Useable Background Data?]],RecData[[#This Row],[Turbines ON/OFF]]="OFF"),RecData[[#This Row],[dBA Sum]],"")</f>
        <v>15.996741468284871</v>
      </c>
      <c r="DR736" s="3">
        <f>IF(OR(RecData[[#This Row],[Useable TON Data?]],RecData[[#This Row],[Useable Background Data?]]),ROUND(RecData[[#This Row],[WSpd_Avg '[m/s']]],0),"")</f>
        <v>1</v>
      </c>
      <c r="DS736" s="85">
        <f>(0.00002)^2*(10^(RecData[[#This Row],[Overall (dBA)]]/10))</f>
        <v>1.5912343236830155E-8</v>
      </c>
    </row>
    <row r="737" spans="1:123" ht="15" x14ac:dyDescent="0.25">
      <c r="A737" s="3" t="s">
        <v>249</v>
      </c>
      <c r="B737" s="12">
        <v>43272.946527777785</v>
      </c>
      <c r="C737" s="3"/>
      <c r="D737" s="3">
        <v>28.3</v>
      </c>
      <c r="E737" s="3"/>
      <c r="F737" s="3"/>
      <c r="G737" s="3"/>
      <c r="H737" s="3"/>
      <c r="I737" s="3"/>
      <c r="J737" s="3"/>
      <c r="K737" s="3">
        <v>22.1</v>
      </c>
      <c r="L737" s="3"/>
      <c r="M737" s="3"/>
      <c r="N737" s="3">
        <v>135.5</v>
      </c>
      <c r="O737" s="3"/>
      <c r="P737" s="3"/>
      <c r="Q737" s="3">
        <v>0.48</v>
      </c>
      <c r="R737" s="3">
        <v>0.4</v>
      </c>
      <c r="S737" s="3">
        <v>0.5</v>
      </c>
      <c r="T737" s="3">
        <v>9.3000000000000007</v>
      </c>
      <c r="U737" s="3">
        <v>75</v>
      </c>
      <c r="V737" s="3">
        <v>970.7</v>
      </c>
      <c r="W737" s="3">
        <v>0</v>
      </c>
      <c r="X737" s="3">
        <v>20.2</v>
      </c>
      <c r="Y737" s="3">
        <v>17.3</v>
      </c>
      <c r="Z737" s="3">
        <v>19.600000000000001</v>
      </c>
      <c r="AA737" s="3">
        <v>12.1</v>
      </c>
      <c r="AB737" s="3">
        <v>9.4</v>
      </c>
      <c r="AC737" s="3">
        <v>6.3</v>
      </c>
      <c r="AD737" s="3">
        <v>7.6</v>
      </c>
      <c r="AE737" s="3">
        <v>7.6</v>
      </c>
      <c r="AF737" s="3">
        <v>14.7</v>
      </c>
      <c r="AG737" s="3">
        <v>10.8</v>
      </c>
      <c r="AH737" s="3">
        <v>9.4</v>
      </c>
      <c r="AI737" s="3">
        <v>8.4</v>
      </c>
      <c r="AJ737" s="3">
        <v>8.5</v>
      </c>
      <c r="AK737" s="3">
        <v>9.1</v>
      </c>
      <c r="AL737" s="3">
        <v>7.9</v>
      </c>
      <c r="AM737" s="3">
        <v>8</v>
      </c>
      <c r="AN737" s="3">
        <v>8.1</v>
      </c>
      <c r="AO737" s="3">
        <v>7.3</v>
      </c>
      <c r="AP737" s="3">
        <v>6.5</v>
      </c>
      <c r="AQ737" s="3">
        <v>7.3</v>
      </c>
      <c r="AR737" s="3">
        <v>6.5</v>
      </c>
      <c r="AS737" s="3">
        <v>16.7</v>
      </c>
      <c r="AT737" s="3">
        <v>26</v>
      </c>
      <c r="AU737" s="3">
        <v>7.8</v>
      </c>
      <c r="AV737" s="3">
        <v>8.1999999999999993</v>
      </c>
      <c r="AW737" s="3">
        <v>8.6</v>
      </c>
      <c r="AX737" s="3">
        <v>8.9</v>
      </c>
      <c r="AY737" s="3">
        <v>9.1</v>
      </c>
      <c r="AZ737" s="3">
        <v>0</v>
      </c>
      <c r="BA737" s="3">
        <v>0</v>
      </c>
      <c r="BB737" s="3">
        <v>0</v>
      </c>
      <c r="BC737" s="3">
        <v>28.211755853970292</v>
      </c>
      <c r="BD737" s="3">
        <v>20.288244146029708</v>
      </c>
      <c r="BE737" s="3">
        <v>17.388244146029709</v>
      </c>
      <c r="BF737" s="3">
        <v>18.448244146029712</v>
      </c>
      <c r="BG737" s="3">
        <v>11.274910812696373</v>
      </c>
      <c r="BH737" s="3">
        <v>8.7149108126963775</v>
      </c>
      <c r="BI737" s="3">
        <v>6.02824414602971</v>
      </c>
      <c r="BJ737" s="3">
        <v>8.1215774793630366</v>
      </c>
      <c r="BK737" s="3">
        <v>7.9949108126963715</v>
      </c>
      <c r="BL737" s="3">
        <v>14.668244146029711</v>
      </c>
      <c r="BM737" s="3">
        <v>10.901577479363045</v>
      </c>
      <c r="BN737" s="3">
        <v>9.7849108126963777</v>
      </c>
      <c r="BO737" s="3">
        <v>8.1515774793630449</v>
      </c>
      <c r="BP737" s="3">
        <v>7.9682441460297078</v>
      </c>
      <c r="BQ737" s="3">
        <v>8.9849108126963664</v>
      </c>
      <c r="BR737" s="3">
        <v>8.1115774793630457</v>
      </c>
      <c r="BS737" s="3">
        <v>8.0149108126963746</v>
      </c>
      <c r="BT737" s="3">
        <v>8.3115774793630415</v>
      </c>
      <c r="BU737" s="3">
        <v>7.4782441460297129</v>
      </c>
      <c r="BV737" s="3">
        <v>6.3949108126963772</v>
      </c>
      <c r="BW737" s="3">
        <v>7.7282441460297129</v>
      </c>
      <c r="BX737" s="3">
        <v>6.8482441460297103</v>
      </c>
      <c r="BY737" s="3">
        <v>16.868244146029706</v>
      </c>
      <c r="BZ737" s="3">
        <v>26.298244146029713</v>
      </c>
      <c r="CA737" s="3">
        <v>8.1982441460297046</v>
      </c>
      <c r="CB737" s="3">
        <v>8.0349108126963706</v>
      </c>
      <c r="CC737" s="3">
        <v>8.6482441460297075</v>
      </c>
      <c r="CD737" s="3">
        <v>8.2549108126963766</v>
      </c>
      <c r="CE737" s="3">
        <v>8.6482441460297075</v>
      </c>
      <c r="CF737" s="3">
        <v>-0.8384225206369571</v>
      </c>
      <c r="CG737" s="3">
        <v>-1.3717558539702885</v>
      </c>
      <c r="CH737" s="3">
        <v>-2.4484225206369565</v>
      </c>
      <c r="CI737" s="13">
        <f>[1]!dbasum(RecData[[#This Row],[20]:[2000]],RecData[[#Headers],[20]:[2000]])</f>
        <v>16.459032473141818</v>
      </c>
      <c r="CJ737" s="14">
        <v>9372</v>
      </c>
      <c r="CK737" s="15" t="s">
        <v>249</v>
      </c>
      <c r="CL737" s="15">
        <f>RecData[[#This Row],[Start Time]]</f>
        <v>43272.946527777785</v>
      </c>
      <c r="CM737" s="16">
        <f>RecData[[#This Row],[Wind Speed avg]]</f>
        <v>0.48</v>
      </c>
      <c r="CN737" s="16">
        <f>RecData[[#This Row],[Wind Dir. avg]]</f>
        <v>135.5</v>
      </c>
      <c r="CO737" s="16">
        <f>RecData[[#This Row],[Amb. Humidity]]</f>
        <v>75</v>
      </c>
      <c r="CP737" s="16">
        <f>RecData[[#This Row],[Amb. Temperature]]</f>
        <v>9.3000000000000007</v>
      </c>
      <c r="CQ737" s="17">
        <f>RecData[[#This Row],[Amb. Rain Gauge]]</f>
        <v>0</v>
      </c>
      <c r="CR737" s="4" t="s">
        <v>50</v>
      </c>
      <c r="CS737" s="4" t="s">
        <v>49</v>
      </c>
      <c r="CT737" s="70">
        <v>-8.5423507690429599</v>
      </c>
      <c r="CU737" s="70">
        <v>270.00228881835898</v>
      </c>
      <c r="CV737" s="70">
        <v>1.7978998422622601</v>
      </c>
      <c r="CW737" s="70">
        <v>0</v>
      </c>
      <c r="CX737" s="109"/>
      <c r="CY737" s="110"/>
      <c r="CZ737" s="2" t="b">
        <f>IF($DP$1="YES",IF(RecData[[#This Row],[Power (kW)]]&gt;=$CR$3, TRUE,FALSE),TRUE)</f>
        <v>0</v>
      </c>
      <c r="DA737" s="16">
        <f>MIN(MOD(180-ABS(ABS($DA$1-RecData[Yaw Angle (°)])-180),360),MOD(180-ABS(ABS($DB$1-RecData[Yaw Angle (°)])-180),360))</f>
        <v>97.527637959328558</v>
      </c>
      <c r="DB737" s="2" t="str">
        <f>IF($DP$2="None","None",IF(RecData[[#This Row],[Relative Wind Direction]]&lt;=45,"DW",IF(RecData[[#This Row],[Relative Wind Direction]]&lt;=135,"CW","UW")))</f>
        <v>CW</v>
      </c>
      <c r="DC737" s="61">
        <f>IF($CL737-$CL735&gt;1/24,#REF!,IF(SUM($CQ735:$CQ737)&gt;$DS$1,$DS$5,DC738-1))</f>
        <v>-8</v>
      </c>
      <c r="DD737" s="61">
        <f>IF($CL738-$CL737&gt;1/24,#REF!,IF(SUM($CQ735:$CQ737)&gt;$DS$1,$DS$6,DD736-1))</f>
        <v>-3</v>
      </c>
      <c r="DE737" s="18" t="b">
        <v>0</v>
      </c>
      <c r="DF737" s="2" t="b">
        <f>IF(OR(RecData[[#This Row],[WSpd_Avg '[m/s']]]-RecData[[#This Row],[Wind Speed min]]&gt;=$DF$3,RecData[[#This Row],[Wind Speed max]]-RecData[[#This Row],[WSpd_Avg '[m/s']]]&gt;=$DF$2),TRUE,FALSE)</f>
        <v>0</v>
      </c>
      <c r="DG737" s="2" t="b">
        <f>RecData[[#This Row],[Temperature '[°C']]]&lt;=-20</f>
        <v>0</v>
      </c>
      <c r="DH737" s="18" t="b">
        <f>NOT(OR(MOD(RecData[[#This Row],[TIMESTAMP]],1)&gt;0.91632,MOD(RecData[[#This Row],[TIMESTAMP]],1)&lt;0.208681))</f>
        <v>0</v>
      </c>
      <c r="DI737" s="18" t="b">
        <f>RecData[[#This Row],[Overall (dBA)]]-RecData[[#This Row],[L90]]&gt;=$DS$4</f>
        <v>0</v>
      </c>
      <c r="DJ737" s="18" t="b">
        <f>RecData[[#This Row],[Overall (dBA)]]&gt;$DS$2</f>
        <v>0</v>
      </c>
      <c r="DK737" s="18" t="b">
        <f>RecData[[#This Row],[Overall (dBA)]]&lt;$DS$3</f>
        <v>0</v>
      </c>
      <c r="DL7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7" s="2">
        <f>IF(AND(RecData[[#This Row],[Turbines ON/OFF]] = "OFF", NOT(OR(RecData[[#This Row],[Junk?]]="YES",RecData[[#This Row],[Gust?]],RecData[[#This Row],[Rain?]:[Min SPL Threshold?]]))),1,0)</f>
        <v>1</v>
      </c>
      <c r="DN737" s="16">
        <f>RecData[[#This Row],[dBA Sum]]</f>
        <v>16.459032473141818</v>
      </c>
      <c r="DO737" s="16">
        <f>RecData[[#This Row],[LAF90.0]]</f>
        <v>22.1</v>
      </c>
      <c r="DP737" s="55" t="str">
        <f>IF(AND(RecData[[#This Row],[Useable TON Data?]],RecData[[#This Row],[Turbines ON/OFF]]="ON"),RecData[[#This Row],[dBA Sum]],"")</f>
        <v/>
      </c>
      <c r="DQ737" s="55">
        <f>IF(AND(RecData[[#This Row],[Useable Background Data?]],RecData[[#This Row],[Turbines ON/OFF]]="OFF"),RecData[[#This Row],[dBA Sum]],"")</f>
        <v>16.459032473141818</v>
      </c>
      <c r="DR737" s="3">
        <f>IF(OR(RecData[[#This Row],[Useable TON Data?]],RecData[[#This Row],[Useable Background Data?]]),ROUND(RecData[[#This Row],[WSpd_Avg '[m/s']]],0),"")</f>
        <v>0</v>
      </c>
      <c r="DS737" s="85">
        <f>(0.00002)^2*(10^(RecData[[#This Row],[Overall (dBA)]]/10))</f>
        <v>1.769959131742093E-8</v>
      </c>
    </row>
    <row r="738" spans="1:123" ht="15" x14ac:dyDescent="0.25">
      <c r="A738" s="3" t="s">
        <v>249</v>
      </c>
      <c r="B738" s="12">
        <v>43272.947222222225</v>
      </c>
      <c r="C738" s="3"/>
      <c r="D738" s="3">
        <v>28.8</v>
      </c>
      <c r="E738" s="3"/>
      <c r="F738" s="3"/>
      <c r="G738" s="3"/>
      <c r="H738" s="3"/>
      <c r="I738" s="3"/>
      <c r="J738" s="3"/>
      <c r="K738" s="3">
        <v>22.4</v>
      </c>
      <c r="L738" s="3"/>
      <c r="M738" s="3"/>
      <c r="N738" s="3">
        <v>145.5</v>
      </c>
      <c r="O738" s="3"/>
      <c r="P738" s="3"/>
      <c r="Q738" s="3">
        <v>0.42</v>
      </c>
      <c r="R738" s="3">
        <v>0.4</v>
      </c>
      <c r="S738" s="3">
        <v>0.5</v>
      </c>
      <c r="T738" s="3">
        <v>9.1999999999999993</v>
      </c>
      <c r="U738" s="3">
        <v>74.099999999999994</v>
      </c>
      <c r="V738" s="3">
        <v>970.7</v>
      </c>
      <c r="W738" s="3">
        <v>0</v>
      </c>
      <c r="X738" s="3">
        <v>20.6</v>
      </c>
      <c r="Y738" s="3">
        <v>17.399999999999999</v>
      </c>
      <c r="Z738" s="3">
        <v>18.2</v>
      </c>
      <c r="AA738" s="3">
        <v>8.9</v>
      </c>
      <c r="AB738" s="3">
        <v>7.3</v>
      </c>
      <c r="AC738" s="3">
        <v>5.0999999999999996</v>
      </c>
      <c r="AD738" s="3">
        <v>7.9</v>
      </c>
      <c r="AE738" s="3">
        <v>8.1999999999999993</v>
      </c>
      <c r="AF738" s="3">
        <v>15.9</v>
      </c>
      <c r="AG738" s="3">
        <v>12.5</v>
      </c>
      <c r="AH738" s="3">
        <v>10.199999999999999</v>
      </c>
      <c r="AI738" s="3">
        <v>8.6999999999999993</v>
      </c>
      <c r="AJ738" s="3">
        <v>9.6</v>
      </c>
      <c r="AK738" s="3">
        <v>8.6999999999999993</v>
      </c>
      <c r="AL738" s="3">
        <v>8.1</v>
      </c>
      <c r="AM738" s="3">
        <v>8.1</v>
      </c>
      <c r="AN738" s="3">
        <v>8.1999999999999993</v>
      </c>
      <c r="AO738" s="3">
        <v>7.4</v>
      </c>
      <c r="AP738" s="3">
        <v>6.7</v>
      </c>
      <c r="AQ738" s="3">
        <v>7.2</v>
      </c>
      <c r="AR738" s="3">
        <v>6.6</v>
      </c>
      <c r="AS738" s="3">
        <v>17.600000000000001</v>
      </c>
      <c r="AT738" s="3">
        <v>26.7</v>
      </c>
      <c r="AU738" s="3">
        <v>7.9</v>
      </c>
      <c r="AV738" s="3">
        <v>8.1</v>
      </c>
      <c r="AW738" s="3">
        <v>8.6</v>
      </c>
      <c r="AX738" s="3">
        <v>8.8000000000000007</v>
      </c>
      <c r="AY738" s="3">
        <v>9.1</v>
      </c>
      <c r="AZ738" s="3">
        <v>0</v>
      </c>
      <c r="BA738" s="3">
        <v>0</v>
      </c>
      <c r="BB738" s="3">
        <v>0</v>
      </c>
      <c r="BC738" s="3">
        <v>28.865636016452459</v>
      </c>
      <c r="BD738" s="3">
        <v>20.534363983547546</v>
      </c>
      <c r="BE738" s="3">
        <v>17.334363983547544</v>
      </c>
      <c r="BF738" s="3">
        <v>16.894363983547546</v>
      </c>
      <c r="BG738" s="3">
        <v>7.9210306502142025</v>
      </c>
      <c r="BH738" s="3">
        <v>6.4610306502142087</v>
      </c>
      <c r="BI738" s="3">
        <v>4.6743639835475399</v>
      </c>
      <c r="BJ738" s="3">
        <v>8.2676973168808736</v>
      </c>
      <c r="BK738" s="3">
        <v>8.4410306502142056</v>
      </c>
      <c r="BL738" s="3">
        <v>15.714363983547539</v>
      </c>
      <c r="BM738" s="3">
        <v>12.447697316880873</v>
      </c>
      <c r="BN738" s="3">
        <v>10.431030650214208</v>
      </c>
      <c r="BO738" s="3">
        <v>8.2976973168808748</v>
      </c>
      <c r="BP738" s="3">
        <v>8.9143639835475419</v>
      </c>
      <c r="BQ738" s="3">
        <v>8.4310306502142005</v>
      </c>
      <c r="BR738" s="3">
        <v>8.1576973168808742</v>
      </c>
      <c r="BS738" s="3">
        <v>7.9610306502142087</v>
      </c>
      <c r="BT738" s="3">
        <v>8.2576973168808756</v>
      </c>
      <c r="BU738" s="3">
        <v>7.424363983547547</v>
      </c>
      <c r="BV738" s="3">
        <v>6.4410306502142127</v>
      </c>
      <c r="BW738" s="3">
        <v>7.4743639835475442</v>
      </c>
      <c r="BX738" s="3">
        <v>6.7943639835475444</v>
      </c>
      <c r="BY738" s="3">
        <v>17.614363983547545</v>
      </c>
      <c r="BZ738" s="3">
        <v>26.844363983547549</v>
      </c>
      <c r="CA738" s="3">
        <v>8.1443639835475317</v>
      </c>
      <c r="CB738" s="3">
        <v>7.781030650214209</v>
      </c>
      <c r="CC738" s="3">
        <v>8.4943639835475402</v>
      </c>
      <c r="CD738" s="3">
        <v>8.001030650214215</v>
      </c>
      <c r="CE738" s="3">
        <v>8.4943639835475402</v>
      </c>
      <c r="CF738" s="3">
        <v>-0.9923026831191244</v>
      </c>
      <c r="CG738" s="3">
        <v>-1.5256360164524558</v>
      </c>
      <c r="CH738" s="3">
        <v>-2.6023026831191238</v>
      </c>
      <c r="CI738" s="13">
        <f>[1]!dbasum(RecData[[#This Row],[20]:[2000]],RecData[[#Headers],[20]:[2000]])</f>
        <v>16.459639683232432</v>
      </c>
      <c r="CJ738" s="14">
        <v>9373</v>
      </c>
      <c r="CK738" s="15" t="s">
        <v>249</v>
      </c>
      <c r="CL738" s="15">
        <f>RecData[[#This Row],[Start Time]]</f>
        <v>43272.947222222225</v>
      </c>
      <c r="CM738" s="16">
        <f>RecData[[#This Row],[Wind Speed avg]]</f>
        <v>0.42</v>
      </c>
      <c r="CN738" s="16">
        <f>RecData[[#This Row],[Wind Dir. avg]]</f>
        <v>145.5</v>
      </c>
      <c r="CO738" s="16">
        <f>RecData[[#This Row],[Amb. Humidity]]</f>
        <v>74.099999999999994</v>
      </c>
      <c r="CP738" s="16">
        <f>RecData[[#This Row],[Amb. Temperature]]</f>
        <v>9.1999999999999993</v>
      </c>
      <c r="CQ738" s="17">
        <f>RecData[[#This Row],[Amb. Rain Gauge]]</f>
        <v>0</v>
      </c>
      <c r="CR738" s="4" t="s">
        <v>50</v>
      </c>
      <c r="CS738" s="4" t="s">
        <v>49</v>
      </c>
      <c r="CT738" s="70">
        <v>-8.5423507690429599</v>
      </c>
      <c r="CU738" s="70">
        <v>270.00228881835898</v>
      </c>
      <c r="CV738" s="70">
        <v>1.7978998422622601</v>
      </c>
      <c r="CW738" s="70">
        <v>0</v>
      </c>
      <c r="CX738" s="109"/>
      <c r="CY738" s="110"/>
      <c r="CZ738" s="2" t="b">
        <f>IF($DP$1="YES",IF(RecData[[#This Row],[Power (kW)]]&gt;=$CR$3, TRUE,FALSE),TRUE)</f>
        <v>0</v>
      </c>
      <c r="DA738" s="16">
        <f>MIN(MOD(180-ABS(ABS($DA$1-RecData[Yaw Angle (°)])-180),360),MOD(180-ABS(ABS($DB$1-RecData[Yaw Angle (°)])-180),360))</f>
        <v>97.527637959328558</v>
      </c>
      <c r="DB738" s="2" t="str">
        <f>IF($DP$2="None","None",IF(RecData[[#This Row],[Relative Wind Direction]]&lt;=45,"DW",IF(RecData[[#This Row],[Relative Wind Direction]]&lt;=135,"CW","UW")))</f>
        <v>CW</v>
      </c>
      <c r="DC738" s="61">
        <f>IF($CL738-$CL735&gt;1/24,#REF!,IF(SUM($CQ735:$CQ738)&gt;$DS$1,$DS$5,DC739-1))</f>
        <v>-7</v>
      </c>
      <c r="DD738" s="61">
        <f>IF($CL739-$CL738&gt;1/24,#REF!,IF(SUM($CQ735:$CQ738)&gt;$DS$1,$DS$6,DD737-1))</f>
        <v>-4</v>
      </c>
      <c r="DE738" s="18" t="b">
        <v>0</v>
      </c>
      <c r="DF738" s="2" t="b">
        <f>IF(OR(RecData[[#This Row],[WSpd_Avg '[m/s']]]-RecData[[#This Row],[Wind Speed min]]&gt;=$DF$3,RecData[[#This Row],[Wind Speed max]]-RecData[[#This Row],[WSpd_Avg '[m/s']]]&gt;=$DF$2),TRUE,FALSE)</f>
        <v>0</v>
      </c>
      <c r="DG738" s="2" t="b">
        <f>RecData[[#This Row],[Temperature '[°C']]]&lt;=-20</f>
        <v>0</v>
      </c>
      <c r="DH738" s="18" t="b">
        <f>NOT(OR(MOD(RecData[[#This Row],[TIMESTAMP]],1)&gt;0.91632,MOD(RecData[[#This Row],[TIMESTAMP]],1)&lt;0.208681))</f>
        <v>0</v>
      </c>
      <c r="DI738" s="18" t="b">
        <f>RecData[[#This Row],[Overall (dBA)]]-RecData[[#This Row],[L90]]&gt;=$DS$4</f>
        <v>0</v>
      </c>
      <c r="DJ738" s="18" t="b">
        <f>RecData[[#This Row],[Overall (dBA)]]&gt;$DS$2</f>
        <v>0</v>
      </c>
      <c r="DK738" s="18" t="b">
        <f>RecData[[#This Row],[Overall (dBA)]]&lt;$DS$3</f>
        <v>0</v>
      </c>
      <c r="DL7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8" s="2">
        <f>IF(AND(RecData[[#This Row],[Turbines ON/OFF]] = "OFF", NOT(OR(RecData[[#This Row],[Junk?]]="YES",RecData[[#This Row],[Gust?]],RecData[[#This Row],[Rain?]:[Min SPL Threshold?]]))),1,0)</f>
        <v>1</v>
      </c>
      <c r="DN738" s="16">
        <f>RecData[[#This Row],[dBA Sum]]</f>
        <v>16.459639683232432</v>
      </c>
      <c r="DO738" s="16">
        <f>RecData[[#This Row],[LAF90.0]]</f>
        <v>22.4</v>
      </c>
      <c r="DP738" s="55" t="str">
        <f>IF(AND(RecData[[#This Row],[Useable TON Data?]],RecData[[#This Row],[Turbines ON/OFF]]="ON"),RecData[[#This Row],[dBA Sum]],"")</f>
        <v/>
      </c>
      <c r="DQ738" s="55">
        <f>IF(AND(RecData[[#This Row],[Useable Background Data?]],RecData[[#This Row],[Turbines ON/OFF]]="OFF"),RecData[[#This Row],[dBA Sum]],"")</f>
        <v>16.459639683232432</v>
      </c>
      <c r="DR738" s="3">
        <f>IF(OR(RecData[[#This Row],[Useable TON Data?]],RecData[[#This Row],[Useable Background Data?]]),ROUND(RecData[[#This Row],[WSpd_Avg '[m/s']]],0),"")</f>
        <v>0</v>
      </c>
      <c r="DS738" s="85">
        <f>(0.00002)^2*(10^(RecData[[#This Row],[Overall (dBA)]]/10))</f>
        <v>1.7702066163925773E-8</v>
      </c>
    </row>
    <row r="739" spans="1:123" ht="15" x14ac:dyDescent="0.25">
      <c r="A739" s="3" t="s">
        <v>249</v>
      </c>
      <c r="B739" s="12">
        <v>43272.947916666672</v>
      </c>
      <c r="C739" s="3"/>
      <c r="D739" s="3">
        <v>28.6</v>
      </c>
      <c r="E739" s="3"/>
      <c r="F739" s="3"/>
      <c r="G739" s="3"/>
      <c r="H739" s="3"/>
      <c r="I739" s="3"/>
      <c r="J739" s="3"/>
      <c r="K739" s="3">
        <v>22.6</v>
      </c>
      <c r="L739" s="3"/>
      <c r="M739" s="3"/>
      <c r="N739" s="3">
        <v>145.30000000000001</v>
      </c>
      <c r="O739" s="3"/>
      <c r="P739" s="3"/>
      <c r="Q739" s="3">
        <v>0.46</v>
      </c>
      <c r="R739" s="3">
        <v>0.2</v>
      </c>
      <c r="S739" s="3">
        <v>0.6</v>
      </c>
      <c r="T739" s="3">
        <v>9.1999999999999993</v>
      </c>
      <c r="U739" s="3">
        <v>74</v>
      </c>
      <c r="V739" s="3">
        <v>970.7</v>
      </c>
      <c r="W739" s="3">
        <v>0</v>
      </c>
      <c r="X739" s="3">
        <v>21.7</v>
      </c>
      <c r="Y739" s="3">
        <v>19.600000000000001</v>
      </c>
      <c r="Z739" s="3">
        <v>21.2</v>
      </c>
      <c r="AA739" s="3">
        <v>12.4</v>
      </c>
      <c r="AB739" s="3">
        <v>8</v>
      </c>
      <c r="AC739" s="3">
        <v>5.5</v>
      </c>
      <c r="AD739" s="3">
        <v>7.5</v>
      </c>
      <c r="AE739" s="3">
        <v>7.8</v>
      </c>
      <c r="AF739" s="3">
        <v>14.7</v>
      </c>
      <c r="AG739" s="3">
        <v>8.8000000000000007</v>
      </c>
      <c r="AH739" s="3">
        <v>8.6999999999999993</v>
      </c>
      <c r="AI739" s="3">
        <v>8.1999999999999993</v>
      </c>
      <c r="AJ739" s="3">
        <v>8.9</v>
      </c>
      <c r="AK739" s="3">
        <v>8.8000000000000007</v>
      </c>
      <c r="AL739" s="3">
        <v>8.1</v>
      </c>
      <c r="AM739" s="3">
        <v>8.1</v>
      </c>
      <c r="AN739" s="3">
        <v>8.1</v>
      </c>
      <c r="AO739" s="3">
        <v>7.6</v>
      </c>
      <c r="AP739" s="3">
        <v>6.7</v>
      </c>
      <c r="AQ739" s="3">
        <v>7.1</v>
      </c>
      <c r="AR739" s="3">
        <v>6.3</v>
      </c>
      <c r="AS739" s="3">
        <v>19.100000000000001</v>
      </c>
      <c r="AT739" s="3">
        <v>26.2</v>
      </c>
      <c r="AU739" s="3">
        <v>7.7</v>
      </c>
      <c r="AV739" s="3">
        <v>8.1</v>
      </c>
      <c r="AW739" s="3">
        <v>8.5</v>
      </c>
      <c r="AX739" s="3">
        <v>8.8000000000000007</v>
      </c>
      <c r="AY739" s="3">
        <v>9.1</v>
      </c>
      <c r="AZ739" s="3">
        <v>0</v>
      </c>
      <c r="BA739" s="3">
        <v>0</v>
      </c>
      <c r="BB739" s="3">
        <v>0</v>
      </c>
      <c r="BC739" s="3">
        <v>28.649059623311896</v>
      </c>
      <c r="BD739" s="3">
        <v>21.650940376688101</v>
      </c>
      <c r="BE739" s="3">
        <v>19.550940376688107</v>
      </c>
      <c r="BF739" s="3">
        <v>19.910940376688107</v>
      </c>
      <c r="BG739" s="3">
        <v>11.43760704335477</v>
      </c>
      <c r="BH739" s="3">
        <v>7.1776070433547723</v>
      </c>
      <c r="BI739" s="3">
        <v>5.0909403766881063</v>
      </c>
      <c r="BJ739" s="3">
        <v>7.8842737100214357</v>
      </c>
      <c r="BK739" s="3">
        <v>8.0576070433547677</v>
      </c>
      <c r="BL739" s="3">
        <v>14.530940376688104</v>
      </c>
      <c r="BM739" s="3">
        <v>8.7642737100214454</v>
      </c>
      <c r="BN739" s="3">
        <v>8.9476070433547683</v>
      </c>
      <c r="BO739" s="3">
        <v>7.8142737100214426</v>
      </c>
      <c r="BP739" s="3">
        <v>8.2309403766881069</v>
      </c>
      <c r="BQ739" s="3">
        <v>8.5476070433547626</v>
      </c>
      <c r="BR739" s="3">
        <v>8.174273710021442</v>
      </c>
      <c r="BS739" s="3">
        <v>7.9776070433547694</v>
      </c>
      <c r="BT739" s="3">
        <v>8.174273710021442</v>
      </c>
      <c r="BU739" s="3">
        <v>7.6409403766881105</v>
      </c>
      <c r="BV739" s="3">
        <v>6.4576070433547734</v>
      </c>
      <c r="BW739" s="3">
        <v>7.3909403766881105</v>
      </c>
      <c r="BX739" s="3">
        <v>6.510940376688108</v>
      </c>
      <c r="BY739" s="3">
        <v>19.130940376688105</v>
      </c>
      <c r="BZ739" s="3">
        <v>26.360940376688109</v>
      </c>
      <c r="CA739" s="3">
        <v>7.9609403766880966</v>
      </c>
      <c r="CB739" s="3">
        <v>7.7976070433547697</v>
      </c>
      <c r="CC739" s="3">
        <v>8.4109403766881066</v>
      </c>
      <c r="CD739" s="3">
        <v>8.0176070433547757</v>
      </c>
      <c r="CE739" s="3">
        <v>8.5109403766881009</v>
      </c>
      <c r="CF739" s="3">
        <v>-0.97572628997856015</v>
      </c>
      <c r="CG739" s="3">
        <v>-1.5090596233118916</v>
      </c>
      <c r="CH739" s="3">
        <v>-2.5857262899785596</v>
      </c>
      <c r="CI739" s="13">
        <f>[1]!dbasum(RecData[[#This Row],[20]:[2000]],RecData[[#Headers],[20]:[2000]])</f>
        <v>16.305979276772259</v>
      </c>
      <c r="CJ739" s="14">
        <v>9374</v>
      </c>
      <c r="CK739" s="15" t="s">
        <v>249</v>
      </c>
      <c r="CL739" s="15">
        <f>RecData[[#This Row],[Start Time]]</f>
        <v>43272.947916666672</v>
      </c>
      <c r="CM739" s="16">
        <f>RecData[[#This Row],[Wind Speed avg]]</f>
        <v>0.46</v>
      </c>
      <c r="CN739" s="16">
        <f>RecData[[#This Row],[Wind Dir. avg]]</f>
        <v>145.30000000000001</v>
      </c>
      <c r="CO739" s="16">
        <f>RecData[[#This Row],[Amb. Humidity]]</f>
        <v>74</v>
      </c>
      <c r="CP739" s="16">
        <f>RecData[[#This Row],[Amb. Temperature]]</f>
        <v>9.1999999999999993</v>
      </c>
      <c r="CQ739" s="17">
        <f>RecData[[#This Row],[Amb. Rain Gauge]]</f>
        <v>0</v>
      </c>
      <c r="CR739" s="4" t="s">
        <v>50</v>
      </c>
      <c r="CS739" s="4" t="s">
        <v>49</v>
      </c>
      <c r="CT739" s="70">
        <v>-8.5423507690429599</v>
      </c>
      <c r="CU739" s="70">
        <v>270.00228881835898</v>
      </c>
      <c r="CV739" s="70">
        <v>1.7978998422622601</v>
      </c>
      <c r="CW739" s="70">
        <v>0</v>
      </c>
      <c r="CX739" s="109"/>
      <c r="CY739" s="110"/>
      <c r="CZ739" s="2" t="b">
        <f>IF($DP$1="YES",IF(RecData[[#This Row],[Power (kW)]]&gt;=$CR$3, TRUE,FALSE),TRUE)</f>
        <v>0</v>
      </c>
      <c r="DA739" s="16">
        <f>MIN(MOD(180-ABS(ABS($DA$1-RecData[Yaw Angle (°)])-180),360),MOD(180-ABS(ABS($DB$1-RecData[Yaw Angle (°)])-180),360))</f>
        <v>97.527637959328558</v>
      </c>
      <c r="DB739" s="2" t="str">
        <f>IF($DP$2="None","None",IF(RecData[[#This Row],[Relative Wind Direction]]&lt;=45,"DW",IF(RecData[[#This Row],[Relative Wind Direction]]&lt;=135,"CW","UW")))</f>
        <v>CW</v>
      </c>
      <c r="DC739" s="61">
        <f>IF($CL739-$CL735&gt;1/24,#REF!,IF(SUM($CQ735:$CQ739)&gt;$DS$1,$DS$5,DC740-1))</f>
        <v>-6</v>
      </c>
      <c r="DD739" s="61">
        <f>IF($CL740-$CL739&gt;1/24,#REF!,IF(SUM($CQ735:$CQ739)&gt;$DS$1,$DS$6,DD738-1))</f>
        <v>-5</v>
      </c>
      <c r="DE739" s="18" t="b">
        <v>0</v>
      </c>
      <c r="DF739" s="2" t="b">
        <f>IF(OR(RecData[[#This Row],[WSpd_Avg '[m/s']]]-RecData[[#This Row],[Wind Speed min]]&gt;=$DF$3,RecData[[#This Row],[Wind Speed max]]-RecData[[#This Row],[WSpd_Avg '[m/s']]]&gt;=$DF$2),TRUE,FALSE)</f>
        <v>0</v>
      </c>
      <c r="DG739" s="2" t="b">
        <f>RecData[[#This Row],[Temperature '[°C']]]&lt;=-20</f>
        <v>0</v>
      </c>
      <c r="DH739" s="18" t="b">
        <f>NOT(OR(MOD(RecData[[#This Row],[TIMESTAMP]],1)&gt;0.91632,MOD(RecData[[#This Row],[TIMESTAMP]],1)&lt;0.208681))</f>
        <v>0</v>
      </c>
      <c r="DI739" s="18" t="b">
        <f>RecData[[#This Row],[Overall (dBA)]]-RecData[[#This Row],[L90]]&gt;=$DS$4</f>
        <v>0</v>
      </c>
      <c r="DJ739" s="18" t="b">
        <f>RecData[[#This Row],[Overall (dBA)]]&gt;$DS$2</f>
        <v>0</v>
      </c>
      <c r="DK739" s="18" t="b">
        <f>RecData[[#This Row],[Overall (dBA)]]&lt;$DS$3</f>
        <v>0</v>
      </c>
      <c r="DL7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39" s="2">
        <f>IF(AND(RecData[[#This Row],[Turbines ON/OFF]] = "OFF", NOT(OR(RecData[[#This Row],[Junk?]]="YES",RecData[[#This Row],[Gust?]],RecData[[#This Row],[Rain?]:[Min SPL Threshold?]]))),1,0)</f>
        <v>1</v>
      </c>
      <c r="DN739" s="16">
        <f>RecData[[#This Row],[dBA Sum]]</f>
        <v>16.305979276772259</v>
      </c>
      <c r="DO739" s="16">
        <f>RecData[[#This Row],[LAF90.0]]</f>
        <v>22.6</v>
      </c>
      <c r="DP739" s="55" t="str">
        <f>IF(AND(RecData[[#This Row],[Useable TON Data?]],RecData[[#This Row],[Turbines ON/OFF]]="ON"),RecData[[#This Row],[dBA Sum]],"")</f>
        <v/>
      </c>
      <c r="DQ739" s="55">
        <f>IF(AND(RecData[[#This Row],[Useable Background Data?]],RecData[[#This Row],[Turbines ON/OFF]]="OFF"),RecData[[#This Row],[dBA Sum]],"")</f>
        <v>16.305979276772259</v>
      </c>
      <c r="DR739" s="3">
        <f>IF(OR(RecData[[#This Row],[Useable TON Data?]],RecData[[#This Row],[Useable Background Data?]]),ROUND(RecData[[#This Row],[WSpd_Avg '[m/s']]],0),"")</f>
        <v>0</v>
      </c>
      <c r="DS739" s="85">
        <f>(0.00002)^2*(10^(RecData[[#This Row],[Overall (dBA)]]/10))</f>
        <v>1.7086689166311769E-8</v>
      </c>
    </row>
    <row r="740" spans="1:123" ht="15" x14ac:dyDescent="0.25">
      <c r="A740" s="3" t="s">
        <v>249</v>
      </c>
      <c r="B740" s="12">
        <v>43272.948611111118</v>
      </c>
      <c r="C740" s="3"/>
      <c r="D740" s="3">
        <v>28</v>
      </c>
      <c r="E740" s="3"/>
      <c r="F740" s="3"/>
      <c r="G740" s="3"/>
      <c r="H740" s="3"/>
      <c r="I740" s="3"/>
      <c r="J740" s="3"/>
      <c r="K740" s="3">
        <v>23.5</v>
      </c>
      <c r="L740" s="3"/>
      <c r="M740" s="3"/>
      <c r="N740" s="3">
        <v>158.1</v>
      </c>
      <c r="O740" s="3"/>
      <c r="P740" s="3"/>
      <c r="Q740" s="3">
        <v>0.38</v>
      </c>
      <c r="R740" s="3">
        <v>0.1</v>
      </c>
      <c r="S740" s="3">
        <v>0.6</v>
      </c>
      <c r="T740" s="3">
        <v>9.1999999999999993</v>
      </c>
      <c r="U740" s="3">
        <v>73.599999999999994</v>
      </c>
      <c r="V740" s="3">
        <v>970.7</v>
      </c>
      <c r="W740" s="3">
        <v>0</v>
      </c>
      <c r="X740" s="3">
        <v>21.9</v>
      </c>
      <c r="Y740" s="3">
        <v>18.100000000000001</v>
      </c>
      <c r="Z740" s="3">
        <v>19</v>
      </c>
      <c r="AA740" s="3">
        <v>8.8000000000000007</v>
      </c>
      <c r="AB740" s="3">
        <v>6.9</v>
      </c>
      <c r="AC740" s="3">
        <v>5.8</v>
      </c>
      <c r="AD740" s="3">
        <v>6.9</v>
      </c>
      <c r="AE740" s="3">
        <v>7.8</v>
      </c>
      <c r="AF740" s="3">
        <v>15.6</v>
      </c>
      <c r="AG740" s="3">
        <v>8.6</v>
      </c>
      <c r="AH740" s="3">
        <v>9</v>
      </c>
      <c r="AI740" s="3">
        <v>8.1999999999999993</v>
      </c>
      <c r="AJ740" s="3">
        <v>8.6999999999999993</v>
      </c>
      <c r="AK740" s="3">
        <v>8.9</v>
      </c>
      <c r="AL740" s="3">
        <v>7.6</v>
      </c>
      <c r="AM740" s="3">
        <v>7.9</v>
      </c>
      <c r="AN740" s="3">
        <v>8.1999999999999993</v>
      </c>
      <c r="AO740" s="3">
        <v>7.6</v>
      </c>
      <c r="AP740" s="3">
        <v>6.9</v>
      </c>
      <c r="AQ740" s="3">
        <v>7.2</v>
      </c>
      <c r="AR740" s="3">
        <v>6.7</v>
      </c>
      <c r="AS740" s="3">
        <v>18.899999999999999</v>
      </c>
      <c r="AT740" s="3">
        <v>25.3</v>
      </c>
      <c r="AU740" s="3">
        <v>7.8</v>
      </c>
      <c r="AV740" s="3">
        <v>8.1</v>
      </c>
      <c r="AW740" s="3">
        <v>8.6999999999999993</v>
      </c>
      <c r="AX740" s="3">
        <v>8.9</v>
      </c>
      <c r="AY740" s="3">
        <v>9.1</v>
      </c>
      <c r="AZ740" s="3">
        <v>0</v>
      </c>
      <c r="BA740" s="3">
        <v>0</v>
      </c>
      <c r="BB740" s="3">
        <v>0</v>
      </c>
      <c r="BC740" s="3">
        <v>27.967881242552593</v>
      </c>
      <c r="BD740" s="3">
        <v>21.932118757447405</v>
      </c>
      <c r="BE740" s="3">
        <v>18.132118757447408</v>
      </c>
      <c r="BF740" s="3">
        <v>17.792118757447412</v>
      </c>
      <c r="BG740" s="3">
        <v>7.9187854241140698</v>
      </c>
      <c r="BH740" s="3">
        <v>6.1587854241140789</v>
      </c>
      <c r="BI740" s="3">
        <v>5.4721187574474044</v>
      </c>
      <c r="BJ740" s="3">
        <v>7.3654520907807424</v>
      </c>
      <c r="BK740" s="3">
        <v>8.1387854241140687</v>
      </c>
      <c r="BL740" s="3">
        <v>15.512118757447411</v>
      </c>
      <c r="BM740" s="3">
        <v>8.6454520907807435</v>
      </c>
      <c r="BN740" s="3">
        <v>9.3287854241140735</v>
      </c>
      <c r="BO740" s="3">
        <v>7.8954520907807435</v>
      </c>
      <c r="BP740" s="3">
        <v>8.112118757447405</v>
      </c>
      <c r="BQ740" s="3">
        <v>8.728785424114065</v>
      </c>
      <c r="BR740" s="3">
        <v>7.7554520907807429</v>
      </c>
      <c r="BS740" s="3">
        <v>7.8587854241140747</v>
      </c>
      <c r="BT740" s="3">
        <v>8.3554520907807444</v>
      </c>
      <c r="BU740" s="3">
        <v>7.7221187574474115</v>
      </c>
      <c r="BV740" s="3">
        <v>6.7387854241140772</v>
      </c>
      <c r="BW740" s="3">
        <v>7.5721187574474129</v>
      </c>
      <c r="BX740" s="3">
        <v>6.9921187574474146</v>
      </c>
      <c r="BY740" s="3">
        <v>19.012118757447404</v>
      </c>
      <c r="BZ740" s="3">
        <v>25.542118757447412</v>
      </c>
      <c r="CA740" s="3">
        <v>8.142118757447399</v>
      </c>
      <c r="CB740" s="3">
        <v>7.8787854241140707</v>
      </c>
      <c r="CC740" s="3">
        <v>8.6921187574474033</v>
      </c>
      <c r="CD740" s="3">
        <v>8.1987854241140781</v>
      </c>
      <c r="CE740" s="3">
        <v>8.5921187574474089</v>
      </c>
      <c r="CF740" s="3">
        <v>-0.8945479092192592</v>
      </c>
      <c r="CG740" s="3">
        <v>-1.4278812425525906</v>
      </c>
      <c r="CH740" s="3">
        <v>-2.5045479092192586</v>
      </c>
      <c r="CI740" s="13">
        <f>[1]!dbasum(RecData[[#This Row],[20]:[2000]],RecData[[#Headers],[20]:[2000]])</f>
        <v>16.46173422794352</v>
      </c>
      <c r="CJ740" s="14">
        <v>9375</v>
      </c>
      <c r="CK740" s="15" t="s">
        <v>249</v>
      </c>
      <c r="CL740" s="15">
        <f>RecData[[#This Row],[Start Time]]</f>
        <v>43272.948611111118</v>
      </c>
      <c r="CM740" s="16">
        <f>RecData[[#This Row],[Wind Speed avg]]</f>
        <v>0.38</v>
      </c>
      <c r="CN740" s="16">
        <f>RecData[[#This Row],[Wind Dir. avg]]</f>
        <v>158.1</v>
      </c>
      <c r="CO740" s="16">
        <f>RecData[[#This Row],[Amb. Humidity]]</f>
        <v>73.599999999999994</v>
      </c>
      <c r="CP740" s="16">
        <f>RecData[[#This Row],[Amb. Temperature]]</f>
        <v>9.1999999999999993</v>
      </c>
      <c r="CQ740" s="17">
        <f>RecData[[#This Row],[Amb. Rain Gauge]]</f>
        <v>0</v>
      </c>
      <c r="CR740" s="4" t="s">
        <v>50</v>
      </c>
      <c r="CS740" s="4" t="s">
        <v>49</v>
      </c>
      <c r="CT740" s="70">
        <v>-8.5423507690429599</v>
      </c>
      <c r="CU740" s="70">
        <v>270.00228881835898</v>
      </c>
      <c r="CV740" s="70">
        <v>1.7978998422622601</v>
      </c>
      <c r="CW740" s="70">
        <v>0</v>
      </c>
      <c r="CX740" s="109"/>
      <c r="CY740" s="110"/>
      <c r="CZ740" s="2" t="b">
        <f>IF($DP$1="YES",IF(RecData[[#This Row],[Power (kW)]]&gt;=$CR$3, TRUE,FALSE),TRUE)</f>
        <v>0</v>
      </c>
      <c r="DA740" s="16">
        <f>MIN(MOD(180-ABS(ABS($DA$1-RecData[Yaw Angle (°)])-180),360),MOD(180-ABS(ABS($DB$1-RecData[Yaw Angle (°)])-180),360))</f>
        <v>97.527637959328558</v>
      </c>
      <c r="DB740" s="2" t="str">
        <f>IF($DP$2="None","None",IF(RecData[[#This Row],[Relative Wind Direction]]&lt;=45,"DW",IF(RecData[[#This Row],[Relative Wind Direction]]&lt;=135,"CW","UW")))</f>
        <v>CW</v>
      </c>
      <c r="DC740" s="61">
        <f>IF($CL740-$CL736&gt;1/24,#REF!,IF(SUM($CQ736:$CQ740)&gt;$DS$1,$DS$5,DC741-1))</f>
        <v>-5</v>
      </c>
      <c r="DD740" s="61">
        <f>IF($CL741-$CL740&gt;1/24,#REF!,IF(SUM($CQ736:$CQ740)&gt;$DS$1,$DS$6,DD739-1))</f>
        <v>-6</v>
      </c>
      <c r="DE740" s="18" t="b">
        <v>0</v>
      </c>
      <c r="DF740" s="2" t="b">
        <f>IF(OR(RecData[[#This Row],[WSpd_Avg '[m/s']]]-RecData[[#This Row],[Wind Speed min]]&gt;=$DF$3,RecData[[#This Row],[Wind Speed max]]-RecData[[#This Row],[WSpd_Avg '[m/s']]]&gt;=$DF$2),TRUE,FALSE)</f>
        <v>0</v>
      </c>
      <c r="DG740" s="2" t="b">
        <f>RecData[[#This Row],[Temperature '[°C']]]&lt;=-20</f>
        <v>0</v>
      </c>
      <c r="DH740" s="18" t="b">
        <f>NOT(OR(MOD(RecData[[#This Row],[TIMESTAMP]],1)&gt;0.91632,MOD(RecData[[#This Row],[TIMESTAMP]],1)&lt;0.208681))</f>
        <v>0</v>
      </c>
      <c r="DI740" s="18" t="b">
        <f>RecData[[#This Row],[Overall (dBA)]]-RecData[[#This Row],[L90]]&gt;=$DS$4</f>
        <v>0</v>
      </c>
      <c r="DJ740" s="18" t="b">
        <f>RecData[[#This Row],[Overall (dBA)]]&gt;$DS$2</f>
        <v>0</v>
      </c>
      <c r="DK740" s="18" t="b">
        <f>RecData[[#This Row],[Overall (dBA)]]&lt;$DS$3</f>
        <v>0</v>
      </c>
      <c r="DL7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0" s="2">
        <f>IF(AND(RecData[[#This Row],[Turbines ON/OFF]] = "OFF", NOT(OR(RecData[[#This Row],[Junk?]]="YES",RecData[[#This Row],[Gust?]],RecData[[#This Row],[Rain?]:[Min SPL Threshold?]]))),1,0)</f>
        <v>1</v>
      </c>
      <c r="DN740" s="16">
        <f>RecData[[#This Row],[dBA Sum]]</f>
        <v>16.46173422794352</v>
      </c>
      <c r="DO740" s="16">
        <f>RecData[[#This Row],[LAF90.0]]</f>
        <v>23.5</v>
      </c>
      <c r="DP740" s="55" t="str">
        <f>IF(AND(RecData[[#This Row],[Useable TON Data?]],RecData[[#This Row],[Turbines ON/OFF]]="ON"),RecData[[#This Row],[dBA Sum]],"")</f>
        <v/>
      </c>
      <c r="DQ740" s="55">
        <f>IF(AND(RecData[[#This Row],[Useable Background Data?]],RecData[[#This Row],[Turbines ON/OFF]]="OFF"),RecData[[#This Row],[dBA Sum]],"")</f>
        <v>16.46173422794352</v>
      </c>
      <c r="DR740" s="3">
        <f>IF(OR(RecData[[#This Row],[Useable TON Data?]],RecData[[#This Row],[Useable Background Data?]]),ROUND(RecData[[#This Row],[WSpd_Avg '[m/s']]],0),"")</f>
        <v>0</v>
      </c>
      <c r="DS740" s="85">
        <f>(0.00002)^2*(10^(RecData[[#This Row],[Overall (dBA)]]/10))</f>
        <v>1.7710605694843191E-8</v>
      </c>
    </row>
    <row r="741" spans="1:123" ht="15" x14ac:dyDescent="0.25">
      <c r="A741" s="3" t="s">
        <v>249</v>
      </c>
      <c r="B741" s="12">
        <v>43272.949305555558</v>
      </c>
      <c r="C741" s="3"/>
      <c r="D741" s="3">
        <v>29</v>
      </c>
      <c r="E741" s="3"/>
      <c r="F741" s="3"/>
      <c r="G741" s="3"/>
      <c r="H741" s="3"/>
      <c r="I741" s="3"/>
      <c r="J741" s="3"/>
      <c r="K741" s="3">
        <v>22.3</v>
      </c>
      <c r="L741" s="3"/>
      <c r="M741" s="3"/>
      <c r="N741" s="3">
        <v>148.6</v>
      </c>
      <c r="O741" s="3"/>
      <c r="P741" s="3"/>
      <c r="Q741" s="3">
        <v>0.32</v>
      </c>
      <c r="R741" s="3">
        <v>0.2</v>
      </c>
      <c r="S741" s="3">
        <v>0.5</v>
      </c>
      <c r="T741" s="3">
        <v>9.1999999999999993</v>
      </c>
      <c r="U741" s="3">
        <v>74.2</v>
      </c>
      <c r="V741" s="3">
        <v>970.7</v>
      </c>
      <c r="W741" s="3">
        <v>0</v>
      </c>
      <c r="X741" s="3">
        <v>23.1</v>
      </c>
      <c r="Y741" s="3">
        <v>19.8</v>
      </c>
      <c r="Z741" s="3">
        <v>20</v>
      </c>
      <c r="AA741" s="3">
        <v>13.7</v>
      </c>
      <c r="AB741" s="3">
        <v>9.6999999999999993</v>
      </c>
      <c r="AC741" s="3">
        <v>6.8</v>
      </c>
      <c r="AD741" s="3">
        <v>7.4</v>
      </c>
      <c r="AE741" s="3">
        <v>8.1999999999999993</v>
      </c>
      <c r="AF741" s="3">
        <v>15.1</v>
      </c>
      <c r="AG741" s="3">
        <v>9.1999999999999993</v>
      </c>
      <c r="AH741" s="3">
        <v>9.6</v>
      </c>
      <c r="AI741" s="3">
        <v>8.5</v>
      </c>
      <c r="AJ741" s="3">
        <v>9.3000000000000007</v>
      </c>
      <c r="AK741" s="3">
        <v>9.5</v>
      </c>
      <c r="AL741" s="3">
        <v>8</v>
      </c>
      <c r="AM741" s="3">
        <v>8.1999999999999993</v>
      </c>
      <c r="AN741" s="3">
        <v>8.4</v>
      </c>
      <c r="AO741" s="3">
        <v>7.7</v>
      </c>
      <c r="AP741" s="3">
        <v>7</v>
      </c>
      <c r="AQ741" s="3">
        <v>7.5</v>
      </c>
      <c r="AR741" s="3">
        <v>6.8</v>
      </c>
      <c r="AS741" s="3">
        <v>18.899999999999999</v>
      </c>
      <c r="AT741" s="3">
        <v>26.7</v>
      </c>
      <c r="AU741" s="3">
        <v>8</v>
      </c>
      <c r="AV741" s="3">
        <v>8.1999999999999993</v>
      </c>
      <c r="AW741" s="3">
        <v>8.8000000000000007</v>
      </c>
      <c r="AX741" s="3">
        <v>9</v>
      </c>
      <c r="AY741" s="3">
        <v>9.1999999999999993</v>
      </c>
      <c r="AZ741" s="3">
        <v>0</v>
      </c>
      <c r="BA741" s="3">
        <v>0</v>
      </c>
      <c r="BB741" s="3">
        <v>0</v>
      </c>
      <c r="BC741" s="3">
        <v>29.028247267534514</v>
      </c>
      <c r="BD741" s="3">
        <v>23.071752732465487</v>
      </c>
      <c r="BE741" s="3">
        <v>19.771752732465483</v>
      </c>
      <c r="BF741" s="3">
        <v>18.731752732465491</v>
      </c>
      <c r="BG741" s="3">
        <v>12.758419399132148</v>
      </c>
      <c r="BH741" s="3">
        <v>8.8984193991321554</v>
      </c>
      <c r="BI741" s="3">
        <v>6.4117527324654837</v>
      </c>
      <c r="BJ741" s="3">
        <v>7.8050860657988217</v>
      </c>
      <c r="BK741" s="3">
        <v>8.4784193991321466</v>
      </c>
      <c r="BL741" s="3">
        <v>14.95175273246549</v>
      </c>
      <c r="BM741" s="3">
        <v>9.1850860657988243</v>
      </c>
      <c r="BN741" s="3">
        <v>9.8684193991321543</v>
      </c>
      <c r="BO741" s="3">
        <v>8.13508606579882</v>
      </c>
      <c r="BP741" s="3">
        <v>8.6517527324654857</v>
      </c>
      <c r="BQ741" s="3">
        <v>9.2684193991321457</v>
      </c>
      <c r="BR741" s="3">
        <v>8.0950860657988208</v>
      </c>
      <c r="BS741" s="3">
        <v>8.0984193991321511</v>
      </c>
      <c r="BT741" s="3">
        <v>8.4950860657988194</v>
      </c>
      <c r="BU741" s="3">
        <v>7.7617527324654922</v>
      </c>
      <c r="BV741" s="3">
        <v>6.7784193991321509</v>
      </c>
      <c r="BW741" s="3">
        <v>7.8117527324654894</v>
      </c>
      <c r="BX741" s="3">
        <v>7.0317527324654883</v>
      </c>
      <c r="BY741" s="3">
        <v>18.951752732465483</v>
      </c>
      <c r="BZ741" s="3">
        <v>26.88175273246549</v>
      </c>
      <c r="CA741" s="3">
        <v>8.2817527324654812</v>
      </c>
      <c r="CB741" s="3">
        <v>7.9184193991321514</v>
      </c>
      <c r="CC741" s="3">
        <v>8.731752732465484</v>
      </c>
      <c r="CD741" s="3">
        <v>8.2384193991321588</v>
      </c>
      <c r="CE741" s="3">
        <v>8.6317527324654826</v>
      </c>
      <c r="CF741" s="3">
        <v>-0.95491393420117987</v>
      </c>
      <c r="CG741" s="3">
        <v>-1.4882472675345113</v>
      </c>
      <c r="CH741" s="3">
        <v>-2.5649139342011793</v>
      </c>
      <c r="CI741" s="13">
        <f>[1]!dbasum(RecData[[#This Row],[20]:[2000]],RecData[[#Headers],[20]:[2000]])</f>
        <v>16.637569340282322</v>
      </c>
      <c r="CJ741" s="14">
        <v>9376</v>
      </c>
      <c r="CK741" s="15" t="s">
        <v>249</v>
      </c>
      <c r="CL741" s="15">
        <f>RecData[[#This Row],[Start Time]]</f>
        <v>43272.949305555558</v>
      </c>
      <c r="CM741" s="16">
        <f>RecData[[#This Row],[Wind Speed avg]]</f>
        <v>0.32</v>
      </c>
      <c r="CN741" s="16">
        <f>RecData[[#This Row],[Wind Dir. avg]]</f>
        <v>148.6</v>
      </c>
      <c r="CO741" s="16">
        <f>RecData[[#This Row],[Amb. Humidity]]</f>
        <v>74.2</v>
      </c>
      <c r="CP741" s="16">
        <f>RecData[[#This Row],[Amb. Temperature]]</f>
        <v>9.1999999999999993</v>
      </c>
      <c r="CQ741" s="17">
        <f>RecData[[#This Row],[Amb. Rain Gauge]]</f>
        <v>0</v>
      </c>
      <c r="CR741" s="4" t="s">
        <v>50</v>
      </c>
      <c r="CS741" s="4" t="s">
        <v>49</v>
      </c>
      <c r="CT741" s="70">
        <v>-8.5423507690429599</v>
      </c>
      <c r="CU741" s="70">
        <v>270.00228881835898</v>
      </c>
      <c r="CV741" s="70">
        <v>1.7978998422622601</v>
      </c>
      <c r="CW741" s="70">
        <v>0</v>
      </c>
      <c r="CX741" s="109"/>
      <c r="CY741" s="110"/>
      <c r="CZ741" s="2" t="b">
        <f>IF($DP$1="YES",IF(RecData[[#This Row],[Power (kW)]]&gt;=$CR$3, TRUE,FALSE),TRUE)</f>
        <v>0</v>
      </c>
      <c r="DA741" s="16">
        <f>MIN(MOD(180-ABS(ABS($DA$1-RecData[Yaw Angle (°)])-180),360),MOD(180-ABS(ABS($DB$1-RecData[Yaw Angle (°)])-180),360))</f>
        <v>97.527637959328558</v>
      </c>
      <c r="DB741" s="2" t="str">
        <f>IF($DP$2="None","None",IF(RecData[[#This Row],[Relative Wind Direction]]&lt;=45,"DW",IF(RecData[[#This Row],[Relative Wind Direction]]&lt;=135,"CW","UW")))</f>
        <v>CW</v>
      </c>
      <c r="DC741" s="61">
        <f>IF($CL741-$CL737&gt;1/24,#REF!,IF(SUM($CQ737:$CQ741)&gt;$DS$1,$DS$5,DC742-1))</f>
        <v>-4</v>
      </c>
      <c r="DD741" s="61">
        <f>IF($CL742-$CL741&gt;1/24,#REF!,IF(SUM($CQ737:$CQ741)&gt;$DS$1,$DS$6,DD740-1))</f>
        <v>-7</v>
      </c>
      <c r="DE741" s="18" t="b">
        <v>0</v>
      </c>
      <c r="DF741" s="2" t="b">
        <f>IF(OR(RecData[[#This Row],[WSpd_Avg '[m/s']]]-RecData[[#This Row],[Wind Speed min]]&gt;=$DF$3,RecData[[#This Row],[Wind Speed max]]-RecData[[#This Row],[WSpd_Avg '[m/s']]]&gt;=$DF$2),TRUE,FALSE)</f>
        <v>0</v>
      </c>
      <c r="DG741" s="2" t="b">
        <f>RecData[[#This Row],[Temperature '[°C']]]&lt;=-20</f>
        <v>0</v>
      </c>
      <c r="DH741" s="18" t="b">
        <f>NOT(OR(MOD(RecData[[#This Row],[TIMESTAMP]],1)&gt;0.91632,MOD(RecData[[#This Row],[TIMESTAMP]],1)&lt;0.208681))</f>
        <v>0</v>
      </c>
      <c r="DI741" s="18" t="b">
        <f>RecData[[#This Row],[Overall (dBA)]]-RecData[[#This Row],[L90]]&gt;=$DS$4</f>
        <v>0</v>
      </c>
      <c r="DJ741" s="18" t="b">
        <f>RecData[[#This Row],[Overall (dBA)]]&gt;$DS$2</f>
        <v>0</v>
      </c>
      <c r="DK741" s="18" t="b">
        <f>RecData[[#This Row],[Overall (dBA)]]&lt;$DS$3</f>
        <v>0</v>
      </c>
      <c r="DL7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1" s="2">
        <f>IF(AND(RecData[[#This Row],[Turbines ON/OFF]] = "OFF", NOT(OR(RecData[[#This Row],[Junk?]]="YES",RecData[[#This Row],[Gust?]],RecData[[#This Row],[Rain?]:[Min SPL Threshold?]]))),1,0)</f>
        <v>1</v>
      </c>
      <c r="DN741" s="16">
        <f>RecData[[#This Row],[dBA Sum]]</f>
        <v>16.637569340282322</v>
      </c>
      <c r="DO741" s="16">
        <f>RecData[[#This Row],[LAF90.0]]</f>
        <v>22.3</v>
      </c>
      <c r="DP741" s="55" t="str">
        <f>IF(AND(RecData[[#This Row],[Useable TON Data?]],RecData[[#This Row],[Turbines ON/OFF]]="ON"),RecData[[#This Row],[dBA Sum]],"")</f>
        <v/>
      </c>
      <c r="DQ741" s="55">
        <f>IF(AND(RecData[[#This Row],[Useable Background Data?]],RecData[[#This Row],[Turbines ON/OFF]]="OFF"),RecData[[#This Row],[dBA Sum]],"")</f>
        <v>16.637569340282322</v>
      </c>
      <c r="DR741" s="3">
        <f>IF(OR(RecData[[#This Row],[Useable TON Data?]],RecData[[#This Row],[Useable Background Data?]]),ROUND(RecData[[#This Row],[WSpd_Avg '[m/s']]],0),"")</f>
        <v>0</v>
      </c>
      <c r="DS741" s="85">
        <f>(0.00002)^2*(10^(RecData[[#This Row],[Overall (dBA)]]/10))</f>
        <v>1.8442378261614416E-8</v>
      </c>
    </row>
    <row r="742" spans="1:123" ht="15" x14ac:dyDescent="0.25">
      <c r="A742" s="3" t="s">
        <v>249</v>
      </c>
      <c r="B742" s="12">
        <v>43272.950000000004</v>
      </c>
      <c r="C742" s="3"/>
      <c r="D742" s="3">
        <v>29.4</v>
      </c>
      <c r="E742" s="3"/>
      <c r="F742" s="3"/>
      <c r="G742" s="3"/>
      <c r="H742" s="3"/>
      <c r="I742" s="3"/>
      <c r="J742" s="3"/>
      <c r="K742" s="3">
        <v>22</v>
      </c>
      <c r="L742" s="3"/>
      <c r="M742" s="3"/>
      <c r="N742" s="3">
        <v>156.6</v>
      </c>
      <c r="O742" s="3"/>
      <c r="P742" s="3"/>
      <c r="Q742" s="3">
        <v>0.49</v>
      </c>
      <c r="R742" s="3">
        <v>0.4</v>
      </c>
      <c r="S742" s="3">
        <v>0.6</v>
      </c>
      <c r="T742" s="3">
        <v>9.1999999999999993</v>
      </c>
      <c r="U742" s="3">
        <v>72.400000000000006</v>
      </c>
      <c r="V742" s="3">
        <v>970.7</v>
      </c>
      <c r="W742" s="3">
        <v>0</v>
      </c>
      <c r="X742" s="3">
        <v>22.4</v>
      </c>
      <c r="Y742" s="3">
        <v>20</v>
      </c>
      <c r="Z742" s="3">
        <v>19</v>
      </c>
      <c r="AA742" s="3">
        <v>10</v>
      </c>
      <c r="AB742" s="3">
        <v>7.3</v>
      </c>
      <c r="AC742" s="3">
        <v>5.3</v>
      </c>
      <c r="AD742" s="3">
        <v>8.5</v>
      </c>
      <c r="AE742" s="3">
        <v>10.6</v>
      </c>
      <c r="AF742" s="3">
        <v>14.9</v>
      </c>
      <c r="AG742" s="3">
        <v>9.1999999999999993</v>
      </c>
      <c r="AH742" s="3">
        <v>8.4</v>
      </c>
      <c r="AI742" s="3">
        <v>8.3000000000000007</v>
      </c>
      <c r="AJ742" s="3">
        <v>9.4</v>
      </c>
      <c r="AK742" s="3">
        <v>8.8000000000000007</v>
      </c>
      <c r="AL742" s="3">
        <v>7.7</v>
      </c>
      <c r="AM742" s="3">
        <v>7.7</v>
      </c>
      <c r="AN742" s="3">
        <v>8.1</v>
      </c>
      <c r="AO742" s="3">
        <v>7.6</v>
      </c>
      <c r="AP742" s="3">
        <v>7</v>
      </c>
      <c r="AQ742" s="3">
        <v>6.9</v>
      </c>
      <c r="AR742" s="3">
        <v>6.1</v>
      </c>
      <c r="AS742" s="3">
        <v>19.899999999999999</v>
      </c>
      <c r="AT742" s="3">
        <v>27</v>
      </c>
      <c r="AU742" s="3">
        <v>7.7</v>
      </c>
      <c r="AV742" s="3">
        <v>8</v>
      </c>
      <c r="AW742" s="3">
        <v>8.5</v>
      </c>
      <c r="AX742" s="3">
        <v>8.8000000000000007</v>
      </c>
      <c r="AY742" s="3">
        <v>9.1</v>
      </c>
      <c r="AZ742" s="3">
        <v>0</v>
      </c>
      <c r="BA742" s="3">
        <v>0</v>
      </c>
      <c r="BB742" s="3">
        <v>0</v>
      </c>
      <c r="BC742" s="3">
        <v>29.370776169388769</v>
      </c>
      <c r="BD742" s="3">
        <v>22.429223830611228</v>
      </c>
      <c r="BE742" s="3">
        <v>20.02922383061123</v>
      </c>
      <c r="BF742" s="3">
        <v>17.789223830611228</v>
      </c>
      <c r="BG742" s="3">
        <v>9.1158904972778956</v>
      </c>
      <c r="BH742" s="3">
        <v>6.5558904972779004</v>
      </c>
      <c r="BI742" s="3">
        <v>4.9692238306112273</v>
      </c>
      <c r="BJ742" s="3">
        <v>8.9625571639445596</v>
      </c>
      <c r="BK742" s="3">
        <v>10.935890497277889</v>
      </c>
      <c r="BL742" s="3">
        <v>14.809223830611231</v>
      </c>
      <c r="BM742" s="3">
        <v>9.2425571639445607</v>
      </c>
      <c r="BN742" s="3">
        <v>8.725890497277895</v>
      </c>
      <c r="BO742" s="3">
        <v>7.9925571639445678</v>
      </c>
      <c r="BP742" s="3">
        <v>8.8092238306112307</v>
      </c>
      <c r="BQ742" s="3">
        <v>8.6258904972778865</v>
      </c>
      <c r="BR742" s="3">
        <v>7.8525571639445673</v>
      </c>
      <c r="BS742" s="3">
        <v>7.6558904972778947</v>
      </c>
      <c r="BT742" s="3">
        <v>8.2525571639445658</v>
      </c>
      <c r="BU742" s="3">
        <v>7.7192238306112344</v>
      </c>
      <c r="BV742" s="3">
        <v>6.8358904972778944</v>
      </c>
      <c r="BW742" s="3">
        <v>7.2692238306112316</v>
      </c>
      <c r="BX742" s="3">
        <v>6.3892238306112361</v>
      </c>
      <c r="BY742" s="3">
        <v>20.009223830611226</v>
      </c>
      <c r="BZ742" s="3">
        <v>27.23922383061123</v>
      </c>
      <c r="CA742" s="3">
        <v>8.0392238306112205</v>
      </c>
      <c r="CB742" s="3">
        <v>7.7758904972778922</v>
      </c>
      <c r="CC742" s="3">
        <v>8.4892238306112304</v>
      </c>
      <c r="CD742" s="3">
        <v>8.0958904972778996</v>
      </c>
      <c r="CE742" s="3">
        <v>8.5892238306112247</v>
      </c>
      <c r="CF742" s="3">
        <v>-0.89744283605543629</v>
      </c>
      <c r="CG742" s="3">
        <v>-1.4307761693887677</v>
      </c>
      <c r="CH742" s="3">
        <v>-2.5074428360554357</v>
      </c>
      <c r="CI742" s="13">
        <f>[1]!dbasum(RecData[[#This Row],[20]:[2000]],RecData[[#Headers],[20]:[2000]])</f>
        <v>16.327710360342216</v>
      </c>
      <c r="CJ742" s="14">
        <v>9377</v>
      </c>
      <c r="CK742" s="15" t="s">
        <v>249</v>
      </c>
      <c r="CL742" s="15">
        <f>RecData[[#This Row],[Start Time]]</f>
        <v>43272.950000000004</v>
      </c>
      <c r="CM742" s="16">
        <f>RecData[[#This Row],[Wind Speed avg]]</f>
        <v>0.49</v>
      </c>
      <c r="CN742" s="16">
        <f>RecData[[#This Row],[Wind Dir. avg]]</f>
        <v>156.6</v>
      </c>
      <c r="CO742" s="16">
        <f>RecData[[#This Row],[Amb. Humidity]]</f>
        <v>72.400000000000006</v>
      </c>
      <c r="CP742" s="16">
        <f>RecData[[#This Row],[Amb. Temperature]]</f>
        <v>9.1999999999999993</v>
      </c>
      <c r="CQ742" s="17">
        <f>RecData[[#This Row],[Amb. Rain Gauge]]</f>
        <v>0</v>
      </c>
      <c r="CR742" s="4" t="s">
        <v>50</v>
      </c>
      <c r="CS742" s="4" t="s">
        <v>49</v>
      </c>
      <c r="CT742" s="70">
        <v>-8.5423507690429599</v>
      </c>
      <c r="CU742" s="70">
        <v>270.00228881835898</v>
      </c>
      <c r="CV742" s="70">
        <v>1.7978998422622601</v>
      </c>
      <c r="CW742" s="70">
        <v>0</v>
      </c>
      <c r="CX742" s="109"/>
      <c r="CY742" s="110"/>
      <c r="CZ742" s="2" t="b">
        <f>IF($DP$1="YES",IF(RecData[[#This Row],[Power (kW)]]&gt;=$CR$3, TRUE,FALSE),TRUE)</f>
        <v>0</v>
      </c>
      <c r="DA742" s="16">
        <f>MIN(MOD(180-ABS(ABS($DA$1-RecData[Yaw Angle (°)])-180),360),MOD(180-ABS(ABS($DB$1-RecData[Yaw Angle (°)])-180),360))</f>
        <v>97.527637959328558</v>
      </c>
      <c r="DB742" s="2" t="str">
        <f>IF($DP$2="None","None",IF(RecData[[#This Row],[Relative Wind Direction]]&lt;=45,"DW",IF(RecData[[#This Row],[Relative Wind Direction]]&lt;=135,"CW","UW")))</f>
        <v>CW</v>
      </c>
      <c r="DC742" s="61">
        <f>IF($CL742-$CL738&gt;1/24,#REF!,IF(SUM($CQ738:$CQ742)&gt;$DS$1,$DS$5,DC743-1))</f>
        <v>-3</v>
      </c>
      <c r="DD742" s="61">
        <f>IF($CL743-$CL742&gt;1/24,#REF!,IF(SUM($CQ738:$CQ742)&gt;$DS$1,$DS$6,DD741-1))</f>
        <v>-8</v>
      </c>
      <c r="DE742" s="18" t="b">
        <v>0</v>
      </c>
      <c r="DF742" s="2" t="b">
        <f>IF(OR(RecData[[#This Row],[WSpd_Avg '[m/s']]]-RecData[[#This Row],[Wind Speed min]]&gt;=$DF$3,RecData[[#This Row],[Wind Speed max]]-RecData[[#This Row],[WSpd_Avg '[m/s']]]&gt;=$DF$2),TRUE,FALSE)</f>
        <v>0</v>
      </c>
      <c r="DG742" s="2" t="b">
        <f>RecData[[#This Row],[Temperature '[°C']]]&lt;=-20</f>
        <v>0</v>
      </c>
      <c r="DH742" s="18" t="b">
        <f>NOT(OR(MOD(RecData[[#This Row],[TIMESTAMP]],1)&gt;0.91632,MOD(RecData[[#This Row],[TIMESTAMP]],1)&lt;0.208681))</f>
        <v>0</v>
      </c>
      <c r="DI742" s="18" t="b">
        <f>RecData[[#This Row],[Overall (dBA)]]-RecData[[#This Row],[L90]]&gt;=$DS$4</f>
        <v>0</v>
      </c>
      <c r="DJ742" s="18" t="b">
        <f>RecData[[#This Row],[Overall (dBA)]]&gt;$DS$2</f>
        <v>0</v>
      </c>
      <c r="DK742" s="18" t="b">
        <f>RecData[[#This Row],[Overall (dBA)]]&lt;$DS$3</f>
        <v>0</v>
      </c>
      <c r="DL7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2" s="2">
        <f>IF(AND(RecData[[#This Row],[Turbines ON/OFF]] = "OFF", NOT(OR(RecData[[#This Row],[Junk?]]="YES",RecData[[#This Row],[Gust?]],RecData[[#This Row],[Rain?]:[Min SPL Threshold?]]))),1,0)</f>
        <v>1</v>
      </c>
      <c r="DN742" s="16">
        <f>RecData[[#This Row],[dBA Sum]]</f>
        <v>16.327710360342216</v>
      </c>
      <c r="DO742" s="16">
        <f>RecData[[#This Row],[LAF90.0]]</f>
        <v>22</v>
      </c>
      <c r="DP742" s="55" t="str">
        <f>IF(AND(RecData[[#This Row],[Useable TON Data?]],RecData[[#This Row],[Turbines ON/OFF]]="ON"),RecData[[#This Row],[dBA Sum]],"")</f>
        <v/>
      </c>
      <c r="DQ742" s="55">
        <f>IF(AND(RecData[[#This Row],[Useable Background Data?]],RecData[[#This Row],[Turbines ON/OFF]]="OFF"),RecData[[#This Row],[dBA Sum]],"")</f>
        <v>16.327710360342216</v>
      </c>
      <c r="DR742" s="3">
        <f>IF(OR(RecData[[#This Row],[Useable TON Data?]],RecData[[#This Row],[Useable Background Data?]]),ROUND(RecData[[#This Row],[WSpd_Avg '[m/s']]],0),"")</f>
        <v>0</v>
      </c>
      <c r="DS742" s="85">
        <f>(0.00002)^2*(10^(RecData[[#This Row],[Overall (dBA)]]/10))</f>
        <v>1.7172401238914572E-8</v>
      </c>
    </row>
    <row r="743" spans="1:123" ht="15" x14ac:dyDescent="0.25">
      <c r="A743" s="3" t="s">
        <v>249</v>
      </c>
      <c r="B743" s="12">
        <v>43272.950694444451</v>
      </c>
      <c r="C743" s="3"/>
      <c r="D743" s="3">
        <v>30.2</v>
      </c>
      <c r="E743" s="3"/>
      <c r="F743" s="3"/>
      <c r="G743" s="3"/>
      <c r="H743" s="3"/>
      <c r="I743" s="3"/>
      <c r="J743" s="3"/>
      <c r="K743" s="3">
        <v>22.5</v>
      </c>
      <c r="L743" s="3"/>
      <c r="M743" s="3"/>
      <c r="N743" s="3">
        <v>148.69999999999999</v>
      </c>
      <c r="O743" s="3"/>
      <c r="P743" s="3"/>
      <c r="Q743" s="3">
        <v>0.45</v>
      </c>
      <c r="R743" s="3">
        <v>0.3</v>
      </c>
      <c r="S743" s="3">
        <v>0.6</v>
      </c>
      <c r="T743" s="3">
        <v>9.1</v>
      </c>
      <c r="U743" s="3">
        <v>71.5</v>
      </c>
      <c r="V743" s="3">
        <v>970.7</v>
      </c>
      <c r="W743" s="3">
        <v>0</v>
      </c>
      <c r="X743" s="3">
        <v>23.6</v>
      </c>
      <c r="Y743" s="3">
        <v>20.2</v>
      </c>
      <c r="Z743" s="3">
        <v>18.8</v>
      </c>
      <c r="AA743" s="3">
        <v>10.5</v>
      </c>
      <c r="AB743" s="3">
        <v>6.6</v>
      </c>
      <c r="AC743" s="3">
        <v>4.9000000000000004</v>
      </c>
      <c r="AD743" s="3">
        <v>7.9</v>
      </c>
      <c r="AE743" s="3">
        <v>14.5</v>
      </c>
      <c r="AF743" s="3">
        <v>15</v>
      </c>
      <c r="AG743" s="3">
        <v>11.1</v>
      </c>
      <c r="AH743" s="3">
        <v>9.4</v>
      </c>
      <c r="AI743" s="3">
        <v>8.4</v>
      </c>
      <c r="AJ743" s="3">
        <v>9.8000000000000007</v>
      </c>
      <c r="AK743" s="3">
        <v>9.3000000000000007</v>
      </c>
      <c r="AL743" s="3">
        <v>7.9</v>
      </c>
      <c r="AM743" s="3">
        <v>7.6</v>
      </c>
      <c r="AN743" s="3">
        <v>8</v>
      </c>
      <c r="AO743" s="3">
        <v>7.7</v>
      </c>
      <c r="AP743" s="3">
        <v>6.9</v>
      </c>
      <c r="AQ743" s="3">
        <v>7.3</v>
      </c>
      <c r="AR743" s="3">
        <v>6.4</v>
      </c>
      <c r="AS743" s="3">
        <v>19.100000000000001</v>
      </c>
      <c r="AT743" s="3">
        <v>28.1</v>
      </c>
      <c r="AU743" s="3">
        <v>7.9</v>
      </c>
      <c r="AV743" s="3">
        <v>8</v>
      </c>
      <c r="AW743" s="3">
        <v>8.6</v>
      </c>
      <c r="AX743" s="3">
        <v>8.9</v>
      </c>
      <c r="AY743" s="3">
        <v>9.1</v>
      </c>
      <c r="AZ743" s="3">
        <v>0</v>
      </c>
      <c r="BA743" s="3">
        <v>0</v>
      </c>
      <c r="BB743" s="3">
        <v>0</v>
      </c>
      <c r="BC743" s="3">
        <v>30.153960706305693</v>
      </c>
      <c r="BD743" s="3">
        <v>23.646039293694304</v>
      </c>
      <c r="BE743" s="3">
        <v>20.246039293694306</v>
      </c>
      <c r="BF743" s="3">
        <v>17.606039293694312</v>
      </c>
      <c r="BG743" s="3">
        <v>9.632705960360969</v>
      </c>
      <c r="BH743" s="3">
        <v>5.8727059603609781</v>
      </c>
      <c r="BI743" s="3">
        <v>4.5860392936943093</v>
      </c>
      <c r="BJ743" s="3">
        <v>8.3793726270276387</v>
      </c>
      <c r="BK743" s="3">
        <v>14.852705960360968</v>
      </c>
      <c r="BL743" s="3">
        <v>14.926039293694306</v>
      </c>
      <c r="BM743" s="3">
        <v>11.15937262702764</v>
      </c>
      <c r="BN743" s="3">
        <v>9.7427059603609756</v>
      </c>
      <c r="BO743" s="3">
        <v>8.1093726270276427</v>
      </c>
      <c r="BP743" s="3">
        <v>9.2260392936943099</v>
      </c>
      <c r="BQ743" s="3">
        <v>9.1427059603609671</v>
      </c>
      <c r="BR743" s="3">
        <v>8.0693726270276436</v>
      </c>
      <c r="BS743" s="3">
        <v>7.5727059603609739</v>
      </c>
      <c r="BT743" s="3">
        <v>8.169372627027645</v>
      </c>
      <c r="BU743" s="3">
        <v>7.8360392936943093</v>
      </c>
      <c r="BV743" s="3">
        <v>6.7527059603609736</v>
      </c>
      <c r="BW743" s="3">
        <v>7.6860392936943107</v>
      </c>
      <c r="BX743" s="3">
        <v>6.7060392936943138</v>
      </c>
      <c r="BY743" s="3">
        <v>19.226039293694303</v>
      </c>
      <c r="BZ743" s="3">
        <v>28.356039293694312</v>
      </c>
      <c r="CA743" s="3">
        <v>8.2560392936943039</v>
      </c>
      <c r="CB743" s="3">
        <v>7.7927059603609727</v>
      </c>
      <c r="CC743" s="3">
        <v>8.6060392936943053</v>
      </c>
      <c r="CD743" s="3">
        <v>8.2127059603609815</v>
      </c>
      <c r="CE743" s="3">
        <v>8.6060392936943053</v>
      </c>
      <c r="CF743" s="3">
        <v>-0.88062737297235927</v>
      </c>
      <c r="CG743" s="3">
        <v>-1.4139607063056907</v>
      </c>
      <c r="CH743" s="3">
        <v>-2.4906273729723587</v>
      </c>
      <c r="CI743" s="13">
        <f>[1]!dbasum(RecData[[#This Row],[20]:[2000]],RecData[[#Headers],[20]:[2000]])</f>
        <v>16.549413862597049</v>
      </c>
      <c r="CJ743" s="14">
        <v>9378</v>
      </c>
      <c r="CK743" s="15" t="s">
        <v>249</v>
      </c>
      <c r="CL743" s="15">
        <f>RecData[[#This Row],[Start Time]]</f>
        <v>43272.950694444451</v>
      </c>
      <c r="CM743" s="16">
        <f>RecData[[#This Row],[Wind Speed avg]]</f>
        <v>0.45</v>
      </c>
      <c r="CN743" s="16">
        <f>RecData[[#This Row],[Wind Dir. avg]]</f>
        <v>148.69999999999999</v>
      </c>
      <c r="CO743" s="16">
        <f>RecData[[#This Row],[Amb. Humidity]]</f>
        <v>71.5</v>
      </c>
      <c r="CP743" s="16">
        <f>RecData[[#This Row],[Amb. Temperature]]</f>
        <v>9.1</v>
      </c>
      <c r="CQ743" s="17">
        <f>RecData[[#This Row],[Amb. Rain Gauge]]</f>
        <v>0</v>
      </c>
      <c r="CR743" s="4" t="s">
        <v>50</v>
      </c>
      <c r="CS743" s="4" t="s">
        <v>49</v>
      </c>
      <c r="CT743" s="70">
        <v>-8.5423507690429599</v>
      </c>
      <c r="CU743" s="70">
        <v>270.00228881835898</v>
      </c>
      <c r="CV743" s="70">
        <v>1.7978998422622601</v>
      </c>
      <c r="CW743" s="70">
        <v>0</v>
      </c>
      <c r="CX743" s="109"/>
      <c r="CY743" s="110"/>
      <c r="CZ743" s="2" t="b">
        <f>IF($DP$1="YES",IF(RecData[[#This Row],[Power (kW)]]&gt;=$CR$3, TRUE,FALSE),TRUE)</f>
        <v>0</v>
      </c>
      <c r="DA743" s="16">
        <f>MIN(MOD(180-ABS(ABS($DA$1-RecData[Yaw Angle (°)])-180),360),MOD(180-ABS(ABS($DB$1-RecData[Yaw Angle (°)])-180),360))</f>
        <v>97.527637959328558</v>
      </c>
      <c r="DB743" s="2" t="str">
        <f>IF($DP$2="None","None",IF(RecData[[#This Row],[Relative Wind Direction]]&lt;=45,"DW",IF(RecData[[#This Row],[Relative Wind Direction]]&lt;=135,"CW","UW")))</f>
        <v>CW</v>
      </c>
      <c r="DC743" s="61">
        <f>IF($CL743-$CL739&gt;1/24,#REF!,IF(SUM($CQ739:$CQ743)&gt;$DS$1,$DS$5,DC744-1))</f>
        <v>-2</v>
      </c>
      <c r="DD743" s="61">
        <f>IF($CL744-$CL743&gt;1/24,#REF!,IF(SUM($CQ739:$CQ743)&gt;$DS$1,$DS$6,DD742-1))</f>
        <v>-9</v>
      </c>
      <c r="DE743" s="18" t="b">
        <v>0</v>
      </c>
      <c r="DF743" s="2" t="b">
        <f>IF(OR(RecData[[#This Row],[WSpd_Avg '[m/s']]]-RecData[[#This Row],[Wind Speed min]]&gt;=$DF$3,RecData[[#This Row],[Wind Speed max]]-RecData[[#This Row],[WSpd_Avg '[m/s']]]&gt;=$DF$2),TRUE,FALSE)</f>
        <v>0</v>
      </c>
      <c r="DG743" s="2" t="b">
        <f>RecData[[#This Row],[Temperature '[°C']]]&lt;=-20</f>
        <v>0</v>
      </c>
      <c r="DH743" s="18" t="b">
        <f>NOT(OR(MOD(RecData[[#This Row],[TIMESTAMP]],1)&gt;0.91632,MOD(RecData[[#This Row],[TIMESTAMP]],1)&lt;0.208681))</f>
        <v>0</v>
      </c>
      <c r="DI743" s="18" t="b">
        <f>RecData[[#This Row],[Overall (dBA)]]-RecData[[#This Row],[L90]]&gt;=$DS$4</f>
        <v>0</v>
      </c>
      <c r="DJ743" s="18" t="b">
        <f>RecData[[#This Row],[Overall (dBA)]]&gt;$DS$2</f>
        <v>0</v>
      </c>
      <c r="DK743" s="18" t="b">
        <f>RecData[[#This Row],[Overall (dBA)]]&lt;$DS$3</f>
        <v>0</v>
      </c>
      <c r="DL7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3" s="2">
        <f>IF(AND(RecData[[#This Row],[Turbines ON/OFF]] = "OFF", NOT(OR(RecData[[#This Row],[Junk?]]="YES",RecData[[#This Row],[Gust?]],RecData[[#This Row],[Rain?]:[Min SPL Threshold?]]))),1,0)</f>
        <v>1</v>
      </c>
      <c r="DN743" s="16">
        <f>RecData[[#This Row],[dBA Sum]]</f>
        <v>16.549413862597049</v>
      </c>
      <c r="DO743" s="16">
        <f>RecData[[#This Row],[LAF90.0]]</f>
        <v>22.5</v>
      </c>
      <c r="DP743" s="55" t="str">
        <f>IF(AND(RecData[[#This Row],[Useable TON Data?]],RecData[[#This Row],[Turbines ON/OFF]]="ON"),RecData[[#This Row],[dBA Sum]],"")</f>
        <v/>
      </c>
      <c r="DQ743" s="55">
        <f>IF(AND(RecData[[#This Row],[Useable Background Data?]],RecData[[#This Row],[Turbines ON/OFF]]="OFF"),RecData[[#This Row],[dBA Sum]],"")</f>
        <v>16.549413862597049</v>
      </c>
      <c r="DR743" s="3">
        <f>IF(OR(RecData[[#This Row],[Useable TON Data?]],RecData[[#This Row],[Useable Background Data?]]),ROUND(RecData[[#This Row],[WSpd_Avg '[m/s']]],0),"")</f>
        <v>0</v>
      </c>
      <c r="DS743" s="85">
        <f>(0.00002)^2*(10^(RecData[[#This Row],[Overall (dBA)]]/10))</f>
        <v>1.8071798583995276E-8</v>
      </c>
    </row>
    <row r="744" spans="1:123" ht="15" x14ac:dyDescent="0.25">
      <c r="A744" s="3" t="s">
        <v>249</v>
      </c>
      <c r="B744" s="12">
        <v>43272.951388888891</v>
      </c>
      <c r="C744" s="3"/>
      <c r="D744" s="3">
        <v>29.7</v>
      </c>
      <c r="E744" s="3"/>
      <c r="F744" s="3"/>
      <c r="G744" s="3"/>
      <c r="H744" s="3"/>
      <c r="I744" s="3"/>
      <c r="J744" s="3"/>
      <c r="K744" s="3">
        <v>23.2</v>
      </c>
      <c r="L744" s="3"/>
      <c r="M744" s="3"/>
      <c r="N744" s="3">
        <v>142.30000000000001</v>
      </c>
      <c r="O744" s="3"/>
      <c r="P744" s="3"/>
      <c r="Q744" s="3">
        <v>0.44</v>
      </c>
      <c r="R744" s="3">
        <v>0.3</v>
      </c>
      <c r="S744" s="3">
        <v>0.6</v>
      </c>
      <c r="T744" s="3">
        <v>9.1</v>
      </c>
      <c r="U744" s="3">
        <v>71.8</v>
      </c>
      <c r="V744" s="3">
        <v>970.7</v>
      </c>
      <c r="W744" s="3">
        <v>0</v>
      </c>
      <c r="X744" s="3">
        <v>21.8</v>
      </c>
      <c r="Y744" s="3">
        <v>23.5</v>
      </c>
      <c r="Z744" s="3">
        <v>25.6</v>
      </c>
      <c r="AA744" s="3">
        <v>13.1</v>
      </c>
      <c r="AB744" s="3">
        <v>9.6</v>
      </c>
      <c r="AC744" s="3">
        <v>6.1</v>
      </c>
      <c r="AD744" s="3">
        <v>7.4</v>
      </c>
      <c r="AE744" s="3">
        <v>8.9</v>
      </c>
      <c r="AF744" s="3">
        <v>16.7</v>
      </c>
      <c r="AG744" s="3">
        <v>11.4</v>
      </c>
      <c r="AH744" s="3">
        <v>10.1</v>
      </c>
      <c r="AI744" s="3">
        <v>8.6</v>
      </c>
      <c r="AJ744" s="3">
        <v>10.4</v>
      </c>
      <c r="AK744" s="3">
        <v>9.4</v>
      </c>
      <c r="AL744" s="3">
        <v>8</v>
      </c>
      <c r="AM744" s="3">
        <v>7.9</v>
      </c>
      <c r="AN744" s="3">
        <v>8.1999999999999993</v>
      </c>
      <c r="AO744" s="3">
        <v>7.8</v>
      </c>
      <c r="AP744" s="3">
        <v>6.8</v>
      </c>
      <c r="AQ744" s="3">
        <v>7</v>
      </c>
      <c r="AR744" s="3">
        <v>6.2</v>
      </c>
      <c r="AS744" s="3">
        <v>18.600000000000001</v>
      </c>
      <c r="AT744" s="3">
        <v>27.6</v>
      </c>
      <c r="AU744" s="3">
        <v>7.8</v>
      </c>
      <c r="AV744" s="3">
        <v>8</v>
      </c>
      <c r="AW744" s="3">
        <v>8.6</v>
      </c>
      <c r="AX744" s="3">
        <v>8.9</v>
      </c>
      <c r="AY744" s="3">
        <v>9.1</v>
      </c>
      <c r="AZ744" s="3">
        <v>0</v>
      </c>
      <c r="BA744" s="3">
        <v>0</v>
      </c>
      <c r="BB744" s="3">
        <v>0</v>
      </c>
      <c r="BC744" s="3">
        <v>29.695053309070882</v>
      </c>
      <c r="BD744" s="3">
        <v>21.804946690929118</v>
      </c>
      <c r="BE744" s="3">
        <v>23.50494669092912</v>
      </c>
      <c r="BF744" s="3">
        <v>24.36494669092912</v>
      </c>
      <c r="BG744" s="3">
        <v>12.191613357595781</v>
      </c>
      <c r="BH744" s="3">
        <v>8.8316133575957885</v>
      </c>
      <c r="BI744" s="3">
        <v>5.7449466909291154</v>
      </c>
      <c r="BJ744" s="3">
        <v>7.8382800242624491</v>
      </c>
      <c r="BK744" s="3">
        <v>9.2116133575957839</v>
      </c>
      <c r="BL744" s="3">
        <v>16.584946690929119</v>
      </c>
      <c r="BM744" s="3">
        <v>11.418280024262454</v>
      </c>
      <c r="BN744" s="3">
        <v>10.401613357595782</v>
      </c>
      <c r="BO744" s="3">
        <v>8.2682800242624559</v>
      </c>
      <c r="BP744" s="3">
        <v>9.7849466909291216</v>
      </c>
      <c r="BQ744" s="3">
        <v>9.2016133575957788</v>
      </c>
      <c r="BR744" s="3">
        <v>8.1282800242624553</v>
      </c>
      <c r="BS744" s="3">
        <v>7.8316133575957814</v>
      </c>
      <c r="BT744" s="3">
        <v>8.3282800242624511</v>
      </c>
      <c r="BU744" s="3">
        <v>7.894946690929121</v>
      </c>
      <c r="BV744" s="3">
        <v>6.6116133575957825</v>
      </c>
      <c r="BW744" s="3">
        <v>7.3449466909291239</v>
      </c>
      <c r="BX744" s="3">
        <v>6.4649466909291213</v>
      </c>
      <c r="BY744" s="3">
        <v>18.684946690929113</v>
      </c>
      <c r="BZ744" s="3">
        <v>27.814946690929123</v>
      </c>
      <c r="CA744" s="3">
        <v>8.1149466909291057</v>
      </c>
      <c r="CB744" s="3">
        <v>7.7516133575957831</v>
      </c>
      <c r="CC744" s="3">
        <v>8.5649466909291156</v>
      </c>
      <c r="CD744" s="3">
        <v>8.1716133575957919</v>
      </c>
      <c r="CE744" s="3">
        <v>8.5649466909291156</v>
      </c>
      <c r="CF744" s="3">
        <v>-0.92171997573754894</v>
      </c>
      <c r="CG744" s="3">
        <v>-1.4550533090708804</v>
      </c>
      <c r="CH744" s="3">
        <v>-2.5317199757375484</v>
      </c>
      <c r="CI744" s="13">
        <f>[1]!dbasum(RecData[[#This Row],[20]:[2000]],RecData[[#Headers],[20]:[2000]])</f>
        <v>16.557340075707991</v>
      </c>
      <c r="CJ744" s="14">
        <v>9379</v>
      </c>
      <c r="CK744" s="15" t="s">
        <v>249</v>
      </c>
      <c r="CL744" s="15">
        <f>RecData[[#This Row],[Start Time]]</f>
        <v>43272.951388888891</v>
      </c>
      <c r="CM744" s="16">
        <f>RecData[[#This Row],[Wind Speed avg]]</f>
        <v>0.44</v>
      </c>
      <c r="CN744" s="16">
        <f>RecData[[#This Row],[Wind Dir. avg]]</f>
        <v>142.30000000000001</v>
      </c>
      <c r="CO744" s="16">
        <f>RecData[[#This Row],[Amb. Humidity]]</f>
        <v>71.8</v>
      </c>
      <c r="CP744" s="16">
        <f>RecData[[#This Row],[Amb. Temperature]]</f>
        <v>9.1</v>
      </c>
      <c r="CQ744" s="17">
        <f>RecData[[#This Row],[Amb. Rain Gauge]]</f>
        <v>0</v>
      </c>
      <c r="CR744" s="4" t="s">
        <v>50</v>
      </c>
      <c r="CS744" s="4" t="s">
        <v>49</v>
      </c>
      <c r="CT744" s="70">
        <v>-8.5423507690429599</v>
      </c>
      <c r="CU744" s="70">
        <v>270.00228881835898</v>
      </c>
      <c r="CV744" s="70">
        <v>1.7978998422622601</v>
      </c>
      <c r="CW744" s="70">
        <v>0</v>
      </c>
      <c r="CX744" s="109"/>
      <c r="CY744" s="110"/>
      <c r="CZ744" s="2" t="b">
        <f>IF($DP$1="YES",IF(RecData[[#This Row],[Power (kW)]]&gt;=$CR$3, TRUE,FALSE),TRUE)</f>
        <v>0</v>
      </c>
      <c r="DA744" s="16">
        <f>MIN(MOD(180-ABS(ABS($DA$1-RecData[Yaw Angle (°)])-180),360),MOD(180-ABS(ABS($DB$1-RecData[Yaw Angle (°)])-180),360))</f>
        <v>97.527637959328558</v>
      </c>
      <c r="DB744" s="2" t="str">
        <f>IF($DP$2="None","None",IF(RecData[[#This Row],[Relative Wind Direction]]&lt;=45,"DW",IF(RecData[[#This Row],[Relative Wind Direction]]&lt;=135,"CW","UW")))</f>
        <v>CW</v>
      </c>
      <c r="DC744" s="61">
        <v>-1</v>
      </c>
      <c r="DD744" s="61">
        <v>-1</v>
      </c>
      <c r="DE744" s="18" t="b">
        <v>0</v>
      </c>
      <c r="DF744" s="2" t="b">
        <f>IF(OR(RecData[[#This Row],[WSpd_Avg '[m/s']]]-RecData[[#This Row],[Wind Speed min]]&gt;=$DF$3,RecData[[#This Row],[Wind Speed max]]-RecData[[#This Row],[WSpd_Avg '[m/s']]]&gt;=$DF$2),TRUE,FALSE)</f>
        <v>0</v>
      </c>
      <c r="DG744" s="2" t="b">
        <f>RecData[[#This Row],[Temperature '[°C']]]&lt;=-20</f>
        <v>0</v>
      </c>
      <c r="DH744" s="18" t="b">
        <f>NOT(OR(MOD(RecData[[#This Row],[TIMESTAMP]],1)&gt;0.91632,MOD(RecData[[#This Row],[TIMESTAMP]],1)&lt;0.208681))</f>
        <v>0</v>
      </c>
      <c r="DI744" s="18" t="b">
        <f>RecData[[#This Row],[Overall (dBA)]]-RecData[[#This Row],[L90]]&gt;=$DS$4</f>
        <v>0</v>
      </c>
      <c r="DJ744" s="18" t="b">
        <f>RecData[[#This Row],[Overall (dBA)]]&gt;$DS$2</f>
        <v>0</v>
      </c>
      <c r="DK744" s="18" t="b">
        <f>RecData[[#This Row],[Overall (dBA)]]&lt;$DS$3</f>
        <v>0</v>
      </c>
      <c r="DL7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4" s="2">
        <f>IF(AND(RecData[[#This Row],[Turbines ON/OFF]] = "OFF", NOT(OR(RecData[[#This Row],[Junk?]]="YES",RecData[[#This Row],[Gust?]],RecData[[#This Row],[Rain?]:[Min SPL Threshold?]]))),1,0)</f>
        <v>1</v>
      </c>
      <c r="DN744" s="16">
        <f>RecData[[#This Row],[dBA Sum]]</f>
        <v>16.557340075707991</v>
      </c>
      <c r="DO744" s="16">
        <f>RecData[[#This Row],[LAF90.0]]</f>
        <v>23.2</v>
      </c>
      <c r="DP744" s="55" t="str">
        <f>IF(AND(RecData[[#This Row],[Useable TON Data?]],RecData[[#This Row],[Turbines ON/OFF]]="ON"),RecData[[#This Row],[dBA Sum]],"")</f>
        <v/>
      </c>
      <c r="DQ744" s="55">
        <f>IF(AND(RecData[[#This Row],[Useable Background Data?]],RecData[[#This Row],[Turbines ON/OFF]]="OFF"),RecData[[#This Row],[dBA Sum]],"")</f>
        <v>16.557340075707991</v>
      </c>
      <c r="DR744" s="3">
        <f>IF(OR(RecData[[#This Row],[Useable TON Data?]],RecData[[#This Row],[Useable Background Data?]]),ROUND(RecData[[#This Row],[WSpd_Avg '[m/s']]],0),"")</f>
        <v>0</v>
      </c>
      <c r="DS744" s="85">
        <f>(0.00002)^2*(10^(RecData[[#This Row],[Overall (dBA)]]/10))</f>
        <v>1.8104811142371907E-8</v>
      </c>
    </row>
    <row r="745" spans="1:123" ht="15" x14ac:dyDescent="0.25">
      <c r="A745" s="3" t="s">
        <v>249</v>
      </c>
      <c r="B745" s="12">
        <v>43272.952083333337</v>
      </c>
      <c r="C745" s="3"/>
      <c r="D745" s="3">
        <v>29.2</v>
      </c>
      <c r="E745" s="3"/>
      <c r="F745" s="3"/>
      <c r="G745" s="3"/>
      <c r="H745" s="3"/>
      <c r="I745" s="3"/>
      <c r="J745" s="3"/>
      <c r="K745" s="3">
        <v>23</v>
      </c>
      <c r="L745" s="3"/>
      <c r="M745" s="3"/>
      <c r="N745" s="3">
        <v>143.1</v>
      </c>
      <c r="O745" s="3"/>
      <c r="P745" s="3"/>
      <c r="Q745" s="3">
        <v>0.36</v>
      </c>
      <c r="R745" s="3">
        <v>0.2</v>
      </c>
      <c r="S745" s="3">
        <v>0.5</v>
      </c>
      <c r="T745" s="3">
        <v>9.1</v>
      </c>
      <c r="U745" s="3">
        <v>72.900000000000006</v>
      </c>
      <c r="V745" s="3">
        <v>970.6</v>
      </c>
      <c r="W745" s="3">
        <v>0</v>
      </c>
      <c r="X745" s="3">
        <v>20.6</v>
      </c>
      <c r="Y745" s="3">
        <v>19</v>
      </c>
      <c r="Z745" s="3">
        <v>22.8</v>
      </c>
      <c r="AA745" s="3">
        <v>11.3</v>
      </c>
      <c r="AB745" s="3">
        <v>6.7</v>
      </c>
      <c r="AC745" s="3">
        <v>4.9000000000000004</v>
      </c>
      <c r="AD745" s="3">
        <v>8.3000000000000007</v>
      </c>
      <c r="AE745" s="3">
        <v>8.6</v>
      </c>
      <c r="AF745" s="3">
        <v>15.3</v>
      </c>
      <c r="AG745" s="3">
        <v>8.6999999999999993</v>
      </c>
      <c r="AH745" s="3">
        <v>8.4</v>
      </c>
      <c r="AI745" s="3">
        <v>8.4</v>
      </c>
      <c r="AJ745" s="3">
        <v>10.5</v>
      </c>
      <c r="AK745" s="3">
        <v>10.1</v>
      </c>
      <c r="AL745" s="3">
        <v>8.3000000000000007</v>
      </c>
      <c r="AM745" s="3">
        <v>8.3000000000000007</v>
      </c>
      <c r="AN745" s="3">
        <v>8.3000000000000007</v>
      </c>
      <c r="AO745" s="3">
        <v>7.6</v>
      </c>
      <c r="AP745" s="3">
        <v>6.9</v>
      </c>
      <c r="AQ745" s="3">
        <v>7.3</v>
      </c>
      <c r="AR745" s="3">
        <v>6.5</v>
      </c>
      <c r="AS745" s="3">
        <v>18.600000000000001</v>
      </c>
      <c r="AT745" s="3">
        <v>26.9</v>
      </c>
      <c r="AU745" s="3">
        <v>7.7</v>
      </c>
      <c r="AV745" s="3">
        <v>8.1</v>
      </c>
      <c r="AW745" s="3">
        <v>8.6</v>
      </c>
      <c r="AX745" s="3">
        <v>8.9</v>
      </c>
      <c r="AY745" s="3">
        <v>9.1</v>
      </c>
      <c r="AZ745" s="3">
        <v>0</v>
      </c>
      <c r="BA745" s="3">
        <v>0</v>
      </c>
      <c r="BB745" s="3">
        <v>0</v>
      </c>
      <c r="BC745" s="3">
        <v>29.140001509088499</v>
      </c>
      <c r="BD745" s="3">
        <v>20.659998490911498</v>
      </c>
      <c r="BE745" s="3">
        <v>19.059998490911504</v>
      </c>
      <c r="BF745" s="3">
        <v>21.619998490911506</v>
      </c>
      <c r="BG745" s="3">
        <v>10.446665157578167</v>
      </c>
      <c r="BH745" s="3">
        <v>5.986665157578166</v>
      </c>
      <c r="BI745" s="3">
        <v>4.5999984909115028</v>
      </c>
      <c r="BJ745" s="3">
        <v>8.7933318242448308</v>
      </c>
      <c r="BK745" s="3">
        <v>8.9666651575781628</v>
      </c>
      <c r="BL745" s="3">
        <v>15.239998490911503</v>
      </c>
      <c r="BM745" s="3">
        <v>8.7733318242448348</v>
      </c>
      <c r="BN745" s="3">
        <v>8.7566651575781691</v>
      </c>
      <c r="BO745" s="3">
        <v>8.1233318242448362</v>
      </c>
      <c r="BP745" s="3">
        <v>9.9399984909114991</v>
      </c>
      <c r="BQ745" s="3">
        <v>9.9566651575781577</v>
      </c>
      <c r="BR745" s="3">
        <v>8.4833318242448357</v>
      </c>
      <c r="BS745" s="3">
        <v>8.2866651575781702</v>
      </c>
      <c r="BT745" s="3">
        <v>8.4833318242448357</v>
      </c>
      <c r="BU745" s="3">
        <v>7.7499984909115014</v>
      </c>
      <c r="BV745" s="3">
        <v>6.7666651575781671</v>
      </c>
      <c r="BW745" s="3">
        <v>7.6999984909115042</v>
      </c>
      <c r="BX745" s="3">
        <v>6.8199984909115088</v>
      </c>
      <c r="BY745" s="3">
        <v>18.739998490911496</v>
      </c>
      <c r="BZ745" s="3">
        <v>27.169998490911503</v>
      </c>
      <c r="CA745" s="3">
        <v>8.0699984909114946</v>
      </c>
      <c r="CB745" s="3">
        <v>7.9066651575781677</v>
      </c>
      <c r="CC745" s="3">
        <v>8.6199984909114988</v>
      </c>
      <c r="CD745" s="3">
        <v>8.2266651575781751</v>
      </c>
      <c r="CE745" s="3">
        <v>8.6199984909114988</v>
      </c>
      <c r="CF745" s="3">
        <v>-0.86666817575516575</v>
      </c>
      <c r="CG745" s="3">
        <v>-1.4000015090884972</v>
      </c>
      <c r="CH745" s="3">
        <v>-2.4766681757551652</v>
      </c>
      <c r="CI745" s="13">
        <f>[1]!dbasum(RecData[[#This Row],[20]:[2000]],RecData[[#Headers],[20]:[2000]])</f>
        <v>16.711656939946433</v>
      </c>
      <c r="CJ745" s="14">
        <v>9380</v>
      </c>
      <c r="CK745" s="15" t="s">
        <v>249</v>
      </c>
      <c r="CL745" s="15">
        <f>RecData[[#This Row],[Start Time]]</f>
        <v>43272.952083333337</v>
      </c>
      <c r="CM745" s="16">
        <f>RecData[[#This Row],[Wind Speed avg]]</f>
        <v>0.36</v>
      </c>
      <c r="CN745" s="16">
        <f>RecData[[#This Row],[Wind Dir. avg]]</f>
        <v>143.1</v>
      </c>
      <c r="CO745" s="16">
        <f>RecData[[#This Row],[Amb. Humidity]]</f>
        <v>72.900000000000006</v>
      </c>
      <c r="CP745" s="16">
        <f>RecData[[#This Row],[Amb. Temperature]]</f>
        <v>9.1</v>
      </c>
      <c r="CQ745" s="17">
        <f>RecData[[#This Row],[Amb. Rain Gauge]]</f>
        <v>0</v>
      </c>
      <c r="CR745" s="4" t="s">
        <v>50</v>
      </c>
      <c r="CS745" s="4" t="s">
        <v>49</v>
      </c>
      <c r="CT745" s="70">
        <v>-9.8005876541137695</v>
      </c>
      <c r="CU745" s="70">
        <v>255.18948364257801</v>
      </c>
      <c r="CV745" s="70">
        <v>1.44100606441497</v>
      </c>
      <c r="CW745" s="70">
        <v>0</v>
      </c>
      <c r="CX745" s="109"/>
      <c r="CY745" s="110"/>
      <c r="CZ745" s="2" t="b">
        <f>IF($DP$1="YES",IF(RecData[[#This Row],[Power (kW)]]&gt;=$CR$3, TRUE,FALSE),TRUE)</f>
        <v>0</v>
      </c>
      <c r="DA745" s="16">
        <f>MIN(MOD(180-ABS(ABS($DA$1-RecData[Yaw Angle (°)])-180),360),MOD(180-ABS(ABS($DB$1-RecData[Yaw Angle (°)])-180),360))</f>
        <v>112.34044313510952</v>
      </c>
      <c r="DB745" s="2" t="str">
        <f>IF($DP$2="None","None",IF(RecData[[#This Row],[Relative Wind Direction]]&lt;=45,"DW",IF(RecData[[#This Row],[Relative Wind Direction]]&lt;=135,"CW","UW")))</f>
        <v>CW</v>
      </c>
      <c r="DC745" s="61">
        <f>IF($CL745-$CL744&gt;1/24,#REF!,IF(SUM($CQ744:$CQ745)&gt;$DS$1,$DS$5,DC746-1))</f>
        <v>-9</v>
      </c>
      <c r="DD745" s="61">
        <f>IF($CL746-$CL745&gt;1/24,#REF!,IF(SUM($CQ744:$CQ745)&gt;$DS$1,$DS$6,DD744-1))</f>
        <v>-2</v>
      </c>
      <c r="DE745" s="18" t="b">
        <v>0</v>
      </c>
      <c r="DF745" s="2" t="b">
        <f>IF(OR(RecData[[#This Row],[WSpd_Avg '[m/s']]]-RecData[[#This Row],[Wind Speed min]]&gt;=$DF$3,RecData[[#This Row],[Wind Speed max]]-RecData[[#This Row],[WSpd_Avg '[m/s']]]&gt;=$DF$2),TRUE,FALSE)</f>
        <v>0</v>
      </c>
      <c r="DG745" s="2" t="b">
        <f>RecData[[#This Row],[Temperature '[°C']]]&lt;=-20</f>
        <v>0</v>
      </c>
      <c r="DH745" s="18" t="b">
        <f>NOT(OR(MOD(RecData[[#This Row],[TIMESTAMP]],1)&gt;0.91632,MOD(RecData[[#This Row],[TIMESTAMP]],1)&lt;0.208681))</f>
        <v>0</v>
      </c>
      <c r="DI745" s="18" t="b">
        <f>RecData[[#This Row],[Overall (dBA)]]-RecData[[#This Row],[L90]]&gt;=$DS$4</f>
        <v>0</v>
      </c>
      <c r="DJ745" s="18" t="b">
        <f>RecData[[#This Row],[Overall (dBA)]]&gt;$DS$2</f>
        <v>0</v>
      </c>
      <c r="DK745" s="18" t="b">
        <f>RecData[[#This Row],[Overall (dBA)]]&lt;$DS$3</f>
        <v>0</v>
      </c>
      <c r="DL7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5" s="2">
        <f>IF(AND(RecData[[#This Row],[Turbines ON/OFF]] = "OFF", NOT(OR(RecData[[#This Row],[Junk?]]="YES",RecData[[#This Row],[Gust?]],RecData[[#This Row],[Rain?]:[Min SPL Threshold?]]))),1,0)</f>
        <v>1</v>
      </c>
      <c r="DN745" s="16">
        <f>RecData[[#This Row],[dBA Sum]]</f>
        <v>16.711656939946433</v>
      </c>
      <c r="DO745" s="16">
        <f>RecData[[#This Row],[LAF90.0]]</f>
        <v>23</v>
      </c>
      <c r="DP745" s="55" t="str">
        <f>IF(AND(RecData[[#This Row],[Useable TON Data?]],RecData[[#This Row],[Turbines ON/OFF]]="ON"),RecData[[#This Row],[dBA Sum]],"")</f>
        <v/>
      </c>
      <c r="DQ745" s="55">
        <f>IF(AND(RecData[[#This Row],[Useable Background Data?]],RecData[[#This Row],[Turbines ON/OFF]]="OFF"),RecData[[#This Row],[dBA Sum]],"")</f>
        <v>16.711656939946433</v>
      </c>
      <c r="DR745" s="3">
        <f>IF(OR(RecData[[#This Row],[Useable TON Data?]],RecData[[#This Row],[Useable Background Data?]]),ROUND(RecData[[#This Row],[WSpd_Avg '[m/s']]],0),"")</f>
        <v>0</v>
      </c>
      <c r="DS745" s="85">
        <f>(0.00002)^2*(10^(RecData[[#This Row],[Overall (dBA)]]/10))</f>
        <v>1.8759691202865147E-8</v>
      </c>
    </row>
    <row r="746" spans="1:123" ht="15" x14ac:dyDescent="0.25">
      <c r="A746" s="3" t="s">
        <v>249</v>
      </c>
      <c r="B746" s="12">
        <v>43272.952777777784</v>
      </c>
      <c r="C746" s="3"/>
      <c r="D746" s="3">
        <v>29.7</v>
      </c>
      <c r="E746" s="3"/>
      <c r="F746" s="3"/>
      <c r="G746" s="3"/>
      <c r="H746" s="3"/>
      <c r="I746" s="3"/>
      <c r="J746" s="3"/>
      <c r="K746" s="3">
        <v>22.7</v>
      </c>
      <c r="L746" s="3"/>
      <c r="M746" s="3"/>
      <c r="N746" s="3">
        <v>144.5</v>
      </c>
      <c r="O746" s="3"/>
      <c r="P746" s="3"/>
      <c r="Q746" s="3">
        <v>0.53</v>
      </c>
      <c r="R746" s="3">
        <v>0.4</v>
      </c>
      <c r="S746" s="3">
        <v>0.6</v>
      </c>
      <c r="T746" s="3">
        <v>9.1</v>
      </c>
      <c r="U746" s="3">
        <v>72.900000000000006</v>
      </c>
      <c r="V746" s="3">
        <v>970.7</v>
      </c>
      <c r="W746" s="3">
        <v>0</v>
      </c>
      <c r="X746" s="3">
        <v>21.9</v>
      </c>
      <c r="Y746" s="3">
        <v>21.7</v>
      </c>
      <c r="Z746" s="3">
        <v>26.2</v>
      </c>
      <c r="AA746" s="3">
        <v>16.7</v>
      </c>
      <c r="AB746" s="3">
        <v>12.1</v>
      </c>
      <c r="AC746" s="3">
        <v>7.2</v>
      </c>
      <c r="AD746" s="3">
        <v>8.6</v>
      </c>
      <c r="AE746" s="3">
        <v>10</v>
      </c>
      <c r="AF746" s="3">
        <v>15.8</v>
      </c>
      <c r="AG746" s="3">
        <v>9.6999999999999993</v>
      </c>
      <c r="AH746" s="3">
        <v>8.3000000000000007</v>
      </c>
      <c r="AI746" s="3">
        <v>8.3000000000000007</v>
      </c>
      <c r="AJ746" s="3">
        <v>8.8000000000000007</v>
      </c>
      <c r="AK746" s="3">
        <v>9.9</v>
      </c>
      <c r="AL746" s="3">
        <v>8.1</v>
      </c>
      <c r="AM746" s="3">
        <v>8.1</v>
      </c>
      <c r="AN746" s="3">
        <v>8.1</v>
      </c>
      <c r="AO746" s="3">
        <v>7.8</v>
      </c>
      <c r="AP746" s="3">
        <v>6.9</v>
      </c>
      <c r="AQ746" s="3">
        <v>7.7</v>
      </c>
      <c r="AR746" s="3">
        <v>6.8</v>
      </c>
      <c r="AS746" s="3">
        <v>17.899999999999999</v>
      </c>
      <c r="AT746" s="3">
        <v>27.6</v>
      </c>
      <c r="AU746" s="3">
        <v>7.7</v>
      </c>
      <c r="AV746" s="3">
        <v>8</v>
      </c>
      <c r="AW746" s="3">
        <v>8.6</v>
      </c>
      <c r="AX746" s="3">
        <v>8.9</v>
      </c>
      <c r="AY746" s="3">
        <v>9.1</v>
      </c>
      <c r="AZ746" s="3">
        <v>0</v>
      </c>
      <c r="BA746" s="3">
        <v>0</v>
      </c>
      <c r="BB746" s="3">
        <v>0</v>
      </c>
      <c r="BC746" s="3">
        <v>29.631577242913497</v>
      </c>
      <c r="BD746" s="3">
        <v>21.968422757086497</v>
      </c>
      <c r="BE746" s="3">
        <v>21.768422757086501</v>
      </c>
      <c r="BF746" s="3">
        <v>25.028422757086499</v>
      </c>
      <c r="BG746" s="3">
        <v>15.855089423753167</v>
      </c>
      <c r="BH746" s="3">
        <v>11.395089423753173</v>
      </c>
      <c r="BI746" s="3">
        <v>6.9084227570865018</v>
      </c>
      <c r="BJ746" s="3">
        <v>9.1017560904198369</v>
      </c>
      <c r="BK746" s="3">
        <v>10.375089423753163</v>
      </c>
      <c r="BL746" s="3">
        <v>15.748422757086505</v>
      </c>
      <c r="BM746" s="3">
        <v>9.7817560904198366</v>
      </c>
      <c r="BN746" s="3">
        <v>8.6650894237531695</v>
      </c>
      <c r="BO746" s="3">
        <v>8.0317560904198366</v>
      </c>
      <c r="BP746" s="3">
        <v>8.2484227570865052</v>
      </c>
      <c r="BQ746" s="3">
        <v>9.7650894237531638</v>
      </c>
      <c r="BR746" s="3">
        <v>8.2917560904198346</v>
      </c>
      <c r="BS746" s="3">
        <v>8.0950894237531692</v>
      </c>
      <c r="BT746" s="3">
        <v>8.2917560904198346</v>
      </c>
      <c r="BU746" s="3">
        <v>7.958422757086506</v>
      </c>
      <c r="BV746" s="3">
        <v>6.7750894237531689</v>
      </c>
      <c r="BW746" s="3">
        <v>8.1084227570865046</v>
      </c>
      <c r="BX746" s="3">
        <v>7.1284227570865077</v>
      </c>
      <c r="BY746" s="3">
        <v>18.048422757086495</v>
      </c>
      <c r="BZ746" s="3">
        <v>27.878422757086508</v>
      </c>
      <c r="CA746" s="3">
        <v>8.0784227570864964</v>
      </c>
      <c r="CB746" s="3">
        <v>7.8150894237531681</v>
      </c>
      <c r="CC746" s="3">
        <v>8.6284227570865006</v>
      </c>
      <c r="CD746" s="3">
        <v>8.2350894237531769</v>
      </c>
      <c r="CE746" s="3">
        <v>8.6284227570865006</v>
      </c>
      <c r="CF746" s="3">
        <v>-0.85824390958016394</v>
      </c>
      <c r="CG746" s="3">
        <v>-1.3915772429134954</v>
      </c>
      <c r="CH746" s="3">
        <v>-2.4682439095801634</v>
      </c>
      <c r="CI746" s="13">
        <f>[1]!dbasum(RecData[[#This Row],[20]:[2000]],RecData[[#Headers],[20]:[2000]])</f>
        <v>16.742178476180573</v>
      </c>
      <c r="CJ746" s="14">
        <v>9381</v>
      </c>
      <c r="CK746" s="15" t="s">
        <v>249</v>
      </c>
      <c r="CL746" s="15">
        <f>RecData[[#This Row],[Start Time]]</f>
        <v>43272.952777777784</v>
      </c>
      <c r="CM746" s="16">
        <f>RecData[[#This Row],[Wind Speed avg]]</f>
        <v>0.53</v>
      </c>
      <c r="CN746" s="16">
        <f>RecData[[#This Row],[Wind Dir. avg]]</f>
        <v>144.5</v>
      </c>
      <c r="CO746" s="16">
        <f>RecData[[#This Row],[Amb. Humidity]]</f>
        <v>72.900000000000006</v>
      </c>
      <c r="CP746" s="16">
        <f>RecData[[#This Row],[Amb. Temperature]]</f>
        <v>9.1</v>
      </c>
      <c r="CQ746" s="17">
        <f>RecData[[#This Row],[Amb. Rain Gauge]]</f>
        <v>0</v>
      </c>
      <c r="CR746" s="4" t="s">
        <v>50</v>
      </c>
      <c r="CS746" s="4" t="s">
        <v>49</v>
      </c>
      <c r="CT746" s="70">
        <v>-9.8005876541137695</v>
      </c>
      <c r="CU746" s="70">
        <v>255.18948364257801</v>
      </c>
      <c r="CV746" s="70">
        <v>1.44100606441497</v>
      </c>
      <c r="CW746" s="70">
        <v>0</v>
      </c>
      <c r="CX746" s="109"/>
      <c r="CY746" s="110"/>
      <c r="CZ746" s="2" t="b">
        <f>IF($DP$1="YES",IF(RecData[[#This Row],[Power (kW)]]&gt;=$CR$3, TRUE,FALSE),TRUE)</f>
        <v>0</v>
      </c>
      <c r="DA746" s="16">
        <f>MIN(MOD(180-ABS(ABS($DA$1-RecData[Yaw Angle (°)])-180),360),MOD(180-ABS(ABS($DB$1-RecData[Yaw Angle (°)])-180),360))</f>
        <v>112.34044313510952</v>
      </c>
      <c r="DB746" s="2" t="str">
        <f>IF($DP$2="None","None",IF(RecData[[#This Row],[Relative Wind Direction]]&lt;=45,"DW",IF(RecData[[#This Row],[Relative Wind Direction]]&lt;=135,"CW","UW")))</f>
        <v>CW</v>
      </c>
      <c r="DC746" s="61">
        <f>IF($CL746-$CL744&gt;1/24,#REF!,IF(SUM($CQ744:$CQ746)&gt;$DS$1,$DS$5,DC747-1))</f>
        <v>-8</v>
      </c>
      <c r="DD746" s="61">
        <f>IF($CL747-$CL746&gt;1/24,#REF!,IF(SUM($CQ744:$CQ746)&gt;$DS$1,$DS$6,DD745-1))</f>
        <v>-3</v>
      </c>
      <c r="DE746" s="18" t="b">
        <v>0</v>
      </c>
      <c r="DF746" s="2" t="b">
        <f>IF(OR(RecData[[#This Row],[WSpd_Avg '[m/s']]]-RecData[[#This Row],[Wind Speed min]]&gt;=$DF$3,RecData[[#This Row],[Wind Speed max]]-RecData[[#This Row],[WSpd_Avg '[m/s']]]&gt;=$DF$2),TRUE,FALSE)</f>
        <v>0</v>
      </c>
      <c r="DG746" s="2" t="b">
        <f>RecData[[#This Row],[Temperature '[°C']]]&lt;=-20</f>
        <v>0</v>
      </c>
      <c r="DH746" s="18" t="b">
        <f>NOT(OR(MOD(RecData[[#This Row],[TIMESTAMP]],1)&gt;0.91632,MOD(RecData[[#This Row],[TIMESTAMP]],1)&lt;0.208681))</f>
        <v>0</v>
      </c>
      <c r="DI746" s="18" t="b">
        <f>RecData[[#This Row],[Overall (dBA)]]-RecData[[#This Row],[L90]]&gt;=$DS$4</f>
        <v>0</v>
      </c>
      <c r="DJ746" s="18" t="b">
        <f>RecData[[#This Row],[Overall (dBA)]]&gt;$DS$2</f>
        <v>0</v>
      </c>
      <c r="DK746" s="18" t="b">
        <f>RecData[[#This Row],[Overall (dBA)]]&lt;$DS$3</f>
        <v>0</v>
      </c>
      <c r="DL7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6" s="2">
        <f>IF(AND(RecData[[#This Row],[Turbines ON/OFF]] = "OFF", NOT(OR(RecData[[#This Row],[Junk?]]="YES",RecData[[#This Row],[Gust?]],RecData[[#This Row],[Rain?]:[Min SPL Threshold?]]))),1,0)</f>
        <v>1</v>
      </c>
      <c r="DN746" s="16">
        <f>RecData[[#This Row],[dBA Sum]]</f>
        <v>16.742178476180573</v>
      </c>
      <c r="DO746" s="16">
        <f>RecData[[#This Row],[LAF90.0]]</f>
        <v>22.7</v>
      </c>
      <c r="DP746" s="55" t="str">
        <f>IF(AND(RecData[[#This Row],[Useable TON Data?]],RecData[[#This Row],[Turbines ON/OFF]]="ON"),RecData[[#This Row],[dBA Sum]],"")</f>
        <v/>
      </c>
      <c r="DQ746" s="55">
        <f>IF(AND(RecData[[#This Row],[Useable Background Data?]],RecData[[#This Row],[Turbines ON/OFF]]="OFF"),RecData[[#This Row],[dBA Sum]],"")</f>
        <v>16.742178476180573</v>
      </c>
      <c r="DR746" s="3">
        <f>IF(OR(RecData[[#This Row],[Useable TON Data?]],RecData[[#This Row],[Useable Background Data?]]),ROUND(RecData[[#This Row],[WSpd_Avg '[m/s']]],0),"")</f>
        <v>1</v>
      </c>
      <c r="DS746" s="85">
        <f>(0.00002)^2*(10^(RecData[[#This Row],[Overall (dBA)]]/10))</f>
        <v>1.8891995738756676E-8</v>
      </c>
    </row>
    <row r="747" spans="1:123" ht="15" x14ac:dyDescent="0.25">
      <c r="A747" s="3" t="s">
        <v>249</v>
      </c>
      <c r="B747" s="12">
        <v>43272.953472222231</v>
      </c>
      <c r="C747" s="3"/>
      <c r="D747" s="3">
        <v>28.9</v>
      </c>
      <c r="E747" s="3"/>
      <c r="F747" s="3"/>
      <c r="G747" s="3"/>
      <c r="H747" s="3"/>
      <c r="I747" s="3"/>
      <c r="J747" s="3"/>
      <c r="K747" s="3">
        <v>22.7</v>
      </c>
      <c r="L747" s="3"/>
      <c r="M747" s="3"/>
      <c r="N747" s="3">
        <v>158.69999999999999</v>
      </c>
      <c r="O747" s="3"/>
      <c r="P747" s="3"/>
      <c r="Q747" s="3">
        <v>0.46</v>
      </c>
      <c r="R747" s="3">
        <v>0.4</v>
      </c>
      <c r="S747" s="3">
        <v>0.6</v>
      </c>
      <c r="T747" s="3">
        <v>9.1</v>
      </c>
      <c r="U747" s="3">
        <v>72</v>
      </c>
      <c r="V747" s="3">
        <v>970.7</v>
      </c>
      <c r="W747" s="3">
        <v>0</v>
      </c>
      <c r="X747" s="3">
        <v>21.5</v>
      </c>
      <c r="Y747" s="3">
        <v>17.600000000000001</v>
      </c>
      <c r="Z747" s="3">
        <v>20.399999999999999</v>
      </c>
      <c r="AA747" s="3">
        <v>10.5</v>
      </c>
      <c r="AB747" s="3">
        <v>6.6</v>
      </c>
      <c r="AC747" s="3">
        <v>5.2</v>
      </c>
      <c r="AD747" s="3">
        <v>8</v>
      </c>
      <c r="AE747" s="3">
        <v>11.4</v>
      </c>
      <c r="AF747" s="3">
        <v>16</v>
      </c>
      <c r="AG747" s="3">
        <v>9.3000000000000007</v>
      </c>
      <c r="AH747" s="3">
        <v>8.5</v>
      </c>
      <c r="AI747" s="3">
        <v>8.4</v>
      </c>
      <c r="AJ747" s="3">
        <v>9.9</v>
      </c>
      <c r="AK747" s="3">
        <v>9.9</v>
      </c>
      <c r="AL747" s="3">
        <v>8.8000000000000007</v>
      </c>
      <c r="AM747" s="3">
        <v>8.6</v>
      </c>
      <c r="AN747" s="3">
        <v>8.1999999999999993</v>
      </c>
      <c r="AO747" s="3">
        <v>7.7</v>
      </c>
      <c r="AP747" s="3">
        <v>6.9</v>
      </c>
      <c r="AQ747" s="3">
        <v>7.4</v>
      </c>
      <c r="AR747" s="3">
        <v>6.6</v>
      </c>
      <c r="AS747" s="3">
        <v>16.7</v>
      </c>
      <c r="AT747" s="3">
        <v>26.8</v>
      </c>
      <c r="AU747" s="3">
        <v>7.8</v>
      </c>
      <c r="AV747" s="3">
        <v>8.1</v>
      </c>
      <c r="AW747" s="3">
        <v>8.6999999999999993</v>
      </c>
      <c r="AX747" s="3">
        <v>9</v>
      </c>
      <c r="AY747" s="3">
        <v>9.1</v>
      </c>
      <c r="AZ747" s="3">
        <v>0</v>
      </c>
      <c r="BA747" s="3">
        <v>0</v>
      </c>
      <c r="BB747" s="3">
        <v>0</v>
      </c>
      <c r="BC747" s="3">
        <v>28.879445216725685</v>
      </c>
      <c r="BD747" s="3">
        <v>21.520554783274314</v>
      </c>
      <c r="BE747" s="3">
        <v>17.620554783274315</v>
      </c>
      <c r="BF747" s="3">
        <v>19.180554783274317</v>
      </c>
      <c r="BG747" s="3">
        <v>9.6072214499409796</v>
      </c>
      <c r="BH747" s="3">
        <v>5.8472214499409816</v>
      </c>
      <c r="BI747" s="3">
        <v>4.860554783274317</v>
      </c>
      <c r="BJ747" s="3">
        <v>8.4538881166076436</v>
      </c>
      <c r="BK747" s="3">
        <v>11.727221449940977</v>
      </c>
      <c r="BL747" s="3">
        <v>15.900554783274316</v>
      </c>
      <c r="BM747" s="3">
        <v>9.3338881166076533</v>
      </c>
      <c r="BN747" s="3">
        <v>8.8172214499409804</v>
      </c>
      <c r="BO747" s="3">
        <v>8.0838881166076533</v>
      </c>
      <c r="BP747" s="3">
        <v>9.3005547832743147</v>
      </c>
      <c r="BQ747" s="3">
        <v>9.7172214499409719</v>
      </c>
      <c r="BR747" s="3">
        <v>8.9438881166076527</v>
      </c>
      <c r="BS747" s="3">
        <v>8.5472214499409773</v>
      </c>
      <c r="BT747" s="3">
        <v>8.3438881166076442</v>
      </c>
      <c r="BU747" s="3">
        <v>7.8105547832743198</v>
      </c>
      <c r="BV747" s="3">
        <v>6.7272214499409841</v>
      </c>
      <c r="BW747" s="3">
        <v>7.7605547832743156</v>
      </c>
      <c r="BX747" s="3">
        <v>6.8805547832743201</v>
      </c>
      <c r="BY747" s="3">
        <v>16.800554783274308</v>
      </c>
      <c r="BZ747" s="3">
        <v>27.030554783274319</v>
      </c>
      <c r="CA747" s="3">
        <v>8.1305547832743059</v>
      </c>
      <c r="CB747" s="3">
        <v>7.8672214499409776</v>
      </c>
      <c r="CC747" s="3">
        <v>8.6805547832743102</v>
      </c>
      <c r="CD747" s="3">
        <v>8.2872214499409864</v>
      </c>
      <c r="CE747" s="3">
        <v>8.5805547832743088</v>
      </c>
      <c r="CF747" s="3">
        <v>-0.90611188339235227</v>
      </c>
      <c r="CG747" s="3">
        <v>-1.4394452167256837</v>
      </c>
      <c r="CH747" s="3">
        <v>-2.5161118833923517</v>
      </c>
      <c r="CI747" s="13">
        <f>[1]!dbasum(RecData[[#This Row],[20]:[2000]],RecData[[#Headers],[20]:[2000]])</f>
        <v>16.754985731271667</v>
      </c>
      <c r="CJ747" s="14">
        <v>9382</v>
      </c>
      <c r="CK747" s="15" t="s">
        <v>249</v>
      </c>
      <c r="CL747" s="15">
        <f>RecData[[#This Row],[Start Time]]</f>
        <v>43272.953472222231</v>
      </c>
      <c r="CM747" s="16">
        <f>RecData[[#This Row],[Wind Speed avg]]</f>
        <v>0.46</v>
      </c>
      <c r="CN747" s="16">
        <f>RecData[[#This Row],[Wind Dir. avg]]</f>
        <v>158.69999999999999</v>
      </c>
      <c r="CO747" s="16">
        <f>RecData[[#This Row],[Amb. Humidity]]</f>
        <v>72</v>
      </c>
      <c r="CP747" s="16">
        <f>RecData[[#This Row],[Amb. Temperature]]</f>
        <v>9.1</v>
      </c>
      <c r="CQ747" s="17">
        <f>RecData[[#This Row],[Amb. Rain Gauge]]</f>
        <v>0</v>
      </c>
      <c r="CR747" s="4" t="s">
        <v>50</v>
      </c>
      <c r="CS747" s="4" t="s">
        <v>49</v>
      </c>
      <c r="CT747" s="70">
        <v>-9.8005876541137695</v>
      </c>
      <c r="CU747" s="70">
        <v>255.18948364257801</v>
      </c>
      <c r="CV747" s="70">
        <v>1.44100606441497</v>
      </c>
      <c r="CW747" s="70">
        <v>0</v>
      </c>
      <c r="CX747" s="109"/>
      <c r="CY747" s="110"/>
      <c r="CZ747" s="2" t="b">
        <f>IF($DP$1="YES",IF(RecData[[#This Row],[Power (kW)]]&gt;=$CR$3, TRUE,FALSE),TRUE)</f>
        <v>0</v>
      </c>
      <c r="DA747" s="16">
        <f>MIN(MOD(180-ABS(ABS($DA$1-RecData[Yaw Angle (°)])-180),360),MOD(180-ABS(ABS($DB$1-RecData[Yaw Angle (°)])-180),360))</f>
        <v>112.34044313510952</v>
      </c>
      <c r="DB747" s="2" t="str">
        <f>IF($DP$2="None","None",IF(RecData[[#This Row],[Relative Wind Direction]]&lt;=45,"DW",IF(RecData[[#This Row],[Relative Wind Direction]]&lt;=135,"CW","UW")))</f>
        <v>CW</v>
      </c>
      <c r="DC747" s="61">
        <f>IF($CL747-$CL744&gt;1/24,#REF!,IF(SUM($CQ744:$CQ747)&gt;$DS$1,$DS$5,DC748-1))</f>
        <v>-7</v>
      </c>
      <c r="DD747" s="61">
        <f>IF($CL748-$CL747&gt;1/24,#REF!,IF(SUM($CQ744:$CQ747)&gt;$DS$1,$DS$6,DD746-1))</f>
        <v>-4</v>
      </c>
      <c r="DE747" s="18" t="b">
        <v>0</v>
      </c>
      <c r="DF747" s="2" t="b">
        <f>IF(OR(RecData[[#This Row],[WSpd_Avg '[m/s']]]-RecData[[#This Row],[Wind Speed min]]&gt;=$DF$3,RecData[[#This Row],[Wind Speed max]]-RecData[[#This Row],[WSpd_Avg '[m/s']]]&gt;=$DF$2),TRUE,FALSE)</f>
        <v>0</v>
      </c>
      <c r="DG747" s="2" t="b">
        <f>RecData[[#This Row],[Temperature '[°C']]]&lt;=-20</f>
        <v>0</v>
      </c>
      <c r="DH747" s="18" t="b">
        <f>NOT(OR(MOD(RecData[[#This Row],[TIMESTAMP]],1)&gt;0.91632,MOD(RecData[[#This Row],[TIMESTAMP]],1)&lt;0.208681))</f>
        <v>0</v>
      </c>
      <c r="DI747" s="18" t="b">
        <f>RecData[[#This Row],[Overall (dBA)]]-RecData[[#This Row],[L90]]&gt;=$DS$4</f>
        <v>0</v>
      </c>
      <c r="DJ747" s="18" t="b">
        <f>RecData[[#This Row],[Overall (dBA)]]&gt;$DS$2</f>
        <v>0</v>
      </c>
      <c r="DK747" s="18" t="b">
        <f>RecData[[#This Row],[Overall (dBA)]]&lt;$DS$3</f>
        <v>0</v>
      </c>
      <c r="DL7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7" s="2">
        <f>IF(AND(RecData[[#This Row],[Turbines ON/OFF]] = "OFF", NOT(OR(RecData[[#This Row],[Junk?]]="YES",RecData[[#This Row],[Gust?]],RecData[[#This Row],[Rain?]:[Min SPL Threshold?]]))),1,0)</f>
        <v>1</v>
      </c>
      <c r="DN747" s="16">
        <f>RecData[[#This Row],[dBA Sum]]</f>
        <v>16.754985731271667</v>
      </c>
      <c r="DO747" s="16">
        <f>RecData[[#This Row],[LAF90.0]]</f>
        <v>22.7</v>
      </c>
      <c r="DP747" s="55" t="str">
        <f>IF(AND(RecData[[#This Row],[Useable TON Data?]],RecData[[#This Row],[Turbines ON/OFF]]="ON"),RecData[[#This Row],[dBA Sum]],"")</f>
        <v/>
      </c>
      <c r="DQ747" s="55">
        <f>IF(AND(RecData[[#This Row],[Useable Background Data?]],RecData[[#This Row],[Turbines ON/OFF]]="OFF"),RecData[[#This Row],[dBA Sum]],"")</f>
        <v>16.754985731271667</v>
      </c>
      <c r="DR747" s="3">
        <f>IF(OR(RecData[[#This Row],[Useable TON Data?]],RecData[[#This Row],[Useable Background Data?]]),ROUND(RecData[[#This Row],[WSpd_Avg '[m/s']]],0),"")</f>
        <v>0</v>
      </c>
      <c r="DS747" s="85">
        <f>(0.00002)^2*(10^(RecData[[#This Row],[Overall (dBA)]]/10))</f>
        <v>1.8947790073992376E-8</v>
      </c>
    </row>
    <row r="748" spans="1:123" ht="15" x14ac:dyDescent="0.25">
      <c r="A748" s="3" t="s">
        <v>249</v>
      </c>
      <c r="B748" s="12">
        <v>43272.95416666667</v>
      </c>
      <c r="C748" s="3"/>
      <c r="D748" s="3">
        <v>28.7</v>
      </c>
      <c r="E748" s="3"/>
      <c r="F748" s="3"/>
      <c r="G748" s="3"/>
      <c r="H748" s="3"/>
      <c r="I748" s="3"/>
      <c r="J748" s="3"/>
      <c r="K748" s="3">
        <v>24</v>
      </c>
      <c r="L748" s="3"/>
      <c r="M748" s="3"/>
      <c r="N748" s="3">
        <v>165.2</v>
      </c>
      <c r="O748" s="3"/>
      <c r="P748" s="3"/>
      <c r="Q748" s="3">
        <v>0.63</v>
      </c>
      <c r="R748" s="3">
        <v>0.3</v>
      </c>
      <c r="S748" s="3">
        <v>0.8</v>
      </c>
      <c r="T748" s="3">
        <v>9.1</v>
      </c>
      <c r="U748" s="3">
        <v>71.599999999999994</v>
      </c>
      <c r="V748" s="3">
        <v>970.7</v>
      </c>
      <c r="W748" s="3">
        <v>0</v>
      </c>
      <c r="X748" s="3">
        <v>21.9</v>
      </c>
      <c r="Y748" s="3">
        <v>27.8</v>
      </c>
      <c r="Z748" s="3">
        <v>31.6</v>
      </c>
      <c r="AA748" s="3">
        <v>20.2</v>
      </c>
      <c r="AB748" s="3">
        <v>16.5</v>
      </c>
      <c r="AC748" s="3">
        <v>7.1</v>
      </c>
      <c r="AD748" s="3">
        <v>9.9</v>
      </c>
      <c r="AE748" s="3">
        <v>11.4</v>
      </c>
      <c r="AF748" s="3">
        <v>15.9</v>
      </c>
      <c r="AG748" s="3">
        <v>13.1</v>
      </c>
      <c r="AH748" s="3">
        <v>14.3</v>
      </c>
      <c r="AI748" s="3">
        <v>13.9</v>
      </c>
      <c r="AJ748" s="3">
        <v>14.5</v>
      </c>
      <c r="AK748" s="3">
        <v>19</v>
      </c>
      <c r="AL748" s="3">
        <v>12.6</v>
      </c>
      <c r="AM748" s="3">
        <v>17.399999999999999</v>
      </c>
      <c r="AN748" s="3">
        <v>13.3</v>
      </c>
      <c r="AO748" s="3">
        <v>12.9</v>
      </c>
      <c r="AP748" s="3">
        <v>13.6</v>
      </c>
      <c r="AQ748" s="3">
        <v>10</v>
      </c>
      <c r="AR748" s="3">
        <v>7.7</v>
      </c>
      <c r="AS748" s="3">
        <v>17.3</v>
      </c>
      <c r="AT748" s="3">
        <v>25.5</v>
      </c>
      <c r="AU748" s="3">
        <v>7.5</v>
      </c>
      <c r="AV748" s="3">
        <v>8</v>
      </c>
      <c r="AW748" s="3">
        <v>8.6999999999999993</v>
      </c>
      <c r="AX748" s="3">
        <v>9</v>
      </c>
      <c r="AY748" s="3">
        <v>9.1</v>
      </c>
      <c r="AZ748" s="3">
        <v>0</v>
      </c>
      <c r="BA748" s="3">
        <v>0</v>
      </c>
      <c r="BB748" s="3">
        <v>0</v>
      </c>
      <c r="BC748" s="3">
        <v>28.689998640932728</v>
      </c>
      <c r="BD748" s="3">
        <v>21.910001359067266</v>
      </c>
      <c r="BE748" s="3">
        <v>27.810001359067272</v>
      </c>
      <c r="BF748" s="3">
        <v>30.370001359067274</v>
      </c>
      <c r="BG748" s="3">
        <v>19.296668025733936</v>
      </c>
      <c r="BH748" s="3">
        <v>15.736668025733941</v>
      </c>
      <c r="BI748" s="3">
        <v>6.7500013590672694</v>
      </c>
      <c r="BJ748" s="3">
        <v>10.343334692400603</v>
      </c>
      <c r="BK748" s="3">
        <v>11.716668025733938</v>
      </c>
      <c r="BL748" s="3">
        <v>15.790001359067276</v>
      </c>
      <c r="BM748" s="3">
        <v>13.123334692400604</v>
      </c>
      <c r="BN748" s="3">
        <v>14.606668025733939</v>
      </c>
      <c r="BO748" s="3">
        <v>13.573334692400607</v>
      </c>
      <c r="BP748" s="3">
        <v>13.89000135906727</v>
      </c>
      <c r="BQ748" s="3">
        <v>18.806668025733927</v>
      </c>
      <c r="BR748" s="3">
        <v>12.733334692400604</v>
      </c>
      <c r="BS748" s="3">
        <v>17.336668025733935</v>
      </c>
      <c r="BT748" s="3">
        <v>13.433334692400607</v>
      </c>
      <c r="BU748" s="3">
        <v>13.000001359067276</v>
      </c>
      <c r="BV748" s="3">
        <v>13.416668025733941</v>
      </c>
      <c r="BW748" s="3">
        <v>10.350001359067278</v>
      </c>
      <c r="BX748" s="3">
        <v>7.9700013590672754</v>
      </c>
      <c r="BY748" s="3">
        <v>17.39000135906727</v>
      </c>
      <c r="BZ748" s="3">
        <v>25.720001359067275</v>
      </c>
      <c r="CA748" s="3">
        <v>7.8200013590672626</v>
      </c>
      <c r="CB748" s="3">
        <v>7.7566680257339371</v>
      </c>
      <c r="CC748" s="3">
        <v>8.6700013590672711</v>
      </c>
      <c r="CD748" s="3">
        <v>8.2766680257339402</v>
      </c>
      <c r="CE748" s="3">
        <v>8.5700013590672697</v>
      </c>
      <c r="CF748" s="3">
        <v>-0.91666530759939491</v>
      </c>
      <c r="CG748" s="3">
        <v>-1.4499986409327263</v>
      </c>
      <c r="CH748" s="3">
        <v>-2.5266653075993943</v>
      </c>
      <c r="CI748" s="13">
        <f>[1]!dbasum(RecData[[#This Row],[20]:[2000]],RecData[[#Headers],[20]:[2000]])</f>
        <v>22.235494975049054</v>
      </c>
      <c r="CJ748" s="14">
        <v>9383</v>
      </c>
      <c r="CK748" s="15" t="s">
        <v>249</v>
      </c>
      <c r="CL748" s="15">
        <f>RecData[[#This Row],[Start Time]]</f>
        <v>43272.95416666667</v>
      </c>
      <c r="CM748" s="16">
        <f>RecData[[#This Row],[Wind Speed avg]]</f>
        <v>0.63</v>
      </c>
      <c r="CN748" s="16">
        <f>RecData[[#This Row],[Wind Dir. avg]]</f>
        <v>165.2</v>
      </c>
      <c r="CO748" s="16">
        <f>RecData[[#This Row],[Amb. Humidity]]</f>
        <v>71.599999999999994</v>
      </c>
      <c r="CP748" s="16">
        <f>RecData[[#This Row],[Amb. Temperature]]</f>
        <v>9.1</v>
      </c>
      <c r="CQ748" s="17">
        <f>RecData[[#This Row],[Amb. Rain Gauge]]</f>
        <v>0</v>
      </c>
      <c r="CR748" s="4" t="s">
        <v>50</v>
      </c>
      <c r="CS748" s="4" t="s">
        <v>49</v>
      </c>
      <c r="CT748" s="70">
        <v>-9.8005876541137695</v>
      </c>
      <c r="CU748" s="70">
        <v>255.18948364257801</v>
      </c>
      <c r="CV748" s="70">
        <v>1.44100606441497</v>
      </c>
      <c r="CW748" s="70">
        <v>0</v>
      </c>
      <c r="CX748" s="109"/>
      <c r="CY748" s="110"/>
      <c r="CZ748" s="2" t="b">
        <f>IF($DP$1="YES",IF(RecData[[#This Row],[Power (kW)]]&gt;=$CR$3, TRUE,FALSE),TRUE)</f>
        <v>0</v>
      </c>
      <c r="DA748" s="16">
        <f>MIN(MOD(180-ABS(ABS($DA$1-RecData[Yaw Angle (°)])-180),360),MOD(180-ABS(ABS($DB$1-RecData[Yaw Angle (°)])-180),360))</f>
        <v>112.34044313510952</v>
      </c>
      <c r="DB748" s="2" t="str">
        <f>IF($DP$2="None","None",IF(RecData[[#This Row],[Relative Wind Direction]]&lt;=45,"DW",IF(RecData[[#This Row],[Relative Wind Direction]]&lt;=135,"CW","UW")))</f>
        <v>CW</v>
      </c>
      <c r="DC748" s="61">
        <f>IF($CL748-$CL744&gt;1/24,#REF!,IF(SUM($CQ744:$CQ748)&gt;$DS$1,$DS$5,DC749-1))</f>
        <v>-6</v>
      </c>
      <c r="DD748" s="61">
        <f>IF($CL749-$CL748&gt;1/24,#REF!,IF(SUM($CQ744:$CQ748)&gt;$DS$1,$DS$6,DD747-1))</f>
        <v>-5</v>
      </c>
      <c r="DE748" s="18" t="b">
        <v>0</v>
      </c>
      <c r="DF748" s="2" t="b">
        <f>IF(OR(RecData[[#This Row],[WSpd_Avg '[m/s']]]-RecData[[#This Row],[Wind Speed min]]&gt;=$DF$3,RecData[[#This Row],[Wind Speed max]]-RecData[[#This Row],[WSpd_Avg '[m/s']]]&gt;=$DF$2),TRUE,FALSE)</f>
        <v>0</v>
      </c>
      <c r="DG748" s="2" t="b">
        <f>RecData[[#This Row],[Temperature '[°C']]]&lt;=-20</f>
        <v>0</v>
      </c>
      <c r="DH748" s="18" t="b">
        <f>NOT(OR(MOD(RecData[[#This Row],[TIMESTAMP]],1)&gt;0.91632,MOD(RecData[[#This Row],[TIMESTAMP]],1)&lt;0.208681))</f>
        <v>0</v>
      </c>
      <c r="DI748" s="18" t="b">
        <f>RecData[[#This Row],[Overall (dBA)]]-RecData[[#This Row],[L90]]&gt;=$DS$4</f>
        <v>0</v>
      </c>
      <c r="DJ748" s="18" t="b">
        <f>RecData[[#This Row],[Overall (dBA)]]&gt;$DS$2</f>
        <v>0</v>
      </c>
      <c r="DK748" s="18" t="b">
        <f>RecData[[#This Row],[Overall (dBA)]]&lt;$DS$3</f>
        <v>0</v>
      </c>
      <c r="DL7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8" s="2">
        <f>IF(AND(RecData[[#This Row],[Turbines ON/OFF]] = "OFF", NOT(OR(RecData[[#This Row],[Junk?]]="YES",RecData[[#This Row],[Gust?]],RecData[[#This Row],[Rain?]:[Min SPL Threshold?]]))),1,0)</f>
        <v>1</v>
      </c>
      <c r="DN748" s="16">
        <f>RecData[[#This Row],[dBA Sum]]</f>
        <v>22.235494975049054</v>
      </c>
      <c r="DO748" s="16">
        <f>RecData[[#This Row],[LAF90.0]]</f>
        <v>24</v>
      </c>
      <c r="DP748" s="55" t="str">
        <f>IF(AND(RecData[[#This Row],[Useable TON Data?]],RecData[[#This Row],[Turbines ON/OFF]]="ON"),RecData[[#This Row],[dBA Sum]],"")</f>
        <v/>
      </c>
      <c r="DQ748" s="55">
        <f>IF(AND(RecData[[#This Row],[Useable Background Data?]],RecData[[#This Row],[Turbines ON/OFF]]="OFF"),RecData[[#This Row],[dBA Sum]],"")</f>
        <v>22.235494975049054</v>
      </c>
      <c r="DR748" s="3">
        <f>IF(OR(RecData[[#This Row],[Useable TON Data?]],RecData[[#This Row],[Useable Background Data?]]),ROUND(RecData[[#This Row],[WSpd_Avg '[m/s']]],0),"")</f>
        <v>1</v>
      </c>
      <c r="DS748" s="85">
        <f>(0.00002)^2*(10^(RecData[[#This Row],[Overall (dBA)]]/10))</f>
        <v>6.6928252982642568E-8</v>
      </c>
    </row>
    <row r="749" spans="1:123" ht="15" x14ac:dyDescent="0.25">
      <c r="A749" s="3" t="s">
        <v>249</v>
      </c>
      <c r="B749" s="12">
        <v>43272.954861111117</v>
      </c>
      <c r="C749" s="3"/>
      <c r="D749" s="3">
        <v>29.9</v>
      </c>
      <c r="E749" s="3"/>
      <c r="F749" s="3"/>
      <c r="G749" s="3"/>
      <c r="H749" s="3"/>
      <c r="I749" s="3"/>
      <c r="J749" s="3"/>
      <c r="K749" s="3">
        <v>23.4</v>
      </c>
      <c r="L749" s="3"/>
      <c r="M749" s="3"/>
      <c r="N749" s="3">
        <v>166.2</v>
      </c>
      <c r="O749" s="3"/>
      <c r="P749" s="3"/>
      <c r="Q749" s="3">
        <v>0.75</v>
      </c>
      <c r="R749" s="3">
        <v>0.6</v>
      </c>
      <c r="S749" s="3">
        <v>0.9</v>
      </c>
      <c r="T749" s="3">
        <v>9.1</v>
      </c>
      <c r="U749" s="3">
        <v>70.3</v>
      </c>
      <c r="V749" s="3">
        <v>970.7</v>
      </c>
      <c r="W749" s="3">
        <v>0</v>
      </c>
      <c r="X749" s="3">
        <v>23.3</v>
      </c>
      <c r="Y749" s="3">
        <v>24.8</v>
      </c>
      <c r="Z749" s="3">
        <v>24.5</v>
      </c>
      <c r="AA749" s="3">
        <v>18</v>
      </c>
      <c r="AB749" s="3">
        <v>10.1</v>
      </c>
      <c r="AC749" s="3">
        <v>6.4</v>
      </c>
      <c r="AD749" s="3">
        <v>9.1999999999999993</v>
      </c>
      <c r="AE749" s="3">
        <v>10.8</v>
      </c>
      <c r="AF749" s="3">
        <v>12.7</v>
      </c>
      <c r="AG749" s="3">
        <v>10.1</v>
      </c>
      <c r="AH749" s="3">
        <v>10</v>
      </c>
      <c r="AI749" s="3">
        <v>8.8000000000000007</v>
      </c>
      <c r="AJ749" s="3">
        <v>13.8</v>
      </c>
      <c r="AK749" s="3">
        <v>14.5</v>
      </c>
      <c r="AL749" s="3">
        <v>12.2</v>
      </c>
      <c r="AM749" s="3">
        <v>11.2</v>
      </c>
      <c r="AN749" s="3">
        <v>9.6</v>
      </c>
      <c r="AO749" s="3">
        <v>8.5</v>
      </c>
      <c r="AP749" s="3">
        <v>8.6</v>
      </c>
      <c r="AQ749" s="3">
        <v>11.6</v>
      </c>
      <c r="AR749" s="3">
        <v>9.6</v>
      </c>
      <c r="AS749" s="3">
        <v>17.399999999999999</v>
      </c>
      <c r="AT749" s="3">
        <v>27.8</v>
      </c>
      <c r="AU749" s="3">
        <v>7.8</v>
      </c>
      <c r="AV749" s="3">
        <v>8.1999999999999993</v>
      </c>
      <c r="AW749" s="3">
        <v>8.8000000000000007</v>
      </c>
      <c r="AX749" s="3">
        <v>9.1</v>
      </c>
      <c r="AY749" s="3">
        <v>9.1</v>
      </c>
      <c r="AZ749" s="3">
        <v>0</v>
      </c>
      <c r="BA749" s="3">
        <v>0</v>
      </c>
      <c r="BB749" s="3">
        <v>0</v>
      </c>
      <c r="BC749" s="3">
        <v>29.946378098963997</v>
      </c>
      <c r="BD749" s="3">
        <v>23.253621901036006</v>
      </c>
      <c r="BE749" s="3">
        <v>24.753621901036006</v>
      </c>
      <c r="BF749" s="3">
        <v>23.213621901035999</v>
      </c>
      <c r="BG749" s="3">
        <v>17.040288567702667</v>
      </c>
      <c r="BH749" s="3">
        <v>9.2802885677026694</v>
      </c>
      <c r="BI749" s="3">
        <v>5.9936219010360006</v>
      </c>
      <c r="BJ749" s="3">
        <v>9.5869552343693343</v>
      </c>
      <c r="BK749" s="3">
        <v>11.060288567702663</v>
      </c>
      <c r="BL749" s="3">
        <v>12.533621901036</v>
      </c>
      <c r="BM749" s="3">
        <v>10.066955234369338</v>
      </c>
      <c r="BN749" s="3">
        <v>10.250288567702668</v>
      </c>
      <c r="BO749" s="3">
        <v>8.4169552343693397</v>
      </c>
      <c r="BP749" s="3">
        <v>13.133621901036001</v>
      </c>
      <c r="BQ749" s="3">
        <v>14.250288567702661</v>
      </c>
      <c r="BR749" s="3">
        <v>12.276955234369332</v>
      </c>
      <c r="BS749" s="3">
        <v>11.080288567702667</v>
      </c>
      <c r="BT749" s="3">
        <v>9.6769552343693377</v>
      </c>
      <c r="BU749" s="3">
        <v>8.5436219010360048</v>
      </c>
      <c r="BV749" s="3">
        <v>8.3602885677026677</v>
      </c>
      <c r="BW749" s="3">
        <v>11.893621901036006</v>
      </c>
      <c r="BX749" s="3">
        <v>9.813621901036008</v>
      </c>
      <c r="BY749" s="3">
        <v>17.433621901035998</v>
      </c>
      <c r="BZ749" s="3">
        <v>27.963621901036007</v>
      </c>
      <c r="CA749" s="3">
        <v>8.0636219010359937</v>
      </c>
      <c r="CB749" s="3">
        <v>7.9002885677026669</v>
      </c>
      <c r="CC749" s="3">
        <v>8.7136219010359994</v>
      </c>
      <c r="CD749" s="3">
        <v>8.3202885677026686</v>
      </c>
      <c r="CE749" s="3">
        <v>8.5136219010359966</v>
      </c>
      <c r="CF749" s="3">
        <v>-0.97304476563066444</v>
      </c>
      <c r="CG749" s="3">
        <v>-1.5063780989639959</v>
      </c>
      <c r="CH749" s="3">
        <v>-2.5830447656306639</v>
      </c>
      <c r="CI749" s="13">
        <f>[1]!dbasum(RecData[[#This Row],[20]:[2000]],RecData[[#Headers],[20]:[2000]])</f>
        <v>19.409240000256588</v>
      </c>
      <c r="CJ749" s="14">
        <v>9384</v>
      </c>
      <c r="CK749" s="15" t="s">
        <v>249</v>
      </c>
      <c r="CL749" s="15">
        <f>RecData[[#This Row],[Start Time]]</f>
        <v>43272.954861111117</v>
      </c>
      <c r="CM749" s="16">
        <f>RecData[[#This Row],[Wind Speed avg]]</f>
        <v>0.75</v>
      </c>
      <c r="CN749" s="16">
        <f>RecData[[#This Row],[Wind Dir. avg]]</f>
        <v>166.2</v>
      </c>
      <c r="CO749" s="16">
        <f>RecData[[#This Row],[Amb. Humidity]]</f>
        <v>70.3</v>
      </c>
      <c r="CP749" s="16">
        <f>RecData[[#This Row],[Amb. Temperature]]</f>
        <v>9.1</v>
      </c>
      <c r="CQ749" s="17">
        <f>RecData[[#This Row],[Amb. Rain Gauge]]</f>
        <v>0</v>
      </c>
      <c r="CR749" s="4" t="s">
        <v>50</v>
      </c>
      <c r="CS749" s="4" t="s">
        <v>49</v>
      </c>
      <c r="CT749" s="70">
        <v>-9.8005876541137695</v>
      </c>
      <c r="CU749" s="70">
        <v>255.18948364257801</v>
      </c>
      <c r="CV749" s="70">
        <v>1.44100606441497</v>
      </c>
      <c r="CW749" s="70">
        <v>0</v>
      </c>
      <c r="CX749" s="109"/>
      <c r="CY749" s="110"/>
      <c r="CZ749" s="2" t="b">
        <f>IF($DP$1="YES",IF(RecData[[#This Row],[Power (kW)]]&gt;=$CR$3, TRUE,FALSE),TRUE)</f>
        <v>0</v>
      </c>
      <c r="DA749" s="16">
        <f>MIN(MOD(180-ABS(ABS($DA$1-RecData[Yaw Angle (°)])-180),360),MOD(180-ABS(ABS($DB$1-RecData[Yaw Angle (°)])-180),360))</f>
        <v>112.34044313510952</v>
      </c>
      <c r="DB749" s="2" t="str">
        <f>IF($DP$2="None","None",IF(RecData[[#This Row],[Relative Wind Direction]]&lt;=45,"DW",IF(RecData[[#This Row],[Relative Wind Direction]]&lt;=135,"CW","UW")))</f>
        <v>CW</v>
      </c>
      <c r="DC749" s="61">
        <f>IF($CL749-$CL745&gt;1/24,#REF!,IF(SUM($CQ745:$CQ749)&gt;$DS$1,$DS$5,DC750-1))</f>
        <v>-5</v>
      </c>
      <c r="DD749" s="61">
        <f>IF($CL750-$CL749&gt;1/24,#REF!,IF(SUM($CQ745:$CQ749)&gt;$DS$1,$DS$6,DD748-1))</f>
        <v>-6</v>
      </c>
      <c r="DE749" s="18" t="b">
        <v>0</v>
      </c>
      <c r="DF749" s="2" t="b">
        <f>IF(OR(RecData[[#This Row],[WSpd_Avg '[m/s']]]-RecData[[#This Row],[Wind Speed min]]&gt;=$DF$3,RecData[[#This Row],[Wind Speed max]]-RecData[[#This Row],[WSpd_Avg '[m/s']]]&gt;=$DF$2),TRUE,FALSE)</f>
        <v>0</v>
      </c>
      <c r="DG749" s="2" t="b">
        <f>RecData[[#This Row],[Temperature '[°C']]]&lt;=-20</f>
        <v>0</v>
      </c>
      <c r="DH749" s="18" t="b">
        <f>NOT(OR(MOD(RecData[[#This Row],[TIMESTAMP]],1)&gt;0.91632,MOD(RecData[[#This Row],[TIMESTAMP]],1)&lt;0.208681))</f>
        <v>0</v>
      </c>
      <c r="DI749" s="18" t="b">
        <f>RecData[[#This Row],[Overall (dBA)]]-RecData[[#This Row],[L90]]&gt;=$DS$4</f>
        <v>0</v>
      </c>
      <c r="DJ749" s="18" t="b">
        <f>RecData[[#This Row],[Overall (dBA)]]&gt;$DS$2</f>
        <v>0</v>
      </c>
      <c r="DK749" s="18" t="b">
        <f>RecData[[#This Row],[Overall (dBA)]]&lt;$DS$3</f>
        <v>0</v>
      </c>
      <c r="DL7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49" s="2">
        <f>IF(AND(RecData[[#This Row],[Turbines ON/OFF]] = "OFF", NOT(OR(RecData[[#This Row],[Junk?]]="YES",RecData[[#This Row],[Gust?]],RecData[[#This Row],[Rain?]:[Min SPL Threshold?]]))),1,0)</f>
        <v>1</v>
      </c>
      <c r="DN749" s="16">
        <f>RecData[[#This Row],[dBA Sum]]</f>
        <v>19.409240000256588</v>
      </c>
      <c r="DO749" s="16">
        <f>RecData[[#This Row],[LAF90.0]]</f>
        <v>23.4</v>
      </c>
      <c r="DP749" s="55" t="str">
        <f>IF(AND(RecData[[#This Row],[Useable TON Data?]],RecData[[#This Row],[Turbines ON/OFF]]="ON"),RecData[[#This Row],[dBA Sum]],"")</f>
        <v/>
      </c>
      <c r="DQ749" s="55">
        <f>IF(AND(RecData[[#This Row],[Useable Background Data?]],RecData[[#This Row],[Turbines ON/OFF]]="OFF"),RecData[[#This Row],[dBA Sum]],"")</f>
        <v>19.409240000256588</v>
      </c>
      <c r="DR749" s="3">
        <f>IF(OR(RecData[[#This Row],[Useable TON Data?]],RecData[[#This Row],[Useable Background Data?]]),ROUND(RecData[[#This Row],[WSpd_Avg '[m/s']]],0),"")</f>
        <v>1</v>
      </c>
      <c r="DS749" s="85">
        <f>(0.00002)^2*(10^(RecData[[#This Row],[Overall (dBA)]]/10))</f>
        <v>3.4912744596016633E-8</v>
      </c>
    </row>
    <row r="750" spans="1:123" ht="15" x14ac:dyDescent="0.25">
      <c r="A750" s="3" t="s">
        <v>249</v>
      </c>
      <c r="B750" s="12">
        <v>43272.955555555563</v>
      </c>
      <c r="C750" s="3"/>
      <c r="D750" s="3">
        <v>29.5</v>
      </c>
      <c r="E750" s="3"/>
      <c r="F750" s="3"/>
      <c r="G750" s="3"/>
      <c r="H750" s="3"/>
      <c r="I750" s="3"/>
      <c r="J750" s="3"/>
      <c r="K750" s="3">
        <v>23.8</v>
      </c>
      <c r="L750" s="3"/>
      <c r="M750" s="3"/>
      <c r="N750" s="3">
        <v>147.80000000000001</v>
      </c>
      <c r="O750" s="3"/>
      <c r="P750" s="3"/>
      <c r="Q750" s="3">
        <v>0.63</v>
      </c>
      <c r="R750" s="3">
        <v>0.5</v>
      </c>
      <c r="S750" s="3">
        <v>0.9</v>
      </c>
      <c r="T750" s="3">
        <v>9</v>
      </c>
      <c r="U750" s="3">
        <v>71.5</v>
      </c>
      <c r="V750" s="3">
        <v>970.7</v>
      </c>
      <c r="W750" s="3">
        <v>0</v>
      </c>
      <c r="X750" s="3">
        <v>21.2</v>
      </c>
      <c r="Y750" s="3">
        <v>19.5</v>
      </c>
      <c r="Z750" s="3">
        <v>20</v>
      </c>
      <c r="AA750" s="3">
        <v>11.3</v>
      </c>
      <c r="AB750" s="3">
        <v>7.1</v>
      </c>
      <c r="AC750" s="3">
        <v>4.9000000000000004</v>
      </c>
      <c r="AD750" s="3">
        <v>9</v>
      </c>
      <c r="AE750" s="3">
        <v>11.4</v>
      </c>
      <c r="AF750" s="3">
        <v>12.2</v>
      </c>
      <c r="AG750" s="3">
        <v>9.6999999999999993</v>
      </c>
      <c r="AH750" s="3">
        <v>8.3000000000000007</v>
      </c>
      <c r="AI750" s="3">
        <v>8.3000000000000007</v>
      </c>
      <c r="AJ750" s="3">
        <v>14.3</v>
      </c>
      <c r="AK750" s="3">
        <v>14.8</v>
      </c>
      <c r="AL750" s="3">
        <v>12.9</v>
      </c>
      <c r="AM750" s="3">
        <v>13</v>
      </c>
      <c r="AN750" s="3">
        <v>9.9</v>
      </c>
      <c r="AO750" s="3">
        <v>8.8000000000000007</v>
      </c>
      <c r="AP750" s="3">
        <v>8.9</v>
      </c>
      <c r="AQ750" s="3">
        <v>12.4</v>
      </c>
      <c r="AR750" s="3">
        <v>10.7</v>
      </c>
      <c r="AS750" s="3">
        <v>17.899999999999999</v>
      </c>
      <c r="AT750" s="3">
        <v>27.1</v>
      </c>
      <c r="AU750" s="3">
        <v>7.8</v>
      </c>
      <c r="AV750" s="3">
        <v>8.1</v>
      </c>
      <c r="AW750" s="3">
        <v>8.8000000000000007</v>
      </c>
      <c r="AX750" s="3">
        <v>9.1</v>
      </c>
      <c r="AY750" s="3">
        <v>9.1</v>
      </c>
      <c r="AZ750" s="3">
        <v>0</v>
      </c>
      <c r="BA750" s="3">
        <v>0</v>
      </c>
      <c r="BB750" s="3">
        <v>0</v>
      </c>
      <c r="BC750" s="3">
        <v>29.51173101083382</v>
      </c>
      <c r="BD750" s="3">
        <v>21.188268989166183</v>
      </c>
      <c r="BE750" s="3">
        <v>19.48826898916618</v>
      </c>
      <c r="BF750" s="3">
        <v>18.748268989166185</v>
      </c>
      <c r="BG750" s="3">
        <v>10.374935655832843</v>
      </c>
      <c r="BH750" s="3">
        <v>6.3149356558328478</v>
      </c>
      <c r="BI750" s="3">
        <v>4.5282689891661789</v>
      </c>
      <c r="BJ750" s="3">
        <v>9.4216023224995098</v>
      </c>
      <c r="BK750" s="3">
        <v>11.694935655832843</v>
      </c>
      <c r="BL750" s="3">
        <v>12.068268989166178</v>
      </c>
      <c r="BM750" s="3">
        <v>9.701602322499518</v>
      </c>
      <c r="BN750" s="3">
        <v>8.5849356558328438</v>
      </c>
      <c r="BO750" s="3">
        <v>7.951602322499518</v>
      </c>
      <c r="BP750" s="3">
        <v>13.668268989166179</v>
      </c>
      <c r="BQ750" s="3">
        <v>14.584935655832837</v>
      </c>
      <c r="BR750" s="3">
        <v>13.011602322499513</v>
      </c>
      <c r="BS750" s="3">
        <v>12.914935655832849</v>
      </c>
      <c r="BT750" s="3">
        <v>10.011602322499513</v>
      </c>
      <c r="BU750" s="3">
        <v>8.8782689891661803</v>
      </c>
      <c r="BV750" s="3">
        <v>8.6949356558328432</v>
      </c>
      <c r="BW750" s="3">
        <v>12.728268989166182</v>
      </c>
      <c r="BX750" s="3">
        <v>10.948268989166188</v>
      </c>
      <c r="BY750" s="3">
        <v>17.968268989166177</v>
      </c>
      <c r="BZ750" s="3">
        <v>27.298268989166182</v>
      </c>
      <c r="CA750" s="3">
        <v>8.0982689891661721</v>
      </c>
      <c r="CB750" s="3">
        <v>7.8349356558328438</v>
      </c>
      <c r="CC750" s="3">
        <v>8.7482689891661778</v>
      </c>
      <c r="CD750" s="3">
        <v>8.354935655832854</v>
      </c>
      <c r="CE750" s="3">
        <v>8.5482689891661821</v>
      </c>
      <c r="CF750" s="3">
        <v>-0.93839767750048608</v>
      </c>
      <c r="CG750" s="3">
        <v>-1.4717310108338175</v>
      </c>
      <c r="CH750" s="3">
        <v>-2.5483976775004855</v>
      </c>
      <c r="CI750" s="13">
        <f>[1]!dbasum(RecData[[#This Row],[20]:[2000]],RecData[[#Headers],[20]:[2000]])</f>
        <v>20.154062467983046</v>
      </c>
      <c r="CJ750" s="14">
        <v>9385</v>
      </c>
      <c r="CK750" s="15" t="s">
        <v>249</v>
      </c>
      <c r="CL750" s="15">
        <f>RecData[[#This Row],[Start Time]]</f>
        <v>43272.955555555563</v>
      </c>
      <c r="CM750" s="16">
        <f>RecData[[#This Row],[Wind Speed avg]]</f>
        <v>0.63</v>
      </c>
      <c r="CN750" s="16">
        <f>RecData[[#This Row],[Wind Dir. avg]]</f>
        <v>147.80000000000001</v>
      </c>
      <c r="CO750" s="16">
        <f>RecData[[#This Row],[Amb. Humidity]]</f>
        <v>71.5</v>
      </c>
      <c r="CP750" s="16">
        <f>RecData[[#This Row],[Amb. Temperature]]</f>
        <v>9</v>
      </c>
      <c r="CQ750" s="17">
        <f>RecData[[#This Row],[Amb. Rain Gauge]]</f>
        <v>0</v>
      </c>
      <c r="CR750" s="4" t="s">
        <v>50</v>
      </c>
      <c r="CS750" s="4" t="s">
        <v>49</v>
      </c>
      <c r="CT750" s="70">
        <v>-9.8005876541137695</v>
      </c>
      <c r="CU750" s="70">
        <v>255.18948364257801</v>
      </c>
      <c r="CV750" s="70">
        <v>1.44100606441497</v>
      </c>
      <c r="CW750" s="70">
        <v>0</v>
      </c>
      <c r="CX750" s="109"/>
      <c r="CY750" s="110"/>
      <c r="CZ750" s="2" t="b">
        <f>IF($DP$1="YES",IF(RecData[[#This Row],[Power (kW)]]&gt;=$CR$3, TRUE,FALSE),TRUE)</f>
        <v>0</v>
      </c>
      <c r="DA750" s="16">
        <f>MIN(MOD(180-ABS(ABS($DA$1-RecData[Yaw Angle (°)])-180),360),MOD(180-ABS(ABS($DB$1-RecData[Yaw Angle (°)])-180),360))</f>
        <v>112.34044313510952</v>
      </c>
      <c r="DB750" s="2" t="str">
        <f>IF($DP$2="None","None",IF(RecData[[#This Row],[Relative Wind Direction]]&lt;=45,"DW",IF(RecData[[#This Row],[Relative Wind Direction]]&lt;=135,"CW","UW")))</f>
        <v>CW</v>
      </c>
      <c r="DC750" s="61">
        <f>IF($CL750-$CL746&gt;1/24,#REF!,IF(SUM($CQ746:$CQ750)&gt;$DS$1,$DS$5,DC751-1))</f>
        <v>-4</v>
      </c>
      <c r="DD750" s="61">
        <f>IF($CL751-$CL750&gt;1/24,#REF!,IF(SUM($CQ746:$CQ750)&gt;$DS$1,$DS$6,DD749-1))</f>
        <v>-7</v>
      </c>
      <c r="DE750" s="18" t="b">
        <v>0</v>
      </c>
      <c r="DF750" s="2" t="b">
        <f>IF(OR(RecData[[#This Row],[WSpd_Avg '[m/s']]]-RecData[[#This Row],[Wind Speed min]]&gt;=$DF$3,RecData[[#This Row],[Wind Speed max]]-RecData[[#This Row],[WSpd_Avg '[m/s']]]&gt;=$DF$2),TRUE,FALSE)</f>
        <v>0</v>
      </c>
      <c r="DG750" s="2" t="b">
        <f>RecData[[#This Row],[Temperature '[°C']]]&lt;=-20</f>
        <v>0</v>
      </c>
      <c r="DH750" s="18" t="b">
        <f>NOT(OR(MOD(RecData[[#This Row],[TIMESTAMP]],1)&gt;0.91632,MOD(RecData[[#This Row],[TIMESTAMP]],1)&lt;0.208681))</f>
        <v>0</v>
      </c>
      <c r="DI750" s="18" t="b">
        <f>RecData[[#This Row],[Overall (dBA)]]-RecData[[#This Row],[L90]]&gt;=$DS$4</f>
        <v>0</v>
      </c>
      <c r="DJ750" s="18" t="b">
        <f>RecData[[#This Row],[Overall (dBA)]]&gt;$DS$2</f>
        <v>0</v>
      </c>
      <c r="DK750" s="18" t="b">
        <f>RecData[[#This Row],[Overall (dBA)]]&lt;$DS$3</f>
        <v>0</v>
      </c>
      <c r="DL7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0" s="2">
        <f>IF(AND(RecData[[#This Row],[Turbines ON/OFF]] = "OFF", NOT(OR(RecData[[#This Row],[Junk?]]="YES",RecData[[#This Row],[Gust?]],RecData[[#This Row],[Rain?]:[Min SPL Threshold?]]))),1,0)</f>
        <v>1</v>
      </c>
      <c r="DN750" s="16">
        <f>RecData[[#This Row],[dBA Sum]]</f>
        <v>20.154062467983046</v>
      </c>
      <c r="DO750" s="16">
        <f>RecData[[#This Row],[LAF90.0]]</f>
        <v>23.8</v>
      </c>
      <c r="DP750" s="55" t="str">
        <f>IF(AND(RecData[[#This Row],[Useable TON Data?]],RecData[[#This Row],[Turbines ON/OFF]]="ON"),RecData[[#This Row],[dBA Sum]],"")</f>
        <v/>
      </c>
      <c r="DQ750" s="55">
        <f>IF(AND(RecData[[#This Row],[Useable Background Data?]],RecData[[#This Row],[Turbines ON/OFF]]="OFF"),RecData[[#This Row],[dBA Sum]],"")</f>
        <v>20.154062467983046</v>
      </c>
      <c r="DR750" s="3">
        <f>IF(OR(RecData[[#This Row],[Useable TON Data?]],RecData[[#This Row],[Useable Background Data?]]),ROUND(RecData[[#This Row],[WSpd_Avg '[m/s']]],0),"")</f>
        <v>1</v>
      </c>
      <c r="DS750" s="85">
        <f>(0.00002)^2*(10^(RecData[[#This Row],[Overall (dBA)]]/10))</f>
        <v>4.1444436405180543E-8</v>
      </c>
    </row>
    <row r="751" spans="1:123" ht="15" x14ac:dyDescent="0.25">
      <c r="A751" s="3" t="s">
        <v>249</v>
      </c>
      <c r="B751" s="12">
        <v>43272.956250000003</v>
      </c>
      <c r="C751" s="3"/>
      <c r="D751" s="3">
        <v>28.2</v>
      </c>
      <c r="E751" s="3"/>
      <c r="F751" s="3"/>
      <c r="G751" s="3"/>
      <c r="H751" s="3"/>
      <c r="I751" s="3"/>
      <c r="J751" s="3"/>
      <c r="K751" s="3">
        <v>22.4</v>
      </c>
      <c r="L751" s="3"/>
      <c r="M751" s="3"/>
      <c r="N751" s="3">
        <v>141.80000000000001</v>
      </c>
      <c r="O751" s="3"/>
      <c r="P751" s="3"/>
      <c r="Q751" s="3">
        <v>0.59</v>
      </c>
      <c r="R751" s="3">
        <v>0.5</v>
      </c>
      <c r="S751" s="3">
        <v>0.7</v>
      </c>
      <c r="T751" s="3">
        <v>9</v>
      </c>
      <c r="U751" s="3">
        <v>71.3</v>
      </c>
      <c r="V751" s="3">
        <v>970.7</v>
      </c>
      <c r="W751" s="3">
        <v>0</v>
      </c>
      <c r="X751" s="3">
        <v>23</v>
      </c>
      <c r="Y751" s="3">
        <v>22.4</v>
      </c>
      <c r="Z751" s="3">
        <v>20.100000000000001</v>
      </c>
      <c r="AA751" s="3">
        <v>14.8</v>
      </c>
      <c r="AB751" s="3">
        <v>11.2</v>
      </c>
      <c r="AC751" s="3">
        <v>5.3</v>
      </c>
      <c r="AD751" s="3">
        <v>8.3000000000000007</v>
      </c>
      <c r="AE751" s="3">
        <v>8.1</v>
      </c>
      <c r="AF751" s="3">
        <v>12</v>
      </c>
      <c r="AG751" s="3">
        <v>15.9</v>
      </c>
      <c r="AH751" s="3">
        <v>13.5</v>
      </c>
      <c r="AI751" s="3">
        <v>10.1</v>
      </c>
      <c r="AJ751" s="3">
        <v>15</v>
      </c>
      <c r="AK751" s="3">
        <v>14.9</v>
      </c>
      <c r="AL751" s="3">
        <v>12.4</v>
      </c>
      <c r="AM751" s="3">
        <v>12.6</v>
      </c>
      <c r="AN751" s="3">
        <v>10.6</v>
      </c>
      <c r="AO751" s="3">
        <v>9.4</v>
      </c>
      <c r="AP751" s="3">
        <v>8.8000000000000007</v>
      </c>
      <c r="AQ751" s="3">
        <v>11.1</v>
      </c>
      <c r="AR751" s="3">
        <v>9.6999999999999993</v>
      </c>
      <c r="AS751" s="3">
        <v>17.399999999999999</v>
      </c>
      <c r="AT751" s="3">
        <v>25.3</v>
      </c>
      <c r="AU751" s="3">
        <v>7.5</v>
      </c>
      <c r="AV751" s="3">
        <v>8</v>
      </c>
      <c r="AW751" s="3">
        <v>8.6999999999999993</v>
      </c>
      <c r="AX751" s="3">
        <v>9.1</v>
      </c>
      <c r="AY751" s="3">
        <v>9.1</v>
      </c>
      <c r="AZ751" s="3">
        <v>0</v>
      </c>
      <c r="BA751" s="3">
        <v>0</v>
      </c>
      <c r="BB751" s="3">
        <v>0</v>
      </c>
      <c r="BC751" s="3">
        <v>28.130929629223242</v>
      </c>
      <c r="BD751" s="3">
        <v>23.06907037077676</v>
      </c>
      <c r="BE751" s="3">
        <v>22.469070370776752</v>
      </c>
      <c r="BF751" s="3">
        <v>18.92907037077676</v>
      </c>
      <c r="BG751" s="3">
        <v>13.955737037443424</v>
      </c>
      <c r="BH751" s="3">
        <v>10.495737037443423</v>
      </c>
      <c r="BI751" s="3">
        <v>5.0090703707767581</v>
      </c>
      <c r="BJ751" s="3">
        <v>8.8024037041100875</v>
      </c>
      <c r="BK751" s="3">
        <v>8.4757370374434196</v>
      </c>
      <c r="BL751" s="3">
        <v>11.949070370776756</v>
      </c>
      <c r="BM751" s="3">
        <v>15.982403704110094</v>
      </c>
      <c r="BN751" s="3">
        <v>13.865737037443427</v>
      </c>
      <c r="BO751" s="3">
        <v>9.8324037041100958</v>
      </c>
      <c r="BP751" s="3">
        <v>14.449070370776756</v>
      </c>
      <c r="BQ751" s="3">
        <v>14.765737037443419</v>
      </c>
      <c r="BR751" s="3">
        <v>12.592403704110094</v>
      </c>
      <c r="BS751" s="3">
        <v>12.595737037443424</v>
      </c>
      <c r="BT751" s="3">
        <v>10.79240370411009</v>
      </c>
      <c r="BU751" s="3">
        <v>9.5590703707767624</v>
      </c>
      <c r="BV751" s="3">
        <v>8.6757370374434224</v>
      </c>
      <c r="BW751" s="3">
        <v>11.509070370776758</v>
      </c>
      <c r="BX751" s="3">
        <v>10.029070370776761</v>
      </c>
      <c r="BY751" s="3">
        <v>17.54907037077675</v>
      </c>
      <c r="BZ751" s="3">
        <v>25.579070370776765</v>
      </c>
      <c r="CA751" s="3">
        <v>7.8790703707767484</v>
      </c>
      <c r="CB751" s="3">
        <v>7.815737037443423</v>
      </c>
      <c r="CC751" s="3">
        <v>8.729070370776757</v>
      </c>
      <c r="CD751" s="3">
        <v>8.4357370374434275</v>
      </c>
      <c r="CE751" s="3">
        <v>8.6290703707767555</v>
      </c>
      <c r="CF751" s="3">
        <v>-0.85759629588990904</v>
      </c>
      <c r="CG751" s="3">
        <v>-1.3909296292232405</v>
      </c>
      <c r="CH751" s="3">
        <v>-2.4675962958899085</v>
      </c>
      <c r="CI751" s="13">
        <f>[1]!dbasum(RecData[[#This Row],[20]:[2000]],RecData[[#Headers],[20]:[2000]])</f>
        <v>20.020837333538196</v>
      </c>
      <c r="CJ751" s="14">
        <v>9386</v>
      </c>
      <c r="CK751" s="15" t="s">
        <v>249</v>
      </c>
      <c r="CL751" s="15">
        <f>RecData[[#This Row],[Start Time]]</f>
        <v>43272.956250000003</v>
      </c>
      <c r="CM751" s="16">
        <f>RecData[[#This Row],[Wind Speed avg]]</f>
        <v>0.59</v>
      </c>
      <c r="CN751" s="16">
        <f>RecData[[#This Row],[Wind Dir. avg]]</f>
        <v>141.80000000000001</v>
      </c>
      <c r="CO751" s="16">
        <f>RecData[[#This Row],[Amb. Humidity]]</f>
        <v>71.3</v>
      </c>
      <c r="CP751" s="16">
        <f>RecData[[#This Row],[Amb. Temperature]]</f>
        <v>9</v>
      </c>
      <c r="CQ751" s="17">
        <f>RecData[[#This Row],[Amb. Rain Gauge]]</f>
        <v>0</v>
      </c>
      <c r="CR751" s="4" t="s">
        <v>50</v>
      </c>
      <c r="CS751" s="4" t="s">
        <v>49</v>
      </c>
      <c r="CT751" s="70">
        <v>-9.8005876541137695</v>
      </c>
      <c r="CU751" s="70">
        <v>255.18948364257801</v>
      </c>
      <c r="CV751" s="70">
        <v>1.44100606441497</v>
      </c>
      <c r="CW751" s="70">
        <v>0</v>
      </c>
      <c r="CX751" s="109"/>
      <c r="CY751" s="110"/>
      <c r="CZ751" s="2" t="b">
        <f>IF($DP$1="YES",IF(RecData[[#This Row],[Power (kW)]]&gt;=$CR$3, TRUE,FALSE),TRUE)</f>
        <v>0</v>
      </c>
      <c r="DA751" s="16">
        <f>MIN(MOD(180-ABS(ABS($DA$1-RecData[Yaw Angle (°)])-180),360),MOD(180-ABS(ABS($DB$1-RecData[Yaw Angle (°)])-180),360))</f>
        <v>112.34044313510952</v>
      </c>
      <c r="DB751" s="2" t="str">
        <f>IF($DP$2="None","None",IF(RecData[[#This Row],[Relative Wind Direction]]&lt;=45,"DW",IF(RecData[[#This Row],[Relative Wind Direction]]&lt;=135,"CW","UW")))</f>
        <v>CW</v>
      </c>
      <c r="DC751" s="61">
        <f>IF($CL751-$CL747&gt;1/24,#REF!,IF(SUM($CQ747:$CQ751)&gt;$DS$1,$DS$5,DC752-1))</f>
        <v>-3</v>
      </c>
      <c r="DD751" s="61">
        <f>IF($CL752-$CL751&gt;1/24,#REF!,IF(SUM($CQ747:$CQ751)&gt;$DS$1,$DS$6,DD750-1))</f>
        <v>-8</v>
      </c>
      <c r="DE751" s="18" t="b">
        <v>0</v>
      </c>
      <c r="DF751" s="2" t="b">
        <f>IF(OR(RecData[[#This Row],[WSpd_Avg '[m/s']]]-RecData[[#This Row],[Wind Speed min]]&gt;=$DF$3,RecData[[#This Row],[Wind Speed max]]-RecData[[#This Row],[WSpd_Avg '[m/s']]]&gt;=$DF$2),TRUE,FALSE)</f>
        <v>0</v>
      </c>
      <c r="DG751" s="2" t="b">
        <f>RecData[[#This Row],[Temperature '[°C']]]&lt;=-20</f>
        <v>0</v>
      </c>
      <c r="DH751" s="18" t="b">
        <f>NOT(OR(MOD(RecData[[#This Row],[TIMESTAMP]],1)&gt;0.91632,MOD(RecData[[#This Row],[TIMESTAMP]],1)&lt;0.208681))</f>
        <v>0</v>
      </c>
      <c r="DI751" s="18" t="b">
        <f>RecData[[#This Row],[Overall (dBA)]]-RecData[[#This Row],[L90]]&gt;=$DS$4</f>
        <v>0</v>
      </c>
      <c r="DJ751" s="18" t="b">
        <f>RecData[[#This Row],[Overall (dBA)]]&gt;$DS$2</f>
        <v>0</v>
      </c>
      <c r="DK751" s="18" t="b">
        <f>RecData[[#This Row],[Overall (dBA)]]&lt;$DS$3</f>
        <v>0</v>
      </c>
      <c r="DL7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1" s="2">
        <f>IF(AND(RecData[[#This Row],[Turbines ON/OFF]] = "OFF", NOT(OR(RecData[[#This Row],[Junk?]]="YES",RecData[[#This Row],[Gust?]],RecData[[#This Row],[Rain?]:[Min SPL Threshold?]]))),1,0)</f>
        <v>1</v>
      </c>
      <c r="DN751" s="16">
        <f>RecData[[#This Row],[dBA Sum]]</f>
        <v>20.020837333538196</v>
      </c>
      <c r="DO751" s="16">
        <f>RecData[[#This Row],[LAF90.0]]</f>
        <v>22.4</v>
      </c>
      <c r="DP751" s="55" t="str">
        <f>IF(AND(RecData[[#This Row],[Useable TON Data?]],RecData[[#This Row],[Turbines ON/OFF]]="ON"),RecData[[#This Row],[dBA Sum]],"")</f>
        <v/>
      </c>
      <c r="DQ751" s="55">
        <f>IF(AND(RecData[[#This Row],[Useable Background Data?]],RecData[[#This Row],[Turbines ON/OFF]]="OFF"),RecData[[#This Row],[dBA Sum]],"")</f>
        <v>20.020837333538196</v>
      </c>
      <c r="DR751" s="3">
        <f>IF(OR(RecData[[#This Row],[Useable TON Data?]],RecData[[#This Row],[Useable Background Data?]]),ROUND(RecData[[#This Row],[WSpd_Avg '[m/s']]],0),"")</f>
        <v>1</v>
      </c>
      <c r="DS751" s="85">
        <f>(0.00002)^2*(10^(RecData[[#This Row],[Overall (dBA)]]/10))</f>
        <v>4.0192380082528778E-8</v>
      </c>
    </row>
    <row r="752" spans="1:123" ht="15" x14ac:dyDescent="0.25">
      <c r="A752" s="3" t="s">
        <v>249</v>
      </c>
      <c r="B752" s="12">
        <v>43272.95694444445</v>
      </c>
      <c r="C752" s="3"/>
      <c r="D752" s="3">
        <v>27.9</v>
      </c>
      <c r="E752" s="3"/>
      <c r="F752" s="3"/>
      <c r="G752" s="3"/>
      <c r="H752" s="3"/>
      <c r="I752" s="3"/>
      <c r="J752" s="3"/>
      <c r="K752" s="3">
        <v>23.1</v>
      </c>
      <c r="L752" s="3"/>
      <c r="M752" s="3"/>
      <c r="N752" s="3">
        <v>128.5</v>
      </c>
      <c r="O752" s="3"/>
      <c r="P752" s="3"/>
      <c r="Q752" s="3">
        <v>0.6</v>
      </c>
      <c r="R752" s="3">
        <v>0.5</v>
      </c>
      <c r="S752" s="3">
        <v>0.7</v>
      </c>
      <c r="T752" s="3">
        <v>9</v>
      </c>
      <c r="U752" s="3">
        <v>74.2</v>
      </c>
      <c r="V752" s="3">
        <v>970.7</v>
      </c>
      <c r="W752" s="3">
        <v>0</v>
      </c>
      <c r="X752" s="3">
        <v>22.9</v>
      </c>
      <c r="Y752" s="3">
        <v>21.8</v>
      </c>
      <c r="Z752" s="3">
        <v>23.4</v>
      </c>
      <c r="AA752" s="3">
        <v>14.1</v>
      </c>
      <c r="AB752" s="3">
        <v>8.6999999999999993</v>
      </c>
      <c r="AC752" s="3">
        <v>6.8</v>
      </c>
      <c r="AD752" s="3">
        <v>11.2</v>
      </c>
      <c r="AE752" s="3">
        <v>10.8</v>
      </c>
      <c r="AF752" s="3">
        <v>15.4</v>
      </c>
      <c r="AG752" s="3">
        <v>15.3</v>
      </c>
      <c r="AH752" s="3">
        <v>16.3</v>
      </c>
      <c r="AI752" s="3">
        <v>15</v>
      </c>
      <c r="AJ752" s="3">
        <v>15</v>
      </c>
      <c r="AK752" s="3">
        <v>15.8</v>
      </c>
      <c r="AL752" s="3">
        <v>11.7</v>
      </c>
      <c r="AM752" s="3">
        <v>18.7</v>
      </c>
      <c r="AN752" s="3">
        <v>14</v>
      </c>
      <c r="AO752" s="3">
        <v>12.8</v>
      </c>
      <c r="AP752" s="3">
        <v>11.8</v>
      </c>
      <c r="AQ752" s="3">
        <v>8.9</v>
      </c>
      <c r="AR752" s="3">
        <v>7.8</v>
      </c>
      <c r="AS752" s="3">
        <v>16.399999999999999</v>
      </c>
      <c r="AT752" s="3">
        <v>24.4</v>
      </c>
      <c r="AU752" s="3">
        <v>7.6</v>
      </c>
      <c r="AV752" s="3">
        <v>8.1999999999999993</v>
      </c>
      <c r="AW752" s="3">
        <v>9</v>
      </c>
      <c r="AX752" s="3">
        <v>9.1</v>
      </c>
      <c r="AY752" s="3">
        <v>9.1999999999999993</v>
      </c>
      <c r="AZ752" s="3">
        <v>0</v>
      </c>
      <c r="BA752" s="3">
        <v>0</v>
      </c>
      <c r="BB752" s="3">
        <v>0</v>
      </c>
      <c r="BC752" s="3">
        <v>27.883488153994868</v>
      </c>
      <c r="BD752" s="3">
        <v>22.916511846005129</v>
      </c>
      <c r="BE752" s="3">
        <v>21.816511846005135</v>
      </c>
      <c r="BF752" s="3">
        <v>22.176511846005134</v>
      </c>
      <c r="BG752" s="3">
        <v>13.203178512671791</v>
      </c>
      <c r="BH752" s="3">
        <v>7.9431785126717998</v>
      </c>
      <c r="BI752" s="3">
        <v>6.4565118460051281</v>
      </c>
      <c r="BJ752" s="3">
        <v>11.649845179338463</v>
      </c>
      <c r="BK752" s="3">
        <v>11.123178512671792</v>
      </c>
      <c r="BL752" s="3">
        <v>15.296511846005131</v>
      </c>
      <c r="BM752" s="3">
        <v>15.32984517933847</v>
      </c>
      <c r="BN752" s="3">
        <v>16.613178512671801</v>
      </c>
      <c r="BO752" s="3">
        <v>14.679845179338464</v>
      </c>
      <c r="BP752" s="3">
        <v>14.396511846005133</v>
      </c>
      <c r="BQ752" s="3">
        <v>15.613178512671787</v>
      </c>
      <c r="BR752" s="3">
        <v>11.839845179338461</v>
      </c>
      <c r="BS752" s="3">
        <v>18.643178512671795</v>
      </c>
      <c r="BT752" s="3">
        <v>14.139845179338465</v>
      </c>
      <c r="BU752" s="3">
        <v>12.906511846005138</v>
      </c>
      <c r="BV752" s="3">
        <v>11.623178512671799</v>
      </c>
      <c r="BW752" s="3">
        <v>9.2565118460051323</v>
      </c>
      <c r="BX752" s="3">
        <v>8.0765118460051397</v>
      </c>
      <c r="BY752" s="3">
        <v>16.496511846005127</v>
      </c>
      <c r="BZ752" s="3">
        <v>24.626511846005137</v>
      </c>
      <c r="CA752" s="3">
        <v>7.9265118460051198</v>
      </c>
      <c r="CB752" s="3">
        <v>7.9631785126717958</v>
      </c>
      <c r="CC752" s="3">
        <v>8.9765118460051312</v>
      </c>
      <c r="CD752" s="3">
        <v>8.3831785126717975</v>
      </c>
      <c r="CE752" s="3">
        <v>8.6765118460051269</v>
      </c>
      <c r="CF752" s="3">
        <v>-0.91015482066153552</v>
      </c>
      <c r="CG752" s="3">
        <v>-1.443488153994867</v>
      </c>
      <c r="CH752" s="3">
        <v>-2.520154820661535</v>
      </c>
      <c r="CI752" s="13">
        <f>[1]!dbasum(RecData[[#This Row],[20]:[2000]],RecData[[#Headers],[20]:[2000]])</f>
        <v>22.029736186440584</v>
      </c>
      <c r="CJ752" s="14">
        <v>9387</v>
      </c>
      <c r="CK752" s="15" t="s">
        <v>249</v>
      </c>
      <c r="CL752" s="15">
        <f>RecData[[#This Row],[Start Time]]</f>
        <v>43272.95694444445</v>
      </c>
      <c r="CM752" s="16">
        <f>RecData[[#This Row],[Wind Speed avg]]</f>
        <v>0.6</v>
      </c>
      <c r="CN752" s="16">
        <f>RecData[[#This Row],[Wind Dir. avg]]</f>
        <v>128.5</v>
      </c>
      <c r="CO752" s="16">
        <f>RecData[[#This Row],[Amb. Humidity]]</f>
        <v>74.2</v>
      </c>
      <c r="CP752" s="16">
        <f>RecData[[#This Row],[Amb. Temperature]]</f>
        <v>9</v>
      </c>
      <c r="CQ752" s="17">
        <f>RecData[[#This Row],[Amb. Rain Gauge]]</f>
        <v>0</v>
      </c>
      <c r="CR752" s="4" t="s">
        <v>50</v>
      </c>
      <c r="CS752" s="4" t="s">
        <v>49</v>
      </c>
      <c r="CT752" s="70">
        <v>-9.8005876541137695</v>
      </c>
      <c r="CU752" s="70">
        <v>255.18948364257801</v>
      </c>
      <c r="CV752" s="70">
        <v>1.44100606441497</v>
      </c>
      <c r="CW752" s="70">
        <v>0</v>
      </c>
      <c r="CX752" s="109"/>
      <c r="CY752" s="110"/>
      <c r="CZ752" s="2" t="b">
        <f>IF($DP$1="YES",IF(RecData[[#This Row],[Power (kW)]]&gt;=$CR$3, TRUE,FALSE),TRUE)</f>
        <v>0</v>
      </c>
      <c r="DA752" s="16">
        <f>MIN(MOD(180-ABS(ABS($DA$1-RecData[Yaw Angle (°)])-180),360),MOD(180-ABS(ABS($DB$1-RecData[Yaw Angle (°)])-180),360))</f>
        <v>112.34044313510952</v>
      </c>
      <c r="DB752" s="2" t="str">
        <f>IF($DP$2="None","None",IF(RecData[[#This Row],[Relative Wind Direction]]&lt;=45,"DW",IF(RecData[[#This Row],[Relative Wind Direction]]&lt;=135,"CW","UW")))</f>
        <v>CW</v>
      </c>
      <c r="DC752" s="61">
        <f>IF($CL752-$CL748&gt;1/24,#REF!,IF(SUM($CQ748:$CQ752)&gt;$DS$1,$DS$5,DC753-1))</f>
        <v>-2</v>
      </c>
      <c r="DD752" s="61">
        <f>IF($CL753-$CL752&gt;1/24,#REF!,IF(SUM($CQ748:$CQ752)&gt;$DS$1,$DS$6,DD751-1))</f>
        <v>-9</v>
      </c>
      <c r="DE752" s="18" t="b">
        <v>0</v>
      </c>
      <c r="DF752" s="2" t="b">
        <f>IF(OR(RecData[[#This Row],[WSpd_Avg '[m/s']]]-RecData[[#This Row],[Wind Speed min]]&gt;=$DF$3,RecData[[#This Row],[Wind Speed max]]-RecData[[#This Row],[WSpd_Avg '[m/s']]]&gt;=$DF$2),TRUE,FALSE)</f>
        <v>0</v>
      </c>
      <c r="DG752" s="2" t="b">
        <f>RecData[[#This Row],[Temperature '[°C']]]&lt;=-20</f>
        <v>0</v>
      </c>
      <c r="DH752" s="18" t="b">
        <f>NOT(OR(MOD(RecData[[#This Row],[TIMESTAMP]],1)&gt;0.91632,MOD(RecData[[#This Row],[TIMESTAMP]],1)&lt;0.208681))</f>
        <v>0</v>
      </c>
      <c r="DI752" s="18" t="b">
        <f>RecData[[#This Row],[Overall (dBA)]]-RecData[[#This Row],[L90]]&gt;=$DS$4</f>
        <v>0</v>
      </c>
      <c r="DJ752" s="18" t="b">
        <f>RecData[[#This Row],[Overall (dBA)]]&gt;$DS$2</f>
        <v>0</v>
      </c>
      <c r="DK752" s="18" t="b">
        <f>RecData[[#This Row],[Overall (dBA)]]&lt;$DS$3</f>
        <v>0</v>
      </c>
      <c r="DL7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2" s="2">
        <f>IF(AND(RecData[[#This Row],[Turbines ON/OFF]] = "OFF", NOT(OR(RecData[[#This Row],[Junk?]]="YES",RecData[[#This Row],[Gust?]],RecData[[#This Row],[Rain?]:[Min SPL Threshold?]]))),1,0)</f>
        <v>1</v>
      </c>
      <c r="DN752" s="16">
        <f>RecData[[#This Row],[dBA Sum]]</f>
        <v>22.029736186440584</v>
      </c>
      <c r="DO752" s="16">
        <f>RecData[[#This Row],[LAF90.0]]</f>
        <v>23.1</v>
      </c>
      <c r="DP752" s="55" t="str">
        <f>IF(AND(RecData[[#This Row],[Useable TON Data?]],RecData[[#This Row],[Turbines ON/OFF]]="ON"),RecData[[#This Row],[dBA Sum]],"")</f>
        <v/>
      </c>
      <c r="DQ752" s="55">
        <f>IF(AND(RecData[[#This Row],[Useable Background Data?]],RecData[[#This Row],[Turbines ON/OFF]]="OFF"),RecData[[#This Row],[dBA Sum]],"")</f>
        <v>22.029736186440584</v>
      </c>
      <c r="DR752" s="3">
        <f>IF(OR(RecData[[#This Row],[Useable TON Data?]],RecData[[#This Row],[Useable Background Data?]]),ROUND(RecData[[#This Row],[WSpd_Avg '[m/s']]],0),"")</f>
        <v>1</v>
      </c>
      <c r="DS752" s="85">
        <f>(0.00002)^2*(10^(RecData[[#This Row],[Overall (dBA)]]/10))</f>
        <v>6.3831288319859794E-8</v>
      </c>
    </row>
    <row r="753" spans="1:123" ht="15" x14ac:dyDescent="0.25">
      <c r="A753" s="3" t="s">
        <v>249</v>
      </c>
      <c r="B753" s="12">
        <v>43272.957638888896</v>
      </c>
      <c r="C753" s="3"/>
      <c r="D753" s="3">
        <v>26</v>
      </c>
      <c r="E753" s="3"/>
      <c r="F753" s="3"/>
      <c r="G753" s="3"/>
      <c r="H753" s="3"/>
      <c r="I753" s="3"/>
      <c r="J753" s="3"/>
      <c r="K753" s="3">
        <v>20.2</v>
      </c>
      <c r="L753" s="3"/>
      <c r="M753" s="3"/>
      <c r="N753" s="3">
        <v>136.9</v>
      </c>
      <c r="O753" s="3"/>
      <c r="P753" s="3"/>
      <c r="Q753" s="3">
        <v>0.59</v>
      </c>
      <c r="R753" s="3">
        <v>0.5</v>
      </c>
      <c r="S753" s="3">
        <v>0.7</v>
      </c>
      <c r="T753" s="3">
        <v>8.9</v>
      </c>
      <c r="U753" s="3">
        <v>74.7</v>
      </c>
      <c r="V753" s="3">
        <v>970.7</v>
      </c>
      <c r="W753" s="3">
        <v>0</v>
      </c>
      <c r="X753" s="3">
        <v>24.3</v>
      </c>
      <c r="Y753" s="3">
        <v>19</v>
      </c>
      <c r="Z753" s="3">
        <v>19</v>
      </c>
      <c r="AA753" s="3">
        <v>13.1</v>
      </c>
      <c r="AB753" s="3">
        <v>8.6</v>
      </c>
      <c r="AC753" s="3">
        <v>6.1</v>
      </c>
      <c r="AD753" s="3">
        <v>8.8000000000000007</v>
      </c>
      <c r="AE753" s="3">
        <v>8.4</v>
      </c>
      <c r="AF753" s="3">
        <v>12.7</v>
      </c>
      <c r="AG753" s="3">
        <v>8.4</v>
      </c>
      <c r="AH753" s="3">
        <v>8.9</v>
      </c>
      <c r="AI753" s="3">
        <v>8.1999999999999993</v>
      </c>
      <c r="AJ753" s="3">
        <v>8.9</v>
      </c>
      <c r="AK753" s="3">
        <v>9.1999999999999993</v>
      </c>
      <c r="AL753" s="3">
        <v>7.9</v>
      </c>
      <c r="AM753" s="3">
        <v>8.1999999999999993</v>
      </c>
      <c r="AN753" s="3">
        <v>8.6999999999999993</v>
      </c>
      <c r="AO753" s="3">
        <v>7.9</v>
      </c>
      <c r="AP753" s="3">
        <v>7</v>
      </c>
      <c r="AQ753" s="3">
        <v>6.6</v>
      </c>
      <c r="AR753" s="3">
        <v>6.1</v>
      </c>
      <c r="AS753" s="3">
        <v>17.5</v>
      </c>
      <c r="AT753" s="3">
        <v>22.5</v>
      </c>
      <c r="AU753" s="3">
        <v>7.3</v>
      </c>
      <c r="AV753" s="3">
        <v>8</v>
      </c>
      <c r="AW753" s="3">
        <v>8.6999999999999993</v>
      </c>
      <c r="AX753" s="3">
        <v>9</v>
      </c>
      <c r="AY753" s="3">
        <v>9.1</v>
      </c>
      <c r="AZ753" s="3">
        <v>0</v>
      </c>
      <c r="BA753" s="3">
        <v>0</v>
      </c>
      <c r="BB753" s="3">
        <v>0</v>
      </c>
      <c r="BC753" s="3">
        <v>25.849746107548292</v>
      </c>
      <c r="BD753" s="3">
        <v>24.450253892451705</v>
      </c>
      <c r="BE753" s="3">
        <v>19.150253892451708</v>
      </c>
      <c r="BF753" s="3">
        <v>17.910253892451713</v>
      </c>
      <c r="BG753" s="3">
        <v>12.336920559118376</v>
      </c>
      <c r="BH753" s="3">
        <v>7.9769205591183763</v>
      </c>
      <c r="BI753" s="3">
        <v>5.8902538924517103</v>
      </c>
      <c r="BJ753" s="3">
        <v>9.3835872257850426</v>
      </c>
      <c r="BK753" s="3">
        <v>8.8569205591183717</v>
      </c>
      <c r="BL753" s="3">
        <v>12.730253892451707</v>
      </c>
      <c r="BM753" s="3">
        <v>8.5635872257850423</v>
      </c>
      <c r="BN753" s="3">
        <v>9.3469205591183737</v>
      </c>
      <c r="BO753" s="3">
        <v>8.0135872257850451</v>
      </c>
      <c r="BP753" s="3">
        <v>8.4302538924517094</v>
      </c>
      <c r="BQ753" s="3">
        <v>9.1469205591183638</v>
      </c>
      <c r="BR753" s="3">
        <v>8.1735872257850417</v>
      </c>
      <c r="BS753" s="3">
        <v>8.2769205591183734</v>
      </c>
      <c r="BT753" s="3">
        <v>8.973587225785046</v>
      </c>
      <c r="BU753" s="3">
        <v>8.1402538924517103</v>
      </c>
      <c r="BV753" s="3">
        <v>6.9569205591183731</v>
      </c>
      <c r="BW753" s="3">
        <v>7.0902538924517131</v>
      </c>
      <c r="BX753" s="3">
        <v>6.5102538924517148</v>
      </c>
      <c r="BY753" s="3">
        <v>17.730253892451707</v>
      </c>
      <c r="BZ753" s="3">
        <v>22.860253892451716</v>
      </c>
      <c r="CA753" s="3">
        <v>7.7602538924517006</v>
      </c>
      <c r="CB753" s="3">
        <v>7.8969205591183709</v>
      </c>
      <c r="CC753" s="3">
        <v>8.8102538924517049</v>
      </c>
      <c r="CD753" s="3">
        <v>8.4169205591183811</v>
      </c>
      <c r="CE753" s="3">
        <v>8.7102538924517106</v>
      </c>
      <c r="CF753" s="3">
        <v>-0.77641277421495758</v>
      </c>
      <c r="CG753" s="3">
        <v>-1.309746107548289</v>
      </c>
      <c r="CH753" s="3">
        <v>-2.386412774214957</v>
      </c>
      <c r="CI753" s="13">
        <f>[1]!dbasum(RecData[[#This Row],[20]:[2000]],RecData[[#Headers],[20]:[2000]])</f>
        <v>16.558403899229489</v>
      </c>
      <c r="CJ753" s="14">
        <v>9388</v>
      </c>
      <c r="CK753" s="15" t="s">
        <v>249</v>
      </c>
      <c r="CL753" s="15">
        <f>RecData[[#This Row],[Start Time]]</f>
        <v>43272.957638888896</v>
      </c>
      <c r="CM753" s="16">
        <f>RecData[[#This Row],[Wind Speed avg]]</f>
        <v>0.59</v>
      </c>
      <c r="CN753" s="16">
        <f>RecData[[#This Row],[Wind Dir. avg]]</f>
        <v>136.9</v>
      </c>
      <c r="CO753" s="16">
        <f>RecData[[#This Row],[Amb. Humidity]]</f>
        <v>74.7</v>
      </c>
      <c r="CP753" s="16">
        <f>RecData[[#This Row],[Amb. Temperature]]</f>
        <v>8.9</v>
      </c>
      <c r="CQ753" s="17">
        <f>RecData[[#This Row],[Amb. Rain Gauge]]</f>
        <v>0</v>
      </c>
      <c r="CR753" s="4" t="s">
        <v>50</v>
      </c>
      <c r="CS753" s="4" t="s">
        <v>49</v>
      </c>
      <c r="CT753" s="70">
        <v>-9.8005876541137695</v>
      </c>
      <c r="CU753" s="70">
        <v>255.18948364257801</v>
      </c>
      <c r="CV753" s="70">
        <v>1.44100606441497</v>
      </c>
      <c r="CW753" s="70">
        <v>0</v>
      </c>
      <c r="CX753" s="109"/>
      <c r="CY753" s="110"/>
      <c r="CZ753" s="2" t="b">
        <f>IF($DP$1="YES",IF(RecData[[#This Row],[Power (kW)]]&gt;=$CR$3, TRUE,FALSE),TRUE)</f>
        <v>0</v>
      </c>
      <c r="DA753" s="16">
        <f>MIN(MOD(180-ABS(ABS($DA$1-RecData[Yaw Angle (°)])-180),360),MOD(180-ABS(ABS($DB$1-RecData[Yaw Angle (°)])-180),360))</f>
        <v>112.34044313510952</v>
      </c>
      <c r="DB753" s="2" t="str">
        <f>IF($DP$2="None","None",IF(RecData[[#This Row],[Relative Wind Direction]]&lt;=45,"DW",IF(RecData[[#This Row],[Relative Wind Direction]]&lt;=135,"CW","UW")))</f>
        <v>CW</v>
      </c>
      <c r="DC753" s="61">
        <v>-1</v>
      </c>
      <c r="DD753" s="61">
        <v>-1</v>
      </c>
      <c r="DE753" s="18" t="b">
        <v>0</v>
      </c>
      <c r="DF753" s="2" t="b">
        <f>IF(OR(RecData[[#This Row],[WSpd_Avg '[m/s']]]-RecData[[#This Row],[Wind Speed min]]&gt;=$DF$3,RecData[[#This Row],[Wind Speed max]]-RecData[[#This Row],[WSpd_Avg '[m/s']]]&gt;=$DF$2),TRUE,FALSE)</f>
        <v>0</v>
      </c>
      <c r="DG753" s="2" t="b">
        <f>RecData[[#This Row],[Temperature '[°C']]]&lt;=-20</f>
        <v>0</v>
      </c>
      <c r="DH753" s="18" t="b">
        <f>NOT(OR(MOD(RecData[[#This Row],[TIMESTAMP]],1)&gt;0.91632,MOD(RecData[[#This Row],[TIMESTAMP]],1)&lt;0.208681))</f>
        <v>0</v>
      </c>
      <c r="DI753" s="18" t="b">
        <f>RecData[[#This Row],[Overall (dBA)]]-RecData[[#This Row],[L90]]&gt;=$DS$4</f>
        <v>0</v>
      </c>
      <c r="DJ753" s="18" t="b">
        <f>RecData[[#This Row],[Overall (dBA)]]&gt;$DS$2</f>
        <v>0</v>
      </c>
      <c r="DK753" s="18" t="b">
        <f>RecData[[#This Row],[Overall (dBA)]]&lt;$DS$3</f>
        <v>0</v>
      </c>
      <c r="DL7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3" s="2">
        <f>IF(AND(RecData[[#This Row],[Turbines ON/OFF]] = "OFF", NOT(OR(RecData[[#This Row],[Junk?]]="YES",RecData[[#This Row],[Gust?]],RecData[[#This Row],[Rain?]:[Min SPL Threshold?]]))),1,0)</f>
        <v>1</v>
      </c>
      <c r="DN753" s="16">
        <f>RecData[[#This Row],[dBA Sum]]</f>
        <v>16.558403899229489</v>
      </c>
      <c r="DO753" s="16">
        <f>RecData[[#This Row],[LAF90.0]]</f>
        <v>20.2</v>
      </c>
      <c r="DP753" s="55" t="str">
        <f>IF(AND(RecData[[#This Row],[Useable TON Data?]],RecData[[#This Row],[Turbines ON/OFF]]="ON"),RecData[[#This Row],[dBA Sum]],"")</f>
        <v/>
      </c>
      <c r="DQ753" s="55">
        <f>IF(AND(RecData[[#This Row],[Useable Background Data?]],RecData[[#This Row],[Turbines ON/OFF]]="OFF"),RecData[[#This Row],[dBA Sum]],"")</f>
        <v>16.558403899229489</v>
      </c>
      <c r="DR753" s="3">
        <f>IF(OR(RecData[[#This Row],[Useable TON Data?]],RecData[[#This Row],[Useable Background Data?]]),ROUND(RecData[[#This Row],[WSpd_Avg '[m/s']]],0),"")</f>
        <v>1</v>
      </c>
      <c r="DS753" s="85">
        <f>(0.00002)^2*(10^(RecData[[#This Row],[Overall (dBA)]]/10))</f>
        <v>1.8109246539065058E-8</v>
      </c>
    </row>
    <row r="754" spans="1:123" ht="15" x14ac:dyDescent="0.25">
      <c r="A754" s="3" t="s">
        <v>249</v>
      </c>
      <c r="B754" s="12">
        <v>43272.958333333336</v>
      </c>
      <c r="C754" s="3"/>
      <c r="D754" s="3">
        <v>26.6</v>
      </c>
      <c r="E754" s="3"/>
      <c r="F754" s="3"/>
      <c r="G754" s="3"/>
      <c r="H754" s="3"/>
      <c r="I754" s="3"/>
      <c r="J754" s="3"/>
      <c r="K754" s="3">
        <v>21.1</v>
      </c>
      <c r="L754" s="3"/>
      <c r="M754" s="3"/>
      <c r="N754" s="3">
        <v>141.5</v>
      </c>
      <c r="O754" s="3"/>
      <c r="P754" s="3"/>
      <c r="Q754" s="3">
        <v>0.56999999999999995</v>
      </c>
      <c r="R754" s="3">
        <v>0.5</v>
      </c>
      <c r="S754" s="3">
        <v>0.7</v>
      </c>
      <c r="T754" s="3">
        <v>8.9</v>
      </c>
      <c r="U754" s="3">
        <v>75</v>
      </c>
      <c r="V754" s="3">
        <v>970.7</v>
      </c>
      <c r="W754" s="3">
        <v>0</v>
      </c>
      <c r="X754" s="3">
        <v>23.7</v>
      </c>
      <c r="Y754" s="3">
        <v>25.9</v>
      </c>
      <c r="Z754" s="3">
        <v>28.2</v>
      </c>
      <c r="AA754" s="3">
        <v>20.399999999999999</v>
      </c>
      <c r="AB754" s="3">
        <v>15.2</v>
      </c>
      <c r="AC754" s="3">
        <v>10.199999999999999</v>
      </c>
      <c r="AD754" s="3">
        <v>13.2</v>
      </c>
      <c r="AE754" s="3">
        <v>14.5</v>
      </c>
      <c r="AF754" s="3">
        <v>16.100000000000001</v>
      </c>
      <c r="AG754" s="3">
        <v>12.5</v>
      </c>
      <c r="AH754" s="3">
        <v>9.3000000000000007</v>
      </c>
      <c r="AI754" s="3">
        <v>8.5</v>
      </c>
      <c r="AJ754" s="3">
        <v>9.1</v>
      </c>
      <c r="AK754" s="3">
        <v>8.3000000000000007</v>
      </c>
      <c r="AL754" s="3">
        <v>7.9</v>
      </c>
      <c r="AM754" s="3">
        <v>7.9</v>
      </c>
      <c r="AN754" s="3">
        <v>8.4</v>
      </c>
      <c r="AO754" s="3">
        <v>7.9</v>
      </c>
      <c r="AP754" s="3">
        <v>7</v>
      </c>
      <c r="AQ754" s="3">
        <v>6.7</v>
      </c>
      <c r="AR754" s="3">
        <v>6.1</v>
      </c>
      <c r="AS754" s="3">
        <v>17.600000000000001</v>
      </c>
      <c r="AT754" s="3">
        <v>23.5</v>
      </c>
      <c r="AU754" s="3">
        <v>7.4</v>
      </c>
      <c r="AV754" s="3">
        <v>8.1</v>
      </c>
      <c r="AW754" s="3">
        <v>8.8000000000000007</v>
      </c>
      <c r="AX754" s="3">
        <v>9.1</v>
      </c>
      <c r="AY754" s="3">
        <v>9.1999999999999993</v>
      </c>
      <c r="AZ754" s="3">
        <v>0</v>
      </c>
      <c r="BA754" s="3">
        <v>0</v>
      </c>
      <c r="BB754" s="3">
        <v>0</v>
      </c>
      <c r="BC754" s="3">
        <v>26.516440437772882</v>
      </c>
      <c r="BD754" s="3">
        <v>23.783559562227115</v>
      </c>
      <c r="BE754" s="3">
        <v>25.983559562227118</v>
      </c>
      <c r="BF754" s="3">
        <v>27.04355956222712</v>
      </c>
      <c r="BG754" s="3">
        <v>19.570226228893777</v>
      </c>
      <c r="BH754" s="3">
        <v>14.510226228893789</v>
      </c>
      <c r="BI754" s="3">
        <v>9.9235595622271155</v>
      </c>
      <c r="BJ754" s="3">
        <v>13.716892895560452</v>
      </c>
      <c r="BK754" s="3">
        <v>14.890226228893784</v>
      </c>
      <c r="BL754" s="3">
        <v>16.063559562227123</v>
      </c>
      <c r="BM754" s="3">
        <v>12.596892895560455</v>
      </c>
      <c r="BN754" s="3">
        <v>9.6802262288937904</v>
      </c>
      <c r="BO754" s="3">
        <v>8.2468928955604532</v>
      </c>
      <c r="BP754" s="3">
        <v>8.5635595622271161</v>
      </c>
      <c r="BQ754" s="3">
        <v>8.1802262288937762</v>
      </c>
      <c r="BR754" s="3">
        <v>8.1068928955604527</v>
      </c>
      <c r="BS754" s="3">
        <v>7.9102262288937872</v>
      </c>
      <c r="BT754" s="3">
        <v>8.6068928955604527</v>
      </c>
      <c r="BU754" s="3">
        <v>8.0735595622271212</v>
      </c>
      <c r="BV754" s="3">
        <v>6.8902262288937841</v>
      </c>
      <c r="BW754" s="3">
        <v>7.1235595622271255</v>
      </c>
      <c r="BX754" s="3">
        <v>6.4435595622271258</v>
      </c>
      <c r="BY754" s="3">
        <v>17.763559562227119</v>
      </c>
      <c r="BZ754" s="3">
        <v>23.79355956222712</v>
      </c>
      <c r="CA754" s="3">
        <v>7.793559562227113</v>
      </c>
      <c r="CB754" s="3">
        <v>7.9302262288937833</v>
      </c>
      <c r="CC754" s="3">
        <v>8.8435595622271173</v>
      </c>
      <c r="CD754" s="3">
        <v>8.4502262288937864</v>
      </c>
      <c r="CE754" s="3">
        <v>8.7435595622271158</v>
      </c>
      <c r="CF754" s="3">
        <v>-0.84310710443954662</v>
      </c>
      <c r="CG754" s="3">
        <v>-1.3764404377728781</v>
      </c>
      <c r="CH754" s="3">
        <v>-2.453107104439546</v>
      </c>
      <c r="CI754" s="13">
        <f>[1]!dbasum(RecData[[#This Row],[20]:[2000]],RecData[[#Headers],[20]:[2000]])</f>
        <v>16.556209542510249</v>
      </c>
      <c r="CJ754" s="14">
        <v>9389</v>
      </c>
      <c r="CK754" s="15" t="s">
        <v>249</v>
      </c>
      <c r="CL754" s="15">
        <f>RecData[[#This Row],[Start Time]]</f>
        <v>43272.958333333336</v>
      </c>
      <c r="CM754" s="16">
        <f>RecData[[#This Row],[Wind Speed avg]]</f>
        <v>0.56999999999999995</v>
      </c>
      <c r="CN754" s="16">
        <f>RecData[[#This Row],[Wind Dir. avg]]</f>
        <v>141.5</v>
      </c>
      <c r="CO754" s="16">
        <f>RecData[[#This Row],[Amb. Humidity]]</f>
        <v>75</v>
      </c>
      <c r="CP754" s="16">
        <f>RecData[[#This Row],[Amb. Temperature]]</f>
        <v>8.9</v>
      </c>
      <c r="CQ754" s="17">
        <f>RecData[[#This Row],[Amb. Rain Gauge]]</f>
        <v>0</v>
      </c>
      <c r="CR754" s="4" t="s">
        <v>50</v>
      </c>
      <c r="CS754" s="4" t="s">
        <v>49</v>
      </c>
      <c r="CT754" s="70">
        <v>-9.8005876541137695</v>
      </c>
      <c r="CU754" s="70">
        <v>255.18948364257801</v>
      </c>
      <c r="CV754" s="70">
        <v>1.44100606441497</v>
      </c>
      <c r="CW754" s="70">
        <v>0</v>
      </c>
      <c r="CX754" s="109"/>
      <c r="CY754" s="110"/>
      <c r="CZ754" s="2" t="b">
        <f>IF($DP$1="YES",IF(RecData[[#This Row],[Power (kW)]]&gt;=$CR$3, TRUE,FALSE),TRUE)</f>
        <v>0</v>
      </c>
      <c r="DA754" s="16">
        <f>MIN(MOD(180-ABS(ABS($DA$1-RecData[Yaw Angle (°)])-180),360),MOD(180-ABS(ABS($DB$1-RecData[Yaw Angle (°)])-180),360))</f>
        <v>112.34044313510952</v>
      </c>
      <c r="DB754" s="2" t="str">
        <f>IF($DP$2="None","None",IF(RecData[[#This Row],[Relative Wind Direction]]&lt;=45,"DW",IF(RecData[[#This Row],[Relative Wind Direction]]&lt;=135,"CW","UW")))</f>
        <v>CW</v>
      </c>
      <c r="DC754" s="61">
        <f>IF($CL754-$CL753&gt;1/24,#REF!,IF(SUM($CQ753:$CQ754)&gt;$DS$1,$DS$5,DC755-1))</f>
        <v>-9</v>
      </c>
      <c r="DD754" s="61">
        <f>IF($CL755-$CL754&gt;1/24,#REF!,IF(SUM($CQ753:$CQ754)&gt;$DS$1,$DS$6,DD753-1))</f>
        <v>-2</v>
      </c>
      <c r="DE754" s="18" t="b">
        <v>0</v>
      </c>
      <c r="DF754" s="2" t="b">
        <f>IF(OR(RecData[[#This Row],[WSpd_Avg '[m/s']]]-RecData[[#This Row],[Wind Speed min]]&gt;=$DF$3,RecData[[#This Row],[Wind Speed max]]-RecData[[#This Row],[WSpd_Avg '[m/s']]]&gt;=$DF$2),TRUE,FALSE)</f>
        <v>0</v>
      </c>
      <c r="DG754" s="2" t="b">
        <f>RecData[[#This Row],[Temperature '[°C']]]&lt;=-20</f>
        <v>0</v>
      </c>
      <c r="DH754" s="18" t="b">
        <f>NOT(OR(MOD(RecData[[#This Row],[TIMESTAMP]],1)&gt;0.91632,MOD(RecData[[#This Row],[TIMESTAMP]],1)&lt;0.208681))</f>
        <v>0</v>
      </c>
      <c r="DI754" s="18" t="b">
        <f>RecData[[#This Row],[Overall (dBA)]]-RecData[[#This Row],[L90]]&gt;=$DS$4</f>
        <v>0</v>
      </c>
      <c r="DJ754" s="18" t="b">
        <f>RecData[[#This Row],[Overall (dBA)]]&gt;$DS$2</f>
        <v>0</v>
      </c>
      <c r="DK754" s="18" t="b">
        <f>RecData[[#This Row],[Overall (dBA)]]&lt;$DS$3</f>
        <v>0</v>
      </c>
      <c r="DL7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4" s="2">
        <f>IF(AND(RecData[[#This Row],[Turbines ON/OFF]] = "OFF", NOT(OR(RecData[[#This Row],[Junk?]]="YES",RecData[[#This Row],[Gust?]],RecData[[#This Row],[Rain?]:[Min SPL Threshold?]]))),1,0)</f>
        <v>1</v>
      </c>
      <c r="DN754" s="16">
        <f>RecData[[#This Row],[dBA Sum]]</f>
        <v>16.556209542510249</v>
      </c>
      <c r="DO754" s="16">
        <f>RecData[[#This Row],[LAF90.0]]</f>
        <v>21.1</v>
      </c>
      <c r="DP754" s="55" t="str">
        <f>IF(AND(RecData[[#This Row],[Useable TON Data?]],RecData[[#This Row],[Turbines ON/OFF]]="ON"),RecData[[#This Row],[dBA Sum]],"")</f>
        <v/>
      </c>
      <c r="DQ754" s="55">
        <f>IF(AND(RecData[[#This Row],[Useable Background Data?]],RecData[[#This Row],[Turbines ON/OFF]]="OFF"),RecData[[#This Row],[dBA Sum]],"")</f>
        <v>16.556209542510249</v>
      </c>
      <c r="DR754" s="3">
        <f>IF(OR(RecData[[#This Row],[Useable TON Data?]],RecData[[#This Row],[Useable Background Data?]]),ROUND(RecData[[#This Row],[WSpd_Avg '[m/s']]],0),"")</f>
        <v>1</v>
      </c>
      <c r="DS754" s="85">
        <f>(0.00002)^2*(10^(RecData[[#This Row],[Overall (dBA)]]/10))</f>
        <v>1.8100098803844721E-8</v>
      </c>
    </row>
    <row r="755" spans="1:123" ht="15" x14ac:dyDescent="0.25">
      <c r="A755" s="3" t="s">
        <v>249</v>
      </c>
      <c r="B755" s="12">
        <v>43272.959027777782</v>
      </c>
      <c r="C755" s="3"/>
      <c r="D755" s="3">
        <v>25.1</v>
      </c>
      <c r="E755" s="3"/>
      <c r="F755" s="3"/>
      <c r="G755" s="3"/>
      <c r="H755" s="3"/>
      <c r="I755" s="3"/>
      <c r="J755" s="3"/>
      <c r="K755" s="3">
        <v>20.6</v>
      </c>
      <c r="L755" s="3"/>
      <c r="M755" s="3"/>
      <c r="N755" s="3">
        <v>158.19999999999999</v>
      </c>
      <c r="O755" s="3"/>
      <c r="P755" s="3"/>
      <c r="Q755" s="3">
        <v>0.5</v>
      </c>
      <c r="R755" s="3">
        <v>0.4</v>
      </c>
      <c r="S755" s="3">
        <v>0.6</v>
      </c>
      <c r="T755" s="3">
        <v>8.9</v>
      </c>
      <c r="U755" s="3">
        <v>74</v>
      </c>
      <c r="V755" s="3">
        <v>970.7</v>
      </c>
      <c r="W755" s="3">
        <v>0</v>
      </c>
      <c r="X755" s="3">
        <v>22.3</v>
      </c>
      <c r="Y755" s="3">
        <v>22.7</v>
      </c>
      <c r="Z755" s="3">
        <v>21.2</v>
      </c>
      <c r="AA755" s="3">
        <v>15.6</v>
      </c>
      <c r="AB755" s="3">
        <v>15.7</v>
      </c>
      <c r="AC755" s="3">
        <v>16.899999999999999</v>
      </c>
      <c r="AD755" s="3">
        <v>19.3</v>
      </c>
      <c r="AE755" s="3">
        <v>19.2</v>
      </c>
      <c r="AF755" s="3">
        <v>16.100000000000001</v>
      </c>
      <c r="AG755" s="3">
        <v>12.4</v>
      </c>
      <c r="AH755" s="3">
        <v>10.8</v>
      </c>
      <c r="AI755" s="3">
        <v>9.1999999999999993</v>
      </c>
      <c r="AJ755" s="3">
        <v>9.8000000000000007</v>
      </c>
      <c r="AK755" s="3">
        <v>9.5</v>
      </c>
      <c r="AL755" s="3">
        <v>8.6999999999999993</v>
      </c>
      <c r="AM755" s="3">
        <v>8.3000000000000007</v>
      </c>
      <c r="AN755" s="3">
        <v>8.6</v>
      </c>
      <c r="AO755" s="3">
        <v>8</v>
      </c>
      <c r="AP755" s="3">
        <v>7.1</v>
      </c>
      <c r="AQ755" s="3">
        <v>7.1</v>
      </c>
      <c r="AR755" s="3">
        <v>6.3</v>
      </c>
      <c r="AS755" s="3">
        <v>17.3</v>
      </c>
      <c r="AT755" s="3">
        <v>20.9</v>
      </c>
      <c r="AU755" s="3">
        <v>7.3</v>
      </c>
      <c r="AV755" s="3">
        <v>8</v>
      </c>
      <c r="AW755" s="3">
        <v>8.6999999999999993</v>
      </c>
      <c r="AX755" s="3">
        <v>9</v>
      </c>
      <c r="AY755" s="3">
        <v>9.1</v>
      </c>
      <c r="AZ755" s="3">
        <v>0</v>
      </c>
      <c r="BA755" s="3">
        <v>0</v>
      </c>
      <c r="BB755" s="3">
        <v>0</v>
      </c>
      <c r="BC755" s="3">
        <v>24.97583987405616</v>
      </c>
      <c r="BD755" s="3">
        <v>22.424160125943846</v>
      </c>
      <c r="BE755" s="3">
        <v>22.824160125943838</v>
      </c>
      <c r="BF755" s="3">
        <v>20.084160125943843</v>
      </c>
      <c r="BG755" s="3">
        <v>14.810826792610502</v>
      </c>
      <c r="BH755" s="3">
        <v>15.050826792610511</v>
      </c>
      <c r="BI755" s="3">
        <v>16.664160125943841</v>
      </c>
      <c r="BJ755" s="3">
        <v>19.857493459277176</v>
      </c>
      <c r="BK755" s="3">
        <v>19.630826792610502</v>
      </c>
      <c r="BL755" s="3">
        <v>16.104160125943846</v>
      </c>
      <c r="BM755" s="3">
        <v>12.537493459277176</v>
      </c>
      <c r="BN755" s="3">
        <v>11.220826792610513</v>
      </c>
      <c r="BO755" s="3">
        <v>8.9874934592771787</v>
      </c>
      <c r="BP755" s="3">
        <v>9.3041601259438416</v>
      </c>
      <c r="BQ755" s="3">
        <v>9.4208267926105016</v>
      </c>
      <c r="BR755" s="3">
        <v>8.9474934592771724</v>
      </c>
      <c r="BS755" s="3">
        <v>8.3508267926105084</v>
      </c>
      <c r="BT755" s="3">
        <v>8.8474934592771781</v>
      </c>
      <c r="BU755" s="3">
        <v>8.2141601259438453</v>
      </c>
      <c r="BV755" s="3">
        <v>7.0308267926105081</v>
      </c>
      <c r="BW755" s="3">
        <v>7.5641601259438467</v>
      </c>
      <c r="BX755" s="3">
        <v>6.6841601259438477</v>
      </c>
      <c r="BY755" s="3">
        <v>17.504160125943844</v>
      </c>
      <c r="BZ755" s="3">
        <v>21.234160125943848</v>
      </c>
      <c r="CA755" s="3">
        <v>7.7341601259438342</v>
      </c>
      <c r="CB755" s="3">
        <v>7.8708267926105044</v>
      </c>
      <c r="CC755" s="3">
        <v>8.7841601259438384</v>
      </c>
      <c r="CD755" s="3">
        <v>8.3908267926105147</v>
      </c>
      <c r="CE755" s="3">
        <v>8.684160125943837</v>
      </c>
      <c r="CF755" s="3">
        <v>-0.80250654072282401</v>
      </c>
      <c r="CG755" s="3">
        <v>-1.3358398740561555</v>
      </c>
      <c r="CH755" s="3">
        <v>-2.4125065407228234</v>
      </c>
      <c r="CI755" s="13">
        <f>[1]!dbasum(RecData[[#This Row],[20]:[2000]],RecData[[#Headers],[20]:[2000]])</f>
        <v>17.056318428795077</v>
      </c>
      <c r="CJ755" s="14">
        <v>9390</v>
      </c>
      <c r="CK755" s="15" t="s">
        <v>249</v>
      </c>
      <c r="CL755" s="15">
        <f>RecData[[#This Row],[Start Time]]</f>
        <v>43272.959027777782</v>
      </c>
      <c r="CM755" s="16">
        <f>RecData[[#This Row],[Wind Speed avg]]</f>
        <v>0.5</v>
      </c>
      <c r="CN755" s="16">
        <f>RecData[[#This Row],[Wind Dir. avg]]</f>
        <v>158.19999999999999</v>
      </c>
      <c r="CO755" s="16">
        <f>RecData[[#This Row],[Amb. Humidity]]</f>
        <v>74</v>
      </c>
      <c r="CP755" s="16">
        <f>RecData[[#This Row],[Amb. Temperature]]</f>
        <v>8.9</v>
      </c>
      <c r="CQ755" s="17">
        <f>RecData[[#This Row],[Amb. Rain Gauge]]</f>
        <v>0</v>
      </c>
      <c r="CR755" s="4" t="s">
        <v>50</v>
      </c>
      <c r="CS755" s="4" t="s">
        <v>49</v>
      </c>
      <c r="CT755" s="70">
        <v>-8.5864486694335902</v>
      </c>
      <c r="CU755" s="70">
        <v>239.00201416015599</v>
      </c>
      <c r="CV755" s="70">
        <v>1.46673619747161</v>
      </c>
      <c r="CW755" s="70">
        <v>0</v>
      </c>
      <c r="CX755" s="109"/>
      <c r="CY755" s="110"/>
      <c r="CZ755" s="2" t="b">
        <f>IF($DP$1="YES",IF(RecData[[#This Row],[Power (kW)]]&gt;=$CR$3, TRUE,FALSE),TRUE)</f>
        <v>0</v>
      </c>
      <c r="DA755" s="16">
        <f>MIN(MOD(180-ABS(ABS($DA$1-RecData[Yaw Angle (°)])-180),360),MOD(180-ABS(ABS($DB$1-RecData[Yaw Angle (°)])-180),360))</f>
        <v>128.52791261753157</v>
      </c>
      <c r="DB755" s="2" t="str">
        <f>IF($DP$2="None","None",IF(RecData[[#This Row],[Relative Wind Direction]]&lt;=45,"DW",IF(RecData[[#This Row],[Relative Wind Direction]]&lt;=135,"CW","UW")))</f>
        <v>CW</v>
      </c>
      <c r="DC755" s="61">
        <f>IF($CL755-$CL753&gt;1/24,#REF!,IF(SUM($CQ753:$CQ755)&gt;$DS$1,$DS$5,DC756-1))</f>
        <v>-8</v>
      </c>
      <c r="DD755" s="61">
        <f>IF($CL756-$CL755&gt;1/24,#REF!,IF(SUM($CQ753:$CQ755)&gt;$DS$1,$DS$6,DD754-1))</f>
        <v>-3</v>
      </c>
      <c r="DE755" s="18" t="b">
        <v>0</v>
      </c>
      <c r="DF755" s="2" t="b">
        <f>IF(OR(RecData[[#This Row],[WSpd_Avg '[m/s']]]-RecData[[#This Row],[Wind Speed min]]&gt;=$DF$3,RecData[[#This Row],[Wind Speed max]]-RecData[[#This Row],[WSpd_Avg '[m/s']]]&gt;=$DF$2),TRUE,FALSE)</f>
        <v>0</v>
      </c>
      <c r="DG755" s="2" t="b">
        <f>RecData[[#This Row],[Temperature '[°C']]]&lt;=-20</f>
        <v>0</v>
      </c>
      <c r="DH755" s="18" t="b">
        <f>NOT(OR(MOD(RecData[[#This Row],[TIMESTAMP]],1)&gt;0.91632,MOD(RecData[[#This Row],[TIMESTAMP]],1)&lt;0.208681))</f>
        <v>0</v>
      </c>
      <c r="DI755" s="18" t="b">
        <f>RecData[[#This Row],[Overall (dBA)]]-RecData[[#This Row],[L90]]&gt;=$DS$4</f>
        <v>0</v>
      </c>
      <c r="DJ755" s="18" t="b">
        <f>RecData[[#This Row],[Overall (dBA)]]&gt;$DS$2</f>
        <v>0</v>
      </c>
      <c r="DK755" s="18" t="b">
        <f>RecData[[#This Row],[Overall (dBA)]]&lt;$DS$3</f>
        <v>0</v>
      </c>
      <c r="DL7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5" s="2">
        <f>IF(AND(RecData[[#This Row],[Turbines ON/OFF]] = "OFF", NOT(OR(RecData[[#This Row],[Junk?]]="YES",RecData[[#This Row],[Gust?]],RecData[[#This Row],[Rain?]:[Min SPL Threshold?]]))),1,0)</f>
        <v>1</v>
      </c>
      <c r="DN755" s="16">
        <f>RecData[[#This Row],[dBA Sum]]</f>
        <v>17.056318428795077</v>
      </c>
      <c r="DO755" s="16">
        <f>RecData[[#This Row],[LAF90.0]]</f>
        <v>20.6</v>
      </c>
      <c r="DP755" s="55" t="str">
        <f>IF(AND(RecData[[#This Row],[Useable TON Data?]],RecData[[#This Row],[Turbines ON/OFF]]="ON"),RecData[[#This Row],[dBA Sum]],"")</f>
        <v/>
      </c>
      <c r="DQ755" s="55">
        <f>IF(AND(RecData[[#This Row],[Useable Background Data?]],RecData[[#This Row],[Turbines ON/OFF]]="OFF"),RecData[[#This Row],[dBA Sum]],"")</f>
        <v>17.056318428795077</v>
      </c>
      <c r="DR755" s="3">
        <f>IF(OR(RecData[[#This Row],[Useable TON Data?]],RecData[[#This Row],[Useable Background Data?]]),ROUND(RecData[[#This Row],[WSpd_Avg '[m/s']]],0),"")</f>
        <v>1</v>
      </c>
      <c r="DS755" s="85">
        <f>(0.00002)^2*(10^(RecData[[#This Row],[Overall (dBA)]]/10))</f>
        <v>2.0309154067200861E-8</v>
      </c>
    </row>
    <row r="756" spans="1:123" ht="15" x14ac:dyDescent="0.25">
      <c r="A756" s="3" t="s">
        <v>249</v>
      </c>
      <c r="B756" s="12">
        <v>43272.959722222222</v>
      </c>
      <c r="C756" s="3"/>
      <c r="D756" s="3">
        <v>25.8</v>
      </c>
      <c r="E756" s="3"/>
      <c r="F756" s="3"/>
      <c r="G756" s="3"/>
      <c r="H756" s="3"/>
      <c r="I756" s="3"/>
      <c r="J756" s="3"/>
      <c r="K756" s="3">
        <v>21.6</v>
      </c>
      <c r="L756" s="3"/>
      <c r="M756" s="3"/>
      <c r="N756" s="3">
        <v>163.1</v>
      </c>
      <c r="O756" s="3"/>
      <c r="P756" s="3"/>
      <c r="Q756" s="3">
        <v>0.55000000000000004</v>
      </c>
      <c r="R756" s="3">
        <v>0.5</v>
      </c>
      <c r="S756" s="3">
        <v>0.6</v>
      </c>
      <c r="T756" s="3">
        <v>8.8000000000000007</v>
      </c>
      <c r="U756" s="3">
        <v>74</v>
      </c>
      <c r="V756" s="3">
        <v>970.7</v>
      </c>
      <c r="W756" s="3">
        <v>0</v>
      </c>
      <c r="X756" s="3">
        <v>22.5</v>
      </c>
      <c r="Y756" s="3">
        <v>22.4</v>
      </c>
      <c r="Z756" s="3">
        <v>22.1</v>
      </c>
      <c r="AA756" s="3">
        <v>13.5</v>
      </c>
      <c r="AB756" s="3">
        <v>14</v>
      </c>
      <c r="AC756" s="3">
        <v>19.100000000000001</v>
      </c>
      <c r="AD756" s="3">
        <v>17.899999999999999</v>
      </c>
      <c r="AE756" s="3">
        <v>15.5</v>
      </c>
      <c r="AF756" s="3">
        <v>16.399999999999999</v>
      </c>
      <c r="AG756" s="3">
        <v>15.1</v>
      </c>
      <c r="AH756" s="3">
        <v>12.1</v>
      </c>
      <c r="AI756" s="3">
        <v>9.3000000000000007</v>
      </c>
      <c r="AJ756" s="3">
        <v>10.1</v>
      </c>
      <c r="AK756" s="3">
        <v>9.1999999999999993</v>
      </c>
      <c r="AL756" s="3">
        <v>8.6999999999999993</v>
      </c>
      <c r="AM756" s="3">
        <v>9.4</v>
      </c>
      <c r="AN756" s="3">
        <v>9.1</v>
      </c>
      <c r="AO756" s="3">
        <v>8.1999999999999993</v>
      </c>
      <c r="AP756" s="3">
        <v>7.3</v>
      </c>
      <c r="AQ756" s="3">
        <v>7</v>
      </c>
      <c r="AR756" s="3">
        <v>6.3</v>
      </c>
      <c r="AS756" s="3">
        <v>17.600000000000001</v>
      </c>
      <c r="AT756" s="3">
        <v>22.1</v>
      </c>
      <c r="AU756" s="3">
        <v>7.5</v>
      </c>
      <c r="AV756" s="3">
        <v>8</v>
      </c>
      <c r="AW756" s="3">
        <v>8.8000000000000007</v>
      </c>
      <c r="AX756" s="3">
        <v>9</v>
      </c>
      <c r="AY756" s="3">
        <v>9.1</v>
      </c>
      <c r="AZ756" s="3">
        <v>0</v>
      </c>
      <c r="BA756" s="3">
        <v>0</v>
      </c>
      <c r="BB756" s="3">
        <v>0</v>
      </c>
      <c r="BC756" s="3">
        <v>25.735103453808279</v>
      </c>
      <c r="BD756" s="3">
        <v>22.564896546191719</v>
      </c>
      <c r="BE756" s="3">
        <v>22.464896546191724</v>
      </c>
      <c r="BF756" s="3">
        <v>20.924896546191725</v>
      </c>
      <c r="BG756" s="3">
        <v>12.651563212858385</v>
      </c>
      <c r="BH756" s="3">
        <v>13.291563212858392</v>
      </c>
      <c r="BI756" s="3">
        <v>18.804896546191728</v>
      </c>
      <c r="BJ756" s="3">
        <v>18.398229879525054</v>
      </c>
      <c r="BK756" s="3">
        <v>15.871563212858383</v>
      </c>
      <c r="BL756" s="3">
        <v>16.34489654619172</v>
      </c>
      <c r="BM756" s="3">
        <v>15.178229879525055</v>
      </c>
      <c r="BN756" s="3">
        <v>12.461563212858387</v>
      </c>
      <c r="BO756" s="3">
        <v>9.0282298795250568</v>
      </c>
      <c r="BP756" s="3">
        <v>9.5448965461917226</v>
      </c>
      <c r="BQ756" s="3">
        <v>9.0615632128583812</v>
      </c>
      <c r="BR756" s="3">
        <v>8.8882298795250563</v>
      </c>
      <c r="BS756" s="3">
        <v>9.3915632128583866</v>
      </c>
      <c r="BT756" s="3">
        <v>9.2882298795250549</v>
      </c>
      <c r="BU756" s="3">
        <v>8.3548965461917248</v>
      </c>
      <c r="BV756" s="3">
        <v>7.1715632128583877</v>
      </c>
      <c r="BW756" s="3">
        <v>7.404896546191722</v>
      </c>
      <c r="BX756" s="3">
        <v>6.624896546191728</v>
      </c>
      <c r="BY756" s="3">
        <v>17.744896546191725</v>
      </c>
      <c r="BZ756" s="3">
        <v>22.374896546191728</v>
      </c>
      <c r="CA756" s="3">
        <v>7.8748965461917138</v>
      </c>
      <c r="CB756" s="3">
        <v>7.8115632128583883</v>
      </c>
      <c r="CC756" s="3">
        <v>8.8248965461917237</v>
      </c>
      <c r="CD756" s="3">
        <v>8.3315632128583914</v>
      </c>
      <c r="CE756" s="3">
        <v>8.6248965461917209</v>
      </c>
      <c r="CF756" s="3">
        <v>-0.86177012047494372</v>
      </c>
      <c r="CG756" s="3">
        <v>-1.3951034538082752</v>
      </c>
      <c r="CH756" s="3">
        <v>-2.4717701204749432</v>
      </c>
      <c r="CI756" s="13">
        <f>[1]!dbasum(RecData[[#This Row],[20]:[2000]],RecData[[#Headers],[20]:[2000]])</f>
        <v>17.236656792697978</v>
      </c>
      <c r="CJ756" s="14">
        <v>9391</v>
      </c>
      <c r="CK756" s="15" t="s">
        <v>249</v>
      </c>
      <c r="CL756" s="15">
        <f>RecData[[#This Row],[Start Time]]</f>
        <v>43272.959722222222</v>
      </c>
      <c r="CM756" s="16">
        <f>RecData[[#This Row],[Wind Speed avg]]</f>
        <v>0.55000000000000004</v>
      </c>
      <c r="CN756" s="16">
        <f>RecData[[#This Row],[Wind Dir. avg]]</f>
        <v>163.1</v>
      </c>
      <c r="CO756" s="16">
        <f>RecData[[#This Row],[Amb. Humidity]]</f>
        <v>74</v>
      </c>
      <c r="CP756" s="16">
        <f>RecData[[#This Row],[Amb. Temperature]]</f>
        <v>8.8000000000000007</v>
      </c>
      <c r="CQ756" s="17">
        <f>RecData[[#This Row],[Amb. Rain Gauge]]</f>
        <v>0</v>
      </c>
      <c r="CR756" s="4" t="s">
        <v>50</v>
      </c>
      <c r="CS756" s="4" t="s">
        <v>49</v>
      </c>
      <c r="CT756" s="70">
        <v>-8.5864486694335902</v>
      </c>
      <c r="CU756" s="70">
        <v>239.00201416015599</v>
      </c>
      <c r="CV756" s="70">
        <v>1.46673619747161</v>
      </c>
      <c r="CW756" s="70">
        <v>0</v>
      </c>
      <c r="CX756" s="109"/>
      <c r="CY756" s="110"/>
      <c r="CZ756" s="2" t="b">
        <f>IF($DP$1="YES",IF(RecData[[#This Row],[Power (kW)]]&gt;=$CR$3, TRUE,FALSE),TRUE)</f>
        <v>0</v>
      </c>
      <c r="DA756" s="16">
        <f>MIN(MOD(180-ABS(ABS($DA$1-RecData[Yaw Angle (°)])-180),360),MOD(180-ABS(ABS($DB$1-RecData[Yaw Angle (°)])-180),360))</f>
        <v>128.52791261753157</v>
      </c>
      <c r="DB756" s="2" t="str">
        <f>IF($DP$2="None","None",IF(RecData[[#This Row],[Relative Wind Direction]]&lt;=45,"DW",IF(RecData[[#This Row],[Relative Wind Direction]]&lt;=135,"CW","UW")))</f>
        <v>CW</v>
      </c>
      <c r="DC756" s="61">
        <f>IF($CL756-$CL753&gt;1/24,#REF!,IF(SUM($CQ753:$CQ756)&gt;$DS$1,$DS$5,DC757-1))</f>
        <v>-7</v>
      </c>
      <c r="DD756" s="61">
        <f>IF($CL757-$CL756&gt;1/24,#REF!,IF(SUM($CQ753:$CQ756)&gt;$DS$1,$DS$6,DD755-1))</f>
        <v>-4</v>
      </c>
      <c r="DE756" s="18" t="b">
        <v>0</v>
      </c>
      <c r="DF756" s="2" t="b">
        <f>IF(OR(RecData[[#This Row],[WSpd_Avg '[m/s']]]-RecData[[#This Row],[Wind Speed min]]&gt;=$DF$3,RecData[[#This Row],[Wind Speed max]]-RecData[[#This Row],[WSpd_Avg '[m/s']]]&gt;=$DF$2),TRUE,FALSE)</f>
        <v>0</v>
      </c>
      <c r="DG756" s="2" t="b">
        <f>RecData[[#This Row],[Temperature '[°C']]]&lt;=-20</f>
        <v>0</v>
      </c>
      <c r="DH756" s="18" t="b">
        <f>NOT(OR(MOD(RecData[[#This Row],[TIMESTAMP]],1)&gt;0.91632,MOD(RecData[[#This Row],[TIMESTAMP]],1)&lt;0.208681))</f>
        <v>0</v>
      </c>
      <c r="DI756" s="18" t="b">
        <f>RecData[[#This Row],[Overall (dBA)]]-RecData[[#This Row],[L90]]&gt;=$DS$4</f>
        <v>0</v>
      </c>
      <c r="DJ756" s="18" t="b">
        <f>RecData[[#This Row],[Overall (dBA)]]&gt;$DS$2</f>
        <v>0</v>
      </c>
      <c r="DK756" s="18" t="b">
        <f>RecData[[#This Row],[Overall (dBA)]]&lt;$DS$3</f>
        <v>0</v>
      </c>
      <c r="DL7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6" s="2">
        <f>IF(AND(RecData[[#This Row],[Turbines ON/OFF]] = "OFF", NOT(OR(RecData[[#This Row],[Junk?]]="YES",RecData[[#This Row],[Gust?]],RecData[[#This Row],[Rain?]:[Min SPL Threshold?]]))),1,0)</f>
        <v>1</v>
      </c>
      <c r="DN756" s="16">
        <f>RecData[[#This Row],[dBA Sum]]</f>
        <v>17.236656792697978</v>
      </c>
      <c r="DO756" s="16">
        <f>RecData[[#This Row],[LAF90.0]]</f>
        <v>21.6</v>
      </c>
      <c r="DP756" s="55" t="str">
        <f>IF(AND(RecData[[#This Row],[Useable TON Data?]],RecData[[#This Row],[Turbines ON/OFF]]="ON"),RecData[[#This Row],[dBA Sum]],"")</f>
        <v/>
      </c>
      <c r="DQ756" s="55">
        <f>IF(AND(RecData[[#This Row],[Useable Background Data?]],RecData[[#This Row],[Turbines ON/OFF]]="OFF"),RecData[[#This Row],[dBA Sum]],"")</f>
        <v>17.236656792697978</v>
      </c>
      <c r="DR756" s="3">
        <f>IF(OR(RecData[[#This Row],[Useable TON Data?]],RecData[[#This Row],[Useable Background Data?]]),ROUND(RecData[[#This Row],[WSpd_Avg '[m/s']]],0),"")</f>
        <v>1</v>
      </c>
      <c r="DS756" s="85">
        <f>(0.00002)^2*(10^(RecData[[#This Row],[Overall (dBA)]]/10))</f>
        <v>2.1170234593927352E-8</v>
      </c>
    </row>
    <row r="757" spans="1:123" ht="15" x14ac:dyDescent="0.25">
      <c r="A757" s="3" t="s">
        <v>249</v>
      </c>
      <c r="B757" s="12">
        <v>43272.960416666669</v>
      </c>
      <c r="C757" s="3"/>
      <c r="D757" s="3">
        <v>26.2</v>
      </c>
      <c r="E757" s="3"/>
      <c r="F757" s="3"/>
      <c r="G757" s="3"/>
      <c r="H757" s="3"/>
      <c r="I757" s="3"/>
      <c r="J757" s="3"/>
      <c r="K757" s="3">
        <v>22</v>
      </c>
      <c r="L757" s="3"/>
      <c r="M757" s="3"/>
      <c r="N757" s="3">
        <v>165.8</v>
      </c>
      <c r="O757" s="3"/>
      <c r="P757" s="3"/>
      <c r="Q757" s="3">
        <v>0.57999999999999996</v>
      </c>
      <c r="R757" s="3">
        <v>0.4</v>
      </c>
      <c r="S757" s="3">
        <v>0.7</v>
      </c>
      <c r="T757" s="3">
        <v>8.8000000000000007</v>
      </c>
      <c r="U757" s="3">
        <v>74.7</v>
      </c>
      <c r="V757" s="3">
        <v>970.7</v>
      </c>
      <c r="W757" s="3">
        <v>0</v>
      </c>
      <c r="X757" s="3">
        <v>23.2</v>
      </c>
      <c r="Y757" s="3">
        <v>25</v>
      </c>
      <c r="Z757" s="3">
        <v>26.8</v>
      </c>
      <c r="AA757" s="3">
        <v>18.600000000000001</v>
      </c>
      <c r="AB757" s="3">
        <v>15.6</v>
      </c>
      <c r="AC757" s="3">
        <v>15.8</v>
      </c>
      <c r="AD757" s="3">
        <v>15.1</v>
      </c>
      <c r="AE757" s="3">
        <v>12.5</v>
      </c>
      <c r="AF757" s="3">
        <v>14</v>
      </c>
      <c r="AG757" s="3">
        <v>10.199999999999999</v>
      </c>
      <c r="AH757" s="3">
        <v>9.1999999999999993</v>
      </c>
      <c r="AI757" s="3">
        <v>9.3000000000000007</v>
      </c>
      <c r="AJ757" s="3">
        <v>9.9</v>
      </c>
      <c r="AK757" s="3">
        <v>10.1</v>
      </c>
      <c r="AL757" s="3">
        <v>9.1</v>
      </c>
      <c r="AM757" s="3">
        <v>8.6</v>
      </c>
      <c r="AN757" s="3">
        <v>8.9</v>
      </c>
      <c r="AO757" s="3">
        <v>8.4</v>
      </c>
      <c r="AP757" s="3">
        <v>7.6</v>
      </c>
      <c r="AQ757" s="3">
        <v>8</v>
      </c>
      <c r="AR757" s="3">
        <v>6.8</v>
      </c>
      <c r="AS757" s="3">
        <v>18.3</v>
      </c>
      <c r="AT757" s="3">
        <v>22.5</v>
      </c>
      <c r="AU757" s="3">
        <v>7.6</v>
      </c>
      <c r="AV757" s="3">
        <v>8.1999999999999993</v>
      </c>
      <c r="AW757" s="3">
        <v>8.8000000000000007</v>
      </c>
      <c r="AX757" s="3">
        <v>9</v>
      </c>
      <c r="AY757" s="3">
        <v>9.1</v>
      </c>
      <c r="AZ757" s="3">
        <v>0</v>
      </c>
      <c r="BA757" s="3">
        <v>0</v>
      </c>
      <c r="BB757" s="3">
        <v>0</v>
      </c>
      <c r="BC757" s="3">
        <v>26.120244474059536</v>
      </c>
      <c r="BD757" s="3">
        <v>23.279755525940462</v>
      </c>
      <c r="BE757" s="3">
        <v>25.079755525940467</v>
      </c>
      <c r="BF757" s="3">
        <v>25.639755525940469</v>
      </c>
      <c r="BG757" s="3">
        <v>17.766422192607127</v>
      </c>
      <c r="BH757" s="3">
        <v>14.906422192607135</v>
      </c>
      <c r="BI757" s="3">
        <v>15.519755525940464</v>
      </c>
      <c r="BJ757" s="3">
        <v>15.613088859273798</v>
      </c>
      <c r="BK757" s="3">
        <v>12.886422192607125</v>
      </c>
      <c r="BL757" s="3">
        <v>13.959755525940462</v>
      </c>
      <c r="BM757" s="3">
        <v>10.293088859273798</v>
      </c>
      <c r="BN757" s="3">
        <v>9.5764221926071293</v>
      </c>
      <c r="BO757" s="3">
        <v>9.0430888592737979</v>
      </c>
      <c r="BP757" s="3">
        <v>9.3597555259404679</v>
      </c>
      <c r="BQ757" s="3">
        <v>9.9764221926071208</v>
      </c>
      <c r="BR757" s="3">
        <v>9.3030888592737959</v>
      </c>
      <c r="BS757" s="3">
        <v>8.6064221926071305</v>
      </c>
      <c r="BT757" s="3">
        <v>9.1030888592738002</v>
      </c>
      <c r="BU757" s="3">
        <v>8.5697555259404687</v>
      </c>
      <c r="BV757" s="3">
        <v>7.486422192607133</v>
      </c>
      <c r="BW757" s="3">
        <v>8.4197555259404702</v>
      </c>
      <c r="BX757" s="3">
        <v>7.139755525940469</v>
      </c>
      <c r="BY757" s="3">
        <v>18.459755525940462</v>
      </c>
      <c r="BZ757" s="3">
        <v>22.789755525940468</v>
      </c>
      <c r="CA757" s="3">
        <v>7.9897555259404562</v>
      </c>
      <c r="CB757" s="3">
        <v>8.0264221926071251</v>
      </c>
      <c r="CC757" s="3">
        <v>8.8397555259404648</v>
      </c>
      <c r="CD757" s="3">
        <v>8.3464221926071325</v>
      </c>
      <c r="CE757" s="3">
        <v>8.6397555259404619</v>
      </c>
      <c r="CF757" s="3">
        <v>-0.84691114072620266</v>
      </c>
      <c r="CG757" s="3">
        <v>-1.3802444740595341</v>
      </c>
      <c r="CH757" s="3">
        <v>-2.4569111407262021</v>
      </c>
      <c r="CI757" s="13">
        <f>[1]!dbasum(RecData[[#This Row],[20]:[2000]],RecData[[#Headers],[20]:[2000]])</f>
        <v>17.270715997387342</v>
      </c>
      <c r="CJ757" s="14">
        <v>9392</v>
      </c>
      <c r="CK757" s="15" t="s">
        <v>249</v>
      </c>
      <c r="CL757" s="15">
        <f>RecData[[#This Row],[Start Time]]</f>
        <v>43272.960416666669</v>
      </c>
      <c r="CM757" s="16">
        <f>RecData[[#This Row],[Wind Speed avg]]</f>
        <v>0.57999999999999996</v>
      </c>
      <c r="CN757" s="16">
        <f>RecData[[#This Row],[Wind Dir. avg]]</f>
        <v>165.8</v>
      </c>
      <c r="CO757" s="16">
        <f>RecData[[#This Row],[Amb. Humidity]]</f>
        <v>74.7</v>
      </c>
      <c r="CP757" s="16">
        <f>RecData[[#This Row],[Amb. Temperature]]</f>
        <v>8.8000000000000007</v>
      </c>
      <c r="CQ757" s="17">
        <f>RecData[[#This Row],[Amb. Rain Gauge]]</f>
        <v>0</v>
      </c>
      <c r="CR757" s="4" t="s">
        <v>50</v>
      </c>
      <c r="CS757" s="4" t="s">
        <v>49</v>
      </c>
      <c r="CT757" s="70">
        <v>-8.5864486694335902</v>
      </c>
      <c r="CU757" s="70">
        <v>239.00201416015599</v>
      </c>
      <c r="CV757" s="70">
        <v>1.46673619747161</v>
      </c>
      <c r="CW757" s="70">
        <v>0</v>
      </c>
      <c r="CX757" s="109"/>
      <c r="CY757" s="110"/>
      <c r="CZ757" s="2" t="b">
        <f>IF($DP$1="YES",IF(RecData[[#This Row],[Power (kW)]]&gt;=$CR$3, TRUE,FALSE),TRUE)</f>
        <v>0</v>
      </c>
      <c r="DA757" s="16">
        <f>MIN(MOD(180-ABS(ABS($DA$1-RecData[Yaw Angle (°)])-180),360),MOD(180-ABS(ABS($DB$1-RecData[Yaw Angle (°)])-180),360))</f>
        <v>128.52791261753157</v>
      </c>
      <c r="DB757" s="2" t="str">
        <f>IF($DP$2="None","None",IF(RecData[[#This Row],[Relative Wind Direction]]&lt;=45,"DW",IF(RecData[[#This Row],[Relative Wind Direction]]&lt;=135,"CW","UW")))</f>
        <v>CW</v>
      </c>
      <c r="DC757" s="61">
        <f>IF($CL757-$CL753&gt;1/24,#REF!,IF(SUM($CQ753:$CQ757)&gt;$DS$1,$DS$5,DC758-1))</f>
        <v>-6</v>
      </c>
      <c r="DD757" s="61">
        <f>IF($CL758-$CL757&gt;1/24,#REF!,IF(SUM($CQ753:$CQ757)&gt;$DS$1,$DS$6,DD756-1))</f>
        <v>-5</v>
      </c>
      <c r="DE757" s="18" t="b">
        <v>0</v>
      </c>
      <c r="DF757" s="2" t="b">
        <f>IF(OR(RecData[[#This Row],[WSpd_Avg '[m/s']]]-RecData[[#This Row],[Wind Speed min]]&gt;=$DF$3,RecData[[#This Row],[Wind Speed max]]-RecData[[#This Row],[WSpd_Avg '[m/s']]]&gt;=$DF$2),TRUE,FALSE)</f>
        <v>0</v>
      </c>
      <c r="DG757" s="2" t="b">
        <f>RecData[[#This Row],[Temperature '[°C']]]&lt;=-20</f>
        <v>0</v>
      </c>
      <c r="DH757" s="18" t="b">
        <f>NOT(OR(MOD(RecData[[#This Row],[TIMESTAMP]],1)&gt;0.91632,MOD(RecData[[#This Row],[TIMESTAMP]],1)&lt;0.208681))</f>
        <v>0</v>
      </c>
      <c r="DI757" s="18" t="b">
        <f>RecData[[#This Row],[Overall (dBA)]]-RecData[[#This Row],[L90]]&gt;=$DS$4</f>
        <v>0</v>
      </c>
      <c r="DJ757" s="18" t="b">
        <f>RecData[[#This Row],[Overall (dBA)]]&gt;$DS$2</f>
        <v>0</v>
      </c>
      <c r="DK757" s="18" t="b">
        <f>RecData[[#This Row],[Overall (dBA)]]&lt;$DS$3</f>
        <v>0</v>
      </c>
      <c r="DL7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7" s="2">
        <f>IF(AND(RecData[[#This Row],[Turbines ON/OFF]] = "OFF", NOT(OR(RecData[[#This Row],[Junk?]]="YES",RecData[[#This Row],[Gust?]],RecData[[#This Row],[Rain?]:[Min SPL Threshold?]]))),1,0)</f>
        <v>1</v>
      </c>
      <c r="DN757" s="16">
        <f>RecData[[#This Row],[dBA Sum]]</f>
        <v>17.270715997387342</v>
      </c>
      <c r="DO757" s="16">
        <f>RecData[[#This Row],[LAF90.0]]</f>
        <v>22</v>
      </c>
      <c r="DP757" s="55" t="str">
        <f>IF(AND(RecData[[#This Row],[Useable TON Data?]],RecData[[#This Row],[Turbines ON/OFF]]="ON"),RecData[[#This Row],[dBA Sum]],"")</f>
        <v/>
      </c>
      <c r="DQ757" s="55">
        <f>IF(AND(RecData[[#This Row],[Useable Background Data?]],RecData[[#This Row],[Turbines ON/OFF]]="OFF"),RecData[[#This Row],[dBA Sum]],"")</f>
        <v>17.270715997387342</v>
      </c>
      <c r="DR757" s="3">
        <f>IF(OR(RecData[[#This Row],[Useable TON Data?]],RecData[[#This Row],[Useable Background Data?]]),ROUND(RecData[[#This Row],[WSpd_Avg '[m/s']]],0),"")</f>
        <v>1</v>
      </c>
      <c r="DS757" s="85">
        <f>(0.00002)^2*(10^(RecData[[#This Row],[Overall (dBA)]]/10))</f>
        <v>2.1336913228889448E-8</v>
      </c>
    </row>
    <row r="758" spans="1:123" ht="15" x14ac:dyDescent="0.25">
      <c r="A758" s="3" t="s">
        <v>249</v>
      </c>
      <c r="B758" s="12">
        <v>43272.961111111115</v>
      </c>
      <c r="C758" s="3"/>
      <c r="D758" s="3">
        <v>25.2</v>
      </c>
      <c r="E758" s="3"/>
      <c r="F758" s="3"/>
      <c r="G758" s="3"/>
      <c r="H758" s="3"/>
      <c r="I758" s="3"/>
      <c r="J758" s="3"/>
      <c r="K758" s="3">
        <v>21.5</v>
      </c>
      <c r="L758" s="3"/>
      <c r="M758" s="3"/>
      <c r="N758" s="3">
        <v>167.9</v>
      </c>
      <c r="O758" s="3"/>
      <c r="P758" s="3"/>
      <c r="Q758" s="3">
        <v>0.54</v>
      </c>
      <c r="R758" s="3">
        <v>0.2</v>
      </c>
      <c r="S758" s="3">
        <v>0.7</v>
      </c>
      <c r="T758" s="3">
        <v>8.8000000000000007</v>
      </c>
      <c r="U758" s="3">
        <v>76</v>
      </c>
      <c r="V758" s="3">
        <v>970.7</v>
      </c>
      <c r="W758" s="3">
        <v>0</v>
      </c>
      <c r="X758" s="3">
        <v>21</v>
      </c>
      <c r="Y758" s="3">
        <v>20.6</v>
      </c>
      <c r="Z758" s="3">
        <v>19.899999999999999</v>
      </c>
      <c r="AA758" s="3">
        <v>14.3</v>
      </c>
      <c r="AB758" s="3">
        <v>10.9</v>
      </c>
      <c r="AC758" s="3">
        <v>8.4</v>
      </c>
      <c r="AD758" s="3">
        <v>10.7</v>
      </c>
      <c r="AE758" s="3">
        <v>9.9</v>
      </c>
      <c r="AF758" s="3">
        <v>12.1</v>
      </c>
      <c r="AG758" s="3">
        <v>10.4</v>
      </c>
      <c r="AH758" s="3">
        <v>9.1</v>
      </c>
      <c r="AI758" s="3">
        <v>9.1</v>
      </c>
      <c r="AJ758" s="3">
        <v>9.6999999999999993</v>
      </c>
      <c r="AK758" s="3">
        <v>9.6</v>
      </c>
      <c r="AL758" s="3">
        <v>8.4</v>
      </c>
      <c r="AM758" s="3">
        <v>8.1999999999999993</v>
      </c>
      <c r="AN758" s="3">
        <v>8.6999999999999993</v>
      </c>
      <c r="AO758" s="3">
        <v>8.1</v>
      </c>
      <c r="AP758" s="3">
        <v>7.3</v>
      </c>
      <c r="AQ758" s="3">
        <v>7.2</v>
      </c>
      <c r="AR758" s="3">
        <v>6.5</v>
      </c>
      <c r="AS758" s="3">
        <v>15.9</v>
      </c>
      <c r="AT758" s="3">
        <v>21.7</v>
      </c>
      <c r="AU758" s="3">
        <v>7.6</v>
      </c>
      <c r="AV758" s="3">
        <v>8.1</v>
      </c>
      <c r="AW758" s="3">
        <v>8.6999999999999993</v>
      </c>
      <c r="AX758" s="3">
        <v>9</v>
      </c>
      <c r="AY758" s="3">
        <v>9.1</v>
      </c>
      <c r="AZ758" s="3">
        <v>0</v>
      </c>
      <c r="BA758" s="3">
        <v>0</v>
      </c>
      <c r="BB758" s="3">
        <v>0</v>
      </c>
      <c r="BC758" s="3">
        <v>25.133156148279991</v>
      </c>
      <c r="BD758" s="3">
        <v>21.066843851720012</v>
      </c>
      <c r="BE758" s="3">
        <v>20.666843851720007</v>
      </c>
      <c r="BF758" s="3">
        <v>18.726843851720009</v>
      </c>
      <c r="BG758" s="3">
        <v>13.453510518386675</v>
      </c>
      <c r="BH758" s="3">
        <v>10.193510518386677</v>
      </c>
      <c r="BI758" s="3">
        <v>8.1068438517200114</v>
      </c>
      <c r="BJ758" s="3">
        <v>11.200177185053338</v>
      </c>
      <c r="BK758" s="3">
        <v>10.273510518386676</v>
      </c>
      <c r="BL758" s="3">
        <v>12.046843851720009</v>
      </c>
      <c r="BM758" s="3">
        <v>10.480177185053346</v>
      </c>
      <c r="BN758" s="3">
        <v>9.4635105183866735</v>
      </c>
      <c r="BO758" s="3">
        <v>8.8301771850533477</v>
      </c>
      <c r="BP758" s="3">
        <v>9.1468438517200106</v>
      </c>
      <c r="BQ758" s="3">
        <v>9.4635105183866663</v>
      </c>
      <c r="BR758" s="3">
        <v>8.5901771850533457</v>
      </c>
      <c r="BS758" s="3">
        <v>8.1935105183866774</v>
      </c>
      <c r="BT758" s="3">
        <v>8.8901771850533429</v>
      </c>
      <c r="BU758" s="3">
        <v>8.25684385172001</v>
      </c>
      <c r="BV758" s="3">
        <v>7.1735105183866743</v>
      </c>
      <c r="BW758" s="3">
        <v>7.6068438517200114</v>
      </c>
      <c r="BX758" s="3">
        <v>6.8268438517200138</v>
      </c>
      <c r="BY758" s="3">
        <v>16.046843851720009</v>
      </c>
      <c r="BZ758" s="3">
        <v>21.976843851720009</v>
      </c>
      <c r="CA758" s="3">
        <v>7.9768438517200018</v>
      </c>
      <c r="CB758" s="3">
        <v>7.9135105183866763</v>
      </c>
      <c r="CC758" s="3">
        <v>8.7268438517200089</v>
      </c>
      <c r="CD758" s="3">
        <v>8.333510518386678</v>
      </c>
      <c r="CE758" s="3">
        <v>8.6268438517200075</v>
      </c>
      <c r="CF758" s="3">
        <v>-0.85982281494665713</v>
      </c>
      <c r="CG758" s="3">
        <v>-1.3931561482799886</v>
      </c>
      <c r="CH758" s="3">
        <v>-2.4698228149466566</v>
      </c>
      <c r="CI758" s="13">
        <f>[1]!dbasum(RecData[[#This Row],[20]:[2000]],RecData[[#Headers],[20]:[2000]])</f>
        <v>16.810126168914824</v>
      </c>
      <c r="CJ758" s="14">
        <v>9393</v>
      </c>
      <c r="CK758" s="15" t="s">
        <v>249</v>
      </c>
      <c r="CL758" s="15">
        <f>RecData[[#This Row],[Start Time]]</f>
        <v>43272.961111111115</v>
      </c>
      <c r="CM758" s="16">
        <f>RecData[[#This Row],[Wind Speed avg]]</f>
        <v>0.54</v>
      </c>
      <c r="CN758" s="16">
        <f>RecData[[#This Row],[Wind Dir. avg]]</f>
        <v>167.9</v>
      </c>
      <c r="CO758" s="16">
        <f>RecData[[#This Row],[Amb. Humidity]]</f>
        <v>76</v>
      </c>
      <c r="CP758" s="16">
        <f>RecData[[#This Row],[Amb. Temperature]]</f>
        <v>8.8000000000000007</v>
      </c>
      <c r="CQ758" s="17">
        <f>RecData[[#This Row],[Amb. Rain Gauge]]</f>
        <v>0</v>
      </c>
      <c r="CR758" s="4" t="s">
        <v>50</v>
      </c>
      <c r="CS758" s="4" t="s">
        <v>49</v>
      </c>
      <c r="CT758" s="70">
        <v>-8.5864486694335902</v>
      </c>
      <c r="CU758" s="70">
        <v>239.00201416015599</v>
      </c>
      <c r="CV758" s="70">
        <v>1.46673619747161</v>
      </c>
      <c r="CW758" s="70">
        <v>0</v>
      </c>
      <c r="CX758" s="109"/>
      <c r="CY758" s="110"/>
      <c r="CZ758" s="2" t="b">
        <f>IF($DP$1="YES",IF(RecData[[#This Row],[Power (kW)]]&gt;=$CR$3, TRUE,FALSE),TRUE)</f>
        <v>0</v>
      </c>
      <c r="DA758" s="16">
        <f>MIN(MOD(180-ABS(ABS($DA$1-RecData[Yaw Angle (°)])-180),360),MOD(180-ABS(ABS($DB$1-RecData[Yaw Angle (°)])-180),360))</f>
        <v>128.52791261753157</v>
      </c>
      <c r="DB758" s="2" t="str">
        <f>IF($DP$2="None","None",IF(RecData[[#This Row],[Relative Wind Direction]]&lt;=45,"DW",IF(RecData[[#This Row],[Relative Wind Direction]]&lt;=135,"CW","UW")))</f>
        <v>CW</v>
      </c>
      <c r="DC758" s="61">
        <f>IF($CL758-$CL754&gt;1/24,#REF!,IF(SUM($CQ754:$CQ758)&gt;$DS$1,$DS$5,DC759-1))</f>
        <v>-5</v>
      </c>
      <c r="DD758" s="61">
        <f>IF($CL759-$CL758&gt;1/24,#REF!,IF(SUM($CQ754:$CQ758)&gt;$DS$1,$DS$6,DD757-1))</f>
        <v>-6</v>
      </c>
      <c r="DE758" s="18" t="b">
        <v>0</v>
      </c>
      <c r="DF758" s="2" t="b">
        <f>IF(OR(RecData[[#This Row],[WSpd_Avg '[m/s']]]-RecData[[#This Row],[Wind Speed min]]&gt;=$DF$3,RecData[[#This Row],[Wind Speed max]]-RecData[[#This Row],[WSpd_Avg '[m/s']]]&gt;=$DF$2),TRUE,FALSE)</f>
        <v>0</v>
      </c>
      <c r="DG758" s="2" t="b">
        <f>RecData[[#This Row],[Temperature '[°C']]]&lt;=-20</f>
        <v>0</v>
      </c>
      <c r="DH758" s="18" t="b">
        <f>NOT(OR(MOD(RecData[[#This Row],[TIMESTAMP]],1)&gt;0.91632,MOD(RecData[[#This Row],[TIMESTAMP]],1)&lt;0.208681))</f>
        <v>0</v>
      </c>
      <c r="DI758" s="18" t="b">
        <f>RecData[[#This Row],[Overall (dBA)]]-RecData[[#This Row],[L90]]&gt;=$DS$4</f>
        <v>0</v>
      </c>
      <c r="DJ758" s="18" t="b">
        <f>RecData[[#This Row],[Overall (dBA)]]&gt;$DS$2</f>
        <v>0</v>
      </c>
      <c r="DK758" s="18" t="b">
        <f>RecData[[#This Row],[Overall (dBA)]]&lt;$DS$3</f>
        <v>0</v>
      </c>
      <c r="DL7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8" s="2">
        <f>IF(AND(RecData[[#This Row],[Turbines ON/OFF]] = "OFF", NOT(OR(RecData[[#This Row],[Junk?]]="YES",RecData[[#This Row],[Gust?]],RecData[[#This Row],[Rain?]:[Min SPL Threshold?]]))),1,0)</f>
        <v>1</v>
      </c>
      <c r="DN758" s="16">
        <f>RecData[[#This Row],[dBA Sum]]</f>
        <v>16.810126168914824</v>
      </c>
      <c r="DO758" s="16">
        <f>RecData[[#This Row],[LAF90.0]]</f>
        <v>21.5</v>
      </c>
      <c r="DP758" s="55" t="str">
        <f>IF(AND(RecData[[#This Row],[Useable TON Data?]],RecData[[#This Row],[Turbines ON/OFF]]="ON"),RecData[[#This Row],[dBA Sum]],"")</f>
        <v/>
      </c>
      <c r="DQ758" s="55">
        <f>IF(AND(RecData[[#This Row],[Useable Background Data?]],RecData[[#This Row],[Turbines ON/OFF]]="OFF"),RecData[[#This Row],[dBA Sum]],"")</f>
        <v>16.810126168914824</v>
      </c>
      <c r="DR758" s="3">
        <f>IF(OR(RecData[[#This Row],[Useable TON Data?]],RecData[[#This Row],[Useable Background Data?]]),ROUND(RecData[[#This Row],[WSpd_Avg '[m/s']]],0),"")</f>
        <v>1</v>
      </c>
      <c r="DS758" s="85">
        <f>(0.00002)^2*(10^(RecData[[#This Row],[Overall (dBA)]]/10))</f>
        <v>1.9189895431969063E-8</v>
      </c>
    </row>
    <row r="759" spans="1:123" ht="15" x14ac:dyDescent="0.25">
      <c r="A759" s="3" t="s">
        <v>249</v>
      </c>
      <c r="B759" s="12">
        <v>43272.961805555555</v>
      </c>
      <c r="C759" s="3"/>
      <c r="D759" s="3">
        <v>26.9</v>
      </c>
      <c r="E759" s="3"/>
      <c r="F759" s="3"/>
      <c r="G759" s="3"/>
      <c r="H759" s="3"/>
      <c r="I759" s="3"/>
      <c r="J759" s="3"/>
      <c r="K759" s="3">
        <v>23.7</v>
      </c>
      <c r="L759" s="3"/>
      <c r="M759" s="3"/>
      <c r="N759" s="3">
        <v>168.4</v>
      </c>
      <c r="O759" s="3"/>
      <c r="P759" s="3"/>
      <c r="Q759" s="3">
        <v>0.56000000000000005</v>
      </c>
      <c r="R759" s="3">
        <v>0.3</v>
      </c>
      <c r="S759" s="3">
        <v>0.7</v>
      </c>
      <c r="T759" s="3">
        <v>8.6999999999999993</v>
      </c>
      <c r="U759" s="3">
        <v>75.5</v>
      </c>
      <c r="V759" s="3">
        <v>970.7</v>
      </c>
      <c r="W759" s="3">
        <v>0</v>
      </c>
      <c r="X759" s="3">
        <v>21.9</v>
      </c>
      <c r="Y759" s="3">
        <v>21.7</v>
      </c>
      <c r="Z759" s="3">
        <v>21.2</v>
      </c>
      <c r="AA759" s="3">
        <v>15.3</v>
      </c>
      <c r="AB759" s="3">
        <v>8.9</v>
      </c>
      <c r="AC759" s="3">
        <v>5.2</v>
      </c>
      <c r="AD759" s="3">
        <v>8.8000000000000007</v>
      </c>
      <c r="AE759" s="3">
        <v>8.6</v>
      </c>
      <c r="AF759" s="3">
        <v>12.7</v>
      </c>
      <c r="AG759" s="3">
        <v>11.1</v>
      </c>
      <c r="AH759" s="3">
        <v>9.8000000000000007</v>
      </c>
      <c r="AI759" s="3">
        <v>9.5</v>
      </c>
      <c r="AJ759" s="3">
        <v>9.9</v>
      </c>
      <c r="AK759" s="3">
        <v>9.6999999999999993</v>
      </c>
      <c r="AL759" s="3">
        <v>9.1</v>
      </c>
      <c r="AM759" s="3">
        <v>8.8000000000000007</v>
      </c>
      <c r="AN759" s="3">
        <v>8.9</v>
      </c>
      <c r="AO759" s="3">
        <v>8.1999999999999993</v>
      </c>
      <c r="AP759" s="3">
        <v>7.3</v>
      </c>
      <c r="AQ759" s="3">
        <v>7.3</v>
      </c>
      <c r="AR759" s="3">
        <v>6.6</v>
      </c>
      <c r="AS759" s="3">
        <v>17.7</v>
      </c>
      <c r="AT759" s="3">
        <v>23.9</v>
      </c>
      <c r="AU759" s="3">
        <v>7.9</v>
      </c>
      <c r="AV759" s="3">
        <v>8.3000000000000007</v>
      </c>
      <c r="AW759" s="3">
        <v>8.9</v>
      </c>
      <c r="AX759" s="3">
        <v>9</v>
      </c>
      <c r="AY759" s="3">
        <v>9.1999999999999993</v>
      </c>
      <c r="AZ759" s="3">
        <v>0</v>
      </c>
      <c r="BA759" s="3">
        <v>0</v>
      </c>
      <c r="BB759" s="3">
        <v>0</v>
      </c>
      <c r="BC759" s="3">
        <v>26.858095041141627</v>
      </c>
      <c r="BD759" s="3">
        <v>21.94190495885837</v>
      </c>
      <c r="BE759" s="3">
        <v>21.741904958858367</v>
      </c>
      <c r="BF759" s="3">
        <v>20.001904958858372</v>
      </c>
      <c r="BG759" s="3">
        <v>14.428571625525034</v>
      </c>
      <c r="BH759" s="3">
        <v>8.1685716255250433</v>
      </c>
      <c r="BI759" s="3">
        <v>4.8819049588583709</v>
      </c>
      <c r="BJ759" s="3">
        <v>9.2752382921917054</v>
      </c>
      <c r="BK759" s="3">
        <v>8.9485716255250303</v>
      </c>
      <c r="BL759" s="3">
        <v>12.621904958858369</v>
      </c>
      <c r="BM759" s="3">
        <v>11.155238292191708</v>
      </c>
      <c r="BN759" s="3">
        <v>10.138571625525042</v>
      </c>
      <c r="BO759" s="3">
        <v>9.2052382921917051</v>
      </c>
      <c r="BP759" s="3">
        <v>9.3219049588583722</v>
      </c>
      <c r="BQ759" s="3">
        <v>9.5385716255250266</v>
      </c>
      <c r="BR759" s="3">
        <v>9.2652382921917074</v>
      </c>
      <c r="BS759" s="3">
        <v>8.7685716255250377</v>
      </c>
      <c r="BT759" s="3">
        <v>9.0652382921917045</v>
      </c>
      <c r="BU759" s="3">
        <v>8.3319049588583702</v>
      </c>
      <c r="BV759" s="3">
        <v>7.1485716255250402</v>
      </c>
      <c r="BW759" s="3">
        <v>7.6819049588583717</v>
      </c>
      <c r="BX759" s="3">
        <v>6.9019049588583776</v>
      </c>
      <c r="BY759" s="3">
        <v>17.821904958858365</v>
      </c>
      <c r="BZ759" s="3">
        <v>24.151904958858378</v>
      </c>
      <c r="CA759" s="3">
        <v>8.2519049588583648</v>
      </c>
      <c r="CB759" s="3">
        <v>8.0885716255250379</v>
      </c>
      <c r="CC759" s="3">
        <v>8.9019049588583705</v>
      </c>
      <c r="CD759" s="3">
        <v>8.3085716255250439</v>
      </c>
      <c r="CE759" s="3">
        <v>8.7019049588583677</v>
      </c>
      <c r="CF759" s="3">
        <v>-0.88476170780829477</v>
      </c>
      <c r="CG759" s="3">
        <v>-1.4180950411416262</v>
      </c>
      <c r="CH759" s="3">
        <v>-2.4947617078082942</v>
      </c>
      <c r="CI759" s="13">
        <f>[1]!dbasum(RecData[[#This Row],[20]:[2000]],RecData[[#Headers],[20]:[2000]])</f>
        <v>17.002858502283758</v>
      </c>
      <c r="CJ759" s="14">
        <v>9394</v>
      </c>
      <c r="CK759" s="15" t="s">
        <v>249</v>
      </c>
      <c r="CL759" s="15">
        <f>RecData[[#This Row],[Start Time]]</f>
        <v>43272.961805555555</v>
      </c>
      <c r="CM759" s="16">
        <f>RecData[[#This Row],[Wind Speed avg]]</f>
        <v>0.56000000000000005</v>
      </c>
      <c r="CN759" s="16">
        <f>RecData[[#This Row],[Wind Dir. avg]]</f>
        <v>168.4</v>
      </c>
      <c r="CO759" s="16">
        <f>RecData[[#This Row],[Amb. Humidity]]</f>
        <v>75.5</v>
      </c>
      <c r="CP759" s="16">
        <f>RecData[[#This Row],[Amb. Temperature]]</f>
        <v>8.6999999999999993</v>
      </c>
      <c r="CQ759" s="17">
        <f>RecData[[#This Row],[Amb. Rain Gauge]]</f>
        <v>0</v>
      </c>
      <c r="CR759" s="4" t="s">
        <v>50</v>
      </c>
      <c r="CS759" s="4" t="s">
        <v>49</v>
      </c>
      <c r="CT759" s="70">
        <v>-8.5864486694335902</v>
      </c>
      <c r="CU759" s="70">
        <v>239.00201416015599</v>
      </c>
      <c r="CV759" s="70">
        <v>1.46673619747161</v>
      </c>
      <c r="CW759" s="70">
        <v>0</v>
      </c>
      <c r="CX759" s="109"/>
      <c r="CY759" s="110"/>
      <c r="CZ759" s="2" t="b">
        <f>IF($DP$1="YES",IF(RecData[[#This Row],[Power (kW)]]&gt;=$CR$3, TRUE,FALSE),TRUE)</f>
        <v>0</v>
      </c>
      <c r="DA759" s="16">
        <f>MIN(MOD(180-ABS(ABS($DA$1-RecData[Yaw Angle (°)])-180),360),MOD(180-ABS(ABS($DB$1-RecData[Yaw Angle (°)])-180),360))</f>
        <v>128.52791261753157</v>
      </c>
      <c r="DB759" s="2" t="str">
        <f>IF($DP$2="None","None",IF(RecData[[#This Row],[Relative Wind Direction]]&lt;=45,"DW",IF(RecData[[#This Row],[Relative Wind Direction]]&lt;=135,"CW","UW")))</f>
        <v>CW</v>
      </c>
      <c r="DC759" s="61">
        <f>IF($CL759-$CL755&gt;1/24,#REF!,IF(SUM($CQ755:$CQ759)&gt;$DS$1,$DS$5,DC760-1))</f>
        <v>-4</v>
      </c>
      <c r="DD759" s="61">
        <f>IF($CL760-$CL759&gt;1/24,#REF!,IF(SUM($CQ755:$CQ759)&gt;$DS$1,$DS$6,DD758-1))</f>
        <v>-7</v>
      </c>
      <c r="DE759" s="18" t="b">
        <v>0</v>
      </c>
      <c r="DF759" s="2" t="b">
        <f>IF(OR(RecData[[#This Row],[WSpd_Avg '[m/s']]]-RecData[[#This Row],[Wind Speed min]]&gt;=$DF$3,RecData[[#This Row],[Wind Speed max]]-RecData[[#This Row],[WSpd_Avg '[m/s']]]&gt;=$DF$2),TRUE,FALSE)</f>
        <v>0</v>
      </c>
      <c r="DG759" s="2" t="b">
        <f>RecData[[#This Row],[Temperature '[°C']]]&lt;=-20</f>
        <v>0</v>
      </c>
      <c r="DH759" s="18" t="b">
        <f>NOT(OR(MOD(RecData[[#This Row],[TIMESTAMP]],1)&gt;0.91632,MOD(RecData[[#This Row],[TIMESTAMP]],1)&lt;0.208681))</f>
        <v>0</v>
      </c>
      <c r="DI759" s="18" t="b">
        <f>RecData[[#This Row],[Overall (dBA)]]-RecData[[#This Row],[L90]]&gt;=$DS$4</f>
        <v>0</v>
      </c>
      <c r="DJ759" s="18" t="b">
        <f>RecData[[#This Row],[Overall (dBA)]]&gt;$DS$2</f>
        <v>0</v>
      </c>
      <c r="DK759" s="18" t="b">
        <f>RecData[[#This Row],[Overall (dBA)]]&lt;$DS$3</f>
        <v>0</v>
      </c>
      <c r="DL7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59" s="2">
        <f>IF(AND(RecData[[#This Row],[Turbines ON/OFF]] = "OFF", NOT(OR(RecData[[#This Row],[Junk?]]="YES",RecData[[#This Row],[Gust?]],RecData[[#This Row],[Rain?]:[Min SPL Threshold?]]))),1,0)</f>
        <v>1</v>
      </c>
      <c r="DN759" s="16">
        <f>RecData[[#This Row],[dBA Sum]]</f>
        <v>17.002858502283758</v>
      </c>
      <c r="DO759" s="16">
        <f>RecData[[#This Row],[LAF90.0]]</f>
        <v>23.7</v>
      </c>
      <c r="DP759" s="55" t="str">
        <f>IF(AND(RecData[[#This Row],[Useable TON Data?]],RecData[[#This Row],[Turbines ON/OFF]]="ON"),RecData[[#This Row],[dBA Sum]],"")</f>
        <v/>
      </c>
      <c r="DQ759" s="55">
        <f>IF(AND(RecData[[#This Row],[Useable Background Data?]],RecData[[#This Row],[Turbines ON/OFF]]="OFF"),RecData[[#This Row],[dBA Sum]],"")</f>
        <v>17.002858502283758</v>
      </c>
      <c r="DR759" s="3">
        <f>IF(OR(RecData[[#This Row],[Useable TON Data?]],RecData[[#This Row],[Useable Background Data?]]),ROUND(RecData[[#This Row],[WSpd_Avg '[m/s']]],0),"")</f>
        <v>1</v>
      </c>
      <c r="DS759" s="85">
        <f>(0.00002)^2*(10^(RecData[[#This Row],[Overall (dBA)]]/10))</f>
        <v>2.0060688835248409E-8</v>
      </c>
    </row>
    <row r="760" spans="1:123" ht="15" x14ac:dyDescent="0.25">
      <c r="A760" s="3" t="s">
        <v>249</v>
      </c>
      <c r="B760" s="12">
        <v>43272.962500000001</v>
      </c>
      <c r="C760" s="3"/>
      <c r="D760" s="3">
        <v>26</v>
      </c>
      <c r="E760" s="3"/>
      <c r="F760" s="3"/>
      <c r="G760" s="3"/>
      <c r="H760" s="3"/>
      <c r="I760" s="3"/>
      <c r="J760" s="3"/>
      <c r="K760" s="3">
        <v>22.2</v>
      </c>
      <c r="L760" s="3"/>
      <c r="M760" s="3"/>
      <c r="N760" s="3">
        <v>159.6</v>
      </c>
      <c r="O760" s="3"/>
      <c r="P760" s="3"/>
      <c r="Q760" s="3">
        <v>0.49</v>
      </c>
      <c r="R760" s="3">
        <v>0.3</v>
      </c>
      <c r="S760" s="3">
        <v>0.7</v>
      </c>
      <c r="T760" s="3">
        <v>8.6999999999999993</v>
      </c>
      <c r="U760" s="3">
        <v>74.900000000000006</v>
      </c>
      <c r="V760" s="3">
        <v>970.7</v>
      </c>
      <c r="W760" s="3">
        <v>0</v>
      </c>
      <c r="X760" s="3">
        <v>20.7</v>
      </c>
      <c r="Y760" s="3">
        <v>18.600000000000001</v>
      </c>
      <c r="Z760" s="3">
        <v>19.3</v>
      </c>
      <c r="AA760" s="3">
        <v>13.3</v>
      </c>
      <c r="AB760" s="3">
        <v>9.1999999999999993</v>
      </c>
      <c r="AC760" s="3">
        <v>6.1</v>
      </c>
      <c r="AD760" s="3">
        <v>8.6999999999999993</v>
      </c>
      <c r="AE760" s="3">
        <v>8.9</v>
      </c>
      <c r="AF760" s="3">
        <v>13.8</v>
      </c>
      <c r="AG760" s="3">
        <v>10.3</v>
      </c>
      <c r="AH760" s="3">
        <v>9.5</v>
      </c>
      <c r="AI760" s="3">
        <v>9</v>
      </c>
      <c r="AJ760" s="3">
        <v>9.4</v>
      </c>
      <c r="AK760" s="3">
        <v>8.9</v>
      </c>
      <c r="AL760" s="3">
        <v>8.1999999999999993</v>
      </c>
      <c r="AM760" s="3">
        <v>8.3000000000000007</v>
      </c>
      <c r="AN760" s="3">
        <v>8.5</v>
      </c>
      <c r="AO760" s="3">
        <v>8</v>
      </c>
      <c r="AP760" s="3">
        <v>7.1</v>
      </c>
      <c r="AQ760" s="3">
        <v>6.6</v>
      </c>
      <c r="AR760" s="3">
        <v>6.1</v>
      </c>
      <c r="AS760" s="3">
        <v>17.3</v>
      </c>
      <c r="AT760" s="3">
        <v>22.7</v>
      </c>
      <c r="AU760" s="3">
        <v>7.4</v>
      </c>
      <c r="AV760" s="3">
        <v>8</v>
      </c>
      <c r="AW760" s="3">
        <v>8.6</v>
      </c>
      <c r="AX760" s="3">
        <v>8.9</v>
      </c>
      <c r="AY760" s="3">
        <v>9.1</v>
      </c>
      <c r="AZ760" s="3">
        <v>0</v>
      </c>
      <c r="BA760" s="3">
        <v>0</v>
      </c>
      <c r="BB760" s="3">
        <v>0</v>
      </c>
      <c r="BC760" s="3">
        <v>25.943889817326706</v>
      </c>
      <c r="BD760" s="3">
        <v>20.756110182673297</v>
      </c>
      <c r="BE760" s="3">
        <v>18.656110182673295</v>
      </c>
      <c r="BF760" s="3">
        <v>18.116110182673296</v>
      </c>
      <c r="BG760" s="3">
        <v>12.442776849339957</v>
      </c>
      <c r="BH760" s="3">
        <v>8.4827768493399631</v>
      </c>
      <c r="BI760" s="3">
        <v>5.7961101826732957</v>
      </c>
      <c r="BJ760" s="3">
        <v>9.1894435160066266</v>
      </c>
      <c r="BK760" s="3">
        <v>9.2627768493399572</v>
      </c>
      <c r="BL760" s="3">
        <v>13.736110182673293</v>
      </c>
      <c r="BM760" s="3">
        <v>10.369443516006626</v>
      </c>
      <c r="BN760" s="3">
        <v>9.8527768493399606</v>
      </c>
      <c r="BO760" s="3">
        <v>8.7194435160066277</v>
      </c>
      <c r="BP760" s="3">
        <v>8.8361101826732948</v>
      </c>
      <c r="BQ760" s="3">
        <v>8.752776849339952</v>
      </c>
      <c r="BR760" s="3">
        <v>8.3794435160066314</v>
      </c>
      <c r="BS760" s="3">
        <v>8.2827768493399603</v>
      </c>
      <c r="BT760" s="3">
        <v>8.6794435160066286</v>
      </c>
      <c r="BU760" s="3">
        <v>8.1461101826732971</v>
      </c>
      <c r="BV760" s="3">
        <v>6.96277684933996</v>
      </c>
      <c r="BW760" s="3">
        <v>6.9961101826732985</v>
      </c>
      <c r="BX760" s="3">
        <v>6.4161101826733002</v>
      </c>
      <c r="BY760" s="3">
        <v>17.436110182673289</v>
      </c>
      <c r="BZ760" s="3">
        <v>22.966110182673297</v>
      </c>
      <c r="CA760" s="3">
        <v>7.7661101826732875</v>
      </c>
      <c r="CB760" s="3">
        <v>7.8027768493399563</v>
      </c>
      <c r="CC760" s="3">
        <v>8.616110182673296</v>
      </c>
      <c r="CD760" s="3">
        <v>8.2227768493399651</v>
      </c>
      <c r="CE760" s="3">
        <v>8.616110182673296</v>
      </c>
      <c r="CF760" s="3">
        <v>-0.87055648399337215</v>
      </c>
      <c r="CG760" s="3">
        <v>-1.4038898173267036</v>
      </c>
      <c r="CH760" s="3">
        <v>-2.4805564839933716</v>
      </c>
      <c r="CI760" s="13">
        <f>[1]!dbasum(RecData[[#This Row],[20]:[2000]],RecData[[#Headers],[20]:[2000]])</f>
        <v>16.551367594684997</v>
      </c>
      <c r="CJ760" s="14">
        <v>9395</v>
      </c>
      <c r="CK760" s="15" t="s">
        <v>249</v>
      </c>
      <c r="CL760" s="15">
        <f>RecData[[#This Row],[Start Time]]</f>
        <v>43272.962500000001</v>
      </c>
      <c r="CM760" s="16">
        <f>RecData[[#This Row],[Wind Speed avg]]</f>
        <v>0.49</v>
      </c>
      <c r="CN760" s="16">
        <f>RecData[[#This Row],[Wind Dir. avg]]</f>
        <v>159.6</v>
      </c>
      <c r="CO760" s="16">
        <f>RecData[[#This Row],[Amb. Humidity]]</f>
        <v>74.900000000000006</v>
      </c>
      <c r="CP760" s="16">
        <f>RecData[[#This Row],[Amb. Temperature]]</f>
        <v>8.6999999999999993</v>
      </c>
      <c r="CQ760" s="17">
        <f>RecData[[#This Row],[Amb. Rain Gauge]]</f>
        <v>0</v>
      </c>
      <c r="CR760" s="4" t="s">
        <v>50</v>
      </c>
      <c r="CS760" s="4" t="s">
        <v>49</v>
      </c>
      <c r="CT760" s="70">
        <v>-8.5864486694335902</v>
      </c>
      <c r="CU760" s="70">
        <v>239.00201416015599</v>
      </c>
      <c r="CV760" s="70">
        <v>1.46673619747161</v>
      </c>
      <c r="CW760" s="70">
        <v>0</v>
      </c>
      <c r="CX760" s="109"/>
      <c r="CY760" s="110"/>
      <c r="CZ760" s="2" t="b">
        <f>IF($DP$1="YES",IF(RecData[[#This Row],[Power (kW)]]&gt;=$CR$3, TRUE,FALSE),TRUE)</f>
        <v>0</v>
      </c>
      <c r="DA760" s="16">
        <f>MIN(MOD(180-ABS(ABS($DA$1-RecData[Yaw Angle (°)])-180),360),MOD(180-ABS(ABS($DB$1-RecData[Yaw Angle (°)])-180),360))</f>
        <v>128.52791261753157</v>
      </c>
      <c r="DB760" s="2" t="str">
        <f>IF($DP$2="None","None",IF(RecData[[#This Row],[Relative Wind Direction]]&lt;=45,"DW",IF(RecData[[#This Row],[Relative Wind Direction]]&lt;=135,"CW","UW")))</f>
        <v>CW</v>
      </c>
      <c r="DC760" s="61">
        <f>IF($CL760-$CL756&gt;1/24,#REF!,IF(SUM($CQ756:$CQ760)&gt;$DS$1,$DS$5,DC761-1))</f>
        <v>-3</v>
      </c>
      <c r="DD760" s="61">
        <f>IF($CL761-$CL760&gt;1/24,#REF!,IF(SUM($CQ756:$CQ760)&gt;$DS$1,$DS$6,DD759-1))</f>
        <v>-8</v>
      </c>
      <c r="DE760" s="18" t="b">
        <v>0</v>
      </c>
      <c r="DF760" s="2" t="b">
        <f>IF(OR(RecData[[#This Row],[WSpd_Avg '[m/s']]]-RecData[[#This Row],[Wind Speed min]]&gt;=$DF$3,RecData[[#This Row],[Wind Speed max]]-RecData[[#This Row],[WSpd_Avg '[m/s']]]&gt;=$DF$2),TRUE,FALSE)</f>
        <v>0</v>
      </c>
      <c r="DG760" s="2" t="b">
        <f>RecData[[#This Row],[Temperature '[°C']]]&lt;=-20</f>
        <v>0</v>
      </c>
      <c r="DH760" s="18" t="b">
        <f>NOT(OR(MOD(RecData[[#This Row],[TIMESTAMP]],1)&gt;0.91632,MOD(RecData[[#This Row],[TIMESTAMP]],1)&lt;0.208681))</f>
        <v>0</v>
      </c>
      <c r="DI760" s="18" t="b">
        <f>RecData[[#This Row],[Overall (dBA)]]-RecData[[#This Row],[L90]]&gt;=$DS$4</f>
        <v>0</v>
      </c>
      <c r="DJ760" s="18" t="b">
        <f>RecData[[#This Row],[Overall (dBA)]]&gt;$DS$2</f>
        <v>0</v>
      </c>
      <c r="DK760" s="18" t="b">
        <f>RecData[[#This Row],[Overall (dBA)]]&lt;$DS$3</f>
        <v>0</v>
      </c>
      <c r="DL7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0" s="2">
        <f>IF(AND(RecData[[#This Row],[Turbines ON/OFF]] = "OFF", NOT(OR(RecData[[#This Row],[Junk?]]="YES",RecData[[#This Row],[Gust?]],RecData[[#This Row],[Rain?]:[Min SPL Threshold?]]))),1,0)</f>
        <v>1</v>
      </c>
      <c r="DN760" s="16">
        <f>RecData[[#This Row],[dBA Sum]]</f>
        <v>16.551367594684997</v>
      </c>
      <c r="DO760" s="16">
        <f>RecData[[#This Row],[LAF90.0]]</f>
        <v>22.2</v>
      </c>
      <c r="DP760" s="55" t="str">
        <f>IF(AND(RecData[[#This Row],[Useable TON Data?]],RecData[[#This Row],[Turbines ON/OFF]]="ON"),RecData[[#This Row],[dBA Sum]],"")</f>
        <v/>
      </c>
      <c r="DQ760" s="55">
        <f>IF(AND(RecData[[#This Row],[Useable Background Data?]],RecData[[#This Row],[Turbines ON/OFF]]="OFF"),RecData[[#This Row],[dBA Sum]],"")</f>
        <v>16.551367594684997</v>
      </c>
      <c r="DR760" s="3">
        <f>IF(OR(RecData[[#This Row],[Useable TON Data?]],RecData[[#This Row],[Useable Background Data?]]),ROUND(RecData[[#This Row],[WSpd_Avg '[m/s']]],0),"")</f>
        <v>0</v>
      </c>
      <c r="DS760" s="85">
        <f>(0.00002)^2*(10^(RecData[[#This Row],[Overall (dBA)]]/10))</f>
        <v>1.8079930254373134E-8</v>
      </c>
    </row>
    <row r="761" spans="1:123" ht="15" x14ac:dyDescent="0.25">
      <c r="A761" s="3" t="s">
        <v>249</v>
      </c>
      <c r="B761" s="12">
        <v>43272.963194444448</v>
      </c>
      <c r="C761" s="3"/>
      <c r="D761" s="3">
        <v>26.2</v>
      </c>
      <c r="E761" s="3"/>
      <c r="F761" s="3"/>
      <c r="G761" s="3"/>
      <c r="H761" s="3"/>
      <c r="I761" s="3"/>
      <c r="J761" s="3"/>
      <c r="K761" s="3">
        <v>22.3</v>
      </c>
      <c r="L761" s="3"/>
      <c r="M761" s="3"/>
      <c r="N761" s="3">
        <v>150.4</v>
      </c>
      <c r="O761" s="3"/>
      <c r="P761" s="3"/>
      <c r="Q761" s="3">
        <v>0.41</v>
      </c>
      <c r="R761" s="3">
        <v>0.2</v>
      </c>
      <c r="S761" s="3">
        <v>0.6</v>
      </c>
      <c r="T761" s="3">
        <v>8.6999999999999993</v>
      </c>
      <c r="U761" s="3">
        <v>75.3</v>
      </c>
      <c r="V761" s="3">
        <v>970.7</v>
      </c>
      <c r="W761" s="3">
        <v>0</v>
      </c>
      <c r="X761" s="3">
        <v>21</v>
      </c>
      <c r="Y761" s="3">
        <v>19</v>
      </c>
      <c r="Z761" s="3">
        <v>21.7</v>
      </c>
      <c r="AA761" s="3">
        <v>13.6</v>
      </c>
      <c r="AB761" s="3">
        <v>9.9</v>
      </c>
      <c r="AC761" s="3">
        <v>6.4</v>
      </c>
      <c r="AD761" s="3">
        <v>8.1999999999999993</v>
      </c>
      <c r="AE761" s="3">
        <v>8.4</v>
      </c>
      <c r="AF761" s="3">
        <v>12.3</v>
      </c>
      <c r="AG761" s="3">
        <v>8.8000000000000007</v>
      </c>
      <c r="AH761" s="3">
        <v>8.5</v>
      </c>
      <c r="AI761" s="3">
        <v>8.6</v>
      </c>
      <c r="AJ761" s="3">
        <v>9.6</v>
      </c>
      <c r="AK761" s="3">
        <v>8.8000000000000007</v>
      </c>
      <c r="AL761" s="3">
        <v>8.1</v>
      </c>
      <c r="AM761" s="3">
        <v>8.3000000000000007</v>
      </c>
      <c r="AN761" s="3">
        <v>8.5</v>
      </c>
      <c r="AO761" s="3">
        <v>7.9</v>
      </c>
      <c r="AP761" s="3">
        <v>7.1</v>
      </c>
      <c r="AQ761" s="3">
        <v>6.6</v>
      </c>
      <c r="AR761" s="3">
        <v>6.2</v>
      </c>
      <c r="AS761" s="3">
        <v>17.7</v>
      </c>
      <c r="AT761" s="3">
        <v>22.9</v>
      </c>
      <c r="AU761" s="3">
        <v>7.8</v>
      </c>
      <c r="AV761" s="3">
        <v>8.4</v>
      </c>
      <c r="AW761" s="3">
        <v>8.9</v>
      </c>
      <c r="AX761" s="3">
        <v>8.9</v>
      </c>
      <c r="AY761" s="3">
        <v>9.1</v>
      </c>
      <c r="AZ761" s="3">
        <v>0</v>
      </c>
      <c r="BA761" s="3">
        <v>0</v>
      </c>
      <c r="BB761" s="3">
        <v>0</v>
      </c>
      <c r="BC761" s="3">
        <v>26.156612925983673</v>
      </c>
      <c r="BD761" s="3">
        <v>21.04338707401633</v>
      </c>
      <c r="BE761" s="3">
        <v>19.04338707401633</v>
      </c>
      <c r="BF761" s="3">
        <v>20.503387074016324</v>
      </c>
      <c r="BG761" s="3">
        <v>12.73005374068299</v>
      </c>
      <c r="BH761" s="3">
        <v>9.1700537406829952</v>
      </c>
      <c r="BI761" s="3">
        <v>6.0833870740163292</v>
      </c>
      <c r="BJ761" s="3">
        <v>8.6767204073496558</v>
      </c>
      <c r="BK761" s="3">
        <v>8.7500537406829935</v>
      </c>
      <c r="BL761" s="3">
        <v>12.22338707401633</v>
      </c>
      <c r="BM761" s="3">
        <v>8.8567204073496626</v>
      </c>
      <c r="BN761" s="3">
        <v>8.8400537406829969</v>
      </c>
      <c r="BO761" s="3">
        <v>8.3067204073496654</v>
      </c>
      <c r="BP761" s="3">
        <v>9.0233870740163269</v>
      </c>
      <c r="BQ761" s="3">
        <v>8.6400537406829869</v>
      </c>
      <c r="BR761" s="3">
        <v>8.2667204073496592</v>
      </c>
      <c r="BS761" s="3">
        <v>8.2700537406829966</v>
      </c>
      <c r="BT761" s="3">
        <v>8.6667204073496649</v>
      </c>
      <c r="BU761" s="3">
        <v>8.033387074016332</v>
      </c>
      <c r="BV761" s="3">
        <v>6.9500537406829963</v>
      </c>
      <c r="BW761" s="3">
        <v>6.9833870740163277</v>
      </c>
      <c r="BX761" s="3">
        <v>6.5033870740163309</v>
      </c>
      <c r="BY761" s="3">
        <v>17.823387074016324</v>
      </c>
      <c r="BZ761" s="3">
        <v>23.153387074016329</v>
      </c>
      <c r="CA761" s="3">
        <v>8.1533870740163152</v>
      </c>
      <c r="CB761" s="3">
        <v>8.1900537406829912</v>
      </c>
      <c r="CC761" s="3">
        <v>8.9033870740163294</v>
      </c>
      <c r="CD761" s="3">
        <v>8.2100537406830014</v>
      </c>
      <c r="CE761" s="3">
        <v>8.6033870740163252</v>
      </c>
      <c r="CF761" s="3">
        <v>-0.8832795926503394</v>
      </c>
      <c r="CG761" s="3">
        <v>-1.4166129259836708</v>
      </c>
      <c r="CH761" s="3">
        <v>-2.4932795926503388</v>
      </c>
      <c r="CI761" s="13">
        <f>[1]!dbasum(RecData[[#This Row],[20]:[2000]],RecData[[#Headers],[20]:[2000]])</f>
        <v>16.476327820618035</v>
      </c>
      <c r="CJ761" s="14">
        <v>9396</v>
      </c>
      <c r="CK761" s="15" t="s">
        <v>249</v>
      </c>
      <c r="CL761" s="15">
        <f>RecData[[#This Row],[Start Time]]</f>
        <v>43272.963194444448</v>
      </c>
      <c r="CM761" s="16">
        <f>RecData[[#This Row],[Wind Speed avg]]</f>
        <v>0.41</v>
      </c>
      <c r="CN761" s="16">
        <f>RecData[[#This Row],[Wind Dir. avg]]</f>
        <v>150.4</v>
      </c>
      <c r="CO761" s="16">
        <f>RecData[[#This Row],[Amb. Humidity]]</f>
        <v>75.3</v>
      </c>
      <c r="CP761" s="16">
        <f>RecData[[#This Row],[Amb. Temperature]]</f>
        <v>8.6999999999999993</v>
      </c>
      <c r="CQ761" s="17">
        <f>RecData[[#This Row],[Amb. Rain Gauge]]</f>
        <v>0</v>
      </c>
      <c r="CR761" s="4" t="s">
        <v>50</v>
      </c>
      <c r="CS761" s="4" t="s">
        <v>49</v>
      </c>
      <c r="CT761" s="70">
        <v>-8.5864486694335902</v>
      </c>
      <c r="CU761" s="70">
        <v>239.00201416015599</v>
      </c>
      <c r="CV761" s="70">
        <v>1.46673619747161</v>
      </c>
      <c r="CW761" s="70">
        <v>0</v>
      </c>
      <c r="CX761" s="109"/>
      <c r="CY761" s="110"/>
      <c r="CZ761" s="2" t="b">
        <f>IF($DP$1="YES",IF(RecData[[#This Row],[Power (kW)]]&gt;=$CR$3, TRUE,FALSE),TRUE)</f>
        <v>0</v>
      </c>
      <c r="DA761" s="16">
        <f>MIN(MOD(180-ABS(ABS($DA$1-RecData[Yaw Angle (°)])-180),360),MOD(180-ABS(ABS($DB$1-RecData[Yaw Angle (°)])-180),360))</f>
        <v>128.52791261753157</v>
      </c>
      <c r="DB761" s="2" t="str">
        <f>IF($DP$2="None","None",IF(RecData[[#This Row],[Relative Wind Direction]]&lt;=45,"DW",IF(RecData[[#This Row],[Relative Wind Direction]]&lt;=135,"CW","UW")))</f>
        <v>CW</v>
      </c>
      <c r="DC761" s="61">
        <f>IF($CL761-$CL757&gt;1/24,#REF!,IF(SUM($CQ757:$CQ761)&gt;$DS$1,$DS$5,DC762-1))</f>
        <v>-2</v>
      </c>
      <c r="DD761" s="61">
        <f>IF($CL762-$CL761&gt;1/24,#REF!,IF(SUM($CQ757:$CQ761)&gt;$DS$1,$DS$6,DD760-1))</f>
        <v>-9</v>
      </c>
      <c r="DE761" s="18" t="b">
        <v>0</v>
      </c>
      <c r="DF761" s="2" t="b">
        <f>IF(OR(RecData[[#This Row],[WSpd_Avg '[m/s']]]-RecData[[#This Row],[Wind Speed min]]&gt;=$DF$3,RecData[[#This Row],[Wind Speed max]]-RecData[[#This Row],[WSpd_Avg '[m/s']]]&gt;=$DF$2),TRUE,FALSE)</f>
        <v>0</v>
      </c>
      <c r="DG761" s="2" t="b">
        <f>RecData[[#This Row],[Temperature '[°C']]]&lt;=-20</f>
        <v>0</v>
      </c>
      <c r="DH761" s="18" t="b">
        <f>NOT(OR(MOD(RecData[[#This Row],[TIMESTAMP]],1)&gt;0.91632,MOD(RecData[[#This Row],[TIMESTAMP]],1)&lt;0.208681))</f>
        <v>0</v>
      </c>
      <c r="DI761" s="18" t="b">
        <f>RecData[[#This Row],[Overall (dBA)]]-RecData[[#This Row],[L90]]&gt;=$DS$4</f>
        <v>0</v>
      </c>
      <c r="DJ761" s="18" t="b">
        <f>RecData[[#This Row],[Overall (dBA)]]&gt;$DS$2</f>
        <v>0</v>
      </c>
      <c r="DK761" s="18" t="b">
        <f>RecData[[#This Row],[Overall (dBA)]]&lt;$DS$3</f>
        <v>0</v>
      </c>
      <c r="DL7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1" s="2">
        <f>IF(AND(RecData[[#This Row],[Turbines ON/OFF]] = "OFF", NOT(OR(RecData[[#This Row],[Junk?]]="YES",RecData[[#This Row],[Gust?]],RecData[[#This Row],[Rain?]:[Min SPL Threshold?]]))),1,0)</f>
        <v>1</v>
      </c>
      <c r="DN761" s="16">
        <f>RecData[[#This Row],[dBA Sum]]</f>
        <v>16.476327820618035</v>
      </c>
      <c r="DO761" s="16">
        <f>RecData[[#This Row],[LAF90.0]]</f>
        <v>22.3</v>
      </c>
      <c r="DP761" s="55" t="str">
        <f>IF(AND(RecData[[#This Row],[Useable TON Data?]],RecData[[#This Row],[Turbines ON/OFF]]="ON"),RecData[[#This Row],[dBA Sum]],"")</f>
        <v/>
      </c>
      <c r="DQ761" s="55">
        <f>IF(AND(RecData[[#This Row],[Useable Background Data?]],RecData[[#This Row],[Turbines ON/OFF]]="OFF"),RecData[[#This Row],[dBA Sum]],"")</f>
        <v>16.476327820618035</v>
      </c>
      <c r="DR761" s="3">
        <f>IF(OR(RecData[[#This Row],[Useable TON Data?]],RecData[[#This Row],[Useable Background Data?]]),ROUND(RecData[[#This Row],[WSpd_Avg '[m/s']]],0),"")</f>
        <v>0</v>
      </c>
      <c r="DS761" s="85">
        <f>(0.00002)^2*(10^(RecData[[#This Row],[Overall (dBA)]]/10))</f>
        <v>1.7770218726289426E-8</v>
      </c>
    </row>
    <row r="762" spans="1:123" ht="15" x14ac:dyDescent="0.25">
      <c r="A762" s="3" t="s">
        <v>249</v>
      </c>
      <c r="B762" s="12">
        <v>43272.963888888895</v>
      </c>
      <c r="C762" s="3"/>
      <c r="D762" s="3">
        <v>26.1</v>
      </c>
      <c r="E762" s="3"/>
      <c r="F762" s="3"/>
      <c r="G762" s="3"/>
      <c r="H762" s="3"/>
      <c r="I762" s="3"/>
      <c r="J762" s="3"/>
      <c r="K762" s="3">
        <v>21.1</v>
      </c>
      <c r="L762" s="3"/>
      <c r="M762" s="3"/>
      <c r="N762" s="3">
        <v>153.1</v>
      </c>
      <c r="O762" s="3"/>
      <c r="P762" s="3"/>
      <c r="Q762" s="3">
        <v>0.41</v>
      </c>
      <c r="R762" s="3">
        <v>0.2</v>
      </c>
      <c r="S762" s="3">
        <v>0.6</v>
      </c>
      <c r="T762" s="3">
        <v>8.6999999999999993</v>
      </c>
      <c r="U762" s="3">
        <v>73.8</v>
      </c>
      <c r="V762" s="3">
        <v>970.7</v>
      </c>
      <c r="W762" s="3">
        <v>0</v>
      </c>
      <c r="X762" s="3">
        <v>21.3</v>
      </c>
      <c r="Y762" s="3">
        <v>23.2</v>
      </c>
      <c r="Z762" s="3">
        <v>27.3</v>
      </c>
      <c r="AA762" s="3">
        <v>15.1</v>
      </c>
      <c r="AB762" s="3">
        <v>11.4</v>
      </c>
      <c r="AC762" s="3">
        <v>7.6</v>
      </c>
      <c r="AD762" s="3">
        <v>8.8000000000000007</v>
      </c>
      <c r="AE762" s="3">
        <v>8.4</v>
      </c>
      <c r="AF762" s="3">
        <v>11</v>
      </c>
      <c r="AG762" s="3">
        <v>10.199999999999999</v>
      </c>
      <c r="AH762" s="3">
        <v>8.6999999999999993</v>
      </c>
      <c r="AI762" s="3">
        <v>9.4</v>
      </c>
      <c r="AJ762" s="3">
        <v>9.5</v>
      </c>
      <c r="AK762" s="3">
        <v>9.4</v>
      </c>
      <c r="AL762" s="3">
        <v>8.6</v>
      </c>
      <c r="AM762" s="3">
        <v>8.5</v>
      </c>
      <c r="AN762" s="3">
        <v>8.6</v>
      </c>
      <c r="AO762" s="3">
        <v>8</v>
      </c>
      <c r="AP762" s="3">
        <v>7.1</v>
      </c>
      <c r="AQ762" s="3">
        <v>7</v>
      </c>
      <c r="AR762" s="3">
        <v>6.4</v>
      </c>
      <c r="AS762" s="3">
        <v>18.7</v>
      </c>
      <c r="AT762" s="3">
        <v>22.3</v>
      </c>
      <c r="AU762" s="3">
        <v>7.4</v>
      </c>
      <c r="AV762" s="3">
        <v>8</v>
      </c>
      <c r="AW762" s="3">
        <v>8.6</v>
      </c>
      <c r="AX762" s="3">
        <v>8.8000000000000007</v>
      </c>
      <c r="AY762" s="3">
        <v>9.1</v>
      </c>
      <c r="AZ762" s="3">
        <v>0</v>
      </c>
      <c r="BA762" s="3">
        <v>0</v>
      </c>
      <c r="BB762" s="3">
        <v>0</v>
      </c>
      <c r="BC762" s="3">
        <v>26.024029978247356</v>
      </c>
      <c r="BD762" s="3">
        <v>21.37597002175265</v>
      </c>
      <c r="BE762" s="3">
        <v>23.275970021752642</v>
      </c>
      <c r="BF762" s="3">
        <v>26.135970021752648</v>
      </c>
      <c r="BG762" s="3">
        <v>14.262636688419306</v>
      </c>
      <c r="BH762" s="3">
        <v>10.702636688419318</v>
      </c>
      <c r="BI762" s="3">
        <v>7.3159700217526478</v>
      </c>
      <c r="BJ762" s="3">
        <v>9.3093033550859801</v>
      </c>
      <c r="BK762" s="3">
        <v>8.7826366884193092</v>
      </c>
      <c r="BL762" s="3">
        <v>10.955970021752648</v>
      </c>
      <c r="BM762" s="3">
        <v>10.289303355085977</v>
      </c>
      <c r="BN762" s="3">
        <v>9.0726366884193084</v>
      </c>
      <c r="BO762" s="3">
        <v>9.1393033550859855</v>
      </c>
      <c r="BP762" s="3">
        <v>8.9559700217526483</v>
      </c>
      <c r="BQ762" s="3">
        <v>9.2726366884193041</v>
      </c>
      <c r="BR762" s="3">
        <v>8.799303355085982</v>
      </c>
      <c r="BS762" s="3">
        <v>8.5026366884193152</v>
      </c>
      <c r="BT762" s="3">
        <v>8.799303355085982</v>
      </c>
      <c r="BU762" s="3">
        <v>8.1659700217526492</v>
      </c>
      <c r="BV762" s="3">
        <v>6.9826366884193121</v>
      </c>
      <c r="BW762" s="3">
        <v>7.4159700217526492</v>
      </c>
      <c r="BX762" s="3">
        <v>6.7359700217526495</v>
      </c>
      <c r="BY762" s="3">
        <v>18.85597002175264</v>
      </c>
      <c r="BZ762" s="3">
        <v>22.585970021752651</v>
      </c>
      <c r="CA762" s="3">
        <v>7.7859700217526395</v>
      </c>
      <c r="CB762" s="3">
        <v>7.8226366884193084</v>
      </c>
      <c r="CC762" s="3">
        <v>8.6359700217526409</v>
      </c>
      <c r="CD762" s="3">
        <v>8.1426366884193158</v>
      </c>
      <c r="CE762" s="3">
        <v>8.6359700217526409</v>
      </c>
      <c r="CF762" s="3">
        <v>-0.85069664491402008</v>
      </c>
      <c r="CG762" s="3">
        <v>-1.3840299782473515</v>
      </c>
      <c r="CH762" s="3">
        <v>-2.4606966449140195</v>
      </c>
      <c r="CI762" s="13">
        <f>[1]!dbasum(RecData[[#This Row],[20]:[2000]],RecData[[#Headers],[20]:[2000]])</f>
        <v>16.736252153804607</v>
      </c>
      <c r="CJ762" s="14">
        <v>9397</v>
      </c>
      <c r="CK762" s="15" t="s">
        <v>249</v>
      </c>
      <c r="CL762" s="15">
        <f>RecData[[#This Row],[Start Time]]</f>
        <v>43272.963888888895</v>
      </c>
      <c r="CM762" s="16">
        <f>RecData[[#This Row],[Wind Speed avg]]</f>
        <v>0.41</v>
      </c>
      <c r="CN762" s="16">
        <f>RecData[[#This Row],[Wind Dir. avg]]</f>
        <v>153.1</v>
      </c>
      <c r="CO762" s="16">
        <f>RecData[[#This Row],[Amb. Humidity]]</f>
        <v>73.8</v>
      </c>
      <c r="CP762" s="16">
        <f>RecData[[#This Row],[Amb. Temperature]]</f>
        <v>8.6999999999999993</v>
      </c>
      <c r="CQ762" s="17">
        <f>RecData[[#This Row],[Amb. Rain Gauge]]</f>
        <v>0</v>
      </c>
      <c r="CR762" s="4" t="s">
        <v>50</v>
      </c>
      <c r="CS762" s="4" t="s">
        <v>49</v>
      </c>
      <c r="CT762" s="70">
        <v>-8.5864486694335902</v>
      </c>
      <c r="CU762" s="70">
        <v>239.00201416015599</v>
      </c>
      <c r="CV762" s="70">
        <v>1.46673619747161</v>
      </c>
      <c r="CW762" s="70">
        <v>0</v>
      </c>
      <c r="CX762" s="109"/>
      <c r="CY762" s="110"/>
      <c r="CZ762" s="2" t="b">
        <f>IF($DP$1="YES",IF(RecData[[#This Row],[Power (kW)]]&gt;=$CR$3, TRUE,FALSE),TRUE)</f>
        <v>0</v>
      </c>
      <c r="DA762" s="16">
        <f>MIN(MOD(180-ABS(ABS($DA$1-RecData[Yaw Angle (°)])-180),360),MOD(180-ABS(ABS($DB$1-RecData[Yaw Angle (°)])-180),360))</f>
        <v>128.52791261753157</v>
      </c>
      <c r="DB762" s="2" t="str">
        <f>IF($DP$2="None","None",IF(RecData[[#This Row],[Relative Wind Direction]]&lt;=45,"DW",IF(RecData[[#This Row],[Relative Wind Direction]]&lt;=135,"CW","UW")))</f>
        <v>CW</v>
      </c>
      <c r="DC762" s="61">
        <v>-1</v>
      </c>
      <c r="DD762" s="61">
        <v>-1</v>
      </c>
      <c r="DE762" s="18" t="b">
        <v>0</v>
      </c>
      <c r="DF762" s="2" t="b">
        <f>IF(OR(RecData[[#This Row],[WSpd_Avg '[m/s']]]-RecData[[#This Row],[Wind Speed min]]&gt;=$DF$3,RecData[[#This Row],[Wind Speed max]]-RecData[[#This Row],[WSpd_Avg '[m/s']]]&gt;=$DF$2),TRUE,FALSE)</f>
        <v>0</v>
      </c>
      <c r="DG762" s="2" t="b">
        <f>RecData[[#This Row],[Temperature '[°C']]]&lt;=-20</f>
        <v>0</v>
      </c>
      <c r="DH762" s="18" t="b">
        <f>NOT(OR(MOD(RecData[[#This Row],[TIMESTAMP]],1)&gt;0.91632,MOD(RecData[[#This Row],[TIMESTAMP]],1)&lt;0.208681))</f>
        <v>0</v>
      </c>
      <c r="DI762" s="18" t="b">
        <f>RecData[[#This Row],[Overall (dBA)]]-RecData[[#This Row],[L90]]&gt;=$DS$4</f>
        <v>0</v>
      </c>
      <c r="DJ762" s="18" t="b">
        <f>RecData[[#This Row],[Overall (dBA)]]&gt;$DS$2</f>
        <v>0</v>
      </c>
      <c r="DK762" s="18" t="b">
        <f>RecData[[#This Row],[Overall (dBA)]]&lt;$DS$3</f>
        <v>0</v>
      </c>
      <c r="DL7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2" s="2">
        <f>IF(AND(RecData[[#This Row],[Turbines ON/OFF]] = "OFF", NOT(OR(RecData[[#This Row],[Junk?]]="YES",RecData[[#This Row],[Gust?]],RecData[[#This Row],[Rain?]:[Min SPL Threshold?]]))),1,0)</f>
        <v>1</v>
      </c>
      <c r="DN762" s="16">
        <f>RecData[[#This Row],[dBA Sum]]</f>
        <v>16.736252153804607</v>
      </c>
      <c r="DO762" s="16">
        <f>RecData[[#This Row],[LAF90.0]]</f>
        <v>21.1</v>
      </c>
      <c r="DP762" s="55" t="str">
        <f>IF(AND(RecData[[#This Row],[Useable TON Data?]],RecData[[#This Row],[Turbines ON/OFF]]="ON"),RecData[[#This Row],[dBA Sum]],"")</f>
        <v/>
      </c>
      <c r="DQ762" s="55">
        <f>IF(AND(RecData[[#This Row],[Useable Background Data?]],RecData[[#This Row],[Turbines ON/OFF]]="OFF"),RecData[[#This Row],[dBA Sum]],"")</f>
        <v>16.736252153804607</v>
      </c>
      <c r="DR762" s="3">
        <f>IF(OR(RecData[[#This Row],[Useable TON Data?]],RecData[[#This Row],[Useable Background Data?]]),ROUND(RecData[[#This Row],[WSpd_Avg '[m/s']]],0),"")</f>
        <v>0</v>
      </c>
      <c r="DS762" s="85">
        <f>(0.00002)^2*(10^(RecData[[#This Row],[Overall (dBA)]]/10))</f>
        <v>1.8866233564264874E-8</v>
      </c>
    </row>
    <row r="763" spans="1:123" ht="15" x14ac:dyDescent="0.25">
      <c r="A763" s="3" t="s">
        <v>249</v>
      </c>
      <c r="B763" s="12">
        <v>43272.964583333334</v>
      </c>
      <c r="C763" s="3"/>
      <c r="D763" s="3">
        <v>30.8</v>
      </c>
      <c r="E763" s="3"/>
      <c r="F763" s="3"/>
      <c r="G763" s="3"/>
      <c r="H763" s="3"/>
      <c r="I763" s="3"/>
      <c r="J763" s="3"/>
      <c r="K763" s="3">
        <v>23.9</v>
      </c>
      <c r="L763" s="3"/>
      <c r="M763" s="3"/>
      <c r="N763" s="3">
        <v>152.5</v>
      </c>
      <c r="O763" s="3"/>
      <c r="P763" s="3"/>
      <c r="Q763" s="3">
        <v>0.36</v>
      </c>
      <c r="R763" s="3">
        <v>0.2</v>
      </c>
      <c r="S763" s="3">
        <v>0.6</v>
      </c>
      <c r="T763" s="3">
        <v>8.6999999999999993</v>
      </c>
      <c r="U763" s="3">
        <v>74.400000000000006</v>
      </c>
      <c r="V763" s="3">
        <v>970.7</v>
      </c>
      <c r="W763" s="3">
        <v>0</v>
      </c>
      <c r="X763" s="3">
        <v>21.4</v>
      </c>
      <c r="Y763" s="3">
        <v>18.5</v>
      </c>
      <c r="Z763" s="3">
        <v>18</v>
      </c>
      <c r="AA763" s="3">
        <v>9.1</v>
      </c>
      <c r="AB763" s="3">
        <v>6.9</v>
      </c>
      <c r="AC763" s="3">
        <v>5.4</v>
      </c>
      <c r="AD763" s="3">
        <v>8.8000000000000007</v>
      </c>
      <c r="AE763" s="3">
        <v>8.1999999999999993</v>
      </c>
      <c r="AF763" s="3">
        <v>11.2</v>
      </c>
      <c r="AG763" s="3">
        <v>9.1999999999999993</v>
      </c>
      <c r="AH763" s="3">
        <v>8.6999999999999993</v>
      </c>
      <c r="AI763" s="3">
        <v>9</v>
      </c>
      <c r="AJ763" s="3">
        <v>9.4</v>
      </c>
      <c r="AK763" s="3">
        <v>9.1999999999999993</v>
      </c>
      <c r="AL763" s="3">
        <v>8.1999999999999993</v>
      </c>
      <c r="AM763" s="3">
        <v>8.1</v>
      </c>
      <c r="AN763" s="3">
        <v>8.5</v>
      </c>
      <c r="AO763" s="3">
        <v>7.8</v>
      </c>
      <c r="AP763" s="3">
        <v>7</v>
      </c>
      <c r="AQ763" s="3">
        <v>6.7</v>
      </c>
      <c r="AR763" s="3">
        <v>6.1</v>
      </c>
      <c r="AS763" s="3">
        <v>19.899999999999999</v>
      </c>
      <c r="AT763" s="3">
        <v>28.8</v>
      </c>
      <c r="AU763" s="3">
        <v>10.4</v>
      </c>
      <c r="AV763" s="3">
        <v>8.3000000000000007</v>
      </c>
      <c r="AW763" s="3">
        <v>8.6</v>
      </c>
      <c r="AX763" s="3">
        <v>8.8000000000000007</v>
      </c>
      <c r="AY763" s="3">
        <v>9.1</v>
      </c>
      <c r="AZ763" s="3">
        <v>0</v>
      </c>
      <c r="BA763" s="3">
        <v>0</v>
      </c>
      <c r="BB763" s="3">
        <v>0</v>
      </c>
      <c r="BC763" s="3">
        <v>30.836537627290234</v>
      </c>
      <c r="BD763" s="3">
        <v>21.363462372709769</v>
      </c>
      <c r="BE763" s="3">
        <v>18.463462372709763</v>
      </c>
      <c r="BF763" s="3">
        <v>16.723462372709768</v>
      </c>
      <c r="BG763" s="3">
        <v>8.1501290393764307</v>
      </c>
      <c r="BH763" s="3">
        <v>6.0901290393764356</v>
      </c>
      <c r="BI763" s="3">
        <v>5.0034623727097696</v>
      </c>
      <c r="BJ763" s="3">
        <v>9.1967957060430976</v>
      </c>
      <c r="BK763" s="3">
        <v>8.470129039376431</v>
      </c>
      <c r="BL763" s="3">
        <v>11.043462372709769</v>
      </c>
      <c r="BM763" s="3">
        <v>9.1767957060431016</v>
      </c>
      <c r="BN763" s="3">
        <v>8.960129039376433</v>
      </c>
      <c r="BO763" s="3">
        <v>8.6267957060431044</v>
      </c>
      <c r="BP763" s="3">
        <v>8.7434623727097645</v>
      </c>
      <c r="BQ763" s="3">
        <v>8.9601290393764259</v>
      </c>
      <c r="BR763" s="3">
        <v>8.286795706043101</v>
      </c>
      <c r="BS763" s="3">
        <v>7.9901290393764342</v>
      </c>
      <c r="BT763" s="3">
        <v>8.5867957060430982</v>
      </c>
      <c r="BU763" s="3">
        <v>7.853462372709771</v>
      </c>
      <c r="BV763" s="3">
        <v>6.7701290393764353</v>
      </c>
      <c r="BW763" s="3">
        <v>7.0034623727097696</v>
      </c>
      <c r="BX763" s="3">
        <v>6.3234623727097699</v>
      </c>
      <c r="BY763" s="3">
        <v>19.943462372709767</v>
      </c>
      <c r="BZ763" s="3">
        <v>28.973462372709768</v>
      </c>
      <c r="CA763" s="3">
        <v>10.673462372709757</v>
      </c>
      <c r="CB763" s="3">
        <v>8.0101290393764302</v>
      </c>
      <c r="CC763" s="3">
        <v>8.5234623727097656</v>
      </c>
      <c r="CD763" s="3">
        <v>8.0301290393764404</v>
      </c>
      <c r="CE763" s="3">
        <v>8.5234623727097656</v>
      </c>
      <c r="CF763" s="3">
        <v>-0.96320429395689899</v>
      </c>
      <c r="CG763" s="3">
        <v>-1.4965376272902304</v>
      </c>
      <c r="CH763" s="3">
        <v>-2.5732042939568984</v>
      </c>
      <c r="CI763" s="13">
        <f>[1]!dbasum(RecData[[#This Row],[20]:[2000]],RecData[[#Headers],[20]:[2000]])</f>
        <v>16.37910649834819</v>
      </c>
      <c r="CJ763" s="14">
        <v>9398</v>
      </c>
      <c r="CK763" s="15" t="s">
        <v>249</v>
      </c>
      <c r="CL763" s="15">
        <f>RecData[[#This Row],[Start Time]]</f>
        <v>43272.964583333334</v>
      </c>
      <c r="CM763" s="16">
        <f>RecData[[#This Row],[Wind Speed avg]]</f>
        <v>0.36</v>
      </c>
      <c r="CN763" s="16">
        <f>RecData[[#This Row],[Wind Dir. avg]]</f>
        <v>152.5</v>
      </c>
      <c r="CO763" s="16">
        <f>RecData[[#This Row],[Amb. Humidity]]</f>
        <v>74.400000000000006</v>
      </c>
      <c r="CP763" s="16">
        <f>RecData[[#This Row],[Amb. Temperature]]</f>
        <v>8.6999999999999993</v>
      </c>
      <c r="CQ763" s="17">
        <f>RecData[[#This Row],[Amb. Rain Gauge]]</f>
        <v>0</v>
      </c>
      <c r="CR763" s="4" t="s">
        <v>50</v>
      </c>
      <c r="CS763" s="4" t="s">
        <v>49</v>
      </c>
      <c r="CT763" s="70">
        <v>-8.5864486694335902</v>
      </c>
      <c r="CU763" s="70">
        <v>239.00201416015599</v>
      </c>
      <c r="CV763" s="70">
        <v>1.46673619747161</v>
      </c>
      <c r="CW763" s="70">
        <v>0</v>
      </c>
      <c r="CX763" s="109"/>
      <c r="CY763" s="110"/>
      <c r="CZ763" s="2" t="b">
        <f>IF($DP$1="YES",IF(RecData[[#This Row],[Power (kW)]]&gt;=$CR$3, TRUE,FALSE),TRUE)</f>
        <v>0</v>
      </c>
      <c r="DA763" s="16">
        <f>MIN(MOD(180-ABS(ABS($DA$1-RecData[Yaw Angle (°)])-180),360),MOD(180-ABS(ABS($DB$1-RecData[Yaw Angle (°)])-180),360))</f>
        <v>128.52791261753157</v>
      </c>
      <c r="DB763" s="2" t="str">
        <f>IF($DP$2="None","None",IF(RecData[[#This Row],[Relative Wind Direction]]&lt;=45,"DW",IF(RecData[[#This Row],[Relative Wind Direction]]&lt;=135,"CW","UW")))</f>
        <v>CW</v>
      </c>
      <c r="DC763" s="61">
        <f>IF($CL763-$CL762&gt;1/24,#REF!,IF(SUM($CQ762:$CQ763)&gt;$DS$1,$DS$5,DC764-1))</f>
        <v>-9</v>
      </c>
      <c r="DD763" s="61">
        <f>IF($CL764-$CL763&gt;1/24,#REF!,IF(SUM($CQ762:$CQ763)&gt;$DS$1,$DS$6,DD762-1))</f>
        <v>-2</v>
      </c>
      <c r="DE763" s="18" t="b">
        <v>0</v>
      </c>
      <c r="DF763" s="2" t="b">
        <f>IF(OR(RecData[[#This Row],[WSpd_Avg '[m/s']]]-RecData[[#This Row],[Wind Speed min]]&gt;=$DF$3,RecData[[#This Row],[Wind Speed max]]-RecData[[#This Row],[WSpd_Avg '[m/s']]]&gt;=$DF$2),TRUE,FALSE)</f>
        <v>0</v>
      </c>
      <c r="DG763" s="2" t="b">
        <f>RecData[[#This Row],[Temperature '[°C']]]&lt;=-20</f>
        <v>0</v>
      </c>
      <c r="DH763" s="18" t="b">
        <f>NOT(OR(MOD(RecData[[#This Row],[TIMESTAMP]],1)&gt;0.91632,MOD(RecData[[#This Row],[TIMESTAMP]],1)&lt;0.208681))</f>
        <v>0</v>
      </c>
      <c r="DI763" s="18" t="b">
        <f>RecData[[#This Row],[Overall (dBA)]]-RecData[[#This Row],[L90]]&gt;=$DS$4</f>
        <v>0</v>
      </c>
      <c r="DJ763" s="18" t="b">
        <f>RecData[[#This Row],[Overall (dBA)]]&gt;$DS$2</f>
        <v>0</v>
      </c>
      <c r="DK763" s="18" t="b">
        <f>RecData[[#This Row],[Overall (dBA)]]&lt;$DS$3</f>
        <v>0</v>
      </c>
      <c r="DL7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3" s="2">
        <f>IF(AND(RecData[[#This Row],[Turbines ON/OFF]] = "OFF", NOT(OR(RecData[[#This Row],[Junk?]]="YES",RecData[[#This Row],[Gust?]],RecData[[#This Row],[Rain?]:[Min SPL Threshold?]]))),1,0)</f>
        <v>1</v>
      </c>
      <c r="DN763" s="16">
        <f>RecData[[#This Row],[dBA Sum]]</f>
        <v>16.37910649834819</v>
      </c>
      <c r="DO763" s="16">
        <f>RecData[[#This Row],[LAF90.0]]</f>
        <v>23.9</v>
      </c>
      <c r="DP763" s="55" t="str">
        <f>IF(AND(RecData[[#This Row],[Useable TON Data?]],RecData[[#This Row],[Turbines ON/OFF]]="ON"),RecData[[#This Row],[dBA Sum]],"")</f>
        <v/>
      </c>
      <c r="DQ763" s="55">
        <f>IF(AND(RecData[[#This Row],[Useable Background Data?]],RecData[[#This Row],[Turbines ON/OFF]]="OFF"),RecData[[#This Row],[dBA Sum]],"")</f>
        <v>16.37910649834819</v>
      </c>
      <c r="DR763" s="3">
        <f>IF(OR(RecData[[#This Row],[Useable TON Data?]],RecData[[#This Row],[Useable Background Data?]]),ROUND(RecData[[#This Row],[WSpd_Avg '[m/s']]],0),"")</f>
        <v>0</v>
      </c>
      <c r="DS763" s="85">
        <f>(0.00002)^2*(10^(RecData[[#This Row],[Overall (dBA)]]/10))</f>
        <v>1.7376833552623453E-8</v>
      </c>
    </row>
    <row r="764" spans="1:123" ht="15" x14ac:dyDescent="0.25">
      <c r="A764" s="3" t="s">
        <v>249</v>
      </c>
      <c r="B764" s="12">
        <v>43272.965277777781</v>
      </c>
      <c r="C764" s="3"/>
      <c r="D764" s="3">
        <v>30.1</v>
      </c>
      <c r="E764" s="3"/>
      <c r="F764" s="3"/>
      <c r="G764" s="3"/>
      <c r="H764" s="3"/>
      <c r="I764" s="3"/>
      <c r="J764" s="3"/>
      <c r="K764" s="3">
        <v>22.2</v>
      </c>
      <c r="L764" s="3"/>
      <c r="M764" s="3"/>
      <c r="N764" s="3">
        <v>157.6</v>
      </c>
      <c r="O764" s="3"/>
      <c r="P764" s="3"/>
      <c r="Q764" s="3">
        <v>0.4</v>
      </c>
      <c r="R764" s="3">
        <v>0.1</v>
      </c>
      <c r="S764" s="3">
        <v>0.6</v>
      </c>
      <c r="T764" s="3">
        <v>8.6999999999999993</v>
      </c>
      <c r="U764" s="3">
        <v>74.2</v>
      </c>
      <c r="V764" s="3">
        <v>970.7</v>
      </c>
      <c r="W764" s="3">
        <v>0</v>
      </c>
      <c r="X764" s="3">
        <v>23.5</v>
      </c>
      <c r="Y764" s="3">
        <v>24.5</v>
      </c>
      <c r="Z764" s="3">
        <v>28</v>
      </c>
      <c r="AA764" s="3">
        <v>18.600000000000001</v>
      </c>
      <c r="AB764" s="3">
        <v>13.8</v>
      </c>
      <c r="AC764" s="3">
        <v>9.8000000000000007</v>
      </c>
      <c r="AD764" s="3">
        <v>10.3</v>
      </c>
      <c r="AE764" s="3">
        <v>9.8000000000000007</v>
      </c>
      <c r="AF764" s="3">
        <v>12.2</v>
      </c>
      <c r="AG764" s="3">
        <v>9.1999999999999993</v>
      </c>
      <c r="AH764" s="3">
        <v>8.3000000000000007</v>
      </c>
      <c r="AI764" s="3">
        <v>8.1999999999999993</v>
      </c>
      <c r="AJ764" s="3">
        <v>9</v>
      </c>
      <c r="AK764" s="3">
        <v>8.8000000000000007</v>
      </c>
      <c r="AL764" s="3">
        <v>8.1</v>
      </c>
      <c r="AM764" s="3">
        <v>7.7</v>
      </c>
      <c r="AN764" s="3">
        <v>8.1</v>
      </c>
      <c r="AO764" s="3">
        <v>7.6</v>
      </c>
      <c r="AP764" s="3">
        <v>6.8</v>
      </c>
      <c r="AQ764" s="3">
        <v>6.8</v>
      </c>
      <c r="AR764" s="3">
        <v>6.2</v>
      </c>
      <c r="AS764" s="3">
        <v>19.600000000000001</v>
      </c>
      <c r="AT764" s="3">
        <v>27.9</v>
      </c>
      <c r="AU764" s="3">
        <v>10.199999999999999</v>
      </c>
      <c r="AV764" s="3">
        <v>8.4</v>
      </c>
      <c r="AW764" s="3">
        <v>8.6999999999999993</v>
      </c>
      <c r="AX764" s="3">
        <v>8.9</v>
      </c>
      <c r="AY764" s="3">
        <v>9.1</v>
      </c>
      <c r="AZ764" s="3">
        <v>0</v>
      </c>
      <c r="BA764" s="3">
        <v>0</v>
      </c>
      <c r="BB764" s="3">
        <v>0</v>
      </c>
      <c r="BC764" s="3">
        <v>30.064162065901154</v>
      </c>
      <c r="BD764" s="3">
        <v>23.535837934098847</v>
      </c>
      <c r="BE764" s="3">
        <v>24.535837934098847</v>
      </c>
      <c r="BF764" s="3">
        <v>26.795837934098845</v>
      </c>
      <c r="BG764" s="3">
        <v>17.722504600765507</v>
      </c>
      <c r="BH764" s="3">
        <v>13.062504600765518</v>
      </c>
      <c r="BI764" s="3">
        <v>9.4758379340988519</v>
      </c>
      <c r="BJ764" s="3">
        <v>10.769171267432181</v>
      </c>
      <c r="BK764" s="3">
        <v>10.142504600765509</v>
      </c>
      <c r="BL764" s="3">
        <v>12.115837934098845</v>
      </c>
      <c r="BM764" s="3">
        <v>9.2491712674321782</v>
      </c>
      <c r="BN764" s="3">
        <v>8.6325046007655182</v>
      </c>
      <c r="BO764" s="3">
        <v>7.8991712674321839</v>
      </c>
      <c r="BP764" s="3">
        <v>8.4158379340988496</v>
      </c>
      <c r="BQ764" s="3">
        <v>8.632504600765504</v>
      </c>
      <c r="BR764" s="3">
        <v>8.2591712674321833</v>
      </c>
      <c r="BS764" s="3">
        <v>7.6625046007655122</v>
      </c>
      <c r="BT764" s="3">
        <v>8.2591712674321833</v>
      </c>
      <c r="BU764" s="3">
        <v>7.7258379340988519</v>
      </c>
      <c r="BV764" s="3">
        <v>6.6425046007655162</v>
      </c>
      <c r="BW764" s="3">
        <v>7.1758379340988476</v>
      </c>
      <c r="BX764" s="3">
        <v>6.495837934098855</v>
      </c>
      <c r="BY764" s="3">
        <v>19.715837934098847</v>
      </c>
      <c r="BZ764" s="3">
        <v>28.145837934098854</v>
      </c>
      <c r="CA764" s="3">
        <v>10.545837934098838</v>
      </c>
      <c r="CB764" s="3">
        <v>8.1825046007655153</v>
      </c>
      <c r="CC764" s="3">
        <v>8.6958379340988436</v>
      </c>
      <c r="CD764" s="3">
        <v>8.2025046007655185</v>
      </c>
      <c r="CE764" s="3">
        <v>8.5958379340988422</v>
      </c>
      <c r="CF764" s="3">
        <v>-0.8908287325678188</v>
      </c>
      <c r="CG764" s="3">
        <v>-1.4241620659011502</v>
      </c>
      <c r="CH764" s="3">
        <v>-2.5008287325678182</v>
      </c>
      <c r="CI764" s="13">
        <f>[1]!dbasum(RecData[[#This Row],[20]:[2000]],RecData[[#Headers],[20]:[2000]])</f>
        <v>16.29306475040633</v>
      </c>
      <c r="CJ764" s="14">
        <v>9399</v>
      </c>
      <c r="CK764" s="15" t="s">
        <v>249</v>
      </c>
      <c r="CL764" s="15">
        <f>RecData[[#This Row],[Start Time]]</f>
        <v>43272.965277777781</v>
      </c>
      <c r="CM764" s="16">
        <f>RecData[[#This Row],[Wind Speed avg]]</f>
        <v>0.4</v>
      </c>
      <c r="CN764" s="16">
        <f>RecData[[#This Row],[Wind Dir. avg]]</f>
        <v>157.6</v>
      </c>
      <c r="CO764" s="16">
        <f>RecData[[#This Row],[Amb. Humidity]]</f>
        <v>74.2</v>
      </c>
      <c r="CP764" s="16">
        <f>RecData[[#This Row],[Amb. Temperature]]</f>
        <v>8.6999999999999993</v>
      </c>
      <c r="CQ764" s="17">
        <f>RecData[[#This Row],[Amb. Rain Gauge]]</f>
        <v>0</v>
      </c>
      <c r="CR764" s="4" t="s">
        <v>50</v>
      </c>
      <c r="CS764" s="4" t="s">
        <v>49</v>
      </c>
      <c r="CT764" s="70">
        <v>-8.5864486694335902</v>
      </c>
      <c r="CU764" s="70">
        <v>239.00201416015599</v>
      </c>
      <c r="CV764" s="70">
        <v>1.46673619747161</v>
      </c>
      <c r="CW764" s="70">
        <v>0</v>
      </c>
      <c r="CX764" s="109"/>
      <c r="CY764" s="110"/>
      <c r="CZ764" s="2" t="b">
        <f>IF($DP$1="YES",IF(RecData[[#This Row],[Power (kW)]]&gt;=$CR$3, TRUE,FALSE),TRUE)</f>
        <v>0</v>
      </c>
      <c r="DA764" s="16">
        <f>MIN(MOD(180-ABS(ABS($DA$1-RecData[Yaw Angle (°)])-180),360),MOD(180-ABS(ABS($DB$1-RecData[Yaw Angle (°)])-180),360))</f>
        <v>128.52791261753157</v>
      </c>
      <c r="DB764" s="2" t="str">
        <f>IF($DP$2="None","None",IF(RecData[[#This Row],[Relative Wind Direction]]&lt;=45,"DW",IF(RecData[[#This Row],[Relative Wind Direction]]&lt;=135,"CW","UW")))</f>
        <v>CW</v>
      </c>
      <c r="DC764" s="61">
        <f>IF($CL764-$CL762&gt;1/24,#REF!,IF(SUM($CQ762:$CQ764)&gt;$DS$1,$DS$5,DC765-1))</f>
        <v>-8</v>
      </c>
      <c r="DD764" s="61">
        <f>IF($CL765-$CL764&gt;1/24,#REF!,IF(SUM($CQ762:$CQ764)&gt;$DS$1,$DS$6,DD763-1))</f>
        <v>-3</v>
      </c>
      <c r="DE764" s="18" t="b">
        <v>0</v>
      </c>
      <c r="DF764" s="2" t="b">
        <f>IF(OR(RecData[[#This Row],[WSpd_Avg '[m/s']]]-RecData[[#This Row],[Wind Speed min]]&gt;=$DF$3,RecData[[#This Row],[Wind Speed max]]-RecData[[#This Row],[WSpd_Avg '[m/s']]]&gt;=$DF$2),TRUE,FALSE)</f>
        <v>0</v>
      </c>
      <c r="DG764" s="2" t="b">
        <f>RecData[[#This Row],[Temperature '[°C']]]&lt;=-20</f>
        <v>0</v>
      </c>
      <c r="DH764" s="18" t="b">
        <f>NOT(OR(MOD(RecData[[#This Row],[TIMESTAMP]],1)&gt;0.91632,MOD(RecData[[#This Row],[TIMESTAMP]],1)&lt;0.208681))</f>
        <v>0</v>
      </c>
      <c r="DI764" s="18" t="b">
        <f>RecData[[#This Row],[Overall (dBA)]]-RecData[[#This Row],[L90]]&gt;=$DS$4</f>
        <v>0</v>
      </c>
      <c r="DJ764" s="18" t="b">
        <f>RecData[[#This Row],[Overall (dBA)]]&gt;$DS$2</f>
        <v>0</v>
      </c>
      <c r="DK764" s="18" t="b">
        <f>RecData[[#This Row],[Overall (dBA)]]&lt;$DS$3</f>
        <v>0</v>
      </c>
      <c r="DL7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4" s="2">
        <f>IF(AND(RecData[[#This Row],[Turbines ON/OFF]] = "OFF", NOT(OR(RecData[[#This Row],[Junk?]]="YES",RecData[[#This Row],[Gust?]],RecData[[#This Row],[Rain?]:[Min SPL Threshold?]]))),1,0)</f>
        <v>1</v>
      </c>
      <c r="DN764" s="16">
        <f>RecData[[#This Row],[dBA Sum]]</f>
        <v>16.29306475040633</v>
      </c>
      <c r="DO764" s="16">
        <f>RecData[[#This Row],[LAF90.0]]</f>
        <v>22.2</v>
      </c>
      <c r="DP764" s="55" t="str">
        <f>IF(AND(RecData[[#This Row],[Useable TON Data?]],RecData[[#This Row],[Turbines ON/OFF]]="ON"),RecData[[#This Row],[dBA Sum]],"")</f>
        <v/>
      </c>
      <c r="DQ764" s="55">
        <f>IF(AND(RecData[[#This Row],[Useable Background Data?]],RecData[[#This Row],[Turbines ON/OFF]]="OFF"),RecData[[#This Row],[dBA Sum]],"")</f>
        <v>16.29306475040633</v>
      </c>
      <c r="DR764" s="3">
        <f>IF(OR(RecData[[#This Row],[Useable TON Data?]],RecData[[#This Row],[Useable Background Data?]]),ROUND(RecData[[#This Row],[WSpd_Avg '[m/s']]],0),"")</f>
        <v>0</v>
      </c>
      <c r="DS764" s="85">
        <f>(0.00002)^2*(10^(RecData[[#This Row],[Overall (dBA)]]/10))</f>
        <v>1.7035954299494088E-8</v>
      </c>
    </row>
    <row r="765" spans="1:123" ht="15" x14ac:dyDescent="0.25">
      <c r="A765" s="3" t="s">
        <v>249</v>
      </c>
      <c r="B765" s="12">
        <v>43272.965972222228</v>
      </c>
      <c r="C765" s="3"/>
      <c r="D765" s="3">
        <v>28.5</v>
      </c>
      <c r="E765" s="3"/>
      <c r="F765" s="3"/>
      <c r="G765" s="3"/>
      <c r="H765" s="3"/>
      <c r="I765" s="3"/>
      <c r="J765" s="3"/>
      <c r="K765" s="3">
        <v>21.2</v>
      </c>
      <c r="L765" s="3"/>
      <c r="M765" s="3"/>
      <c r="N765" s="3">
        <v>159.5</v>
      </c>
      <c r="O765" s="3"/>
      <c r="P765" s="3"/>
      <c r="Q765" s="3">
        <v>0.26</v>
      </c>
      <c r="R765" s="3">
        <v>0.1</v>
      </c>
      <c r="S765" s="3">
        <v>0.6</v>
      </c>
      <c r="T765" s="3">
        <v>8.6</v>
      </c>
      <c r="U765" s="3">
        <v>75.400000000000006</v>
      </c>
      <c r="V765" s="3">
        <v>970.8</v>
      </c>
      <c r="W765" s="3">
        <v>0</v>
      </c>
      <c r="X765" s="3">
        <v>24.9</v>
      </c>
      <c r="Y765" s="3">
        <v>23.2</v>
      </c>
      <c r="Z765" s="3">
        <v>22</v>
      </c>
      <c r="AA765" s="3">
        <v>16.8</v>
      </c>
      <c r="AB765" s="3">
        <v>13.4</v>
      </c>
      <c r="AC765" s="3">
        <v>13</v>
      </c>
      <c r="AD765" s="3">
        <v>14.1</v>
      </c>
      <c r="AE765" s="3">
        <v>13.6</v>
      </c>
      <c r="AF765" s="3">
        <v>14</v>
      </c>
      <c r="AG765" s="3">
        <v>10.199999999999999</v>
      </c>
      <c r="AH765" s="3">
        <v>8.6999999999999993</v>
      </c>
      <c r="AI765" s="3">
        <v>8.1</v>
      </c>
      <c r="AJ765" s="3">
        <v>9.1999999999999993</v>
      </c>
      <c r="AK765" s="3">
        <v>8.3000000000000007</v>
      </c>
      <c r="AL765" s="3">
        <v>7.7</v>
      </c>
      <c r="AM765" s="3">
        <v>7.8</v>
      </c>
      <c r="AN765" s="3">
        <v>8.1999999999999993</v>
      </c>
      <c r="AO765" s="3">
        <v>7.8</v>
      </c>
      <c r="AP765" s="3">
        <v>6.8</v>
      </c>
      <c r="AQ765" s="3">
        <v>6.5</v>
      </c>
      <c r="AR765" s="3">
        <v>6</v>
      </c>
      <c r="AS765" s="3">
        <v>19.600000000000001</v>
      </c>
      <c r="AT765" s="3">
        <v>25.9</v>
      </c>
      <c r="AU765" s="3">
        <v>9.3000000000000007</v>
      </c>
      <c r="AV765" s="3">
        <v>8.1</v>
      </c>
      <c r="AW765" s="3">
        <v>8.6</v>
      </c>
      <c r="AX765" s="3">
        <v>8.8000000000000007</v>
      </c>
      <c r="AY765" s="3">
        <v>9.1</v>
      </c>
      <c r="AZ765" s="3">
        <v>0</v>
      </c>
      <c r="BA765" s="3">
        <v>0</v>
      </c>
      <c r="BB765" s="3">
        <v>0</v>
      </c>
      <c r="BC765" s="3">
        <v>28.523180389231321</v>
      </c>
      <c r="BD765" s="3">
        <v>24.876819610768678</v>
      </c>
      <c r="BE765" s="3">
        <v>23.176819610768682</v>
      </c>
      <c r="BF765" s="3">
        <v>20.736819610768684</v>
      </c>
      <c r="BG765" s="3">
        <v>15.863486277435342</v>
      </c>
      <c r="BH765" s="3">
        <v>12.603486277435344</v>
      </c>
      <c r="BI765" s="3">
        <v>12.61681961076868</v>
      </c>
      <c r="BJ765" s="3">
        <v>14.510152944102011</v>
      </c>
      <c r="BK765" s="3">
        <v>13.883486277435345</v>
      </c>
      <c r="BL765" s="3">
        <v>13.856819610768682</v>
      </c>
      <c r="BM765" s="3">
        <v>10.190152944102017</v>
      </c>
      <c r="BN765" s="3">
        <v>8.9734862774353488</v>
      </c>
      <c r="BO765" s="3">
        <v>7.7401529441020145</v>
      </c>
      <c r="BP765" s="3">
        <v>8.5568196107686774</v>
      </c>
      <c r="BQ765" s="3">
        <v>8.073486277435336</v>
      </c>
      <c r="BR765" s="3">
        <v>7.8001529441020168</v>
      </c>
      <c r="BS765" s="3">
        <v>7.7034862774353456</v>
      </c>
      <c r="BT765" s="3">
        <v>8.3001529441020168</v>
      </c>
      <c r="BU765" s="3">
        <v>7.8668196107686796</v>
      </c>
      <c r="BV765" s="3">
        <v>6.5834862774353482</v>
      </c>
      <c r="BW765" s="3">
        <v>6.8168196107686825</v>
      </c>
      <c r="BX765" s="3">
        <v>6.2368196107686842</v>
      </c>
      <c r="BY765" s="3">
        <v>19.656819610768679</v>
      </c>
      <c r="BZ765" s="3">
        <v>26.086819610768679</v>
      </c>
      <c r="CA765" s="3">
        <v>9.5868196107686714</v>
      </c>
      <c r="CB765" s="3">
        <v>7.8234862774353431</v>
      </c>
      <c r="CC765" s="3">
        <v>8.5368196107686813</v>
      </c>
      <c r="CD765" s="3">
        <v>8.0434862774353491</v>
      </c>
      <c r="CE765" s="3">
        <v>8.5368196107686813</v>
      </c>
      <c r="CF765" s="3">
        <v>-0.94984705589798679</v>
      </c>
      <c r="CG765" s="3">
        <v>-1.4831803892313182</v>
      </c>
      <c r="CH765" s="3">
        <v>-2.5598470558979862</v>
      </c>
      <c r="CI765" s="13">
        <f>[1]!dbasum(RecData[[#This Row],[20]:[2000]],RecData[[#Headers],[20]:[2000]])</f>
        <v>16.22481471523804</v>
      </c>
      <c r="CJ765" s="14">
        <v>9400</v>
      </c>
      <c r="CK765" s="15" t="s">
        <v>249</v>
      </c>
      <c r="CL765" s="15">
        <f>RecData[[#This Row],[Start Time]]</f>
        <v>43272.965972222228</v>
      </c>
      <c r="CM765" s="16">
        <f>RecData[[#This Row],[Wind Speed avg]]</f>
        <v>0.26</v>
      </c>
      <c r="CN765" s="16">
        <f>RecData[[#This Row],[Wind Dir. avg]]</f>
        <v>159.5</v>
      </c>
      <c r="CO765" s="16">
        <f>RecData[[#This Row],[Amb. Humidity]]</f>
        <v>75.400000000000006</v>
      </c>
      <c r="CP765" s="16">
        <f>RecData[[#This Row],[Amb. Temperature]]</f>
        <v>8.6</v>
      </c>
      <c r="CQ765" s="17">
        <f>RecData[[#This Row],[Amb. Rain Gauge]]</f>
        <v>0</v>
      </c>
      <c r="CR765" s="4" t="s">
        <v>50</v>
      </c>
      <c r="CS765" s="4" t="s">
        <v>49</v>
      </c>
      <c r="CT765" s="70">
        <v>-9.3189630508422798</v>
      </c>
      <c r="CU765" s="70">
        <v>230.55734252929599</v>
      </c>
      <c r="CV765" s="70">
        <v>1.74359250068664</v>
      </c>
      <c r="CW765" s="70">
        <v>0</v>
      </c>
      <c r="CX765" s="109"/>
      <c r="CY765" s="110"/>
      <c r="CZ765" s="2" t="b">
        <f>IF($DP$1="YES",IF(RecData[[#This Row],[Power (kW)]]&gt;=$CR$3, TRUE,FALSE),TRUE)</f>
        <v>0</v>
      </c>
      <c r="DA765" s="16">
        <f>MIN(MOD(180-ABS(ABS($DA$1-RecData[Yaw Angle (°)])-180),360),MOD(180-ABS(ABS($DB$1-RecData[Yaw Angle (°)])-180),360))</f>
        <v>136.97258424839157</v>
      </c>
      <c r="DB765" s="2" t="str">
        <f>IF($DP$2="None","None",IF(RecData[[#This Row],[Relative Wind Direction]]&lt;=45,"DW",IF(RecData[[#This Row],[Relative Wind Direction]]&lt;=135,"CW","UW")))</f>
        <v>UW</v>
      </c>
      <c r="DC765" s="61">
        <f>IF($CL765-$CL762&gt;1/24,#REF!,IF(SUM($CQ762:$CQ765)&gt;$DS$1,$DS$5,DC766-1))</f>
        <v>-7</v>
      </c>
      <c r="DD765" s="61">
        <f>IF($CL766-$CL765&gt;1/24,#REF!,IF(SUM($CQ762:$CQ765)&gt;$DS$1,$DS$6,DD764-1))</f>
        <v>-4</v>
      </c>
      <c r="DE765" s="18" t="b">
        <v>0</v>
      </c>
      <c r="DF765" s="2" t="b">
        <f>IF(OR(RecData[[#This Row],[WSpd_Avg '[m/s']]]-RecData[[#This Row],[Wind Speed min]]&gt;=$DF$3,RecData[[#This Row],[Wind Speed max]]-RecData[[#This Row],[WSpd_Avg '[m/s']]]&gt;=$DF$2),TRUE,FALSE)</f>
        <v>0</v>
      </c>
      <c r="DG765" s="2" t="b">
        <f>RecData[[#This Row],[Temperature '[°C']]]&lt;=-20</f>
        <v>0</v>
      </c>
      <c r="DH765" s="18" t="b">
        <f>NOT(OR(MOD(RecData[[#This Row],[TIMESTAMP]],1)&gt;0.91632,MOD(RecData[[#This Row],[TIMESTAMP]],1)&lt;0.208681))</f>
        <v>0</v>
      </c>
      <c r="DI765" s="18" t="b">
        <f>RecData[[#This Row],[Overall (dBA)]]-RecData[[#This Row],[L90]]&gt;=$DS$4</f>
        <v>0</v>
      </c>
      <c r="DJ765" s="18" t="b">
        <f>RecData[[#This Row],[Overall (dBA)]]&gt;$DS$2</f>
        <v>0</v>
      </c>
      <c r="DK765" s="18" t="b">
        <f>RecData[[#This Row],[Overall (dBA)]]&lt;$DS$3</f>
        <v>0</v>
      </c>
      <c r="DL7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5" s="2">
        <f>IF(AND(RecData[[#This Row],[Turbines ON/OFF]] = "OFF", NOT(OR(RecData[[#This Row],[Junk?]]="YES",RecData[[#This Row],[Gust?]],RecData[[#This Row],[Rain?]:[Min SPL Threshold?]]))),1,0)</f>
        <v>1</v>
      </c>
      <c r="DN765" s="16">
        <f>RecData[[#This Row],[dBA Sum]]</f>
        <v>16.22481471523804</v>
      </c>
      <c r="DO765" s="16">
        <f>RecData[[#This Row],[LAF90.0]]</f>
        <v>21.2</v>
      </c>
      <c r="DP765" s="55" t="str">
        <f>IF(AND(RecData[[#This Row],[Useable TON Data?]],RecData[[#This Row],[Turbines ON/OFF]]="ON"),RecData[[#This Row],[dBA Sum]],"")</f>
        <v/>
      </c>
      <c r="DQ765" s="55">
        <f>IF(AND(RecData[[#This Row],[Useable Background Data?]],RecData[[#This Row],[Turbines ON/OFF]]="OFF"),RecData[[#This Row],[dBA Sum]],"")</f>
        <v>16.22481471523804</v>
      </c>
      <c r="DR765" s="3">
        <f>IF(OR(RecData[[#This Row],[Useable TON Data?]],RecData[[#This Row],[Useable Background Data?]]),ROUND(RecData[[#This Row],[WSpd_Avg '[m/s']]],0),"")</f>
        <v>0</v>
      </c>
      <c r="DS765" s="85">
        <f>(0.00002)^2*(10^(RecData[[#This Row],[Overall (dBA)]]/10))</f>
        <v>1.6770324373180735E-8</v>
      </c>
    </row>
    <row r="766" spans="1:123" ht="15" x14ac:dyDescent="0.25">
      <c r="A766" s="3" t="s">
        <v>249</v>
      </c>
      <c r="B766" s="12">
        <v>43272.966666666667</v>
      </c>
      <c r="C766" s="3"/>
      <c r="D766" s="3">
        <v>27.3</v>
      </c>
      <c r="E766" s="3"/>
      <c r="F766" s="3"/>
      <c r="G766" s="3"/>
      <c r="H766" s="3"/>
      <c r="I766" s="3"/>
      <c r="J766" s="3"/>
      <c r="K766" s="3">
        <v>20.7</v>
      </c>
      <c r="L766" s="3"/>
      <c r="M766" s="3"/>
      <c r="N766" s="3">
        <v>152</v>
      </c>
      <c r="O766" s="3"/>
      <c r="P766" s="3"/>
      <c r="Q766" s="3">
        <v>0.43</v>
      </c>
      <c r="R766" s="3">
        <v>0.1</v>
      </c>
      <c r="S766" s="3">
        <v>0.6</v>
      </c>
      <c r="T766" s="3">
        <v>8.6</v>
      </c>
      <c r="U766" s="3">
        <v>75.900000000000006</v>
      </c>
      <c r="V766" s="3">
        <v>970.8</v>
      </c>
      <c r="W766" s="3">
        <v>0</v>
      </c>
      <c r="X766" s="3">
        <v>23.2</v>
      </c>
      <c r="Y766" s="3">
        <v>21.2</v>
      </c>
      <c r="Z766" s="3">
        <v>20.3</v>
      </c>
      <c r="AA766" s="3">
        <v>13.1</v>
      </c>
      <c r="AB766" s="3">
        <v>9.4</v>
      </c>
      <c r="AC766" s="3">
        <v>9.9</v>
      </c>
      <c r="AD766" s="3">
        <v>11.5</v>
      </c>
      <c r="AE766" s="3">
        <v>10.6</v>
      </c>
      <c r="AF766" s="3">
        <v>11.3</v>
      </c>
      <c r="AG766" s="3">
        <v>10.7</v>
      </c>
      <c r="AH766" s="3">
        <v>8.6999999999999993</v>
      </c>
      <c r="AI766" s="3">
        <v>7.9</v>
      </c>
      <c r="AJ766" s="3">
        <v>8.5</v>
      </c>
      <c r="AK766" s="3">
        <v>8.1999999999999993</v>
      </c>
      <c r="AL766" s="3">
        <v>7.3</v>
      </c>
      <c r="AM766" s="3">
        <v>7.6</v>
      </c>
      <c r="AN766" s="3">
        <v>7.8</v>
      </c>
      <c r="AO766" s="3">
        <v>7.4</v>
      </c>
      <c r="AP766" s="3">
        <v>6.6</v>
      </c>
      <c r="AQ766" s="3">
        <v>6.4</v>
      </c>
      <c r="AR766" s="3">
        <v>5.9</v>
      </c>
      <c r="AS766" s="3">
        <v>18.8</v>
      </c>
      <c r="AT766" s="3">
        <v>24.3</v>
      </c>
      <c r="AU766" s="3">
        <v>7.9</v>
      </c>
      <c r="AV766" s="3">
        <v>8.1</v>
      </c>
      <c r="AW766" s="3">
        <v>8.6</v>
      </c>
      <c r="AX766" s="3">
        <v>8.8000000000000007</v>
      </c>
      <c r="AY766" s="3">
        <v>9.1</v>
      </c>
      <c r="AZ766" s="3">
        <v>0</v>
      </c>
      <c r="BA766" s="3">
        <v>0</v>
      </c>
      <c r="BB766" s="3">
        <v>0</v>
      </c>
      <c r="BC766" s="3">
        <v>27.222587382699924</v>
      </c>
      <c r="BD766" s="3">
        <v>23.277412617300076</v>
      </c>
      <c r="BE766" s="3">
        <v>21.277412617300076</v>
      </c>
      <c r="BF766" s="3">
        <v>19.137412617300075</v>
      </c>
      <c r="BG766" s="3">
        <v>12.264079283966741</v>
      </c>
      <c r="BH766" s="3">
        <v>8.7040792839667454</v>
      </c>
      <c r="BI766" s="3">
        <v>9.6174126173000793</v>
      </c>
      <c r="BJ766" s="3">
        <v>12.01074595063341</v>
      </c>
      <c r="BK766" s="3">
        <v>10.984079283966739</v>
      </c>
      <c r="BL766" s="3">
        <v>11.25741261730008</v>
      </c>
      <c r="BM766" s="3">
        <v>10.790745950633411</v>
      </c>
      <c r="BN766" s="3">
        <v>9.0740792839667428</v>
      </c>
      <c r="BO766" s="3">
        <v>7.6407459506334128</v>
      </c>
      <c r="BP766" s="3">
        <v>7.9574126173000757</v>
      </c>
      <c r="BQ766" s="3">
        <v>8.0740792839667357</v>
      </c>
      <c r="BR766" s="3">
        <v>7.5007459506334122</v>
      </c>
      <c r="BS766" s="3">
        <v>7.6040792839667439</v>
      </c>
      <c r="BT766" s="3">
        <v>8.0007459506334122</v>
      </c>
      <c r="BU766" s="3">
        <v>7.5674126173000822</v>
      </c>
      <c r="BV766" s="3">
        <v>6.4840792839667465</v>
      </c>
      <c r="BW766" s="3">
        <v>6.8174126173000822</v>
      </c>
      <c r="BX766" s="3">
        <v>6.2374126173000839</v>
      </c>
      <c r="BY766" s="3">
        <v>18.957412617300076</v>
      </c>
      <c r="BZ766" s="3">
        <v>24.587412617300078</v>
      </c>
      <c r="CA766" s="3">
        <v>8.2874126173000668</v>
      </c>
      <c r="CB766" s="3">
        <v>7.9240792839667442</v>
      </c>
      <c r="CC766" s="3">
        <v>8.6374126173000754</v>
      </c>
      <c r="CD766" s="3">
        <v>8.1440792839667502</v>
      </c>
      <c r="CE766" s="3">
        <v>8.6374126173000754</v>
      </c>
      <c r="CF766" s="3">
        <v>-0.84925404936658921</v>
      </c>
      <c r="CG766" s="3">
        <v>-1.3825873826999207</v>
      </c>
      <c r="CH766" s="3">
        <v>-2.4592540493665886</v>
      </c>
      <c r="CI766" s="13">
        <f>[1]!dbasum(RecData[[#This Row],[20]:[2000]],RecData[[#Headers],[20]:[2000]])</f>
        <v>16.031115796770596</v>
      </c>
      <c r="CJ766" s="14">
        <v>9401</v>
      </c>
      <c r="CK766" s="15" t="s">
        <v>249</v>
      </c>
      <c r="CL766" s="15">
        <f>RecData[[#This Row],[Start Time]]</f>
        <v>43272.966666666667</v>
      </c>
      <c r="CM766" s="16">
        <f>RecData[[#This Row],[Wind Speed avg]]</f>
        <v>0.43</v>
      </c>
      <c r="CN766" s="16">
        <f>RecData[[#This Row],[Wind Dir. avg]]</f>
        <v>152</v>
      </c>
      <c r="CO766" s="16">
        <f>RecData[[#This Row],[Amb. Humidity]]</f>
        <v>75.900000000000006</v>
      </c>
      <c r="CP766" s="16">
        <f>RecData[[#This Row],[Amb. Temperature]]</f>
        <v>8.6</v>
      </c>
      <c r="CQ766" s="17">
        <f>RecData[[#This Row],[Amb. Rain Gauge]]</f>
        <v>0</v>
      </c>
      <c r="CR766" s="4" t="s">
        <v>50</v>
      </c>
      <c r="CS766" s="4" t="s">
        <v>49</v>
      </c>
      <c r="CT766" s="70">
        <v>-9.3189630508422798</v>
      </c>
      <c r="CU766" s="70">
        <v>230.55734252929599</v>
      </c>
      <c r="CV766" s="70">
        <v>1.74359250068664</v>
      </c>
      <c r="CW766" s="70">
        <v>0</v>
      </c>
      <c r="CX766" s="109"/>
      <c r="CY766" s="110"/>
      <c r="CZ766" s="2" t="b">
        <f>IF($DP$1="YES",IF(RecData[[#This Row],[Power (kW)]]&gt;=$CR$3, TRUE,FALSE),TRUE)</f>
        <v>0</v>
      </c>
      <c r="DA766" s="16">
        <f>MIN(MOD(180-ABS(ABS($DA$1-RecData[Yaw Angle (°)])-180),360),MOD(180-ABS(ABS($DB$1-RecData[Yaw Angle (°)])-180),360))</f>
        <v>136.97258424839157</v>
      </c>
      <c r="DB766" s="2" t="str">
        <f>IF($DP$2="None","None",IF(RecData[[#This Row],[Relative Wind Direction]]&lt;=45,"DW",IF(RecData[[#This Row],[Relative Wind Direction]]&lt;=135,"CW","UW")))</f>
        <v>UW</v>
      </c>
      <c r="DC766" s="61">
        <f>IF($CL766-$CL762&gt;1/24,#REF!,IF(SUM($CQ762:$CQ766)&gt;$DS$1,$DS$5,DC767-1))</f>
        <v>-6</v>
      </c>
      <c r="DD766" s="61">
        <f>IF($CL767-$CL766&gt;1/24,#REF!,IF(SUM($CQ762:$CQ766)&gt;$DS$1,$DS$6,DD765-1))</f>
        <v>-5</v>
      </c>
      <c r="DE766" s="18" t="b">
        <v>0</v>
      </c>
      <c r="DF766" s="2" t="b">
        <f>IF(OR(RecData[[#This Row],[WSpd_Avg '[m/s']]]-RecData[[#This Row],[Wind Speed min]]&gt;=$DF$3,RecData[[#This Row],[Wind Speed max]]-RecData[[#This Row],[WSpd_Avg '[m/s']]]&gt;=$DF$2),TRUE,FALSE)</f>
        <v>0</v>
      </c>
      <c r="DG766" s="2" t="b">
        <f>RecData[[#This Row],[Temperature '[°C']]]&lt;=-20</f>
        <v>0</v>
      </c>
      <c r="DH766" s="18" t="b">
        <f>NOT(OR(MOD(RecData[[#This Row],[TIMESTAMP]],1)&gt;0.91632,MOD(RecData[[#This Row],[TIMESTAMP]],1)&lt;0.208681))</f>
        <v>0</v>
      </c>
      <c r="DI766" s="18" t="b">
        <f>RecData[[#This Row],[Overall (dBA)]]-RecData[[#This Row],[L90]]&gt;=$DS$4</f>
        <v>0</v>
      </c>
      <c r="DJ766" s="18" t="b">
        <f>RecData[[#This Row],[Overall (dBA)]]&gt;$DS$2</f>
        <v>0</v>
      </c>
      <c r="DK766" s="18" t="b">
        <f>RecData[[#This Row],[Overall (dBA)]]&lt;$DS$3</f>
        <v>0</v>
      </c>
      <c r="DL7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6" s="2">
        <f>IF(AND(RecData[[#This Row],[Turbines ON/OFF]] = "OFF", NOT(OR(RecData[[#This Row],[Junk?]]="YES",RecData[[#This Row],[Gust?]],RecData[[#This Row],[Rain?]:[Min SPL Threshold?]]))),1,0)</f>
        <v>1</v>
      </c>
      <c r="DN766" s="16">
        <f>RecData[[#This Row],[dBA Sum]]</f>
        <v>16.031115796770596</v>
      </c>
      <c r="DO766" s="16">
        <f>RecData[[#This Row],[LAF90.0]]</f>
        <v>20.7</v>
      </c>
      <c r="DP766" s="55" t="str">
        <f>IF(AND(RecData[[#This Row],[Useable TON Data?]],RecData[[#This Row],[Turbines ON/OFF]]="ON"),RecData[[#This Row],[dBA Sum]],"")</f>
        <v/>
      </c>
      <c r="DQ766" s="55">
        <f>IF(AND(RecData[[#This Row],[Useable Background Data?]],RecData[[#This Row],[Turbines ON/OFF]]="OFF"),RecData[[#This Row],[dBA Sum]],"")</f>
        <v>16.031115796770596</v>
      </c>
      <c r="DR766" s="3">
        <f>IF(OR(RecData[[#This Row],[Useable TON Data?]],RecData[[#This Row],[Useable Background Data?]]),ROUND(RecData[[#This Row],[WSpd_Avg '[m/s']]],0),"")</f>
        <v>0</v>
      </c>
      <c r="DS766" s="85">
        <f>(0.00002)^2*(10^(RecData[[#This Row],[Overall (dBA)]]/10))</f>
        <v>1.6038788888711694E-8</v>
      </c>
    </row>
    <row r="767" spans="1:123" ht="15" x14ac:dyDescent="0.25">
      <c r="A767" s="3" t="s">
        <v>249</v>
      </c>
      <c r="B767" s="12">
        <v>43272.967361111114</v>
      </c>
      <c r="C767" s="3"/>
      <c r="D767" s="3">
        <v>30.7</v>
      </c>
      <c r="E767" s="3"/>
      <c r="F767" s="3"/>
      <c r="G767" s="3"/>
      <c r="H767" s="3"/>
      <c r="I767" s="3"/>
      <c r="J767" s="3"/>
      <c r="K767" s="3">
        <v>21.5</v>
      </c>
      <c r="L767" s="3"/>
      <c r="M767" s="3"/>
      <c r="N767" s="3">
        <v>153.6</v>
      </c>
      <c r="O767" s="3"/>
      <c r="P767" s="3"/>
      <c r="Q767" s="3">
        <v>0.54</v>
      </c>
      <c r="R767" s="3">
        <v>0.2</v>
      </c>
      <c r="S767" s="3">
        <v>0.7</v>
      </c>
      <c r="T767" s="3">
        <v>8.6</v>
      </c>
      <c r="U767" s="3">
        <v>75.099999999999994</v>
      </c>
      <c r="V767" s="3">
        <v>970.8</v>
      </c>
      <c r="W767" s="3">
        <v>0</v>
      </c>
      <c r="X767" s="3">
        <v>24.2</v>
      </c>
      <c r="Y767" s="3">
        <v>22.8</v>
      </c>
      <c r="Z767" s="3">
        <v>22.5</v>
      </c>
      <c r="AA767" s="3">
        <v>15.9</v>
      </c>
      <c r="AB767" s="3">
        <v>11.9</v>
      </c>
      <c r="AC767" s="3">
        <v>8.6999999999999993</v>
      </c>
      <c r="AD767" s="3">
        <v>10.7</v>
      </c>
      <c r="AE767" s="3">
        <v>9.6999999999999993</v>
      </c>
      <c r="AF767" s="3">
        <v>11.3</v>
      </c>
      <c r="AG767" s="3">
        <v>8.9</v>
      </c>
      <c r="AH767" s="3">
        <v>7.8</v>
      </c>
      <c r="AI767" s="3">
        <v>7.8</v>
      </c>
      <c r="AJ767" s="3">
        <v>7.9</v>
      </c>
      <c r="AK767" s="3">
        <v>7.6</v>
      </c>
      <c r="AL767" s="3">
        <v>6.9</v>
      </c>
      <c r="AM767" s="3">
        <v>7.2</v>
      </c>
      <c r="AN767" s="3">
        <v>7.7</v>
      </c>
      <c r="AO767" s="3">
        <v>7.4</v>
      </c>
      <c r="AP767" s="3">
        <v>6.5</v>
      </c>
      <c r="AQ767" s="3">
        <v>6.4</v>
      </c>
      <c r="AR767" s="3">
        <v>5.9</v>
      </c>
      <c r="AS767" s="3">
        <v>17.899999999999999</v>
      </c>
      <c r="AT767" s="3">
        <v>28.9</v>
      </c>
      <c r="AU767" s="3">
        <v>10.199999999999999</v>
      </c>
      <c r="AV767" s="3">
        <v>8.3000000000000007</v>
      </c>
      <c r="AW767" s="3">
        <v>8.6</v>
      </c>
      <c r="AX767" s="3">
        <v>8.8000000000000007</v>
      </c>
      <c r="AY767" s="3">
        <v>9.1</v>
      </c>
      <c r="AZ767" s="3">
        <v>0</v>
      </c>
      <c r="BA767" s="3">
        <v>0</v>
      </c>
      <c r="BB767" s="3">
        <v>0</v>
      </c>
      <c r="BC767" s="3">
        <v>30.721590625759813</v>
      </c>
      <c r="BD767" s="3">
        <v>24.178409374240186</v>
      </c>
      <c r="BE767" s="3">
        <v>22.778409374240187</v>
      </c>
      <c r="BF767" s="3">
        <v>21.238409374240188</v>
      </c>
      <c r="BG767" s="3">
        <v>14.965076040906855</v>
      </c>
      <c r="BH767" s="3">
        <v>11.105076040906855</v>
      </c>
      <c r="BI767" s="3">
        <v>8.3184093742401863</v>
      </c>
      <c r="BJ767" s="3">
        <v>11.111742707573516</v>
      </c>
      <c r="BK767" s="3">
        <v>9.9850760409068506</v>
      </c>
      <c r="BL767" s="3">
        <v>11.15840937424019</v>
      </c>
      <c r="BM767" s="3">
        <v>8.891742707573524</v>
      </c>
      <c r="BN767" s="3">
        <v>8.075076040906854</v>
      </c>
      <c r="BO767" s="3">
        <v>7.4417427075735212</v>
      </c>
      <c r="BP767" s="3">
        <v>7.2584093742401841</v>
      </c>
      <c r="BQ767" s="3">
        <v>7.3750760409068441</v>
      </c>
      <c r="BR767" s="3">
        <v>7.0017427075735235</v>
      </c>
      <c r="BS767" s="3">
        <v>7.1050760409068552</v>
      </c>
      <c r="BT767" s="3">
        <v>7.8017427075735206</v>
      </c>
      <c r="BU767" s="3">
        <v>7.468409374240192</v>
      </c>
      <c r="BV767" s="3">
        <v>6.2850760409068549</v>
      </c>
      <c r="BW767" s="3">
        <v>6.718409374240192</v>
      </c>
      <c r="BX767" s="3">
        <v>6.1384093742401937</v>
      </c>
      <c r="BY767" s="3">
        <v>17.95840937424018</v>
      </c>
      <c r="BZ767" s="3">
        <v>29.088409374240189</v>
      </c>
      <c r="CA767" s="3">
        <v>10.488409374240181</v>
      </c>
      <c r="CB767" s="3">
        <v>8.0250760409068498</v>
      </c>
      <c r="CC767" s="3">
        <v>8.5384093742401852</v>
      </c>
      <c r="CD767" s="3">
        <v>8.04507604090686</v>
      </c>
      <c r="CE767" s="3">
        <v>8.5384093742401852</v>
      </c>
      <c r="CF767" s="3">
        <v>-0.94825729242647938</v>
      </c>
      <c r="CG767" s="3">
        <v>-1.4815906257598108</v>
      </c>
      <c r="CH767" s="3">
        <v>-2.5582572924264788</v>
      </c>
      <c r="CI767" s="13">
        <f>[1]!dbasum(RecData[[#This Row],[20]:[2000]],RecData[[#Headers],[20]:[2000]])</f>
        <v>15.75410715925009</v>
      </c>
      <c r="CJ767" s="14">
        <v>9402</v>
      </c>
      <c r="CK767" s="15" t="s">
        <v>249</v>
      </c>
      <c r="CL767" s="15">
        <f>RecData[[#This Row],[Start Time]]</f>
        <v>43272.967361111114</v>
      </c>
      <c r="CM767" s="16">
        <f>RecData[[#This Row],[Wind Speed avg]]</f>
        <v>0.54</v>
      </c>
      <c r="CN767" s="16">
        <f>RecData[[#This Row],[Wind Dir. avg]]</f>
        <v>153.6</v>
      </c>
      <c r="CO767" s="16">
        <f>RecData[[#This Row],[Amb. Humidity]]</f>
        <v>75.099999999999994</v>
      </c>
      <c r="CP767" s="16">
        <f>RecData[[#This Row],[Amb. Temperature]]</f>
        <v>8.6</v>
      </c>
      <c r="CQ767" s="17">
        <f>RecData[[#This Row],[Amb. Rain Gauge]]</f>
        <v>0</v>
      </c>
      <c r="CR767" s="4" t="s">
        <v>50</v>
      </c>
      <c r="CS767" s="4" t="s">
        <v>49</v>
      </c>
      <c r="CT767" s="70">
        <v>-9.3189630508422798</v>
      </c>
      <c r="CU767" s="70">
        <v>230.55734252929599</v>
      </c>
      <c r="CV767" s="70">
        <v>1.74359250068664</v>
      </c>
      <c r="CW767" s="70">
        <v>0</v>
      </c>
      <c r="CX767" s="109"/>
      <c r="CY767" s="110"/>
      <c r="CZ767" s="2" t="b">
        <f>IF($DP$1="YES",IF(RecData[[#This Row],[Power (kW)]]&gt;=$CR$3, TRUE,FALSE),TRUE)</f>
        <v>0</v>
      </c>
      <c r="DA767" s="16">
        <f>MIN(MOD(180-ABS(ABS($DA$1-RecData[Yaw Angle (°)])-180),360),MOD(180-ABS(ABS($DB$1-RecData[Yaw Angle (°)])-180),360))</f>
        <v>136.97258424839157</v>
      </c>
      <c r="DB767" s="2" t="str">
        <f>IF($DP$2="None","None",IF(RecData[[#This Row],[Relative Wind Direction]]&lt;=45,"DW",IF(RecData[[#This Row],[Relative Wind Direction]]&lt;=135,"CW","UW")))</f>
        <v>UW</v>
      </c>
      <c r="DC767" s="61">
        <f>IF($CL767-$CL763&gt;1/24,#REF!,IF(SUM($CQ763:$CQ767)&gt;$DS$1,$DS$5,DC768-1))</f>
        <v>-5</v>
      </c>
      <c r="DD767" s="61">
        <f>IF($CL768-$CL767&gt;1/24,#REF!,IF(SUM($CQ763:$CQ767)&gt;$DS$1,$DS$6,DD766-1))</f>
        <v>-6</v>
      </c>
      <c r="DE767" s="18" t="b">
        <v>0</v>
      </c>
      <c r="DF767" s="2" t="b">
        <f>IF(OR(RecData[[#This Row],[WSpd_Avg '[m/s']]]-RecData[[#This Row],[Wind Speed min]]&gt;=$DF$3,RecData[[#This Row],[Wind Speed max]]-RecData[[#This Row],[WSpd_Avg '[m/s']]]&gt;=$DF$2),TRUE,FALSE)</f>
        <v>0</v>
      </c>
      <c r="DG767" s="2" t="b">
        <f>RecData[[#This Row],[Temperature '[°C']]]&lt;=-20</f>
        <v>0</v>
      </c>
      <c r="DH767" s="18" t="b">
        <f>NOT(OR(MOD(RecData[[#This Row],[TIMESTAMP]],1)&gt;0.91632,MOD(RecData[[#This Row],[TIMESTAMP]],1)&lt;0.208681))</f>
        <v>0</v>
      </c>
      <c r="DI767" s="18" t="b">
        <f>RecData[[#This Row],[Overall (dBA)]]-RecData[[#This Row],[L90]]&gt;=$DS$4</f>
        <v>0</v>
      </c>
      <c r="DJ767" s="18" t="b">
        <f>RecData[[#This Row],[Overall (dBA)]]&gt;$DS$2</f>
        <v>0</v>
      </c>
      <c r="DK767" s="18" t="b">
        <f>RecData[[#This Row],[Overall (dBA)]]&lt;$DS$3</f>
        <v>0</v>
      </c>
      <c r="DL7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7" s="2">
        <f>IF(AND(RecData[[#This Row],[Turbines ON/OFF]] = "OFF", NOT(OR(RecData[[#This Row],[Junk?]]="YES",RecData[[#This Row],[Gust?]],RecData[[#This Row],[Rain?]:[Min SPL Threshold?]]))),1,0)</f>
        <v>1</v>
      </c>
      <c r="DN767" s="16">
        <f>RecData[[#This Row],[dBA Sum]]</f>
        <v>15.75410715925009</v>
      </c>
      <c r="DO767" s="16">
        <f>RecData[[#This Row],[LAF90.0]]</f>
        <v>21.5</v>
      </c>
      <c r="DP767" s="55" t="str">
        <f>IF(AND(RecData[[#This Row],[Useable TON Data?]],RecData[[#This Row],[Turbines ON/OFF]]="ON"),RecData[[#This Row],[dBA Sum]],"")</f>
        <v/>
      </c>
      <c r="DQ767" s="55">
        <f>IF(AND(RecData[[#This Row],[Useable Background Data?]],RecData[[#This Row],[Turbines ON/OFF]]="OFF"),RecData[[#This Row],[dBA Sum]],"")</f>
        <v>15.75410715925009</v>
      </c>
      <c r="DR767" s="3">
        <f>IF(OR(RecData[[#This Row],[Useable TON Data?]],RecData[[#This Row],[Useable Background Data?]]),ROUND(RecData[[#This Row],[WSpd_Avg '[m/s']]],0),"")</f>
        <v>1</v>
      </c>
      <c r="DS767" s="85">
        <f>(0.00002)^2*(10^(RecData[[#This Row],[Overall (dBA)]]/10))</f>
        <v>1.5047720199474145E-8</v>
      </c>
    </row>
    <row r="768" spans="1:123" ht="15" x14ac:dyDescent="0.25">
      <c r="A768" s="3" t="s">
        <v>249</v>
      </c>
      <c r="B768" s="12">
        <v>43272.968055555561</v>
      </c>
      <c r="C768" s="3"/>
      <c r="D768" s="3">
        <v>32</v>
      </c>
      <c r="E768" s="3"/>
      <c r="F768" s="3"/>
      <c r="G768" s="3"/>
      <c r="H768" s="3"/>
      <c r="I768" s="3"/>
      <c r="J768" s="3"/>
      <c r="K768" s="3">
        <v>23.5</v>
      </c>
      <c r="L768" s="3"/>
      <c r="M768" s="3"/>
      <c r="N768" s="3">
        <v>157.9</v>
      </c>
      <c r="O768" s="3"/>
      <c r="P768" s="3"/>
      <c r="Q768" s="3">
        <v>0.59</v>
      </c>
      <c r="R768" s="3">
        <v>0.5</v>
      </c>
      <c r="S768" s="3">
        <v>0.7</v>
      </c>
      <c r="T768" s="3">
        <v>8.6</v>
      </c>
      <c r="U768" s="3">
        <v>74.2</v>
      </c>
      <c r="V768" s="3">
        <v>970.8</v>
      </c>
      <c r="W768" s="3">
        <v>0</v>
      </c>
      <c r="X768" s="3">
        <v>21.7</v>
      </c>
      <c r="Y768" s="3">
        <v>18.899999999999999</v>
      </c>
      <c r="Z768" s="3">
        <v>20.399999999999999</v>
      </c>
      <c r="AA768" s="3">
        <v>14.1</v>
      </c>
      <c r="AB768" s="3">
        <v>10.5</v>
      </c>
      <c r="AC768" s="3">
        <v>6.9</v>
      </c>
      <c r="AD768" s="3">
        <v>9.8000000000000007</v>
      </c>
      <c r="AE768" s="3">
        <v>9</v>
      </c>
      <c r="AF768" s="3">
        <v>12.3</v>
      </c>
      <c r="AG768" s="3">
        <v>8.8000000000000007</v>
      </c>
      <c r="AH768" s="3">
        <v>9.3000000000000007</v>
      </c>
      <c r="AI768" s="3">
        <v>8.1999999999999993</v>
      </c>
      <c r="AJ768" s="3">
        <v>9.1999999999999993</v>
      </c>
      <c r="AK768" s="3">
        <v>9.5</v>
      </c>
      <c r="AL768" s="3">
        <v>7.7</v>
      </c>
      <c r="AM768" s="3">
        <v>7.7</v>
      </c>
      <c r="AN768" s="3">
        <v>8.3000000000000007</v>
      </c>
      <c r="AO768" s="3">
        <v>7.9</v>
      </c>
      <c r="AP768" s="3">
        <v>6.9</v>
      </c>
      <c r="AQ768" s="3">
        <v>6.6</v>
      </c>
      <c r="AR768" s="3">
        <v>6</v>
      </c>
      <c r="AS768" s="3">
        <v>20.8</v>
      </c>
      <c r="AT768" s="3">
        <v>30</v>
      </c>
      <c r="AU768" s="3">
        <v>10.7</v>
      </c>
      <c r="AV768" s="3">
        <v>8.3000000000000007</v>
      </c>
      <c r="AW768" s="3">
        <v>8.6</v>
      </c>
      <c r="AX768" s="3">
        <v>8.8000000000000007</v>
      </c>
      <c r="AY768" s="3">
        <v>9.1</v>
      </c>
      <c r="AZ768" s="3">
        <v>0</v>
      </c>
      <c r="BA768" s="3">
        <v>0</v>
      </c>
      <c r="BB768" s="3">
        <v>0</v>
      </c>
      <c r="BC768" s="3">
        <v>31.93268232230869</v>
      </c>
      <c r="BD768" s="3">
        <v>21.767317677691313</v>
      </c>
      <c r="BE768" s="3">
        <v>18.967317677691309</v>
      </c>
      <c r="BF768" s="3">
        <v>19.227317677691307</v>
      </c>
      <c r="BG768" s="3">
        <v>13.253984344357978</v>
      </c>
      <c r="BH768" s="3">
        <v>9.7939843443579768</v>
      </c>
      <c r="BI768" s="3">
        <v>6.6073176776913094</v>
      </c>
      <c r="BJ768" s="3">
        <v>10.300651011024645</v>
      </c>
      <c r="BK768" s="3">
        <v>9.3739843443579751</v>
      </c>
      <c r="BL768" s="3">
        <v>12.24731767769131</v>
      </c>
      <c r="BM768" s="3">
        <v>8.8806510110246428</v>
      </c>
      <c r="BN768" s="3">
        <v>9.6639843443579743</v>
      </c>
      <c r="BO768" s="3">
        <v>7.9306510110246471</v>
      </c>
      <c r="BP768" s="3">
        <v>8.6473176776913085</v>
      </c>
      <c r="BQ768" s="3">
        <v>9.36398434435797</v>
      </c>
      <c r="BR768" s="3">
        <v>7.8906510110246479</v>
      </c>
      <c r="BS768" s="3">
        <v>7.6939843443579754</v>
      </c>
      <c r="BT768" s="3">
        <v>8.4906510110246423</v>
      </c>
      <c r="BU768" s="3">
        <v>8.0573176776913122</v>
      </c>
      <c r="BV768" s="3">
        <v>6.7739843443579808</v>
      </c>
      <c r="BW768" s="3">
        <v>7.0073176776913151</v>
      </c>
      <c r="BX768" s="3">
        <v>6.3273176776913154</v>
      </c>
      <c r="BY768" s="3">
        <v>20.947317677691306</v>
      </c>
      <c r="BZ768" s="3">
        <v>30.277317677691318</v>
      </c>
      <c r="CA768" s="3">
        <v>11.077317677691301</v>
      </c>
      <c r="CB768" s="3">
        <v>8.1139843443579771</v>
      </c>
      <c r="CC768" s="3">
        <v>8.6273176776913125</v>
      </c>
      <c r="CD768" s="3">
        <v>8.1339843443579802</v>
      </c>
      <c r="CE768" s="3">
        <v>8.6273176776913125</v>
      </c>
      <c r="CF768" s="3">
        <v>-0.85934898897535561</v>
      </c>
      <c r="CG768" s="3">
        <v>-1.392682322308687</v>
      </c>
      <c r="CH768" s="3">
        <v>-2.469348988975355</v>
      </c>
      <c r="CI768" s="13">
        <f>[1]!dbasum(RecData[[#This Row],[20]:[2000]],RecData[[#Headers],[20]:[2000]])</f>
        <v>16.373356013295741</v>
      </c>
      <c r="CJ768" s="14">
        <v>9403</v>
      </c>
      <c r="CK768" s="15" t="s">
        <v>249</v>
      </c>
      <c r="CL768" s="15">
        <f>RecData[[#This Row],[Start Time]]</f>
        <v>43272.968055555561</v>
      </c>
      <c r="CM768" s="16">
        <f>RecData[[#This Row],[Wind Speed avg]]</f>
        <v>0.59</v>
      </c>
      <c r="CN768" s="16">
        <f>RecData[[#This Row],[Wind Dir. avg]]</f>
        <v>157.9</v>
      </c>
      <c r="CO768" s="16">
        <f>RecData[[#This Row],[Amb. Humidity]]</f>
        <v>74.2</v>
      </c>
      <c r="CP768" s="16">
        <f>RecData[[#This Row],[Amb. Temperature]]</f>
        <v>8.6</v>
      </c>
      <c r="CQ768" s="17">
        <f>RecData[[#This Row],[Amb. Rain Gauge]]</f>
        <v>0</v>
      </c>
      <c r="CR768" s="4" t="s">
        <v>50</v>
      </c>
      <c r="CS768" s="4" t="s">
        <v>49</v>
      </c>
      <c r="CT768" s="70">
        <v>-9.3189630508422798</v>
      </c>
      <c r="CU768" s="70">
        <v>230.55734252929599</v>
      </c>
      <c r="CV768" s="70">
        <v>1.74359250068664</v>
      </c>
      <c r="CW768" s="70">
        <v>0</v>
      </c>
      <c r="CX768" s="109"/>
      <c r="CY768" s="110"/>
      <c r="CZ768" s="2" t="b">
        <f>IF($DP$1="YES",IF(RecData[[#This Row],[Power (kW)]]&gt;=$CR$3, TRUE,FALSE),TRUE)</f>
        <v>0</v>
      </c>
      <c r="DA768" s="16">
        <f>MIN(MOD(180-ABS(ABS($DA$1-RecData[Yaw Angle (°)])-180),360),MOD(180-ABS(ABS($DB$1-RecData[Yaw Angle (°)])-180),360))</f>
        <v>136.97258424839157</v>
      </c>
      <c r="DB768" s="2" t="str">
        <f>IF($DP$2="None","None",IF(RecData[[#This Row],[Relative Wind Direction]]&lt;=45,"DW",IF(RecData[[#This Row],[Relative Wind Direction]]&lt;=135,"CW","UW")))</f>
        <v>UW</v>
      </c>
      <c r="DC768" s="61">
        <f>IF($CL768-$CL764&gt;1/24,#REF!,IF(SUM($CQ764:$CQ768)&gt;$DS$1,$DS$5,DC769-1))</f>
        <v>-4</v>
      </c>
      <c r="DD768" s="61">
        <f>IF($CL769-$CL768&gt;1/24,#REF!,IF(SUM($CQ764:$CQ768)&gt;$DS$1,$DS$6,DD767-1))</f>
        <v>-7</v>
      </c>
      <c r="DE768" s="18" t="b">
        <v>0</v>
      </c>
      <c r="DF768" s="2" t="b">
        <f>IF(OR(RecData[[#This Row],[WSpd_Avg '[m/s']]]-RecData[[#This Row],[Wind Speed min]]&gt;=$DF$3,RecData[[#This Row],[Wind Speed max]]-RecData[[#This Row],[WSpd_Avg '[m/s']]]&gt;=$DF$2),TRUE,FALSE)</f>
        <v>0</v>
      </c>
      <c r="DG768" s="2" t="b">
        <f>RecData[[#This Row],[Temperature '[°C']]]&lt;=-20</f>
        <v>0</v>
      </c>
      <c r="DH768" s="18" t="b">
        <f>NOT(OR(MOD(RecData[[#This Row],[TIMESTAMP]],1)&gt;0.91632,MOD(RecData[[#This Row],[TIMESTAMP]],1)&lt;0.208681))</f>
        <v>0</v>
      </c>
      <c r="DI768" s="18" t="b">
        <f>RecData[[#This Row],[Overall (dBA)]]-RecData[[#This Row],[L90]]&gt;=$DS$4</f>
        <v>0</v>
      </c>
      <c r="DJ768" s="18" t="b">
        <f>RecData[[#This Row],[Overall (dBA)]]&gt;$DS$2</f>
        <v>0</v>
      </c>
      <c r="DK768" s="18" t="b">
        <f>RecData[[#This Row],[Overall (dBA)]]&lt;$DS$3</f>
        <v>0</v>
      </c>
      <c r="DL7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8" s="2">
        <f>IF(AND(RecData[[#This Row],[Turbines ON/OFF]] = "OFF", NOT(OR(RecData[[#This Row],[Junk?]]="YES",RecData[[#This Row],[Gust?]],RecData[[#This Row],[Rain?]:[Min SPL Threshold?]]))),1,0)</f>
        <v>1</v>
      </c>
      <c r="DN768" s="16">
        <f>RecData[[#This Row],[dBA Sum]]</f>
        <v>16.373356013295741</v>
      </c>
      <c r="DO768" s="16">
        <f>RecData[[#This Row],[LAF90.0]]</f>
        <v>23.5</v>
      </c>
      <c r="DP768" s="55" t="str">
        <f>IF(AND(RecData[[#This Row],[Useable TON Data?]],RecData[[#This Row],[Turbines ON/OFF]]="ON"),RecData[[#This Row],[dBA Sum]],"")</f>
        <v/>
      </c>
      <c r="DQ768" s="55">
        <f>IF(AND(RecData[[#This Row],[Useable Background Data?]],RecData[[#This Row],[Turbines ON/OFF]]="OFF"),RecData[[#This Row],[dBA Sum]],"")</f>
        <v>16.373356013295741</v>
      </c>
      <c r="DR768" s="3">
        <f>IF(OR(RecData[[#This Row],[Useable TON Data?]],RecData[[#This Row],[Useable Background Data?]]),ROUND(RecData[[#This Row],[WSpd_Avg '[m/s']]],0),"")</f>
        <v>1</v>
      </c>
      <c r="DS768" s="85">
        <f>(0.00002)^2*(10^(RecData[[#This Row],[Overall (dBA)]]/10))</f>
        <v>1.7353840146178153E-8</v>
      </c>
    </row>
    <row r="769" spans="1:123" ht="15" x14ac:dyDescent="0.25">
      <c r="A769" s="3" t="s">
        <v>249</v>
      </c>
      <c r="B769" s="12">
        <v>43272.96875</v>
      </c>
      <c r="C769" s="3"/>
      <c r="D769" s="3">
        <v>28.7</v>
      </c>
      <c r="E769" s="3"/>
      <c r="F769" s="3"/>
      <c r="G769" s="3"/>
      <c r="H769" s="3"/>
      <c r="I769" s="3"/>
      <c r="J769" s="3"/>
      <c r="K769" s="3">
        <v>21.9</v>
      </c>
      <c r="L769" s="3"/>
      <c r="M769" s="3"/>
      <c r="N769" s="3">
        <v>150.5</v>
      </c>
      <c r="O769" s="3"/>
      <c r="P769" s="3"/>
      <c r="Q769" s="3">
        <v>0.53</v>
      </c>
      <c r="R769" s="3">
        <v>0.3</v>
      </c>
      <c r="S769" s="3">
        <v>0.7</v>
      </c>
      <c r="T769" s="3">
        <v>8.6</v>
      </c>
      <c r="U769" s="3">
        <v>73.5</v>
      </c>
      <c r="V769" s="3">
        <v>970.8</v>
      </c>
      <c r="W769" s="3">
        <v>0</v>
      </c>
      <c r="X769" s="3">
        <v>22.3</v>
      </c>
      <c r="Y769" s="3">
        <v>21</v>
      </c>
      <c r="Z769" s="3">
        <v>21.7</v>
      </c>
      <c r="AA769" s="3">
        <v>16</v>
      </c>
      <c r="AB769" s="3">
        <v>7.9</v>
      </c>
      <c r="AC769" s="3">
        <v>6.2</v>
      </c>
      <c r="AD769" s="3">
        <v>9.1</v>
      </c>
      <c r="AE769" s="3">
        <v>8.6</v>
      </c>
      <c r="AF769" s="3">
        <v>14.6</v>
      </c>
      <c r="AG769" s="3">
        <v>9.3000000000000007</v>
      </c>
      <c r="AH769" s="3">
        <v>8.5</v>
      </c>
      <c r="AI769" s="3">
        <v>7.7</v>
      </c>
      <c r="AJ769" s="3">
        <v>8.3000000000000007</v>
      </c>
      <c r="AK769" s="3">
        <v>8.1</v>
      </c>
      <c r="AL769" s="3">
        <v>7.1</v>
      </c>
      <c r="AM769" s="3">
        <v>7.5</v>
      </c>
      <c r="AN769" s="3">
        <v>7.8</v>
      </c>
      <c r="AO769" s="3">
        <v>7.4</v>
      </c>
      <c r="AP769" s="3">
        <v>6.6</v>
      </c>
      <c r="AQ769" s="3">
        <v>6.4</v>
      </c>
      <c r="AR769" s="3">
        <v>5.8</v>
      </c>
      <c r="AS769" s="3">
        <v>18.5</v>
      </c>
      <c r="AT769" s="3">
        <v>26.4</v>
      </c>
      <c r="AU769" s="3">
        <v>8.6999999999999993</v>
      </c>
      <c r="AV769" s="3">
        <v>8</v>
      </c>
      <c r="AW769" s="3">
        <v>8.6</v>
      </c>
      <c r="AX769" s="3">
        <v>8.8000000000000007</v>
      </c>
      <c r="AY769" s="3">
        <v>9.1</v>
      </c>
      <c r="AZ769" s="3">
        <v>0</v>
      </c>
      <c r="BA769" s="3">
        <v>0</v>
      </c>
      <c r="BB769" s="3">
        <v>0</v>
      </c>
      <c r="BC769" s="3">
        <v>28.705700193716304</v>
      </c>
      <c r="BD769" s="3">
        <v>22.294299806283696</v>
      </c>
      <c r="BE769" s="3">
        <v>20.994299806283699</v>
      </c>
      <c r="BF769" s="3">
        <v>20.454299806283693</v>
      </c>
      <c r="BG769" s="3">
        <v>15.080966472950358</v>
      </c>
      <c r="BH769" s="3">
        <v>7.1209664729503643</v>
      </c>
      <c r="BI769" s="3">
        <v>5.8342998062836955</v>
      </c>
      <c r="BJ769" s="3">
        <v>9.5276331396170306</v>
      </c>
      <c r="BK769" s="3">
        <v>8.9009664729503584</v>
      </c>
      <c r="BL769" s="3">
        <v>14.474299806283696</v>
      </c>
      <c r="BM769" s="3">
        <v>9.3076331396170318</v>
      </c>
      <c r="BN769" s="3">
        <v>8.790966472950366</v>
      </c>
      <c r="BO769" s="3">
        <v>7.3576331396170289</v>
      </c>
      <c r="BP769" s="3">
        <v>7.6742998062836989</v>
      </c>
      <c r="BQ769" s="3">
        <v>7.8909664729503532</v>
      </c>
      <c r="BR769" s="3">
        <v>7.2176331396170283</v>
      </c>
      <c r="BS769" s="3">
        <v>7.4209664729503615</v>
      </c>
      <c r="BT769" s="3">
        <v>7.9176331396170312</v>
      </c>
      <c r="BU769" s="3">
        <v>7.4842998062837012</v>
      </c>
      <c r="BV769" s="3">
        <v>6.4009664729503655</v>
      </c>
      <c r="BW769" s="3">
        <v>6.7342998062837012</v>
      </c>
      <c r="BX769" s="3">
        <v>6.0542998062837015</v>
      </c>
      <c r="BY769" s="3">
        <v>18.574299806283697</v>
      </c>
      <c r="BZ769" s="3">
        <v>26.604299806283699</v>
      </c>
      <c r="CA769" s="3">
        <v>9.0042998062836901</v>
      </c>
      <c r="CB769" s="3">
        <v>7.7409664729503618</v>
      </c>
      <c r="CC769" s="3">
        <v>8.5542998062836944</v>
      </c>
      <c r="CD769" s="3">
        <v>8.0609664729503692</v>
      </c>
      <c r="CE769" s="3">
        <v>8.5542998062836944</v>
      </c>
      <c r="CF769" s="3">
        <v>-0.93236686038297023</v>
      </c>
      <c r="CG769" s="3">
        <v>-1.4657001937163017</v>
      </c>
      <c r="CH769" s="3">
        <v>-2.5423668603829697</v>
      </c>
      <c r="CI769" s="13">
        <f>[1]!dbasum(RecData[[#This Row],[20]:[2000]],RecData[[#Headers],[20]:[2000]])</f>
        <v>15.904740072461134</v>
      </c>
      <c r="CJ769" s="14">
        <v>9404</v>
      </c>
      <c r="CK769" s="15" t="s">
        <v>249</v>
      </c>
      <c r="CL769" s="15">
        <f>RecData[[#This Row],[Start Time]]</f>
        <v>43272.96875</v>
      </c>
      <c r="CM769" s="16">
        <f>RecData[[#This Row],[Wind Speed avg]]</f>
        <v>0.53</v>
      </c>
      <c r="CN769" s="16">
        <f>RecData[[#This Row],[Wind Dir. avg]]</f>
        <v>150.5</v>
      </c>
      <c r="CO769" s="16">
        <f>RecData[[#This Row],[Amb. Humidity]]</f>
        <v>73.5</v>
      </c>
      <c r="CP769" s="16">
        <f>RecData[[#This Row],[Amb. Temperature]]</f>
        <v>8.6</v>
      </c>
      <c r="CQ769" s="17">
        <f>RecData[[#This Row],[Amb. Rain Gauge]]</f>
        <v>0</v>
      </c>
      <c r="CR769" s="4" t="s">
        <v>50</v>
      </c>
      <c r="CS769" s="4" t="s">
        <v>49</v>
      </c>
      <c r="CT769" s="70">
        <v>-9.3189630508422798</v>
      </c>
      <c r="CU769" s="70">
        <v>230.55734252929599</v>
      </c>
      <c r="CV769" s="70">
        <v>1.74359250068664</v>
      </c>
      <c r="CW769" s="70">
        <v>0</v>
      </c>
      <c r="CX769" s="109"/>
      <c r="CY769" s="110"/>
      <c r="CZ769" s="2" t="b">
        <f>IF($DP$1="YES",IF(RecData[[#This Row],[Power (kW)]]&gt;=$CR$3, TRUE,FALSE),TRUE)</f>
        <v>0</v>
      </c>
      <c r="DA769" s="16">
        <f>MIN(MOD(180-ABS(ABS($DA$1-RecData[Yaw Angle (°)])-180),360),MOD(180-ABS(ABS($DB$1-RecData[Yaw Angle (°)])-180),360))</f>
        <v>136.97258424839157</v>
      </c>
      <c r="DB769" s="2" t="str">
        <f>IF($DP$2="None","None",IF(RecData[[#This Row],[Relative Wind Direction]]&lt;=45,"DW",IF(RecData[[#This Row],[Relative Wind Direction]]&lt;=135,"CW","UW")))</f>
        <v>UW</v>
      </c>
      <c r="DC769" s="61">
        <f>IF($CL769-$CL765&gt;1/24,#REF!,IF(SUM($CQ765:$CQ769)&gt;$DS$1,$DS$5,DC770-1))</f>
        <v>-3</v>
      </c>
      <c r="DD769" s="61">
        <f>IF($CL770-$CL769&gt;1/24,#REF!,IF(SUM($CQ765:$CQ769)&gt;$DS$1,$DS$6,DD768-1))</f>
        <v>-8</v>
      </c>
      <c r="DE769" s="18" t="b">
        <v>0</v>
      </c>
      <c r="DF769" s="2" t="b">
        <f>IF(OR(RecData[[#This Row],[WSpd_Avg '[m/s']]]-RecData[[#This Row],[Wind Speed min]]&gt;=$DF$3,RecData[[#This Row],[Wind Speed max]]-RecData[[#This Row],[WSpd_Avg '[m/s']]]&gt;=$DF$2),TRUE,FALSE)</f>
        <v>0</v>
      </c>
      <c r="DG769" s="2" t="b">
        <f>RecData[[#This Row],[Temperature '[°C']]]&lt;=-20</f>
        <v>0</v>
      </c>
      <c r="DH769" s="18" t="b">
        <f>NOT(OR(MOD(RecData[[#This Row],[TIMESTAMP]],1)&gt;0.91632,MOD(RecData[[#This Row],[TIMESTAMP]],1)&lt;0.208681))</f>
        <v>0</v>
      </c>
      <c r="DI769" s="18" t="b">
        <f>RecData[[#This Row],[Overall (dBA)]]-RecData[[#This Row],[L90]]&gt;=$DS$4</f>
        <v>0</v>
      </c>
      <c r="DJ769" s="18" t="b">
        <f>RecData[[#This Row],[Overall (dBA)]]&gt;$DS$2</f>
        <v>0</v>
      </c>
      <c r="DK769" s="18" t="b">
        <f>RecData[[#This Row],[Overall (dBA)]]&lt;$DS$3</f>
        <v>0</v>
      </c>
      <c r="DL7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69" s="2">
        <f>IF(AND(RecData[[#This Row],[Turbines ON/OFF]] = "OFF", NOT(OR(RecData[[#This Row],[Junk?]]="YES",RecData[[#This Row],[Gust?]],RecData[[#This Row],[Rain?]:[Min SPL Threshold?]]))),1,0)</f>
        <v>1</v>
      </c>
      <c r="DN769" s="16">
        <f>RecData[[#This Row],[dBA Sum]]</f>
        <v>15.904740072461134</v>
      </c>
      <c r="DO769" s="16">
        <f>RecData[[#This Row],[LAF90.0]]</f>
        <v>21.9</v>
      </c>
      <c r="DP769" s="55" t="str">
        <f>IF(AND(RecData[[#This Row],[Useable TON Data?]],RecData[[#This Row],[Turbines ON/OFF]]="ON"),RecData[[#This Row],[dBA Sum]],"")</f>
        <v/>
      </c>
      <c r="DQ769" s="55">
        <f>IF(AND(RecData[[#This Row],[Useable Background Data?]],RecData[[#This Row],[Turbines ON/OFF]]="OFF"),RecData[[#This Row],[dBA Sum]],"")</f>
        <v>15.904740072461134</v>
      </c>
      <c r="DR769" s="3">
        <f>IF(OR(RecData[[#This Row],[Useable TON Data?]],RecData[[#This Row],[Useable Background Data?]]),ROUND(RecData[[#This Row],[WSpd_Avg '[m/s']]],0),"")</f>
        <v>1</v>
      </c>
      <c r="DS769" s="85">
        <f>(0.00002)^2*(10^(RecData[[#This Row],[Overall (dBA)]]/10))</f>
        <v>1.5578799880850697E-8</v>
      </c>
    </row>
    <row r="770" spans="1:123" ht="15" x14ac:dyDescent="0.25">
      <c r="A770" s="3" t="s">
        <v>249</v>
      </c>
      <c r="B770" s="12">
        <v>43272.969444444447</v>
      </c>
      <c r="C770" s="3"/>
      <c r="D770" s="3">
        <v>28.6</v>
      </c>
      <c r="E770" s="3"/>
      <c r="F770" s="3"/>
      <c r="G770" s="3"/>
      <c r="H770" s="3"/>
      <c r="I770" s="3"/>
      <c r="J770" s="3"/>
      <c r="K770" s="3">
        <v>21.1</v>
      </c>
      <c r="L770" s="3"/>
      <c r="M770" s="3"/>
      <c r="N770" s="3">
        <v>156.1</v>
      </c>
      <c r="O770" s="3"/>
      <c r="P770" s="3"/>
      <c r="Q770" s="3">
        <v>0.72</v>
      </c>
      <c r="R770" s="3">
        <v>0.6</v>
      </c>
      <c r="S770" s="3">
        <v>0.9</v>
      </c>
      <c r="T770" s="3">
        <v>8.6</v>
      </c>
      <c r="U770" s="3">
        <v>73.099999999999994</v>
      </c>
      <c r="V770" s="3">
        <v>970.8</v>
      </c>
      <c r="W770" s="3">
        <v>0</v>
      </c>
      <c r="X770" s="3">
        <v>24.6</v>
      </c>
      <c r="Y770" s="3">
        <v>19.7</v>
      </c>
      <c r="Z770" s="3">
        <v>19.399999999999999</v>
      </c>
      <c r="AA770" s="3">
        <v>12.3</v>
      </c>
      <c r="AB770" s="3">
        <v>8.1</v>
      </c>
      <c r="AC770" s="3">
        <v>6.1</v>
      </c>
      <c r="AD770" s="3">
        <v>9</v>
      </c>
      <c r="AE770" s="3">
        <v>8.6999999999999993</v>
      </c>
      <c r="AF770" s="3">
        <v>13.4</v>
      </c>
      <c r="AG770" s="3">
        <v>12.8</v>
      </c>
      <c r="AH770" s="3">
        <v>14.1</v>
      </c>
      <c r="AI770" s="3">
        <v>13.3</v>
      </c>
      <c r="AJ770" s="3">
        <v>11.4</v>
      </c>
      <c r="AK770" s="3">
        <v>16.7</v>
      </c>
      <c r="AL770" s="3">
        <v>8.6999999999999993</v>
      </c>
      <c r="AM770" s="3">
        <v>16</v>
      </c>
      <c r="AN770" s="3">
        <v>11.5</v>
      </c>
      <c r="AO770" s="3">
        <v>13.2</v>
      </c>
      <c r="AP770" s="3">
        <v>12.6</v>
      </c>
      <c r="AQ770" s="3">
        <v>6.6</v>
      </c>
      <c r="AR770" s="3">
        <v>5.9</v>
      </c>
      <c r="AS770" s="3">
        <v>18.399999999999999</v>
      </c>
      <c r="AT770" s="3">
        <v>25.5</v>
      </c>
      <c r="AU770" s="3">
        <v>8.5</v>
      </c>
      <c r="AV770" s="3">
        <v>8</v>
      </c>
      <c r="AW770" s="3">
        <v>8.6</v>
      </c>
      <c r="AX770" s="3">
        <v>8.8000000000000007</v>
      </c>
      <c r="AY770" s="3">
        <v>9.1</v>
      </c>
      <c r="AZ770" s="3">
        <v>0</v>
      </c>
      <c r="BA770" s="3">
        <v>0</v>
      </c>
      <c r="BB770" s="3">
        <v>0</v>
      </c>
      <c r="BC770" s="3">
        <v>28.525313214482285</v>
      </c>
      <c r="BD770" s="3">
        <v>24.674686785517718</v>
      </c>
      <c r="BE770" s="3">
        <v>19.774686785517712</v>
      </c>
      <c r="BF770" s="3">
        <v>18.23468678551772</v>
      </c>
      <c r="BG770" s="3">
        <v>11.46135345218438</v>
      </c>
      <c r="BH770" s="3">
        <v>7.4013534521843845</v>
      </c>
      <c r="BI770" s="3">
        <v>5.8146867855177184</v>
      </c>
      <c r="BJ770" s="3">
        <v>9.5080201188510465</v>
      </c>
      <c r="BK770" s="3">
        <v>9.0813534521843771</v>
      </c>
      <c r="BL770" s="3">
        <v>13.354686785517718</v>
      </c>
      <c r="BM770" s="3">
        <v>12.888020118851056</v>
      </c>
      <c r="BN770" s="3">
        <v>14.471353452184385</v>
      </c>
      <c r="BO770" s="3">
        <v>13.038020118851055</v>
      </c>
      <c r="BP770" s="3">
        <v>10.854686785517718</v>
      </c>
      <c r="BQ770" s="3">
        <v>16.571353452184372</v>
      </c>
      <c r="BR770" s="3">
        <v>8.898020118851047</v>
      </c>
      <c r="BS770" s="3">
        <v>16.001353452184386</v>
      </c>
      <c r="BT770" s="3">
        <v>11.698020118851051</v>
      </c>
      <c r="BU770" s="3">
        <v>13.364686785517716</v>
      </c>
      <c r="BV770" s="3">
        <v>12.481353452184383</v>
      </c>
      <c r="BW770" s="3">
        <v>7.0146867855177213</v>
      </c>
      <c r="BX770" s="3">
        <v>6.2346867855177202</v>
      </c>
      <c r="BY770" s="3">
        <v>18.554686785517713</v>
      </c>
      <c r="BZ770" s="3">
        <v>25.784686785517717</v>
      </c>
      <c r="CA770" s="3">
        <v>8.8846867855177116</v>
      </c>
      <c r="CB770" s="3">
        <v>7.8213534521843791</v>
      </c>
      <c r="CC770" s="3">
        <v>8.6346867855177116</v>
      </c>
      <c r="CD770" s="3">
        <v>8.1413534521843864</v>
      </c>
      <c r="CE770" s="3">
        <v>8.6346867855177116</v>
      </c>
      <c r="CF770" s="3">
        <v>-0.8519798811489494</v>
      </c>
      <c r="CG770" s="3">
        <v>-1.3853132144822808</v>
      </c>
      <c r="CH770" s="3">
        <v>-2.4619798811489488</v>
      </c>
      <c r="CI770" s="13">
        <f>[1]!dbasum(RecData[[#This Row],[20]:[2000]],RecData[[#Headers],[20]:[2000]])</f>
        <v>20.782143794590979</v>
      </c>
      <c r="CJ770" s="14">
        <v>9405</v>
      </c>
      <c r="CK770" s="15" t="s">
        <v>249</v>
      </c>
      <c r="CL770" s="15">
        <f>RecData[[#This Row],[Start Time]]</f>
        <v>43272.969444444447</v>
      </c>
      <c r="CM770" s="16">
        <f>RecData[[#This Row],[Wind Speed avg]]</f>
        <v>0.72</v>
      </c>
      <c r="CN770" s="16">
        <f>RecData[[#This Row],[Wind Dir. avg]]</f>
        <v>156.1</v>
      </c>
      <c r="CO770" s="16">
        <f>RecData[[#This Row],[Amb. Humidity]]</f>
        <v>73.099999999999994</v>
      </c>
      <c r="CP770" s="16">
        <f>RecData[[#This Row],[Amb. Temperature]]</f>
        <v>8.6</v>
      </c>
      <c r="CQ770" s="17">
        <f>RecData[[#This Row],[Amb. Rain Gauge]]</f>
        <v>0</v>
      </c>
      <c r="CR770" s="4" t="s">
        <v>50</v>
      </c>
      <c r="CS770" s="4" t="s">
        <v>49</v>
      </c>
      <c r="CT770" s="70">
        <v>-9.3189630508422798</v>
      </c>
      <c r="CU770" s="70">
        <v>230.55734252929599</v>
      </c>
      <c r="CV770" s="70">
        <v>1.74359250068664</v>
      </c>
      <c r="CW770" s="70">
        <v>0</v>
      </c>
      <c r="CX770" s="109"/>
      <c r="CY770" s="110"/>
      <c r="CZ770" s="2" t="b">
        <f>IF($DP$1="YES",IF(RecData[[#This Row],[Power (kW)]]&gt;=$CR$3, TRUE,FALSE),TRUE)</f>
        <v>0</v>
      </c>
      <c r="DA770" s="16">
        <f>MIN(MOD(180-ABS(ABS($DA$1-RecData[Yaw Angle (°)])-180),360),MOD(180-ABS(ABS($DB$1-RecData[Yaw Angle (°)])-180),360))</f>
        <v>136.97258424839157</v>
      </c>
      <c r="DB770" s="2" t="str">
        <f>IF($DP$2="None","None",IF(RecData[[#This Row],[Relative Wind Direction]]&lt;=45,"DW",IF(RecData[[#This Row],[Relative Wind Direction]]&lt;=135,"CW","UW")))</f>
        <v>UW</v>
      </c>
      <c r="DC770" s="61">
        <f>IF($CL770-$CL766&gt;1/24,#REF!,IF(SUM($CQ766:$CQ770)&gt;$DS$1,$DS$5,DC771-1))</f>
        <v>-2</v>
      </c>
      <c r="DD770" s="61">
        <f>IF($CL771-$CL770&gt;1/24,#REF!,IF(SUM($CQ766:$CQ770)&gt;$DS$1,$DS$6,DD769-1))</f>
        <v>-9</v>
      </c>
      <c r="DE770" s="18" t="b">
        <v>0</v>
      </c>
      <c r="DF770" s="2" t="b">
        <f>IF(OR(RecData[[#This Row],[WSpd_Avg '[m/s']]]-RecData[[#This Row],[Wind Speed min]]&gt;=$DF$3,RecData[[#This Row],[Wind Speed max]]-RecData[[#This Row],[WSpd_Avg '[m/s']]]&gt;=$DF$2),TRUE,FALSE)</f>
        <v>0</v>
      </c>
      <c r="DG770" s="2" t="b">
        <f>RecData[[#This Row],[Temperature '[°C']]]&lt;=-20</f>
        <v>0</v>
      </c>
      <c r="DH770" s="18" t="b">
        <f>NOT(OR(MOD(RecData[[#This Row],[TIMESTAMP]],1)&gt;0.91632,MOD(RecData[[#This Row],[TIMESTAMP]],1)&lt;0.208681))</f>
        <v>0</v>
      </c>
      <c r="DI770" s="18" t="b">
        <f>RecData[[#This Row],[Overall (dBA)]]-RecData[[#This Row],[L90]]&gt;=$DS$4</f>
        <v>0</v>
      </c>
      <c r="DJ770" s="18" t="b">
        <f>RecData[[#This Row],[Overall (dBA)]]&gt;$DS$2</f>
        <v>0</v>
      </c>
      <c r="DK770" s="18" t="b">
        <f>RecData[[#This Row],[Overall (dBA)]]&lt;$DS$3</f>
        <v>0</v>
      </c>
      <c r="DL7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0" s="2">
        <f>IF(AND(RecData[[#This Row],[Turbines ON/OFF]] = "OFF", NOT(OR(RecData[[#This Row],[Junk?]]="YES",RecData[[#This Row],[Gust?]],RecData[[#This Row],[Rain?]:[Min SPL Threshold?]]))),1,0)</f>
        <v>1</v>
      </c>
      <c r="DN770" s="16">
        <f>RecData[[#This Row],[dBA Sum]]</f>
        <v>20.782143794590979</v>
      </c>
      <c r="DO770" s="16">
        <f>RecData[[#This Row],[LAF90.0]]</f>
        <v>21.1</v>
      </c>
      <c r="DP770" s="55" t="str">
        <f>IF(AND(RecData[[#This Row],[Useable TON Data?]],RecData[[#This Row],[Turbines ON/OFF]]="ON"),RecData[[#This Row],[dBA Sum]],"")</f>
        <v/>
      </c>
      <c r="DQ770" s="55">
        <f>IF(AND(RecData[[#This Row],[Useable Background Data?]],RecData[[#This Row],[Turbines ON/OFF]]="OFF"),RecData[[#This Row],[dBA Sum]],"")</f>
        <v>20.782143794590979</v>
      </c>
      <c r="DR770" s="3">
        <f>IF(OR(RecData[[#This Row],[Useable TON Data?]],RecData[[#This Row],[Useable Background Data?]]),ROUND(RecData[[#This Row],[WSpd_Avg '[m/s']]],0),"")</f>
        <v>1</v>
      </c>
      <c r="DS770" s="85">
        <f>(0.00002)^2*(10^(RecData[[#This Row],[Overall (dBA)]]/10))</f>
        <v>4.7893256820367959E-8</v>
      </c>
    </row>
    <row r="771" spans="1:123" ht="15" x14ac:dyDescent="0.25">
      <c r="A771" s="3" t="s">
        <v>249</v>
      </c>
      <c r="B771" s="12">
        <v>43272.970138888893</v>
      </c>
      <c r="C771" s="3"/>
      <c r="D771" s="3">
        <v>28.4</v>
      </c>
      <c r="E771" s="3"/>
      <c r="F771" s="3"/>
      <c r="G771" s="3"/>
      <c r="H771" s="3"/>
      <c r="I771" s="3"/>
      <c r="J771" s="3"/>
      <c r="K771" s="3">
        <v>20.9</v>
      </c>
      <c r="L771" s="3"/>
      <c r="M771" s="3"/>
      <c r="N771" s="3">
        <v>160.30000000000001</v>
      </c>
      <c r="O771" s="3"/>
      <c r="P771" s="3"/>
      <c r="Q771" s="3">
        <v>0.75</v>
      </c>
      <c r="R771" s="3">
        <v>0.6</v>
      </c>
      <c r="S771" s="3">
        <v>1</v>
      </c>
      <c r="T771" s="3">
        <v>8.5</v>
      </c>
      <c r="U771" s="3">
        <v>73.400000000000006</v>
      </c>
      <c r="V771" s="3">
        <v>970.8</v>
      </c>
      <c r="W771" s="3">
        <v>0</v>
      </c>
      <c r="X771" s="3">
        <v>22.8</v>
      </c>
      <c r="Y771" s="3">
        <v>17.100000000000001</v>
      </c>
      <c r="Z771" s="3">
        <v>16.3</v>
      </c>
      <c r="AA771" s="3">
        <v>8.3000000000000007</v>
      </c>
      <c r="AB771" s="3">
        <v>6.6</v>
      </c>
      <c r="AC771" s="3">
        <v>5.4</v>
      </c>
      <c r="AD771" s="3">
        <v>8.5</v>
      </c>
      <c r="AE771" s="3">
        <v>8.1</v>
      </c>
      <c r="AF771" s="3">
        <v>13.8</v>
      </c>
      <c r="AG771" s="3">
        <v>9.8000000000000007</v>
      </c>
      <c r="AH771" s="3">
        <v>9.6999999999999993</v>
      </c>
      <c r="AI771" s="3">
        <v>8.4</v>
      </c>
      <c r="AJ771" s="3">
        <v>8.6999999999999993</v>
      </c>
      <c r="AK771" s="3">
        <v>9.4</v>
      </c>
      <c r="AL771" s="3">
        <v>7.1</v>
      </c>
      <c r="AM771" s="3">
        <v>7.3</v>
      </c>
      <c r="AN771" s="3">
        <v>7.9</v>
      </c>
      <c r="AO771" s="3">
        <v>7.5</v>
      </c>
      <c r="AP771" s="3">
        <v>6.6</v>
      </c>
      <c r="AQ771" s="3">
        <v>6.5</v>
      </c>
      <c r="AR771" s="3">
        <v>6.1</v>
      </c>
      <c r="AS771" s="3">
        <v>17.399999999999999</v>
      </c>
      <c r="AT771" s="3">
        <v>26.1</v>
      </c>
      <c r="AU771" s="3">
        <v>8.3000000000000007</v>
      </c>
      <c r="AV771" s="3">
        <v>8</v>
      </c>
      <c r="AW771" s="3">
        <v>8.6</v>
      </c>
      <c r="AX771" s="3">
        <v>8.8000000000000007</v>
      </c>
      <c r="AY771" s="3">
        <v>9.1</v>
      </c>
      <c r="AZ771" s="3">
        <v>0</v>
      </c>
      <c r="BA771" s="3">
        <v>0</v>
      </c>
      <c r="BB771" s="3">
        <v>0</v>
      </c>
      <c r="BC771" s="3">
        <v>28.347696338098686</v>
      </c>
      <c r="BD771" s="3">
        <v>22.852303661901317</v>
      </c>
      <c r="BE771" s="3">
        <v>17.152303661901314</v>
      </c>
      <c r="BF771" s="3">
        <v>15.112303661901315</v>
      </c>
      <c r="BG771" s="3">
        <v>7.4389703285679758</v>
      </c>
      <c r="BH771" s="3">
        <v>5.8789703285679806</v>
      </c>
      <c r="BI771" s="3">
        <v>5.0923036619013118</v>
      </c>
      <c r="BJ771" s="3">
        <v>8.9856369952346427</v>
      </c>
      <c r="BK771" s="3">
        <v>8.4589703285679718</v>
      </c>
      <c r="BL771" s="3">
        <v>13.732303661901312</v>
      </c>
      <c r="BM771" s="3">
        <v>9.8656369952346523</v>
      </c>
      <c r="BN771" s="3">
        <v>10.048970328567975</v>
      </c>
      <c r="BO771" s="3">
        <v>8.1156369952346523</v>
      </c>
      <c r="BP771" s="3">
        <v>8.1323036619013109</v>
      </c>
      <c r="BQ771" s="3">
        <v>9.248970328567971</v>
      </c>
      <c r="BR771" s="3">
        <v>7.2756369952346489</v>
      </c>
      <c r="BS771" s="3">
        <v>7.2789703285679792</v>
      </c>
      <c r="BT771" s="3">
        <v>8.0756369952346461</v>
      </c>
      <c r="BU771" s="3">
        <v>7.642303661901316</v>
      </c>
      <c r="BV771" s="3">
        <v>6.4589703285679789</v>
      </c>
      <c r="BW771" s="3">
        <v>6.892303661901316</v>
      </c>
      <c r="BX771" s="3">
        <v>6.4123036619013192</v>
      </c>
      <c r="BY771" s="3">
        <v>17.53230366190131</v>
      </c>
      <c r="BZ771" s="3">
        <v>26.362303661901322</v>
      </c>
      <c r="CA771" s="3">
        <v>8.662303661901305</v>
      </c>
      <c r="CB771" s="3">
        <v>7.7989703285679752</v>
      </c>
      <c r="CC771" s="3">
        <v>8.6123036619013078</v>
      </c>
      <c r="CD771" s="3">
        <v>8.1189703285679826</v>
      </c>
      <c r="CE771" s="3">
        <v>8.6123036619013078</v>
      </c>
      <c r="CF771" s="3">
        <v>-0.87436300476535322</v>
      </c>
      <c r="CG771" s="3">
        <v>-1.4076963380986847</v>
      </c>
      <c r="CH771" s="3">
        <v>-2.4843630047653527</v>
      </c>
      <c r="CI771" s="13">
        <f>[1]!dbasum(RecData[[#This Row],[20]:[2000]],RecData[[#Headers],[20]:[2000]])</f>
        <v>16.144842620044233</v>
      </c>
      <c r="CJ771" s="14">
        <v>9406</v>
      </c>
      <c r="CK771" s="15" t="s">
        <v>249</v>
      </c>
      <c r="CL771" s="15">
        <f>RecData[[#This Row],[Start Time]]</f>
        <v>43272.970138888893</v>
      </c>
      <c r="CM771" s="16">
        <f>RecData[[#This Row],[Wind Speed avg]]</f>
        <v>0.75</v>
      </c>
      <c r="CN771" s="16">
        <f>RecData[[#This Row],[Wind Dir. avg]]</f>
        <v>160.30000000000001</v>
      </c>
      <c r="CO771" s="16">
        <f>RecData[[#This Row],[Amb. Humidity]]</f>
        <v>73.400000000000006</v>
      </c>
      <c r="CP771" s="16">
        <f>RecData[[#This Row],[Amb. Temperature]]</f>
        <v>8.5</v>
      </c>
      <c r="CQ771" s="17">
        <f>RecData[[#This Row],[Amb. Rain Gauge]]</f>
        <v>0</v>
      </c>
      <c r="CR771" s="4" t="s">
        <v>50</v>
      </c>
      <c r="CS771" s="4" t="s">
        <v>49</v>
      </c>
      <c r="CT771" s="70">
        <v>-9.3189630508422798</v>
      </c>
      <c r="CU771" s="70">
        <v>230.55734252929599</v>
      </c>
      <c r="CV771" s="70">
        <v>1.74359250068664</v>
      </c>
      <c r="CW771" s="70">
        <v>0</v>
      </c>
      <c r="CX771" s="109"/>
      <c r="CY771" s="110"/>
      <c r="CZ771" s="2" t="b">
        <f>IF($DP$1="YES",IF(RecData[[#This Row],[Power (kW)]]&gt;=$CR$3, TRUE,FALSE),TRUE)</f>
        <v>0</v>
      </c>
      <c r="DA771" s="16">
        <f>MIN(MOD(180-ABS(ABS($DA$1-RecData[Yaw Angle (°)])-180),360),MOD(180-ABS(ABS($DB$1-RecData[Yaw Angle (°)])-180),360))</f>
        <v>136.97258424839157</v>
      </c>
      <c r="DB771" s="2" t="str">
        <f>IF($DP$2="None","None",IF(RecData[[#This Row],[Relative Wind Direction]]&lt;=45,"DW",IF(RecData[[#This Row],[Relative Wind Direction]]&lt;=135,"CW","UW")))</f>
        <v>UW</v>
      </c>
      <c r="DC771" s="61">
        <v>-1</v>
      </c>
      <c r="DD771" s="61">
        <v>-1</v>
      </c>
      <c r="DE771" s="18" t="b">
        <v>0</v>
      </c>
      <c r="DF771" s="2" t="b">
        <f>IF(OR(RecData[[#This Row],[WSpd_Avg '[m/s']]]-RecData[[#This Row],[Wind Speed min]]&gt;=$DF$3,RecData[[#This Row],[Wind Speed max]]-RecData[[#This Row],[WSpd_Avg '[m/s']]]&gt;=$DF$2),TRUE,FALSE)</f>
        <v>0</v>
      </c>
      <c r="DG771" s="2" t="b">
        <f>RecData[[#This Row],[Temperature '[°C']]]&lt;=-20</f>
        <v>0</v>
      </c>
      <c r="DH771" s="18" t="b">
        <f>NOT(OR(MOD(RecData[[#This Row],[TIMESTAMP]],1)&gt;0.91632,MOD(RecData[[#This Row],[TIMESTAMP]],1)&lt;0.208681))</f>
        <v>0</v>
      </c>
      <c r="DI771" s="18" t="b">
        <f>RecData[[#This Row],[Overall (dBA)]]-RecData[[#This Row],[L90]]&gt;=$DS$4</f>
        <v>0</v>
      </c>
      <c r="DJ771" s="18" t="b">
        <f>RecData[[#This Row],[Overall (dBA)]]&gt;$DS$2</f>
        <v>0</v>
      </c>
      <c r="DK771" s="18" t="b">
        <f>RecData[[#This Row],[Overall (dBA)]]&lt;$DS$3</f>
        <v>0</v>
      </c>
      <c r="DL7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1" s="2">
        <f>IF(AND(RecData[[#This Row],[Turbines ON/OFF]] = "OFF", NOT(OR(RecData[[#This Row],[Junk?]]="YES",RecData[[#This Row],[Gust?]],RecData[[#This Row],[Rain?]:[Min SPL Threshold?]]))),1,0)</f>
        <v>1</v>
      </c>
      <c r="DN771" s="16">
        <f>RecData[[#This Row],[dBA Sum]]</f>
        <v>16.144842620044233</v>
      </c>
      <c r="DO771" s="16">
        <f>RecData[[#This Row],[LAF90.0]]</f>
        <v>20.9</v>
      </c>
      <c r="DP771" s="55" t="str">
        <f>IF(AND(RecData[[#This Row],[Useable TON Data?]],RecData[[#This Row],[Turbines ON/OFF]]="ON"),RecData[[#This Row],[dBA Sum]],"")</f>
        <v/>
      </c>
      <c r="DQ771" s="55">
        <f>IF(AND(RecData[[#This Row],[Useable Background Data?]],RecData[[#This Row],[Turbines ON/OFF]]="OFF"),RecData[[#This Row],[dBA Sum]],"")</f>
        <v>16.144842620044233</v>
      </c>
      <c r="DR771" s="3">
        <f>IF(OR(RecData[[#This Row],[Useable TON Data?]],RecData[[#This Row],[Useable Background Data?]]),ROUND(RecData[[#This Row],[WSpd_Avg '[m/s']]],0),"")</f>
        <v>1</v>
      </c>
      <c r="DS771" s="85">
        <f>(0.00002)^2*(10^(RecData[[#This Row],[Overall (dBA)]]/10))</f>
        <v>1.6464337245428418E-8</v>
      </c>
    </row>
    <row r="772" spans="1:123" ht="15" x14ac:dyDescent="0.25">
      <c r="A772" s="3" t="s">
        <v>249</v>
      </c>
      <c r="B772" s="12">
        <v>43272.970833333333</v>
      </c>
      <c r="C772" s="3"/>
      <c r="D772" s="3">
        <v>26.7</v>
      </c>
      <c r="E772" s="3"/>
      <c r="F772" s="3"/>
      <c r="G772" s="3"/>
      <c r="H772" s="3"/>
      <c r="I772" s="3"/>
      <c r="J772" s="3"/>
      <c r="K772" s="3">
        <v>21.5</v>
      </c>
      <c r="L772" s="3"/>
      <c r="M772" s="3"/>
      <c r="N772" s="3">
        <v>164.7</v>
      </c>
      <c r="O772" s="3"/>
      <c r="P772" s="3"/>
      <c r="Q772" s="3">
        <v>0.8</v>
      </c>
      <c r="R772" s="3">
        <v>0.7</v>
      </c>
      <c r="S772" s="3">
        <v>0.9</v>
      </c>
      <c r="T772" s="3">
        <v>8.5</v>
      </c>
      <c r="U772" s="3">
        <v>74.099999999999994</v>
      </c>
      <c r="V772" s="3">
        <v>970.8</v>
      </c>
      <c r="W772" s="3">
        <v>0</v>
      </c>
      <c r="X772" s="3">
        <v>21.4</v>
      </c>
      <c r="Y772" s="3">
        <v>17.600000000000001</v>
      </c>
      <c r="Z772" s="3">
        <v>19</v>
      </c>
      <c r="AA772" s="3">
        <v>10.3</v>
      </c>
      <c r="AB772" s="3">
        <v>6.4</v>
      </c>
      <c r="AC772" s="3">
        <v>5.6</v>
      </c>
      <c r="AD772" s="3">
        <v>8.8000000000000007</v>
      </c>
      <c r="AE772" s="3">
        <v>9</v>
      </c>
      <c r="AF772" s="3">
        <v>16.100000000000001</v>
      </c>
      <c r="AG772" s="3">
        <v>10.4</v>
      </c>
      <c r="AH772" s="3">
        <v>12.5</v>
      </c>
      <c r="AI772" s="3">
        <v>10.3</v>
      </c>
      <c r="AJ772" s="3">
        <v>9.8000000000000007</v>
      </c>
      <c r="AK772" s="3">
        <v>12.6</v>
      </c>
      <c r="AL772" s="3">
        <v>7.8</v>
      </c>
      <c r="AM772" s="3">
        <v>9.1999999999999993</v>
      </c>
      <c r="AN772" s="3">
        <v>9.6999999999999993</v>
      </c>
      <c r="AO772" s="3">
        <v>9.6999999999999993</v>
      </c>
      <c r="AP772" s="3">
        <v>10.1</v>
      </c>
      <c r="AQ772" s="3">
        <v>6.5</v>
      </c>
      <c r="AR772" s="3">
        <v>6</v>
      </c>
      <c r="AS772" s="3">
        <v>18.100000000000001</v>
      </c>
      <c r="AT772" s="3">
        <v>23.2</v>
      </c>
      <c r="AU772" s="3">
        <v>7.6</v>
      </c>
      <c r="AV772" s="3">
        <v>8.1</v>
      </c>
      <c r="AW772" s="3">
        <v>8.6999999999999993</v>
      </c>
      <c r="AX772" s="3">
        <v>8.8000000000000007</v>
      </c>
      <c r="AY772" s="3">
        <v>9.1</v>
      </c>
      <c r="AZ772" s="3">
        <v>0</v>
      </c>
      <c r="BA772" s="3">
        <v>0</v>
      </c>
      <c r="BB772" s="3">
        <v>0</v>
      </c>
      <c r="BC772" s="3">
        <v>26.573915459336384</v>
      </c>
      <c r="BD772" s="3">
        <v>21.526084540663611</v>
      </c>
      <c r="BE772" s="3">
        <v>17.726084540663614</v>
      </c>
      <c r="BF772" s="3">
        <v>17.886084540663617</v>
      </c>
      <c r="BG772" s="3">
        <v>9.5127512073302825</v>
      </c>
      <c r="BH772" s="3">
        <v>5.7527512073302844</v>
      </c>
      <c r="BI772" s="3">
        <v>5.3660845406636142</v>
      </c>
      <c r="BJ772" s="3">
        <v>9.3594178739969465</v>
      </c>
      <c r="BK772" s="3">
        <v>9.4327512073302771</v>
      </c>
      <c r="BL772" s="3">
        <v>16.106084540663616</v>
      </c>
      <c r="BM772" s="3">
        <v>10.539417873996953</v>
      </c>
      <c r="BN772" s="3">
        <v>12.922751207330286</v>
      </c>
      <c r="BO772" s="3">
        <v>10.08941787399695</v>
      </c>
      <c r="BP772" s="3">
        <v>9.306084540663619</v>
      </c>
      <c r="BQ772" s="3">
        <v>12.522751207330273</v>
      </c>
      <c r="BR772" s="3">
        <v>8.0494178739969513</v>
      </c>
      <c r="BS772" s="3">
        <v>9.2527512073302844</v>
      </c>
      <c r="BT772" s="3">
        <v>9.9494178739969499</v>
      </c>
      <c r="BU772" s="3">
        <v>9.9160845406636184</v>
      </c>
      <c r="BV772" s="3">
        <v>10.032751207330286</v>
      </c>
      <c r="BW772" s="3">
        <v>6.9660845406636227</v>
      </c>
      <c r="BX772" s="3">
        <v>6.3860845406636244</v>
      </c>
      <c r="BY772" s="3">
        <v>18.306084540663612</v>
      </c>
      <c r="BZ772" s="3">
        <v>23.536084540663616</v>
      </c>
      <c r="CA772" s="3">
        <v>8.0360845406636088</v>
      </c>
      <c r="CB772" s="3">
        <v>7.9727512073302833</v>
      </c>
      <c r="CC772" s="3">
        <v>8.7860845406636159</v>
      </c>
      <c r="CD772" s="3">
        <v>8.1927512073302893</v>
      </c>
      <c r="CE772" s="3">
        <v>8.6860845406636145</v>
      </c>
      <c r="CF772" s="3">
        <v>-0.80058212600305012</v>
      </c>
      <c r="CG772" s="3">
        <v>-1.3339154593363816</v>
      </c>
      <c r="CH772" s="3">
        <v>-2.4105821260030496</v>
      </c>
      <c r="CI772" s="13">
        <f>[1]!dbasum(RecData[[#This Row],[20]:[2000]],RecData[[#Headers],[20]:[2000]])</f>
        <v>17.953012529449829</v>
      </c>
      <c r="CJ772" s="14">
        <v>9407</v>
      </c>
      <c r="CK772" s="15" t="s">
        <v>249</v>
      </c>
      <c r="CL772" s="15">
        <f>RecData[[#This Row],[Start Time]]</f>
        <v>43272.970833333333</v>
      </c>
      <c r="CM772" s="16">
        <f>RecData[[#This Row],[Wind Speed avg]]</f>
        <v>0.8</v>
      </c>
      <c r="CN772" s="16">
        <f>RecData[[#This Row],[Wind Dir. avg]]</f>
        <v>164.7</v>
      </c>
      <c r="CO772" s="16">
        <f>RecData[[#This Row],[Amb. Humidity]]</f>
        <v>74.099999999999994</v>
      </c>
      <c r="CP772" s="16">
        <f>RecData[[#This Row],[Amb. Temperature]]</f>
        <v>8.5</v>
      </c>
      <c r="CQ772" s="17">
        <f>RecData[[#This Row],[Amb. Rain Gauge]]</f>
        <v>0</v>
      </c>
      <c r="CR772" s="4" t="s">
        <v>50</v>
      </c>
      <c r="CS772" s="4" t="s">
        <v>49</v>
      </c>
      <c r="CT772" s="70">
        <v>-9.3189630508422798</v>
      </c>
      <c r="CU772" s="70">
        <v>230.55734252929599</v>
      </c>
      <c r="CV772" s="70">
        <v>1.74359250068664</v>
      </c>
      <c r="CW772" s="70">
        <v>0</v>
      </c>
      <c r="CX772" s="109"/>
      <c r="CY772" s="110"/>
      <c r="CZ772" s="2" t="b">
        <f>IF($DP$1="YES",IF(RecData[[#This Row],[Power (kW)]]&gt;=$CR$3, TRUE,FALSE),TRUE)</f>
        <v>0</v>
      </c>
      <c r="DA772" s="16">
        <f>MIN(MOD(180-ABS(ABS($DA$1-RecData[Yaw Angle (°)])-180),360),MOD(180-ABS(ABS($DB$1-RecData[Yaw Angle (°)])-180),360))</f>
        <v>136.97258424839157</v>
      </c>
      <c r="DB772" s="2" t="str">
        <f>IF($DP$2="None","None",IF(RecData[[#This Row],[Relative Wind Direction]]&lt;=45,"DW",IF(RecData[[#This Row],[Relative Wind Direction]]&lt;=135,"CW","UW")))</f>
        <v>UW</v>
      </c>
      <c r="DC772" s="61">
        <f>IF($CL772-$CL771&gt;1/24,#REF!,IF(SUM($CQ771:$CQ772)&gt;$DS$1,$DS$5,DC773-1))</f>
        <v>-9</v>
      </c>
      <c r="DD772" s="61">
        <f>IF($CL773-$CL772&gt;1/24,#REF!,IF(SUM($CQ771:$CQ772)&gt;$DS$1,$DS$6,DD771-1))</f>
        <v>-2</v>
      </c>
      <c r="DE772" s="18" t="b">
        <v>0</v>
      </c>
      <c r="DF772" s="2" t="b">
        <f>IF(OR(RecData[[#This Row],[WSpd_Avg '[m/s']]]-RecData[[#This Row],[Wind Speed min]]&gt;=$DF$3,RecData[[#This Row],[Wind Speed max]]-RecData[[#This Row],[WSpd_Avg '[m/s']]]&gt;=$DF$2),TRUE,FALSE)</f>
        <v>0</v>
      </c>
      <c r="DG772" s="2" t="b">
        <f>RecData[[#This Row],[Temperature '[°C']]]&lt;=-20</f>
        <v>0</v>
      </c>
      <c r="DH772" s="18" t="b">
        <f>NOT(OR(MOD(RecData[[#This Row],[TIMESTAMP]],1)&gt;0.91632,MOD(RecData[[#This Row],[TIMESTAMP]],1)&lt;0.208681))</f>
        <v>0</v>
      </c>
      <c r="DI772" s="18" t="b">
        <f>RecData[[#This Row],[Overall (dBA)]]-RecData[[#This Row],[L90]]&gt;=$DS$4</f>
        <v>0</v>
      </c>
      <c r="DJ772" s="18" t="b">
        <f>RecData[[#This Row],[Overall (dBA)]]&gt;$DS$2</f>
        <v>0</v>
      </c>
      <c r="DK772" s="18" t="b">
        <f>RecData[[#This Row],[Overall (dBA)]]&lt;$DS$3</f>
        <v>0</v>
      </c>
      <c r="DL7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2" s="2">
        <f>IF(AND(RecData[[#This Row],[Turbines ON/OFF]] = "OFF", NOT(OR(RecData[[#This Row],[Junk?]]="YES",RecData[[#This Row],[Gust?]],RecData[[#This Row],[Rain?]:[Min SPL Threshold?]]))),1,0)</f>
        <v>1</v>
      </c>
      <c r="DN772" s="16">
        <f>RecData[[#This Row],[dBA Sum]]</f>
        <v>17.953012529449829</v>
      </c>
      <c r="DO772" s="16">
        <f>RecData[[#This Row],[LAF90.0]]</f>
        <v>21.5</v>
      </c>
      <c r="DP772" s="55" t="str">
        <f>IF(AND(RecData[[#This Row],[Useable TON Data?]],RecData[[#This Row],[Turbines ON/OFF]]="ON"),RecData[[#This Row],[dBA Sum]],"")</f>
        <v/>
      </c>
      <c r="DQ772" s="55">
        <f>IF(AND(RecData[[#This Row],[Useable Background Data?]],RecData[[#This Row],[Turbines ON/OFF]]="OFF"),RecData[[#This Row],[dBA Sum]],"")</f>
        <v>17.953012529449829</v>
      </c>
      <c r="DR772" s="3">
        <f>IF(OR(RecData[[#This Row],[Useable TON Data?]],RecData[[#This Row],[Useable Background Data?]]),ROUND(RecData[[#This Row],[WSpd_Avg '[m/s']]],0),"")</f>
        <v>1</v>
      </c>
      <c r="DS772" s="85">
        <f>(0.00002)^2*(10^(RecData[[#This Row],[Overall (dBA)]]/10))</f>
        <v>2.4966705832791997E-8</v>
      </c>
    </row>
    <row r="773" spans="1:123" ht="15" x14ac:dyDescent="0.25">
      <c r="A773" s="3" t="s">
        <v>249</v>
      </c>
      <c r="B773" s="12">
        <v>43272.97152777778</v>
      </c>
      <c r="C773" s="3"/>
      <c r="D773" s="3">
        <v>31.7</v>
      </c>
      <c r="E773" s="3"/>
      <c r="F773" s="3"/>
      <c r="G773" s="3"/>
      <c r="H773" s="3"/>
      <c r="I773" s="3"/>
      <c r="J773" s="3"/>
      <c r="K773" s="3">
        <v>21.8</v>
      </c>
      <c r="L773" s="3"/>
      <c r="M773" s="3"/>
      <c r="N773" s="3">
        <v>151.19999999999999</v>
      </c>
      <c r="O773" s="3"/>
      <c r="P773" s="3"/>
      <c r="Q773" s="3">
        <v>0.51</v>
      </c>
      <c r="R773" s="3">
        <v>0.2</v>
      </c>
      <c r="S773" s="3">
        <v>0.6</v>
      </c>
      <c r="T773" s="3">
        <v>8.4</v>
      </c>
      <c r="U773" s="3">
        <v>73.400000000000006</v>
      </c>
      <c r="V773" s="3">
        <v>970.8</v>
      </c>
      <c r="W773" s="3">
        <v>0</v>
      </c>
      <c r="X773" s="3">
        <v>23.4</v>
      </c>
      <c r="Y773" s="3">
        <v>21</v>
      </c>
      <c r="Z773" s="3">
        <v>24.8</v>
      </c>
      <c r="AA773" s="3">
        <v>17.399999999999999</v>
      </c>
      <c r="AB773" s="3">
        <v>8.3000000000000007</v>
      </c>
      <c r="AC773" s="3">
        <v>4.9000000000000004</v>
      </c>
      <c r="AD773" s="3">
        <v>8.3000000000000007</v>
      </c>
      <c r="AE773" s="3">
        <v>8.6</v>
      </c>
      <c r="AF773" s="3">
        <v>15.8</v>
      </c>
      <c r="AG773" s="3">
        <v>8.1</v>
      </c>
      <c r="AH773" s="3">
        <v>8</v>
      </c>
      <c r="AI773" s="3">
        <v>8.1</v>
      </c>
      <c r="AJ773" s="3">
        <v>8.4</v>
      </c>
      <c r="AK773" s="3">
        <v>8.5</v>
      </c>
      <c r="AL773" s="3">
        <v>7.1</v>
      </c>
      <c r="AM773" s="3">
        <v>7.2</v>
      </c>
      <c r="AN773" s="3">
        <v>7.6</v>
      </c>
      <c r="AO773" s="3">
        <v>7.1</v>
      </c>
      <c r="AP773" s="3">
        <v>6.5</v>
      </c>
      <c r="AQ773" s="3">
        <v>6.4</v>
      </c>
      <c r="AR773" s="3">
        <v>6</v>
      </c>
      <c r="AS773" s="3">
        <v>18</v>
      </c>
      <c r="AT773" s="3">
        <v>30</v>
      </c>
      <c r="AU773" s="3">
        <v>9.6</v>
      </c>
      <c r="AV773" s="3">
        <v>8.1</v>
      </c>
      <c r="AW773" s="3">
        <v>8.6</v>
      </c>
      <c r="AX773" s="3">
        <v>8.8000000000000007</v>
      </c>
      <c r="AY773" s="3">
        <v>9.1</v>
      </c>
      <c r="AZ773" s="3">
        <v>0</v>
      </c>
      <c r="BA773" s="3">
        <v>0</v>
      </c>
      <c r="BB773" s="3">
        <v>0</v>
      </c>
      <c r="BC773" s="3">
        <v>31.69190078620661</v>
      </c>
      <c r="BD773" s="3">
        <v>23.408099213793385</v>
      </c>
      <c r="BE773" s="3">
        <v>21.008099213793393</v>
      </c>
      <c r="BF773" s="3">
        <v>23.568099213793396</v>
      </c>
      <c r="BG773" s="3">
        <v>16.494765880460051</v>
      </c>
      <c r="BH773" s="3">
        <v>7.534765880460057</v>
      </c>
      <c r="BI773" s="3">
        <v>4.5480992137933924</v>
      </c>
      <c r="BJ773" s="3">
        <v>8.7414325471267205</v>
      </c>
      <c r="BK773" s="3">
        <v>8.9147658804600525</v>
      </c>
      <c r="BL773" s="3">
        <v>15.688099213793393</v>
      </c>
      <c r="BM773" s="3">
        <v>8.121432547126723</v>
      </c>
      <c r="BN773" s="3">
        <v>8.3047658804600601</v>
      </c>
      <c r="BO773" s="3">
        <v>7.7714325471267287</v>
      </c>
      <c r="BP773" s="3">
        <v>7.7880992137933873</v>
      </c>
      <c r="BQ773" s="3">
        <v>8.3047658804600459</v>
      </c>
      <c r="BR773" s="3">
        <v>7.2314325471267225</v>
      </c>
      <c r="BS773" s="3">
        <v>7.1347658804600584</v>
      </c>
      <c r="BT773" s="3">
        <v>7.7314325471267225</v>
      </c>
      <c r="BU773" s="3">
        <v>7.198099213793391</v>
      </c>
      <c r="BV773" s="3">
        <v>6.3147658804600582</v>
      </c>
      <c r="BW773" s="3">
        <v>6.7480992137933953</v>
      </c>
      <c r="BX773" s="3">
        <v>6.2680992137933984</v>
      </c>
      <c r="BY773" s="3">
        <v>18.088099213793392</v>
      </c>
      <c r="BZ773" s="3">
        <v>30.218099213793394</v>
      </c>
      <c r="CA773" s="3">
        <v>9.9180992137933828</v>
      </c>
      <c r="CB773" s="3">
        <v>7.8547658804600573</v>
      </c>
      <c r="CC773" s="3">
        <v>8.5680992137933885</v>
      </c>
      <c r="CD773" s="3">
        <v>8.0747658804600633</v>
      </c>
      <c r="CE773" s="3">
        <v>8.5680992137933885</v>
      </c>
      <c r="CF773" s="3">
        <v>-0.91856745287327612</v>
      </c>
      <c r="CG773" s="3">
        <v>-1.4519007862066076</v>
      </c>
      <c r="CH773" s="3">
        <v>-2.5285674528732756</v>
      </c>
      <c r="CI773" s="13">
        <f>[1]!dbasum(RecData[[#This Row],[20]:[2000]],RecData[[#Headers],[20]:[2000]])</f>
        <v>15.879176867986862</v>
      </c>
      <c r="CJ773" s="14">
        <v>9408</v>
      </c>
      <c r="CK773" s="15" t="s">
        <v>249</v>
      </c>
      <c r="CL773" s="15">
        <f>RecData[[#This Row],[Start Time]]</f>
        <v>43272.97152777778</v>
      </c>
      <c r="CM773" s="16">
        <f>RecData[[#This Row],[Wind Speed avg]]</f>
        <v>0.51</v>
      </c>
      <c r="CN773" s="16">
        <f>RecData[[#This Row],[Wind Dir. avg]]</f>
        <v>151.19999999999999</v>
      </c>
      <c r="CO773" s="16">
        <f>RecData[[#This Row],[Amb. Humidity]]</f>
        <v>73.400000000000006</v>
      </c>
      <c r="CP773" s="16">
        <f>RecData[[#This Row],[Amb. Temperature]]</f>
        <v>8.4</v>
      </c>
      <c r="CQ773" s="17">
        <f>RecData[[#This Row],[Amb. Rain Gauge]]</f>
        <v>0</v>
      </c>
      <c r="CR773" s="4" t="s">
        <v>50</v>
      </c>
      <c r="CS773" s="4" t="s">
        <v>49</v>
      </c>
      <c r="CT773" s="70">
        <v>-9.3189630508422798</v>
      </c>
      <c r="CU773" s="70">
        <v>230.55734252929599</v>
      </c>
      <c r="CV773" s="70">
        <v>1.74359250068664</v>
      </c>
      <c r="CW773" s="70">
        <v>0</v>
      </c>
      <c r="CX773" s="109"/>
      <c r="CY773" s="110"/>
      <c r="CZ773" s="2" t="b">
        <f>IF($DP$1="YES",IF(RecData[[#This Row],[Power (kW)]]&gt;=$CR$3, TRUE,FALSE),TRUE)</f>
        <v>0</v>
      </c>
      <c r="DA773" s="16">
        <f>MIN(MOD(180-ABS(ABS($DA$1-RecData[Yaw Angle (°)])-180),360),MOD(180-ABS(ABS($DB$1-RecData[Yaw Angle (°)])-180),360))</f>
        <v>136.97258424839157</v>
      </c>
      <c r="DB773" s="2" t="str">
        <f>IF($DP$2="None","None",IF(RecData[[#This Row],[Relative Wind Direction]]&lt;=45,"DW",IF(RecData[[#This Row],[Relative Wind Direction]]&lt;=135,"CW","UW")))</f>
        <v>UW</v>
      </c>
      <c r="DC773" s="61">
        <f>IF($CL773-$CL771&gt;1/24,#REF!,IF(SUM($CQ771:$CQ773)&gt;$DS$1,$DS$5,DC774-1))</f>
        <v>-8</v>
      </c>
      <c r="DD773" s="61">
        <f>IF($CL774-$CL773&gt;1/24,#REF!,IF(SUM($CQ771:$CQ773)&gt;$DS$1,$DS$6,DD772-1))</f>
        <v>-3</v>
      </c>
      <c r="DE773" s="18" t="b">
        <v>0</v>
      </c>
      <c r="DF773" s="2" t="b">
        <f>IF(OR(RecData[[#This Row],[WSpd_Avg '[m/s']]]-RecData[[#This Row],[Wind Speed min]]&gt;=$DF$3,RecData[[#This Row],[Wind Speed max]]-RecData[[#This Row],[WSpd_Avg '[m/s']]]&gt;=$DF$2),TRUE,FALSE)</f>
        <v>0</v>
      </c>
      <c r="DG773" s="2" t="b">
        <f>RecData[[#This Row],[Temperature '[°C']]]&lt;=-20</f>
        <v>0</v>
      </c>
      <c r="DH773" s="18" t="b">
        <f>NOT(OR(MOD(RecData[[#This Row],[TIMESTAMP]],1)&gt;0.91632,MOD(RecData[[#This Row],[TIMESTAMP]],1)&lt;0.208681))</f>
        <v>0</v>
      </c>
      <c r="DI773" s="18" t="b">
        <f>RecData[[#This Row],[Overall (dBA)]]-RecData[[#This Row],[L90]]&gt;=$DS$4</f>
        <v>0</v>
      </c>
      <c r="DJ773" s="18" t="b">
        <f>RecData[[#This Row],[Overall (dBA)]]&gt;$DS$2</f>
        <v>0</v>
      </c>
      <c r="DK773" s="18" t="b">
        <f>RecData[[#This Row],[Overall (dBA)]]&lt;$DS$3</f>
        <v>0</v>
      </c>
      <c r="DL7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3" s="2">
        <f>IF(AND(RecData[[#This Row],[Turbines ON/OFF]] = "OFF", NOT(OR(RecData[[#This Row],[Junk?]]="YES",RecData[[#This Row],[Gust?]],RecData[[#This Row],[Rain?]:[Min SPL Threshold?]]))),1,0)</f>
        <v>1</v>
      </c>
      <c r="DN773" s="16">
        <f>RecData[[#This Row],[dBA Sum]]</f>
        <v>15.879176867986862</v>
      </c>
      <c r="DO773" s="16">
        <f>RecData[[#This Row],[LAF90.0]]</f>
        <v>21.8</v>
      </c>
      <c r="DP773" s="55" t="str">
        <f>IF(AND(RecData[[#This Row],[Useable TON Data?]],RecData[[#This Row],[Turbines ON/OFF]]="ON"),RecData[[#This Row],[dBA Sum]],"")</f>
        <v/>
      </c>
      <c r="DQ773" s="55">
        <f>IF(AND(RecData[[#This Row],[Useable Background Data?]],RecData[[#This Row],[Turbines ON/OFF]]="OFF"),RecData[[#This Row],[dBA Sum]],"")</f>
        <v>15.879176867986862</v>
      </c>
      <c r="DR773" s="3">
        <f>IF(OR(RecData[[#This Row],[Useable TON Data?]],RecData[[#This Row],[Useable Background Data?]]),ROUND(RecData[[#This Row],[WSpd_Avg '[m/s']]],0),"")</f>
        <v>1</v>
      </c>
      <c r="DS773" s="85">
        <f>(0.00002)^2*(10^(RecData[[#This Row],[Overall (dBA)]]/10))</f>
        <v>1.5487370148617996E-8</v>
      </c>
    </row>
    <row r="774" spans="1:123" ht="15" x14ac:dyDescent="0.25">
      <c r="A774" s="3" t="s">
        <v>249</v>
      </c>
      <c r="B774" s="12">
        <v>43272.972222222226</v>
      </c>
      <c r="C774" s="3"/>
      <c r="D774" s="3">
        <v>32.5</v>
      </c>
      <c r="E774" s="3"/>
      <c r="F774" s="3"/>
      <c r="G774" s="3"/>
      <c r="H774" s="3"/>
      <c r="I774" s="3"/>
      <c r="J774" s="3"/>
      <c r="K774" s="3">
        <v>22.7</v>
      </c>
      <c r="L774" s="3"/>
      <c r="M774" s="3"/>
      <c r="N774" s="3">
        <v>142.30000000000001</v>
      </c>
      <c r="O774" s="3"/>
      <c r="P774" s="3"/>
      <c r="Q774" s="3">
        <v>0.56000000000000005</v>
      </c>
      <c r="R774" s="3">
        <v>0.4</v>
      </c>
      <c r="S774" s="3">
        <v>0.6</v>
      </c>
      <c r="T774" s="3">
        <v>8.4</v>
      </c>
      <c r="U774" s="3">
        <v>75.3</v>
      </c>
      <c r="V774" s="3">
        <v>970.8</v>
      </c>
      <c r="W774" s="3">
        <v>0</v>
      </c>
      <c r="X774" s="3">
        <v>24.1</v>
      </c>
      <c r="Y774" s="3">
        <v>19.3</v>
      </c>
      <c r="Z774" s="3">
        <v>19.899999999999999</v>
      </c>
      <c r="AA774" s="3">
        <v>10.4</v>
      </c>
      <c r="AB774" s="3">
        <v>6.6</v>
      </c>
      <c r="AC774" s="3">
        <v>4.9000000000000004</v>
      </c>
      <c r="AD774" s="3">
        <v>7.8</v>
      </c>
      <c r="AE774" s="3">
        <v>8.3000000000000007</v>
      </c>
      <c r="AF774" s="3">
        <v>15.8</v>
      </c>
      <c r="AG774" s="3">
        <v>8.3000000000000007</v>
      </c>
      <c r="AH774" s="3">
        <v>7.5</v>
      </c>
      <c r="AI774" s="3">
        <v>8.1</v>
      </c>
      <c r="AJ774" s="3">
        <v>8.4</v>
      </c>
      <c r="AK774" s="3">
        <v>7.9</v>
      </c>
      <c r="AL774" s="3">
        <v>7.2</v>
      </c>
      <c r="AM774" s="3">
        <v>7.2</v>
      </c>
      <c r="AN774" s="3">
        <v>7.6</v>
      </c>
      <c r="AO774" s="3">
        <v>7.3</v>
      </c>
      <c r="AP774" s="3">
        <v>6.6</v>
      </c>
      <c r="AQ774" s="3">
        <v>6.5</v>
      </c>
      <c r="AR774" s="3">
        <v>5.9</v>
      </c>
      <c r="AS774" s="3">
        <v>19.100000000000001</v>
      </c>
      <c r="AT774" s="3">
        <v>30.9</v>
      </c>
      <c r="AU774" s="3">
        <v>10</v>
      </c>
      <c r="AV774" s="3">
        <v>8.1</v>
      </c>
      <c r="AW774" s="3">
        <v>8.6</v>
      </c>
      <c r="AX774" s="3">
        <v>8.8000000000000007</v>
      </c>
      <c r="AY774" s="3">
        <v>9.1</v>
      </c>
      <c r="AZ774" s="3">
        <v>0</v>
      </c>
      <c r="BA774" s="3">
        <v>0</v>
      </c>
      <c r="BB774" s="3">
        <v>0</v>
      </c>
      <c r="BC774" s="3">
        <v>32.56527778717399</v>
      </c>
      <c r="BD774" s="3">
        <v>24.034722212826011</v>
      </c>
      <c r="BE774" s="3">
        <v>19.234722212826007</v>
      </c>
      <c r="BF774" s="3">
        <v>18.594722212826007</v>
      </c>
      <c r="BG774" s="3">
        <v>9.4213888794926746</v>
      </c>
      <c r="BH774" s="3">
        <v>5.761388879492678</v>
      </c>
      <c r="BI774" s="3">
        <v>4.4747222128260091</v>
      </c>
      <c r="BJ774" s="3">
        <v>8.1680555461593443</v>
      </c>
      <c r="BK774" s="3">
        <v>8.541388879492672</v>
      </c>
      <c r="BL774" s="3">
        <v>15.61472221282601</v>
      </c>
      <c r="BM774" s="3">
        <v>8.2480555461593426</v>
      </c>
      <c r="BN774" s="3">
        <v>7.7313888794926768</v>
      </c>
      <c r="BO774" s="3">
        <v>7.6980555461593454</v>
      </c>
      <c r="BP774" s="3">
        <v>7.7147222128260111</v>
      </c>
      <c r="BQ774" s="3">
        <v>7.6313888794926683</v>
      </c>
      <c r="BR774" s="3">
        <v>7.2580555461593477</v>
      </c>
      <c r="BS774" s="3">
        <v>7.0613888794926751</v>
      </c>
      <c r="BT774" s="3">
        <v>7.6580555461593462</v>
      </c>
      <c r="BU774" s="3">
        <v>7.3247222128260105</v>
      </c>
      <c r="BV774" s="3">
        <v>6.3413888794926763</v>
      </c>
      <c r="BW774" s="3">
        <v>6.7747222128260134</v>
      </c>
      <c r="BX774" s="3">
        <v>6.0947222128260137</v>
      </c>
      <c r="BY774" s="3">
        <v>19.11472221282601</v>
      </c>
      <c r="BZ774" s="3">
        <v>31.044722212826009</v>
      </c>
      <c r="CA774" s="3">
        <v>10.244722212826005</v>
      </c>
      <c r="CB774" s="3">
        <v>7.781388879492674</v>
      </c>
      <c r="CC774" s="3">
        <v>8.4947222128260123</v>
      </c>
      <c r="CD774" s="3">
        <v>8.00138887949268</v>
      </c>
      <c r="CE774" s="3">
        <v>8.4947222128260123</v>
      </c>
      <c r="CF774" s="3">
        <v>-0.99194445384065588</v>
      </c>
      <c r="CG774" s="3">
        <v>-1.5252777871739873</v>
      </c>
      <c r="CH774" s="3">
        <v>-2.6019444538406553</v>
      </c>
      <c r="CI774" s="13">
        <f>[1]!dbasum(RecData[[#This Row],[20]:[2000]],RecData[[#Headers],[20]:[2000]])</f>
        <v>15.811430012522711</v>
      </c>
      <c r="CJ774" s="14">
        <v>9409</v>
      </c>
      <c r="CK774" s="15" t="s">
        <v>249</v>
      </c>
      <c r="CL774" s="15">
        <f>RecData[[#This Row],[Start Time]]</f>
        <v>43272.972222222226</v>
      </c>
      <c r="CM774" s="16">
        <f>RecData[[#This Row],[Wind Speed avg]]</f>
        <v>0.56000000000000005</v>
      </c>
      <c r="CN774" s="16">
        <f>RecData[[#This Row],[Wind Dir. avg]]</f>
        <v>142.30000000000001</v>
      </c>
      <c r="CO774" s="16">
        <f>RecData[[#This Row],[Amb. Humidity]]</f>
        <v>75.3</v>
      </c>
      <c r="CP774" s="16">
        <f>RecData[[#This Row],[Amb. Temperature]]</f>
        <v>8.4</v>
      </c>
      <c r="CQ774" s="17">
        <f>RecData[[#This Row],[Amb. Rain Gauge]]</f>
        <v>0</v>
      </c>
      <c r="CR774" s="4" t="s">
        <v>50</v>
      </c>
      <c r="CS774" s="4" t="s">
        <v>49</v>
      </c>
      <c r="CT774" s="70">
        <v>-9.3189630508422798</v>
      </c>
      <c r="CU774" s="70">
        <v>230.55734252929599</v>
      </c>
      <c r="CV774" s="70">
        <v>1.74359250068664</v>
      </c>
      <c r="CW774" s="70">
        <v>0</v>
      </c>
      <c r="CX774" s="109"/>
      <c r="CY774" s="110"/>
      <c r="CZ774" s="2" t="b">
        <f>IF($DP$1="YES",IF(RecData[[#This Row],[Power (kW)]]&gt;=$CR$3, TRUE,FALSE),TRUE)</f>
        <v>0</v>
      </c>
      <c r="DA774" s="16">
        <f>MIN(MOD(180-ABS(ABS($DA$1-RecData[Yaw Angle (°)])-180),360),MOD(180-ABS(ABS($DB$1-RecData[Yaw Angle (°)])-180),360))</f>
        <v>136.97258424839157</v>
      </c>
      <c r="DB774" s="2" t="str">
        <f>IF($DP$2="None","None",IF(RecData[[#This Row],[Relative Wind Direction]]&lt;=45,"DW",IF(RecData[[#This Row],[Relative Wind Direction]]&lt;=135,"CW","UW")))</f>
        <v>UW</v>
      </c>
      <c r="DC774" s="61">
        <f>IF($CL774-$CL771&gt;1/24,#REF!,IF(SUM($CQ771:$CQ774)&gt;$DS$1,$DS$5,DC775-1))</f>
        <v>-7</v>
      </c>
      <c r="DD774" s="61">
        <f>IF($CL775-$CL774&gt;1/24,#REF!,IF(SUM($CQ771:$CQ774)&gt;$DS$1,$DS$6,DD773-1))</f>
        <v>-4</v>
      </c>
      <c r="DE774" s="18" t="b">
        <v>0</v>
      </c>
      <c r="DF774" s="2" t="b">
        <f>IF(OR(RecData[[#This Row],[WSpd_Avg '[m/s']]]-RecData[[#This Row],[Wind Speed min]]&gt;=$DF$3,RecData[[#This Row],[Wind Speed max]]-RecData[[#This Row],[WSpd_Avg '[m/s']]]&gt;=$DF$2),TRUE,FALSE)</f>
        <v>0</v>
      </c>
      <c r="DG774" s="2" t="b">
        <f>RecData[[#This Row],[Temperature '[°C']]]&lt;=-20</f>
        <v>0</v>
      </c>
      <c r="DH774" s="18" t="b">
        <f>NOT(OR(MOD(RecData[[#This Row],[TIMESTAMP]],1)&gt;0.91632,MOD(RecData[[#This Row],[TIMESTAMP]],1)&lt;0.208681))</f>
        <v>0</v>
      </c>
      <c r="DI774" s="18" t="b">
        <f>RecData[[#This Row],[Overall (dBA)]]-RecData[[#This Row],[L90]]&gt;=$DS$4</f>
        <v>0</v>
      </c>
      <c r="DJ774" s="18" t="b">
        <f>RecData[[#This Row],[Overall (dBA)]]&gt;$DS$2</f>
        <v>0</v>
      </c>
      <c r="DK774" s="18" t="b">
        <f>RecData[[#This Row],[Overall (dBA)]]&lt;$DS$3</f>
        <v>0</v>
      </c>
      <c r="DL7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4" s="2">
        <f>IF(AND(RecData[[#This Row],[Turbines ON/OFF]] = "OFF", NOT(OR(RecData[[#This Row],[Junk?]]="YES",RecData[[#This Row],[Gust?]],RecData[[#This Row],[Rain?]:[Min SPL Threshold?]]))),1,0)</f>
        <v>1</v>
      </c>
      <c r="DN774" s="16">
        <f>RecData[[#This Row],[dBA Sum]]</f>
        <v>15.811430012522711</v>
      </c>
      <c r="DO774" s="16">
        <f>RecData[[#This Row],[LAF90.0]]</f>
        <v>22.7</v>
      </c>
      <c r="DP774" s="55" t="str">
        <f>IF(AND(RecData[[#This Row],[Useable TON Data?]],RecData[[#This Row],[Turbines ON/OFF]]="ON"),RecData[[#This Row],[dBA Sum]],"")</f>
        <v/>
      </c>
      <c r="DQ774" s="55">
        <f>IF(AND(RecData[[#This Row],[Useable Background Data?]],RecData[[#This Row],[Turbines ON/OFF]]="OFF"),RecData[[#This Row],[dBA Sum]],"")</f>
        <v>15.811430012522711</v>
      </c>
      <c r="DR774" s="3">
        <f>IF(OR(RecData[[#This Row],[Useable TON Data?]],RecData[[#This Row],[Useable Background Data?]]),ROUND(RecData[[#This Row],[WSpd_Avg '[m/s']]],0),"")</f>
        <v>1</v>
      </c>
      <c r="DS774" s="85">
        <f>(0.00002)^2*(10^(RecData[[#This Row],[Overall (dBA)]]/10))</f>
        <v>1.5247652742790194E-8</v>
      </c>
    </row>
    <row r="775" spans="1:123" ht="15" x14ac:dyDescent="0.25">
      <c r="A775" s="3" t="s">
        <v>249</v>
      </c>
      <c r="B775" s="12">
        <v>43272.972916666666</v>
      </c>
      <c r="C775" s="3"/>
      <c r="D775" s="3">
        <v>31.5</v>
      </c>
      <c r="E775" s="3"/>
      <c r="F775" s="3"/>
      <c r="G775" s="3"/>
      <c r="H775" s="3"/>
      <c r="I775" s="3"/>
      <c r="J775" s="3"/>
      <c r="K775" s="3">
        <v>22.3</v>
      </c>
      <c r="L775" s="3"/>
      <c r="M775" s="3"/>
      <c r="N775" s="3">
        <v>139.69999999999999</v>
      </c>
      <c r="O775" s="3"/>
      <c r="P775" s="3"/>
      <c r="Q775" s="3">
        <v>0.61</v>
      </c>
      <c r="R775" s="3">
        <v>0.4</v>
      </c>
      <c r="S775" s="3">
        <v>0.7</v>
      </c>
      <c r="T775" s="3">
        <v>8.4</v>
      </c>
      <c r="U775" s="3">
        <v>77.7</v>
      </c>
      <c r="V775" s="3">
        <v>970.8</v>
      </c>
      <c r="W775" s="3">
        <v>0</v>
      </c>
      <c r="X775" s="3">
        <v>22.3</v>
      </c>
      <c r="Y775" s="3">
        <v>18.8</v>
      </c>
      <c r="Z775" s="3">
        <v>18.600000000000001</v>
      </c>
      <c r="AA775" s="3">
        <v>12</v>
      </c>
      <c r="AB775" s="3">
        <v>8.6</v>
      </c>
      <c r="AC775" s="3">
        <v>7.9</v>
      </c>
      <c r="AD775" s="3">
        <v>11.5</v>
      </c>
      <c r="AE775" s="3">
        <v>12.3</v>
      </c>
      <c r="AF775" s="3">
        <v>16.399999999999999</v>
      </c>
      <c r="AG775" s="3">
        <v>23.8</v>
      </c>
      <c r="AH775" s="3">
        <v>14.5</v>
      </c>
      <c r="AI775" s="3">
        <v>9.6</v>
      </c>
      <c r="AJ775" s="3">
        <v>11.4</v>
      </c>
      <c r="AK775" s="3">
        <v>8.6</v>
      </c>
      <c r="AL775" s="3">
        <v>7.2</v>
      </c>
      <c r="AM775" s="3">
        <v>7.5</v>
      </c>
      <c r="AN775" s="3">
        <v>7.9</v>
      </c>
      <c r="AO775" s="3">
        <v>7.4</v>
      </c>
      <c r="AP775" s="3">
        <v>6.7</v>
      </c>
      <c r="AQ775" s="3">
        <v>6.7</v>
      </c>
      <c r="AR775" s="3">
        <v>6.2</v>
      </c>
      <c r="AS775" s="3">
        <v>17.899999999999999</v>
      </c>
      <c r="AT775" s="3">
        <v>29.8</v>
      </c>
      <c r="AU775" s="3">
        <v>9.5</v>
      </c>
      <c r="AV775" s="3">
        <v>8.1</v>
      </c>
      <c r="AW775" s="3">
        <v>8.6</v>
      </c>
      <c r="AX775" s="3">
        <v>8.8000000000000007</v>
      </c>
      <c r="AY775" s="3">
        <v>9.1</v>
      </c>
      <c r="AZ775" s="3">
        <v>0</v>
      </c>
      <c r="BA775" s="3">
        <v>0</v>
      </c>
      <c r="BB775" s="3">
        <v>0</v>
      </c>
      <c r="BC775" s="3">
        <v>31.558741361164657</v>
      </c>
      <c r="BD775" s="3">
        <v>22.24125863883534</v>
      </c>
      <c r="BE775" s="3">
        <v>18.74125863883534</v>
      </c>
      <c r="BF775" s="3">
        <v>17.301258638835343</v>
      </c>
      <c r="BG775" s="3">
        <v>11.027925305502009</v>
      </c>
      <c r="BH775" s="3">
        <v>7.7679253055020112</v>
      </c>
      <c r="BI775" s="3">
        <v>7.4812586388353424</v>
      </c>
      <c r="BJ775" s="3">
        <v>11.874591972168673</v>
      </c>
      <c r="BK775" s="3">
        <v>12.547925305502005</v>
      </c>
      <c r="BL775" s="3">
        <v>16.221258638835344</v>
      </c>
      <c r="BM775" s="3">
        <v>23.754591972168676</v>
      </c>
      <c r="BN775" s="3">
        <v>14.73792530550201</v>
      </c>
      <c r="BO775" s="3">
        <v>9.2045919721686786</v>
      </c>
      <c r="BP775" s="3">
        <v>10.721258638835344</v>
      </c>
      <c r="BQ775" s="3">
        <v>8.3379253055020044</v>
      </c>
      <c r="BR775" s="3">
        <v>7.2645919721686809</v>
      </c>
      <c r="BS775" s="3">
        <v>7.3679253055020126</v>
      </c>
      <c r="BT775" s="3">
        <v>7.9645919721686766</v>
      </c>
      <c r="BU775" s="3">
        <v>7.4312586388353452</v>
      </c>
      <c r="BV775" s="3">
        <v>6.4479253055020109</v>
      </c>
      <c r="BW775" s="3">
        <v>6.9812586388353495</v>
      </c>
      <c r="BX775" s="3">
        <v>6.4012586388353512</v>
      </c>
      <c r="BY775" s="3">
        <v>17.92125863883534</v>
      </c>
      <c r="BZ775" s="3">
        <v>29.951258638835348</v>
      </c>
      <c r="CA775" s="3">
        <v>9.7512586388353384</v>
      </c>
      <c r="CB775" s="3">
        <v>7.7879253055020072</v>
      </c>
      <c r="CC775" s="3">
        <v>8.5012586388353455</v>
      </c>
      <c r="CD775" s="3">
        <v>8.0079253055020132</v>
      </c>
      <c r="CE775" s="3">
        <v>8.5012586388353455</v>
      </c>
      <c r="CF775" s="3">
        <v>-0.98540802783132264</v>
      </c>
      <c r="CG775" s="3">
        <v>-1.5187413611646541</v>
      </c>
      <c r="CH775" s="3">
        <v>-2.5954080278313221</v>
      </c>
      <c r="CI775" s="13">
        <f>[1]!dbasum(RecData[[#This Row],[20]:[2000]],RecData[[#Headers],[20]:[2000]])</f>
        <v>17.388073685244468</v>
      </c>
      <c r="CJ775" s="14">
        <v>9410</v>
      </c>
      <c r="CK775" s="15" t="s">
        <v>249</v>
      </c>
      <c r="CL775" s="15">
        <f>RecData[[#This Row],[Start Time]]</f>
        <v>43272.972916666666</v>
      </c>
      <c r="CM775" s="16">
        <f>RecData[[#This Row],[Wind Speed avg]]</f>
        <v>0.61</v>
      </c>
      <c r="CN775" s="16">
        <f>RecData[[#This Row],[Wind Dir. avg]]</f>
        <v>139.69999999999999</v>
      </c>
      <c r="CO775" s="16">
        <f>RecData[[#This Row],[Amb. Humidity]]</f>
        <v>77.7</v>
      </c>
      <c r="CP775" s="16">
        <f>RecData[[#This Row],[Amb. Temperature]]</f>
        <v>8.4</v>
      </c>
      <c r="CQ775" s="17">
        <f>RecData[[#This Row],[Amb. Rain Gauge]]</f>
        <v>0</v>
      </c>
      <c r="CR775" s="4" t="s">
        <v>50</v>
      </c>
      <c r="CS775" s="4" t="s">
        <v>49</v>
      </c>
      <c r="CT775" s="70">
        <v>-9.0179882049560494</v>
      </c>
      <c r="CU775" s="70">
        <v>207.365966796875</v>
      </c>
      <c r="CV775" s="70">
        <v>2.0095751285552899</v>
      </c>
      <c r="CW775" s="70">
        <v>0</v>
      </c>
      <c r="CX775" s="109"/>
      <c r="CY775" s="110"/>
      <c r="CZ775" s="2" t="b">
        <f>IF($DP$1="YES",IF(RecData[[#This Row],[Power (kW)]]&gt;=$CR$3, TRUE,FALSE),TRUE)</f>
        <v>0</v>
      </c>
      <c r="DA775" s="16">
        <f>MIN(MOD(180-ABS(ABS($DA$1-RecData[Yaw Angle (°)])-180),360),MOD(180-ABS(ABS($DB$1-RecData[Yaw Angle (°)])-180),360))</f>
        <v>160.16395998081254</v>
      </c>
      <c r="DB775" s="2" t="str">
        <f>IF($DP$2="None","None",IF(RecData[[#This Row],[Relative Wind Direction]]&lt;=45,"DW",IF(RecData[[#This Row],[Relative Wind Direction]]&lt;=135,"CW","UW")))</f>
        <v>UW</v>
      </c>
      <c r="DC775" s="61">
        <f>IF($CL775-$CL771&gt;1/24,#REF!,IF(SUM($CQ771:$CQ775)&gt;$DS$1,$DS$5,DC776-1))</f>
        <v>-6</v>
      </c>
      <c r="DD775" s="61">
        <f>IF($CL776-$CL775&gt;1/24,#REF!,IF(SUM($CQ771:$CQ775)&gt;$DS$1,$DS$6,DD774-1))</f>
        <v>-5</v>
      </c>
      <c r="DE775" s="18" t="b">
        <v>0</v>
      </c>
      <c r="DF775" s="2" t="b">
        <f>IF(OR(RecData[[#This Row],[WSpd_Avg '[m/s']]]-RecData[[#This Row],[Wind Speed min]]&gt;=$DF$3,RecData[[#This Row],[Wind Speed max]]-RecData[[#This Row],[WSpd_Avg '[m/s']]]&gt;=$DF$2),TRUE,FALSE)</f>
        <v>0</v>
      </c>
      <c r="DG775" s="2" t="b">
        <f>RecData[[#This Row],[Temperature '[°C']]]&lt;=-20</f>
        <v>0</v>
      </c>
      <c r="DH775" s="18" t="b">
        <f>NOT(OR(MOD(RecData[[#This Row],[TIMESTAMP]],1)&gt;0.91632,MOD(RecData[[#This Row],[TIMESTAMP]],1)&lt;0.208681))</f>
        <v>0</v>
      </c>
      <c r="DI775" s="18" t="b">
        <f>RecData[[#This Row],[Overall (dBA)]]-RecData[[#This Row],[L90]]&gt;=$DS$4</f>
        <v>0</v>
      </c>
      <c r="DJ775" s="18" t="b">
        <f>RecData[[#This Row],[Overall (dBA)]]&gt;$DS$2</f>
        <v>0</v>
      </c>
      <c r="DK775" s="18" t="b">
        <f>RecData[[#This Row],[Overall (dBA)]]&lt;$DS$3</f>
        <v>0</v>
      </c>
      <c r="DL7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5" s="2">
        <f>IF(AND(RecData[[#This Row],[Turbines ON/OFF]] = "OFF", NOT(OR(RecData[[#This Row],[Junk?]]="YES",RecData[[#This Row],[Gust?]],RecData[[#This Row],[Rain?]:[Min SPL Threshold?]]))),1,0)</f>
        <v>1</v>
      </c>
      <c r="DN775" s="16">
        <f>RecData[[#This Row],[dBA Sum]]</f>
        <v>17.388073685244468</v>
      </c>
      <c r="DO775" s="16">
        <f>RecData[[#This Row],[LAF90.0]]</f>
        <v>22.3</v>
      </c>
      <c r="DP775" s="55" t="str">
        <f>IF(AND(RecData[[#This Row],[Useable TON Data?]],RecData[[#This Row],[Turbines ON/OFF]]="ON"),RecData[[#This Row],[dBA Sum]],"")</f>
        <v/>
      </c>
      <c r="DQ775" s="55">
        <f>IF(AND(RecData[[#This Row],[Useable Background Data?]],RecData[[#This Row],[Turbines ON/OFF]]="OFF"),RecData[[#This Row],[dBA Sum]],"")</f>
        <v>17.388073685244468</v>
      </c>
      <c r="DR775" s="3">
        <f>IF(OR(RecData[[#This Row],[Useable TON Data?]],RecData[[#This Row],[Useable Background Data?]]),ROUND(RecData[[#This Row],[WSpd_Avg '[m/s']]],0),"")</f>
        <v>1</v>
      </c>
      <c r="DS775" s="85">
        <f>(0.00002)^2*(10^(RecData[[#This Row],[Overall (dBA)]]/10))</f>
        <v>2.1921353215946088E-8</v>
      </c>
    </row>
    <row r="776" spans="1:123" ht="15" x14ac:dyDescent="0.25">
      <c r="A776" s="3" t="s">
        <v>249</v>
      </c>
      <c r="B776" s="12">
        <v>43272.973611111112</v>
      </c>
      <c r="C776" s="3"/>
      <c r="D776" s="3">
        <v>34.6</v>
      </c>
      <c r="E776" s="3"/>
      <c r="F776" s="3"/>
      <c r="G776" s="3"/>
      <c r="H776" s="3"/>
      <c r="I776" s="3"/>
      <c r="J776" s="3"/>
      <c r="K776" s="3">
        <v>27.9</v>
      </c>
      <c r="L776" s="3"/>
      <c r="M776" s="3"/>
      <c r="N776" s="3">
        <v>155.30000000000001</v>
      </c>
      <c r="O776" s="3"/>
      <c r="P776" s="3"/>
      <c r="Q776" s="3">
        <v>0.56000000000000005</v>
      </c>
      <c r="R776" s="3">
        <v>0.4</v>
      </c>
      <c r="S776" s="3">
        <v>0.7</v>
      </c>
      <c r="T776" s="3">
        <v>8.4</v>
      </c>
      <c r="U776" s="3">
        <v>78</v>
      </c>
      <c r="V776" s="3">
        <v>970.8</v>
      </c>
      <c r="W776" s="3">
        <v>0</v>
      </c>
      <c r="X776" s="3">
        <v>22.5</v>
      </c>
      <c r="Y776" s="3">
        <v>19.7</v>
      </c>
      <c r="Z776" s="3">
        <v>20</v>
      </c>
      <c r="AA776" s="3">
        <v>14.2</v>
      </c>
      <c r="AB776" s="3">
        <v>11.3</v>
      </c>
      <c r="AC776" s="3">
        <v>13.2</v>
      </c>
      <c r="AD776" s="3">
        <v>15.2</v>
      </c>
      <c r="AE776" s="3">
        <v>25.3</v>
      </c>
      <c r="AF776" s="3">
        <v>46.5</v>
      </c>
      <c r="AG776" s="3">
        <v>38.4</v>
      </c>
      <c r="AH776" s="3">
        <v>18.100000000000001</v>
      </c>
      <c r="AI776" s="3">
        <v>29.2</v>
      </c>
      <c r="AJ776" s="3">
        <v>19.7</v>
      </c>
      <c r="AK776" s="3">
        <v>15.5</v>
      </c>
      <c r="AL776" s="3">
        <v>8.5</v>
      </c>
      <c r="AM776" s="3">
        <v>11.4</v>
      </c>
      <c r="AN776" s="3">
        <v>10.199999999999999</v>
      </c>
      <c r="AO776" s="3">
        <v>9.6999999999999993</v>
      </c>
      <c r="AP776" s="3">
        <v>9.4</v>
      </c>
      <c r="AQ776" s="3">
        <v>6.8</v>
      </c>
      <c r="AR776" s="3">
        <v>6.2</v>
      </c>
      <c r="AS776" s="3">
        <v>19.5</v>
      </c>
      <c r="AT776" s="3">
        <v>29.3</v>
      </c>
      <c r="AU776" s="3">
        <v>9.1</v>
      </c>
      <c r="AV776" s="3">
        <v>8.1999999999999993</v>
      </c>
      <c r="AW776" s="3">
        <v>8.6999999999999993</v>
      </c>
      <c r="AX776" s="3">
        <v>8.8000000000000007</v>
      </c>
      <c r="AY776" s="3">
        <v>9.1</v>
      </c>
      <c r="AZ776" s="3">
        <v>0</v>
      </c>
      <c r="BA776" s="3">
        <v>0</v>
      </c>
      <c r="BB776" s="3">
        <v>0</v>
      </c>
      <c r="BC776" s="3">
        <v>34.597762526383995</v>
      </c>
      <c r="BD776" s="3">
        <v>22.502237473616006</v>
      </c>
      <c r="BE776" s="3">
        <v>19.702237473616002</v>
      </c>
      <c r="BF776" s="3">
        <v>18.762237473616004</v>
      </c>
      <c r="BG776" s="3">
        <v>13.288904140282668</v>
      </c>
      <c r="BH776" s="3">
        <v>10.528904140282677</v>
      </c>
      <c r="BI776" s="3">
        <v>12.842237473616002</v>
      </c>
      <c r="BJ776" s="3">
        <v>15.635570806949339</v>
      </c>
      <c r="BK776" s="3">
        <v>25.608904140282668</v>
      </c>
      <c r="BL776" s="3">
        <v>46.382237473616009</v>
      </c>
      <c r="BM776" s="3">
        <v>38.41557080694934</v>
      </c>
      <c r="BN776" s="3">
        <v>18.398904140282674</v>
      </c>
      <c r="BO776" s="3">
        <v>28.865570806949343</v>
      </c>
      <c r="BP776" s="3">
        <v>19.082237473616004</v>
      </c>
      <c r="BQ776" s="3">
        <v>15.298904140282666</v>
      </c>
      <c r="BR776" s="3">
        <v>8.6255708069493409</v>
      </c>
      <c r="BS776" s="3">
        <v>11.328904140282674</v>
      </c>
      <c r="BT776" s="3">
        <v>10.325570806949337</v>
      </c>
      <c r="BU776" s="3">
        <v>9.7922374736160052</v>
      </c>
      <c r="BV776" s="3">
        <v>9.2089041402826766</v>
      </c>
      <c r="BW776" s="3">
        <v>7.1422374736160066</v>
      </c>
      <c r="BX776" s="3">
        <v>6.462237473616014</v>
      </c>
      <c r="BY776" s="3">
        <v>19.582237473616004</v>
      </c>
      <c r="BZ776" s="3">
        <v>29.512237473616018</v>
      </c>
      <c r="CA776" s="3">
        <v>9.4122374736159955</v>
      </c>
      <c r="CB776" s="3">
        <v>7.9489041402826714</v>
      </c>
      <c r="CC776" s="3">
        <v>8.6622374736160026</v>
      </c>
      <c r="CD776" s="3">
        <v>8.068904140282676</v>
      </c>
      <c r="CE776" s="3">
        <v>8.5622374736160012</v>
      </c>
      <c r="CF776" s="3">
        <v>-0.9244291930506634</v>
      </c>
      <c r="CG776" s="3">
        <v>-1.4577625263839948</v>
      </c>
      <c r="CH776" s="3">
        <v>-2.5344291930506628</v>
      </c>
      <c r="CI776" s="13">
        <f>[1]!dbasum(RecData[[#This Row],[20]:[2000]],RecData[[#Headers],[20]:[2000]])</f>
        <v>31.956212528794673</v>
      </c>
      <c r="CJ776" s="14">
        <v>9411</v>
      </c>
      <c r="CK776" s="15" t="s">
        <v>249</v>
      </c>
      <c r="CL776" s="15">
        <f>RecData[[#This Row],[Start Time]]</f>
        <v>43272.973611111112</v>
      </c>
      <c r="CM776" s="16">
        <f>RecData[[#This Row],[Wind Speed avg]]</f>
        <v>0.56000000000000005</v>
      </c>
      <c r="CN776" s="16">
        <f>RecData[[#This Row],[Wind Dir. avg]]</f>
        <v>155.30000000000001</v>
      </c>
      <c r="CO776" s="16">
        <f>RecData[[#This Row],[Amb. Humidity]]</f>
        <v>78</v>
      </c>
      <c r="CP776" s="16">
        <f>RecData[[#This Row],[Amb. Temperature]]</f>
        <v>8.4</v>
      </c>
      <c r="CQ776" s="17">
        <f>RecData[[#This Row],[Amb. Rain Gauge]]</f>
        <v>0</v>
      </c>
      <c r="CR776" s="4" t="s">
        <v>50</v>
      </c>
      <c r="CS776" s="4" t="s">
        <v>49</v>
      </c>
      <c r="CT776" s="70">
        <v>-9.0179882049560494</v>
      </c>
      <c r="CU776" s="70">
        <v>207.365966796875</v>
      </c>
      <c r="CV776" s="70">
        <v>2.0095751285552899</v>
      </c>
      <c r="CW776" s="70">
        <v>0</v>
      </c>
      <c r="CX776" s="109"/>
      <c r="CY776" s="110"/>
      <c r="CZ776" s="2" t="b">
        <f>IF($DP$1="YES",IF(RecData[[#This Row],[Power (kW)]]&gt;=$CR$3, TRUE,FALSE),TRUE)</f>
        <v>0</v>
      </c>
      <c r="DA776" s="16">
        <f>MIN(MOD(180-ABS(ABS($DA$1-RecData[Yaw Angle (°)])-180),360),MOD(180-ABS(ABS($DB$1-RecData[Yaw Angle (°)])-180),360))</f>
        <v>160.16395998081254</v>
      </c>
      <c r="DB776" s="2" t="str">
        <f>IF($DP$2="None","None",IF(RecData[[#This Row],[Relative Wind Direction]]&lt;=45,"DW",IF(RecData[[#This Row],[Relative Wind Direction]]&lt;=135,"CW","UW")))</f>
        <v>UW</v>
      </c>
      <c r="DC776" s="61">
        <f>IF($CL776-$CL772&gt;1/24,#REF!,IF(SUM($CQ772:$CQ776)&gt;$DS$1,$DS$5,DC777-1))</f>
        <v>-5</v>
      </c>
      <c r="DD776" s="61">
        <f>IF($CL777-$CL776&gt;1/24,#REF!,IF(SUM($CQ772:$CQ776)&gt;$DS$1,$DS$6,DD775-1))</f>
        <v>-6</v>
      </c>
      <c r="DE776" s="18" t="b">
        <v>0</v>
      </c>
      <c r="DF776" s="2" t="b">
        <f>IF(OR(RecData[[#This Row],[WSpd_Avg '[m/s']]]-RecData[[#This Row],[Wind Speed min]]&gt;=$DF$3,RecData[[#This Row],[Wind Speed max]]-RecData[[#This Row],[WSpd_Avg '[m/s']]]&gt;=$DF$2),TRUE,FALSE)</f>
        <v>0</v>
      </c>
      <c r="DG776" s="2" t="b">
        <f>RecData[[#This Row],[Temperature '[°C']]]&lt;=-20</f>
        <v>0</v>
      </c>
      <c r="DH776" s="18" t="b">
        <f>NOT(OR(MOD(RecData[[#This Row],[TIMESTAMP]],1)&gt;0.91632,MOD(RecData[[#This Row],[TIMESTAMP]],1)&lt;0.208681))</f>
        <v>0</v>
      </c>
      <c r="DI776" s="18" t="b">
        <f>RecData[[#This Row],[Overall (dBA)]]-RecData[[#This Row],[L90]]&gt;=$DS$4</f>
        <v>0</v>
      </c>
      <c r="DJ776" s="18" t="b">
        <f>RecData[[#This Row],[Overall (dBA)]]&gt;$DS$2</f>
        <v>0</v>
      </c>
      <c r="DK776" s="18" t="b">
        <f>RecData[[#This Row],[Overall (dBA)]]&lt;$DS$3</f>
        <v>0</v>
      </c>
      <c r="DL7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6" s="2">
        <f>IF(AND(RecData[[#This Row],[Turbines ON/OFF]] = "OFF", NOT(OR(RecData[[#This Row],[Junk?]]="YES",RecData[[#This Row],[Gust?]],RecData[[#This Row],[Rain?]:[Min SPL Threshold?]]))),1,0)</f>
        <v>1</v>
      </c>
      <c r="DN776" s="16">
        <f>RecData[[#This Row],[dBA Sum]]</f>
        <v>31.956212528794673</v>
      </c>
      <c r="DO776" s="16">
        <f>RecData[[#This Row],[LAF90.0]]</f>
        <v>27.9</v>
      </c>
      <c r="DP776" s="55" t="str">
        <f>IF(AND(RecData[[#This Row],[Useable TON Data?]],RecData[[#This Row],[Turbines ON/OFF]]="ON"),RecData[[#This Row],[dBA Sum]],"")</f>
        <v/>
      </c>
      <c r="DQ776" s="55">
        <f>IF(AND(RecData[[#This Row],[Useable Background Data?]],RecData[[#This Row],[Turbines ON/OFF]]="OFF"),RecData[[#This Row],[dBA Sum]],"")</f>
        <v>31.956212528794673</v>
      </c>
      <c r="DR776" s="3">
        <f>IF(OR(RecData[[#This Row],[Useable TON Data?]],RecData[[#This Row],[Useable Background Data?]]),ROUND(RecData[[#This Row],[WSpd_Avg '[m/s']]],0),"")</f>
        <v>1</v>
      </c>
      <c r="DS776" s="85">
        <f>(0.00002)^2*(10^(RecData[[#This Row],[Overall (dBA)]]/10))</f>
        <v>6.2759755675932709E-7</v>
      </c>
    </row>
    <row r="777" spans="1:123" ht="15" x14ac:dyDescent="0.25">
      <c r="A777" s="3" t="s">
        <v>249</v>
      </c>
      <c r="B777" s="12">
        <v>43272.974305555559</v>
      </c>
      <c r="C777" s="3"/>
      <c r="D777" s="3">
        <v>34.299999999999997</v>
      </c>
      <c r="E777" s="3"/>
      <c r="F777" s="3"/>
      <c r="G777" s="3"/>
      <c r="H777" s="3"/>
      <c r="I777" s="3"/>
      <c r="J777" s="3"/>
      <c r="K777" s="3">
        <v>24.5</v>
      </c>
      <c r="L777" s="3"/>
      <c r="M777" s="3"/>
      <c r="N777" s="3">
        <v>154.1</v>
      </c>
      <c r="O777" s="3"/>
      <c r="P777" s="3"/>
      <c r="Q777" s="3">
        <v>0.57999999999999996</v>
      </c>
      <c r="R777" s="3">
        <v>0.5</v>
      </c>
      <c r="S777" s="3">
        <v>0.7</v>
      </c>
      <c r="T777" s="3">
        <v>8.4</v>
      </c>
      <c r="U777" s="3">
        <v>77.099999999999994</v>
      </c>
      <c r="V777" s="3">
        <v>970.8</v>
      </c>
      <c r="W777" s="3">
        <v>0</v>
      </c>
      <c r="X777" s="3">
        <v>21.3</v>
      </c>
      <c r="Y777" s="3">
        <v>20.6</v>
      </c>
      <c r="Z777" s="3">
        <v>18.399999999999999</v>
      </c>
      <c r="AA777" s="3">
        <v>10.6</v>
      </c>
      <c r="AB777" s="3">
        <v>9</v>
      </c>
      <c r="AC777" s="3">
        <v>9.6</v>
      </c>
      <c r="AD777" s="3">
        <v>16.600000000000001</v>
      </c>
      <c r="AE777" s="3">
        <v>41.7</v>
      </c>
      <c r="AF777" s="3">
        <v>38.299999999999997</v>
      </c>
      <c r="AG777" s="3">
        <v>17.600000000000001</v>
      </c>
      <c r="AH777" s="3">
        <v>24.5</v>
      </c>
      <c r="AI777" s="3">
        <v>19.5</v>
      </c>
      <c r="AJ777" s="3">
        <v>14.6</v>
      </c>
      <c r="AK777" s="3">
        <v>14.7</v>
      </c>
      <c r="AL777" s="3">
        <v>8.8000000000000007</v>
      </c>
      <c r="AM777" s="3">
        <v>13.7</v>
      </c>
      <c r="AN777" s="3">
        <v>11.4</v>
      </c>
      <c r="AO777" s="3">
        <v>10.199999999999999</v>
      </c>
      <c r="AP777" s="3">
        <v>10</v>
      </c>
      <c r="AQ777" s="3">
        <v>6.8</v>
      </c>
      <c r="AR777" s="3">
        <v>6.1</v>
      </c>
      <c r="AS777" s="3">
        <v>19.600000000000001</v>
      </c>
      <c r="AT777" s="3">
        <v>31.9</v>
      </c>
      <c r="AU777" s="3">
        <v>9.9</v>
      </c>
      <c r="AV777" s="3">
        <v>8.1999999999999993</v>
      </c>
      <c r="AW777" s="3">
        <v>8.6999999999999993</v>
      </c>
      <c r="AX777" s="3">
        <v>8.9</v>
      </c>
      <c r="AY777" s="3">
        <v>9.1999999999999993</v>
      </c>
      <c r="AZ777" s="3">
        <v>0</v>
      </c>
      <c r="BA777" s="3">
        <v>0</v>
      </c>
      <c r="BB777" s="3">
        <v>0</v>
      </c>
      <c r="BC777" s="3">
        <v>34.249326745694219</v>
      </c>
      <c r="BD777" s="3">
        <v>21.350673254305775</v>
      </c>
      <c r="BE777" s="3">
        <v>20.650673254305779</v>
      </c>
      <c r="BF777" s="3">
        <v>17.210673254305775</v>
      </c>
      <c r="BG777" s="3">
        <v>9.7373399209724454</v>
      </c>
      <c r="BH777" s="3">
        <v>8.2773399209724445</v>
      </c>
      <c r="BI777" s="3">
        <v>9.2906732543057799</v>
      </c>
      <c r="BJ777" s="3">
        <v>17.084006587639109</v>
      </c>
      <c r="BK777" s="3">
        <v>42.057339920972453</v>
      </c>
      <c r="BL777" s="3">
        <v>38.230673254305771</v>
      </c>
      <c r="BM777" s="3">
        <v>17.664006587639115</v>
      </c>
      <c r="BN777" s="3">
        <v>24.847339920972445</v>
      </c>
      <c r="BO777" s="3">
        <v>19.214006587639119</v>
      </c>
      <c r="BP777" s="3">
        <v>14.030673254305782</v>
      </c>
      <c r="BQ777" s="3">
        <v>14.547339920972433</v>
      </c>
      <c r="BR777" s="3">
        <v>8.97400658763911</v>
      </c>
      <c r="BS777" s="3">
        <v>13.677339920972443</v>
      </c>
      <c r="BT777" s="3">
        <v>11.574006587639111</v>
      </c>
      <c r="BU777" s="3">
        <v>10.340673254305784</v>
      </c>
      <c r="BV777" s="3">
        <v>9.8573399209724428</v>
      </c>
      <c r="BW777" s="3">
        <v>7.1906732543057785</v>
      </c>
      <c r="BX777" s="3">
        <v>6.4106732543057845</v>
      </c>
      <c r="BY777" s="3">
        <v>19.730673254305778</v>
      </c>
      <c r="BZ777" s="3">
        <v>32.160673254305777</v>
      </c>
      <c r="CA777" s="3">
        <v>10.260673254305772</v>
      </c>
      <c r="CB777" s="3">
        <v>7.9973399209724434</v>
      </c>
      <c r="CC777" s="3">
        <v>8.7106732543057745</v>
      </c>
      <c r="CD777" s="3">
        <v>8.2173399209724494</v>
      </c>
      <c r="CE777" s="3">
        <v>8.7106732543057745</v>
      </c>
      <c r="CF777" s="3">
        <v>-0.87599341236089145</v>
      </c>
      <c r="CG777" s="3">
        <v>-1.4093267456942229</v>
      </c>
      <c r="CH777" s="3">
        <v>-2.4859934123608873</v>
      </c>
      <c r="CI777" s="13">
        <f>[1]!dbasum(RecData[[#This Row],[20]:[2000]],RecData[[#Headers],[20]:[2000]])</f>
        <v>26.762554580181693</v>
      </c>
      <c r="CJ777" s="14">
        <v>9412</v>
      </c>
      <c r="CK777" s="15" t="s">
        <v>249</v>
      </c>
      <c r="CL777" s="15">
        <f>RecData[[#This Row],[Start Time]]</f>
        <v>43272.974305555559</v>
      </c>
      <c r="CM777" s="16">
        <f>RecData[[#This Row],[Wind Speed avg]]</f>
        <v>0.57999999999999996</v>
      </c>
      <c r="CN777" s="16">
        <f>RecData[[#This Row],[Wind Dir. avg]]</f>
        <v>154.1</v>
      </c>
      <c r="CO777" s="16">
        <f>RecData[[#This Row],[Amb. Humidity]]</f>
        <v>77.099999999999994</v>
      </c>
      <c r="CP777" s="16">
        <f>RecData[[#This Row],[Amb. Temperature]]</f>
        <v>8.4</v>
      </c>
      <c r="CQ777" s="17">
        <f>RecData[[#This Row],[Amb. Rain Gauge]]</f>
        <v>0</v>
      </c>
      <c r="CR777" s="4" t="s">
        <v>50</v>
      </c>
      <c r="CS777" s="4" t="s">
        <v>49</v>
      </c>
      <c r="CT777" s="70">
        <v>-9.0179882049560494</v>
      </c>
      <c r="CU777" s="70">
        <v>207.365966796875</v>
      </c>
      <c r="CV777" s="70">
        <v>2.0095751285552899</v>
      </c>
      <c r="CW777" s="70">
        <v>0</v>
      </c>
      <c r="CX777" s="109"/>
      <c r="CY777" s="110"/>
      <c r="CZ777" s="2" t="b">
        <f>IF($DP$1="YES",IF(RecData[[#This Row],[Power (kW)]]&gt;=$CR$3, TRUE,FALSE),TRUE)</f>
        <v>0</v>
      </c>
      <c r="DA777" s="16">
        <f>MIN(MOD(180-ABS(ABS($DA$1-RecData[Yaw Angle (°)])-180),360),MOD(180-ABS(ABS($DB$1-RecData[Yaw Angle (°)])-180),360))</f>
        <v>160.16395998081254</v>
      </c>
      <c r="DB777" s="2" t="str">
        <f>IF($DP$2="None","None",IF(RecData[[#This Row],[Relative Wind Direction]]&lt;=45,"DW",IF(RecData[[#This Row],[Relative Wind Direction]]&lt;=135,"CW","UW")))</f>
        <v>UW</v>
      </c>
      <c r="DC777" s="61">
        <f>IF($CL777-$CL773&gt;1/24,#REF!,IF(SUM($CQ773:$CQ777)&gt;$DS$1,$DS$5,DC778-1))</f>
        <v>-4</v>
      </c>
      <c r="DD777" s="61">
        <f>IF($CL778-$CL777&gt;1/24,#REF!,IF(SUM($CQ773:$CQ777)&gt;$DS$1,$DS$6,DD776-1))</f>
        <v>-7</v>
      </c>
      <c r="DE777" s="18" t="b">
        <v>0</v>
      </c>
      <c r="DF777" s="2" t="b">
        <f>IF(OR(RecData[[#This Row],[WSpd_Avg '[m/s']]]-RecData[[#This Row],[Wind Speed min]]&gt;=$DF$3,RecData[[#This Row],[Wind Speed max]]-RecData[[#This Row],[WSpd_Avg '[m/s']]]&gt;=$DF$2),TRUE,FALSE)</f>
        <v>0</v>
      </c>
      <c r="DG777" s="2" t="b">
        <f>RecData[[#This Row],[Temperature '[°C']]]&lt;=-20</f>
        <v>0</v>
      </c>
      <c r="DH777" s="18" t="b">
        <f>NOT(OR(MOD(RecData[[#This Row],[TIMESTAMP]],1)&gt;0.91632,MOD(RecData[[#This Row],[TIMESTAMP]],1)&lt;0.208681))</f>
        <v>0</v>
      </c>
      <c r="DI777" s="18" t="b">
        <f>RecData[[#This Row],[Overall (dBA)]]-RecData[[#This Row],[L90]]&gt;=$DS$4</f>
        <v>0</v>
      </c>
      <c r="DJ777" s="18" t="b">
        <f>RecData[[#This Row],[Overall (dBA)]]&gt;$DS$2</f>
        <v>0</v>
      </c>
      <c r="DK777" s="18" t="b">
        <f>RecData[[#This Row],[Overall (dBA)]]&lt;$DS$3</f>
        <v>0</v>
      </c>
      <c r="DL7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7" s="2">
        <f>IF(AND(RecData[[#This Row],[Turbines ON/OFF]] = "OFF", NOT(OR(RecData[[#This Row],[Junk?]]="YES",RecData[[#This Row],[Gust?]],RecData[[#This Row],[Rain?]:[Min SPL Threshold?]]))),1,0)</f>
        <v>1</v>
      </c>
      <c r="DN777" s="16">
        <f>RecData[[#This Row],[dBA Sum]]</f>
        <v>26.762554580181693</v>
      </c>
      <c r="DO777" s="16">
        <f>RecData[[#This Row],[LAF90.0]]</f>
        <v>24.5</v>
      </c>
      <c r="DP777" s="55" t="str">
        <f>IF(AND(RecData[[#This Row],[Useable TON Data?]],RecData[[#This Row],[Turbines ON/OFF]]="ON"),RecData[[#This Row],[dBA Sum]],"")</f>
        <v/>
      </c>
      <c r="DQ777" s="55">
        <f>IF(AND(RecData[[#This Row],[Useable Background Data?]],RecData[[#This Row],[Turbines ON/OFF]]="OFF"),RecData[[#This Row],[dBA Sum]],"")</f>
        <v>26.762554580181693</v>
      </c>
      <c r="DR777" s="3">
        <f>IF(OR(RecData[[#This Row],[Useable TON Data?]],RecData[[#This Row],[Useable Background Data?]]),ROUND(RecData[[#This Row],[WSpd_Avg '[m/s']]],0),"")</f>
        <v>1</v>
      </c>
      <c r="DS777" s="85">
        <f>(0.00002)^2*(10^(RecData[[#This Row],[Overall (dBA)]]/10))</f>
        <v>1.8980840920441195E-7</v>
      </c>
    </row>
    <row r="778" spans="1:123" ht="15" x14ac:dyDescent="0.25">
      <c r="A778" s="3" t="s">
        <v>249</v>
      </c>
      <c r="B778" s="12">
        <v>43272.975000000006</v>
      </c>
      <c r="C778" s="3"/>
      <c r="D778" s="3">
        <v>33.1</v>
      </c>
      <c r="E778" s="3"/>
      <c r="F778" s="3"/>
      <c r="G778" s="3"/>
      <c r="H778" s="3"/>
      <c r="I778" s="3"/>
      <c r="J778" s="3"/>
      <c r="K778" s="3">
        <v>21.7</v>
      </c>
      <c r="L778" s="3"/>
      <c r="M778" s="3"/>
      <c r="N778" s="3">
        <v>161.30000000000001</v>
      </c>
      <c r="O778" s="3"/>
      <c r="P778" s="3"/>
      <c r="Q778" s="3">
        <v>0.62</v>
      </c>
      <c r="R778" s="3">
        <v>0.5</v>
      </c>
      <c r="S778" s="3">
        <v>0.7</v>
      </c>
      <c r="T778" s="3">
        <v>8.4</v>
      </c>
      <c r="U778" s="3">
        <v>75.7</v>
      </c>
      <c r="V778" s="3">
        <v>970.8</v>
      </c>
      <c r="W778" s="3">
        <v>0</v>
      </c>
      <c r="X778" s="3">
        <v>21.3</v>
      </c>
      <c r="Y778" s="3">
        <v>17.3</v>
      </c>
      <c r="Z778" s="3">
        <v>17.8</v>
      </c>
      <c r="AA778" s="3">
        <v>9.1999999999999993</v>
      </c>
      <c r="AB778" s="3">
        <v>6.9</v>
      </c>
      <c r="AC778" s="3">
        <v>5.9</v>
      </c>
      <c r="AD778" s="3">
        <v>18.100000000000001</v>
      </c>
      <c r="AE778" s="3">
        <v>19.899999999999999</v>
      </c>
      <c r="AF778" s="3">
        <v>10.5</v>
      </c>
      <c r="AG778" s="3">
        <v>11</v>
      </c>
      <c r="AH778" s="3">
        <v>9.5</v>
      </c>
      <c r="AI778" s="3">
        <v>8.8000000000000007</v>
      </c>
      <c r="AJ778" s="3">
        <v>9</v>
      </c>
      <c r="AK778" s="3">
        <v>8.3000000000000007</v>
      </c>
      <c r="AL778" s="3">
        <v>7.4</v>
      </c>
      <c r="AM778" s="3">
        <v>7.3</v>
      </c>
      <c r="AN778" s="3">
        <v>7.9</v>
      </c>
      <c r="AO778" s="3">
        <v>7.5</v>
      </c>
      <c r="AP778" s="3">
        <v>6.8</v>
      </c>
      <c r="AQ778" s="3">
        <v>6.7</v>
      </c>
      <c r="AR778" s="3">
        <v>6.3</v>
      </c>
      <c r="AS778" s="3">
        <v>22.2</v>
      </c>
      <c r="AT778" s="3">
        <v>31.2</v>
      </c>
      <c r="AU778" s="3">
        <v>9.5</v>
      </c>
      <c r="AV778" s="3">
        <v>8.1</v>
      </c>
      <c r="AW778" s="3">
        <v>8.6</v>
      </c>
      <c r="AX778" s="3">
        <v>8.8000000000000007</v>
      </c>
      <c r="AY778" s="3">
        <v>9.1</v>
      </c>
      <c r="AZ778" s="3">
        <v>0</v>
      </c>
      <c r="BA778" s="3">
        <v>0</v>
      </c>
      <c r="BB778" s="3">
        <v>0</v>
      </c>
      <c r="BC778" s="3">
        <v>33.089582211306812</v>
      </c>
      <c r="BD778" s="3">
        <v>21.310417788693194</v>
      </c>
      <c r="BE778" s="3">
        <v>17.310417788693194</v>
      </c>
      <c r="BF778" s="3">
        <v>16.570417788693192</v>
      </c>
      <c r="BG778" s="3">
        <v>8.2970844553598511</v>
      </c>
      <c r="BH778" s="3">
        <v>6.1370844553598616</v>
      </c>
      <c r="BI778" s="3">
        <v>5.5504177886931885</v>
      </c>
      <c r="BJ778" s="3">
        <v>18.543751122026528</v>
      </c>
      <c r="BK778" s="3">
        <v>20.217084455359846</v>
      </c>
      <c r="BL778" s="3">
        <v>10.390417788693192</v>
      </c>
      <c r="BM778" s="3">
        <v>11.023751122026525</v>
      </c>
      <c r="BN778" s="3">
        <v>9.8070844553598562</v>
      </c>
      <c r="BO778" s="3">
        <v>8.4737511220265276</v>
      </c>
      <c r="BP778" s="3">
        <v>8.3904177886931919</v>
      </c>
      <c r="BQ778" s="3">
        <v>8.1070844553598462</v>
      </c>
      <c r="BR778" s="3">
        <v>7.5337511220265228</v>
      </c>
      <c r="BS778" s="3">
        <v>7.2370844553598559</v>
      </c>
      <c r="BT778" s="3">
        <v>8.0337511220265228</v>
      </c>
      <c r="BU778" s="3">
        <v>7.6004177886931927</v>
      </c>
      <c r="BV778" s="3">
        <v>6.6170844553598585</v>
      </c>
      <c r="BW778" s="3">
        <v>7.0504177886931956</v>
      </c>
      <c r="BX778" s="3">
        <v>6.5704177886931916</v>
      </c>
      <c r="BY778" s="3">
        <v>22.290417788693183</v>
      </c>
      <c r="BZ778" s="3">
        <v>31.420417788693193</v>
      </c>
      <c r="CA778" s="3">
        <v>9.8204177886931845</v>
      </c>
      <c r="CB778" s="3">
        <v>7.8570844553598533</v>
      </c>
      <c r="CC778" s="3">
        <v>8.5704177886931845</v>
      </c>
      <c r="CD778" s="3">
        <v>8.0770844553598593</v>
      </c>
      <c r="CE778" s="3">
        <v>8.5704177886931845</v>
      </c>
      <c r="CF778" s="3">
        <v>-0.91624887797348009</v>
      </c>
      <c r="CG778" s="3">
        <v>-1.449582211306808</v>
      </c>
      <c r="CH778" s="3">
        <v>-2.526248877973476</v>
      </c>
      <c r="CI778" s="13">
        <f>[1]!dbasum(RecData[[#This Row],[20]:[2000]],RecData[[#Headers],[20]:[2000]])</f>
        <v>16.301319260386542</v>
      </c>
      <c r="CJ778" s="14">
        <v>9413</v>
      </c>
      <c r="CK778" s="15" t="s">
        <v>249</v>
      </c>
      <c r="CL778" s="15">
        <f>RecData[[#This Row],[Start Time]]</f>
        <v>43272.975000000006</v>
      </c>
      <c r="CM778" s="16">
        <f>RecData[[#This Row],[Wind Speed avg]]</f>
        <v>0.62</v>
      </c>
      <c r="CN778" s="16">
        <f>RecData[[#This Row],[Wind Dir. avg]]</f>
        <v>161.30000000000001</v>
      </c>
      <c r="CO778" s="16">
        <f>RecData[[#This Row],[Amb. Humidity]]</f>
        <v>75.7</v>
      </c>
      <c r="CP778" s="16">
        <f>RecData[[#This Row],[Amb. Temperature]]</f>
        <v>8.4</v>
      </c>
      <c r="CQ778" s="17">
        <f>RecData[[#This Row],[Amb. Rain Gauge]]</f>
        <v>0</v>
      </c>
      <c r="CR778" s="4" t="s">
        <v>50</v>
      </c>
      <c r="CS778" s="4" t="s">
        <v>49</v>
      </c>
      <c r="CT778" s="70">
        <v>-9.0179882049560494</v>
      </c>
      <c r="CU778" s="70">
        <v>207.365966796875</v>
      </c>
      <c r="CV778" s="70">
        <v>2.0095751285552899</v>
      </c>
      <c r="CW778" s="70">
        <v>0</v>
      </c>
      <c r="CX778" s="109"/>
      <c r="CY778" s="110"/>
      <c r="CZ778" s="2" t="b">
        <f>IF($DP$1="YES",IF(RecData[[#This Row],[Power (kW)]]&gt;=$CR$3, TRUE,FALSE),TRUE)</f>
        <v>0</v>
      </c>
      <c r="DA778" s="16">
        <f>MIN(MOD(180-ABS(ABS($DA$1-RecData[Yaw Angle (°)])-180),360),MOD(180-ABS(ABS($DB$1-RecData[Yaw Angle (°)])-180),360))</f>
        <v>160.16395998081254</v>
      </c>
      <c r="DB778" s="2" t="str">
        <f>IF($DP$2="None","None",IF(RecData[[#This Row],[Relative Wind Direction]]&lt;=45,"DW",IF(RecData[[#This Row],[Relative Wind Direction]]&lt;=135,"CW","UW")))</f>
        <v>UW</v>
      </c>
      <c r="DC778" s="61">
        <f>IF($CL778-$CL774&gt;1/24,#REF!,IF(SUM($CQ774:$CQ778)&gt;$DS$1,$DS$5,DC779-1))</f>
        <v>-3</v>
      </c>
      <c r="DD778" s="61">
        <f>IF($CL779-$CL778&gt;1/24,#REF!,IF(SUM($CQ774:$CQ778)&gt;$DS$1,$DS$6,DD777-1))</f>
        <v>-8</v>
      </c>
      <c r="DE778" s="18" t="b">
        <v>0</v>
      </c>
      <c r="DF778" s="2" t="b">
        <f>IF(OR(RecData[[#This Row],[WSpd_Avg '[m/s']]]-RecData[[#This Row],[Wind Speed min]]&gt;=$DF$3,RecData[[#This Row],[Wind Speed max]]-RecData[[#This Row],[WSpd_Avg '[m/s']]]&gt;=$DF$2),TRUE,FALSE)</f>
        <v>0</v>
      </c>
      <c r="DG778" s="2" t="b">
        <f>RecData[[#This Row],[Temperature '[°C']]]&lt;=-20</f>
        <v>0</v>
      </c>
      <c r="DH778" s="18" t="b">
        <f>NOT(OR(MOD(RecData[[#This Row],[TIMESTAMP]],1)&gt;0.91632,MOD(RecData[[#This Row],[TIMESTAMP]],1)&lt;0.208681))</f>
        <v>0</v>
      </c>
      <c r="DI778" s="18" t="b">
        <f>RecData[[#This Row],[Overall (dBA)]]-RecData[[#This Row],[L90]]&gt;=$DS$4</f>
        <v>0</v>
      </c>
      <c r="DJ778" s="18" t="b">
        <f>RecData[[#This Row],[Overall (dBA)]]&gt;$DS$2</f>
        <v>0</v>
      </c>
      <c r="DK778" s="18" t="b">
        <f>RecData[[#This Row],[Overall (dBA)]]&lt;$DS$3</f>
        <v>0</v>
      </c>
      <c r="DL7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8" s="2">
        <f>IF(AND(RecData[[#This Row],[Turbines ON/OFF]] = "OFF", NOT(OR(RecData[[#This Row],[Junk?]]="YES",RecData[[#This Row],[Gust?]],RecData[[#This Row],[Rain?]:[Min SPL Threshold?]]))),1,0)</f>
        <v>1</v>
      </c>
      <c r="DN778" s="16">
        <f>RecData[[#This Row],[dBA Sum]]</f>
        <v>16.301319260386542</v>
      </c>
      <c r="DO778" s="16">
        <f>RecData[[#This Row],[LAF90.0]]</f>
        <v>21.7</v>
      </c>
      <c r="DP778" s="55" t="str">
        <f>IF(AND(RecData[[#This Row],[Useable TON Data?]],RecData[[#This Row],[Turbines ON/OFF]]="ON"),RecData[[#This Row],[dBA Sum]],"")</f>
        <v/>
      </c>
      <c r="DQ778" s="55">
        <f>IF(AND(RecData[[#This Row],[Useable Background Data?]],RecData[[#This Row],[Turbines ON/OFF]]="OFF"),RecData[[#This Row],[dBA Sum]],"")</f>
        <v>16.301319260386542</v>
      </c>
      <c r="DR778" s="3">
        <f>IF(OR(RecData[[#This Row],[Useable TON Data?]],RecData[[#This Row],[Useable Background Data?]]),ROUND(RecData[[#This Row],[WSpd_Avg '[m/s']]],0),"")</f>
        <v>1</v>
      </c>
      <c r="DS778" s="85">
        <f>(0.00002)^2*(10^(RecData[[#This Row],[Overall (dBA)]]/10))</f>
        <v>1.7068364837696627E-8</v>
      </c>
    </row>
    <row r="779" spans="1:123" ht="15" x14ac:dyDescent="0.25">
      <c r="A779" s="3" t="s">
        <v>249</v>
      </c>
      <c r="B779" s="12">
        <v>43272.975694444445</v>
      </c>
      <c r="C779" s="3"/>
      <c r="D779" s="3">
        <v>31</v>
      </c>
      <c r="E779" s="3"/>
      <c r="F779" s="3"/>
      <c r="G779" s="3"/>
      <c r="H779" s="3"/>
      <c r="I779" s="3"/>
      <c r="J779" s="3"/>
      <c r="K779" s="3">
        <v>21.2</v>
      </c>
      <c r="L779" s="3"/>
      <c r="M779" s="3"/>
      <c r="N779" s="3">
        <v>162.6</v>
      </c>
      <c r="O779" s="3"/>
      <c r="P779" s="3"/>
      <c r="Q779" s="3">
        <v>0.62</v>
      </c>
      <c r="R779" s="3">
        <v>0.2</v>
      </c>
      <c r="S779" s="3">
        <v>0.8</v>
      </c>
      <c r="T779" s="3">
        <v>8.3000000000000007</v>
      </c>
      <c r="U779" s="3">
        <v>76.900000000000006</v>
      </c>
      <c r="V779" s="3">
        <v>970.8</v>
      </c>
      <c r="W779" s="3">
        <v>0</v>
      </c>
      <c r="X779" s="3">
        <v>23.2</v>
      </c>
      <c r="Y779" s="3">
        <v>18.5</v>
      </c>
      <c r="Z779" s="3">
        <v>17.399999999999999</v>
      </c>
      <c r="AA779" s="3">
        <v>10</v>
      </c>
      <c r="AB779" s="3">
        <v>7</v>
      </c>
      <c r="AC779" s="3">
        <v>5.9</v>
      </c>
      <c r="AD779" s="3">
        <v>10.3</v>
      </c>
      <c r="AE779" s="3">
        <v>7.7</v>
      </c>
      <c r="AF779" s="3">
        <v>11.4</v>
      </c>
      <c r="AG779" s="3">
        <v>8.5</v>
      </c>
      <c r="AH779" s="3">
        <v>7.8</v>
      </c>
      <c r="AI779" s="3">
        <v>8.4</v>
      </c>
      <c r="AJ779" s="3">
        <v>8.1999999999999993</v>
      </c>
      <c r="AK779" s="3">
        <v>8.1999999999999993</v>
      </c>
      <c r="AL779" s="3">
        <v>7.1</v>
      </c>
      <c r="AM779" s="3">
        <v>7.2</v>
      </c>
      <c r="AN779" s="3">
        <v>7.7</v>
      </c>
      <c r="AO779" s="3">
        <v>7.5</v>
      </c>
      <c r="AP779" s="3">
        <v>6.7</v>
      </c>
      <c r="AQ779" s="3">
        <v>6.6</v>
      </c>
      <c r="AR779" s="3">
        <v>6.1</v>
      </c>
      <c r="AS779" s="3">
        <v>22.8</v>
      </c>
      <c r="AT779" s="3">
        <v>28.5</v>
      </c>
      <c r="AU779" s="3">
        <v>8.3000000000000007</v>
      </c>
      <c r="AV779" s="3">
        <v>8</v>
      </c>
      <c r="AW779" s="3">
        <v>8.6</v>
      </c>
      <c r="AX779" s="3">
        <v>8.8000000000000007</v>
      </c>
      <c r="AY779" s="3">
        <v>9.1</v>
      </c>
      <c r="AZ779" s="3">
        <v>0</v>
      </c>
      <c r="BA779" s="3">
        <v>0</v>
      </c>
      <c r="BB779" s="3">
        <v>0</v>
      </c>
      <c r="BC779" s="3">
        <v>31.002068690822799</v>
      </c>
      <c r="BD779" s="3">
        <v>23.197931309177203</v>
      </c>
      <c r="BE779" s="3">
        <v>18.497931309177201</v>
      </c>
      <c r="BF779" s="3">
        <v>16.157931309177197</v>
      </c>
      <c r="BG779" s="3">
        <v>9.0845979758438666</v>
      </c>
      <c r="BH779" s="3">
        <v>6.2245979758438672</v>
      </c>
      <c r="BI779" s="3">
        <v>5.5379313091771998</v>
      </c>
      <c r="BJ779" s="3">
        <v>10.731264642510535</v>
      </c>
      <c r="BK779" s="3">
        <v>8.0045979758438612</v>
      </c>
      <c r="BL779" s="3">
        <v>11.277931309177202</v>
      </c>
      <c r="BM779" s="3">
        <v>8.511264642510536</v>
      </c>
      <c r="BN779" s="3">
        <v>8.0945979758438646</v>
      </c>
      <c r="BO779" s="3">
        <v>8.0612646425105332</v>
      </c>
      <c r="BP779" s="3">
        <v>7.5779313091771989</v>
      </c>
      <c r="BQ779" s="3">
        <v>7.9945979758438561</v>
      </c>
      <c r="BR779" s="3">
        <v>7.2212646425105369</v>
      </c>
      <c r="BS779" s="3">
        <v>7.1245979758438658</v>
      </c>
      <c r="BT779" s="3">
        <v>7.8212646425105383</v>
      </c>
      <c r="BU779" s="3">
        <v>7.587931309177204</v>
      </c>
      <c r="BV779" s="3">
        <v>6.5045979758438683</v>
      </c>
      <c r="BW779" s="3">
        <v>6.9379313091772055</v>
      </c>
      <c r="BX779" s="3">
        <v>6.3579313091772072</v>
      </c>
      <c r="BY779" s="3">
        <v>22.877931309177196</v>
      </c>
      <c r="BZ779" s="3">
        <v>28.707931309177209</v>
      </c>
      <c r="CA779" s="3">
        <v>8.607931309177193</v>
      </c>
      <c r="CB779" s="3">
        <v>7.7445979758438632</v>
      </c>
      <c r="CC779" s="3">
        <v>8.5579313091772029</v>
      </c>
      <c r="CD779" s="3">
        <v>8.0645979758438706</v>
      </c>
      <c r="CE779" s="3">
        <v>8.5579313091772029</v>
      </c>
      <c r="CF779" s="3">
        <v>-0.92873535748946523</v>
      </c>
      <c r="CG779" s="3">
        <v>-1.4620686908227967</v>
      </c>
      <c r="CH779" s="3">
        <v>-2.5387353574894647</v>
      </c>
      <c r="CI779" s="13">
        <f>[1]!dbasum(RecData[[#This Row],[20]:[2000]],RecData[[#Headers],[20]:[2000]])</f>
        <v>15.926924265279624</v>
      </c>
      <c r="CJ779" s="14">
        <v>9414</v>
      </c>
      <c r="CK779" s="15" t="s">
        <v>249</v>
      </c>
      <c r="CL779" s="15">
        <f>RecData[[#This Row],[Start Time]]</f>
        <v>43272.975694444445</v>
      </c>
      <c r="CM779" s="16">
        <f>RecData[[#This Row],[Wind Speed avg]]</f>
        <v>0.62</v>
      </c>
      <c r="CN779" s="16">
        <f>RecData[[#This Row],[Wind Dir. avg]]</f>
        <v>162.6</v>
      </c>
      <c r="CO779" s="16">
        <f>RecData[[#This Row],[Amb. Humidity]]</f>
        <v>76.900000000000006</v>
      </c>
      <c r="CP779" s="16">
        <f>RecData[[#This Row],[Amb. Temperature]]</f>
        <v>8.3000000000000007</v>
      </c>
      <c r="CQ779" s="17">
        <f>RecData[[#This Row],[Amb. Rain Gauge]]</f>
        <v>0</v>
      </c>
      <c r="CR779" s="4" t="s">
        <v>50</v>
      </c>
      <c r="CS779" s="4" t="s">
        <v>49</v>
      </c>
      <c r="CT779" s="70">
        <v>-9.0179882049560494</v>
      </c>
      <c r="CU779" s="70">
        <v>207.365966796875</v>
      </c>
      <c r="CV779" s="70">
        <v>2.0095751285552899</v>
      </c>
      <c r="CW779" s="70">
        <v>0</v>
      </c>
      <c r="CX779" s="109"/>
      <c r="CY779" s="110"/>
      <c r="CZ779" s="2" t="b">
        <f>IF($DP$1="YES",IF(RecData[[#This Row],[Power (kW)]]&gt;=$CR$3, TRUE,FALSE),TRUE)</f>
        <v>0</v>
      </c>
      <c r="DA779" s="16">
        <f>MIN(MOD(180-ABS(ABS($DA$1-RecData[Yaw Angle (°)])-180),360),MOD(180-ABS(ABS($DB$1-RecData[Yaw Angle (°)])-180),360))</f>
        <v>160.16395998081254</v>
      </c>
      <c r="DB779" s="2" t="str">
        <f>IF($DP$2="None","None",IF(RecData[[#This Row],[Relative Wind Direction]]&lt;=45,"DW",IF(RecData[[#This Row],[Relative Wind Direction]]&lt;=135,"CW","UW")))</f>
        <v>UW</v>
      </c>
      <c r="DC779" s="61">
        <f>IF($CL779-$CL775&gt;1/24,#REF!,IF(SUM($CQ775:$CQ779)&gt;$DS$1,$DS$5,DC780-1))</f>
        <v>-2</v>
      </c>
      <c r="DD779" s="61">
        <f>IF($CL780-$CL779&gt;1/24,#REF!,IF(SUM($CQ775:$CQ779)&gt;$DS$1,$DS$6,DD778-1))</f>
        <v>-9</v>
      </c>
      <c r="DE779" s="18" t="b">
        <v>0</v>
      </c>
      <c r="DF779" s="2" t="b">
        <f>IF(OR(RecData[[#This Row],[WSpd_Avg '[m/s']]]-RecData[[#This Row],[Wind Speed min]]&gt;=$DF$3,RecData[[#This Row],[Wind Speed max]]-RecData[[#This Row],[WSpd_Avg '[m/s']]]&gt;=$DF$2),TRUE,FALSE)</f>
        <v>0</v>
      </c>
      <c r="DG779" s="2" t="b">
        <f>RecData[[#This Row],[Temperature '[°C']]]&lt;=-20</f>
        <v>0</v>
      </c>
      <c r="DH779" s="18" t="b">
        <f>NOT(OR(MOD(RecData[[#This Row],[TIMESTAMP]],1)&gt;0.91632,MOD(RecData[[#This Row],[TIMESTAMP]],1)&lt;0.208681))</f>
        <v>0</v>
      </c>
      <c r="DI779" s="18" t="b">
        <f>RecData[[#This Row],[Overall (dBA)]]-RecData[[#This Row],[L90]]&gt;=$DS$4</f>
        <v>0</v>
      </c>
      <c r="DJ779" s="18" t="b">
        <f>RecData[[#This Row],[Overall (dBA)]]&gt;$DS$2</f>
        <v>0</v>
      </c>
      <c r="DK779" s="18" t="b">
        <f>RecData[[#This Row],[Overall (dBA)]]&lt;$DS$3</f>
        <v>0</v>
      </c>
      <c r="DL7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79" s="2">
        <f>IF(AND(RecData[[#This Row],[Turbines ON/OFF]] = "OFF", NOT(OR(RecData[[#This Row],[Junk?]]="YES",RecData[[#This Row],[Gust?]],RecData[[#This Row],[Rain?]:[Min SPL Threshold?]]))),1,0)</f>
        <v>1</v>
      </c>
      <c r="DN779" s="16">
        <f>RecData[[#This Row],[dBA Sum]]</f>
        <v>15.926924265279624</v>
      </c>
      <c r="DO779" s="16">
        <f>RecData[[#This Row],[LAF90.0]]</f>
        <v>21.2</v>
      </c>
      <c r="DP779" s="55" t="str">
        <f>IF(AND(RecData[[#This Row],[Useable TON Data?]],RecData[[#This Row],[Turbines ON/OFF]]="ON"),RecData[[#This Row],[dBA Sum]],"")</f>
        <v/>
      </c>
      <c r="DQ779" s="55">
        <f>IF(AND(RecData[[#This Row],[Useable Background Data?]],RecData[[#This Row],[Turbines ON/OFF]]="OFF"),RecData[[#This Row],[dBA Sum]],"")</f>
        <v>15.926924265279624</v>
      </c>
      <c r="DR779" s="3">
        <f>IF(OR(RecData[[#This Row],[Useable TON Data?]],RecData[[#This Row],[Useable Background Data?]]),ROUND(RecData[[#This Row],[WSpd_Avg '[m/s']]],0),"")</f>
        <v>1</v>
      </c>
      <c r="DS779" s="85">
        <f>(0.00002)^2*(10^(RecData[[#This Row],[Overall (dBA)]]/10))</f>
        <v>1.5658581528374034E-8</v>
      </c>
    </row>
    <row r="780" spans="1:123" ht="15" x14ac:dyDescent="0.25">
      <c r="A780" s="3" t="s">
        <v>249</v>
      </c>
      <c r="B780" s="12">
        <v>43272.976388888892</v>
      </c>
      <c r="C780" s="3"/>
      <c r="D780" s="3">
        <v>31.6</v>
      </c>
      <c r="E780" s="3"/>
      <c r="F780" s="3"/>
      <c r="G780" s="3"/>
      <c r="H780" s="3"/>
      <c r="I780" s="3"/>
      <c r="J780" s="3"/>
      <c r="K780" s="3">
        <v>21.5</v>
      </c>
      <c r="L780" s="3"/>
      <c r="M780" s="3"/>
      <c r="N780" s="3">
        <v>151.6</v>
      </c>
      <c r="O780" s="3"/>
      <c r="P780" s="3"/>
      <c r="Q780" s="3">
        <v>0.5</v>
      </c>
      <c r="R780" s="3">
        <v>0.2</v>
      </c>
      <c r="S780" s="3">
        <v>0.7</v>
      </c>
      <c r="T780" s="3">
        <v>8.3000000000000007</v>
      </c>
      <c r="U780" s="3">
        <v>77.2</v>
      </c>
      <c r="V780" s="3">
        <v>970.8</v>
      </c>
      <c r="W780" s="3">
        <v>0</v>
      </c>
      <c r="X780" s="3">
        <v>22.4</v>
      </c>
      <c r="Y780" s="3">
        <v>18.8</v>
      </c>
      <c r="Z780" s="3">
        <v>15.2</v>
      </c>
      <c r="AA780" s="3">
        <v>11.1</v>
      </c>
      <c r="AB780" s="3">
        <v>6.9</v>
      </c>
      <c r="AC780" s="3">
        <v>5.3</v>
      </c>
      <c r="AD780" s="3">
        <v>8.8000000000000007</v>
      </c>
      <c r="AE780" s="3">
        <v>7.4</v>
      </c>
      <c r="AF780" s="3">
        <v>11</v>
      </c>
      <c r="AG780" s="3">
        <v>15.1</v>
      </c>
      <c r="AH780" s="3">
        <v>12.3</v>
      </c>
      <c r="AI780" s="3">
        <v>9.5</v>
      </c>
      <c r="AJ780" s="3">
        <v>10.199999999999999</v>
      </c>
      <c r="AK780" s="3">
        <v>8.6</v>
      </c>
      <c r="AL780" s="3">
        <v>7.9</v>
      </c>
      <c r="AM780" s="3">
        <v>7.6</v>
      </c>
      <c r="AN780" s="3">
        <v>7.9</v>
      </c>
      <c r="AO780" s="3">
        <v>7.4</v>
      </c>
      <c r="AP780" s="3">
        <v>6.7</v>
      </c>
      <c r="AQ780" s="3">
        <v>6.7</v>
      </c>
      <c r="AR780" s="3">
        <v>6.1</v>
      </c>
      <c r="AS780" s="3">
        <v>20.2</v>
      </c>
      <c r="AT780" s="3">
        <v>29.7</v>
      </c>
      <c r="AU780" s="3">
        <v>8.6999999999999993</v>
      </c>
      <c r="AV780" s="3">
        <v>8.1</v>
      </c>
      <c r="AW780" s="3">
        <v>8.6</v>
      </c>
      <c r="AX780" s="3">
        <v>8.8000000000000007</v>
      </c>
      <c r="AY780" s="3">
        <v>9.1</v>
      </c>
      <c r="AZ780" s="3">
        <v>0</v>
      </c>
      <c r="BA780" s="3">
        <v>0</v>
      </c>
      <c r="BB780" s="3">
        <v>0</v>
      </c>
      <c r="BC780" s="3">
        <v>31.604271781828437</v>
      </c>
      <c r="BD780" s="3">
        <v>22.395728218171563</v>
      </c>
      <c r="BE780" s="3">
        <v>18.795728218171568</v>
      </c>
      <c r="BF780" s="3">
        <v>13.955728218171565</v>
      </c>
      <c r="BG780" s="3">
        <v>10.182394884838224</v>
      </c>
      <c r="BH780" s="3">
        <v>6.1223948848382364</v>
      </c>
      <c r="BI780" s="3">
        <v>4.9357282181715618</v>
      </c>
      <c r="BJ780" s="3">
        <v>9.2290615515048984</v>
      </c>
      <c r="BK780" s="3">
        <v>7.7023948848382275</v>
      </c>
      <c r="BL780" s="3">
        <v>10.875728218171567</v>
      </c>
      <c r="BM780" s="3">
        <v>15.109061551504901</v>
      </c>
      <c r="BN780" s="3">
        <v>12.592394884838235</v>
      </c>
      <c r="BO780" s="3">
        <v>9.1590615515048981</v>
      </c>
      <c r="BP780" s="3">
        <v>9.5757282181715624</v>
      </c>
      <c r="BQ780" s="3">
        <v>8.3923948848382182</v>
      </c>
      <c r="BR780" s="3">
        <v>8.0190615515048975</v>
      </c>
      <c r="BS780" s="3">
        <v>7.5223948848382278</v>
      </c>
      <c r="BT780" s="3">
        <v>8.0190615515048975</v>
      </c>
      <c r="BU780" s="3">
        <v>7.4857282181715661</v>
      </c>
      <c r="BV780" s="3">
        <v>6.5023948848382318</v>
      </c>
      <c r="BW780" s="3">
        <v>7.0357282181715703</v>
      </c>
      <c r="BX780" s="3">
        <v>6.3557282181715706</v>
      </c>
      <c r="BY780" s="3">
        <v>20.275728218171558</v>
      </c>
      <c r="BZ780" s="3">
        <v>29.905728218171568</v>
      </c>
      <c r="CA780" s="3">
        <v>9.005728218171555</v>
      </c>
      <c r="CB780" s="3">
        <v>7.8423948848382281</v>
      </c>
      <c r="CC780" s="3">
        <v>8.5557282181715593</v>
      </c>
      <c r="CD780" s="3">
        <v>8.0623948848382341</v>
      </c>
      <c r="CE780" s="3">
        <v>8.5557282181715593</v>
      </c>
      <c r="CF780" s="3">
        <v>-0.93093844849510177</v>
      </c>
      <c r="CG780" s="3">
        <v>-1.4642717818284332</v>
      </c>
      <c r="CH780" s="3">
        <v>-2.5409384484951012</v>
      </c>
      <c r="CI780" s="13">
        <f>[1]!dbasum(RecData[[#This Row],[20]:[2000]],RecData[[#Headers],[20]:[2000]])</f>
        <v>16.383413205693504</v>
      </c>
      <c r="CJ780" s="14">
        <v>9415</v>
      </c>
      <c r="CK780" s="15" t="s">
        <v>249</v>
      </c>
      <c r="CL780" s="15">
        <f>RecData[[#This Row],[Start Time]]</f>
        <v>43272.976388888892</v>
      </c>
      <c r="CM780" s="16">
        <f>RecData[[#This Row],[Wind Speed avg]]</f>
        <v>0.5</v>
      </c>
      <c r="CN780" s="16">
        <f>RecData[[#This Row],[Wind Dir. avg]]</f>
        <v>151.6</v>
      </c>
      <c r="CO780" s="16">
        <f>RecData[[#This Row],[Amb. Humidity]]</f>
        <v>77.2</v>
      </c>
      <c r="CP780" s="16">
        <f>RecData[[#This Row],[Amb. Temperature]]</f>
        <v>8.3000000000000007</v>
      </c>
      <c r="CQ780" s="17">
        <f>RecData[[#This Row],[Amb. Rain Gauge]]</f>
        <v>0</v>
      </c>
      <c r="CR780" s="4" t="s">
        <v>50</v>
      </c>
      <c r="CS780" s="4" t="s">
        <v>49</v>
      </c>
      <c r="CT780" s="70">
        <v>-9.0179882049560494</v>
      </c>
      <c r="CU780" s="70">
        <v>207.365966796875</v>
      </c>
      <c r="CV780" s="70">
        <v>2.0095751285552899</v>
      </c>
      <c r="CW780" s="70">
        <v>0</v>
      </c>
      <c r="CX780" s="109"/>
      <c r="CY780" s="110"/>
      <c r="CZ780" s="2" t="b">
        <f>IF($DP$1="YES",IF(RecData[[#This Row],[Power (kW)]]&gt;=$CR$3, TRUE,FALSE),TRUE)</f>
        <v>0</v>
      </c>
      <c r="DA780" s="16">
        <f>MIN(MOD(180-ABS(ABS($DA$1-RecData[Yaw Angle (°)])-180),360),MOD(180-ABS(ABS($DB$1-RecData[Yaw Angle (°)])-180),360))</f>
        <v>160.16395998081254</v>
      </c>
      <c r="DB780" s="2" t="str">
        <f>IF($DP$2="None","None",IF(RecData[[#This Row],[Relative Wind Direction]]&lt;=45,"DW",IF(RecData[[#This Row],[Relative Wind Direction]]&lt;=135,"CW","UW")))</f>
        <v>UW</v>
      </c>
      <c r="DC780" s="61">
        <v>-1</v>
      </c>
      <c r="DD780" s="61">
        <v>-1</v>
      </c>
      <c r="DE780" s="18" t="b">
        <v>0</v>
      </c>
      <c r="DF780" s="2" t="b">
        <f>IF(OR(RecData[[#This Row],[WSpd_Avg '[m/s']]]-RecData[[#This Row],[Wind Speed min]]&gt;=$DF$3,RecData[[#This Row],[Wind Speed max]]-RecData[[#This Row],[WSpd_Avg '[m/s']]]&gt;=$DF$2),TRUE,FALSE)</f>
        <v>0</v>
      </c>
      <c r="DG780" s="2" t="b">
        <f>RecData[[#This Row],[Temperature '[°C']]]&lt;=-20</f>
        <v>0</v>
      </c>
      <c r="DH780" s="18" t="b">
        <f>NOT(OR(MOD(RecData[[#This Row],[TIMESTAMP]],1)&gt;0.91632,MOD(RecData[[#This Row],[TIMESTAMP]],1)&lt;0.208681))</f>
        <v>0</v>
      </c>
      <c r="DI780" s="18" t="b">
        <f>RecData[[#This Row],[Overall (dBA)]]-RecData[[#This Row],[L90]]&gt;=$DS$4</f>
        <v>0</v>
      </c>
      <c r="DJ780" s="18" t="b">
        <f>RecData[[#This Row],[Overall (dBA)]]&gt;$DS$2</f>
        <v>0</v>
      </c>
      <c r="DK780" s="18" t="b">
        <f>RecData[[#This Row],[Overall (dBA)]]&lt;$DS$3</f>
        <v>0</v>
      </c>
      <c r="DL7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0" s="2">
        <f>IF(AND(RecData[[#This Row],[Turbines ON/OFF]] = "OFF", NOT(OR(RecData[[#This Row],[Junk?]]="YES",RecData[[#This Row],[Gust?]],RecData[[#This Row],[Rain?]:[Min SPL Threshold?]]))),1,0)</f>
        <v>1</v>
      </c>
      <c r="DN780" s="16">
        <f>RecData[[#This Row],[dBA Sum]]</f>
        <v>16.383413205693504</v>
      </c>
      <c r="DO780" s="16">
        <f>RecData[[#This Row],[LAF90.0]]</f>
        <v>21.5</v>
      </c>
      <c r="DP780" s="55" t="str">
        <f>IF(AND(RecData[[#This Row],[Useable TON Data?]],RecData[[#This Row],[Turbines ON/OFF]]="ON"),RecData[[#This Row],[dBA Sum]],"")</f>
        <v/>
      </c>
      <c r="DQ780" s="55">
        <f>IF(AND(RecData[[#This Row],[Useable Background Data?]],RecData[[#This Row],[Turbines ON/OFF]]="OFF"),RecData[[#This Row],[dBA Sum]],"")</f>
        <v>16.383413205693504</v>
      </c>
      <c r="DR780" s="3">
        <f>IF(OR(RecData[[#This Row],[Useable TON Data?]],RecData[[#This Row],[Useable Background Data?]]),ROUND(RecData[[#This Row],[WSpd_Avg '[m/s']]],0),"")</f>
        <v>1</v>
      </c>
      <c r="DS780" s="85">
        <f>(0.00002)^2*(10^(RecData[[#This Row],[Overall (dBA)]]/10))</f>
        <v>1.7394073940962942E-8</v>
      </c>
    </row>
    <row r="781" spans="1:123" ht="15" x14ac:dyDescent="0.25">
      <c r="A781" s="3" t="s">
        <v>249</v>
      </c>
      <c r="B781" s="12">
        <v>43272.977083333339</v>
      </c>
      <c r="C781" s="3"/>
      <c r="D781" s="3">
        <v>33.1</v>
      </c>
      <c r="E781" s="3"/>
      <c r="F781" s="3"/>
      <c r="G781" s="3"/>
      <c r="H781" s="3"/>
      <c r="I781" s="3"/>
      <c r="J781" s="3"/>
      <c r="K781" s="3">
        <v>21.9</v>
      </c>
      <c r="L781" s="3"/>
      <c r="M781" s="3"/>
      <c r="N781" s="3">
        <v>138.19999999999999</v>
      </c>
      <c r="O781" s="3"/>
      <c r="P781" s="3"/>
      <c r="Q781" s="3">
        <v>0.5</v>
      </c>
      <c r="R781" s="3">
        <v>0.4</v>
      </c>
      <c r="S781" s="3">
        <v>0.6</v>
      </c>
      <c r="T781" s="3">
        <v>8.3000000000000007</v>
      </c>
      <c r="U781" s="3">
        <v>76.2</v>
      </c>
      <c r="V781" s="3">
        <v>970.8</v>
      </c>
      <c r="W781" s="3">
        <v>0</v>
      </c>
      <c r="X781" s="3">
        <v>22</v>
      </c>
      <c r="Y781" s="3">
        <v>17.7</v>
      </c>
      <c r="Z781" s="3">
        <v>14.3</v>
      </c>
      <c r="AA781" s="3">
        <v>7.5</v>
      </c>
      <c r="AB781" s="3">
        <v>5.7</v>
      </c>
      <c r="AC781" s="3">
        <v>5.6</v>
      </c>
      <c r="AD781" s="3">
        <v>7.8</v>
      </c>
      <c r="AE781" s="3">
        <v>7.3</v>
      </c>
      <c r="AF781" s="3">
        <v>10.9</v>
      </c>
      <c r="AG781" s="3">
        <v>7.2</v>
      </c>
      <c r="AH781" s="3">
        <v>7.9</v>
      </c>
      <c r="AI781" s="3">
        <v>8.5</v>
      </c>
      <c r="AJ781" s="3">
        <v>8.8000000000000007</v>
      </c>
      <c r="AK781" s="3">
        <v>8</v>
      </c>
      <c r="AL781" s="3">
        <v>7.6</v>
      </c>
      <c r="AM781" s="3">
        <v>7.7</v>
      </c>
      <c r="AN781" s="3">
        <v>7.9</v>
      </c>
      <c r="AO781" s="3">
        <v>7.5</v>
      </c>
      <c r="AP781" s="3">
        <v>6.9</v>
      </c>
      <c r="AQ781" s="3">
        <v>6.9</v>
      </c>
      <c r="AR781" s="3">
        <v>6.3</v>
      </c>
      <c r="AS781" s="3">
        <v>26.4</v>
      </c>
      <c r="AT781" s="3">
        <v>30.1</v>
      </c>
      <c r="AU781" s="3">
        <v>8.9</v>
      </c>
      <c r="AV781" s="3">
        <v>8.1</v>
      </c>
      <c r="AW781" s="3">
        <v>8.6</v>
      </c>
      <c r="AX781" s="3">
        <v>8.8000000000000007</v>
      </c>
      <c r="AY781" s="3">
        <v>9.1</v>
      </c>
      <c r="AZ781" s="3">
        <v>0</v>
      </c>
      <c r="BA781" s="3">
        <v>0</v>
      </c>
      <c r="BB781" s="3">
        <v>0</v>
      </c>
      <c r="BC781" s="3">
        <v>33.026645287526527</v>
      </c>
      <c r="BD781" s="3">
        <v>22.073354712473474</v>
      </c>
      <c r="BE781" s="3">
        <v>17.77335471247347</v>
      </c>
      <c r="BF781" s="3">
        <v>13.133354712473476</v>
      </c>
      <c r="BG781" s="3">
        <v>6.6600213791401401</v>
      </c>
      <c r="BH781" s="3">
        <v>5.0000213791401436</v>
      </c>
      <c r="BI781" s="3">
        <v>5.3133547124734761</v>
      </c>
      <c r="BJ781" s="3">
        <v>8.3066880458068084</v>
      </c>
      <c r="BK781" s="3">
        <v>7.6800213791401362</v>
      </c>
      <c r="BL781" s="3">
        <v>10.853354712473475</v>
      </c>
      <c r="BM781" s="3">
        <v>7.2866880458068124</v>
      </c>
      <c r="BN781" s="3">
        <v>8.2700213791401396</v>
      </c>
      <c r="BO781" s="3">
        <v>8.2366880458068081</v>
      </c>
      <c r="BP781" s="3">
        <v>8.2533547124734739</v>
      </c>
      <c r="BQ781" s="3">
        <v>7.8700213791401339</v>
      </c>
      <c r="BR781" s="3">
        <v>7.7966880458068104</v>
      </c>
      <c r="BS781" s="3">
        <v>7.7000213791401393</v>
      </c>
      <c r="BT781" s="3">
        <v>8.0966880458068076</v>
      </c>
      <c r="BU781" s="3">
        <v>7.6633547124734775</v>
      </c>
      <c r="BV781" s="3">
        <v>6.7800213791401447</v>
      </c>
      <c r="BW781" s="3">
        <v>7.3133547124734761</v>
      </c>
      <c r="BX781" s="3">
        <v>6.6333547124734764</v>
      </c>
      <c r="BY781" s="3">
        <v>26.553354712473471</v>
      </c>
      <c r="BZ781" s="3">
        <v>30.383354712473484</v>
      </c>
      <c r="CA781" s="3">
        <v>9.2833547124734679</v>
      </c>
      <c r="CB781" s="3">
        <v>7.9200213791401382</v>
      </c>
      <c r="CC781" s="3">
        <v>8.6333547124734693</v>
      </c>
      <c r="CD781" s="3">
        <v>8.1400213791401441</v>
      </c>
      <c r="CE781" s="3">
        <v>8.6333547124734693</v>
      </c>
      <c r="CF781" s="3">
        <v>-0.85331195419319528</v>
      </c>
      <c r="CG781" s="3">
        <v>-1.3866452875265232</v>
      </c>
      <c r="CH781" s="3">
        <v>-2.4633119541931912</v>
      </c>
      <c r="CI781" s="13">
        <f>[1]!dbasum(RecData[[#This Row],[20]:[2000]],RecData[[#Headers],[20]:[2000]])</f>
        <v>16.203582400705248</v>
      </c>
      <c r="CJ781" s="14">
        <v>9416</v>
      </c>
      <c r="CK781" s="15" t="s">
        <v>249</v>
      </c>
      <c r="CL781" s="15">
        <f>RecData[[#This Row],[Start Time]]</f>
        <v>43272.977083333339</v>
      </c>
      <c r="CM781" s="16">
        <f>RecData[[#This Row],[Wind Speed avg]]</f>
        <v>0.5</v>
      </c>
      <c r="CN781" s="16">
        <f>RecData[[#This Row],[Wind Dir. avg]]</f>
        <v>138.19999999999999</v>
      </c>
      <c r="CO781" s="16">
        <f>RecData[[#This Row],[Amb. Humidity]]</f>
        <v>76.2</v>
      </c>
      <c r="CP781" s="16">
        <f>RecData[[#This Row],[Amb. Temperature]]</f>
        <v>8.3000000000000007</v>
      </c>
      <c r="CQ781" s="17">
        <f>RecData[[#This Row],[Amb. Rain Gauge]]</f>
        <v>0</v>
      </c>
      <c r="CR781" s="4" t="s">
        <v>50</v>
      </c>
      <c r="CS781" s="4" t="s">
        <v>49</v>
      </c>
      <c r="CT781" s="70">
        <v>-9.0179882049560494</v>
      </c>
      <c r="CU781" s="70">
        <v>207.365966796875</v>
      </c>
      <c r="CV781" s="70">
        <v>2.0095751285552899</v>
      </c>
      <c r="CW781" s="70">
        <v>0</v>
      </c>
      <c r="CX781" s="109"/>
      <c r="CY781" s="110"/>
      <c r="CZ781" s="2" t="b">
        <f>IF($DP$1="YES",IF(RecData[[#This Row],[Power (kW)]]&gt;=$CR$3, TRUE,FALSE),TRUE)</f>
        <v>0</v>
      </c>
      <c r="DA781" s="16">
        <f>MIN(MOD(180-ABS(ABS($DA$1-RecData[Yaw Angle (°)])-180),360),MOD(180-ABS(ABS($DB$1-RecData[Yaw Angle (°)])-180),360))</f>
        <v>160.16395998081254</v>
      </c>
      <c r="DB781" s="2" t="str">
        <f>IF($DP$2="None","None",IF(RecData[[#This Row],[Relative Wind Direction]]&lt;=45,"DW",IF(RecData[[#This Row],[Relative Wind Direction]]&lt;=135,"CW","UW")))</f>
        <v>UW</v>
      </c>
      <c r="DC781" s="61" t="e">
        <f>IF($CL781-$CL780&gt;1/24,#REF!,IF(SUM($CQ780:$CQ781)&gt;$DS$1,$DS$5,DC782-1))</f>
        <v>#REF!</v>
      </c>
      <c r="DD781" s="61">
        <f>IF($CL782-$CL781&gt;1/24,#REF!,IF(SUM($CQ780:$CQ781)&gt;$DS$1,$DS$6,DD780-1))</f>
        <v>-2</v>
      </c>
      <c r="DE781" s="18" t="b">
        <v>0</v>
      </c>
      <c r="DF781" s="2" t="b">
        <f>IF(OR(RecData[[#This Row],[WSpd_Avg '[m/s']]]-RecData[[#This Row],[Wind Speed min]]&gt;=$DF$3,RecData[[#This Row],[Wind Speed max]]-RecData[[#This Row],[WSpd_Avg '[m/s']]]&gt;=$DF$2),TRUE,FALSE)</f>
        <v>0</v>
      </c>
      <c r="DG781" s="2" t="b">
        <f>RecData[[#This Row],[Temperature '[°C']]]&lt;=-20</f>
        <v>0</v>
      </c>
      <c r="DH781" s="18" t="b">
        <f>NOT(OR(MOD(RecData[[#This Row],[TIMESTAMP]],1)&gt;0.91632,MOD(RecData[[#This Row],[TIMESTAMP]],1)&lt;0.208681))</f>
        <v>0</v>
      </c>
      <c r="DI781" s="18" t="b">
        <f>RecData[[#This Row],[Overall (dBA)]]-RecData[[#This Row],[L90]]&gt;=$DS$4</f>
        <v>0</v>
      </c>
      <c r="DJ781" s="18" t="b">
        <f>RecData[[#This Row],[Overall (dBA)]]&gt;$DS$2</f>
        <v>0</v>
      </c>
      <c r="DK781" s="18" t="b">
        <f>RecData[[#This Row],[Overall (dBA)]]&lt;$DS$3</f>
        <v>0</v>
      </c>
      <c r="DL7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1" s="2">
        <f>IF(AND(RecData[[#This Row],[Turbines ON/OFF]] = "OFF", NOT(OR(RecData[[#This Row],[Junk?]]="YES",RecData[[#This Row],[Gust?]],RecData[[#This Row],[Rain?]:[Min SPL Threshold?]]))),1,0)</f>
        <v>1</v>
      </c>
      <c r="DN781" s="16">
        <f>RecData[[#This Row],[dBA Sum]]</f>
        <v>16.203582400705248</v>
      </c>
      <c r="DO781" s="16">
        <f>RecData[[#This Row],[LAF90.0]]</f>
        <v>21.9</v>
      </c>
      <c r="DP781" s="55" t="str">
        <f>IF(AND(RecData[[#This Row],[Useable TON Data?]],RecData[[#This Row],[Turbines ON/OFF]]="ON"),RecData[[#This Row],[dBA Sum]],"")</f>
        <v/>
      </c>
      <c r="DQ781" s="55">
        <f>IF(AND(RecData[[#This Row],[Useable Background Data?]],RecData[[#This Row],[Turbines ON/OFF]]="OFF"),RecData[[#This Row],[dBA Sum]],"")</f>
        <v>16.203582400705248</v>
      </c>
      <c r="DR781" s="3">
        <f>IF(OR(RecData[[#This Row],[Useable TON Data?]],RecData[[#This Row],[Useable Background Data?]]),ROUND(RecData[[#This Row],[WSpd_Avg '[m/s']]],0),"")</f>
        <v>1</v>
      </c>
      <c r="DS781" s="85">
        <f>(0.00002)^2*(10^(RecData[[#This Row],[Overall (dBA)]]/10))</f>
        <v>1.6688535672768901E-8</v>
      </c>
    </row>
    <row r="782" spans="1:123" ht="15" x14ac:dyDescent="0.25">
      <c r="A782" s="3" t="s">
        <v>249</v>
      </c>
      <c r="B782" s="12">
        <v>43272.977777777778</v>
      </c>
      <c r="C782" s="3"/>
      <c r="D782" s="3">
        <v>34.4</v>
      </c>
      <c r="E782" s="3"/>
      <c r="F782" s="3"/>
      <c r="G782" s="3"/>
      <c r="H782" s="3"/>
      <c r="I782" s="3"/>
      <c r="J782" s="3"/>
      <c r="K782" s="3">
        <v>20.2</v>
      </c>
      <c r="L782" s="3"/>
      <c r="M782" s="3"/>
      <c r="N782" s="3">
        <v>117.6</v>
      </c>
      <c r="O782" s="3"/>
      <c r="P782" s="3"/>
      <c r="Q782" s="3">
        <v>0.36</v>
      </c>
      <c r="R782" s="3">
        <v>0.2</v>
      </c>
      <c r="S782" s="3">
        <v>0.5</v>
      </c>
      <c r="T782" s="3">
        <v>8.3000000000000007</v>
      </c>
      <c r="U782" s="3">
        <v>77.3</v>
      </c>
      <c r="V782" s="3">
        <v>970.9</v>
      </c>
      <c r="W782" s="3">
        <v>0</v>
      </c>
      <c r="X782" s="3">
        <v>21.6</v>
      </c>
      <c r="Y782" s="3">
        <v>16.100000000000001</v>
      </c>
      <c r="Z782" s="3">
        <v>17.8</v>
      </c>
      <c r="AA782" s="3">
        <v>9.6</v>
      </c>
      <c r="AB782" s="3">
        <v>7.2</v>
      </c>
      <c r="AC782" s="3">
        <v>8.1</v>
      </c>
      <c r="AD782" s="3">
        <v>8</v>
      </c>
      <c r="AE782" s="3">
        <v>7.2</v>
      </c>
      <c r="AF782" s="3">
        <v>10</v>
      </c>
      <c r="AG782" s="3">
        <v>7.9</v>
      </c>
      <c r="AH782" s="3">
        <v>7.9</v>
      </c>
      <c r="AI782" s="3">
        <v>9</v>
      </c>
      <c r="AJ782" s="3">
        <v>8.8000000000000007</v>
      </c>
      <c r="AK782" s="3">
        <v>8.9</v>
      </c>
      <c r="AL782" s="3">
        <v>7.6</v>
      </c>
      <c r="AM782" s="3">
        <v>8</v>
      </c>
      <c r="AN782" s="3">
        <v>8.4</v>
      </c>
      <c r="AO782" s="3">
        <v>7.9</v>
      </c>
      <c r="AP782" s="3">
        <v>7.1</v>
      </c>
      <c r="AQ782" s="3">
        <v>6.9</v>
      </c>
      <c r="AR782" s="3">
        <v>6.5</v>
      </c>
      <c r="AS782" s="3">
        <v>29.6</v>
      </c>
      <c r="AT782" s="3">
        <v>30.3</v>
      </c>
      <c r="AU782" s="3">
        <v>8.4</v>
      </c>
      <c r="AV782" s="3">
        <v>8.1</v>
      </c>
      <c r="AW782" s="3">
        <v>8.6</v>
      </c>
      <c r="AX782" s="3">
        <v>8.8000000000000007</v>
      </c>
      <c r="AY782" s="3">
        <v>9.1</v>
      </c>
      <c r="AZ782" s="3">
        <v>0</v>
      </c>
      <c r="BA782" s="3">
        <v>0</v>
      </c>
      <c r="BB782" s="3">
        <v>0</v>
      </c>
      <c r="BC782" s="3">
        <v>34.328334888808044</v>
      </c>
      <c r="BD782" s="3">
        <v>21.671665111191956</v>
      </c>
      <c r="BE782" s="3">
        <v>16.171665111191956</v>
      </c>
      <c r="BF782" s="3">
        <v>16.631665111191957</v>
      </c>
      <c r="BG782" s="3">
        <v>8.7583317778586149</v>
      </c>
      <c r="BH782" s="3">
        <v>6.498331777858624</v>
      </c>
      <c r="BI782" s="3">
        <v>7.8116651111919566</v>
      </c>
      <c r="BJ782" s="3">
        <v>8.5049984445252846</v>
      </c>
      <c r="BK782" s="3">
        <v>7.5783317778586152</v>
      </c>
      <c r="BL782" s="3">
        <v>9.9516651111919572</v>
      </c>
      <c r="BM782" s="3">
        <v>7.9849984445252886</v>
      </c>
      <c r="BN782" s="3">
        <v>8.2683317778586201</v>
      </c>
      <c r="BO782" s="3">
        <v>8.7349984445252886</v>
      </c>
      <c r="BP782" s="3">
        <v>8.2516651111919543</v>
      </c>
      <c r="BQ782" s="3">
        <v>8.768331777858613</v>
      </c>
      <c r="BR782" s="3">
        <v>7.7949984445252909</v>
      </c>
      <c r="BS782" s="3">
        <v>7.998331777858624</v>
      </c>
      <c r="BT782" s="3">
        <v>8.5949984445252881</v>
      </c>
      <c r="BU782" s="3">
        <v>8.0616651111919566</v>
      </c>
      <c r="BV782" s="3">
        <v>6.9783317778586209</v>
      </c>
      <c r="BW782" s="3">
        <v>7.3116651111919566</v>
      </c>
      <c r="BX782" s="3">
        <v>6.8316651111919597</v>
      </c>
      <c r="BY782" s="3">
        <v>29.751665111191954</v>
      </c>
      <c r="BZ782" s="3">
        <v>30.581665111191953</v>
      </c>
      <c r="CA782" s="3">
        <v>8.7816651111919484</v>
      </c>
      <c r="CB782" s="3">
        <v>7.9183317778586186</v>
      </c>
      <c r="CC782" s="3">
        <v>8.6316651111919498</v>
      </c>
      <c r="CD782" s="3">
        <v>8.1383317778586246</v>
      </c>
      <c r="CE782" s="3">
        <v>8.6316651111919498</v>
      </c>
      <c r="CF782" s="3">
        <v>-0.85500155547471479</v>
      </c>
      <c r="CG782" s="3">
        <v>-1.3883348888080462</v>
      </c>
      <c r="CH782" s="3">
        <v>-2.4650015554747107</v>
      </c>
      <c r="CI782" s="13">
        <f>[1]!dbasum(RecData[[#This Row],[20]:[2000]],RecData[[#Headers],[20]:[2000]])</f>
        <v>16.465505345547346</v>
      </c>
      <c r="CJ782" s="14">
        <v>9417</v>
      </c>
      <c r="CK782" s="15" t="s">
        <v>249</v>
      </c>
      <c r="CL782" s="15">
        <f>RecData[[#This Row],[Start Time]]</f>
        <v>43272.977777777778</v>
      </c>
      <c r="CM782" s="16">
        <f>RecData[[#This Row],[Wind Speed avg]]</f>
        <v>0.36</v>
      </c>
      <c r="CN782" s="16">
        <f>RecData[[#This Row],[Wind Dir. avg]]</f>
        <v>117.6</v>
      </c>
      <c r="CO782" s="16">
        <f>RecData[[#This Row],[Amb. Humidity]]</f>
        <v>77.3</v>
      </c>
      <c r="CP782" s="16">
        <f>RecData[[#This Row],[Amb. Temperature]]</f>
        <v>8.3000000000000007</v>
      </c>
      <c r="CQ782" s="17">
        <f>RecData[[#This Row],[Amb. Rain Gauge]]</f>
        <v>0</v>
      </c>
      <c r="CR782" s="4" t="s">
        <v>50</v>
      </c>
      <c r="CS782" s="4" t="s">
        <v>49</v>
      </c>
      <c r="CT782" s="70">
        <v>-9.0179882049560494</v>
      </c>
      <c r="CU782" s="70">
        <v>207.365966796875</v>
      </c>
      <c r="CV782" s="70">
        <v>2.0095751285552899</v>
      </c>
      <c r="CW782" s="70">
        <v>0</v>
      </c>
      <c r="CX782" s="109"/>
      <c r="CY782" s="110"/>
      <c r="CZ782" s="2" t="b">
        <f>IF($DP$1="YES",IF(RecData[[#This Row],[Power (kW)]]&gt;=$CR$3, TRUE,FALSE),TRUE)</f>
        <v>0</v>
      </c>
      <c r="DA782" s="16">
        <f>MIN(MOD(180-ABS(ABS($DA$1-RecData[Yaw Angle (°)])-180),360),MOD(180-ABS(ABS($DB$1-RecData[Yaw Angle (°)])-180),360))</f>
        <v>160.16395998081254</v>
      </c>
      <c r="DB782" s="2" t="str">
        <f>IF($DP$2="None","None",IF(RecData[[#This Row],[Relative Wind Direction]]&lt;=45,"DW",IF(RecData[[#This Row],[Relative Wind Direction]]&lt;=135,"CW","UW")))</f>
        <v>UW</v>
      </c>
      <c r="DC782" s="61" t="e">
        <f>IF($CL782-$CL780&gt;1/24,#REF!,IF(SUM($CQ780:$CQ782)&gt;$DS$1,$DS$5,DC783-1))</f>
        <v>#REF!</v>
      </c>
      <c r="DD782" s="61">
        <f>IF($CL783-$CL782&gt;1/24,#REF!,IF(SUM($CQ780:$CQ782)&gt;$DS$1,$DS$6,DD781-1))</f>
        <v>-3</v>
      </c>
      <c r="DE782" s="18" t="b">
        <v>0</v>
      </c>
      <c r="DF782" s="2" t="b">
        <f>IF(OR(RecData[[#This Row],[WSpd_Avg '[m/s']]]-RecData[[#This Row],[Wind Speed min]]&gt;=$DF$3,RecData[[#This Row],[Wind Speed max]]-RecData[[#This Row],[WSpd_Avg '[m/s']]]&gt;=$DF$2),TRUE,FALSE)</f>
        <v>0</v>
      </c>
      <c r="DG782" s="2" t="b">
        <f>RecData[[#This Row],[Temperature '[°C']]]&lt;=-20</f>
        <v>0</v>
      </c>
      <c r="DH782" s="18" t="b">
        <f>NOT(OR(MOD(RecData[[#This Row],[TIMESTAMP]],1)&gt;0.91632,MOD(RecData[[#This Row],[TIMESTAMP]],1)&lt;0.208681))</f>
        <v>0</v>
      </c>
      <c r="DI782" s="18" t="b">
        <f>RecData[[#This Row],[Overall (dBA)]]-RecData[[#This Row],[L90]]&gt;=$DS$4</f>
        <v>0</v>
      </c>
      <c r="DJ782" s="18" t="b">
        <f>RecData[[#This Row],[Overall (dBA)]]&gt;$DS$2</f>
        <v>0</v>
      </c>
      <c r="DK782" s="18" t="b">
        <f>RecData[[#This Row],[Overall (dBA)]]&lt;$DS$3</f>
        <v>0</v>
      </c>
      <c r="DL7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2" s="2">
        <f>IF(AND(RecData[[#This Row],[Turbines ON/OFF]] = "OFF", NOT(OR(RecData[[#This Row],[Junk?]]="YES",RecData[[#This Row],[Gust?]],RecData[[#This Row],[Rain?]:[Min SPL Threshold?]]))),1,0)</f>
        <v>1</v>
      </c>
      <c r="DN782" s="16">
        <f>RecData[[#This Row],[dBA Sum]]</f>
        <v>16.465505345547346</v>
      </c>
      <c r="DO782" s="16">
        <f>RecData[[#This Row],[LAF90.0]]</f>
        <v>20.2</v>
      </c>
      <c r="DP782" s="55" t="str">
        <f>IF(AND(RecData[[#This Row],[Useable TON Data?]],RecData[[#This Row],[Turbines ON/OFF]]="ON"),RecData[[#This Row],[dBA Sum]],"")</f>
        <v/>
      </c>
      <c r="DQ782" s="55">
        <f>IF(AND(RecData[[#This Row],[Useable Background Data?]],RecData[[#This Row],[Turbines ON/OFF]]="OFF"),RecData[[#This Row],[dBA Sum]],"")</f>
        <v>16.465505345547346</v>
      </c>
      <c r="DR782" s="3">
        <f>IF(OR(RecData[[#This Row],[Useable TON Data?]],RecData[[#This Row],[Useable Background Data?]]),ROUND(RecData[[#This Row],[WSpd_Avg '[m/s']]],0),"")</f>
        <v>0</v>
      </c>
      <c r="DS782" s="85">
        <f>(0.00002)^2*(10^(RecData[[#This Row],[Overall (dBA)]]/10))</f>
        <v>1.7725991057886658E-8</v>
      </c>
    </row>
    <row r="783" spans="1:123" ht="15" x14ac:dyDescent="0.25">
      <c r="A783" s="3" t="s">
        <v>249</v>
      </c>
      <c r="B783" s="12">
        <v>43272.978472222225</v>
      </c>
      <c r="C783" s="3"/>
      <c r="D783" s="3">
        <v>33.799999999999997</v>
      </c>
      <c r="E783" s="3"/>
      <c r="F783" s="3"/>
      <c r="G783" s="3"/>
      <c r="H783" s="3"/>
      <c r="I783" s="3"/>
      <c r="J783" s="3"/>
      <c r="K783" s="3">
        <v>21.1</v>
      </c>
      <c r="L783" s="3"/>
      <c r="M783" s="3"/>
      <c r="N783" s="3">
        <v>131.4</v>
      </c>
      <c r="O783" s="3"/>
      <c r="P783" s="3"/>
      <c r="Q783" s="3">
        <v>0.43</v>
      </c>
      <c r="R783" s="3">
        <v>0.3</v>
      </c>
      <c r="S783" s="3">
        <v>0.5</v>
      </c>
      <c r="T783" s="3">
        <v>8.3000000000000007</v>
      </c>
      <c r="U783" s="3">
        <v>78.099999999999994</v>
      </c>
      <c r="V783" s="3">
        <v>970.9</v>
      </c>
      <c r="W783" s="3">
        <v>0</v>
      </c>
      <c r="X783" s="3">
        <v>20.399999999999999</v>
      </c>
      <c r="Y783" s="3">
        <v>15.7</v>
      </c>
      <c r="Z783" s="3">
        <v>15.7</v>
      </c>
      <c r="AA783" s="3">
        <v>7.7</v>
      </c>
      <c r="AB783" s="3">
        <v>6.7</v>
      </c>
      <c r="AC783" s="3">
        <v>5.0999999999999996</v>
      </c>
      <c r="AD783" s="3">
        <v>7.7</v>
      </c>
      <c r="AE783" s="3">
        <v>7.1</v>
      </c>
      <c r="AF783" s="3">
        <v>10.9</v>
      </c>
      <c r="AG783" s="3">
        <v>7.9</v>
      </c>
      <c r="AH783" s="3">
        <v>8.4</v>
      </c>
      <c r="AI783" s="3">
        <v>9</v>
      </c>
      <c r="AJ783" s="3">
        <v>8.6999999999999993</v>
      </c>
      <c r="AK783" s="3">
        <v>8.3000000000000007</v>
      </c>
      <c r="AL783" s="3">
        <v>7.6</v>
      </c>
      <c r="AM783" s="3">
        <v>7.9</v>
      </c>
      <c r="AN783" s="3">
        <v>8.5</v>
      </c>
      <c r="AO783" s="3">
        <v>7.9</v>
      </c>
      <c r="AP783" s="3">
        <v>7.2</v>
      </c>
      <c r="AQ783" s="3">
        <v>6.8</v>
      </c>
      <c r="AR783" s="3">
        <v>6.3</v>
      </c>
      <c r="AS783" s="3">
        <v>27.6</v>
      </c>
      <c r="AT783" s="3">
        <v>30.6</v>
      </c>
      <c r="AU783" s="3">
        <v>8.9</v>
      </c>
      <c r="AV783" s="3">
        <v>8.1</v>
      </c>
      <c r="AW783" s="3">
        <v>8.6999999999999993</v>
      </c>
      <c r="AX783" s="3">
        <v>8.8000000000000007</v>
      </c>
      <c r="AY783" s="3">
        <v>9.1999999999999993</v>
      </c>
      <c r="AZ783" s="3">
        <v>0</v>
      </c>
      <c r="BA783" s="3">
        <v>0</v>
      </c>
      <c r="BB783" s="3">
        <v>0</v>
      </c>
      <c r="BC783" s="3">
        <v>33.729804547060454</v>
      </c>
      <c r="BD783" s="3">
        <v>20.470195452939542</v>
      </c>
      <c r="BE783" s="3">
        <v>15.770195452939546</v>
      </c>
      <c r="BF783" s="3">
        <v>14.530195452939545</v>
      </c>
      <c r="BG783" s="3">
        <v>6.8568621196062054</v>
      </c>
      <c r="BH783" s="3">
        <v>5.9968621196062131</v>
      </c>
      <c r="BI783" s="3">
        <v>4.8101954529395456</v>
      </c>
      <c r="BJ783" s="3">
        <v>8.2035287862728765</v>
      </c>
      <c r="BK783" s="3">
        <v>7.4768621196062028</v>
      </c>
      <c r="BL783" s="3">
        <v>10.850195452939545</v>
      </c>
      <c r="BM783" s="3">
        <v>7.9835287862728777</v>
      </c>
      <c r="BN783" s="3">
        <v>8.7668621196062091</v>
      </c>
      <c r="BO783" s="3">
        <v>8.7335287862728777</v>
      </c>
      <c r="BP783" s="3">
        <v>8.150195452939542</v>
      </c>
      <c r="BQ783" s="3">
        <v>8.1668621196062006</v>
      </c>
      <c r="BR783" s="3">
        <v>7.7935287862728799</v>
      </c>
      <c r="BS783" s="3">
        <v>7.8968621196062116</v>
      </c>
      <c r="BT783" s="3">
        <v>8.6935287862728785</v>
      </c>
      <c r="BU783" s="3">
        <v>8.0601954529395456</v>
      </c>
      <c r="BV783" s="3">
        <v>7.0768621196062114</v>
      </c>
      <c r="BW783" s="3">
        <v>7.2101954529395442</v>
      </c>
      <c r="BX783" s="3">
        <v>6.6301954529395459</v>
      </c>
      <c r="BY783" s="3">
        <v>27.750195452939543</v>
      </c>
      <c r="BZ783" s="3">
        <v>30.880195452939546</v>
      </c>
      <c r="CA783" s="3">
        <v>9.2801954529395374</v>
      </c>
      <c r="CB783" s="3">
        <v>7.9168621196062077</v>
      </c>
      <c r="CC783" s="3">
        <v>8.7301954529395402</v>
      </c>
      <c r="CD783" s="3">
        <v>8.1368621196062136</v>
      </c>
      <c r="CE783" s="3">
        <v>8.7301954529395402</v>
      </c>
      <c r="CF783" s="3">
        <v>-0.85647121372712576</v>
      </c>
      <c r="CG783" s="3">
        <v>-1.3898045470604572</v>
      </c>
      <c r="CH783" s="3">
        <v>-2.4664712137271216</v>
      </c>
      <c r="CI783" s="13">
        <f>[1]!dbasum(RecData[[#This Row],[20]:[2000]],RecData[[#Headers],[20]:[2000]])</f>
        <v>16.413856547071912</v>
      </c>
      <c r="CJ783" s="14">
        <v>9418</v>
      </c>
      <c r="CK783" s="15" t="s">
        <v>249</v>
      </c>
      <c r="CL783" s="15">
        <f>RecData[[#This Row],[Start Time]]</f>
        <v>43272.978472222225</v>
      </c>
      <c r="CM783" s="16">
        <f>RecData[[#This Row],[Wind Speed avg]]</f>
        <v>0.43</v>
      </c>
      <c r="CN783" s="16">
        <f>RecData[[#This Row],[Wind Dir. avg]]</f>
        <v>131.4</v>
      </c>
      <c r="CO783" s="16">
        <f>RecData[[#This Row],[Amb. Humidity]]</f>
        <v>78.099999999999994</v>
      </c>
      <c r="CP783" s="16">
        <f>RecData[[#This Row],[Amb. Temperature]]</f>
        <v>8.3000000000000007</v>
      </c>
      <c r="CQ783" s="17">
        <f>RecData[[#This Row],[Amb. Rain Gauge]]</f>
        <v>0</v>
      </c>
      <c r="CR783" s="4" t="s">
        <v>50</v>
      </c>
      <c r="CS783" s="4" t="s">
        <v>49</v>
      </c>
      <c r="CT783" s="70">
        <v>-9.0179882049560494</v>
      </c>
      <c r="CU783" s="70">
        <v>207.365966796875</v>
      </c>
      <c r="CV783" s="70">
        <v>2.0095751285552899</v>
      </c>
      <c r="CW783" s="70">
        <v>0</v>
      </c>
      <c r="CX783" s="109"/>
      <c r="CY783" s="110"/>
      <c r="CZ783" s="2" t="b">
        <f>IF($DP$1="YES",IF(RecData[[#This Row],[Power (kW)]]&gt;=$CR$3, TRUE,FALSE),TRUE)</f>
        <v>0</v>
      </c>
      <c r="DA783" s="16">
        <f>MIN(MOD(180-ABS(ABS($DA$1-RecData[Yaw Angle (°)])-180),360),MOD(180-ABS(ABS($DB$1-RecData[Yaw Angle (°)])-180),360))</f>
        <v>160.16395998081254</v>
      </c>
      <c r="DB783" s="2" t="str">
        <f>IF($DP$2="None","None",IF(RecData[[#This Row],[Relative Wind Direction]]&lt;=45,"DW",IF(RecData[[#This Row],[Relative Wind Direction]]&lt;=135,"CW","UW")))</f>
        <v>UW</v>
      </c>
      <c r="DC783" s="61" t="e">
        <f>IF($CL783-$CL780&gt;1/24,#REF!,IF(SUM($CQ780:$CQ783)&gt;$DS$1,$DS$5,DC784-1))</f>
        <v>#REF!</v>
      </c>
      <c r="DD783" s="61">
        <f>IF($CL784-$CL783&gt;1/24,#REF!,IF(SUM($CQ780:$CQ783)&gt;$DS$1,$DS$6,DD782-1))</f>
        <v>-4</v>
      </c>
      <c r="DE783" s="18" t="b">
        <v>0</v>
      </c>
      <c r="DF783" s="2" t="b">
        <f>IF(OR(RecData[[#This Row],[WSpd_Avg '[m/s']]]-RecData[[#This Row],[Wind Speed min]]&gt;=$DF$3,RecData[[#This Row],[Wind Speed max]]-RecData[[#This Row],[WSpd_Avg '[m/s']]]&gt;=$DF$2),TRUE,FALSE)</f>
        <v>0</v>
      </c>
      <c r="DG783" s="2" t="b">
        <f>RecData[[#This Row],[Temperature '[°C']]]&lt;=-20</f>
        <v>0</v>
      </c>
      <c r="DH783" s="18" t="b">
        <f>NOT(OR(MOD(RecData[[#This Row],[TIMESTAMP]],1)&gt;0.91632,MOD(RecData[[#This Row],[TIMESTAMP]],1)&lt;0.208681))</f>
        <v>0</v>
      </c>
      <c r="DI783" s="18" t="b">
        <f>RecData[[#This Row],[Overall (dBA)]]-RecData[[#This Row],[L90]]&gt;=$DS$4</f>
        <v>0</v>
      </c>
      <c r="DJ783" s="18" t="b">
        <f>RecData[[#This Row],[Overall (dBA)]]&gt;$DS$2</f>
        <v>0</v>
      </c>
      <c r="DK783" s="18" t="b">
        <f>RecData[[#This Row],[Overall (dBA)]]&lt;$DS$3</f>
        <v>0</v>
      </c>
      <c r="DL7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3" s="2">
        <f>IF(AND(RecData[[#This Row],[Turbines ON/OFF]] = "OFF", NOT(OR(RecData[[#This Row],[Junk?]]="YES",RecData[[#This Row],[Gust?]],RecData[[#This Row],[Rain?]:[Min SPL Threshold?]]))),1,0)</f>
        <v>1</v>
      </c>
      <c r="DN783" s="16">
        <f>RecData[[#This Row],[dBA Sum]]</f>
        <v>16.413856547071912</v>
      </c>
      <c r="DO783" s="16">
        <f>RecData[[#This Row],[LAF90.0]]</f>
        <v>21.1</v>
      </c>
      <c r="DP783" s="55" t="str">
        <f>IF(AND(RecData[[#This Row],[Useable TON Data?]],RecData[[#This Row],[Turbines ON/OFF]]="ON"),RecData[[#This Row],[dBA Sum]],"")</f>
        <v/>
      </c>
      <c r="DQ783" s="55">
        <f>IF(AND(RecData[[#This Row],[Useable Background Data?]],RecData[[#This Row],[Turbines ON/OFF]]="OFF"),RecData[[#This Row],[dBA Sum]],"")</f>
        <v>16.413856547071912</v>
      </c>
      <c r="DR783" s="3">
        <f>IF(OR(RecData[[#This Row],[Useable TON Data?]],RecData[[#This Row],[Useable Background Data?]]),ROUND(RecData[[#This Row],[WSpd_Avg '[m/s']]],0),"")</f>
        <v>0</v>
      </c>
      <c r="DS783" s="85">
        <f>(0.00002)^2*(10^(RecData[[#This Row],[Overall (dBA)]]/10))</f>
        <v>1.7516431942349374E-8</v>
      </c>
    </row>
    <row r="784" spans="1:123" ht="15" x14ac:dyDescent="0.25">
      <c r="A784" s="3" t="s">
        <v>249</v>
      </c>
      <c r="B784" s="12">
        <v>43272.979166666672</v>
      </c>
      <c r="C784" s="3"/>
      <c r="D784" s="3">
        <v>32.700000000000003</v>
      </c>
      <c r="E784" s="3"/>
      <c r="F784" s="3"/>
      <c r="G784" s="3"/>
      <c r="H784" s="3"/>
      <c r="I784" s="3"/>
      <c r="J784" s="3"/>
      <c r="K784" s="3">
        <v>21.6</v>
      </c>
      <c r="L784" s="3"/>
      <c r="M784" s="3"/>
      <c r="N784" s="3">
        <v>131.6</v>
      </c>
      <c r="O784" s="3"/>
      <c r="P784" s="3"/>
      <c r="Q784" s="3">
        <v>0.43</v>
      </c>
      <c r="R784" s="3">
        <v>0.3</v>
      </c>
      <c r="S784" s="3">
        <v>0.5</v>
      </c>
      <c r="T784" s="3">
        <v>8.3000000000000007</v>
      </c>
      <c r="U784" s="3">
        <v>78.900000000000006</v>
      </c>
      <c r="V784" s="3">
        <v>970.9</v>
      </c>
      <c r="W784" s="3">
        <v>0</v>
      </c>
      <c r="X784" s="3">
        <v>20.5</v>
      </c>
      <c r="Y784" s="3">
        <v>16.2</v>
      </c>
      <c r="Z784" s="3">
        <v>15.8</v>
      </c>
      <c r="AA784" s="3">
        <v>10.6</v>
      </c>
      <c r="AB784" s="3">
        <v>7.4</v>
      </c>
      <c r="AC784" s="3">
        <v>5.5</v>
      </c>
      <c r="AD784" s="3">
        <v>7.4</v>
      </c>
      <c r="AE784" s="3">
        <v>6.7</v>
      </c>
      <c r="AF784" s="3">
        <v>9.4</v>
      </c>
      <c r="AG784" s="3">
        <v>7.2</v>
      </c>
      <c r="AH784" s="3">
        <v>7.9</v>
      </c>
      <c r="AI784" s="3">
        <v>8.8000000000000007</v>
      </c>
      <c r="AJ784" s="3">
        <v>8.6999999999999993</v>
      </c>
      <c r="AK784" s="3">
        <v>8.6999999999999993</v>
      </c>
      <c r="AL784" s="3">
        <v>7.7</v>
      </c>
      <c r="AM784" s="3">
        <v>7.8</v>
      </c>
      <c r="AN784" s="3">
        <v>8.1</v>
      </c>
      <c r="AO784" s="3">
        <v>7.7</v>
      </c>
      <c r="AP784" s="3">
        <v>6.9</v>
      </c>
      <c r="AQ784" s="3">
        <v>6.5</v>
      </c>
      <c r="AR784" s="3">
        <v>6.2</v>
      </c>
      <c r="AS784" s="3">
        <v>26.4</v>
      </c>
      <c r="AT784" s="3">
        <v>29.6</v>
      </c>
      <c r="AU784" s="3">
        <v>8.3000000000000007</v>
      </c>
      <c r="AV784" s="3">
        <v>8.1</v>
      </c>
      <c r="AW784" s="3">
        <v>8.6</v>
      </c>
      <c r="AX784" s="3">
        <v>8.8000000000000007</v>
      </c>
      <c r="AY784" s="3">
        <v>9.1</v>
      </c>
      <c r="AZ784" s="3">
        <v>0</v>
      </c>
      <c r="BA784" s="3">
        <v>0</v>
      </c>
      <c r="BB784" s="3">
        <v>0</v>
      </c>
      <c r="BC784" s="3">
        <v>32.695056444060071</v>
      </c>
      <c r="BD784" s="3">
        <v>20.504943555939931</v>
      </c>
      <c r="BE784" s="3">
        <v>16.204943555939934</v>
      </c>
      <c r="BF784" s="3">
        <v>14.564943555939934</v>
      </c>
      <c r="BG784" s="3">
        <v>9.6916102226065988</v>
      </c>
      <c r="BH784" s="3">
        <v>6.6316102226066036</v>
      </c>
      <c r="BI784" s="3">
        <v>5.1449435559399319</v>
      </c>
      <c r="BJ784" s="3">
        <v>7.838276889273267</v>
      </c>
      <c r="BK784" s="3">
        <v>7.0116102226065919</v>
      </c>
      <c r="BL784" s="3">
        <v>9.2849435559399325</v>
      </c>
      <c r="BM784" s="3">
        <v>7.2182768892732696</v>
      </c>
      <c r="BN784" s="3">
        <v>8.2016102226065968</v>
      </c>
      <c r="BO784" s="3">
        <v>8.4682768892732696</v>
      </c>
      <c r="BP784" s="3">
        <v>8.0849435559399296</v>
      </c>
      <c r="BQ784" s="3">
        <v>8.5016102226065868</v>
      </c>
      <c r="BR784" s="3">
        <v>7.828276889273269</v>
      </c>
      <c r="BS784" s="3">
        <v>7.7316102226065979</v>
      </c>
      <c r="BT784" s="3">
        <v>8.2282768892732676</v>
      </c>
      <c r="BU784" s="3">
        <v>7.7949435559399376</v>
      </c>
      <c r="BV784" s="3">
        <v>6.7116102226066019</v>
      </c>
      <c r="BW784" s="3">
        <v>6.8449435559399348</v>
      </c>
      <c r="BX784" s="3">
        <v>6.4649435559399393</v>
      </c>
      <c r="BY784" s="3">
        <v>26.484943555939928</v>
      </c>
      <c r="BZ784" s="3">
        <v>29.814943555939934</v>
      </c>
      <c r="CA784" s="3">
        <v>8.6149435559399237</v>
      </c>
      <c r="CB784" s="3">
        <v>7.8516102226065954</v>
      </c>
      <c r="CC784" s="3">
        <v>8.5649435559399336</v>
      </c>
      <c r="CD784" s="3">
        <v>8.0716102226066013</v>
      </c>
      <c r="CE784" s="3">
        <v>8.5649435559399336</v>
      </c>
      <c r="CF784" s="3">
        <v>-0.92172311072673452</v>
      </c>
      <c r="CG784" s="3">
        <v>-1.455056444060066</v>
      </c>
      <c r="CH784" s="3">
        <v>-2.5317231107267339</v>
      </c>
      <c r="CI784" s="13">
        <f>[1]!dbasum(RecData[[#This Row],[20]:[2000]],RecData[[#Headers],[20]:[2000]])</f>
        <v>16.16029943134907</v>
      </c>
      <c r="CJ784" s="14">
        <v>9419</v>
      </c>
      <c r="CK784" s="15" t="s">
        <v>249</v>
      </c>
      <c r="CL784" s="15">
        <f>RecData[[#This Row],[Start Time]]</f>
        <v>43272.979166666672</v>
      </c>
      <c r="CM784" s="16">
        <f>RecData[[#This Row],[Wind Speed avg]]</f>
        <v>0.43</v>
      </c>
      <c r="CN784" s="16">
        <f>RecData[[#This Row],[Wind Dir. avg]]</f>
        <v>131.6</v>
      </c>
      <c r="CO784" s="16">
        <f>RecData[[#This Row],[Amb. Humidity]]</f>
        <v>78.900000000000006</v>
      </c>
      <c r="CP784" s="16">
        <f>RecData[[#This Row],[Amb. Temperature]]</f>
        <v>8.3000000000000007</v>
      </c>
      <c r="CQ784" s="17">
        <f>RecData[[#This Row],[Amb. Rain Gauge]]</f>
        <v>0</v>
      </c>
      <c r="CR784" s="4" t="s">
        <v>50</v>
      </c>
      <c r="CS784" s="4" t="s">
        <v>49</v>
      </c>
      <c r="CT784" s="70">
        <v>-9.0179882049560494</v>
      </c>
      <c r="CU784" s="70">
        <v>207.365966796875</v>
      </c>
      <c r="CV784" s="70">
        <v>2.0095751285552899</v>
      </c>
      <c r="CW784" s="70">
        <v>0</v>
      </c>
      <c r="CX784" s="109"/>
      <c r="CY784" s="110"/>
      <c r="CZ784" s="2" t="b">
        <f>IF($DP$1="YES",IF(RecData[[#This Row],[Power (kW)]]&gt;=$CR$3, TRUE,FALSE),TRUE)</f>
        <v>0</v>
      </c>
      <c r="DA784" s="16">
        <f>MIN(MOD(180-ABS(ABS($DA$1-RecData[Yaw Angle (°)])-180),360),MOD(180-ABS(ABS($DB$1-RecData[Yaw Angle (°)])-180),360))</f>
        <v>160.16395998081254</v>
      </c>
      <c r="DB784" s="2" t="str">
        <f>IF($DP$2="None","None",IF(RecData[[#This Row],[Relative Wind Direction]]&lt;=45,"DW",IF(RecData[[#This Row],[Relative Wind Direction]]&lt;=135,"CW","UW")))</f>
        <v>UW</v>
      </c>
      <c r="DC784" s="61" t="e">
        <f>IF($CL784-$CL780&gt;1/24,#REF!,IF(SUM($CQ780:$CQ784)&gt;$DS$1,$DS$5,#REF!-1))</f>
        <v>#REF!</v>
      </c>
      <c r="DD784" s="61" t="e">
        <f>IF(#REF!-$CL784&gt;1/24,#REF!,IF(SUM($CQ780:$CQ784)&gt;$DS$1,$DS$6,DD783-1))</f>
        <v>#REF!</v>
      </c>
      <c r="DE784" s="18" t="b">
        <v>0</v>
      </c>
      <c r="DF784" s="2" t="b">
        <f>IF(OR(RecData[[#This Row],[WSpd_Avg '[m/s']]]-RecData[[#This Row],[Wind Speed min]]&gt;=$DF$3,RecData[[#This Row],[Wind Speed max]]-RecData[[#This Row],[WSpd_Avg '[m/s']]]&gt;=$DF$2),TRUE,FALSE)</f>
        <v>0</v>
      </c>
      <c r="DG784" s="2" t="b">
        <f>RecData[[#This Row],[Temperature '[°C']]]&lt;=-20</f>
        <v>0</v>
      </c>
      <c r="DH784" s="18" t="b">
        <f>NOT(OR(MOD(RecData[[#This Row],[TIMESTAMP]],1)&gt;0.91632,MOD(RecData[[#This Row],[TIMESTAMP]],1)&lt;0.208681))</f>
        <v>0</v>
      </c>
      <c r="DI784" s="18" t="b">
        <f>RecData[[#This Row],[Overall (dBA)]]-RecData[[#This Row],[L90]]&gt;=$DS$4</f>
        <v>0</v>
      </c>
      <c r="DJ784" s="18" t="b">
        <f>RecData[[#This Row],[Overall (dBA)]]&gt;$DS$2</f>
        <v>0</v>
      </c>
      <c r="DK784" s="18" t="b">
        <f>RecData[[#This Row],[Overall (dBA)]]&lt;$DS$3</f>
        <v>0</v>
      </c>
      <c r="DL7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4" s="2">
        <f>IF(AND(RecData[[#This Row],[Turbines ON/OFF]] = "OFF", NOT(OR(RecData[[#This Row],[Junk?]]="YES",RecData[[#This Row],[Gust?]],RecData[[#This Row],[Rain?]:[Min SPL Threshold?]]))),1,0)</f>
        <v>1</v>
      </c>
      <c r="DN784" s="16">
        <f>RecData[[#This Row],[dBA Sum]]</f>
        <v>16.16029943134907</v>
      </c>
      <c r="DO784" s="16">
        <f>RecData[[#This Row],[LAF90.0]]</f>
        <v>21.6</v>
      </c>
      <c r="DP784" s="55" t="str">
        <f>IF(AND(RecData[[#This Row],[Useable TON Data?]],RecData[[#This Row],[Turbines ON/OFF]]="ON"),RecData[[#This Row],[dBA Sum]],"")</f>
        <v/>
      </c>
      <c r="DQ784" s="55">
        <f>IF(AND(RecData[[#This Row],[Useable Background Data?]],RecData[[#This Row],[Turbines ON/OFF]]="OFF"),RecData[[#This Row],[dBA Sum]],"")</f>
        <v>16.16029943134907</v>
      </c>
      <c r="DR784" s="3">
        <f>IF(OR(RecData[[#This Row],[Useable TON Data?]],RecData[[#This Row],[Useable Background Data?]]),ROUND(RecData[[#This Row],[WSpd_Avg '[m/s']]],0),"")</f>
        <v>0</v>
      </c>
      <c r="DS784" s="85">
        <f>(0.00002)^2*(10^(RecData[[#This Row],[Overall (dBA)]]/10))</f>
        <v>1.6523039247978518E-8</v>
      </c>
    </row>
    <row r="785" spans="1:123" ht="15" x14ac:dyDescent="0.25">
      <c r="A785" s="3" t="s">
        <v>249</v>
      </c>
      <c r="B785" s="12">
        <v>43273.207638888896</v>
      </c>
      <c r="C785" s="3"/>
      <c r="D785" s="3">
        <v>56.8</v>
      </c>
      <c r="E785" s="3"/>
      <c r="F785" s="3"/>
      <c r="G785" s="3"/>
      <c r="H785" s="3"/>
      <c r="I785" s="3"/>
      <c r="J785" s="3"/>
      <c r="K785" s="3">
        <v>27.1</v>
      </c>
      <c r="L785" s="3"/>
      <c r="M785" s="3"/>
      <c r="N785" s="3">
        <v>125.9</v>
      </c>
      <c r="O785" s="3"/>
      <c r="P785" s="3"/>
      <c r="Q785" s="3">
        <v>0.83</v>
      </c>
      <c r="R785" s="3">
        <v>0.7</v>
      </c>
      <c r="S785" s="3">
        <v>1</v>
      </c>
      <c r="T785" s="3">
        <v>5.7</v>
      </c>
      <c r="U785" s="3">
        <v>92.9</v>
      </c>
      <c r="V785" s="3">
        <v>970.5</v>
      </c>
      <c r="W785" s="3">
        <v>0</v>
      </c>
      <c r="X785" s="3">
        <v>27.3</v>
      </c>
      <c r="Y785" s="3">
        <v>27</v>
      </c>
      <c r="Z785" s="3">
        <v>27.5</v>
      </c>
      <c r="AA785" s="3">
        <v>24.5</v>
      </c>
      <c r="AB785" s="3">
        <v>19.100000000000001</v>
      </c>
      <c r="AC785" s="3">
        <v>14.6</v>
      </c>
      <c r="AD785" s="3">
        <v>16.8</v>
      </c>
      <c r="AE785" s="3">
        <v>18.899999999999999</v>
      </c>
      <c r="AF785" s="3">
        <v>21.7</v>
      </c>
      <c r="AG785" s="3">
        <v>19.2</v>
      </c>
      <c r="AH785" s="3">
        <v>19.2</v>
      </c>
      <c r="AI785" s="3">
        <v>20.100000000000001</v>
      </c>
      <c r="AJ785" s="3">
        <v>19.5</v>
      </c>
      <c r="AK785" s="3">
        <v>17.600000000000001</v>
      </c>
      <c r="AL785" s="3">
        <v>15.7</v>
      </c>
      <c r="AM785" s="3">
        <v>14.3</v>
      </c>
      <c r="AN785" s="3">
        <v>13</v>
      </c>
      <c r="AO785" s="3">
        <v>10.5</v>
      </c>
      <c r="AP785" s="3">
        <v>9.8000000000000007</v>
      </c>
      <c r="AQ785" s="3">
        <v>22</v>
      </c>
      <c r="AR785" s="3">
        <v>46.2</v>
      </c>
      <c r="AS785" s="3">
        <v>54.2</v>
      </c>
      <c r="AT785" s="3">
        <v>46.9</v>
      </c>
      <c r="AU785" s="3">
        <v>37.5</v>
      </c>
      <c r="AV785" s="3">
        <v>20.6</v>
      </c>
      <c r="AW785" s="3">
        <v>14.4</v>
      </c>
      <c r="AX785" s="3">
        <v>10.9</v>
      </c>
      <c r="AY785" s="3">
        <v>9.9</v>
      </c>
      <c r="AZ785" s="3">
        <v>0</v>
      </c>
      <c r="BA785" s="3">
        <v>0</v>
      </c>
      <c r="BB785" s="3">
        <v>0</v>
      </c>
      <c r="BC785" s="3">
        <v>56.804259622197115</v>
      </c>
      <c r="BD785" s="3">
        <v>27.295740377802879</v>
      </c>
      <c r="BE785" s="3">
        <v>26.995740377802882</v>
      </c>
      <c r="BF785" s="3">
        <v>26.255740377802887</v>
      </c>
      <c r="BG785" s="3">
        <v>23.582407044469541</v>
      </c>
      <c r="BH785" s="3">
        <v>18.32240704446955</v>
      </c>
      <c r="BI785" s="3">
        <v>14.235740377802877</v>
      </c>
      <c r="BJ785" s="3">
        <v>17.229073711136216</v>
      </c>
      <c r="BK785" s="3">
        <v>19.202407044469545</v>
      </c>
      <c r="BL785" s="3">
        <v>21.57574037780288</v>
      </c>
      <c r="BM785" s="3">
        <v>19.20907371113622</v>
      </c>
      <c r="BN785" s="3">
        <v>19.492407044469552</v>
      </c>
      <c r="BO785" s="3">
        <v>19.759073711136217</v>
      </c>
      <c r="BP785" s="3">
        <v>18.875740377802877</v>
      </c>
      <c r="BQ785" s="3">
        <v>17.392407044469543</v>
      </c>
      <c r="BR785" s="3">
        <v>15.81907371113622</v>
      </c>
      <c r="BS785" s="3">
        <v>14.222407044469556</v>
      </c>
      <c r="BT785" s="3">
        <v>13.119073711136217</v>
      </c>
      <c r="BU785" s="3">
        <v>10.585740377802885</v>
      </c>
      <c r="BV785" s="3">
        <v>9.6024070444695511</v>
      </c>
      <c r="BW785" s="3">
        <v>22.335740377802885</v>
      </c>
      <c r="BX785" s="3">
        <v>46.45574037780289</v>
      </c>
      <c r="BY785" s="3">
        <v>54.275740377802883</v>
      </c>
      <c r="BZ785" s="3">
        <v>47.105740377802881</v>
      </c>
      <c r="CA785" s="3">
        <v>37.80574037780287</v>
      </c>
      <c r="CB785" s="3">
        <v>20.342407044469546</v>
      </c>
      <c r="CC785" s="3">
        <v>14.355740377802881</v>
      </c>
      <c r="CD785" s="3">
        <v>10.162407044469553</v>
      </c>
      <c r="CE785" s="3">
        <v>9.3557403778028814</v>
      </c>
      <c r="CF785" s="3">
        <v>-0.93092628886378748</v>
      </c>
      <c r="CG785" s="3">
        <v>-1.4642596221971189</v>
      </c>
      <c r="CH785" s="3">
        <v>-2.5409262888637869</v>
      </c>
      <c r="CI785" s="13">
        <f>[1]!dbasum(RecData[[#This Row],[20]:[2000]],RecData[[#Headers],[20]:[2000]])</f>
        <v>47.679488353502066</v>
      </c>
      <c r="CJ785" s="14">
        <v>9748</v>
      </c>
      <c r="CK785" s="15" t="s">
        <v>249</v>
      </c>
      <c r="CL785" s="15">
        <f>RecData[[#This Row],[Start Time]]</f>
        <v>43273.207638888896</v>
      </c>
      <c r="CM785" s="16">
        <f>RecData[[#This Row],[Wind Speed avg]]</f>
        <v>0.83</v>
      </c>
      <c r="CN785" s="16">
        <f>RecData[[#This Row],[Wind Dir. avg]]</f>
        <v>125.9</v>
      </c>
      <c r="CO785" s="16">
        <f>RecData[[#This Row],[Amb. Humidity]]</f>
        <v>92.9</v>
      </c>
      <c r="CP785" s="16">
        <f>RecData[[#This Row],[Amb. Temperature]]</f>
        <v>5.7</v>
      </c>
      <c r="CQ785" s="17">
        <f>RecData[[#This Row],[Amb. Rain Gauge]]</f>
        <v>0</v>
      </c>
      <c r="CR785" s="4" t="s">
        <v>257</v>
      </c>
      <c r="CS785" s="4" t="s">
        <v>49</v>
      </c>
      <c r="CT785" s="70">
        <v>-10.0902252197265</v>
      </c>
      <c r="CU785" s="70">
        <v>218.00183105468699</v>
      </c>
      <c r="CV785" s="70">
        <v>2.7086181640625</v>
      </c>
      <c r="CW785" s="70">
        <v>8.3714523315429599</v>
      </c>
      <c r="CX785" s="4" t="s">
        <v>49</v>
      </c>
      <c r="CY785" s="69" t="s">
        <v>255</v>
      </c>
      <c r="CZ785" s="2" t="b">
        <f>IF($DP$1="YES",IF(RecData[[#This Row],[Power (kW)]]&gt;=$CR$3, TRUE,FALSE),TRUE)</f>
        <v>0</v>
      </c>
      <c r="DA785" s="16">
        <f>MIN(MOD(180-ABS(ABS($DA$1-RecData[Yaw Angle (°)])-180),360),MOD(180-ABS(ABS($DB$1-RecData[Yaw Angle (°)])-180),360))</f>
        <v>149.52809572300055</v>
      </c>
      <c r="DB785" s="2" t="str">
        <f>IF($DP$2="None","None",IF(RecData[[#This Row],[Relative Wind Direction]]&lt;=45,"DW",IF(RecData[[#This Row],[Relative Wind Direction]]&lt;=135,"CW","UW")))</f>
        <v>UW</v>
      </c>
      <c r="DC785" s="61">
        <v>-1</v>
      </c>
      <c r="DD785" s="61">
        <v>-1</v>
      </c>
      <c r="DE785" s="18" t="b">
        <v>0</v>
      </c>
      <c r="DF785" s="2" t="b">
        <f>IF(OR(RecData[[#This Row],[WSpd_Avg '[m/s']]]-RecData[[#This Row],[Wind Speed min]]&gt;=$DF$3,RecData[[#This Row],[Wind Speed max]]-RecData[[#This Row],[WSpd_Avg '[m/s']]]&gt;=$DF$2),TRUE,FALSE)</f>
        <v>0</v>
      </c>
      <c r="DG785" s="2" t="b">
        <f>RecData[[#This Row],[Temperature '[°C']]]&lt;=-20</f>
        <v>0</v>
      </c>
      <c r="DH785" s="18" t="b">
        <f>NOT(OR(MOD(RecData[[#This Row],[TIMESTAMP]],1)&gt;0.91632,MOD(RecData[[#This Row],[TIMESTAMP]],1)&lt;0.208681))</f>
        <v>0</v>
      </c>
      <c r="DI785" s="18" t="b">
        <f>RecData[[#This Row],[Overall (dBA)]]-RecData[[#This Row],[L90]]&gt;=$DS$4</f>
        <v>1</v>
      </c>
      <c r="DJ785" s="18" t="b">
        <f>RecData[[#This Row],[Overall (dBA)]]&gt;$DS$2</f>
        <v>0</v>
      </c>
      <c r="DK785" s="18" t="b">
        <f>RecData[[#This Row],[Overall (dBA)]]&lt;$DS$3</f>
        <v>0</v>
      </c>
      <c r="DL7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5" s="2">
        <f>IF(AND(RecData[[#This Row],[Turbines ON/OFF]] = "OFF", NOT(OR(RecData[[#This Row],[Junk?]]="YES",RecData[[#This Row],[Gust?]],RecData[[#This Row],[Rain?]:[Min SPL Threshold?]]))),1,0)</f>
        <v>0</v>
      </c>
      <c r="DN785" s="16">
        <f>RecData[[#This Row],[dBA Sum]]</f>
        <v>47.679488353502066</v>
      </c>
      <c r="DO785" s="16">
        <f>RecData[[#This Row],[LAF90.0]]</f>
        <v>27.1</v>
      </c>
      <c r="DP785" s="55" t="str">
        <f>IF(AND(RecData[[#This Row],[Useable TON Data?]],RecData[[#This Row],[Turbines ON/OFF]]="ON"),RecData[[#This Row],[dBA Sum]],"")</f>
        <v/>
      </c>
      <c r="DQ785" s="55" t="str">
        <f>IF(AND(RecData[[#This Row],[Useable Background Data?]],RecData[[#This Row],[Turbines ON/OFF]]="OFF"),RecData[[#This Row],[dBA Sum]],"")</f>
        <v/>
      </c>
      <c r="DR785" s="3" t="str">
        <f>IF(OR(RecData[[#This Row],[Useable TON Data?]],RecData[[#This Row],[Useable Background Data?]]),ROUND(RecData[[#This Row],[WSpd_Avg '[m/s']]],0),"")</f>
        <v/>
      </c>
      <c r="DS785" s="85">
        <f>(0.00002)^2*(10^(RecData[[#This Row],[Overall (dBA)]]/10))</f>
        <v>2.344276460326808E-5</v>
      </c>
    </row>
    <row r="786" spans="1:123" ht="15" x14ac:dyDescent="0.25">
      <c r="A786" s="3" t="s">
        <v>249</v>
      </c>
      <c r="B786" s="12">
        <v>43273.209722222222</v>
      </c>
      <c r="C786" s="3"/>
      <c r="D786" s="3">
        <v>49.7</v>
      </c>
      <c r="E786" s="3"/>
      <c r="F786" s="3"/>
      <c r="G786" s="3"/>
      <c r="H786" s="3"/>
      <c r="I786" s="3"/>
      <c r="J786" s="3"/>
      <c r="K786" s="3">
        <v>25</v>
      </c>
      <c r="L786" s="3"/>
      <c r="M786" s="3"/>
      <c r="N786" s="3">
        <v>133.1</v>
      </c>
      <c r="O786" s="3"/>
      <c r="P786" s="3"/>
      <c r="Q786" s="3">
        <v>0.61</v>
      </c>
      <c r="R786" s="3">
        <v>0.4</v>
      </c>
      <c r="S786" s="3">
        <v>0.9</v>
      </c>
      <c r="T786" s="3">
        <v>5.6</v>
      </c>
      <c r="U786" s="3">
        <v>92.9</v>
      </c>
      <c r="V786" s="3">
        <v>970.6</v>
      </c>
      <c r="W786" s="3">
        <v>0</v>
      </c>
      <c r="X786" s="3">
        <v>25.8</v>
      </c>
      <c r="Y786" s="3">
        <v>25.7</v>
      </c>
      <c r="Z786" s="3">
        <v>26.6</v>
      </c>
      <c r="AA786" s="3">
        <v>22.2</v>
      </c>
      <c r="AB786" s="3">
        <v>15.2</v>
      </c>
      <c r="AC786" s="3">
        <v>14</v>
      </c>
      <c r="AD786" s="3">
        <v>15.7</v>
      </c>
      <c r="AE786" s="3">
        <v>18.7</v>
      </c>
      <c r="AF786" s="3">
        <v>20.5</v>
      </c>
      <c r="AG786" s="3">
        <v>18</v>
      </c>
      <c r="AH786" s="3">
        <v>19.100000000000001</v>
      </c>
      <c r="AI786" s="3">
        <v>18.7</v>
      </c>
      <c r="AJ786" s="3">
        <v>18.399999999999999</v>
      </c>
      <c r="AK786" s="3">
        <v>15.7</v>
      </c>
      <c r="AL786" s="3">
        <v>13.8</v>
      </c>
      <c r="AM786" s="3">
        <v>12.9</v>
      </c>
      <c r="AN786" s="3">
        <v>11.8</v>
      </c>
      <c r="AO786" s="3">
        <v>9.8000000000000007</v>
      </c>
      <c r="AP786" s="3">
        <v>9</v>
      </c>
      <c r="AQ786" s="3">
        <v>18.7</v>
      </c>
      <c r="AR786" s="3">
        <v>39.1</v>
      </c>
      <c r="AS786" s="3">
        <v>46.7</v>
      </c>
      <c r="AT786" s="3">
        <v>40.6</v>
      </c>
      <c r="AU786" s="3">
        <v>35.5</v>
      </c>
      <c r="AV786" s="3">
        <v>21.2</v>
      </c>
      <c r="AW786" s="3">
        <v>12.8</v>
      </c>
      <c r="AX786" s="3">
        <v>11.1</v>
      </c>
      <c r="AY786" s="3">
        <v>11.4</v>
      </c>
      <c r="AZ786" s="3">
        <v>0</v>
      </c>
      <c r="BA786" s="3">
        <v>0</v>
      </c>
      <c r="BB786" s="3">
        <v>0</v>
      </c>
      <c r="BC786" s="3">
        <v>49.69714486156397</v>
      </c>
      <c r="BD786" s="3">
        <v>25.80285513843603</v>
      </c>
      <c r="BE786" s="3">
        <v>25.702855138436036</v>
      </c>
      <c r="BF786" s="3">
        <v>25.362855138436032</v>
      </c>
      <c r="BG786" s="3">
        <v>21.289521805102694</v>
      </c>
      <c r="BH786" s="3">
        <v>14.429521805102695</v>
      </c>
      <c r="BI786" s="3">
        <v>13.642855138436033</v>
      </c>
      <c r="BJ786" s="3">
        <v>16.136188471769373</v>
      </c>
      <c r="BK786" s="3">
        <v>19.009521805102693</v>
      </c>
      <c r="BL786" s="3">
        <v>20.382855138436028</v>
      </c>
      <c r="BM786" s="3">
        <v>18.016188471769368</v>
      </c>
      <c r="BN786" s="3">
        <v>19.399521805102694</v>
      </c>
      <c r="BO786" s="3">
        <v>18.366188471769362</v>
      </c>
      <c r="BP786" s="3">
        <v>17.782855138436034</v>
      </c>
      <c r="BQ786" s="3">
        <v>15.499521805102688</v>
      </c>
      <c r="BR786" s="3">
        <v>13.926188471769365</v>
      </c>
      <c r="BS786" s="3">
        <v>12.829521805102701</v>
      </c>
      <c r="BT786" s="3">
        <v>11.926188471769365</v>
      </c>
      <c r="BU786" s="3">
        <v>9.8928551384360333</v>
      </c>
      <c r="BV786" s="3">
        <v>8.8095218051026976</v>
      </c>
      <c r="BW786" s="3">
        <v>19.042855138436039</v>
      </c>
      <c r="BX786" s="3">
        <v>39.362855138436032</v>
      </c>
      <c r="BY786" s="3">
        <v>46.782855138436034</v>
      </c>
      <c r="BZ786" s="3">
        <v>40.812855138436035</v>
      </c>
      <c r="CA786" s="3">
        <v>35.812855138436021</v>
      </c>
      <c r="CB786" s="3">
        <v>20.949521805102705</v>
      </c>
      <c r="CC786" s="3">
        <v>12.762855138436031</v>
      </c>
      <c r="CD786" s="3">
        <v>10.369521805102707</v>
      </c>
      <c r="CE786" s="3">
        <v>10.862855138436032</v>
      </c>
      <c r="CF786" s="3">
        <v>-0.92381152823063672</v>
      </c>
      <c r="CG786" s="3">
        <v>-1.4571448615639682</v>
      </c>
      <c r="CH786" s="3">
        <v>-2.5338115282306362</v>
      </c>
      <c r="CI786" s="13">
        <f>[1]!dbasum(RecData[[#This Row],[20]:[2000]],RecData[[#Headers],[20]:[2000]])</f>
        <v>40.63769478705359</v>
      </c>
      <c r="CJ786" s="14">
        <v>9751</v>
      </c>
      <c r="CK786" s="15" t="s">
        <v>249</v>
      </c>
      <c r="CL786" s="15">
        <f>RecData[[#This Row],[Start Time]]</f>
        <v>43273.209722222222</v>
      </c>
      <c r="CM786" s="16">
        <f>RecData[[#This Row],[Wind Speed avg]]</f>
        <v>0.61</v>
      </c>
      <c r="CN786" s="16">
        <f>RecData[[#This Row],[Wind Dir. avg]]</f>
        <v>133.1</v>
      </c>
      <c r="CO786" s="16">
        <f>RecData[[#This Row],[Amb. Humidity]]</f>
        <v>92.9</v>
      </c>
      <c r="CP786" s="16">
        <f>RecData[[#This Row],[Amb. Temperature]]</f>
        <v>5.6</v>
      </c>
      <c r="CQ786" s="17">
        <f>RecData[[#This Row],[Amb. Rain Gauge]]</f>
        <v>0</v>
      </c>
      <c r="CR786" s="4" t="s">
        <v>257</v>
      </c>
      <c r="CS786" s="4" t="s">
        <v>49</v>
      </c>
      <c r="CT786" s="70">
        <v>-11.2303400039672</v>
      </c>
      <c r="CU786" s="70">
        <v>209.78712463378901</v>
      </c>
      <c r="CV786" s="70">
        <v>2.72319388389587</v>
      </c>
      <c r="CW786" s="70">
        <v>3.1646697521209699</v>
      </c>
      <c r="CX786" s="4" t="s">
        <v>49</v>
      </c>
      <c r="CY786" s="69" t="s">
        <v>255</v>
      </c>
      <c r="CZ786" s="2" t="b">
        <f>IF($DP$1="YES",IF(RecData[[#This Row],[Power (kW)]]&gt;=$CR$3, TRUE,FALSE),TRUE)</f>
        <v>0</v>
      </c>
      <c r="DA786" s="16">
        <f>MIN(MOD(180-ABS(ABS($DA$1-RecData[Yaw Angle (°)])-180),360),MOD(180-ABS(ABS($DB$1-RecData[Yaw Angle (°)])-180),360))</f>
        <v>157.74280214389853</v>
      </c>
      <c r="DB786" s="2" t="str">
        <f>IF($DP$2="None","None",IF(RecData[[#This Row],[Relative Wind Direction]]&lt;=45,"DW",IF(RecData[[#This Row],[Relative Wind Direction]]&lt;=135,"CW","UW")))</f>
        <v>UW</v>
      </c>
      <c r="DC786" s="61" t="e">
        <f>IF($CL786-$CL785&gt;1/24,#REF!,IF(SUM($CQ785:$CQ786)&gt;$DS$1,$DS$5,#REF!-1))</f>
        <v>#REF!</v>
      </c>
      <c r="DD786" s="61" t="e">
        <f>IF(#REF!-$CL786&gt;1/24,#REF!,IF(SUM($CQ785:$CQ786)&gt;$DS$1,$DS$6,#REF!-1))</f>
        <v>#REF!</v>
      </c>
      <c r="DE786" s="18" t="b">
        <v>0</v>
      </c>
      <c r="DF786" s="2" t="b">
        <f>IF(OR(RecData[[#This Row],[WSpd_Avg '[m/s']]]-RecData[[#This Row],[Wind Speed min]]&gt;=$DF$3,RecData[[#This Row],[Wind Speed max]]-RecData[[#This Row],[WSpd_Avg '[m/s']]]&gt;=$DF$2),TRUE,FALSE)</f>
        <v>0</v>
      </c>
      <c r="DG786" s="2" t="b">
        <f>RecData[[#This Row],[Temperature '[°C']]]&lt;=-20</f>
        <v>0</v>
      </c>
      <c r="DH786" s="18" t="b">
        <f>NOT(OR(MOD(RecData[[#This Row],[TIMESTAMP]],1)&gt;0.91632,MOD(RecData[[#This Row],[TIMESTAMP]],1)&lt;0.208681))</f>
        <v>1</v>
      </c>
      <c r="DI786" s="18" t="b">
        <f>RecData[[#This Row],[Overall (dBA)]]-RecData[[#This Row],[L90]]&gt;=$DS$4</f>
        <v>1</v>
      </c>
      <c r="DJ786" s="18" t="b">
        <f>RecData[[#This Row],[Overall (dBA)]]&gt;$DS$2</f>
        <v>0</v>
      </c>
      <c r="DK786" s="18" t="b">
        <f>RecData[[#This Row],[Overall (dBA)]]&lt;$DS$3</f>
        <v>0</v>
      </c>
      <c r="DL7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6" s="2">
        <f>IF(AND(RecData[[#This Row],[Turbines ON/OFF]] = "OFF", NOT(OR(RecData[[#This Row],[Junk?]]="YES",RecData[[#This Row],[Gust?]],RecData[[#This Row],[Rain?]:[Min SPL Threshold?]]))),1,0)</f>
        <v>0</v>
      </c>
      <c r="DN786" s="16">
        <f>RecData[[#This Row],[dBA Sum]]</f>
        <v>40.63769478705359</v>
      </c>
      <c r="DO786" s="16">
        <f>RecData[[#This Row],[LAF90.0]]</f>
        <v>25</v>
      </c>
      <c r="DP786" s="55" t="str">
        <f>IF(AND(RecData[[#This Row],[Useable TON Data?]],RecData[[#This Row],[Turbines ON/OFF]]="ON"),RecData[[#This Row],[dBA Sum]],"")</f>
        <v/>
      </c>
      <c r="DQ786" s="55" t="str">
        <f>IF(AND(RecData[[#This Row],[Useable Background Data?]],RecData[[#This Row],[Turbines ON/OFF]]="OFF"),RecData[[#This Row],[dBA Sum]],"")</f>
        <v/>
      </c>
      <c r="DR786" s="3" t="str">
        <f>IF(OR(RecData[[#This Row],[Useable TON Data?]],RecData[[#This Row],[Useable Background Data?]]),ROUND(RecData[[#This Row],[WSpd_Avg '[m/s']]],0),"")</f>
        <v/>
      </c>
      <c r="DS786" s="85">
        <f>(0.00002)^2*(10^(RecData[[#This Row],[Overall (dBA)]]/10))</f>
        <v>4.6326497850322813E-6</v>
      </c>
    </row>
    <row r="787" spans="1:123" ht="15" x14ac:dyDescent="0.25">
      <c r="A787" s="3" t="s">
        <v>249</v>
      </c>
      <c r="B787" s="12">
        <v>43273.993750000001</v>
      </c>
      <c r="C787" s="3"/>
      <c r="D787" s="3">
        <v>30.8</v>
      </c>
      <c r="E787" s="3"/>
      <c r="F787" s="3"/>
      <c r="G787" s="3"/>
      <c r="H787" s="3"/>
      <c r="I787" s="3"/>
      <c r="J787" s="3"/>
      <c r="K787" s="3">
        <v>20.7</v>
      </c>
      <c r="L787" s="3"/>
      <c r="M787" s="3"/>
      <c r="N787" s="3">
        <v>163.5</v>
      </c>
      <c r="O787" s="3"/>
      <c r="P787" s="3"/>
      <c r="Q787" s="3">
        <v>0.39</v>
      </c>
      <c r="R787" s="3">
        <v>0.3</v>
      </c>
      <c r="S787" s="3">
        <v>0.5</v>
      </c>
      <c r="T787" s="3">
        <v>12.3</v>
      </c>
      <c r="U787" s="3">
        <v>81</v>
      </c>
      <c r="V787" s="3">
        <v>967.5</v>
      </c>
      <c r="W787" s="3">
        <v>0</v>
      </c>
      <c r="X787" s="3">
        <v>26.6</v>
      </c>
      <c r="Y787" s="3">
        <v>25.9</v>
      </c>
      <c r="Z787" s="3">
        <v>24.4</v>
      </c>
      <c r="AA787" s="3">
        <v>21.9</v>
      </c>
      <c r="AB787" s="3">
        <v>21.5</v>
      </c>
      <c r="AC787" s="3">
        <v>21.5</v>
      </c>
      <c r="AD787" s="3">
        <v>21.6</v>
      </c>
      <c r="AE787" s="3">
        <v>19.899999999999999</v>
      </c>
      <c r="AF787" s="3">
        <v>15.3</v>
      </c>
      <c r="AG787" s="3">
        <v>12.2</v>
      </c>
      <c r="AH787" s="3">
        <v>9.3000000000000007</v>
      </c>
      <c r="AI787" s="3">
        <v>7.3</v>
      </c>
      <c r="AJ787" s="3">
        <v>7.9</v>
      </c>
      <c r="AK787" s="3">
        <v>7.4</v>
      </c>
      <c r="AL787" s="3">
        <v>6.2</v>
      </c>
      <c r="AM787" s="3">
        <v>5.8</v>
      </c>
      <c r="AN787" s="3">
        <v>6.2</v>
      </c>
      <c r="AO787" s="3">
        <v>6</v>
      </c>
      <c r="AP787" s="3">
        <v>5.7</v>
      </c>
      <c r="AQ787" s="3">
        <v>6.3</v>
      </c>
      <c r="AR787" s="3">
        <v>6.2</v>
      </c>
      <c r="AS787" s="3">
        <v>13.4</v>
      </c>
      <c r="AT787" s="3">
        <v>29.3</v>
      </c>
      <c r="AU787" s="3">
        <v>10.6</v>
      </c>
      <c r="AV787" s="3">
        <v>8.1</v>
      </c>
      <c r="AW787" s="3">
        <v>8.6</v>
      </c>
      <c r="AX787" s="3">
        <v>8.8000000000000007</v>
      </c>
      <c r="AY787" s="3">
        <v>9.1</v>
      </c>
      <c r="AZ787" s="3">
        <v>0</v>
      </c>
      <c r="BA787" s="3">
        <v>0</v>
      </c>
      <c r="BB787" s="3">
        <v>0</v>
      </c>
      <c r="BC787" s="3">
        <v>30.883202849464553</v>
      </c>
      <c r="BD787" s="3">
        <v>26.516797150535453</v>
      </c>
      <c r="BE787" s="3">
        <v>25.81679715053545</v>
      </c>
      <c r="BF787" s="3">
        <v>23.076797150535448</v>
      </c>
      <c r="BG787" s="3">
        <v>20.903463817202109</v>
      </c>
      <c r="BH787" s="3">
        <v>20.643463817202118</v>
      </c>
      <c r="BI787" s="3">
        <v>21.056797150535445</v>
      </c>
      <c r="BJ787" s="3">
        <v>21.950130483868783</v>
      </c>
      <c r="BK787" s="3">
        <v>20.123463817202108</v>
      </c>
      <c r="BL787" s="3">
        <v>15.096797150535451</v>
      </c>
      <c r="BM787" s="3">
        <v>12.130130483868783</v>
      </c>
      <c r="BN787" s="3">
        <v>9.5134638172021155</v>
      </c>
      <c r="BO787" s="3">
        <v>6.8801304838687827</v>
      </c>
      <c r="BP787" s="3">
        <v>7.1967971505354456</v>
      </c>
      <c r="BQ787" s="3">
        <v>7.1134638172021027</v>
      </c>
      <c r="BR787" s="3">
        <v>6.2401304838687821</v>
      </c>
      <c r="BS787" s="3">
        <v>5.6434638172021181</v>
      </c>
      <c r="BT787" s="3">
        <v>6.2401304838687821</v>
      </c>
      <c r="BU787" s="3">
        <v>6.0067971505354478</v>
      </c>
      <c r="BV787" s="3">
        <v>5.4234638172021192</v>
      </c>
      <c r="BW787" s="3">
        <v>6.5567971505354521</v>
      </c>
      <c r="BX787" s="3">
        <v>6.3767971505354524</v>
      </c>
      <c r="BY787" s="3">
        <v>13.396797150535448</v>
      </c>
      <c r="BZ787" s="3">
        <v>29.42679715053545</v>
      </c>
      <c r="CA787" s="3">
        <v>10.826797150535441</v>
      </c>
      <c r="CB787" s="3">
        <v>7.7634638172021155</v>
      </c>
      <c r="CC787" s="3">
        <v>8.4767971505354467</v>
      </c>
      <c r="CD787" s="3">
        <v>7.9834638172021215</v>
      </c>
      <c r="CE787" s="3">
        <v>8.4767971505354467</v>
      </c>
      <c r="CF787" s="3">
        <v>-1.0098695161312179</v>
      </c>
      <c r="CG787" s="3">
        <v>-1.5432028494645493</v>
      </c>
      <c r="CH787" s="3">
        <v>-2.6198695161312173</v>
      </c>
      <c r="CI787" s="13">
        <f>[1]!dbasum(RecData[[#This Row],[20]:[2000]],RecData[[#Headers],[20]:[2000]])</f>
        <v>15.521163180371893</v>
      </c>
      <c r="CJ787" s="14">
        <v>9864</v>
      </c>
      <c r="CK787" s="15" t="s">
        <v>249</v>
      </c>
      <c r="CL787" s="15">
        <f>RecData[[#This Row],[Start Time]]</f>
        <v>43273.993750000001</v>
      </c>
      <c r="CM787" s="16">
        <f>RecData[[#This Row],[Wind Speed avg]]</f>
        <v>0.39</v>
      </c>
      <c r="CN787" s="16">
        <f>RecData[[#This Row],[Wind Dir. avg]]</f>
        <v>163.5</v>
      </c>
      <c r="CO787" s="16">
        <f>RecData[[#This Row],[Amb. Humidity]]</f>
        <v>81</v>
      </c>
      <c r="CP787" s="16">
        <f>RecData[[#This Row],[Amb. Temperature]]</f>
        <v>12.3</v>
      </c>
      <c r="CQ787" s="17">
        <f>RecData[[#This Row],[Amb. Rain Gauge]]</f>
        <v>0</v>
      </c>
      <c r="CR787" s="4" t="s">
        <v>50</v>
      </c>
      <c r="CS787" s="4" t="s">
        <v>49</v>
      </c>
      <c r="CT787" s="70">
        <v>-8.8684825897216797</v>
      </c>
      <c r="CU787" s="70">
        <v>175.00148010253901</v>
      </c>
      <c r="CV787" s="70">
        <v>1.1239151954650799</v>
      </c>
      <c r="CW787" s="70">
        <v>0</v>
      </c>
      <c r="CX787" s="109"/>
      <c r="CY787" s="110"/>
      <c r="CZ787" s="2" t="b">
        <f>IF($DP$1="YES",IF(RecData[[#This Row],[Power (kW)]]&gt;=$CR$3, TRUE,FALSE),TRUE)</f>
        <v>0</v>
      </c>
      <c r="DA787" s="16">
        <f>MIN(MOD(180-ABS(ABS($DA$1-RecData[Yaw Angle (°)])-180),360),MOD(180-ABS(ABS($DB$1-RecData[Yaw Angle (°)])-180),360))</f>
        <v>167.47155332485147</v>
      </c>
      <c r="DB787" s="2" t="str">
        <f>IF($DP$2="None","None",IF(RecData[[#This Row],[Relative Wind Direction]]&lt;=45,"DW",IF(RecData[[#This Row],[Relative Wind Direction]]&lt;=135,"CW","UW")))</f>
        <v>UW</v>
      </c>
      <c r="DC787" s="61" t="e">
        <f>IF($CL787-#REF!&gt;1/24,#REF!,IF(SUM($CQ787:$CQ787)&gt;$DS$1,$DS$5,DC788-1))</f>
        <v>#REF!</v>
      </c>
      <c r="DD787" s="61" t="e">
        <f>IF($CL788-$CL787&gt;1/24,#REF!,IF(SUM($CQ787:$CQ787)&gt;$DS$1,$DS$6,#REF!-1))</f>
        <v>#REF!</v>
      </c>
      <c r="DE787" s="18" t="b">
        <v>0</v>
      </c>
      <c r="DF787" s="2" t="b">
        <f>IF(OR(RecData[[#This Row],[WSpd_Avg '[m/s']]]-RecData[[#This Row],[Wind Speed min]]&gt;=$DF$3,RecData[[#This Row],[Wind Speed max]]-RecData[[#This Row],[WSpd_Avg '[m/s']]]&gt;=$DF$2),TRUE,FALSE)</f>
        <v>0</v>
      </c>
      <c r="DG787" s="2" t="b">
        <f>RecData[[#This Row],[Temperature '[°C']]]&lt;=-20</f>
        <v>0</v>
      </c>
      <c r="DH787" s="18" t="b">
        <f>NOT(OR(MOD(RecData[[#This Row],[TIMESTAMP]],1)&gt;0.91632,MOD(RecData[[#This Row],[TIMESTAMP]],1)&lt;0.208681))</f>
        <v>0</v>
      </c>
      <c r="DI787" s="18" t="b">
        <f>RecData[[#This Row],[Overall (dBA)]]-RecData[[#This Row],[L90]]&gt;=$DS$4</f>
        <v>0</v>
      </c>
      <c r="DJ787" s="18" t="b">
        <f>RecData[[#This Row],[Overall (dBA)]]&gt;$DS$2</f>
        <v>0</v>
      </c>
      <c r="DK787" s="18" t="b">
        <f>RecData[[#This Row],[Overall (dBA)]]&lt;$DS$3</f>
        <v>0</v>
      </c>
      <c r="DL7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7" s="2">
        <f>IF(AND(RecData[[#This Row],[Turbines ON/OFF]] = "OFF", NOT(OR(RecData[[#This Row],[Junk?]]="YES",RecData[[#This Row],[Gust?]],RecData[[#This Row],[Rain?]:[Min SPL Threshold?]]))),1,0)</f>
        <v>1</v>
      </c>
      <c r="DN787" s="16">
        <f>RecData[[#This Row],[dBA Sum]]</f>
        <v>15.521163180371893</v>
      </c>
      <c r="DO787" s="16">
        <f>RecData[[#This Row],[LAF90.0]]</f>
        <v>20.7</v>
      </c>
      <c r="DP787" s="55" t="str">
        <f>IF(AND(RecData[[#This Row],[Useable TON Data?]],RecData[[#This Row],[Turbines ON/OFF]]="ON"),RecData[[#This Row],[dBA Sum]],"")</f>
        <v/>
      </c>
      <c r="DQ787" s="55">
        <f>IF(AND(RecData[[#This Row],[Useable Background Data?]],RecData[[#This Row],[Turbines ON/OFF]]="OFF"),RecData[[#This Row],[dBA Sum]],"")</f>
        <v>15.521163180371893</v>
      </c>
      <c r="DR787" s="3">
        <f>IF(OR(RecData[[#This Row],[Useable TON Data?]],RecData[[#This Row],[Useable Background Data?]]),ROUND(RecData[[#This Row],[WSpd_Avg '[m/s']]],0),"")</f>
        <v>0</v>
      </c>
      <c r="DS787" s="85">
        <f>(0.00002)^2*(10^(RecData[[#This Row],[Overall (dBA)]]/10))</f>
        <v>1.4261864611832756E-8</v>
      </c>
    </row>
    <row r="788" spans="1:123" ht="15" x14ac:dyDescent="0.25">
      <c r="A788" s="3" t="s">
        <v>249</v>
      </c>
      <c r="B788" s="12">
        <v>43273.994444444448</v>
      </c>
      <c r="C788" s="3"/>
      <c r="D788" s="3">
        <v>29.5</v>
      </c>
      <c r="E788" s="3"/>
      <c r="F788" s="3"/>
      <c r="G788" s="3"/>
      <c r="H788" s="3"/>
      <c r="I788" s="3"/>
      <c r="J788" s="3"/>
      <c r="K788" s="3">
        <v>19.2</v>
      </c>
      <c r="L788" s="3"/>
      <c r="M788" s="3"/>
      <c r="N788" s="3">
        <v>165.7</v>
      </c>
      <c r="O788" s="3"/>
      <c r="P788" s="3"/>
      <c r="Q788" s="3">
        <v>0.43</v>
      </c>
      <c r="R788" s="3">
        <v>0.3</v>
      </c>
      <c r="S788" s="3">
        <v>0.5</v>
      </c>
      <c r="T788" s="3">
        <v>12.3</v>
      </c>
      <c r="U788" s="3">
        <v>80.2</v>
      </c>
      <c r="V788" s="3">
        <v>967.5</v>
      </c>
      <c r="W788" s="3">
        <v>0</v>
      </c>
      <c r="X788" s="3">
        <v>22.4</v>
      </c>
      <c r="Y788" s="3">
        <v>21.6</v>
      </c>
      <c r="Z788" s="3">
        <v>23</v>
      </c>
      <c r="AA788" s="3">
        <v>21.6</v>
      </c>
      <c r="AB788" s="3">
        <v>18.8</v>
      </c>
      <c r="AC788" s="3">
        <v>22.8</v>
      </c>
      <c r="AD788" s="3">
        <v>18.600000000000001</v>
      </c>
      <c r="AE788" s="3">
        <v>14.5</v>
      </c>
      <c r="AF788" s="3">
        <v>12.2</v>
      </c>
      <c r="AG788" s="3">
        <v>13.3</v>
      </c>
      <c r="AH788" s="3">
        <v>8.4</v>
      </c>
      <c r="AI788" s="3">
        <v>8</v>
      </c>
      <c r="AJ788" s="3">
        <v>8.6</v>
      </c>
      <c r="AK788" s="3">
        <v>7.8</v>
      </c>
      <c r="AL788" s="3">
        <v>6.8</v>
      </c>
      <c r="AM788" s="3">
        <v>7.4</v>
      </c>
      <c r="AN788" s="3">
        <v>7.4</v>
      </c>
      <c r="AO788" s="3">
        <v>7.1</v>
      </c>
      <c r="AP788" s="3">
        <v>7.7</v>
      </c>
      <c r="AQ788" s="3">
        <v>7.1</v>
      </c>
      <c r="AR788" s="3">
        <v>7.4</v>
      </c>
      <c r="AS788" s="3">
        <v>14.6</v>
      </c>
      <c r="AT788" s="3">
        <v>27.7</v>
      </c>
      <c r="AU788" s="3">
        <v>9.3000000000000007</v>
      </c>
      <c r="AV788" s="3">
        <v>8.1999999999999993</v>
      </c>
      <c r="AW788" s="3">
        <v>8.6999999999999993</v>
      </c>
      <c r="AX788" s="3">
        <v>8.8000000000000007</v>
      </c>
      <c r="AY788" s="3">
        <v>9.1</v>
      </c>
      <c r="AZ788" s="3">
        <v>0</v>
      </c>
      <c r="BA788" s="3">
        <v>0</v>
      </c>
      <c r="BB788" s="3">
        <v>0</v>
      </c>
      <c r="BC788" s="3">
        <v>29.512523089345137</v>
      </c>
      <c r="BD788" s="3">
        <v>22.387476910654861</v>
      </c>
      <c r="BE788" s="3">
        <v>21.587476910654864</v>
      </c>
      <c r="BF788" s="3">
        <v>21.747476910654868</v>
      </c>
      <c r="BG788" s="3">
        <v>20.67414357732153</v>
      </c>
      <c r="BH788" s="3">
        <v>18.014143577321533</v>
      </c>
      <c r="BI788" s="3">
        <v>22.42747691065486</v>
      </c>
      <c r="BJ788" s="3">
        <v>19.020810243988194</v>
      </c>
      <c r="BK788" s="3">
        <v>14.794143577321528</v>
      </c>
      <c r="BL788" s="3">
        <v>12.067476910654861</v>
      </c>
      <c r="BM788" s="3">
        <v>13.300810243988195</v>
      </c>
      <c r="BN788" s="3">
        <v>8.6841435773215281</v>
      </c>
      <c r="BO788" s="3">
        <v>7.6508102439881966</v>
      </c>
      <c r="BP788" s="3">
        <v>7.9674769106548595</v>
      </c>
      <c r="BQ788" s="3">
        <v>7.5841435773215196</v>
      </c>
      <c r="BR788" s="3">
        <v>6.9108102439881947</v>
      </c>
      <c r="BS788" s="3">
        <v>7.3141435773215306</v>
      </c>
      <c r="BT788" s="3">
        <v>7.5108102439881961</v>
      </c>
      <c r="BU788" s="3">
        <v>7.1774769106548675</v>
      </c>
      <c r="BV788" s="3">
        <v>7.4941435773215304</v>
      </c>
      <c r="BW788" s="3">
        <v>7.4274769106548675</v>
      </c>
      <c r="BX788" s="3">
        <v>7.6474769106548663</v>
      </c>
      <c r="BY788" s="3">
        <v>14.667476910654862</v>
      </c>
      <c r="BZ788" s="3">
        <v>27.897476910654866</v>
      </c>
      <c r="CA788" s="3">
        <v>9.597476910654855</v>
      </c>
      <c r="CB788" s="3">
        <v>7.9341435773215281</v>
      </c>
      <c r="CC788" s="3">
        <v>8.6474769106548592</v>
      </c>
      <c r="CD788" s="3">
        <v>8.0541435773215326</v>
      </c>
      <c r="CE788" s="3">
        <v>8.5474769106548649</v>
      </c>
      <c r="CF788" s="3">
        <v>-0.93918975601180321</v>
      </c>
      <c r="CG788" s="3">
        <v>-1.4725230893451347</v>
      </c>
      <c r="CH788" s="3">
        <v>-2.5491897560118026</v>
      </c>
      <c r="CI788" s="13">
        <f>[1]!dbasum(RecData[[#This Row],[20]:[2000]],RecData[[#Headers],[20]:[2000]])</f>
        <v>16.447948562508532</v>
      </c>
      <c r="CJ788" s="14">
        <v>9865</v>
      </c>
      <c r="CK788" s="15" t="s">
        <v>249</v>
      </c>
      <c r="CL788" s="15">
        <f>RecData[[#This Row],[Start Time]]</f>
        <v>43273.994444444448</v>
      </c>
      <c r="CM788" s="16">
        <f>RecData[[#This Row],[Wind Speed avg]]</f>
        <v>0.43</v>
      </c>
      <c r="CN788" s="16">
        <f>RecData[[#This Row],[Wind Dir. avg]]</f>
        <v>165.7</v>
      </c>
      <c r="CO788" s="16">
        <f>RecData[[#This Row],[Amb. Humidity]]</f>
        <v>80.2</v>
      </c>
      <c r="CP788" s="16">
        <f>RecData[[#This Row],[Amb. Temperature]]</f>
        <v>12.3</v>
      </c>
      <c r="CQ788" s="17">
        <f>RecData[[#This Row],[Amb. Rain Gauge]]</f>
        <v>0</v>
      </c>
      <c r="CR788" s="4" t="s">
        <v>50</v>
      </c>
      <c r="CS788" s="4" t="s">
        <v>49</v>
      </c>
      <c r="CT788" s="70">
        <v>-8.8684825897216797</v>
      </c>
      <c r="CU788" s="70">
        <v>175.00148010253901</v>
      </c>
      <c r="CV788" s="70">
        <v>1.1239151954650799</v>
      </c>
      <c r="CW788" s="70">
        <v>0</v>
      </c>
      <c r="CX788" s="109"/>
      <c r="CY788" s="110"/>
      <c r="CZ788" s="2" t="b">
        <f>IF($DP$1="YES",IF(RecData[[#This Row],[Power (kW)]]&gt;=$CR$3, TRUE,FALSE),TRUE)</f>
        <v>0</v>
      </c>
      <c r="DA788" s="16">
        <f>MIN(MOD(180-ABS(ABS($DA$1-RecData[Yaw Angle (°)])-180),360),MOD(180-ABS(ABS($DB$1-RecData[Yaw Angle (°)])-180),360))</f>
        <v>167.47155332485147</v>
      </c>
      <c r="DB788" s="2" t="str">
        <f>IF($DP$2="None","None",IF(RecData[[#This Row],[Relative Wind Direction]]&lt;=45,"DW",IF(RecData[[#This Row],[Relative Wind Direction]]&lt;=135,"CW","UW")))</f>
        <v>UW</v>
      </c>
      <c r="DC788" s="61">
        <v>-1</v>
      </c>
      <c r="DD788" s="61">
        <v>-1</v>
      </c>
      <c r="DE788" s="18" t="b">
        <v>0</v>
      </c>
      <c r="DF788" s="2" t="b">
        <f>IF(OR(RecData[[#This Row],[WSpd_Avg '[m/s']]]-RecData[[#This Row],[Wind Speed min]]&gt;=$DF$3,RecData[[#This Row],[Wind Speed max]]-RecData[[#This Row],[WSpd_Avg '[m/s']]]&gt;=$DF$2),TRUE,FALSE)</f>
        <v>0</v>
      </c>
      <c r="DG788" s="2" t="b">
        <f>RecData[[#This Row],[Temperature '[°C']]]&lt;=-20</f>
        <v>0</v>
      </c>
      <c r="DH788" s="18" t="b">
        <f>NOT(OR(MOD(RecData[[#This Row],[TIMESTAMP]],1)&gt;0.91632,MOD(RecData[[#This Row],[TIMESTAMP]],1)&lt;0.208681))</f>
        <v>0</v>
      </c>
      <c r="DI788" s="18" t="b">
        <f>RecData[[#This Row],[Overall (dBA)]]-RecData[[#This Row],[L90]]&gt;=$DS$4</f>
        <v>0</v>
      </c>
      <c r="DJ788" s="18" t="b">
        <f>RecData[[#This Row],[Overall (dBA)]]&gt;$DS$2</f>
        <v>0</v>
      </c>
      <c r="DK788" s="18" t="b">
        <f>RecData[[#This Row],[Overall (dBA)]]&lt;$DS$3</f>
        <v>0</v>
      </c>
      <c r="DL7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8" s="2">
        <f>IF(AND(RecData[[#This Row],[Turbines ON/OFF]] = "OFF", NOT(OR(RecData[[#This Row],[Junk?]]="YES",RecData[[#This Row],[Gust?]],RecData[[#This Row],[Rain?]:[Min SPL Threshold?]]))),1,0)</f>
        <v>1</v>
      </c>
      <c r="DN788" s="16">
        <f>RecData[[#This Row],[dBA Sum]]</f>
        <v>16.447948562508532</v>
      </c>
      <c r="DO788" s="16">
        <f>RecData[[#This Row],[LAF90.0]]</f>
        <v>19.2</v>
      </c>
      <c r="DP788" s="55" t="str">
        <f>IF(AND(RecData[[#This Row],[Useable TON Data?]],RecData[[#This Row],[Turbines ON/OFF]]="ON"),RecData[[#This Row],[dBA Sum]],"")</f>
        <v/>
      </c>
      <c r="DQ788" s="55">
        <f>IF(AND(RecData[[#This Row],[Useable Background Data?]],RecData[[#This Row],[Turbines ON/OFF]]="OFF"),RecData[[#This Row],[dBA Sum]],"")</f>
        <v>16.447948562508532</v>
      </c>
      <c r="DR788" s="3">
        <f>IF(OR(RecData[[#This Row],[Useable TON Data?]],RecData[[#This Row],[Useable Background Data?]]),ROUND(RecData[[#This Row],[WSpd_Avg '[m/s']]],0),"")</f>
        <v>0</v>
      </c>
      <c r="DS788" s="85">
        <f>(0.00002)^2*(10^(RecData[[#This Row],[Overall (dBA)]]/10))</f>
        <v>1.7654476639088463E-8</v>
      </c>
    </row>
    <row r="789" spans="1:123" ht="15" x14ac:dyDescent="0.25">
      <c r="A789" s="3" t="s">
        <v>249</v>
      </c>
      <c r="B789" s="12">
        <v>43273.995138888895</v>
      </c>
      <c r="C789" s="3"/>
      <c r="D789" s="3">
        <v>29.3</v>
      </c>
      <c r="E789" s="3"/>
      <c r="F789" s="3"/>
      <c r="G789" s="3"/>
      <c r="H789" s="3"/>
      <c r="I789" s="3"/>
      <c r="J789" s="3"/>
      <c r="K789" s="3">
        <v>19.399999999999999</v>
      </c>
      <c r="L789" s="3"/>
      <c r="M789" s="3"/>
      <c r="N789" s="3">
        <v>162</v>
      </c>
      <c r="O789" s="3"/>
      <c r="P789" s="3"/>
      <c r="Q789" s="3">
        <v>0.41</v>
      </c>
      <c r="R789" s="3">
        <v>0.3</v>
      </c>
      <c r="S789" s="3">
        <v>0.5</v>
      </c>
      <c r="T789" s="3">
        <v>12.3</v>
      </c>
      <c r="U789" s="3">
        <v>79.2</v>
      </c>
      <c r="V789" s="3">
        <v>967.5</v>
      </c>
      <c r="W789" s="3">
        <v>0</v>
      </c>
      <c r="X789" s="3">
        <v>18.899999999999999</v>
      </c>
      <c r="Y789" s="3">
        <v>16.8</v>
      </c>
      <c r="Z789" s="3">
        <v>15.5</v>
      </c>
      <c r="AA789" s="3">
        <v>13.7</v>
      </c>
      <c r="AB789" s="3">
        <v>11.4</v>
      </c>
      <c r="AC789" s="3">
        <v>7.3</v>
      </c>
      <c r="AD789" s="3">
        <v>7.1</v>
      </c>
      <c r="AE789" s="3">
        <v>8.8000000000000007</v>
      </c>
      <c r="AF789" s="3">
        <v>11.8</v>
      </c>
      <c r="AG789" s="3">
        <v>11.7</v>
      </c>
      <c r="AH789" s="3">
        <v>7.8</v>
      </c>
      <c r="AI789" s="3">
        <v>7.2</v>
      </c>
      <c r="AJ789" s="3">
        <v>7.9</v>
      </c>
      <c r="AK789" s="3">
        <v>7.3</v>
      </c>
      <c r="AL789" s="3">
        <v>6.8</v>
      </c>
      <c r="AM789" s="3">
        <v>5.7</v>
      </c>
      <c r="AN789" s="3">
        <v>6.1</v>
      </c>
      <c r="AO789" s="3">
        <v>6.1</v>
      </c>
      <c r="AP789" s="3">
        <v>5.7</v>
      </c>
      <c r="AQ789" s="3">
        <v>6.1</v>
      </c>
      <c r="AR789" s="3">
        <v>6.1</v>
      </c>
      <c r="AS789" s="3">
        <v>12.5</v>
      </c>
      <c r="AT789" s="3">
        <v>27.7</v>
      </c>
      <c r="AU789" s="3">
        <v>9</v>
      </c>
      <c r="AV789" s="3">
        <v>8.1</v>
      </c>
      <c r="AW789" s="3">
        <v>8.6999999999999993</v>
      </c>
      <c r="AX789" s="3">
        <v>8.9</v>
      </c>
      <c r="AY789" s="3">
        <v>9.1999999999999993</v>
      </c>
      <c r="AZ789" s="3">
        <v>0</v>
      </c>
      <c r="BA789" s="3">
        <v>0</v>
      </c>
      <c r="BB789" s="3">
        <v>0</v>
      </c>
      <c r="BC789" s="3">
        <v>29.38073118866043</v>
      </c>
      <c r="BD789" s="3">
        <v>18.819268811339573</v>
      </c>
      <c r="BE789" s="3">
        <v>16.719268811339571</v>
      </c>
      <c r="BF789" s="3">
        <v>14.179268811339572</v>
      </c>
      <c r="BG789" s="3">
        <v>12.705935478006236</v>
      </c>
      <c r="BH789" s="3">
        <v>10.545935478006239</v>
      </c>
      <c r="BI789" s="3">
        <v>6.8592688113395717</v>
      </c>
      <c r="BJ789" s="3">
        <v>7.4526021446729054</v>
      </c>
      <c r="BK789" s="3">
        <v>9.025935478006236</v>
      </c>
      <c r="BL789" s="3">
        <v>11.599268811339574</v>
      </c>
      <c r="BM789" s="3">
        <v>11.632602144672905</v>
      </c>
      <c r="BN789" s="3">
        <v>8.015935478006238</v>
      </c>
      <c r="BO789" s="3">
        <v>6.7826021446729108</v>
      </c>
      <c r="BP789" s="3">
        <v>7.199268811339568</v>
      </c>
      <c r="BQ789" s="3">
        <v>7.0159354780062309</v>
      </c>
      <c r="BR789" s="3">
        <v>6.842602144672906</v>
      </c>
      <c r="BS789" s="3">
        <v>5.5459354780062391</v>
      </c>
      <c r="BT789" s="3">
        <v>6.1426021446729031</v>
      </c>
      <c r="BU789" s="3">
        <v>6.1092688113395717</v>
      </c>
      <c r="BV789" s="3">
        <v>5.4259354780062417</v>
      </c>
      <c r="BW789" s="3">
        <v>6.3592688113395717</v>
      </c>
      <c r="BX789" s="3">
        <v>6.2792688113395734</v>
      </c>
      <c r="BY789" s="3">
        <v>12.499268811339565</v>
      </c>
      <c r="BZ789" s="3">
        <v>27.829268811339578</v>
      </c>
      <c r="CA789" s="3">
        <v>9.229268811339562</v>
      </c>
      <c r="CB789" s="3">
        <v>7.765935478006238</v>
      </c>
      <c r="CC789" s="3">
        <v>8.5792688113395705</v>
      </c>
      <c r="CD789" s="3">
        <v>8.0859354780062382</v>
      </c>
      <c r="CE789" s="3">
        <v>8.5792688113395705</v>
      </c>
      <c r="CF789" s="3">
        <v>-1.0073978553270955</v>
      </c>
      <c r="CG789" s="3">
        <v>-1.5407311886604269</v>
      </c>
      <c r="CH789" s="3">
        <v>-2.6173978553270949</v>
      </c>
      <c r="CI789" s="13">
        <f>[1]!dbasum(RecData[[#This Row],[20]:[2000]],RecData[[#Headers],[20]:[2000]])</f>
        <v>15.088499733375063</v>
      </c>
      <c r="CJ789" s="14">
        <v>9866</v>
      </c>
      <c r="CK789" s="15" t="s">
        <v>249</v>
      </c>
      <c r="CL789" s="15">
        <f>RecData[[#This Row],[Start Time]]</f>
        <v>43273.995138888895</v>
      </c>
      <c r="CM789" s="16">
        <f>RecData[[#This Row],[Wind Speed avg]]</f>
        <v>0.41</v>
      </c>
      <c r="CN789" s="16">
        <f>RecData[[#This Row],[Wind Dir. avg]]</f>
        <v>162</v>
      </c>
      <c r="CO789" s="16">
        <f>RecData[[#This Row],[Amb. Humidity]]</f>
        <v>79.2</v>
      </c>
      <c r="CP789" s="16">
        <f>RecData[[#This Row],[Amb. Temperature]]</f>
        <v>12.3</v>
      </c>
      <c r="CQ789" s="17">
        <f>RecData[[#This Row],[Amb. Rain Gauge]]</f>
        <v>0</v>
      </c>
      <c r="CR789" s="4" t="s">
        <v>50</v>
      </c>
      <c r="CS789" s="4" t="s">
        <v>49</v>
      </c>
      <c r="CT789" s="70">
        <v>-8.8684825897216797</v>
      </c>
      <c r="CU789" s="70">
        <v>175.00148010253901</v>
      </c>
      <c r="CV789" s="70">
        <v>1.1239151954650799</v>
      </c>
      <c r="CW789" s="70">
        <v>0</v>
      </c>
      <c r="CX789" s="109"/>
      <c r="CY789" s="110"/>
      <c r="CZ789" s="2" t="b">
        <f>IF($DP$1="YES",IF(RecData[[#This Row],[Power (kW)]]&gt;=$CR$3, TRUE,FALSE),TRUE)</f>
        <v>0</v>
      </c>
      <c r="DA789" s="16">
        <f>MIN(MOD(180-ABS(ABS($DA$1-RecData[Yaw Angle (°)])-180),360),MOD(180-ABS(ABS($DB$1-RecData[Yaw Angle (°)])-180),360))</f>
        <v>167.47155332485147</v>
      </c>
      <c r="DB789" s="2" t="str">
        <f>IF($DP$2="None","None",IF(RecData[[#This Row],[Relative Wind Direction]]&lt;=45,"DW",IF(RecData[[#This Row],[Relative Wind Direction]]&lt;=135,"CW","UW")))</f>
        <v>UW</v>
      </c>
      <c r="DC789" s="61">
        <f>IF($CL789-$CL788&gt;1/24,#REF!,IF(SUM($CQ788:$CQ789)&gt;$DS$1,$DS$5,DC790-1))</f>
        <v>-9</v>
      </c>
      <c r="DD789" s="61">
        <f>IF($CL790-$CL789&gt;1/24,#REF!,IF(SUM($CQ788:$CQ789)&gt;$DS$1,$DS$6,DD788-1))</f>
        <v>-2</v>
      </c>
      <c r="DE789" s="18" t="b">
        <v>0</v>
      </c>
      <c r="DF789" s="2" t="b">
        <f>IF(OR(RecData[[#This Row],[WSpd_Avg '[m/s']]]-RecData[[#This Row],[Wind Speed min]]&gt;=$DF$3,RecData[[#This Row],[Wind Speed max]]-RecData[[#This Row],[WSpd_Avg '[m/s']]]&gt;=$DF$2),TRUE,FALSE)</f>
        <v>0</v>
      </c>
      <c r="DG789" s="2" t="b">
        <f>RecData[[#This Row],[Temperature '[°C']]]&lt;=-20</f>
        <v>0</v>
      </c>
      <c r="DH789" s="18" t="b">
        <f>NOT(OR(MOD(RecData[[#This Row],[TIMESTAMP]],1)&gt;0.91632,MOD(RecData[[#This Row],[TIMESTAMP]],1)&lt;0.208681))</f>
        <v>0</v>
      </c>
      <c r="DI789" s="18" t="b">
        <f>RecData[[#This Row],[Overall (dBA)]]-RecData[[#This Row],[L90]]&gt;=$DS$4</f>
        <v>0</v>
      </c>
      <c r="DJ789" s="18" t="b">
        <f>RecData[[#This Row],[Overall (dBA)]]&gt;$DS$2</f>
        <v>0</v>
      </c>
      <c r="DK789" s="18" t="b">
        <f>RecData[[#This Row],[Overall (dBA)]]&lt;$DS$3</f>
        <v>0</v>
      </c>
      <c r="DL7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89" s="2">
        <f>IF(AND(RecData[[#This Row],[Turbines ON/OFF]] = "OFF", NOT(OR(RecData[[#This Row],[Junk?]]="YES",RecData[[#This Row],[Gust?]],RecData[[#This Row],[Rain?]:[Min SPL Threshold?]]))),1,0)</f>
        <v>1</v>
      </c>
      <c r="DN789" s="16">
        <f>RecData[[#This Row],[dBA Sum]]</f>
        <v>15.088499733375063</v>
      </c>
      <c r="DO789" s="16">
        <f>RecData[[#This Row],[LAF90.0]]</f>
        <v>19.399999999999999</v>
      </c>
      <c r="DP789" s="55" t="str">
        <f>IF(AND(RecData[[#This Row],[Useable TON Data?]],RecData[[#This Row],[Turbines ON/OFF]]="ON"),RecData[[#This Row],[dBA Sum]],"")</f>
        <v/>
      </c>
      <c r="DQ789" s="55">
        <f>IF(AND(RecData[[#This Row],[Useable Background Data?]],RecData[[#This Row],[Turbines ON/OFF]]="OFF"),RecData[[#This Row],[dBA Sum]],"")</f>
        <v>15.088499733375063</v>
      </c>
      <c r="DR789" s="3">
        <f>IF(OR(RecData[[#This Row],[Useable TON Data?]],RecData[[#This Row],[Useable Background Data?]]),ROUND(RecData[[#This Row],[WSpd_Avg '[m/s']]],0),"")</f>
        <v>0</v>
      </c>
      <c r="DS789" s="85">
        <f>(0.00002)^2*(10^(RecData[[#This Row],[Overall (dBA)]]/10))</f>
        <v>1.290951613502143E-8</v>
      </c>
    </row>
    <row r="790" spans="1:123" ht="15" x14ac:dyDescent="0.25">
      <c r="A790" s="3" t="s">
        <v>249</v>
      </c>
      <c r="B790" s="12">
        <v>43273.995833333334</v>
      </c>
      <c r="C790" s="3"/>
      <c r="D790" s="3">
        <v>28.3</v>
      </c>
      <c r="E790" s="3"/>
      <c r="F790" s="3"/>
      <c r="G790" s="3"/>
      <c r="H790" s="3"/>
      <c r="I790" s="3"/>
      <c r="J790" s="3"/>
      <c r="K790" s="3">
        <v>19.2</v>
      </c>
      <c r="L790" s="3"/>
      <c r="M790" s="3"/>
      <c r="N790" s="3">
        <v>159.30000000000001</v>
      </c>
      <c r="O790" s="3"/>
      <c r="P790" s="3"/>
      <c r="Q790" s="3">
        <v>0.5</v>
      </c>
      <c r="R790" s="3">
        <v>0.4</v>
      </c>
      <c r="S790" s="3">
        <v>0.6</v>
      </c>
      <c r="T790" s="3">
        <v>12.3</v>
      </c>
      <c r="U790" s="3">
        <v>79.8</v>
      </c>
      <c r="V790" s="3">
        <v>967.5</v>
      </c>
      <c r="W790" s="3">
        <v>0</v>
      </c>
      <c r="X790" s="3">
        <v>20.6</v>
      </c>
      <c r="Y790" s="3">
        <v>17.600000000000001</v>
      </c>
      <c r="Z790" s="3">
        <v>17.3</v>
      </c>
      <c r="AA790" s="3">
        <v>13.5</v>
      </c>
      <c r="AB790" s="3">
        <v>10.9</v>
      </c>
      <c r="AC790" s="3">
        <v>7.1</v>
      </c>
      <c r="AD790" s="3">
        <v>6.7</v>
      </c>
      <c r="AE790" s="3">
        <v>8.1</v>
      </c>
      <c r="AF790" s="3">
        <v>11.3</v>
      </c>
      <c r="AG790" s="3">
        <v>10.4</v>
      </c>
      <c r="AH790" s="3">
        <v>8.6999999999999993</v>
      </c>
      <c r="AI790" s="3">
        <v>7.6</v>
      </c>
      <c r="AJ790" s="3">
        <v>8.6999999999999993</v>
      </c>
      <c r="AK790" s="3">
        <v>7.3</v>
      </c>
      <c r="AL790" s="3">
        <v>6.5</v>
      </c>
      <c r="AM790" s="3">
        <v>5.6</v>
      </c>
      <c r="AN790" s="3">
        <v>6.1</v>
      </c>
      <c r="AO790" s="3">
        <v>6.1</v>
      </c>
      <c r="AP790" s="3">
        <v>5.8</v>
      </c>
      <c r="AQ790" s="3">
        <v>6</v>
      </c>
      <c r="AR790" s="3">
        <v>5.9</v>
      </c>
      <c r="AS790" s="3">
        <v>9.8000000000000007</v>
      </c>
      <c r="AT790" s="3">
        <v>26.5</v>
      </c>
      <c r="AU790" s="3">
        <v>9.4</v>
      </c>
      <c r="AV790" s="3">
        <v>8.1</v>
      </c>
      <c r="AW790" s="3">
        <v>8.6999999999999993</v>
      </c>
      <c r="AX790" s="3">
        <v>8.9</v>
      </c>
      <c r="AY790" s="3">
        <v>9.1999999999999993</v>
      </c>
      <c r="AZ790" s="3">
        <v>0</v>
      </c>
      <c r="BA790" s="3">
        <v>0</v>
      </c>
      <c r="BB790" s="3">
        <v>0</v>
      </c>
      <c r="BC790" s="3">
        <v>28.257466878161736</v>
      </c>
      <c r="BD790" s="3">
        <v>20.642533121838269</v>
      </c>
      <c r="BE790" s="3">
        <v>17.642533121838269</v>
      </c>
      <c r="BF790" s="3">
        <v>16.102533121838263</v>
      </c>
      <c r="BG790" s="3">
        <v>12.629199788504927</v>
      </c>
      <c r="BH790" s="3">
        <v>10.169199788504933</v>
      </c>
      <c r="BI790" s="3">
        <v>6.782533121838263</v>
      </c>
      <c r="BJ790" s="3">
        <v>7.1758664551716009</v>
      </c>
      <c r="BK790" s="3">
        <v>8.4491997885049273</v>
      </c>
      <c r="BL790" s="3">
        <v>11.222533121838268</v>
      </c>
      <c r="BM790" s="3">
        <v>10.455866455171602</v>
      </c>
      <c r="BN790" s="3">
        <v>9.0391997885049307</v>
      </c>
      <c r="BO790" s="3">
        <v>7.3058664551716035</v>
      </c>
      <c r="BP790" s="3">
        <v>8.1225331218382664</v>
      </c>
      <c r="BQ790" s="3">
        <v>7.139199788504925</v>
      </c>
      <c r="BR790" s="3">
        <v>6.6658664551715958</v>
      </c>
      <c r="BS790" s="3">
        <v>5.5691997885049318</v>
      </c>
      <c r="BT790" s="3">
        <v>6.2658664551715972</v>
      </c>
      <c r="BU790" s="3">
        <v>6.2325331218382658</v>
      </c>
      <c r="BV790" s="3">
        <v>5.6491997885049301</v>
      </c>
      <c r="BW790" s="3">
        <v>6.3825331218382644</v>
      </c>
      <c r="BX790" s="3">
        <v>6.2025331218382718</v>
      </c>
      <c r="BY790" s="3">
        <v>9.9225331218382635</v>
      </c>
      <c r="BZ790" s="3">
        <v>26.752533121838269</v>
      </c>
      <c r="CA790" s="3">
        <v>9.7525331218382547</v>
      </c>
      <c r="CB790" s="3">
        <v>7.8891997885049321</v>
      </c>
      <c r="CC790" s="3">
        <v>8.7025331218382647</v>
      </c>
      <c r="CD790" s="3">
        <v>8.2091997885049324</v>
      </c>
      <c r="CE790" s="3">
        <v>8.7025331218382647</v>
      </c>
      <c r="CF790" s="3">
        <v>-0.88413354482840134</v>
      </c>
      <c r="CG790" s="3">
        <v>-1.4174668781617328</v>
      </c>
      <c r="CH790" s="3">
        <v>-2.4941335448284008</v>
      </c>
      <c r="CI790" s="13">
        <f>[1]!dbasum(RecData[[#This Row],[20]:[2000]],RecData[[#Headers],[20]:[2000]])</f>
        <v>15.169966876281283</v>
      </c>
      <c r="CJ790" s="14">
        <v>9867</v>
      </c>
      <c r="CK790" s="15" t="s">
        <v>249</v>
      </c>
      <c r="CL790" s="15">
        <f>RecData[[#This Row],[Start Time]]</f>
        <v>43273.995833333334</v>
      </c>
      <c r="CM790" s="16">
        <f>RecData[[#This Row],[Wind Speed avg]]</f>
        <v>0.5</v>
      </c>
      <c r="CN790" s="16">
        <f>RecData[[#This Row],[Wind Dir. avg]]</f>
        <v>159.30000000000001</v>
      </c>
      <c r="CO790" s="16">
        <f>RecData[[#This Row],[Amb. Humidity]]</f>
        <v>79.8</v>
      </c>
      <c r="CP790" s="16">
        <f>RecData[[#This Row],[Amb. Temperature]]</f>
        <v>12.3</v>
      </c>
      <c r="CQ790" s="17">
        <f>RecData[[#This Row],[Amb. Rain Gauge]]</f>
        <v>0</v>
      </c>
      <c r="CR790" s="4" t="s">
        <v>50</v>
      </c>
      <c r="CS790" s="4" t="s">
        <v>49</v>
      </c>
      <c r="CT790" s="70">
        <v>-8.8684825897216797</v>
      </c>
      <c r="CU790" s="70">
        <v>175.00148010253901</v>
      </c>
      <c r="CV790" s="70">
        <v>1.1239151954650799</v>
      </c>
      <c r="CW790" s="70">
        <v>0</v>
      </c>
      <c r="CX790" s="109"/>
      <c r="CY790" s="110"/>
      <c r="CZ790" s="2" t="b">
        <f>IF($DP$1="YES",IF(RecData[[#This Row],[Power (kW)]]&gt;=$CR$3, TRUE,FALSE),TRUE)</f>
        <v>0</v>
      </c>
      <c r="DA790" s="16">
        <f>MIN(MOD(180-ABS(ABS($DA$1-RecData[Yaw Angle (°)])-180),360),MOD(180-ABS(ABS($DB$1-RecData[Yaw Angle (°)])-180),360))</f>
        <v>167.47155332485147</v>
      </c>
      <c r="DB790" s="2" t="str">
        <f>IF($DP$2="None","None",IF(RecData[[#This Row],[Relative Wind Direction]]&lt;=45,"DW",IF(RecData[[#This Row],[Relative Wind Direction]]&lt;=135,"CW","UW")))</f>
        <v>UW</v>
      </c>
      <c r="DC790" s="61">
        <f>IF($CL790-$CL788&gt;1/24,#REF!,IF(SUM($CQ788:$CQ790)&gt;$DS$1,$DS$5,DC791-1))</f>
        <v>-8</v>
      </c>
      <c r="DD790" s="61">
        <f>IF($CL791-$CL790&gt;1/24,#REF!,IF(SUM($CQ788:$CQ790)&gt;$DS$1,$DS$6,DD789-1))</f>
        <v>-3</v>
      </c>
      <c r="DE790" s="18" t="b">
        <v>0</v>
      </c>
      <c r="DF790" s="2" t="b">
        <f>IF(OR(RecData[[#This Row],[WSpd_Avg '[m/s']]]-RecData[[#This Row],[Wind Speed min]]&gt;=$DF$3,RecData[[#This Row],[Wind Speed max]]-RecData[[#This Row],[WSpd_Avg '[m/s']]]&gt;=$DF$2),TRUE,FALSE)</f>
        <v>0</v>
      </c>
      <c r="DG790" s="2" t="b">
        <f>RecData[[#This Row],[Temperature '[°C']]]&lt;=-20</f>
        <v>0</v>
      </c>
      <c r="DH790" s="18" t="b">
        <f>NOT(OR(MOD(RecData[[#This Row],[TIMESTAMP]],1)&gt;0.91632,MOD(RecData[[#This Row],[TIMESTAMP]],1)&lt;0.208681))</f>
        <v>0</v>
      </c>
      <c r="DI790" s="18" t="b">
        <f>RecData[[#This Row],[Overall (dBA)]]-RecData[[#This Row],[L90]]&gt;=$DS$4</f>
        <v>0</v>
      </c>
      <c r="DJ790" s="18" t="b">
        <f>RecData[[#This Row],[Overall (dBA)]]&gt;$DS$2</f>
        <v>0</v>
      </c>
      <c r="DK790" s="18" t="b">
        <f>RecData[[#This Row],[Overall (dBA)]]&lt;$DS$3</f>
        <v>0</v>
      </c>
      <c r="DL7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0" s="2">
        <f>IF(AND(RecData[[#This Row],[Turbines ON/OFF]] = "OFF", NOT(OR(RecData[[#This Row],[Junk?]]="YES",RecData[[#This Row],[Gust?]],RecData[[#This Row],[Rain?]:[Min SPL Threshold?]]))),1,0)</f>
        <v>1</v>
      </c>
      <c r="DN790" s="16">
        <f>RecData[[#This Row],[dBA Sum]]</f>
        <v>15.169966876281283</v>
      </c>
      <c r="DO790" s="16">
        <f>RecData[[#This Row],[LAF90.0]]</f>
        <v>19.2</v>
      </c>
      <c r="DP790" s="55" t="str">
        <f>IF(AND(RecData[[#This Row],[Useable TON Data?]],RecData[[#This Row],[Turbines ON/OFF]]="ON"),RecData[[#This Row],[dBA Sum]],"")</f>
        <v/>
      </c>
      <c r="DQ790" s="55">
        <f>IF(AND(RecData[[#This Row],[Useable Background Data?]],RecData[[#This Row],[Turbines ON/OFF]]="OFF"),RecData[[#This Row],[dBA Sum]],"")</f>
        <v>15.169966876281283</v>
      </c>
      <c r="DR790" s="3">
        <f>IF(OR(RecData[[#This Row],[Useable TON Data?]],RecData[[#This Row],[Useable Background Data?]]),ROUND(RecData[[#This Row],[WSpd_Avg '[m/s']]],0),"")</f>
        <v>1</v>
      </c>
      <c r="DS790" s="85">
        <f>(0.00002)^2*(10^(RecData[[#This Row],[Overall (dBA)]]/10))</f>
        <v>1.3153964909128359E-8</v>
      </c>
    </row>
    <row r="791" spans="1:123" ht="15" x14ac:dyDescent="0.25">
      <c r="A791" s="3" t="s">
        <v>249</v>
      </c>
      <c r="B791" s="12">
        <v>43273.996527777781</v>
      </c>
      <c r="C791" s="3"/>
      <c r="D791" s="3">
        <v>30.9</v>
      </c>
      <c r="E791" s="3"/>
      <c r="F791" s="3"/>
      <c r="G791" s="3"/>
      <c r="H791" s="3"/>
      <c r="I791" s="3"/>
      <c r="J791" s="3"/>
      <c r="K791" s="3">
        <v>19.3</v>
      </c>
      <c r="L791" s="3"/>
      <c r="M791" s="3"/>
      <c r="N791" s="3">
        <v>155.19999999999999</v>
      </c>
      <c r="O791" s="3"/>
      <c r="P791" s="3"/>
      <c r="Q791" s="3">
        <v>0.54</v>
      </c>
      <c r="R791" s="3">
        <v>0.4</v>
      </c>
      <c r="S791" s="3">
        <v>0.6</v>
      </c>
      <c r="T791" s="3">
        <v>12.3</v>
      </c>
      <c r="U791" s="3">
        <v>80.099999999999994</v>
      </c>
      <c r="V791" s="3">
        <v>967.5</v>
      </c>
      <c r="W791" s="3">
        <v>0</v>
      </c>
      <c r="X791" s="3">
        <v>22.1</v>
      </c>
      <c r="Y791" s="3">
        <v>16</v>
      </c>
      <c r="Z791" s="3">
        <v>16.600000000000001</v>
      </c>
      <c r="AA791" s="3">
        <v>14.4</v>
      </c>
      <c r="AB791" s="3">
        <v>10.5</v>
      </c>
      <c r="AC791" s="3">
        <v>7.3</v>
      </c>
      <c r="AD791" s="3">
        <v>6.4</v>
      </c>
      <c r="AE791" s="3">
        <v>7.2</v>
      </c>
      <c r="AF791" s="3">
        <v>11.7</v>
      </c>
      <c r="AG791" s="3">
        <v>13.7</v>
      </c>
      <c r="AH791" s="3">
        <v>8.1</v>
      </c>
      <c r="AI791" s="3">
        <v>7.6</v>
      </c>
      <c r="AJ791" s="3">
        <v>8.8000000000000007</v>
      </c>
      <c r="AK791" s="3">
        <v>7.6</v>
      </c>
      <c r="AL791" s="3">
        <v>6.4</v>
      </c>
      <c r="AM791" s="3">
        <v>5.7</v>
      </c>
      <c r="AN791" s="3">
        <v>6</v>
      </c>
      <c r="AO791" s="3">
        <v>5.9</v>
      </c>
      <c r="AP791" s="3">
        <v>5.7</v>
      </c>
      <c r="AQ791" s="3">
        <v>5.9</v>
      </c>
      <c r="AR791" s="3">
        <v>6.1</v>
      </c>
      <c r="AS791" s="3">
        <v>10.9</v>
      </c>
      <c r="AT791" s="3">
        <v>29.4</v>
      </c>
      <c r="AU791" s="3">
        <v>9.8000000000000007</v>
      </c>
      <c r="AV791" s="3">
        <v>8.1</v>
      </c>
      <c r="AW791" s="3">
        <v>8.8000000000000007</v>
      </c>
      <c r="AX791" s="3">
        <v>8.9</v>
      </c>
      <c r="AY791" s="3">
        <v>9.1999999999999993</v>
      </c>
      <c r="AZ791" s="3">
        <v>0</v>
      </c>
      <c r="BA791" s="3">
        <v>0</v>
      </c>
      <c r="BB791" s="3">
        <v>0</v>
      </c>
      <c r="BC791" s="3">
        <v>30.912665516196292</v>
      </c>
      <c r="BD791" s="3">
        <v>22.087334483803708</v>
      </c>
      <c r="BE791" s="3">
        <v>15.987334483803707</v>
      </c>
      <c r="BF791" s="3">
        <v>15.347334483803706</v>
      </c>
      <c r="BG791" s="3">
        <v>13.474001150470372</v>
      </c>
      <c r="BH791" s="3">
        <v>9.7140011504703736</v>
      </c>
      <c r="BI791" s="3">
        <v>6.9273344838037048</v>
      </c>
      <c r="BJ791" s="3">
        <v>6.8206678171370427</v>
      </c>
      <c r="BK791" s="3">
        <v>7.4940011504703676</v>
      </c>
      <c r="BL791" s="3">
        <v>11.567334483803705</v>
      </c>
      <c r="BM791" s="3">
        <v>13.700667817137038</v>
      </c>
      <c r="BN791" s="3">
        <v>8.3840011504703753</v>
      </c>
      <c r="BO791" s="3">
        <v>7.2506678171370424</v>
      </c>
      <c r="BP791" s="3">
        <v>8.1673344838037067</v>
      </c>
      <c r="BQ791" s="3">
        <v>7.3840011504703611</v>
      </c>
      <c r="BR791" s="3">
        <v>6.5106678171370405</v>
      </c>
      <c r="BS791" s="3">
        <v>5.6140011504703722</v>
      </c>
      <c r="BT791" s="3">
        <v>6.1106678171370419</v>
      </c>
      <c r="BU791" s="3">
        <v>5.977334483803709</v>
      </c>
      <c r="BV791" s="3">
        <v>5.4940011504703747</v>
      </c>
      <c r="BW791" s="3">
        <v>6.227334483803709</v>
      </c>
      <c r="BX791" s="3">
        <v>6.3473344838037136</v>
      </c>
      <c r="BY791" s="3">
        <v>10.967334483803704</v>
      </c>
      <c r="BZ791" s="3">
        <v>29.597334483803714</v>
      </c>
      <c r="CA791" s="3">
        <v>10.097334483803699</v>
      </c>
      <c r="CB791" s="3">
        <v>7.834001150470371</v>
      </c>
      <c r="CC791" s="3">
        <v>8.747334483803705</v>
      </c>
      <c r="CD791" s="3">
        <v>8.1540011504703784</v>
      </c>
      <c r="CE791" s="3">
        <v>8.6473344838037036</v>
      </c>
      <c r="CF791" s="3">
        <v>-0.93933218286295883</v>
      </c>
      <c r="CG791" s="3">
        <v>-1.4726655161962903</v>
      </c>
      <c r="CH791" s="3">
        <v>-2.5493321828629583</v>
      </c>
      <c r="CI791" s="13">
        <f>[1]!dbasum(RecData[[#This Row],[20]:[2000]],RecData[[#Headers],[20]:[2000]])</f>
        <v>15.174659008062921</v>
      </c>
      <c r="CJ791" s="14">
        <v>9868</v>
      </c>
      <c r="CK791" s="15" t="s">
        <v>249</v>
      </c>
      <c r="CL791" s="15">
        <f>RecData[[#This Row],[Start Time]]</f>
        <v>43273.996527777781</v>
      </c>
      <c r="CM791" s="16">
        <f>RecData[[#This Row],[Wind Speed avg]]</f>
        <v>0.54</v>
      </c>
      <c r="CN791" s="16">
        <f>RecData[[#This Row],[Wind Dir. avg]]</f>
        <v>155.19999999999999</v>
      </c>
      <c r="CO791" s="16">
        <f>RecData[[#This Row],[Amb. Humidity]]</f>
        <v>80.099999999999994</v>
      </c>
      <c r="CP791" s="16">
        <f>RecData[[#This Row],[Amb. Temperature]]</f>
        <v>12.3</v>
      </c>
      <c r="CQ791" s="17">
        <f>RecData[[#This Row],[Amb. Rain Gauge]]</f>
        <v>0</v>
      </c>
      <c r="CR791" s="4" t="s">
        <v>50</v>
      </c>
      <c r="CS791" s="4" t="s">
        <v>49</v>
      </c>
      <c r="CT791" s="70">
        <v>-8.8684825897216797</v>
      </c>
      <c r="CU791" s="70">
        <v>175.00148010253901</v>
      </c>
      <c r="CV791" s="70">
        <v>1.1239151954650799</v>
      </c>
      <c r="CW791" s="70">
        <v>0</v>
      </c>
      <c r="CX791" s="109"/>
      <c r="CY791" s="110"/>
      <c r="CZ791" s="2" t="b">
        <f>IF($DP$1="YES",IF(RecData[[#This Row],[Power (kW)]]&gt;=$CR$3, TRUE,FALSE),TRUE)</f>
        <v>0</v>
      </c>
      <c r="DA791" s="16">
        <f>MIN(MOD(180-ABS(ABS($DA$1-RecData[Yaw Angle (°)])-180),360),MOD(180-ABS(ABS($DB$1-RecData[Yaw Angle (°)])-180),360))</f>
        <v>167.47155332485147</v>
      </c>
      <c r="DB791" s="2" t="str">
        <f>IF($DP$2="None","None",IF(RecData[[#This Row],[Relative Wind Direction]]&lt;=45,"DW",IF(RecData[[#This Row],[Relative Wind Direction]]&lt;=135,"CW","UW")))</f>
        <v>UW</v>
      </c>
      <c r="DC791" s="61">
        <f>IF($CL791-$CL788&gt;1/24,#REF!,IF(SUM($CQ788:$CQ791)&gt;$DS$1,$DS$5,DC792-1))</f>
        <v>-7</v>
      </c>
      <c r="DD791" s="61">
        <f>IF($CL792-$CL791&gt;1/24,#REF!,IF(SUM($CQ788:$CQ791)&gt;$DS$1,$DS$6,DD790-1))</f>
        <v>-4</v>
      </c>
      <c r="DE791" s="18" t="b">
        <v>0</v>
      </c>
      <c r="DF791" s="2" t="b">
        <f>IF(OR(RecData[[#This Row],[WSpd_Avg '[m/s']]]-RecData[[#This Row],[Wind Speed min]]&gt;=$DF$3,RecData[[#This Row],[Wind Speed max]]-RecData[[#This Row],[WSpd_Avg '[m/s']]]&gt;=$DF$2),TRUE,FALSE)</f>
        <v>0</v>
      </c>
      <c r="DG791" s="2" t="b">
        <f>RecData[[#This Row],[Temperature '[°C']]]&lt;=-20</f>
        <v>0</v>
      </c>
      <c r="DH791" s="18" t="b">
        <f>NOT(OR(MOD(RecData[[#This Row],[TIMESTAMP]],1)&gt;0.91632,MOD(RecData[[#This Row],[TIMESTAMP]],1)&lt;0.208681))</f>
        <v>0</v>
      </c>
      <c r="DI791" s="18" t="b">
        <f>RecData[[#This Row],[Overall (dBA)]]-RecData[[#This Row],[L90]]&gt;=$DS$4</f>
        <v>0</v>
      </c>
      <c r="DJ791" s="18" t="b">
        <f>RecData[[#This Row],[Overall (dBA)]]&gt;$DS$2</f>
        <v>0</v>
      </c>
      <c r="DK791" s="18" t="b">
        <f>RecData[[#This Row],[Overall (dBA)]]&lt;$DS$3</f>
        <v>0</v>
      </c>
      <c r="DL7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1" s="2">
        <f>IF(AND(RecData[[#This Row],[Turbines ON/OFF]] = "OFF", NOT(OR(RecData[[#This Row],[Junk?]]="YES",RecData[[#This Row],[Gust?]],RecData[[#This Row],[Rain?]:[Min SPL Threshold?]]))),1,0)</f>
        <v>1</v>
      </c>
      <c r="DN791" s="16">
        <f>RecData[[#This Row],[dBA Sum]]</f>
        <v>15.174659008062921</v>
      </c>
      <c r="DO791" s="16">
        <f>RecData[[#This Row],[LAF90.0]]</f>
        <v>19.3</v>
      </c>
      <c r="DP791" s="55" t="str">
        <f>IF(AND(RecData[[#This Row],[Useable TON Data?]],RecData[[#This Row],[Turbines ON/OFF]]="ON"),RecData[[#This Row],[dBA Sum]],"")</f>
        <v/>
      </c>
      <c r="DQ791" s="55">
        <f>IF(AND(RecData[[#This Row],[Useable Background Data?]],RecData[[#This Row],[Turbines ON/OFF]]="OFF"),RecData[[#This Row],[dBA Sum]],"")</f>
        <v>15.174659008062921</v>
      </c>
      <c r="DR791" s="3">
        <f>IF(OR(RecData[[#This Row],[Useable TON Data?]],RecData[[#This Row],[Useable Background Data?]]),ROUND(RecData[[#This Row],[WSpd_Avg '[m/s']]],0),"")</f>
        <v>1</v>
      </c>
      <c r="DS791" s="85">
        <f>(0.00002)^2*(10^(RecData[[#This Row],[Overall (dBA)]]/10))</f>
        <v>1.3168184175710667E-8</v>
      </c>
    </row>
    <row r="792" spans="1:123" ht="15" x14ac:dyDescent="0.25">
      <c r="A792" s="3" t="s">
        <v>249</v>
      </c>
      <c r="B792" s="12">
        <v>43273.997222222228</v>
      </c>
      <c r="C792" s="3"/>
      <c r="D792" s="3">
        <v>28.8</v>
      </c>
      <c r="E792" s="3"/>
      <c r="F792" s="3"/>
      <c r="G792" s="3"/>
      <c r="H792" s="3"/>
      <c r="I792" s="3"/>
      <c r="J792" s="3"/>
      <c r="K792" s="3">
        <v>19.2</v>
      </c>
      <c r="L792" s="3"/>
      <c r="M792" s="3"/>
      <c r="N792" s="3">
        <v>155</v>
      </c>
      <c r="O792" s="3"/>
      <c r="P792" s="3"/>
      <c r="Q792" s="3">
        <v>0.62</v>
      </c>
      <c r="R792" s="3">
        <v>0.4</v>
      </c>
      <c r="S792" s="3">
        <v>0.7</v>
      </c>
      <c r="T792" s="3">
        <v>12.3</v>
      </c>
      <c r="U792" s="3">
        <v>79.900000000000006</v>
      </c>
      <c r="V792" s="3">
        <v>967.5</v>
      </c>
      <c r="W792" s="3">
        <v>0</v>
      </c>
      <c r="X792" s="3">
        <v>18.600000000000001</v>
      </c>
      <c r="Y792" s="3">
        <v>15.4</v>
      </c>
      <c r="Z792" s="3">
        <v>14.9</v>
      </c>
      <c r="AA792" s="3">
        <v>10.5</v>
      </c>
      <c r="AB792" s="3">
        <v>8.8000000000000007</v>
      </c>
      <c r="AC792" s="3">
        <v>8.8000000000000007</v>
      </c>
      <c r="AD792" s="3">
        <v>6.2</v>
      </c>
      <c r="AE792" s="3">
        <v>7.2</v>
      </c>
      <c r="AF792" s="3">
        <v>12.4</v>
      </c>
      <c r="AG792" s="3">
        <v>11.6</v>
      </c>
      <c r="AH792" s="3">
        <v>8</v>
      </c>
      <c r="AI792" s="3">
        <v>6.8</v>
      </c>
      <c r="AJ792" s="3">
        <v>9</v>
      </c>
      <c r="AK792" s="3">
        <v>7.8</v>
      </c>
      <c r="AL792" s="3">
        <v>6.5</v>
      </c>
      <c r="AM792" s="3">
        <v>5.7</v>
      </c>
      <c r="AN792" s="3">
        <v>5.9</v>
      </c>
      <c r="AO792" s="3">
        <v>5.9</v>
      </c>
      <c r="AP792" s="3">
        <v>5.7</v>
      </c>
      <c r="AQ792" s="3">
        <v>6</v>
      </c>
      <c r="AR792" s="3">
        <v>6.2</v>
      </c>
      <c r="AS792" s="3">
        <v>12.7</v>
      </c>
      <c r="AT792" s="3">
        <v>27</v>
      </c>
      <c r="AU792" s="3">
        <v>8.6999999999999993</v>
      </c>
      <c r="AV792" s="3">
        <v>8.1999999999999993</v>
      </c>
      <c r="AW792" s="3">
        <v>8.6999999999999993</v>
      </c>
      <c r="AX792" s="3">
        <v>8.9</v>
      </c>
      <c r="AY792" s="3">
        <v>9.1999999999999993</v>
      </c>
      <c r="AZ792" s="3">
        <v>0</v>
      </c>
      <c r="BA792" s="3">
        <v>0</v>
      </c>
      <c r="BB792" s="3">
        <v>0</v>
      </c>
      <c r="BC792" s="3">
        <v>28.764101326318897</v>
      </c>
      <c r="BD792" s="3">
        <v>18.635898673681108</v>
      </c>
      <c r="BE792" s="3">
        <v>15.435898673681105</v>
      </c>
      <c r="BF792" s="3">
        <v>13.695898673681103</v>
      </c>
      <c r="BG792" s="3">
        <v>9.6225653403477658</v>
      </c>
      <c r="BH792" s="3">
        <v>8.0625653403477706</v>
      </c>
      <c r="BI792" s="3">
        <v>8.4758986736811046</v>
      </c>
      <c r="BJ792" s="3">
        <v>6.6692320070144397</v>
      </c>
      <c r="BK792" s="3">
        <v>7.5425653403477675</v>
      </c>
      <c r="BL792" s="3">
        <v>12.315898673681101</v>
      </c>
      <c r="BM792" s="3">
        <v>11.649232007014437</v>
      </c>
      <c r="BN792" s="3">
        <v>8.3325653403477666</v>
      </c>
      <c r="BO792" s="3">
        <v>6.499232007014438</v>
      </c>
      <c r="BP792" s="3">
        <v>8.4158986736811023</v>
      </c>
      <c r="BQ792" s="3">
        <v>7.6325653403477638</v>
      </c>
      <c r="BR792" s="3">
        <v>6.6592320070144346</v>
      </c>
      <c r="BS792" s="3">
        <v>5.662565340347772</v>
      </c>
      <c r="BT792" s="3">
        <v>6.0592320070144403</v>
      </c>
      <c r="BU792" s="3">
        <v>6.0258986736811089</v>
      </c>
      <c r="BV792" s="3">
        <v>5.5425653403477746</v>
      </c>
      <c r="BW792" s="3">
        <v>6.3758986736811032</v>
      </c>
      <c r="BX792" s="3">
        <v>6.4958986736811077</v>
      </c>
      <c r="BY792" s="3">
        <v>12.815898673681101</v>
      </c>
      <c r="BZ792" s="3">
        <v>27.245898673681108</v>
      </c>
      <c r="CA792" s="3">
        <v>9.0458986736810978</v>
      </c>
      <c r="CB792" s="3">
        <v>7.9825653403477652</v>
      </c>
      <c r="CC792" s="3">
        <v>8.6958986736811035</v>
      </c>
      <c r="CD792" s="3">
        <v>8.2025653403477712</v>
      </c>
      <c r="CE792" s="3">
        <v>8.6958986736811035</v>
      </c>
      <c r="CF792" s="3">
        <v>-0.89076799298556253</v>
      </c>
      <c r="CG792" s="3">
        <v>-1.424101326318894</v>
      </c>
      <c r="CH792" s="3">
        <v>-2.500767992985562</v>
      </c>
      <c r="CI792" s="13">
        <f>[1]!dbasum(RecData[[#This Row],[20]:[2000]],RecData[[#Headers],[20]:[2000]])</f>
        <v>15.206638053613231</v>
      </c>
      <c r="CJ792" s="14">
        <v>9869</v>
      </c>
      <c r="CK792" s="15" t="s">
        <v>249</v>
      </c>
      <c r="CL792" s="15">
        <f>RecData[[#This Row],[Start Time]]</f>
        <v>43273.997222222228</v>
      </c>
      <c r="CM792" s="16">
        <f>RecData[[#This Row],[Wind Speed avg]]</f>
        <v>0.62</v>
      </c>
      <c r="CN792" s="16">
        <f>RecData[[#This Row],[Wind Dir. avg]]</f>
        <v>155</v>
      </c>
      <c r="CO792" s="16">
        <f>RecData[[#This Row],[Amb. Humidity]]</f>
        <v>79.900000000000006</v>
      </c>
      <c r="CP792" s="16">
        <f>RecData[[#This Row],[Amb. Temperature]]</f>
        <v>12.3</v>
      </c>
      <c r="CQ792" s="17">
        <f>RecData[[#This Row],[Amb. Rain Gauge]]</f>
        <v>0</v>
      </c>
      <c r="CR792" s="4" t="s">
        <v>50</v>
      </c>
      <c r="CS792" s="4" t="s">
        <v>49</v>
      </c>
      <c r="CT792" s="70">
        <v>-8.8684825897216797</v>
      </c>
      <c r="CU792" s="70">
        <v>175.00148010253901</v>
      </c>
      <c r="CV792" s="70">
        <v>1.1239151954650799</v>
      </c>
      <c r="CW792" s="70">
        <v>0</v>
      </c>
      <c r="CX792" s="109"/>
      <c r="CY792" s="110"/>
      <c r="CZ792" s="2" t="b">
        <f>IF($DP$1="YES",IF(RecData[[#This Row],[Power (kW)]]&gt;=$CR$3, TRUE,FALSE),TRUE)</f>
        <v>0</v>
      </c>
      <c r="DA792" s="16">
        <f>MIN(MOD(180-ABS(ABS($DA$1-RecData[Yaw Angle (°)])-180),360),MOD(180-ABS(ABS($DB$1-RecData[Yaw Angle (°)])-180),360))</f>
        <v>167.47155332485147</v>
      </c>
      <c r="DB792" s="2" t="str">
        <f>IF($DP$2="None","None",IF(RecData[[#This Row],[Relative Wind Direction]]&lt;=45,"DW",IF(RecData[[#This Row],[Relative Wind Direction]]&lt;=135,"CW","UW")))</f>
        <v>UW</v>
      </c>
      <c r="DC792" s="61">
        <f>IF($CL792-$CL788&gt;1/24,#REF!,IF(SUM($CQ788:$CQ792)&gt;$DS$1,$DS$5,DC793-1))</f>
        <v>-6</v>
      </c>
      <c r="DD792" s="61">
        <f>IF($CL793-$CL792&gt;1/24,#REF!,IF(SUM($CQ788:$CQ792)&gt;$DS$1,$DS$6,DD791-1))</f>
        <v>-5</v>
      </c>
      <c r="DE792" s="18" t="b">
        <v>0</v>
      </c>
      <c r="DF792" s="2" t="b">
        <f>IF(OR(RecData[[#This Row],[WSpd_Avg '[m/s']]]-RecData[[#This Row],[Wind Speed min]]&gt;=$DF$3,RecData[[#This Row],[Wind Speed max]]-RecData[[#This Row],[WSpd_Avg '[m/s']]]&gt;=$DF$2),TRUE,FALSE)</f>
        <v>0</v>
      </c>
      <c r="DG792" s="2" t="b">
        <f>RecData[[#This Row],[Temperature '[°C']]]&lt;=-20</f>
        <v>0</v>
      </c>
      <c r="DH792" s="18" t="b">
        <f>NOT(OR(MOD(RecData[[#This Row],[TIMESTAMP]],1)&gt;0.91632,MOD(RecData[[#This Row],[TIMESTAMP]],1)&lt;0.208681))</f>
        <v>0</v>
      </c>
      <c r="DI792" s="18" t="b">
        <f>RecData[[#This Row],[Overall (dBA)]]-RecData[[#This Row],[L90]]&gt;=$DS$4</f>
        <v>0</v>
      </c>
      <c r="DJ792" s="18" t="b">
        <f>RecData[[#This Row],[Overall (dBA)]]&gt;$DS$2</f>
        <v>0</v>
      </c>
      <c r="DK792" s="18" t="b">
        <f>RecData[[#This Row],[Overall (dBA)]]&lt;$DS$3</f>
        <v>0</v>
      </c>
      <c r="DL7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2" s="2">
        <f>IF(AND(RecData[[#This Row],[Turbines ON/OFF]] = "OFF", NOT(OR(RecData[[#This Row],[Junk?]]="YES",RecData[[#This Row],[Gust?]],RecData[[#This Row],[Rain?]:[Min SPL Threshold?]]))),1,0)</f>
        <v>1</v>
      </c>
      <c r="DN792" s="16">
        <f>RecData[[#This Row],[dBA Sum]]</f>
        <v>15.206638053613231</v>
      </c>
      <c r="DO792" s="16">
        <f>RecData[[#This Row],[LAF90.0]]</f>
        <v>19.2</v>
      </c>
      <c r="DP792" s="55" t="str">
        <f>IF(AND(RecData[[#This Row],[Useable TON Data?]],RecData[[#This Row],[Turbines ON/OFF]]="ON"),RecData[[#This Row],[dBA Sum]],"")</f>
        <v/>
      </c>
      <c r="DQ792" s="55">
        <f>IF(AND(RecData[[#This Row],[Useable Background Data?]],RecData[[#This Row],[Turbines ON/OFF]]="OFF"),RecData[[#This Row],[dBA Sum]],"")</f>
        <v>15.206638053613231</v>
      </c>
      <c r="DR792" s="3">
        <f>IF(OR(RecData[[#This Row],[Useable TON Data?]],RecData[[#This Row],[Useable Background Data?]]),ROUND(RecData[[#This Row],[WSpd_Avg '[m/s']]],0),"")</f>
        <v>1</v>
      </c>
      <c r="DS792" s="85">
        <f>(0.00002)^2*(10^(RecData[[#This Row],[Overall (dBA)]]/10))</f>
        <v>1.3265505276347826E-8</v>
      </c>
    </row>
    <row r="793" spans="1:123" ht="15" x14ac:dyDescent="0.25">
      <c r="A793" s="3" t="s">
        <v>249</v>
      </c>
      <c r="B793" s="12">
        <v>43273.997916666667</v>
      </c>
      <c r="C793" s="3"/>
      <c r="D793" s="3">
        <v>32.1</v>
      </c>
      <c r="E793" s="3"/>
      <c r="F793" s="3"/>
      <c r="G793" s="3"/>
      <c r="H793" s="3"/>
      <c r="I793" s="3"/>
      <c r="J793" s="3"/>
      <c r="K793" s="3">
        <v>18.899999999999999</v>
      </c>
      <c r="L793" s="3"/>
      <c r="M793" s="3"/>
      <c r="N793" s="3">
        <v>153.80000000000001</v>
      </c>
      <c r="O793" s="3"/>
      <c r="P793" s="3"/>
      <c r="Q793" s="3">
        <v>0.69</v>
      </c>
      <c r="R793" s="3">
        <v>0.6</v>
      </c>
      <c r="S793" s="3">
        <v>0.7</v>
      </c>
      <c r="T793" s="3">
        <v>12.3</v>
      </c>
      <c r="U793" s="3">
        <v>79.400000000000006</v>
      </c>
      <c r="V793" s="3">
        <v>967.5</v>
      </c>
      <c r="W793" s="3">
        <v>0</v>
      </c>
      <c r="X793" s="3">
        <v>19</v>
      </c>
      <c r="Y793" s="3">
        <v>16.3</v>
      </c>
      <c r="Z793" s="3">
        <v>16.100000000000001</v>
      </c>
      <c r="AA793" s="3">
        <v>12.6</v>
      </c>
      <c r="AB793" s="3">
        <v>12.5</v>
      </c>
      <c r="AC793" s="3">
        <v>7.5</v>
      </c>
      <c r="AD793" s="3">
        <v>6.9</v>
      </c>
      <c r="AE793" s="3">
        <v>7.9</v>
      </c>
      <c r="AF793" s="3">
        <v>12.7</v>
      </c>
      <c r="AG793" s="3">
        <v>15.6</v>
      </c>
      <c r="AH793" s="3">
        <v>8.1999999999999993</v>
      </c>
      <c r="AI793" s="3">
        <v>7.3</v>
      </c>
      <c r="AJ793" s="3">
        <v>8.8000000000000007</v>
      </c>
      <c r="AK793" s="3">
        <v>7.2</v>
      </c>
      <c r="AL793" s="3">
        <v>6.2</v>
      </c>
      <c r="AM793" s="3">
        <v>5.7</v>
      </c>
      <c r="AN793" s="3">
        <v>6.1</v>
      </c>
      <c r="AO793" s="3">
        <v>6</v>
      </c>
      <c r="AP793" s="3">
        <v>5.8</v>
      </c>
      <c r="AQ793" s="3">
        <v>6.3</v>
      </c>
      <c r="AR793" s="3">
        <v>6.1</v>
      </c>
      <c r="AS793" s="3">
        <v>13</v>
      </c>
      <c r="AT793" s="3">
        <v>30.6</v>
      </c>
      <c r="AU793" s="3">
        <v>10.5</v>
      </c>
      <c r="AV793" s="3">
        <v>8.1999999999999993</v>
      </c>
      <c r="AW793" s="3">
        <v>8.6999999999999993</v>
      </c>
      <c r="AX793" s="3">
        <v>8.9</v>
      </c>
      <c r="AY793" s="3">
        <v>9.1</v>
      </c>
      <c r="AZ793" s="3">
        <v>0</v>
      </c>
      <c r="BA793" s="3">
        <v>0</v>
      </c>
      <c r="BB793" s="3">
        <v>0</v>
      </c>
      <c r="BC793" s="3">
        <v>32.074838838546739</v>
      </c>
      <c r="BD793" s="3">
        <v>19.025161161453262</v>
      </c>
      <c r="BE793" s="3">
        <v>16.325161161453266</v>
      </c>
      <c r="BF793" s="3">
        <v>14.885161161453262</v>
      </c>
      <c r="BG793" s="3">
        <v>11.711827828119922</v>
      </c>
      <c r="BH793" s="3">
        <v>11.751827828119929</v>
      </c>
      <c r="BI793" s="3">
        <v>7.1651611614532627</v>
      </c>
      <c r="BJ793" s="3">
        <v>7.3584944947865978</v>
      </c>
      <c r="BK793" s="3">
        <v>8.2318278281199255</v>
      </c>
      <c r="BL793" s="3">
        <v>12.60516116145326</v>
      </c>
      <c r="BM793" s="3">
        <v>15.638494494786599</v>
      </c>
      <c r="BN793" s="3">
        <v>8.5218278281199247</v>
      </c>
      <c r="BO793" s="3">
        <v>6.9884944947866003</v>
      </c>
      <c r="BP793" s="3">
        <v>8.2051611614532618</v>
      </c>
      <c r="BQ793" s="3">
        <v>7.0218278281199176</v>
      </c>
      <c r="BR793" s="3">
        <v>6.3484944947865998</v>
      </c>
      <c r="BS793" s="3">
        <v>5.6518278281199272</v>
      </c>
      <c r="BT793" s="3">
        <v>6.2484944947865984</v>
      </c>
      <c r="BU793" s="3">
        <v>6.1151611614532655</v>
      </c>
      <c r="BV793" s="3">
        <v>5.6318278281199312</v>
      </c>
      <c r="BW793" s="3">
        <v>6.6651611614532627</v>
      </c>
      <c r="BX793" s="3">
        <v>6.3851611614532686</v>
      </c>
      <c r="BY793" s="3">
        <v>13.10516116145326</v>
      </c>
      <c r="BZ793" s="3">
        <v>30.835161161453271</v>
      </c>
      <c r="CA793" s="3">
        <v>10.835161161453257</v>
      </c>
      <c r="CB793" s="3">
        <v>7.9718278281199275</v>
      </c>
      <c r="CC793" s="3">
        <v>8.6851611614532587</v>
      </c>
      <c r="CD793" s="3">
        <v>8.1918278281199335</v>
      </c>
      <c r="CE793" s="3">
        <v>8.5851611614532573</v>
      </c>
      <c r="CF793" s="3">
        <v>-0.90150550521340378</v>
      </c>
      <c r="CG793" s="3">
        <v>-1.4348388385467352</v>
      </c>
      <c r="CH793" s="3">
        <v>-2.5115055052134032</v>
      </c>
      <c r="CI793" s="13">
        <f>[1]!dbasum(RecData[[#This Row],[20]:[2000]],RecData[[#Headers],[20]:[2000]])</f>
        <v>15.36781225032442</v>
      </c>
      <c r="CJ793" s="14">
        <v>9870</v>
      </c>
      <c r="CK793" s="15" t="s">
        <v>249</v>
      </c>
      <c r="CL793" s="15">
        <f>RecData[[#This Row],[Start Time]]</f>
        <v>43273.997916666667</v>
      </c>
      <c r="CM793" s="16">
        <f>RecData[[#This Row],[Wind Speed avg]]</f>
        <v>0.69</v>
      </c>
      <c r="CN793" s="16">
        <f>RecData[[#This Row],[Wind Dir. avg]]</f>
        <v>153.80000000000001</v>
      </c>
      <c r="CO793" s="16">
        <f>RecData[[#This Row],[Amb. Humidity]]</f>
        <v>79.400000000000006</v>
      </c>
      <c r="CP793" s="16">
        <f>RecData[[#This Row],[Amb. Temperature]]</f>
        <v>12.3</v>
      </c>
      <c r="CQ793" s="17">
        <f>RecData[[#This Row],[Amb. Rain Gauge]]</f>
        <v>0</v>
      </c>
      <c r="CR793" s="4" t="s">
        <v>50</v>
      </c>
      <c r="CS793" s="4" t="s">
        <v>49</v>
      </c>
      <c r="CT793" s="70">
        <v>-8.8684825897216797</v>
      </c>
      <c r="CU793" s="70">
        <v>175.00148010253901</v>
      </c>
      <c r="CV793" s="70">
        <v>1.1239151954650799</v>
      </c>
      <c r="CW793" s="70">
        <v>0</v>
      </c>
      <c r="CX793" s="109"/>
      <c r="CY793" s="110"/>
      <c r="CZ793" s="2" t="b">
        <f>IF($DP$1="YES",IF(RecData[[#This Row],[Power (kW)]]&gt;=$CR$3, TRUE,FALSE),TRUE)</f>
        <v>0</v>
      </c>
      <c r="DA793" s="16">
        <f>MIN(MOD(180-ABS(ABS($DA$1-RecData[Yaw Angle (°)])-180),360),MOD(180-ABS(ABS($DB$1-RecData[Yaw Angle (°)])-180),360))</f>
        <v>167.47155332485147</v>
      </c>
      <c r="DB793" s="2" t="str">
        <f>IF($DP$2="None","None",IF(RecData[[#This Row],[Relative Wind Direction]]&lt;=45,"DW",IF(RecData[[#This Row],[Relative Wind Direction]]&lt;=135,"CW","UW")))</f>
        <v>UW</v>
      </c>
      <c r="DC793" s="61">
        <f>IF($CL793-$CL789&gt;1/24,#REF!,IF(SUM($CQ789:$CQ793)&gt;$DS$1,$DS$5,DC794-1))</f>
        <v>-5</v>
      </c>
      <c r="DD793" s="61">
        <f>IF($CL794-$CL793&gt;1/24,#REF!,IF(SUM($CQ789:$CQ793)&gt;$DS$1,$DS$6,DD792-1))</f>
        <v>-6</v>
      </c>
      <c r="DE793" s="18" t="b">
        <v>0</v>
      </c>
      <c r="DF793" s="2" t="b">
        <f>IF(OR(RecData[[#This Row],[WSpd_Avg '[m/s']]]-RecData[[#This Row],[Wind Speed min]]&gt;=$DF$3,RecData[[#This Row],[Wind Speed max]]-RecData[[#This Row],[WSpd_Avg '[m/s']]]&gt;=$DF$2),TRUE,FALSE)</f>
        <v>0</v>
      </c>
      <c r="DG793" s="2" t="b">
        <f>RecData[[#This Row],[Temperature '[°C']]]&lt;=-20</f>
        <v>0</v>
      </c>
      <c r="DH793" s="18" t="b">
        <f>NOT(OR(MOD(RecData[[#This Row],[TIMESTAMP]],1)&gt;0.91632,MOD(RecData[[#This Row],[TIMESTAMP]],1)&lt;0.208681))</f>
        <v>0</v>
      </c>
      <c r="DI793" s="18" t="b">
        <f>RecData[[#This Row],[Overall (dBA)]]-RecData[[#This Row],[L90]]&gt;=$DS$4</f>
        <v>0</v>
      </c>
      <c r="DJ793" s="18" t="b">
        <f>RecData[[#This Row],[Overall (dBA)]]&gt;$DS$2</f>
        <v>0</v>
      </c>
      <c r="DK793" s="18" t="b">
        <f>RecData[[#This Row],[Overall (dBA)]]&lt;$DS$3</f>
        <v>0</v>
      </c>
      <c r="DL7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3" s="2">
        <f>IF(AND(RecData[[#This Row],[Turbines ON/OFF]] = "OFF", NOT(OR(RecData[[#This Row],[Junk?]]="YES",RecData[[#This Row],[Gust?]],RecData[[#This Row],[Rain?]:[Min SPL Threshold?]]))),1,0)</f>
        <v>1</v>
      </c>
      <c r="DN793" s="16">
        <f>RecData[[#This Row],[dBA Sum]]</f>
        <v>15.36781225032442</v>
      </c>
      <c r="DO793" s="16">
        <f>RecData[[#This Row],[LAF90.0]]</f>
        <v>18.899999999999999</v>
      </c>
      <c r="DP793" s="55" t="str">
        <f>IF(AND(RecData[[#This Row],[Useable TON Data?]],RecData[[#This Row],[Turbines ON/OFF]]="ON"),RecData[[#This Row],[dBA Sum]],"")</f>
        <v/>
      </c>
      <c r="DQ793" s="55">
        <f>IF(AND(RecData[[#This Row],[Useable Background Data?]],RecData[[#This Row],[Turbines ON/OFF]]="OFF"),RecData[[#This Row],[dBA Sum]],"")</f>
        <v>15.36781225032442</v>
      </c>
      <c r="DR793" s="3">
        <f>IF(OR(RecData[[#This Row],[Useable TON Data?]],RecData[[#This Row],[Useable Background Data?]]),ROUND(RecData[[#This Row],[WSpd_Avg '[m/s']]],0),"")</f>
        <v>1</v>
      </c>
      <c r="DS793" s="85">
        <f>(0.00002)^2*(10^(RecData[[#This Row],[Overall (dBA)]]/10))</f>
        <v>1.3767060354630945E-8</v>
      </c>
    </row>
    <row r="794" spans="1:123" ht="15" x14ac:dyDescent="0.25">
      <c r="A794" s="3" t="s">
        <v>249</v>
      </c>
      <c r="B794" s="12">
        <v>43273.998611111114</v>
      </c>
      <c r="C794" s="3"/>
      <c r="D794" s="3">
        <v>29.1</v>
      </c>
      <c r="E794" s="3"/>
      <c r="F794" s="3"/>
      <c r="G794" s="3"/>
      <c r="H794" s="3"/>
      <c r="I794" s="3"/>
      <c r="J794" s="3"/>
      <c r="K794" s="3">
        <v>19.3</v>
      </c>
      <c r="L794" s="3"/>
      <c r="M794" s="3"/>
      <c r="N794" s="3">
        <v>142.6</v>
      </c>
      <c r="O794" s="3"/>
      <c r="P794" s="3"/>
      <c r="Q794" s="3">
        <v>0.6</v>
      </c>
      <c r="R794" s="3">
        <v>0.4</v>
      </c>
      <c r="S794" s="3">
        <v>0.7</v>
      </c>
      <c r="T794" s="3">
        <v>12.3</v>
      </c>
      <c r="U794" s="3">
        <v>79.5</v>
      </c>
      <c r="V794" s="3">
        <v>967.5</v>
      </c>
      <c r="W794" s="3">
        <v>0</v>
      </c>
      <c r="X794" s="3">
        <v>24.9</v>
      </c>
      <c r="Y794" s="3">
        <v>21</v>
      </c>
      <c r="Z794" s="3">
        <v>22.8</v>
      </c>
      <c r="AA794" s="3">
        <v>15.5</v>
      </c>
      <c r="AB794" s="3">
        <v>11.8</v>
      </c>
      <c r="AC794" s="3">
        <v>11.7</v>
      </c>
      <c r="AD794" s="3">
        <v>9.4</v>
      </c>
      <c r="AE794" s="3">
        <v>10.1</v>
      </c>
      <c r="AF794" s="3">
        <v>15</v>
      </c>
      <c r="AG794" s="3">
        <v>14.7</v>
      </c>
      <c r="AH794" s="3">
        <v>9.9</v>
      </c>
      <c r="AI794" s="3">
        <v>8.9</v>
      </c>
      <c r="AJ794" s="3">
        <v>9.8000000000000007</v>
      </c>
      <c r="AK794" s="3">
        <v>7.8</v>
      </c>
      <c r="AL794" s="3">
        <v>6.8</v>
      </c>
      <c r="AM794" s="3">
        <v>8.1999999999999993</v>
      </c>
      <c r="AN794" s="3">
        <v>6.8</v>
      </c>
      <c r="AO794" s="3">
        <v>6.2</v>
      </c>
      <c r="AP794" s="3">
        <v>5.7</v>
      </c>
      <c r="AQ794" s="3">
        <v>6</v>
      </c>
      <c r="AR794" s="3">
        <v>5.9</v>
      </c>
      <c r="AS794" s="3">
        <v>10.7</v>
      </c>
      <c r="AT794" s="3">
        <v>27.4</v>
      </c>
      <c r="AU794" s="3">
        <v>8.9</v>
      </c>
      <c r="AV794" s="3">
        <v>8.1</v>
      </c>
      <c r="AW794" s="3">
        <v>8.6999999999999993</v>
      </c>
      <c r="AX794" s="3">
        <v>8.8000000000000007</v>
      </c>
      <c r="AY794" s="3">
        <v>9.1</v>
      </c>
      <c r="AZ794" s="3">
        <v>0</v>
      </c>
      <c r="BA794" s="3">
        <v>0</v>
      </c>
      <c r="BB794" s="3">
        <v>0</v>
      </c>
      <c r="BC794" s="3">
        <v>29.094306091332726</v>
      </c>
      <c r="BD794" s="3">
        <v>24.905693908667274</v>
      </c>
      <c r="BE794" s="3">
        <v>21.005693908667276</v>
      </c>
      <c r="BF794" s="3">
        <v>21.565693908667278</v>
      </c>
      <c r="BG794" s="3">
        <v>14.592360575333942</v>
      </c>
      <c r="BH794" s="3">
        <v>11.032360575333946</v>
      </c>
      <c r="BI794" s="3">
        <v>11.345693908667272</v>
      </c>
      <c r="BJ794" s="3">
        <v>9.8390272420006113</v>
      </c>
      <c r="BK794" s="3">
        <v>10.412360575333935</v>
      </c>
      <c r="BL794" s="3">
        <v>14.885693908667278</v>
      </c>
      <c r="BM794" s="3">
        <v>14.719027242000607</v>
      </c>
      <c r="BN794" s="3">
        <v>10.202360575333941</v>
      </c>
      <c r="BO794" s="3">
        <v>8.5690272420006153</v>
      </c>
      <c r="BP794" s="3">
        <v>9.1856939086672753</v>
      </c>
      <c r="BQ794" s="3">
        <v>7.6023605753339325</v>
      </c>
      <c r="BR794" s="3">
        <v>6.9290272420006076</v>
      </c>
      <c r="BS794" s="3">
        <v>8.1323605753339407</v>
      </c>
      <c r="BT794" s="3">
        <v>6.9290272420006076</v>
      </c>
      <c r="BU794" s="3">
        <v>6.2956939086672818</v>
      </c>
      <c r="BV794" s="3">
        <v>5.5123605753339433</v>
      </c>
      <c r="BW794" s="3">
        <v>6.345693908667279</v>
      </c>
      <c r="BX794" s="3">
        <v>6.1656939086672793</v>
      </c>
      <c r="BY794" s="3">
        <v>10.78569390866727</v>
      </c>
      <c r="BZ794" s="3">
        <v>27.615693908667282</v>
      </c>
      <c r="CA794" s="3">
        <v>9.2156939086672693</v>
      </c>
      <c r="CB794" s="3">
        <v>7.8523605753339396</v>
      </c>
      <c r="CC794" s="3">
        <v>8.6656939086672722</v>
      </c>
      <c r="CD794" s="3">
        <v>8.0723605753339456</v>
      </c>
      <c r="CE794" s="3">
        <v>8.5656939086672708</v>
      </c>
      <c r="CF794" s="3">
        <v>-0.92097275799939027</v>
      </c>
      <c r="CG794" s="3">
        <v>-1.4543060913327217</v>
      </c>
      <c r="CH794" s="3">
        <v>-2.5309727579993897</v>
      </c>
      <c r="CI794" s="13">
        <f>[1]!dbasum(RecData[[#This Row],[20]:[2000]],RecData[[#Headers],[20]:[2000]])</f>
        <v>15.769809722446508</v>
      </c>
      <c r="CJ794" s="14">
        <v>9871</v>
      </c>
      <c r="CK794" s="15" t="s">
        <v>249</v>
      </c>
      <c r="CL794" s="15">
        <f>RecData[[#This Row],[Start Time]]</f>
        <v>43273.998611111114</v>
      </c>
      <c r="CM794" s="16">
        <f>RecData[[#This Row],[Wind Speed avg]]</f>
        <v>0.6</v>
      </c>
      <c r="CN794" s="16">
        <f>RecData[[#This Row],[Wind Dir. avg]]</f>
        <v>142.6</v>
      </c>
      <c r="CO794" s="16">
        <f>RecData[[#This Row],[Amb. Humidity]]</f>
        <v>79.5</v>
      </c>
      <c r="CP794" s="16">
        <f>RecData[[#This Row],[Amb. Temperature]]</f>
        <v>12.3</v>
      </c>
      <c r="CQ794" s="17">
        <f>RecData[[#This Row],[Amb. Rain Gauge]]</f>
        <v>0</v>
      </c>
      <c r="CR794" s="4" t="s">
        <v>50</v>
      </c>
      <c r="CS794" s="4" t="s">
        <v>49</v>
      </c>
      <c r="CT794" s="70">
        <v>-8.8684825897216797</v>
      </c>
      <c r="CU794" s="70">
        <v>175.00148010253901</v>
      </c>
      <c r="CV794" s="70">
        <v>1.1239151954650799</v>
      </c>
      <c r="CW794" s="70">
        <v>0</v>
      </c>
      <c r="CX794" s="109"/>
      <c r="CY794" s="110"/>
      <c r="CZ794" s="2" t="b">
        <f>IF($DP$1="YES",IF(RecData[[#This Row],[Power (kW)]]&gt;=$CR$3, TRUE,FALSE),TRUE)</f>
        <v>0</v>
      </c>
      <c r="DA794" s="16">
        <f>MIN(MOD(180-ABS(ABS($DA$1-RecData[Yaw Angle (°)])-180),360),MOD(180-ABS(ABS($DB$1-RecData[Yaw Angle (°)])-180),360))</f>
        <v>167.47155332485147</v>
      </c>
      <c r="DB794" s="2" t="str">
        <f>IF($DP$2="None","None",IF(RecData[[#This Row],[Relative Wind Direction]]&lt;=45,"DW",IF(RecData[[#This Row],[Relative Wind Direction]]&lt;=135,"CW","UW")))</f>
        <v>UW</v>
      </c>
      <c r="DC794" s="61">
        <f>IF($CL794-$CL790&gt;1/24,#REF!,IF(SUM($CQ790:$CQ794)&gt;$DS$1,$DS$5,DC795-1))</f>
        <v>-4</v>
      </c>
      <c r="DD794" s="61">
        <f>IF($CL795-$CL794&gt;1/24,#REF!,IF(SUM($CQ790:$CQ794)&gt;$DS$1,$DS$6,DD793-1))</f>
        <v>-7</v>
      </c>
      <c r="DE794" s="18" t="b">
        <v>0</v>
      </c>
      <c r="DF794" s="2" t="b">
        <f>IF(OR(RecData[[#This Row],[WSpd_Avg '[m/s']]]-RecData[[#This Row],[Wind Speed min]]&gt;=$DF$3,RecData[[#This Row],[Wind Speed max]]-RecData[[#This Row],[WSpd_Avg '[m/s']]]&gt;=$DF$2),TRUE,FALSE)</f>
        <v>0</v>
      </c>
      <c r="DG794" s="2" t="b">
        <f>RecData[[#This Row],[Temperature '[°C']]]&lt;=-20</f>
        <v>0</v>
      </c>
      <c r="DH794" s="18" t="b">
        <f>NOT(OR(MOD(RecData[[#This Row],[TIMESTAMP]],1)&gt;0.91632,MOD(RecData[[#This Row],[TIMESTAMP]],1)&lt;0.208681))</f>
        <v>0</v>
      </c>
      <c r="DI794" s="18" t="b">
        <f>RecData[[#This Row],[Overall (dBA)]]-RecData[[#This Row],[L90]]&gt;=$DS$4</f>
        <v>0</v>
      </c>
      <c r="DJ794" s="18" t="b">
        <f>RecData[[#This Row],[Overall (dBA)]]&gt;$DS$2</f>
        <v>0</v>
      </c>
      <c r="DK794" s="18" t="b">
        <f>RecData[[#This Row],[Overall (dBA)]]&lt;$DS$3</f>
        <v>0</v>
      </c>
      <c r="DL7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4" s="2">
        <f>IF(AND(RecData[[#This Row],[Turbines ON/OFF]] = "OFF", NOT(OR(RecData[[#This Row],[Junk?]]="YES",RecData[[#This Row],[Gust?]],RecData[[#This Row],[Rain?]:[Min SPL Threshold?]]))),1,0)</f>
        <v>1</v>
      </c>
      <c r="DN794" s="16">
        <f>RecData[[#This Row],[dBA Sum]]</f>
        <v>15.769809722446508</v>
      </c>
      <c r="DO794" s="16">
        <f>RecData[[#This Row],[LAF90.0]]</f>
        <v>19.3</v>
      </c>
      <c r="DP794" s="55" t="str">
        <f>IF(AND(RecData[[#This Row],[Useable TON Data?]],RecData[[#This Row],[Turbines ON/OFF]]="ON"),RecData[[#This Row],[dBA Sum]],"")</f>
        <v/>
      </c>
      <c r="DQ794" s="55">
        <f>IF(AND(RecData[[#This Row],[Useable Background Data?]],RecData[[#This Row],[Turbines ON/OFF]]="OFF"),RecData[[#This Row],[dBA Sum]],"")</f>
        <v>15.769809722446508</v>
      </c>
      <c r="DR794" s="3">
        <f>IF(OR(RecData[[#This Row],[Useable TON Data?]],RecData[[#This Row],[Useable Background Data?]]),ROUND(RecData[[#This Row],[WSpd_Avg '[m/s']]],0),"")</f>
        <v>1</v>
      </c>
      <c r="DS794" s="85">
        <f>(0.00002)^2*(10^(RecData[[#This Row],[Overall (dBA)]]/10))</f>
        <v>1.510222594830605E-8</v>
      </c>
    </row>
    <row r="795" spans="1:123" ht="15" x14ac:dyDescent="0.25">
      <c r="A795" s="3" t="s">
        <v>249</v>
      </c>
      <c r="B795" s="12">
        <v>43273.999305555561</v>
      </c>
      <c r="C795" s="3"/>
      <c r="D795" s="3">
        <v>31.1</v>
      </c>
      <c r="E795" s="3"/>
      <c r="F795" s="3"/>
      <c r="G795" s="3"/>
      <c r="H795" s="3"/>
      <c r="I795" s="3"/>
      <c r="J795" s="3"/>
      <c r="K795" s="3">
        <v>18.899999999999999</v>
      </c>
      <c r="L795" s="3"/>
      <c r="M795" s="3"/>
      <c r="N795" s="3">
        <v>137</v>
      </c>
      <c r="O795" s="3"/>
      <c r="P795" s="3"/>
      <c r="Q795" s="3">
        <v>0.55000000000000004</v>
      </c>
      <c r="R795" s="3">
        <v>0.5</v>
      </c>
      <c r="S795" s="3">
        <v>0.6</v>
      </c>
      <c r="T795" s="3">
        <v>12.3</v>
      </c>
      <c r="U795" s="3">
        <v>80.3</v>
      </c>
      <c r="V795" s="3">
        <v>967.5</v>
      </c>
      <c r="W795" s="3">
        <v>0</v>
      </c>
      <c r="X795" s="3">
        <v>21</v>
      </c>
      <c r="Y795" s="3">
        <v>16.399999999999999</v>
      </c>
      <c r="Z795" s="3">
        <v>14.7</v>
      </c>
      <c r="AA795" s="3">
        <v>12.1</v>
      </c>
      <c r="AB795" s="3">
        <v>14.9</v>
      </c>
      <c r="AC795" s="3">
        <v>12.3</v>
      </c>
      <c r="AD795" s="3">
        <v>9.4</v>
      </c>
      <c r="AE795" s="3">
        <v>8.1999999999999993</v>
      </c>
      <c r="AF795" s="3">
        <v>11.6</v>
      </c>
      <c r="AG795" s="3">
        <v>10.199999999999999</v>
      </c>
      <c r="AH795" s="3">
        <v>7.9</v>
      </c>
      <c r="AI795" s="3">
        <v>7.1</v>
      </c>
      <c r="AJ795" s="3">
        <v>8.1999999999999993</v>
      </c>
      <c r="AK795" s="3">
        <v>8</v>
      </c>
      <c r="AL795" s="3">
        <v>6.7</v>
      </c>
      <c r="AM795" s="3">
        <v>6.2</v>
      </c>
      <c r="AN795" s="3">
        <v>6.5</v>
      </c>
      <c r="AO795" s="3">
        <v>6.2</v>
      </c>
      <c r="AP795" s="3">
        <v>5.7</v>
      </c>
      <c r="AQ795" s="3">
        <v>6.4</v>
      </c>
      <c r="AR795" s="3">
        <v>6.7</v>
      </c>
      <c r="AS795" s="3">
        <v>10.8</v>
      </c>
      <c r="AT795" s="3">
        <v>29.6</v>
      </c>
      <c r="AU795" s="3">
        <v>10.199999999999999</v>
      </c>
      <c r="AV795" s="3">
        <v>8.3000000000000007</v>
      </c>
      <c r="AW795" s="3">
        <v>8.8000000000000007</v>
      </c>
      <c r="AX795" s="3">
        <v>8.9</v>
      </c>
      <c r="AY795" s="3">
        <v>9.1999999999999993</v>
      </c>
      <c r="AZ795" s="3">
        <v>0</v>
      </c>
      <c r="BA795" s="3">
        <v>0</v>
      </c>
      <c r="BB795" s="3">
        <v>0</v>
      </c>
      <c r="BC795" s="3">
        <v>31.108923689790338</v>
      </c>
      <c r="BD795" s="3">
        <v>20.991076310209664</v>
      </c>
      <c r="BE795" s="3">
        <v>16.391076310209662</v>
      </c>
      <c r="BF795" s="3">
        <v>13.451076310209665</v>
      </c>
      <c r="BG795" s="3">
        <v>11.177742976876324</v>
      </c>
      <c r="BH795" s="3">
        <v>14.117742976876336</v>
      </c>
      <c r="BI795" s="3">
        <v>11.931076310209669</v>
      </c>
      <c r="BJ795" s="3">
        <v>9.8244096435429995</v>
      </c>
      <c r="BK795" s="3">
        <v>8.4977429768763244</v>
      </c>
      <c r="BL795" s="3">
        <v>11.471076310209661</v>
      </c>
      <c r="BM795" s="3">
        <v>10.204409643542995</v>
      </c>
      <c r="BN795" s="3">
        <v>8.1877429768763292</v>
      </c>
      <c r="BO795" s="3">
        <v>6.7544096435429992</v>
      </c>
      <c r="BP795" s="3">
        <v>7.5710763102096621</v>
      </c>
      <c r="BQ795" s="3">
        <v>7.7877429768763236</v>
      </c>
      <c r="BR795" s="3">
        <v>6.8144096435430015</v>
      </c>
      <c r="BS795" s="3">
        <v>6.117742976876329</v>
      </c>
      <c r="BT795" s="3">
        <v>6.6144096435429987</v>
      </c>
      <c r="BU795" s="3">
        <v>6.2810763102096701</v>
      </c>
      <c r="BV795" s="3">
        <v>5.4977429768763315</v>
      </c>
      <c r="BW795" s="3">
        <v>6.7310763102096658</v>
      </c>
      <c r="BX795" s="3">
        <v>6.9510763102096718</v>
      </c>
      <c r="BY795" s="3">
        <v>10.871076310209666</v>
      </c>
      <c r="BZ795" s="3">
        <v>29.801076310209673</v>
      </c>
      <c r="CA795" s="3">
        <v>10.501076310209655</v>
      </c>
      <c r="CB795" s="3">
        <v>8.0377429768763307</v>
      </c>
      <c r="CC795" s="3">
        <v>8.7510763102096618</v>
      </c>
      <c r="CD795" s="3">
        <v>8.1577429768763352</v>
      </c>
      <c r="CE795" s="3">
        <v>8.6510763102096604</v>
      </c>
      <c r="CF795" s="3">
        <v>-0.93559035645700206</v>
      </c>
      <c r="CG795" s="3">
        <v>-1.4689236897903335</v>
      </c>
      <c r="CH795" s="3">
        <v>-2.5455903564570015</v>
      </c>
      <c r="CI795" s="13">
        <f>[1]!dbasum(RecData[[#This Row],[20]:[2000]],RecData[[#Headers],[20]:[2000]])</f>
        <v>15.430559792634009</v>
      </c>
      <c r="CJ795" s="14">
        <v>9872</v>
      </c>
      <c r="CK795" s="15" t="s">
        <v>249</v>
      </c>
      <c r="CL795" s="15">
        <f>RecData[[#This Row],[Start Time]]</f>
        <v>43273.999305555561</v>
      </c>
      <c r="CM795" s="16">
        <f>RecData[[#This Row],[Wind Speed avg]]</f>
        <v>0.55000000000000004</v>
      </c>
      <c r="CN795" s="16">
        <f>RecData[[#This Row],[Wind Dir. avg]]</f>
        <v>137</v>
      </c>
      <c r="CO795" s="16">
        <f>RecData[[#This Row],[Amb. Humidity]]</f>
        <v>80.3</v>
      </c>
      <c r="CP795" s="16">
        <f>RecData[[#This Row],[Amb. Temperature]]</f>
        <v>12.3</v>
      </c>
      <c r="CQ795" s="17">
        <f>RecData[[#This Row],[Amb. Rain Gauge]]</f>
        <v>0</v>
      </c>
      <c r="CR795" s="4" t="s">
        <v>50</v>
      </c>
      <c r="CS795" s="4" t="s">
        <v>49</v>
      </c>
      <c r="CT795" s="70">
        <v>-8.8684825897216797</v>
      </c>
      <c r="CU795" s="70">
        <v>175.00148010253901</v>
      </c>
      <c r="CV795" s="70">
        <v>1.1239151954650799</v>
      </c>
      <c r="CW795" s="70">
        <v>0</v>
      </c>
      <c r="CX795" s="109"/>
      <c r="CY795" s="110"/>
      <c r="CZ795" s="2" t="b">
        <f>IF($DP$1="YES",IF(RecData[[#This Row],[Power (kW)]]&gt;=$CR$3, TRUE,FALSE),TRUE)</f>
        <v>0</v>
      </c>
      <c r="DA795" s="16">
        <f>MIN(MOD(180-ABS(ABS($DA$1-RecData[Yaw Angle (°)])-180),360),MOD(180-ABS(ABS($DB$1-RecData[Yaw Angle (°)])-180),360))</f>
        <v>167.47155332485147</v>
      </c>
      <c r="DB795" s="2" t="str">
        <f>IF($DP$2="None","None",IF(RecData[[#This Row],[Relative Wind Direction]]&lt;=45,"DW",IF(RecData[[#This Row],[Relative Wind Direction]]&lt;=135,"CW","UW")))</f>
        <v>UW</v>
      </c>
      <c r="DC795" s="61">
        <f>IF($CL795-$CL791&gt;1/24,#REF!,IF(SUM($CQ791:$CQ795)&gt;$DS$1,$DS$5,DC796-1))</f>
        <v>-3</v>
      </c>
      <c r="DD795" s="61">
        <f>IF($CL796-$CL795&gt;1/24,#REF!,IF(SUM($CQ791:$CQ795)&gt;$DS$1,$DS$6,DD794-1))</f>
        <v>-8</v>
      </c>
      <c r="DE795" s="18" t="b">
        <v>0</v>
      </c>
      <c r="DF795" s="2" t="b">
        <f>IF(OR(RecData[[#This Row],[WSpd_Avg '[m/s']]]-RecData[[#This Row],[Wind Speed min]]&gt;=$DF$3,RecData[[#This Row],[Wind Speed max]]-RecData[[#This Row],[WSpd_Avg '[m/s']]]&gt;=$DF$2),TRUE,FALSE)</f>
        <v>0</v>
      </c>
      <c r="DG795" s="2" t="b">
        <f>RecData[[#This Row],[Temperature '[°C']]]&lt;=-20</f>
        <v>0</v>
      </c>
      <c r="DH795" s="18" t="b">
        <f>NOT(OR(MOD(RecData[[#This Row],[TIMESTAMP]],1)&gt;0.91632,MOD(RecData[[#This Row],[TIMESTAMP]],1)&lt;0.208681))</f>
        <v>0</v>
      </c>
      <c r="DI795" s="18" t="b">
        <f>RecData[[#This Row],[Overall (dBA)]]-RecData[[#This Row],[L90]]&gt;=$DS$4</f>
        <v>0</v>
      </c>
      <c r="DJ795" s="18" t="b">
        <f>RecData[[#This Row],[Overall (dBA)]]&gt;$DS$2</f>
        <v>0</v>
      </c>
      <c r="DK795" s="18" t="b">
        <f>RecData[[#This Row],[Overall (dBA)]]&lt;$DS$3</f>
        <v>0</v>
      </c>
      <c r="DL7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5" s="2">
        <f>IF(AND(RecData[[#This Row],[Turbines ON/OFF]] = "OFF", NOT(OR(RecData[[#This Row],[Junk?]]="YES",RecData[[#This Row],[Gust?]],RecData[[#This Row],[Rain?]:[Min SPL Threshold?]]))),1,0)</f>
        <v>1</v>
      </c>
      <c r="DN795" s="16">
        <f>RecData[[#This Row],[dBA Sum]]</f>
        <v>15.430559792634009</v>
      </c>
      <c r="DO795" s="16">
        <f>RecData[[#This Row],[LAF90.0]]</f>
        <v>18.899999999999999</v>
      </c>
      <c r="DP795" s="55" t="str">
        <f>IF(AND(RecData[[#This Row],[Useable TON Data?]],RecData[[#This Row],[Turbines ON/OFF]]="ON"),RecData[[#This Row],[dBA Sum]],"")</f>
        <v/>
      </c>
      <c r="DQ795" s="55">
        <f>IF(AND(RecData[[#This Row],[Useable Background Data?]],RecData[[#This Row],[Turbines ON/OFF]]="OFF"),RecData[[#This Row],[dBA Sum]],"")</f>
        <v>15.430559792634009</v>
      </c>
      <c r="DR795" s="3">
        <f>IF(OR(RecData[[#This Row],[Useable TON Data?]],RecData[[#This Row],[Useable Background Data?]]),ROUND(RecData[[#This Row],[WSpd_Avg '[m/s']]],0),"")</f>
        <v>1</v>
      </c>
      <c r="DS795" s="85">
        <f>(0.00002)^2*(10^(RecData[[#This Row],[Overall (dBA)]]/10))</f>
        <v>1.396741286097696E-8</v>
      </c>
    </row>
    <row r="796" spans="1:123" ht="15" x14ac:dyDescent="0.25">
      <c r="A796" s="3" t="s">
        <v>249</v>
      </c>
      <c r="B796" s="12">
        <v>43274</v>
      </c>
      <c r="C796" s="3"/>
      <c r="D796" s="3">
        <v>31.7</v>
      </c>
      <c r="E796" s="3"/>
      <c r="F796" s="3"/>
      <c r="G796" s="3"/>
      <c r="H796" s="3"/>
      <c r="I796" s="3"/>
      <c r="J796" s="3"/>
      <c r="K796" s="3">
        <v>19.899999999999999</v>
      </c>
      <c r="L796" s="3"/>
      <c r="M796" s="3"/>
      <c r="N796" s="3">
        <v>127.2</v>
      </c>
      <c r="O796" s="3"/>
      <c r="P796" s="3"/>
      <c r="Q796" s="3">
        <v>0.51</v>
      </c>
      <c r="R796" s="3">
        <v>0.3</v>
      </c>
      <c r="S796" s="3">
        <v>0.6</v>
      </c>
      <c r="T796" s="3">
        <v>12.3</v>
      </c>
      <c r="U796" s="3">
        <v>81.099999999999994</v>
      </c>
      <c r="V796" s="3">
        <v>967.4</v>
      </c>
      <c r="W796" s="3">
        <v>0</v>
      </c>
      <c r="X796" s="3">
        <v>17.7</v>
      </c>
      <c r="Y796" s="3">
        <v>15</v>
      </c>
      <c r="Z796" s="3">
        <v>13.3</v>
      </c>
      <c r="AA796" s="3">
        <v>12.2</v>
      </c>
      <c r="AB796" s="3">
        <v>13.6</v>
      </c>
      <c r="AC796" s="3">
        <v>12.6</v>
      </c>
      <c r="AD796" s="3">
        <v>11.2</v>
      </c>
      <c r="AE796" s="3">
        <v>8.5</v>
      </c>
      <c r="AF796" s="3">
        <v>12.1</v>
      </c>
      <c r="AG796" s="3">
        <v>9.6</v>
      </c>
      <c r="AH796" s="3">
        <v>9.1999999999999993</v>
      </c>
      <c r="AI796" s="3">
        <v>7.2</v>
      </c>
      <c r="AJ796" s="3">
        <v>8.1999999999999993</v>
      </c>
      <c r="AK796" s="3">
        <v>7.4</v>
      </c>
      <c r="AL796" s="3">
        <v>6.7</v>
      </c>
      <c r="AM796" s="3">
        <v>6.3</v>
      </c>
      <c r="AN796" s="3">
        <v>6.6</v>
      </c>
      <c r="AO796" s="3">
        <v>6.2</v>
      </c>
      <c r="AP796" s="3">
        <v>6</v>
      </c>
      <c r="AQ796" s="3">
        <v>6.3</v>
      </c>
      <c r="AR796" s="3">
        <v>6.3</v>
      </c>
      <c r="AS796" s="3">
        <v>12</v>
      </c>
      <c r="AT796" s="3">
        <v>30.2</v>
      </c>
      <c r="AU796" s="3">
        <v>10</v>
      </c>
      <c r="AV796" s="3">
        <v>8.5</v>
      </c>
      <c r="AW796" s="3">
        <v>8.9</v>
      </c>
      <c r="AX796" s="3">
        <v>8.9</v>
      </c>
      <c r="AY796" s="3">
        <v>9.1999999999999993</v>
      </c>
      <c r="AZ796" s="3">
        <v>0</v>
      </c>
      <c r="BA796" s="3">
        <v>0</v>
      </c>
      <c r="BB796" s="3">
        <v>0</v>
      </c>
      <c r="BC796" s="3">
        <v>31.684088367290755</v>
      </c>
      <c r="BD796" s="3">
        <v>17.715911632709243</v>
      </c>
      <c r="BE796" s="3">
        <v>15.015911632709248</v>
      </c>
      <c r="BF796" s="3">
        <v>12.075911632709243</v>
      </c>
      <c r="BG796" s="3">
        <v>11.302578299375909</v>
      </c>
      <c r="BH796" s="3">
        <v>12.842578299375916</v>
      </c>
      <c r="BI796" s="3">
        <v>12.255911632709243</v>
      </c>
      <c r="BJ796" s="3">
        <v>11.649244966042573</v>
      </c>
      <c r="BK796" s="3">
        <v>8.8225782993759054</v>
      </c>
      <c r="BL796" s="3">
        <v>11.995911632709245</v>
      </c>
      <c r="BM796" s="3">
        <v>9.6292449660425774</v>
      </c>
      <c r="BN796" s="3">
        <v>9.5125782993759103</v>
      </c>
      <c r="BO796" s="3">
        <v>6.8792449660425774</v>
      </c>
      <c r="BP796" s="3">
        <v>7.595911632709246</v>
      </c>
      <c r="BQ796" s="3">
        <v>7.2125782993758989</v>
      </c>
      <c r="BR796" s="3">
        <v>6.8392449660425783</v>
      </c>
      <c r="BS796" s="3">
        <v>6.2425782993759071</v>
      </c>
      <c r="BT796" s="3">
        <v>6.7392449660425768</v>
      </c>
      <c r="BU796" s="3">
        <v>6.3059116327092468</v>
      </c>
      <c r="BV796" s="3">
        <v>5.8225782993759125</v>
      </c>
      <c r="BW796" s="3">
        <v>6.6559116327092482</v>
      </c>
      <c r="BX796" s="3">
        <v>6.5759116327092499</v>
      </c>
      <c r="BY796" s="3">
        <v>12.095911632709246</v>
      </c>
      <c r="BZ796" s="3">
        <v>30.425911632709244</v>
      </c>
      <c r="CA796" s="3">
        <v>10.325911632709236</v>
      </c>
      <c r="CB796" s="3">
        <v>8.2625782993759103</v>
      </c>
      <c r="CC796" s="3">
        <v>8.8759116327092471</v>
      </c>
      <c r="CD796" s="3">
        <v>8.1825782993759191</v>
      </c>
      <c r="CE796" s="3">
        <v>8.6759116327092443</v>
      </c>
      <c r="CF796" s="3">
        <v>-0.91075503395742174</v>
      </c>
      <c r="CG796" s="3">
        <v>-1.4440883672907532</v>
      </c>
      <c r="CH796" s="3">
        <v>-2.5207550339574212</v>
      </c>
      <c r="CI796" s="13">
        <f>[1]!dbasum(RecData[[#This Row],[20]:[2000]],RecData[[#Headers],[20]:[2000]])</f>
        <v>15.415757740401627</v>
      </c>
      <c r="CJ796" s="14">
        <v>9873</v>
      </c>
      <c r="CK796" s="15" t="s">
        <v>249</v>
      </c>
      <c r="CL796" s="15">
        <f>RecData[[#This Row],[Start Time]]</f>
        <v>43274</v>
      </c>
      <c r="CM796" s="16">
        <f>RecData[[#This Row],[Wind Speed avg]]</f>
        <v>0.51</v>
      </c>
      <c r="CN796" s="16">
        <f>RecData[[#This Row],[Wind Dir. avg]]</f>
        <v>127.2</v>
      </c>
      <c r="CO796" s="16">
        <f>RecData[[#This Row],[Amb. Humidity]]</f>
        <v>81.099999999999994</v>
      </c>
      <c r="CP796" s="16">
        <f>RecData[[#This Row],[Amb. Temperature]]</f>
        <v>12.3</v>
      </c>
      <c r="CQ796" s="17">
        <f>RecData[[#This Row],[Amb. Rain Gauge]]</f>
        <v>0</v>
      </c>
      <c r="CR796" s="4" t="s">
        <v>50</v>
      </c>
      <c r="CS796" s="4" t="s">
        <v>49</v>
      </c>
      <c r="CT796" s="70">
        <v>-8.8684825897216797</v>
      </c>
      <c r="CU796" s="70">
        <v>175.00148010253901</v>
      </c>
      <c r="CV796" s="70">
        <v>1.1239151954650799</v>
      </c>
      <c r="CW796" s="70">
        <v>0</v>
      </c>
      <c r="CX796" s="109"/>
      <c r="CY796" s="110"/>
      <c r="CZ796" s="2" t="b">
        <f>IF($DP$1="YES",IF(RecData[[#This Row],[Power (kW)]]&gt;=$CR$3, TRUE,FALSE),TRUE)</f>
        <v>0</v>
      </c>
      <c r="DA796" s="16">
        <f>MIN(MOD(180-ABS(ABS($DA$1-RecData[Yaw Angle (°)])-180),360),MOD(180-ABS(ABS($DB$1-RecData[Yaw Angle (°)])-180),360))</f>
        <v>167.47155332485147</v>
      </c>
      <c r="DB796" s="2" t="str">
        <f>IF($DP$2="None","None",IF(RecData[[#This Row],[Relative Wind Direction]]&lt;=45,"DW",IF(RecData[[#This Row],[Relative Wind Direction]]&lt;=135,"CW","UW")))</f>
        <v>UW</v>
      </c>
      <c r="DC796" s="61">
        <f>IF($CL796-$CL792&gt;1/24,#REF!,IF(SUM($CQ792:$CQ796)&gt;$DS$1,$DS$5,DC797-1))</f>
        <v>-2</v>
      </c>
      <c r="DD796" s="61">
        <f>IF($CL797-$CL796&gt;1/24,#REF!,IF(SUM($CQ792:$CQ796)&gt;$DS$1,$DS$6,DD795-1))</f>
        <v>-9</v>
      </c>
      <c r="DE796" s="18" t="b">
        <v>0</v>
      </c>
      <c r="DF796" s="2" t="b">
        <f>IF(OR(RecData[[#This Row],[WSpd_Avg '[m/s']]]-RecData[[#This Row],[Wind Speed min]]&gt;=$DF$3,RecData[[#This Row],[Wind Speed max]]-RecData[[#This Row],[WSpd_Avg '[m/s']]]&gt;=$DF$2),TRUE,FALSE)</f>
        <v>0</v>
      </c>
      <c r="DG796" s="2" t="b">
        <f>RecData[[#This Row],[Temperature '[°C']]]&lt;=-20</f>
        <v>0</v>
      </c>
      <c r="DH796" s="18" t="b">
        <f>NOT(OR(MOD(RecData[[#This Row],[TIMESTAMP]],1)&gt;0.91632,MOD(RecData[[#This Row],[TIMESTAMP]],1)&lt;0.208681))</f>
        <v>0</v>
      </c>
      <c r="DI796" s="18" t="b">
        <f>RecData[[#This Row],[Overall (dBA)]]-RecData[[#This Row],[L90]]&gt;=$DS$4</f>
        <v>0</v>
      </c>
      <c r="DJ796" s="18" t="b">
        <f>RecData[[#This Row],[Overall (dBA)]]&gt;$DS$2</f>
        <v>0</v>
      </c>
      <c r="DK796" s="18" t="b">
        <f>RecData[[#This Row],[Overall (dBA)]]&lt;$DS$3</f>
        <v>0</v>
      </c>
      <c r="DL7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6" s="2">
        <f>IF(AND(RecData[[#This Row],[Turbines ON/OFF]] = "OFF", NOT(OR(RecData[[#This Row],[Junk?]]="YES",RecData[[#This Row],[Gust?]],RecData[[#This Row],[Rain?]:[Min SPL Threshold?]]))),1,0)</f>
        <v>1</v>
      </c>
      <c r="DN796" s="16">
        <f>RecData[[#This Row],[dBA Sum]]</f>
        <v>15.415757740401627</v>
      </c>
      <c r="DO796" s="16">
        <f>RecData[[#This Row],[LAF90.0]]</f>
        <v>19.899999999999999</v>
      </c>
      <c r="DP796" s="55" t="str">
        <f>IF(AND(RecData[[#This Row],[Useable TON Data?]],RecData[[#This Row],[Turbines ON/OFF]]="ON"),RecData[[#This Row],[dBA Sum]],"")</f>
        <v/>
      </c>
      <c r="DQ796" s="55">
        <f>IF(AND(RecData[[#This Row],[Useable Background Data?]],RecData[[#This Row],[Turbines ON/OFF]]="OFF"),RecData[[#This Row],[dBA Sum]],"")</f>
        <v>15.415757740401627</v>
      </c>
      <c r="DR796" s="3">
        <f>IF(OR(RecData[[#This Row],[Useable TON Data?]],RecData[[#This Row],[Useable Background Data?]]),ROUND(RecData[[#This Row],[WSpd_Avg '[m/s']]],0),"")</f>
        <v>1</v>
      </c>
      <c r="DS796" s="85">
        <f>(0.00002)^2*(10^(RecData[[#This Row],[Overall (dBA)]]/10))</f>
        <v>1.3919888783057595E-8</v>
      </c>
    </row>
    <row r="797" spans="1:123" ht="15" x14ac:dyDescent="0.25">
      <c r="A797" s="3" t="s">
        <v>249</v>
      </c>
      <c r="B797" s="12">
        <v>43274.000694444447</v>
      </c>
      <c r="C797" s="3"/>
      <c r="D797" s="3">
        <v>32</v>
      </c>
      <c r="E797" s="3"/>
      <c r="F797" s="3"/>
      <c r="G797" s="3"/>
      <c r="H797" s="3"/>
      <c r="I797" s="3"/>
      <c r="J797" s="3"/>
      <c r="K797" s="3">
        <v>19.600000000000001</v>
      </c>
      <c r="L797" s="3"/>
      <c r="M797" s="3"/>
      <c r="N797" s="3">
        <v>119.9</v>
      </c>
      <c r="O797" s="3"/>
      <c r="P797" s="3"/>
      <c r="Q797" s="3">
        <v>0.53</v>
      </c>
      <c r="R797" s="3">
        <v>0.4</v>
      </c>
      <c r="S797" s="3">
        <v>0.7</v>
      </c>
      <c r="T797" s="3">
        <v>12.2</v>
      </c>
      <c r="U797" s="3">
        <v>81.900000000000006</v>
      </c>
      <c r="V797" s="3">
        <v>967.4</v>
      </c>
      <c r="W797" s="3">
        <v>0</v>
      </c>
      <c r="X797" s="3">
        <v>17.899999999999999</v>
      </c>
      <c r="Y797" s="3">
        <v>14.9</v>
      </c>
      <c r="Z797" s="3">
        <v>14</v>
      </c>
      <c r="AA797" s="3">
        <v>11.3</v>
      </c>
      <c r="AB797" s="3">
        <v>9.1999999999999993</v>
      </c>
      <c r="AC797" s="3">
        <v>6.4</v>
      </c>
      <c r="AD797" s="3">
        <v>7.4</v>
      </c>
      <c r="AE797" s="3">
        <v>7.5</v>
      </c>
      <c r="AF797" s="3">
        <v>11</v>
      </c>
      <c r="AG797" s="3">
        <v>8.9</v>
      </c>
      <c r="AH797" s="3">
        <v>7.9</v>
      </c>
      <c r="AI797" s="3">
        <v>6.9</v>
      </c>
      <c r="AJ797" s="3">
        <v>8.6999999999999993</v>
      </c>
      <c r="AK797" s="3">
        <v>7.8</v>
      </c>
      <c r="AL797" s="3">
        <v>6.9</v>
      </c>
      <c r="AM797" s="3">
        <v>6.1</v>
      </c>
      <c r="AN797" s="3">
        <v>6.3</v>
      </c>
      <c r="AO797" s="3">
        <v>6</v>
      </c>
      <c r="AP797" s="3">
        <v>6</v>
      </c>
      <c r="AQ797" s="3">
        <v>6.4</v>
      </c>
      <c r="AR797" s="3">
        <v>6.4</v>
      </c>
      <c r="AS797" s="3">
        <v>14</v>
      </c>
      <c r="AT797" s="3">
        <v>30.5</v>
      </c>
      <c r="AU797" s="3">
        <v>10.4</v>
      </c>
      <c r="AV797" s="3">
        <v>8.3000000000000007</v>
      </c>
      <c r="AW797" s="3">
        <v>8.8000000000000007</v>
      </c>
      <c r="AX797" s="3">
        <v>8.9</v>
      </c>
      <c r="AY797" s="3">
        <v>9.1999999999999993</v>
      </c>
      <c r="AZ797" s="3">
        <v>0</v>
      </c>
      <c r="BA797" s="3">
        <v>0</v>
      </c>
      <c r="BB797" s="3">
        <v>0</v>
      </c>
      <c r="BC797" s="3">
        <v>32.000591292452576</v>
      </c>
      <c r="BD797" s="3">
        <v>17.899408707547423</v>
      </c>
      <c r="BE797" s="3">
        <v>14.899408707547423</v>
      </c>
      <c r="BF797" s="3">
        <v>12.759408707547422</v>
      </c>
      <c r="BG797" s="3">
        <v>10.386075374214087</v>
      </c>
      <c r="BH797" s="3">
        <v>8.4260753742140935</v>
      </c>
      <c r="BI797" s="3">
        <v>6.0394087075474232</v>
      </c>
      <c r="BJ797" s="3">
        <v>7.8327420408807598</v>
      </c>
      <c r="BK797" s="3">
        <v>7.8060753742140889</v>
      </c>
      <c r="BL797" s="3">
        <v>10.879408707547427</v>
      </c>
      <c r="BM797" s="3">
        <v>8.9127420408807581</v>
      </c>
      <c r="BN797" s="3">
        <v>8.1960753742140895</v>
      </c>
      <c r="BO797" s="3">
        <v>6.5627420408807637</v>
      </c>
      <c r="BP797" s="3">
        <v>8.0794087075474224</v>
      </c>
      <c r="BQ797" s="3">
        <v>7.596075374214081</v>
      </c>
      <c r="BR797" s="3">
        <v>7.0227420408807575</v>
      </c>
      <c r="BS797" s="3">
        <v>6.0260753742140878</v>
      </c>
      <c r="BT797" s="3">
        <v>6.4227420408807561</v>
      </c>
      <c r="BU797" s="3">
        <v>6.0894087075474275</v>
      </c>
      <c r="BV797" s="3">
        <v>5.8060753742140889</v>
      </c>
      <c r="BW797" s="3">
        <v>6.739408707547426</v>
      </c>
      <c r="BX797" s="3">
        <v>6.6594087075474278</v>
      </c>
      <c r="BY797" s="3">
        <v>14.079408707547422</v>
      </c>
      <c r="BZ797" s="3">
        <v>30.709408707547432</v>
      </c>
      <c r="CA797" s="3">
        <v>10.709408707547418</v>
      </c>
      <c r="CB797" s="3">
        <v>8.0460753742140909</v>
      </c>
      <c r="CC797" s="3">
        <v>8.7594087075474221</v>
      </c>
      <c r="CD797" s="3">
        <v>8.1660753742140955</v>
      </c>
      <c r="CE797" s="3">
        <v>8.6594087075474206</v>
      </c>
      <c r="CF797" s="3">
        <v>-0.9272579591192418</v>
      </c>
      <c r="CG797" s="3">
        <v>-1.4605912924525732</v>
      </c>
      <c r="CH797" s="3">
        <v>-2.5372579591192412</v>
      </c>
      <c r="CI797" s="13">
        <f>[1]!dbasum(RecData[[#This Row],[20]:[2000]],RecData[[#Headers],[20]:[2000]])</f>
        <v>15.35316195603038</v>
      </c>
      <c r="CJ797" s="14">
        <v>9874</v>
      </c>
      <c r="CK797" s="15" t="s">
        <v>249</v>
      </c>
      <c r="CL797" s="15">
        <f>RecData[[#This Row],[Start Time]]</f>
        <v>43274.000694444447</v>
      </c>
      <c r="CM797" s="16">
        <f>RecData[[#This Row],[Wind Speed avg]]</f>
        <v>0.53</v>
      </c>
      <c r="CN797" s="16">
        <f>RecData[[#This Row],[Wind Dir. avg]]</f>
        <v>119.9</v>
      </c>
      <c r="CO797" s="16">
        <f>RecData[[#This Row],[Amb. Humidity]]</f>
        <v>81.900000000000006</v>
      </c>
      <c r="CP797" s="16">
        <f>RecData[[#This Row],[Amb. Temperature]]</f>
        <v>12.2</v>
      </c>
      <c r="CQ797" s="17">
        <f>RecData[[#This Row],[Amb. Rain Gauge]]</f>
        <v>0</v>
      </c>
      <c r="CR797" s="4" t="s">
        <v>50</v>
      </c>
      <c r="CS797" s="4" t="s">
        <v>49</v>
      </c>
      <c r="CT797" s="70">
        <v>-9.4852952957153303</v>
      </c>
      <c r="CU797" s="70">
        <v>179.52879333496</v>
      </c>
      <c r="CV797" s="70">
        <v>0.36318024992942799</v>
      </c>
      <c r="CW797" s="70">
        <v>0</v>
      </c>
      <c r="CX797" s="109"/>
      <c r="CY797" s="110"/>
      <c r="CZ797" s="2" t="b">
        <f>IF($DP$1="YES",IF(RecData[[#This Row],[Power (kW)]]&gt;=$CR$3, TRUE,FALSE),TRUE)</f>
        <v>0</v>
      </c>
      <c r="DA797" s="16">
        <f>MIN(MOD(180-ABS(ABS($DA$1-RecData[Yaw Angle (°)])-180),360),MOD(180-ABS(ABS($DB$1-RecData[Yaw Angle (°)])-180),360))</f>
        <v>171.99886655727244</v>
      </c>
      <c r="DB797" s="2" t="str">
        <f>IF($DP$2="None","None",IF(RecData[[#This Row],[Relative Wind Direction]]&lt;=45,"DW",IF(RecData[[#This Row],[Relative Wind Direction]]&lt;=135,"CW","UW")))</f>
        <v>UW</v>
      </c>
      <c r="DC797" s="61">
        <v>-1</v>
      </c>
      <c r="DD797" s="61">
        <v>-1</v>
      </c>
      <c r="DE797" s="18" t="b">
        <v>0</v>
      </c>
      <c r="DF797" s="2" t="b">
        <f>IF(OR(RecData[[#This Row],[WSpd_Avg '[m/s']]]-RecData[[#This Row],[Wind Speed min]]&gt;=$DF$3,RecData[[#This Row],[Wind Speed max]]-RecData[[#This Row],[WSpd_Avg '[m/s']]]&gt;=$DF$2),TRUE,FALSE)</f>
        <v>0</v>
      </c>
      <c r="DG797" s="2" t="b">
        <f>RecData[[#This Row],[Temperature '[°C']]]&lt;=-20</f>
        <v>0</v>
      </c>
      <c r="DH797" s="18" t="b">
        <f>NOT(OR(MOD(RecData[[#This Row],[TIMESTAMP]],1)&gt;0.91632,MOD(RecData[[#This Row],[TIMESTAMP]],1)&lt;0.208681))</f>
        <v>0</v>
      </c>
      <c r="DI797" s="18" t="b">
        <f>RecData[[#This Row],[Overall (dBA)]]-RecData[[#This Row],[L90]]&gt;=$DS$4</f>
        <v>0</v>
      </c>
      <c r="DJ797" s="18" t="b">
        <f>RecData[[#This Row],[Overall (dBA)]]&gt;$DS$2</f>
        <v>0</v>
      </c>
      <c r="DK797" s="18" t="b">
        <f>RecData[[#This Row],[Overall (dBA)]]&lt;$DS$3</f>
        <v>0</v>
      </c>
      <c r="DL7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7" s="2">
        <f>IF(AND(RecData[[#This Row],[Turbines ON/OFF]] = "OFF", NOT(OR(RecData[[#This Row],[Junk?]]="YES",RecData[[#This Row],[Gust?]],RecData[[#This Row],[Rain?]:[Min SPL Threshold?]]))),1,0)</f>
        <v>1</v>
      </c>
      <c r="DN797" s="16">
        <f>RecData[[#This Row],[dBA Sum]]</f>
        <v>15.35316195603038</v>
      </c>
      <c r="DO797" s="16">
        <f>RecData[[#This Row],[LAF90.0]]</f>
        <v>19.600000000000001</v>
      </c>
      <c r="DP797" s="55" t="str">
        <f>IF(AND(RecData[[#This Row],[Useable TON Data?]],RecData[[#This Row],[Turbines ON/OFF]]="ON"),RecData[[#This Row],[dBA Sum]],"")</f>
        <v/>
      </c>
      <c r="DQ797" s="55">
        <f>IF(AND(RecData[[#This Row],[Useable Background Data?]],RecData[[#This Row],[Turbines ON/OFF]]="OFF"),RecData[[#This Row],[dBA Sum]],"")</f>
        <v>15.35316195603038</v>
      </c>
      <c r="DR797" s="3">
        <f>IF(OR(RecData[[#This Row],[Useable TON Data?]],RecData[[#This Row],[Useable Background Data?]]),ROUND(RecData[[#This Row],[WSpd_Avg '[m/s']]],0),"")</f>
        <v>1</v>
      </c>
      <c r="DS797" s="85">
        <f>(0.00002)^2*(10^(RecData[[#This Row],[Overall (dBA)]]/10))</f>
        <v>1.3720697417069216E-8</v>
      </c>
    </row>
    <row r="798" spans="1:123" ht="15" x14ac:dyDescent="0.25">
      <c r="A798" s="3" t="s">
        <v>249</v>
      </c>
      <c r="B798" s="12">
        <v>43274.001388888886</v>
      </c>
      <c r="C798" s="3"/>
      <c r="D798" s="3">
        <v>31.6</v>
      </c>
      <c r="E798" s="3"/>
      <c r="F798" s="3"/>
      <c r="G798" s="3"/>
      <c r="H798" s="3"/>
      <c r="I798" s="3"/>
      <c r="J798" s="3"/>
      <c r="K798" s="3">
        <v>18.8</v>
      </c>
      <c r="L798" s="3"/>
      <c r="M798" s="3"/>
      <c r="N798" s="3">
        <v>140.9</v>
      </c>
      <c r="O798" s="3"/>
      <c r="P798" s="3"/>
      <c r="Q798" s="3">
        <v>0.5</v>
      </c>
      <c r="R798" s="3">
        <v>0.3</v>
      </c>
      <c r="S798" s="3">
        <v>0.7</v>
      </c>
      <c r="T798" s="3">
        <v>12.2</v>
      </c>
      <c r="U798" s="3">
        <v>81.900000000000006</v>
      </c>
      <c r="V798" s="3">
        <v>967.4</v>
      </c>
      <c r="W798" s="3">
        <v>0</v>
      </c>
      <c r="X798" s="3">
        <v>17.399999999999999</v>
      </c>
      <c r="Y798" s="3">
        <v>14.2</v>
      </c>
      <c r="Z798" s="3">
        <v>12.3</v>
      </c>
      <c r="AA798" s="3">
        <v>11.6</v>
      </c>
      <c r="AB798" s="3">
        <v>9.8000000000000007</v>
      </c>
      <c r="AC798" s="3">
        <v>9.5</v>
      </c>
      <c r="AD798" s="3">
        <v>8.3000000000000007</v>
      </c>
      <c r="AE798" s="3">
        <v>8.1</v>
      </c>
      <c r="AF798" s="3">
        <v>9.5</v>
      </c>
      <c r="AG798" s="3">
        <v>10.5</v>
      </c>
      <c r="AH798" s="3">
        <v>8.6999999999999993</v>
      </c>
      <c r="AI798" s="3">
        <v>7.1</v>
      </c>
      <c r="AJ798" s="3">
        <v>8.3000000000000007</v>
      </c>
      <c r="AK798" s="3">
        <v>7.9</v>
      </c>
      <c r="AL798" s="3">
        <v>6.9</v>
      </c>
      <c r="AM798" s="3">
        <v>6.3</v>
      </c>
      <c r="AN798" s="3">
        <v>6.3</v>
      </c>
      <c r="AO798" s="3">
        <v>6.1</v>
      </c>
      <c r="AP798" s="3">
        <v>5.9</v>
      </c>
      <c r="AQ798" s="3">
        <v>6.7</v>
      </c>
      <c r="AR798" s="3">
        <v>7.1</v>
      </c>
      <c r="AS798" s="3">
        <v>11.6</v>
      </c>
      <c r="AT798" s="3">
        <v>30.2</v>
      </c>
      <c r="AU798" s="3">
        <v>9.1</v>
      </c>
      <c r="AV798" s="3">
        <v>8.3000000000000007</v>
      </c>
      <c r="AW798" s="3">
        <v>8.8000000000000007</v>
      </c>
      <c r="AX798" s="3">
        <v>8.9</v>
      </c>
      <c r="AY798" s="3">
        <v>9.1999999999999993</v>
      </c>
      <c r="AZ798" s="3">
        <v>0</v>
      </c>
      <c r="BA798" s="3">
        <v>0</v>
      </c>
      <c r="BB798" s="3">
        <v>0</v>
      </c>
      <c r="BC798" s="3">
        <v>31.673997001979011</v>
      </c>
      <c r="BD798" s="3">
        <v>17.326002998020989</v>
      </c>
      <c r="BE798" s="3">
        <v>14.126002998020986</v>
      </c>
      <c r="BF798" s="3">
        <v>10.986002998020993</v>
      </c>
      <c r="BG798" s="3">
        <v>10.612669664687651</v>
      </c>
      <c r="BH798" s="3">
        <v>8.9526696646876616</v>
      </c>
      <c r="BI798" s="3">
        <v>9.0660029980209913</v>
      </c>
      <c r="BJ798" s="3">
        <v>8.659336331354325</v>
      </c>
      <c r="BK798" s="3">
        <v>8.3326696646876499</v>
      </c>
      <c r="BL798" s="3">
        <v>9.3060029980209933</v>
      </c>
      <c r="BM798" s="3">
        <v>10.439336331354326</v>
      </c>
      <c r="BN798" s="3">
        <v>8.9226696646876533</v>
      </c>
      <c r="BO798" s="3">
        <v>6.6893363313543261</v>
      </c>
      <c r="BP798" s="3">
        <v>7.6060029980209904</v>
      </c>
      <c r="BQ798" s="3">
        <v>7.6226696646876491</v>
      </c>
      <c r="BR798" s="3">
        <v>6.9493363313543242</v>
      </c>
      <c r="BS798" s="3">
        <v>6.1526696646876573</v>
      </c>
      <c r="BT798" s="3">
        <v>6.3493363313543227</v>
      </c>
      <c r="BU798" s="3">
        <v>6.1160029980209956</v>
      </c>
      <c r="BV798" s="3">
        <v>5.6326696646876613</v>
      </c>
      <c r="BW798" s="3">
        <v>6.966002998020997</v>
      </c>
      <c r="BX798" s="3">
        <v>7.2860029980209973</v>
      </c>
      <c r="BY798" s="3">
        <v>11.60600299802099</v>
      </c>
      <c r="BZ798" s="3">
        <v>30.336002998020994</v>
      </c>
      <c r="CA798" s="3">
        <v>9.3360029980209802</v>
      </c>
      <c r="CB798" s="3">
        <v>7.9726696646876576</v>
      </c>
      <c r="CC798" s="3">
        <v>8.6860029980209887</v>
      </c>
      <c r="CD798" s="3">
        <v>8.0926696646876621</v>
      </c>
      <c r="CE798" s="3">
        <v>8.5860029980209873</v>
      </c>
      <c r="CF798" s="3">
        <v>-1.0006636686456751</v>
      </c>
      <c r="CG798" s="3">
        <v>-1.5339970019790066</v>
      </c>
      <c r="CH798" s="3">
        <v>-2.6106636686456746</v>
      </c>
      <c r="CI798" s="13">
        <f>[1]!dbasum(RecData[[#This Row],[20]:[2000]],RecData[[#Headers],[20]:[2000]])</f>
        <v>15.499139954537728</v>
      </c>
      <c r="CJ798" s="14">
        <v>9875</v>
      </c>
      <c r="CK798" s="15" t="s">
        <v>249</v>
      </c>
      <c r="CL798" s="15">
        <f>RecData[[#This Row],[Start Time]]</f>
        <v>43274.001388888886</v>
      </c>
      <c r="CM798" s="16">
        <f>RecData[[#This Row],[Wind Speed avg]]</f>
        <v>0.5</v>
      </c>
      <c r="CN798" s="16">
        <f>RecData[[#This Row],[Wind Dir. avg]]</f>
        <v>140.9</v>
      </c>
      <c r="CO798" s="16">
        <f>RecData[[#This Row],[Amb. Humidity]]</f>
        <v>81.900000000000006</v>
      </c>
      <c r="CP798" s="16">
        <f>RecData[[#This Row],[Amb. Temperature]]</f>
        <v>12.2</v>
      </c>
      <c r="CQ798" s="17">
        <f>RecData[[#This Row],[Amb. Rain Gauge]]</f>
        <v>0</v>
      </c>
      <c r="CR798" s="4" t="s">
        <v>50</v>
      </c>
      <c r="CS798" s="4" t="s">
        <v>49</v>
      </c>
      <c r="CT798" s="70">
        <v>-9.4852952957153303</v>
      </c>
      <c r="CU798" s="70">
        <v>179.52879333496</v>
      </c>
      <c r="CV798" s="70">
        <v>0.36318024992942799</v>
      </c>
      <c r="CW798" s="70">
        <v>0</v>
      </c>
      <c r="CX798" s="109"/>
      <c r="CY798" s="110"/>
      <c r="CZ798" s="2" t="b">
        <f>IF($DP$1="YES",IF(RecData[[#This Row],[Power (kW)]]&gt;=$CR$3, TRUE,FALSE),TRUE)</f>
        <v>0</v>
      </c>
      <c r="DA798" s="16">
        <f>MIN(MOD(180-ABS(ABS($DA$1-RecData[Yaw Angle (°)])-180),360),MOD(180-ABS(ABS($DB$1-RecData[Yaw Angle (°)])-180),360))</f>
        <v>171.99886655727244</v>
      </c>
      <c r="DB798" s="2" t="str">
        <f>IF($DP$2="None","None",IF(RecData[[#This Row],[Relative Wind Direction]]&lt;=45,"DW",IF(RecData[[#This Row],[Relative Wind Direction]]&lt;=135,"CW","UW")))</f>
        <v>UW</v>
      </c>
      <c r="DC798" s="61">
        <f>IF($CL798-$CL797&gt;1/24,#REF!,IF(SUM($CQ797:$CQ798)&gt;$DS$1,$DS$5,DC799-1))</f>
        <v>-9</v>
      </c>
      <c r="DD798" s="61">
        <f>IF($CL799-$CL798&gt;1/24,#REF!,IF(SUM($CQ797:$CQ798)&gt;$DS$1,$DS$6,DD797-1))</f>
        <v>-2</v>
      </c>
      <c r="DE798" s="18" t="b">
        <v>0</v>
      </c>
      <c r="DF798" s="2" t="b">
        <f>IF(OR(RecData[[#This Row],[WSpd_Avg '[m/s']]]-RecData[[#This Row],[Wind Speed min]]&gt;=$DF$3,RecData[[#This Row],[Wind Speed max]]-RecData[[#This Row],[WSpd_Avg '[m/s']]]&gt;=$DF$2),TRUE,FALSE)</f>
        <v>0</v>
      </c>
      <c r="DG798" s="2" t="b">
        <f>RecData[[#This Row],[Temperature '[°C']]]&lt;=-20</f>
        <v>0</v>
      </c>
      <c r="DH798" s="18" t="b">
        <f>NOT(OR(MOD(RecData[[#This Row],[TIMESTAMP]],1)&gt;0.91632,MOD(RecData[[#This Row],[TIMESTAMP]],1)&lt;0.208681))</f>
        <v>0</v>
      </c>
      <c r="DI798" s="18" t="b">
        <f>RecData[[#This Row],[Overall (dBA)]]-RecData[[#This Row],[L90]]&gt;=$DS$4</f>
        <v>0</v>
      </c>
      <c r="DJ798" s="18" t="b">
        <f>RecData[[#This Row],[Overall (dBA)]]&gt;$DS$2</f>
        <v>0</v>
      </c>
      <c r="DK798" s="18" t="b">
        <f>RecData[[#This Row],[Overall (dBA)]]&lt;$DS$3</f>
        <v>0</v>
      </c>
      <c r="DL7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8" s="2">
        <f>IF(AND(RecData[[#This Row],[Turbines ON/OFF]] = "OFF", NOT(OR(RecData[[#This Row],[Junk?]]="YES",RecData[[#This Row],[Gust?]],RecData[[#This Row],[Rain?]:[Min SPL Threshold?]]))),1,0)</f>
        <v>1</v>
      </c>
      <c r="DN798" s="16">
        <f>RecData[[#This Row],[dBA Sum]]</f>
        <v>15.499139954537728</v>
      </c>
      <c r="DO798" s="16">
        <f>RecData[[#This Row],[LAF90.0]]</f>
        <v>18.8</v>
      </c>
      <c r="DP798" s="55" t="str">
        <f>IF(AND(RecData[[#This Row],[Useable TON Data?]],RecData[[#This Row],[Turbines ON/OFF]]="ON"),RecData[[#This Row],[dBA Sum]],"")</f>
        <v/>
      </c>
      <c r="DQ798" s="55">
        <f>IF(AND(RecData[[#This Row],[Useable Background Data?]],RecData[[#This Row],[Turbines ON/OFF]]="OFF"),RecData[[#This Row],[dBA Sum]],"")</f>
        <v>15.499139954537728</v>
      </c>
      <c r="DR798" s="3">
        <f>IF(OR(RecData[[#This Row],[Useable TON Data?]],RecData[[#This Row],[Useable Background Data?]]),ROUND(RecData[[#This Row],[WSpd_Avg '[m/s']]],0),"")</f>
        <v>1</v>
      </c>
      <c r="DS798" s="85">
        <f>(0.00002)^2*(10^(RecData[[#This Row],[Overall (dBA)]]/10))</f>
        <v>1.4189725260258652E-8</v>
      </c>
    </row>
    <row r="799" spans="1:123" ht="15" x14ac:dyDescent="0.25">
      <c r="A799" s="3" t="s">
        <v>249</v>
      </c>
      <c r="B799" s="12">
        <v>43274.002083333333</v>
      </c>
      <c r="C799" s="3"/>
      <c r="D799" s="3">
        <v>30.9</v>
      </c>
      <c r="E799" s="3"/>
      <c r="F799" s="3"/>
      <c r="G799" s="3"/>
      <c r="H799" s="3"/>
      <c r="I799" s="3"/>
      <c r="J799" s="3"/>
      <c r="K799" s="3">
        <v>18.8</v>
      </c>
      <c r="L799" s="3"/>
      <c r="M799" s="3"/>
      <c r="N799" s="3">
        <v>170.9</v>
      </c>
      <c r="O799" s="3"/>
      <c r="P799" s="3"/>
      <c r="Q799" s="3">
        <v>0.5</v>
      </c>
      <c r="R799" s="3">
        <v>0.3</v>
      </c>
      <c r="S799" s="3">
        <v>0.6</v>
      </c>
      <c r="T799" s="3">
        <v>12.2</v>
      </c>
      <c r="U799" s="3">
        <v>80.7</v>
      </c>
      <c r="V799" s="3">
        <v>967.4</v>
      </c>
      <c r="W799" s="3">
        <v>0</v>
      </c>
      <c r="X799" s="3">
        <v>16.600000000000001</v>
      </c>
      <c r="Y799" s="3">
        <v>13.8</v>
      </c>
      <c r="Z799" s="3">
        <v>13.9</v>
      </c>
      <c r="AA799" s="3">
        <v>11.4</v>
      </c>
      <c r="AB799" s="3">
        <v>9.8000000000000007</v>
      </c>
      <c r="AC799" s="3">
        <v>8.3000000000000007</v>
      </c>
      <c r="AD799" s="3">
        <v>7.2</v>
      </c>
      <c r="AE799" s="3">
        <v>7.5</v>
      </c>
      <c r="AF799" s="3">
        <v>8.1999999999999993</v>
      </c>
      <c r="AG799" s="3">
        <v>9.6</v>
      </c>
      <c r="AH799" s="3">
        <v>8.4</v>
      </c>
      <c r="AI799" s="3">
        <v>7</v>
      </c>
      <c r="AJ799" s="3">
        <v>8.1999999999999993</v>
      </c>
      <c r="AK799" s="3">
        <v>7.5</v>
      </c>
      <c r="AL799" s="3">
        <v>6.3</v>
      </c>
      <c r="AM799" s="3">
        <v>5.8</v>
      </c>
      <c r="AN799" s="3">
        <v>6.1</v>
      </c>
      <c r="AO799" s="3">
        <v>6.1</v>
      </c>
      <c r="AP799" s="3">
        <v>5.8</v>
      </c>
      <c r="AQ799" s="3">
        <v>6.2</v>
      </c>
      <c r="AR799" s="3">
        <v>6</v>
      </c>
      <c r="AS799" s="3">
        <v>11</v>
      </c>
      <c r="AT799" s="3">
        <v>29.4</v>
      </c>
      <c r="AU799" s="3">
        <v>9.8000000000000007</v>
      </c>
      <c r="AV799" s="3">
        <v>8.3000000000000007</v>
      </c>
      <c r="AW799" s="3">
        <v>8.8000000000000007</v>
      </c>
      <c r="AX799" s="3">
        <v>8.9</v>
      </c>
      <c r="AY799" s="3">
        <v>9.1999999999999993</v>
      </c>
      <c r="AZ799" s="3">
        <v>0</v>
      </c>
      <c r="BA799" s="3">
        <v>0</v>
      </c>
      <c r="BB799" s="3">
        <v>0</v>
      </c>
      <c r="BC799" s="3">
        <v>30.913137859105113</v>
      </c>
      <c r="BD799" s="3">
        <v>16.586862140894887</v>
      </c>
      <c r="BE799" s="3">
        <v>13.78686214089489</v>
      </c>
      <c r="BF799" s="3">
        <v>12.646862140894889</v>
      </c>
      <c r="BG799" s="3">
        <v>10.47352880756155</v>
      </c>
      <c r="BH799" s="3">
        <v>9.0135288075615563</v>
      </c>
      <c r="BI799" s="3">
        <v>7.9268621408948903</v>
      </c>
      <c r="BJ799" s="3">
        <v>7.6201954742282183</v>
      </c>
      <c r="BK799" s="3">
        <v>7.7935288075615503</v>
      </c>
      <c r="BL799" s="3">
        <v>8.0668621408948837</v>
      </c>
      <c r="BM799" s="3">
        <v>9.6001954742282223</v>
      </c>
      <c r="BN799" s="3">
        <v>8.6835288075615509</v>
      </c>
      <c r="BO799" s="3">
        <v>6.6501954742282194</v>
      </c>
      <c r="BP799" s="3">
        <v>7.5668621408948837</v>
      </c>
      <c r="BQ799" s="3">
        <v>7.2835288075615452</v>
      </c>
      <c r="BR799" s="3">
        <v>6.4101954742282174</v>
      </c>
      <c r="BS799" s="3">
        <v>5.713528807561552</v>
      </c>
      <c r="BT799" s="3">
        <v>6.2101954742282217</v>
      </c>
      <c r="BU799" s="3">
        <v>6.1768621408948903</v>
      </c>
      <c r="BV799" s="3">
        <v>5.5935288075615546</v>
      </c>
      <c r="BW799" s="3">
        <v>6.5268621408948917</v>
      </c>
      <c r="BX799" s="3">
        <v>6.2468621408948906</v>
      </c>
      <c r="BY799" s="3">
        <v>11.066862140894884</v>
      </c>
      <c r="BZ799" s="3">
        <v>29.596862140894892</v>
      </c>
      <c r="CA799" s="3">
        <v>10.096862140894878</v>
      </c>
      <c r="CB799" s="3">
        <v>8.0335288075615523</v>
      </c>
      <c r="CC799" s="3">
        <v>8.7468621408948835</v>
      </c>
      <c r="CD799" s="3">
        <v>8.1535288075615568</v>
      </c>
      <c r="CE799" s="3">
        <v>8.646862140894882</v>
      </c>
      <c r="CF799" s="3">
        <v>-0.93980452577178042</v>
      </c>
      <c r="CG799" s="3">
        <v>-1.4731378591051119</v>
      </c>
      <c r="CH799" s="3">
        <v>-2.5498045257717799</v>
      </c>
      <c r="CI799" s="13">
        <f>[1]!dbasum(RecData[[#This Row],[20]:[2000]],RecData[[#Headers],[20]:[2000]])</f>
        <v>15.104103660168118</v>
      </c>
      <c r="CJ799" s="14">
        <v>9876</v>
      </c>
      <c r="CK799" s="15" t="s">
        <v>249</v>
      </c>
      <c r="CL799" s="15">
        <f>RecData[[#This Row],[Start Time]]</f>
        <v>43274.002083333333</v>
      </c>
      <c r="CM799" s="16">
        <f>RecData[[#This Row],[Wind Speed avg]]</f>
        <v>0.5</v>
      </c>
      <c r="CN799" s="16">
        <f>RecData[[#This Row],[Wind Dir. avg]]</f>
        <v>170.9</v>
      </c>
      <c r="CO799" s="16">
        <f>RecData[[#This Row],[Amb. Humidity]]</f>
        <v>80.7</v>
      </c>
      <c r="CP799" s="16">
        <f>RecData[[#This Row],[Amb. Temperature]]</f>
        <v>12.2</v>
      </c>
      <c r="CQ799" s="17">
        <f>RecData[[#This Row],[Amb. Rain Gauge]]</f>
        <v>0</v>
      </c>
      <c r="CR799" s="4" t="s">
        <v>50</v>
      </c>
      <c r="CS799" s="4" t="s">
        <v>49</v>
      </c>
      <c r="CT799" s="70">
        <v>-9.4852952957153303</v>
      </c>
      <c r="CU799" s="70">
        <v>179.52879333496</v>
      </c>
      <c r="CV799" s="70">
        <v>0.36318024992942799</v>
      </c>
      <c r="CW799" s="70">
        <v>0</v>
      </c>
      <c r="CX799" s="109"/>
      <c r="CY799" s="110"/>
      <c r="CZ799" s="2" t="b">
        <f>IF($DP$1="YES",IF(RecData[[#This Row],[Power (kW)]]&gt;=$CR$3, TRUE,FALSE),TRUE)</f>
        <v>0</v>
      </c>
      <c r="DA799" s="16">
        <f>MIN(MOD(180-ABS(ABS($DA$1-RecData[Yaw Angle (°)])-180),360),MOD(180-ABS(ABS($DB$1-RecData[Yaw Angle (°)])-180),360))</f>
        <v>171.99886655727244</v>
      </c>
      <c r="DB799" s="2" t="str">
        <f>IF($DP$2="None","None",IF(RecData[[#This Row],[Relative Wind Direction]]&lt;=45,"DW",IF(RecData[[#This Row],[Relative Wind Direction]]&lt;=135,"CW","UW")))</f>
        <v>UW</v>
      </c>
      <c r="DC799" s="61">
        <f>IF($CL799-$CL797&gt;1/24,#REF!,IF(SUM($CQ797:$CQ799)&gt;$DS$1,$DS$5,DC800-1))</f>
        <v>-8</v>
      </c>
      <c r="DD799" s="61">
        <f>IF($CL800-$CL799&gt;1/24,#REF!,IF(SUM($CQ797:$CQ799)&gt;$DS$1,$DS$6,DD798-1))</f>
        <v>-3</v>
      </c>
      <c r="DE799" s="18" t="b">
        <v>0</v>
      </c>
      <c r="DF799" s="2" t="b">
        <f>IF(OR(RecData[[#This Row],[WSpd_Avg '[m/s']]]-RecData[[#This Row],[Wind Speed min]]&gt;=$DF$3,RecData[[#This Row],[Wind Speed max]]-RecData[[#This Row],[WSpd_Avg '[m/s']]]&gt;=$DF$2),TRUE,FALSE)</f>
        <v>0</v>
      </c>
      <c r="DG799" s="2" t="b">
        <f>RecData[[#This Row],[Temperature '[°C']]]&lt;=-20</f>
        <v>0</v>
      </c>
      <c r="DH799" s="18" t="b">
        <f>NOT(OR(MOD(RecData[[#This Row],[TIMESTAMP]],1)&gt;0.91632,MOD(RecData[[#This Row],[TIMESTAMP]],1)&lt;0.208681))</f>
        <v>0</v>
      </c>
      <c r="DI799" s="18" t="b">
        <f>RecData[[#This Row],[Overall (dBA)]]-RecData[[#This Row],[L90]]&gt;=$DS$4</f>
        <v>0</v>
      </c>
      <c r="DJ799" s="18" t="b">
        <f>RecData[[#This Row],[Overall (dBA)]]&gt;$DS$2</f>
        <v>0</v>
      </c>
      <c r="DK799" s="18" t="b">
        <f>RecData[[#This Row],[Overall (dBA)]]&lt;$DS$3</f>
        <v>0</v>
      </c>
      <c r="DL7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799" s="2">
        <f>IF(AND(RecData[[#This Row],[Turbines ON/OFF]] = "OFF", NOT(OR(RecData[[#This Row],[Junk?]]="YES",RecData[[#This Row],[Gust?]],RecData[[#This Row],[Rain?]:[Min SPL Threshold?]]))),1,0)</f>
        <v>1</v>
      </c>
      <c r="DN799" s="16">
        <f>RecData[[#This Row],[dBA Sum]]</f>
        <v>15.104103660168118</v>
      </c>
      <c r="DO799" s="16">
        <f>RecData[[#This Row],[LAF90.0]]</f>
        <v>18.8</v>
      </c>
      <c r="DP799" s="55" t="str">
        <f>IF(AND(RecData[[#This Row],[Useable TON Data?]],RecData[[#This Row],[Turbines ON/OFF]]="ON"),RecData[[#This Row],[dBA Sum]],"")</f>
        <v/>
      </c>
      <c r="DQ799" s="55">
        <f>IF(AND(RecData[[#This Row],[Useable Background Data?]],RecData[[#This Row],[Turbines ON/OFF]]="OFF"),RecData[[#This Row],[dBA Sum]],"")</f>
        <v>15.104103660168118</v>
      </c>
      <c r="DR799" s="3">
        <f>IF(OR(RecData[[#This Row],[Useable TON Data?]],RecData[[#This Row],[Useable Background Data?]]),ROUND(RecData[[#This Row],[WSpd_Avg '[m/s']]],0),"")</f>
        <v>1</v>
      </c>
      <c r="DS799" s="85">
        <f>(0.00002)^2*(10^(RecData[[#This Row],[Overall (dBA)]]/10))</f>
        <v>1.2955982637815359E-8</v>
      </c>
    </row>
    <row r="800" spans="1:123" ht="15" x14ac:dyDescent="0.25">
      <c r="A800" s="3" t="s">
        <v>249</v>
      </c>
      <c r="B800" s="12">
        <v>43274.00277777778</v>
      </c>
      <c r="C800" s="3"/>
      <c r="D800" s="3">
        <v>33</v>
      </c>
      <c r="E800" s="3"/>
      <c r="F800" s="3"/>
      <c r="G800" s="3"/>
      <c r="H800" s="3"/>
      <c r="I800" s="3"/>
      <c r="J800" s="3"/>
      <c r="K800" s="3">
        <v>19.8</v>
      </c>
      <c r="L800" s="3"/>
      <c r="M800" s="3"/>
      <c r="N800" s="3">
        <v>165.9</v>
      </c>
      <c r="O800" s="3"/>
      <c r="P800" s="3"/>
      <c r="Q800" s="3">
        <v>0.51</v>
      </c>
      <c r="R800" s="3">
        <v>0.4</v>
      </c>
      <c r="S800" s="3">
        <v>0.6</v>
      </c>
      <c r="T800" s="3">
        <v>12.1</v>
      </c>
      <c r="U800" s="3">
        <v>80.5</v>
      </c>
      <c r="V800" s="3">
        <v>967.4</v>
      </c>
      <c r="W800" s="3">
        <v>0</v>
      </c>
      <c r="X800" s="3">
        <v>17.8</v>
      </c>
      <c r="Y800" s="3">
        <v>14.8</v>
      </c>
      <c r="Z800" s="3">
        <v>13.8</v>
      </c>
      <c r="AA800" s="3">
        <v>12.2</v>
      </c>
      <c r="AB800" s="3">
        <v>11.3</v>
      </c>
      <c r="AC800" s="3">
        <v>7</v>
      </c>
      <c r="AD800" s="3">
        <v>7.6</v>
      </c>
      <c r="AE800" s="3">
        <v>7.8</v>
      </c>
      <c r="AF800" s="3">
        <v>10.8</v>
      </c>
      <c r="AG800" s="3">
        <v>12.8</v>
      </c>
      <c r="AH800" s="3">
        <v>11.3</v>
      </c>
      <c r="AI800" s="3">
        <v>9.6999999999999993</v>
      </c>
      <c r="AJ800" s="3">
        <v>9.6999999999999993</v>
      </c>
      <c r="AK800" s="3">
        <v>12.3</v>
      </c>
      <c r="AL800" s="3">
        <v>8</v>
      </c>
      <c r="AM800" s="3">
        <v>10.8</v>
      </c>
      <c r="AN800" s="3">
        <v>9.6</v>
      </c>
      <c r="AO800" s="3">
        <v>10.1</v>
      </c>
      <c r="AP800" s="3">
        <v>8.3000000000000007</v>
      </c>
      <c r="AQ800" s="3">
        <v>6.5</v>
      </c>
      <c r="AR800" s="3">
        <v>6.4</v>
      </c>
      <c r="AS800" s="3">
        <v>13.5</v>
      </c>
      <c r="AT800" s="3">
        <v>31.5</v>
      </c>
      <c r="AU800" s="3">
        <v>10.5</v>
      </c>
      <c r="AV800" s="3">
        <v>8.8000000000000007</v>
      </c>
      <c r="AW800" s="3">
        <v>9</v>
      </c>
      <c r="AX800" s="3">
        <v>9</v>
      </c>
      <c r="AY800" s="3">
        <v>9.1999999999999993</v>
      </c>
      <c r="AZ800" s="3">
        <v>0</v>
      </c>
      <c r="BA800" s="3">
        <v>0</v>
      </c>
      <c r="BB800" s="3">
        <v>0</v>
      </c>
      <c r="BC800" s="3">
        <v>32.990989778145099</v>
      </c>
      <c r="BD800" s="3">
        <v>17.809010221854898</v>
      </c>
      <c r="BE800" s="3">
        <v>14.809010221854898</v>
      </c>
      <c r="BF800" s="3">
        <v>12.569010221854903</v>
      </c>
      <c r="BG800" s="3">
        <v>11.295676888521562</v>
      </c>
      <c r="BH800" s="3">
        <v>10.535676888521571</v>
      </c>
      <c r="BI800" s="3">
        <v>6.6490102218549012</v>
      </c>
      <c r="BJ800" s="3">
        <v>8.0423435551882321</v>
      </c>
      <c r="BK800" s="3">
        <v>8.1156768885215627</v>
      </c>
      <c r="BL800" s="3">
        <v>10.6890102218549</v>
      </c>
      <c r="BM800" s="3">
        <v>12.822343555188233</v>
      </c>
      <c r="BN800" s="3">
        <v>11.605676888521565</v>
      </c>
      <c r="BO800" s="3">
        <v>9.3723435551882375</v>
      </c>
      <c r="BP800" s="3">
        <v>9.0890102218548989</v>
      </c>
      <c r="BQ800" s="3">
        <v>12.105676888521558</v>
      </c>
      <c r="BR800" s="3">
        <v>8.1323435551882355</v>
      </c>
      <c r="BS800" s="3">
        <v>10.735676888521567</v>
      </c>
      <c r="BT800" s="3">
        <v>9.7323435551882369</v>
      </c>
      <c r="BU800" s="3">
        <v>10.199010221854905</v>
      </c>
      <c r="BV800" s="3">
        <v>8.1156768885215698</v>
      </c>
      <c r="BW800" s="3">
        <v>6.849010221854904</v>
      </c>
      <c r="BX800" s="3">
        <v>6.6690102218549043</v>
      </c>
      <c r="BY800" s="3">
        <v>13.589010221854899</v>
      </c>
      <c r="BZ800" s="3">
        <v>31.719010221854909</v>
      </c>
      <c r="CA800" s="3">
        <v>10.819010221854896</v>
      </c>
      <c r="CB800" s="3">
        <v>8.5556768885215675</v>
      </c>
      <c r="CC800" s="3">
        <v>8.9690102218549015</v>
      </c>
      <c r="CD800" s="3">
        <v>8.2756768885215735</v>
      </c>
      <c r="CE800" s="3">
        <v>8.6690102218548972</v>
      </c>
      <c r="CF800" s="3">
        <v>-0.91765644481176878</v>
      </c>
      <c r="CG800" s="3">
        <v>-1.4509897781450967</v>
      </c>
      <c r="CH800" s="3">
        <v>-2.5276564448117647</v>
      </c>
      <c r="CI800" s="13">
        <f>[1]!dbasum(RecData[[#This Row],[20]:[2000]],RecData[[#Headers],[20]:[2000]])</f>
        <v>17.73982821789032</v>
      </c>
      <c r="CJ800" s="14">
        <v>9877</v>
      </c>
      <c r="CK800" s="15" t="s">
        <v>249</v>
      </c>
      <c r="CL800" s="15">
        <f>RecData[[#This Row],[Start Time]]</f>
        <v>43274.00277777778</v>
      </c>
      <c r="CM800" s="16">
        <f>RecData[[#This Row],[Wind Speed avg]]</f>
        <v>0.51</v>
      </c>
      <c r="CN800" s="16">
        <f>RecData[[#This Row],[Wind Dir. avg]]</f>
        <v>165.9</v>
      </c>
      <c r="CO800" s="16">
        <f>RecData[[#This Row],[Amb. Humidity]]</f>
        <v>80.5</v>
      </c>
      <c r="CP800" s="16">
        <f>RecData[[#This Row],[Amb. Temperature]]</f>
        <v>12.1</v>
      </c>
      <c r="CQ800" s="17">
        <f>RecData[[#This Row],[Amb. Rain Gauge]]</f>
        <v>0</v>
      </c>
      <c r="CR800" s="4" t="s">
        <v>50</v>
      </c>
      <c r="CS800" s="4" t="s">
        <v>49</v>
      </c>
      <c r="CT800" s="70">
        <v>-9.4852952957153303</v>
      </c>
      <c r="CU800" s="70">
        <v>179.52879333496</v>
      </c>
      <c r="CV800" s="70">
        <v>0.36318024992942799</v>
      </c>
      <c r="CW800" s="70">
        <v>0</v>
      </c>
      <c r="CX800" s="109"/>
      <c r="CY800" s="110"/>
      <c r="CZ800" s="2" t="b">
        <f>IF($DP$1="YES",IF(RecData[[#This Row],[Power (kW)]]&gt;=$CR$3, TRUE,FALSE),TRUE)</f>
        <v>0</v>
      </c>
      <c r="DA800" s="16">
        <f>MIN(MOD(180-ABS(ABS($DA$1-RecData[Yaw Angle (°)])-180),360),MOD(180-ABS(ABS($DB$1-RecData[Yaw Angle (°)])-180),360))</f>
        <v>171.99886655727244</v>
      </c>
      <c r="DB800" s="2" t="str">
        <f>IF($DP$2="None","None",IF(RecData[[#This Row],[Relative Wind Direction]]&lt;=45,"DW",IF(RecData[[#This Row],[Relative Wind Direction]]&lt;=135,"CW","UW")))</f>
        <v>UW</v>
      </c>
      <c r="DC800" s="61">
        <f>IF($CL800-$CL797&gt;1/24,#REF!,IF(SUM($CQ797:$CQ800)&gt;$DS$1,$DS$5,DC801-1))</f>
        <v>-7</v>
      </c>
      <c r="DD800" s="61">
        <f>IF($CL801-$CL800&gt;1/24,#REF!,IF(SUM($CQ797:$CQ800)&gt;$DS$1,$DS$6,DD799-1))</f>
        <v>-4</v>
      </c>
      <c r="DE800" s="18" t="b">
        <v>0</v>
      </c>
      <c r="DF800" s="2" t="b">
        <f>IF(OR(RecData[[#This Row],[WSpd_Avg '[m/s']]]-RecData[[#This Row],[Wind Speed min]]&gt;=$DF$3,RecData[[#This Row],[Wind Speed max]]-RecData[[#This Row],[WSpd_Avg '[m/s']]]&gt;=$DF$2),TRUE,FALSE)</f>
        <v>0</v>
      </c>
      <c r="DG800" s="2" t="b">
        <f>RecData[[#This Row],[Temperature '[°C']]]&lt;=-20</f>
        <v>0</v>
      </c>
      <c r="DH800" s="18" t="b">
        <f>NOT(OR(MOD(RecData[[#This Row],[TIMESTAMP]],1)&gt;0.91632,MOD(RecData[[#This Row],[TIMESTAMP]],1)&lt;0.208681))</f>
        <v>0</v>
      </c>
      <c r="DI800" s="18" t="b">
        <f>RecData[[#This Row],[Overall (dBA)]]-RecData[[#This Row],[L90]]&gt;=$DS$4</f>
        <v>0</v>
      </c>
      <c r="DJ800" s="18" t="b">
        <f>RecData[[#This Row],[Overall (dBA)]]&gt;$DS$2</f>
        <v>0</v>
      </c>
      <c r="DK800" s="18" t="b">
        <f>RecData[[#This Row],[Overall (dBA)]]&lt;$DS$3</f>
        <v>0</v>
      </c>
      <c r="DL8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0" s="2">
        <f>IF(AND(RecData[[#This Row],[Turbines ON/OFF]] = "OFF", NOT(OR(RecData[[#This Row],[Junk?]]="YES",RecData[[#This Row],[Gust?]],RecData[[#This Row],[Rain?]:[Min SPL Threshold?]]))),1,0)</f>
        <v>1</v>
      </c>
      <c r="DN800" s="16">
        <f>RecData[[#This Row],[dBA Sum]]</f>
        <v>17.73982821789032</v>
      </c>
      <c r="DO800" s="16">
        <f>RecData[[#This Row],[LAF90.0]]</f>
        <v>19.8</v>
      </c>
      <c r="DP800" s="55" t="str">
        <f>IF(AND(RecData[[#This Row],[Useable TON Data?]],RecData[[#This Row],[Turbines ON/OFF]]="ON"),RecData[[#This Row],[dBA Sum]],"")</f>
        <v/>
      </c>
      <c r="DQ800" s="55">
        <f>IF(AND(RecData[[#This Row],[Useable Background Data?]],RecData[[#This Row],[Turbines ON/OFF]]="OFF"),RecData[[#This Row],[dBA Sum]],"")</f>
        <v>17.73982821789032</v>
      </c>
      <c r="DR800" s="3">
        <f>IF(OR(RecData[[#This Row],[Useable TON Data?]],RecData[[#This Row],[Useable Background Data?]]),ROUND(RecData[[#This Row],[WSpd_Avg '[m/s']]],0),"")</f>
        <v>1</v>
      </c>
      <c r="DS800" s="85">
        <f>(0.00002)^2*(10^(RecData[[#This Row],[Overall (dBA)]]/10))</f>
        <v>2.3770746090983697E-8</v>
      </c>
    </row>
    <row r="801" spans="1:123" ht="15" x14ac:dyDescent="0.25">
      <c r="A801" s="3" t="s">
        <v>249</v>
      </c>
      <c r="B801" s="12">
        <v>43274.003472222219</v>
      </c>
      <c r="C801" s="3"/>
      <c r="D801" s="3">
        <v>31.6</v>
      </c>
      <c r="E801" s="3"/>
      <c r="F801" s="3"/>
      <c r="G801" s="3"/>
      <c r="H801" s="3"/>
      <c r="I801" s="3"/>
      <c r="J801" s="3"/>
      <c r="K801" s="3">
        <v>19.5</v>
      </c>
      <c r="L801" s="3"/>
      <c r="M801" s="3"/>
      <c r="N801" s="3">
        <v>163.5</v>
      </c>
      <c r="O801" s="3"/>
      <c r="P801" s="3"/>
      <c r="Q801" s="3">
        <v>0.45</v>
      </c>
      <c r="R801" s="3">
        <v>0.4</v>
      </c>
      <c r="S801" s="3">
        <v>0.6</v>
      </c>
      <c r="T801" s="3">
        <v>12.1</v>
      </c>
      <c r="U801" s="3">
        <v>80.3</v>
      </c>
      <c r="V801" s="3">
        <v>967.4</v>
      </c>
      <c r="W801" s="3">
        <v>0</v>
      </c>
      <c r="X801" s="3">
        <v>17.5</v>
      </c>
      <c r="Y801" s="3">
        <v>14.8</v>
      </c>
      <c r="Z801" s="3">
        <v>12.3</v>
      </c>
      <c r="AA801" s="3">
        <v>10.3</v>
      </c>
      <c r="AB801" s="3">
        <v>8.8000000000000007</v>
      </c>
      <c r="AC801" s="3">
        <v>10.8</v>
      </c>
      <c r="AD801" s="3">
        <v>8.8000000000000007</v>
      </c>
      <c r="AE801" s="3">
        <v>8.8000000000000007</v>
      </c>
      <c r="AF801" s="3">
        <v>9.6</v>
      </c>
      <c r="AG801" s="3">
        <v>9.8000000000000007</v>
      </c>
      <c r="AH801" s="3">
        <v>7.7</v>
      </c>
      <c r="AI801" s="3">
        <v>7.1</v>
      </c>
      <c r="AJ801" s="3">
        <v>8.8000000000000007</v>
      </c>
      <c r="AK801" s="3">
        <v>7.9</v>
      </c>
      <c r="AL801" s="3">
        <v>6.7</v>
      </c>
      <c r="AM801" s="3">
        <v>5.9</v>
      </c>
      <c r="AN801" s="3">
        <v>6.4</v>
      </c>
      <c r="AO801" s="3">
        <v>6.3</v>
      </c>
      <c r="AP801" s="3">
        <v>6.1</v>
      </c>
      <c r="AQ801" s="3">
        <v>6.4</v>
      </c>
      <c r="AR801" s="3">
        <v>6.2</v>
      </c>
      <c r="AS801" s="3">
        <v>12.2</v>
      </c>
      <c r="AT801" s="3">
        <v>30.2</v>
      </c>
      <c r="AU801" s="3">
        <v>10.1</v>
      </c>
      <c r="AV801" s="3">
        <v>8.3000000000000007</v>
      </c>
      <c r="AW801" s="3">
        <v>8.6999999999999993</v>
      </c>
      <c r="AX801" s="3">
        <v>8.9</v>
      </c>
      <c r="AY801" s="3">
        <v>9.1</v>
      </c>
      <c r="AZ801" s="3">
        <v>0</v>
      </c>
      <c r="BA801" s="3">
        <v>0</v>
      </c>
      <c r="BB801" s="3">
        <v>0</v>
      </c>
      <c r="BC801" s="3">
        <v>31.684913784722394</v>
      </c>
      <c r="BD801" s="3">
        <v>17.415086215277608</v>
      </c>
      <c r="BE801" s="3">
        <v>14.715086215277612</v>
      </c>
      <c r="BF801" s="3">
        <v>10.97508621527761</v>
      </c>
      <c r="BG801" s="3">
        <v>9.301752881944271</v>
      </c>
      <c r="BH801" s="3">
        <v>7.9417528819442786</v>
      </c>
      <c r="BI801" s="3">
        <v>10.355086215277613</v>
      </c>
      <c r="BJ801" s="3">
        <v>9.1484195486109421</v>
      </c>
      <c r="BK801" s="3">
        <v>9.0217528819442698</v>
      </c>
      <c r="BL801" s="3">
        <v>9.3950862152776047</v>
      </c>
      <c r="BM801" s="3">
        <v>9.7284195486109475</v>
      </c>
      <c r="BN801" s="3">
        <v>7.9117528819442775</v>
      </c>
      <c r="BO801" s="3">
        <v>6.6784195486109432</v>
      </c>
      <c r="BP801" s="3">
        <v>8.0950862152776075</v>
      </c>
      <c r="BQ801" s="3">
        <v>7.6117528819442661</v>
      </c>
      <c r="BR801" s="3">
        <v>6.7384195486109455</v>
      </c>
      <c r="BS801" s="3">
        <v>5.7417528819442758</v>
      </c>
      <c r="BT801" s="3">
        <v>6.4384195486109412</v>
      </c>
      <c r="BU801" s="3">
        <v>6.3050862152776084</v>
      </c>
      <c r="BV801" s="3">
        <v>5.8217528819442741</v>
      </c>
      <c r="BW801" s="3">
        <v>6.6550862152776098</v>
      </c>
      <c r="BX801" s="3">
        <v>6.3750862152776158</v>
      </c>
      <c r="BY801" s="3">
        <v>12.195086215277602</v>
      </c>
      <c r="BZ801" s="3">
        <v>30.325086215277612</v>
      </c>
      <c r="CA801" s="3">
        <v>10.325086215277597</v>
      </c>
      <c r="CB801" s="3">
        <v>7.9617528819442747</v>
      </c>
      <c r="CC801" s="3">
        <v>8.5750862152776044</v>
      </c>
      <c r="CD801" s="3">
        <v>8.0817528819442792</v>
      </c>
      <c r="CE801" s="3">
        <v>8.475086215277603</v>
      </c>
      <c r="CF801" s="3">
        <v>-1.0115804513890581</v>
      </c>
      <c r="CG801" s="3">
        <v>-1.5449137847223895</v>
      </c>
      <c r="CH801" s="3">
        <v>-2.6215804513890575</v>
      </c>
      <c r="CI801" s="13">
        <f>[1]!dbasum(RecData[[#This Row],[20]:[2000]],RecData[[#Headers],[20]:[2000]])</f>
        <v>15.283674465137141</v>
      </c>
      <c r="CJ801" s="14">
        <v>9878</v>
      </c>
      <c r="CK801" s="15" t="s">
        <v>249</v>
      </c>
      <c r="CL801" s="15">
        <f>RecData[[#This Row],[Start Time]]</f>
        <v>43274.003472222219</v>
      </c>
      <c r="CM801" s="16">
        <f>RecData[[#This Row],[Wind Speed avg]]</f>
        <v>0.45</v>
      </c>
      <c r="CN801" s="16">
        <f>RecData[[#This Row],[Wind Dir. avg]]</f>
        <v>163.5</v>
      </c>
      <c r="CO801" s="16">
        <f>RecData[[#This Row],[Amb. Humidity]]</f>
        <v>80.3</v>
      </c>
      <c r="CP801" s="16">
        <f>RecData[[#This Row],[Amb. Temperature]]</f>
        <v>12.1</v>
      </c>
      <c r="CQ801" s="17">
        <f>RecData[[#This Row],[Amb. Rain Gauge]]</f>
        <v>0</v>
      </c>
      <c r="CR801" s="4" t="s">
        <v>50</v>
      </c>
      <c r="CS801" s="4" t="s">
        <v>49</v>
      </c>
      <c r="CT801" s="70">
        <v>-9.4852952957153303</v>
      </c>
      <c r="CU801" s="70">
        <v>179.52879333496</v>
      </c>
      <c r="CV801" s="70">
        <v>0.36318024992942799</v>
      </c>
      <c r="CW801" s="70">
        <v>0</v>
      </c>
      <c r="CX801" s="109"/>
      <c r="CY801" s="110"/>
      <c r="CZ801" s="2" t="b">
        <f>IF($DP$1="YES",IF(RecData[[#This Row],[Power (kW)]]&gt;=$CR$3, TRUE,FALSE),TRUE)</f>
        <v>0</v>
      </c>
      <c r="DA801" s="16">
        <f>MIN(MOD(180-ABS(ABS($DA$1-RecData[Yaw Angle (°)])-180),360),MOD(180-ABS(ABS($DB$1-RecData[Yaw Angle (°)])-180),360))</f>
        <v>171.99886655727244</v>
      </c>
      <c r="DB801" s="2" t="str">
        <f>IF($DP$2="None","None",IF(RecData[[#This Row],[Relative Wind Direction]]&lt;=45,"DW",IF(RecData[[#This Row],[Relative Wind Direction]]&lt;=135,"CW","UW")))</f>
        <v>UW</v>
      </c>
      <c r="DC801" s="61">
        <f>IF($CL801-$CL797&gt;1/24,#REF!,IF(SUM($CQ797:$CQ801)&gt;$DS$1,$DS$5,DC802-1))</f>
        <v>-6</v>
      </c>
      <c r="DD801" s="61">
        <f>IF($CL802-$CL801&gt;1/24,#REF!,IF(SUM($CQ797:$CQ801)&gt;$DS$1,$DS$6,DD800-1))</f>
        <v>-5</v>
      </c>
      <c r="DE801" s="18" t="b">
        <v>0</v>
      </c>
      <c r="DF801" s="2" t="b">
        <f>IF(OR(RecData[[#This Row],[WSpd_Avg '[m/s']]]-RecData[[#This Row],[Wind Speed min]]&gt;=$DF$3,RecData[[#This Row],[Wind Speed max]]-RecData[[#This Row],[WSpd_Avg '[m/s']]]&gt;=$DF$2),TRUE,FALSE)</f>
        <v>0</v>
      </c>
      <c r="DG801" s="2" t="b">
        <f>RecData[[#This Row],[Temperature '[°C']]]&lt;=-20</f>
        <v>0</v>
      </c>
      <c r="DH801" s="18" t="b">
        <f>NOT(OR(MOD(RecData[[#This Row],[TIMESTAMP]],1)&gt;0.91632,MOD(RecData[[#This Row],[TIMESTAMP]],1)&lt;0.208681))</f>
        <v>0</v>
      </c>
      <c r="DI801" s="18" t="b">
        <f>RecData[[#This Row],[Overall (dBA)]]-RecData[[#This Row],[L90]]&gt;=$DS$4</f>
        <v>0</v>
      </c>
      <c r="DJ801" s="18" t="b">
        <f>RecData[[#This Row],[Overall (dBA)]]&gt;$DS$2</f>
        <v>0</v>
      </c>
      <c r="DK801" s="18" t="b">
        <f>RecData[[#This Row],[Overall (dBA)]]&lt;$DS$3</f>
        <v>0</v>
      </c>
      <c r="DL8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1" s="2">
        <f>IF(AND(RecData[[#This Row],[Turbines ON/OFF]] = "OFF", NOT(OR(RecData[[#This Row],[Junk?]]="YES",RecData[[#This Row],[Gust?]],RecData[[#This Row],[Rain?]:[Min SPL Threshold?]]))),1,0)</f>
        <v>1</v>
      </c>
      <c r="DN801" s="16">
        <f>RecData[[#This Row],[dBA Sum]]</f>
        <v>15.283674465137141</v>
      </c>
      <c r="DO801" s="16">
        <f>RecData[[#This Row],[LAF90.0]]</f>
        <v>19.5</v>
      </c>
      <c r="DP801" s="55" t="str">
        <f>IF(AND(RecData[[#This Row],[Useable TON Data?]],RecData[[#This Row],[Turbines ON/OFF]]="ON"),RecData[[#This Row],[dBA Sum]],"")</f>
        <v/>
      </c>
      <c r="DQ801" s="55">
        <f>IF(AND(RecData[[#This Row],[Useable Background Data?]],RecData[[#This Row],[Turbines ON/OFF]]="OFF"),RecData[[#This Row],[dBA Sum]],"")</f>
        <v>15.283674465137141</v>
      </c>
      <c r="DR801" s="3">
        <f>IF(OR(RecData[[#This Row],[Useable TON Data?]],RecData[[#This Row],[Useable Background Data?]]),ROUND(RecData[[#This Row],[WSpd_Avg '[m/s']]],0),"")</f>
        <v>0</v>
      </c>
      <c r="DS801" s="85">
        <f>(0.00002)^2*(10^(RecData[[#This Row],[Overall (dBA)]]/10))</f>
        <v>1.3502912016180667E-8</v>
      </c>
    </row>
    <row r="802" spans="1:123" ht="15" x14ac:dyDescent="0.25">
      <c r="A802" s="3" t="s">
        <v>249</v>
      </c>
      <c r="B802" s="12">
        <v>43274.004166666666</v>
      </c>
      <c r="C802" s="3"/>
      <c r="D802" s="3">
        <v>32.200000000000003</v>
      </c>
      <c r="E802" s="3"/>
      <c r="F802" s="3"/>
      <c r="G802" s="3"/>
      <c r="H802" s="3"/>
      <c r="I802" s="3"/>
      <c r="J802" s="3"/>
      <c r="K802" s="3">
        <v>19.399999999999999</v>
      </c>
      <c r="L802" s="3"/>
      <c r="M802" s="3"/>
      <c r="N802" s="3">
        <v>159.9</v>
      </c>
      <c r="O802" s="3"/>
      <c r="P802" s="3"/>
      <c r="Q802" s="3">
        <v>0.36</v>
      </c>
      <c r="R802" s="3">
        <v>0.1</v>
      </c>
      <c r="S802" s="3">
        <v>0.4</v>
      </c>
      <c r="T802" s="3">
        <v>12.1</v>
      </c>
      <c r="U802" s="3">
        <v>80.599999999999994</v>
      </c>
      <c r="V802" s="3">
        <v>967.4</v>
      </c>
      <c r="W802" s="3">
        <v>0</v>
      </c>
      <c r="X802" s="3">
        <v>18.2</v>
      </c>
      <c r="Y802" s="3">
        <v>15.5</v>
      </c>
      <c r="Z802" s="3">
        <v>14.9</v>
      </c>
      <c r="AA802" s="3">
        <v>11.2</v>
      </c>
      <c r="AB802" s="3">
        <v>12.2</v>
      </c>
      <c r="AC802" s="3">
        <v>8.3000000000000007</v>
      </c>
      <c r="AD802" s="3">
        <v>7.8</v>
      </c>
      <c r="AE802" s="3">
        <v>7.7</v>
      </c>
      <c r="AF802" s="3">
        <v>9.8000000000000007</v>
      </c>
      <c r="AG802" s="3">
        <v>9.9</v>
      </c>
      <c r="AH802" s="3">
        <v>9.1</v>
      </c>
      <c r="AI802" s="3">
        <v>7.8</v>
      </c>
      <c r="AJ802" s="3">
        <v>9</v>
      </c>
      <c r="AK802" s="3">
        <v>9.8000000000000007</v>
      </c>
      <c r="AL802" s="3">
        <v>6.9</v>
      </c>
      <c r="AM802" s="3">
        <v>8</v>
      </c>
      <c r="AN802" s="3">
        <v>7.4</v>
      </c>
      <c r="AO802" s="3">
        <v>8.9</v>
      </c>
      <c r="AP802" s="3">
        <v>8.6999999999999993</v>
      </c>
      <c r="AQ802" s="3">
        <v>6.1</v>
      </c>
      <c r="AR802" s="3">
        <v>6</v>
      </c>
      <c r="AS802" s="3">
        <v>11.8</v>
      </c>
      <c r="AT802" s="3">
        <v>30.7</v>
      </c>
      <c r="AU802" s="3">
        <v>10.6</v>
      </c>
      <c r="AV802" s="3">
        <v>8.4</v>
      </c>
      <c r="AW802" s="3">
        <v>8.8000000000000007</v>
      </c>
      <c r="AX802" s="3">
        <v>8.9</v>
      </c>
      <c r="AY802" s="3">
        <v>9.1</v>
      </c>
      <c r="AZ802" s="3">
        <v>0</v>
      </c>
      <c r="BA802" s="3">
        <v>0</v>
      </c>
      <c r="BB802" s="3">
        <v>0</v>
      </c>
      <c r="BC802" s="3">
        <v>32.182881014182904</v>
      </c>
      <c r="BD802" s="3">
        <v>18.217118985817102</v>
      </c>
      <c r="BE802" s="3">
        <v>15.517118985817099</v>
      </c>
      <c r="BF802" s="3">
        <v>13.677118985817096</v>
      </c>
      <c r="BG802" s="3">
        <v>10.303785652483761</v>
      </c>
      <c r="BH802" s="3">
        <v>11.443785652483768</v>
      </c>
      <c r="BI802" s="3">
        <v>7.9571189858170968</v>
      </c>
      <c r="BJ802" s="3">
        <v>8.2504523191504333</v>
      </c>
      <c r="BK802" s="3">
        <v>8.0237856524837596</v>
      </c>
      <c r="BL802" s="3">
        <v>9.6971189858170987</v>
      </c>
      <c r="BM802" s="3">
        <v>9.930452319150433</v>
      </c>
      <c r="BN802" s="3">
        <v>9.4137856524837673</v>
      </c>
      <c r="BO802" s="3">
        <v>7.4804523191504373</v>
      </c>
      <c r="BP802" s="3">
        <v>8.3971189858171016</v>
      </c>
      <c r="BQ802" s="3">
        <v>9.6137856524837559</v>
      </c>
      <c r="BR802" s="3">
        <v>7.0404523191504325</v>
      </c>
      <c r="BS802" s="3">
        <v>7.9437856524837684</v>
      </c>
      <c r="BT802" s="3">
        <v>7.5404523191504325</v>
      </c>
      <c r="BU802" s="3">
        <v>9.007118985817101</v>
      </c>
      <c r="BV802" s="3">
        <v>8.5237856524837667</v>
      </c>
      <c r="BW802" s="3">
        <v>6.4571189858171039</v>
      </c>
      <c r="BX802" s="3">
        <v>6.2771189858171041</v>
      </c>
      <c r="BY802" s="3">
        <v>11.897118985817094</v>
      </c>
      <c r="BZ802" s="3">
        <v>30.927118985817103</v>
      </c>
      <c r="CA802" s="3">
        <v>10.927118985817096</v>
      </c>
      <c r="CB802" s="3">
        <v>8.1637856524837602</v>
      </c>
      <c r="CC802" s="3">
        <v>8.777118985817097</v>
      </c>
      <c r="CD802" s="3">
        <v>8.1837856524837704</v>
      </c>
      <c r="CE802" s="3">
        <v>8.5771189858171013</v>
      </c>
      <c r="CF802" s="3">
        <v>-0.90954768084956683</v>
      </c>
      <c r="CG802" s="3">
        <v>-1.4428810141828983</v>
      </c>
      <c r="CH802" s="3">
        <v>-2.5195476808495663</v>
      </c>
      <c r="CI802" s="13">
        <f>[1]!dbasum(RecData[[#This Row],[20]:[2000]],RecData[[#Headers],[20]:[2000]])</f>
        <v>16.551087161992044</v>
      </c>
      <c r="CJ802" s="14">
        <v>9879</v>
      </c>
      <c r="CK802" s="15" t="s">
        <v>249</v>
      </c>
      <c r="CL802" s="15">
        <f>RecData[[#This Row],[Start Time]]</f>
        <v>43274.004166666666</v>
      </c>
      <c r="CM802" s="16">
        <f>RecData[[#This Row],[Wind Speed avg]]</f>
        <v>0.36</v>
      </c>
      <c r="CN802" s="16">
        <f>RecData[[#This Row],[Wind Dir. avg]]</f>
        <v>159.9</v>
      </c>
      <c r="CO802" s="16">
        <f>RecData[[#This Row],[Amb. Humidity]]</f>
        <v>80.599999999999994</v>
      </c>
      <c r="CP802" s="16">
        <f>RecData[[#This Row],[Amb. Temperature]]</f>
        <v>12.1</v>
      </c>
      <c r="CQ802" s="17">
        <f>RecData[[#This Row],[Amb. Rain Gauge]]</f>
        <v>0</v>
      </c>
      <c r="CR802" s="4" t="s">
        <v>50</v>
      </c>
      <c r="CS802" s="4" t="s">
        <v>49</v>
      </c>
      <c r="CT802" s="70">
        <v>-9.4852952957153303</v>
      </c>
      <c r="CU802" s="70">
        <v>179.52879333496</v>
      </c>
      <c r="CV802" s="70">
        <v>0.36318024992942799</v>
      </c>
      <c r="CW802" s="70">
        <v>0</v>
      </c>
      <c r="CX802" s="109"/>
      <c r="CY802" s="110"/>
      <c r="CZ802" s="2" t="b">
        <f>IF($DP$1="YES",IF(RecData[[#This Row],[Power (kW)]]&gt;=$CR$3, TRUE,FALSE),TRUE)</f>
        <v>0</v>
      </c>
      <c r="DA802" s="16">
        <f>MIN(MOD(180-ABS(ABS($DA$1-RecData[Yaw Angle (°)])-180),360),MOD(180-ABS(ABS($DB$1-RecData[Yaw Angle (°)])-180),360))</f>
        <v>171.99886655727244</v>
      </c>
      <c r="DB802" s="2" t="str">
        <f>IF($DP$2="None","None",IF(RecData[[#This Row],[Relative Wind Direction]]&lt;=45,"DW",IF(RecData[[#This Row],[Relative Wind Direction]]&lt;=135,"CW","UW")))</f>
        <v>UW</v>
      </c>
      <c r="DC802" s="61">
        <f>IF($CL802-$CL798&gt;1/24,#REF!,IF(SUM($CQ798:$CQ802)&gt;$DS$1,$DS$5,DC803-1))</f>
        <v>-5</v>
      </c>
      <c r="DD802" s="61">
        <f>IF($CL803-$CL802&gt;1/24,#REF!,IF(SUM($CQ798:$CQ802)&gt;$DS$1,$DS$6,DD801-1))</f>
        <v>-6</v>
      </c>
      <c r="DE802" s="18" t="b">
        <v>0</v>
      </c>
      <c r="DF802" s="2" t="b">
        <f>IF(OR(RecData[[#This Row],[WSpd_Avg '[m/s']]]-RecData[[#This Row],[Wind Speed min]]&gt;=$DF$3,RecData[[#This Row],[Wind Speed max]]-RecData[[#This Row],[WSpd_Avg '[m/s']]]&gt;=$DF$2),TRUE,FALSE)</f>
        <v>0</v>
      </c>
      <c r="DG802" s="2" t="b">
        <f>RecData[[#This Row],[Temperature '[°C']]]&lt;=-20</f>
        <v>0</v>
      </c>
      <c r="DH802" s="18" t="b">
        <f>NOT(OR(MOD(RecData[[#This Row],[TIMESTAMP]],1)&gt;0.91632,MOD(RecData[[#This Row],[TIMESTAMP]],1)&lt;0.208681))</f>
        <v>0</v>
      </c>
      <c r="DI802" s="18" t="b">
        <f>RecData[[#This Row],[Overall (dBA)]]-RecData[[#This Row],[L90]]&gt;=$DS$4</f>
        <v>0</v>
      </c>
      <c r="DJ802" s="18" t="b">
        <f>RecData[[#This Row],[Overall (dBA)]]&gt;$DS$2</f>
        <v>0</v>
      </c>
      <c r="DK802" s="18" t="b">
        <f>RecData[[#This Row],[Overall (dBA)]]&lt;$DS$3</f>
        <v>0</v>
      </c>
      <c r="DL8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2" s="2">
        <f>IF(AND(RecData[[#This Row],[Turbines ON/OFF]] = "OFF", NOT(OR(RecData[[#This Row],[Junk?]]="YES",RecData[[#This Row],[Gust?]],RecData[[#This Row],[Rain?]:[Min SPL Threshold?]]))),1,0)</f>
        <v>1</v>
      </c>
      <c r="DN802" s="16">
        <f>RecData[[#This Row],[dBA Sum]]</f>
        <v>16.551087161992044</v>
      </c>
      <c r="DO802" s="16">
        <f>RecData[[#This Row],[LAF90.0]]</f>
        <v>19.399999999999999</v>
      </c>
      <c r="DP802" s="55" t="str">
        <f>IF(AND(RecData[[#This Row],[Useable TON Data?]],RecData[[#This Row],[Turbines ON/OFF]]="ON"),RecData[[#This Row],[dBA Sum]],"")</f>
        <v/>
      </c>
      <c r="DQ802" s="55">
        <f>IF(AND(RecData[[#This Row],[Useable Background Data?]],RecData[[#This Row],[Turbines ON/OFF]]="OFF"),RecData[[#This Row],[dBA Sum]],"")</f>
        <v>16.551087161992044</v>
      </c>
      <c r="DR802" s="3">
        <f>IF(OR(RecData[[#This Row],[Useable TON Data?]],RecData[[#This Row],[Useable Background Data?]]),ROUND(RecData[[#This Row],[WSpd_Avg '[m/s']]],0),"")</f>
        <v>0</v>
      </c>
      <c r="DS802" s="85">
        <f>(0.00002)^2*(10^(RecData[[#This Row],[Overall (dBA)]]/10))</f>
        <v>1.8078762834558286E-8</v>
      </c>
    </row>
    <row r="803" spans="1:123" ht="15" x14ac:dyDescent="0.25">
      <c r="A803" s="3" t="s">
        <v>249</v>
      </c>
      <c r="B803" s="12">
        <v>43274.004861111112</v>
      </c>
      <c r="C803" s="3"/>
      <c r="D803" s="3">
        <v>29.8</v>
      </c>
      <c r="E803" s="3"/>
      <c r="F803" s="3"/>
      <c r="G803" s="3"/>
      <c r="H803" s="3"/>
      <c r="I803" s="3"/>
      <c r="J803" s="3"/>
      <c r="K803" s="3">
        <v>19.7</v>
      </c>
      <c r="L803" s="3"/>
      <c r="M803" s="3"/>
      <c r="N803" s="3">
        <v>154.6</v>
      </c>
      <c r="O803" s="3"/>
      <c r="P803" s="3"/>
      <c r="Q803" s="3">
        <v>0.42</v>
      </c>
      <c r="R803" s="3">
        <v>0.2</v>
      </c>
      <c r="S803" s="3">
        <v>0.6</v>
      </c>
      <c r="T803" s="3">
        <v>12.1</v>
      </c>
      <c r="U803" s="3">
        <v>81.400000000000006</v>
      </c>
      <c r="V803" s="3">
        <v>967.4</v>
      </c>
      <c r="W803" s="3">
        <v>0</v>
      </c>
      <c r="X803" s="3">
        <v>21.7</v>
      </c>
      <c r="Y803" s="3">
        <v>18</v>
      </c>
      <c r="Z803" s="3">
        <v>16.2</v>
      </c>
      <c r="AA803" s="3">
        <v>12.5</v>
      </c>
      <c r="AB803" s="3">
        <v>10.9</v>
      </c>
      <c r="AC803" s="3">
        <v>8.3000000000000007</v>
      </c>
      <c r="AD803" s="3">
        <v>7.9</v>
      </c>
      <c r="AE803" s="3">
        <v>7.8</v>
      </c>
      <c r="AF803" s="3">
        <v>9.3000000000000007</v>
      </c>
      <c r="AG803" s="3">
        <v>11.5</v>
      </c>
      <c r="AH803" s="3">
        <v>11.1</v>
      </c>
      <c r="AI803" s="3">
        <v>8.9</v>
      </c>
      <c r="AJ803" s="3">
        <v>10.5</v>
      </c>
      <c r="AK803" s="3">
        <v>11</v>
      </c>
      <c r="AL803" s="3">
        <v>6.9</v>
      </c>
      <c r="AM803" s="3">
        <v>9.9</v>
      </c>
      <c r="AN803" s="3">
        <v>8.1999999999999993</v>
      </c>
      <c r="AO803" s="3">
        <v>10.9</v>
      </c>
      <c r="AP803" s="3">
        <v>9</v>
      </c>
      <c r="AQ803" s="3">
        <v>6.2</v>
      </c>
      <c r="AR803" s="3">
        <v>6.1</v>
      </c>
      <c r="AS803" s="3">
        <v>13.7</v>
      </c>
      <c r="AT803" s="3">
        <v>28</v>
      </c>
      <c r="AU803" s="3">
        <v>9.8000000000000007</v>
      </c>
      <c r="AV803" s="3">
        <v>8.1999999999999993</v>
      </c>
      <c r="AW803" s="3">
        <v>8.8000000000000007</v>
      </c>
      <c r="AX803" s="3">
        <v>8.9</v>
      </c>
      <c r="AY803" s="3">
        <v>9.1999999999999993</v>
      </c>
      <c r="AZ803" s="3">
        <v>0</v>
      </c>
      <c r="BA803" s="3">
        <v>0</v>
      </c>
      <c r="BB803" s="3">
        <v>0</v>
      </c>
      <c r="BC803" s="3">
        <v>29.804279778698298</v>
      </c>
      <c r="BD803" s="3">
        <v>21.695720221301702</v>
      </c>
      <c r="BE803" s="3">
        <v>17.995720221301699</v>
      </c>
      <c r="BF803" s="3">
        <v>14.9557202213017</v>
      </c>
      <c r="BG803" s="3">
        <v>11.582386887968365</v>
      </c>
      <c r="BH803" s="3">
        <v>10.122386887968371</v>
      </c>
      <c r="BI803" s="3">
        <v>7.935720221301704</v>
      </c>
      <c r="BJ803" s="3">
        <v>8.3290535546350348</v>
      </c>
      <c r="BK803" s="3">
        <v>8.1023868879683683</v>
      </c>
      <c r="BL803" s="3">
        <v>9.1757202213017059</v>
      </c>
      <c r="BM803" s="3">
        <v>11.509053554635035</v>
      </c>
      <c r="BN803" s="3">
        <v>11.392386887968367</v>
      </c>
      <c r="BO803" s="3">
        <v>8.5590535546350388</v>
      </c>
      <c r="BP803" s="3">
        <v>9.8757202213017017</v>
      </c>
      <c r="BQ803" s="3">
        <v>10.792386887968359</v>
      </c>
      <c r="BR803" s="3">
        <v>7.0190535546350397</v>
      </c>
      <c r="BS803" s="3">
        <v>9.8223868879683671</v>
      </c>
      <c r="BT803" s="3">
        <v>8.3190535546350368</v>
      </c>
      <c r="BU803" s="3">
        <v>10.985720221301708</v>
      </c>
      <c r="BV803" s="3">
        <v>8.8023868879683711</v>
      </c>
      <c r="BW803" s="3">
        <v>6.5357202213017054</v>
      </c>
      <c r="BX803" s="3">
        <v>6.3557202213017057</v>
      </c>
      <c r="BY803" s="3">
        <v>13.7757202213017</v>
      </c>
      <c r="BZ803" s="3">
        <v>28.205720221301707</v>
      </c>
      <c r="CA803" s="3">
        <v>10.105720221301699</v>
      </c>
      <c r="CB803" s="3">
        <v>7.9423868879683646</v>
      </c>
      <c r="CC803" s="3">
        <v>8.7557202213017042</v>
      </c>
      <c r="CD803" s="3">
        <v>8.1623868879683705</v>
      </c>
      <c r="CE803" s="3">
        <v>8.6557202213017028</v>
      </c>
      <c r="CF803" s="3">
        <v>-0.93094644536496318</v>
      </c>
      <c r="CG803" s="3">
        <v>-1.4642797786982946</v>
      </c>
      <c r="CH803" s="3">
        <v>-2.5409464453649626</v>
      </c>
      <c r="CI803" s="13">
        <f>[1]!dbasum(RecData[[#This Row],[20]:[2000]],RecData[[#Headers],[20]:[2000]])</f>
        <v>17.480075067409132</v>
      </c>
      <c r="CJ803" s="14">
        <v>9880</v>
      </c>
      <c r="CK803" s="15" t="s">
        <v>249</v>
      </c>
      <c r="CL803" s="15">
        <f>RecData[[#This Row],[Start Time]]</f>
        <v>43274.004861111112</v>
      </c>
      <c r="CM803" s="16">
        <f>RecData[[#This Row],[Wind Speed avg]]</f>
        <v>0.42</v>
      </c>
      <c r="CN803" s="16">
        <f>RecData[[#This Row],[Wind Dir. avg]]</f>
        <v>154.6</v>
      </c>
      <c r="CO803" s="16">
        <f>RecData[[#This Row],[Amb. Humidity]]</f>
        <v>81.400000000000006</v>
      </c>
      <c r="CP803" s="16">
        <f>RecData[[#This Row],[Amb. Temperature]]</f>
        <v>12.1</v>
      </c>
      <c r="CQ803" s="17">
        <f>RecData[[#This Row],[Amb. Rain Gauge]]</f>
        <v>0</v>
      </c>
      <c r="CR803" s="4" t="s">
        <v>50</v>
      </c>
      <c r="CS803" s="4" t="s">
        <v>49</v>
      </c>
      <c r="CT803" s="70">
        <v>-9.4852952957153303</v>
      </c>
      <c r="CU803" s="70">
        <v>179.52879333496</v>
      </c>
      <c r="CV803" s="70">
        <v>0.36318024992942799</v>
      </c>
      <c r="CW803" s="70">
        <v>0</v>
      </c>
      <c r="CX803" s="109"/>
      <c r="CY803" s="110"/>
      <c r="CZ803" s="2" t="b">
        <f>IF($DP$1="YES",IF(RecData[[#This Row],[Power (kW)]]&gt;=$CR$3, TRUE,FALSE),TRUE)</f>
        <v>0</v>
      </c>
      <c r="DA803" s="16">
        <f>MIN(MOD(180-ABS(ABS($DA$1-RecData[Yaw Angle (°)])-180),360),MOD(180-ABS(ABS($DB$1-RecData[Yaw Angle (°)])-180),360))</f>
        <v>171.99886655727244</v>
      </c>
      <c r="DB803" s="2" t="str">
        <f>IF($DP$2="None","None",IF(RecData[[#This Row],[Relative Wind Direction]]&lt;=45,"DW",IF(RecData[[#This Row],[Relative Wind Direction]]&lt;=135,"CW","UW")))</f>
        <v>UW</v>
      </c>
      <c r="DC803" s="61">
        <f>IF($CL803-$CL799&gt;1/24,#REF!,IF(SUM($CQ799:$CQ803)&gt;$DS$1,$DS$5,DC804-1))</f>
        <v>-4</v>
      </c>
      <c r="DD803" s="61">
        <f>IF($CL804-$CL803&gt;1/24,#REF!,IF(SUM($CQ799:$CQ803)&gt;$DS$1,$DS$6,DD802-1))</f>
        <v>-7</v>
      </c>
      <c r="DE803" s="18" t="b">
        <v>0</v>
      </c>
      <c r="DF803" s="2" t="b">
        <f>IF(OR(RecData[[#This Row],[WSpd_Avg '[m/s']]]-RecData[[#This Row],[Wind Speed min]]&gt;=$DF$3,RecData[[#This Row],[Wind Speed max]]-RecData[[#This Row],[WSpd_Avg '[m/s']]]&gt;=$DF$2),TRUE,FALSE)</f>
        <v>0</v>
      </c>
      <c r="DG803" s="2" t="b">
        <f>RecData[[#This Row],[Temperature '[°C']]]&lt;=-20</f>
        <v>0</v>
      </c>
      <c r="DH803" s="18" t="b">
        <f>NOT(OR(MOD(RecData[[#This Row],[TIMESTAMP]],1)&gt;0.91632,MOD(RecData[[#This Row],[TIMESTAMP]],1)&lt;0.208681))</f>
        <v>0</v>
      </c>
      <c r="DI803" s="18" t="b">
        <f>RecData[[#This Row],[Overall (dBA)]]-RecData[[#This Row],[L90]]&gt;=$DS$4</f>
        <v>0</v>
      </c>
      <c r="DJ803" s="18" t="b">
        <f>RecData[[#This Row],[Overall (dBA)]]&gt;$DS$2</f>
        <v>0</v>
      </c>
      <c r="DK803" s="18" t="b">
        <f>RecData[[#This Row],[Overall (dBA)]]&lt;$DS$3</f>
        <v>0</v>
      </c>
      <c r="DL8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3" s="2">
        <f>IF(AND(RecData[[#This Row],[Turbines ON/OFF]] = "OFF", NOT(OR(RecData[[#This Row],[Junk?]]="YES",RecData[[#This Row],[Gust?]],RecData[[#This Row],[Rain?]:[Min SPL Threshold?]]))),1,0)</f>
        <v>1</v>
      </c>
      <c r="DN803" s="16">
        <f>RecData[[#This Row],[dBA Sum]]</f>
        <v>17.480075067409132</v>
      </c>
      <c r="DO803" s="16">
        <f>RecData[[#This Row],[LAF90.0]]</f>
        <v>19.7</v>
      </c>
      <c r="DP803" s="55" t="str">
        <f>IF(AND(RecData[[#This Row],[Useable TON Data?]],RecData[[#This Row],[Turbines ON/OFF]]="ON"),RecData[[#This Row],[dBA Sum]],"")</f>
        <v/>
      </c>
      <c r="DQ803" s="55">
        <f>IF(AND(RecData[[#This Row],[Useable Background Data?]],RecData[[#This Row],[Turbines ON/OFF]]="OFF"),RecData[[#This Row],[dBA Sum]],"")</f>
        <v>17.480075067409132</v>
      </c>
      <c r="DR803" s="3">
        <f>IF(OR(RecData[[#This Row],[Useable TON Data?]],RecData[[#This Row],[Useable Background Data?]]),ROUND(RecData[[#This Row],[WSpd_Avg '[m/s']]],0),"")</f>
        <v>0</v>
      </c>
      <c r="DS803" s="85">
        <f>(0.00002)^2*(10^(RecData[[#This Row],[Overall (dBA)]]/10))</f>
        <v>2.2390691077533541E-8</v>
      </c>
    </row>
    <row r="804" spans="1:123" ht="15" x14ac:dyDescent="0.25">
      <c r="A804" s="3" t="s">
        <v>249</v>
      </c>
      <c r="B804" s="12">
        <v>43274.005555555559</v>
      </c>
      <c r="C804" s="3"/>
      <c r="D804" s="3">
        <v>29.1</v>
      </c>
      <c r="E804" s="3"/>
      <c r="F804" s="3"/>
      <c r="G804" s="3"/>
      <c r="H804" s="3"/>
      <c r="I804" s="3"/>
      <c r="J804" s="3"/>
      <c r="K804" s="3">
        <v>20</v>
      </c>
      <c r="L804" s="3"/>
      <c r="M804" s="3"/>
      <c r="N804" s="3">
        <v>149.80000000000001</v>
      </c>
      <c r="O804" s="3"/>
      <c r="P804" s="3"/>
      <c r="Q804" s="3">
        <v>0.46</v>
      </c>
      <c r="R804" s="3">
        <v>0.3</v>
      </c>
      <c r="S804" s="3">
        <v>0.5</v>
      </c>
      <c r="T804" s="3">
        <v>12.1</v>
      </c>
      <c r="U804" s="3">
        <v>81.3</v>
      </c>
      <c r="V804" s="3">
        <v>967.4</v>
      </c>
      <c r="W804" s="3">
        <v>0</v>
      </c>
      <c r="X804" s="3">
        <v>18.5</v>
      </c>
      <c r="Y804" s="3">
        <v>16.399999999999999</v>
      </c>
      <c r="Z804" s="3">
        <v>14.3</v>
      </c>
      <c r="AA804" s="3">
        <v>10.9</v>
      </c>
      <c r="AB804" s="3">
        <v>8.4</v>
      </c>
      <c r="AC804" s="3">
        <v>7.1</v>
      </c>
      <c r="AD804" s="3">
        <v>7</v>
      </c>
      <c r="AE804" s="3">
        <v>7.6</v>
      </c>
      <c r="AF804" s="3">
        <v>10</v>
      </c>
      <c r="AG804" s="3">
        <v>10</v>
      </c>
      <c r="AH804" s="3">
        <v>13.2</v>
      </c>
      <c r="AI804" s="3">
        <v>8.8000000000000007</v>
      </c>
      <c r="AJ804" s="3">
        <v>10.6</v>
      </c>
      <c r="AK804" s="3">
        <v>12.8</v>
      </c>
      <c r="AL804" s="3">
        <v>7.6</v>
      </c>
      <c r="AM804" s="3">
        <v>12.9</v>
      </c>
      <c r="AN804" s="3">
        <v>9.8000000000000007</v>
      </c>
      <c r="AO804" s="3">
        <v>12.9</v>
      </c>
      <c r="AP804" s="3">
        <v>10.6</v>
      </c>
      <c r="AQ804" s="3">
        <v>6.6</v>
      </c>
      <c r="AR804" s="3">
        <v>6.7</v>
      </c>
      <c r="AS804" s="3">
        <v>11.4</v>
      </c>
      <c r="AT804" s="3">
        <v>27.1</v>
      </c>
      <c r="AU804" s="3">
        <v>9.6</v>
      </c>
      <c r="AV804" s="3">
        <v>8.1</v>
      </c>
      <c r="AW804" s="3">
        <v>8.6999999999999993</v>
      </c>
      <c r="AX804" s="3">
        <v>8.9</v>
      </c>
      <c r="AY804" s="3">
        <v>9.1</v>
      </c>
      <c r="AZ804" s="3">
        <v>0</v>
      </c>
      <c r="BA804" s="3">
        <v>0</v>
      </c>
      <c r="BB804" s="3">
        <v>0</v>
      </c>
      <c r="BC804" s="3">
        <v>29.088893655885627</v>
      </c>
      <c r="BD804" s="3">
        <v>18.511106344114374</v>
      </c>
      <c r="BE804" s="3">
        <v>16.411106344114373</v>
      </c>
      <c r="BF804" s="3">
        <v>13.071106344114376</v>
      </c>
      <c r="BG804" s="3">
        <v>9.9977730107810387</v>
      </c>
      <c r="BH804" s="3">
        <v>7.6377730107810464</v>
      </c>
      <c r="BI804" s="3">
        <v>6.7511063441143762</v>
      </c>
      <c r="BJ804" s="3">
        <v>7.4444396774477042</v>
      </c>
      <c r="BK804" s="3">
        <v>7.9177730107810333</v>
      </c>
      <c r="BL804" s="3">
        <v>9.8911063441143767</v>
      </c>
      <c r="BM804" s="3">
        <v>10.02443967744771</v>
      </c>
      <c r="BN804" s="3">
        <v>13.507773010781037</v>
      </c>
      <c r="BO804" s="3">
        <v>8.4744396774477124</v>
      </c>
      <c r="BP804" s="3">
        <v>9.991106344114371</v>
      </c>
      <c r="BQ804" s="3">
        <v>12.607773010781031</v>
      </c>
      <c r="BR804" s="3">
        <v>7.7344396774477104</v>
      </c>
      <c r="BS804" s="3">
        <v>12.837773010781042</v>
      </c>
      <c r="BT804" s="3">
        <v>9.9344396774477133</v>
      </c>
      <c r="BU804" s="3">
        <v>13.001106344114376</v>
      </c>
      <c r="BV804" s="3">
        <v>10.41777301078104</v>
      </c>
      <c r="BW804" s="3">
        <v>6.951106344114379</v>
      </c>
      <c r="BX804" s="3">
        <v>6.9711063441143821</v>
      </c>
      <c r="BY804" s="3">
        <v>11.491106344114371</v>
      </c>
      <c r="BZ804" s="3">
        <v>27.321106344114384</v>
      </c>
      <c r="CA804" s="3">
        <v>9.9211063441143637</v>
      </c>
      <c r="CB804" s="3">
        <v>7.8577730107810382</v>
      </c>
      <c r="CC804" s="3">
        <v>8.6711063441143708</v>
      </c>
      <c r="CD804" s="3">
        <v>8.1777730107810456</v>
      </c>
      <c r="CE804" s="3">
        <v>8.5711063441143693</v>
      </c>
      <c r="CF804" s="3">
        <v>-0.91556032255229169</v>
      </c>
      <c r="CG804" s="3">
        <v>-1.4488936558856231</v>
      </c>
      <c r="CH804" s="3">
        <v>-2.5255603225522911</v>
      </c>
      <c r="CI804" s="13">
        <f>[1]!dbasum(RecData[[#This Row],[20]:[2000]],RecData[[#Headers],[20]:[2000]])</f>
        <v>19.059099568528715</v>
      </c>
      <c r="CJ804" s="14">
        <v>9881</v>
      </c>
      <c r="CK804" s="15" t="s">
        <v>249</v>
      </c>
      <c r="CL804" s="15">
        <f>RecData[[#This Row],[Start Time]]</f>
        <v>43274.005555555559</v>
      </c>
      <c r="CM804" s="16">
        <f>RecData[[#This Row],[Wind Speed avg]]</f>
        <v>0.46</v>
      </c>
      <c r="CN804" s="16">
        <f>RecData[[#This Row],[Wind Dir. avg]]</f>
        <v>149.80000000000001</v>
      </c>
      <c r="CO804" s="16">
        <f>RecData[[#This Row],[Amb. Humidity]]</f>
        <v>81.3</v>
      </c>
      <c r="CP804" s="16">
        <f>RecData[[#This Row],[Amb. Temperature]]</f>
        <v>12.1</v>
      </c>
      <c r="CQ804" s="17">
        <f>RecData[[#This Row],[Amb. Rain Gauge]]</f>
        <v>0</v>
      </c>
      <c r="CR804" s="4" t="s">
        <v>50</v>
      </c>
      <c r="CS804" s="4" t="s">
        <v>49</v>
      </c>
      <c r="CT804" s="70">
        <v>-9.4852952957153303</v>
      </c>
      <c r="CU804" s="70">
        <v>179.52879333496</v>
      </c>
      <c r="CV804" s="70">
        <v>0.36318024992942799</v>
      </c>
      <c r="CW804" s="70">
        <v>0</v>
      </c>
      <c r="CX804" s="109"/>
      <c r="CY804" s="110"/>
      <c r="CZ804" s="2" t="b">
        <f>IF($DP$1="YES",IF(RecData[[#This Row],[Power (kW)]]&gt;=$CR$3, TRUE,FALSE),TRUE)</f>
        <v>0</v>
      </c>
      <c r="DA804" s="16">
        <f>MIN(MOD(180-ABS(ABS($DA$1-RecData[Yaw Angle (°)])-180),360),MOD(180-ABS(ABS($DB$1-RecData[Yaw Angle (°)])-180),360))</f>
        <v>171.99886655727244</v>
      </c>
      <c r="DB804" s="2" t="str">
        <f>IF($DP$2="None","None",IF(RecData[[#This Row],[Relative Wind Direction]]&lt;=45,"DW",IF(RecData[[#This Row],[Relative Wind Direction]]&lt;=135,"CW","UW")))</f>
        <v>UW</v>
      </c>
      <c r="DC804" s="61">
        <f>IF($CL804-$CL800&gt;1/24,#REF!,IF(SUM($CQ800:$CQ804)&gt;$DS$1,$DS$5,DC805-1))</f>
        <v>-3</v>
      </c>
      <c r="DD804" s="61">
        <f>IF($CL805-$CL804&gt;1/24,#REF!,IF(SUM($CQ800:$CQ804)&gt;$DS$1,$DS$6,DD803-1))</f>
        <v>-8</v>
      </c>
      <c r="DE804" s="18" t="b">
        <v>0</v>
      </c>
      <c r="DF804" s="2" t="b">
        <f>IF(OR(RecData[[#This Row],[WSpd_Avg '[m/s']]]-RecData[[#This Row],[Wind Speed min]]&gt;=$DF$3,RecData[[#This Row],[Wind Speed max]]-RecData[[#This Row],[WSpd_Avg '[m/s']]]&gt;=$DF$2),TRUE,FALSE)</f>
        <v>0</v>
      </c>
      <c r="DG804" s="2" t="b">
        <f>RecData[[#This Row],[Temperature '[°C']]]&lt;=-20</f>
        <v>0</v>
      </c>
      <c r="DH804" s="18" t="b">
        <f>NOT(OR(MOD(RecData[[#This Row],[TIMESTAMP]],1)&gt;0.91632,MOD(RecData[[#This Row],[TIMESTAMP]],1)&lt;0.208681))</f>
        <v>0</v>
      </c>
      <c r="DI804" s="18" t="b">
        <f>RecData[[#This Row],[Overall (dBA)]]-RecData[[#This Row],[L90]]&gt;=$DS$4</f>
        <v>0</v>
      </c>
      <c r="DJ804" s="18" t="b">
        <f>RecData[[#This Row],[Overall (dBA)]]&gt;$DS$2</f>
        <v>0</v>
      </c>
      <c r="DK804" s="18" t="b">
        <f>RecData[[#This Row],[Overall (dBA)]]&lt;$DS$3</f>
        <v>0</v>
      </c>
      <c r="DL8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4" s="2">
        <f>IF(AND(RecData[[#This Row],[Turbines ON/OFF]] = "OFF", NOT(OR(RecData[[#This Row],[Junk?]]="YES",RecData[[#This Row],[Gust?]],RecData[[#This Row],[Rain?]:[Min SPL Threshold?]]))),1,0)</f>
        <v>1</v>
      </c>
      <c r="DN804" s="16">
        <f>RecData[[#This Row],[dBA Sum]]</f>
        <v>19.059099568528715</v>
      </c>
      <c r="DO804" s="16">
        <f>RecData[[#This Row],[LAF90.0]]</f>
        <v>20</v>
      </c>
      <c r="DP804" s="55" t="str">
        <f>IF(AND(RecData[[#This Row],[Useable TON Data?]],RecData[[#This Row],[Turbines ON/OFF]]="ON"),RecData[[#This Row],[dBA Sum]],"")</f>
        <v/>
      </c>
      <c r="DQ804" s="55">
        <f>IF(AND(RecData[[#This Row],[Useable Background Data?]],RecData[[#This Row],[Turbines ON/OFF]]="OFF"),RecData[[#This Row],[dBA Sum]],"")</f>
        <v>19.059099568528715</v>
      </c>
      <c r="DR804" s="3">
        <f>IF(OR(RecData[[#This Row],[Useable TON Data?]],RecData[[#This Row],[Useable Background Data?]]),ROUND(RecData[[#This Row],[WSpd_Avg '[m/s']]],0),"")</f>
        <v>0</v>
      </c>
      <c r="DS804" s="85">
        <f>(0.00002)^2*(10^(RecData[[#This Row],[Overall (dBA)]]/10))</f>
        <v>3.2208459111137483E-8</v>
      </c>
    </row>
    <row r="805" spans="1:123" ht="15" x14ac:dyDescent="0.25">
      <c r="A805" s="3" t="s">
        <v>249</v>
      </c>
      <c r="B805" s="12">
        <v>43274.006249999999</v>
      </c>
      <c r="C805" s="3"/>
      <c r="D805" s="3">
        <v>29.6</v>
      </c>
      <c r="E805" s="3"/>
      <c r="F805" s="3"/>
      <c r="G805" s="3"/>
      <c r="H805" s="3"/>
      <c r="I805" s="3"/>
      <c r="J805" s="3"/>
      <c r="K805" s="3">
        <v>20.8</v>
      </c>
      <c r="L805" s="3"/>
      <c r="M805" s="3"/>
      <c r="N805" s="3">
        <v>132.80000000000001</v>
      </c>
      <c r="O805" s="3"/>
      <c r="P805" s="3"/>
      <c r="Q805" s="3">
        <v>0.36</v>
      </c>
      <c r="R805" s="3">
        <v>0.3</v>
      </c>
      <c r="S805" s="3">
        <v>0.5</v>
      </c>
      <c r="T805" s="3">
        <v>12</v>
      </c>
      <c r="U805" s="3">
        <v>81.3</v>
      </c>
      <c r="V805" s="3">
        <v>967.4</v>
      </c>
      <c r="W805" s="3">
        <v>0</v>
      </c>
      <c r="X805" s="3">
        <v>18.899999999999999</v>
      </c>
      <c r="Y805" s="3">
        <v>16.5</v>
      </c>
      <c r="Z805" s="3">
        <v>15.6</v>
      </c>
      <c r="AA805" s="3">
        <v>11.7</v>
      </c>
      <c r="AB805" s="3">
        <v>8.5</v>
      </c>
      <c r="AC805" s="3">
        <v>6.4</v>
      </c>
      <c r="AD805" s="3">
        <v>6.6</v>
      </c>
      <c r="AE805" s="3">
        <v>6.4</v>
      </c>
      <c r="AF805" s="3">
        <v>10.4</v>
      </c>
      <c r="AG805" s="3">
        <v>14.2</v>
      </c>
      <c r="AH805" s="3">
        <v>12.6</v>
      </c>
      <c r="AI805" s="3">
        <v>8.1999999999999993</v>
      </c>
      <c r="AJ805" s="3">
        <v>11</v>
      </c>
      <c r="AK805" s="3">
        <v>10.4</v>
      </c>
      <c r="AL805" s="3">
        <v>6.6</v>
      </c>
      <c r="AM805" s="3">
        <v>8.3000000000000007</v>
      </c>
      <c r="AN805" s="3">
        <v>7.3</v>
      </c>
      <c r="AO805" s="3">
        <v>7.8</v>
      </c>
      <c r="AP805" s="3">
        <v>7.8</v>
      </c>
      <c r="AQ805" s="3">
        <v>6.2</v>
      </c>
      <c r="AR805" s="3">
        <v>5.9</v>
      </c>
      <c r="AS805" s="3">
        <v>12</v>
      </c>
      <c r="AT805" s="3">
        <v>27.8</v>
      </c>
      <c r="AU805" s="3">
        <v>10.4</v>
      </c>
      <c r="AV805" s="3">
        <v>8.1999999999999993</v>
      </c>
      <c r="AW805" s="3">
        <v>8.6999999999999993</v>
      </c>
      <c r="AX805" s="3">
        <v>8.9</v>
      </c>
      <c r="AY805" s="3">
        <v>9.1999999999999993</v>
      </c>
      <c r="AZ805" s="3">
        <v>0</v>
      </c>
      <c r="BA805" s="3">
        <v>0</v>
      </c>
      <c r="BB805" s="3">
        <v>0</v>
      </c>
      <c r="BC805" s="3">
        <v>29.536421557460212</v>
      </c>
      <c r="BD805" s="3">
        <v>18.963578442539788</v>
      </c>
      <c r="BE805" s="3">
        <v>16.563578442539789</v>
      </c>
      <c r="BF805" s="3">
        <v>14.423578442539789</v>
      </c>
      <c r="BG805" s="3">
        <v>10.850245109206451</v>
      </c>
      <c r="BH805" s="3">
        <v>7.790245109206456</v>
      </c>
      <c r="BI805" s="3">
        <v>6.1035784425397885</v>
      </c>
      <c r="BJ805" s="3">
        <v>7.0969117758731208</v>
      </c>
      <c r="BK805" s="3">
        <v>6.7702451092064528</v>
      </c>
      <c r="BL805" s="3">
        <v>10.343578442539791</v>
      </c>
      <c r="BM805" s="3">
        <v>14.276911775873121</v>
      </c>
      <c r="BN805" s="3">
        <v>12.960245109206458</v>
      </c>
      <c r="BO805" s="3">
        <v>7.9269117758731262</v>
      </c>
      <c r="BP805" s="3">
        <v>10.443578442539792</v>
      </c>
      <c r="BQ805" s="3">
        <v>10.260245109206448</v>
      </c>
      <c r="BR805" s="3">
        <v>6.7869117758731257</v>
      </c>
      <c r="BS805" s="3">
        <v>8.290245109206456</v>
      </c>
      <c r="BT805" s="3">
        <v>7.4869117758731214</v>
      </c>
      <c r="BU805" s="3">
        <v>7.95357844253979</v>
      </c>
      <c r="BV805" s="3">
        <v>7.6702451092064585</v>
      </c>
      <c r="BW805" s="3">
        <v>6.6035784425397956</v>
      </c>
      <c r="BX805" s="3">
        <v>6.2235784425397931</v>
      </c>
      <c r="BY805" s="3">
        <v>12.143578442539788</v>
      </c>
      <c r="BZ805" s="3">
        <v>28.073578442539795</v>
      </c>
      <c r="CA805" s="3">
        <v>10.773578442539783</v>
      </c>
      <c r="CB805" s="3">
        <v>8.0102451092064548</v>
      </c>
      <c r="CC805" s="3">
        <v>8.723578442539786</v>
      </c>
      <c r="CD805" s="3">
        <v>8.2302451092064608</v>
      </c>
      <c r="CE805" s="3">
        <v>8.723578442539786</v>
      </c>
      <c r="CF805" s="3">
        <v>-0.86308822412687647</v>
      </c>
      <c r="CG805" s="3">
        <v>-1.3964215574602079</v>
      </c>
      <c r="CH805" s="3">
        <v>-2.4730882241268759</v>
      </c>
      <c r="CI805" s="13">
        <f>[1]!dbasum(RecData[[#This Row],[20]:[2000]],RecData[[#Headers],[20]:[2000]])</f>
        <v>16.577561874584646</v>
      </c>
      <c r="CJ805" s="14">
        <v>9882</v>
      </c>
      <c r="CK805" s="15" t="s">
        <v>249</v>
      </c>
      <c r="CL805" s="15">
        <f>RecData[[#This Row],[Start Time]]</f>
        <v>43274.006249999999</v>
      </c>
      <c r="CM805" s="16">
        <f>RecData[[#This Row],[Wind Speed avg]]</f>
        <v>0.36</v>
      </c>
      <c r="CN805" s="16">
        <f>RecData[[#This Row],[Wind Dir. avg]]</f>
        <v>132.80000000000001</v>
      </c>
      <c r="CO805" s="16">
        <f>RecData[[#This Row],[Amb. Humidity]]</f>
        <v>81.3</v>
      </c>
      <c r="CP805" s="16">
        <f>RecData[[#This Row],[Amb. Temperature]]</f>
        <v>12</v>
      </c>
      <c r="CQ805" s="17">
        <f>RecData[[#This Row],[Amb. Rain Gauge]]</f>
        <v>0</v>
      </c>
      <c r="CR805" s="4" t="s">
        <v>50</v>
      </c>
      <c r="CS805" s="4" t="s">
        <v>49</v>
      </c>
      <c r="CT805" s="70">
        <v>-9.4852952957153303</v>
      </c>
      <c r="CU805" s="70">
        <v>179.52879333496</v>
      </c>
      <c r="CV805" s="70">
        <v>0.36318024992942799</v>
      </c>
      <c r="CW805" s="70">
        <v>0</v>
      </c>
      <c r="CX805" s="109"/>
      <c r="CY805" s="110"/>
      <c r="CZ805" s="2" t="b">
        <f>IF($DP$1="YES",IF(RecData[[#This Row],[Power (kW)]]&gt;=$CR$3, TRUE,FALSE),TRUE)</f>
        <v>0</v>
      </c>
      <c r="DA805" s="16">
        <f>MIN(MOD(180-ABS(ABS($DA$1-RecData[Yaw Angle (°)])-180),360),MOD(180-ABS(ABS($DB$1-RecData[Yaw Angle (°)])-180),360))</f>
        <v>171.99886655727244</v>
      </c>
      <c r="DB805" s="2" t="str">
        <f>IF($DP$2="None","None",IF(RecData[[#This Row],[Relative Wind Direction]]&lt;=45,"DW",IF(RecData[[#This Row],[Relative Wind Direction]]&lt;=135,"CW","UW")))</f>
        <v>UW</v>
      </c>
      <c r="DC805" s="61">
        <f>IF($CL805-$CL801&gt;1/24,#REF!,IF(SUM($CQ801:$CQ805)&gt;$DS$1,$DS$5,DC806-1))</f>
        <v>-2</v>
      </c>
      <c r="DD805" s="61">
        <f>IF($CL806-$CL805&gt;1/24,#REF!,IF(SUM($CQ801:$CQ805)&gt;$DS$1,$DS$6,DD804-1))</f>
        <v>-9</v>
      </c>
      <c r="DE805" s="18" t="b">
        <v>0</v>
      </c>
      <c r="DF805" s="2" t="b">
        <f>IF(OR(RecData[[#This Row],[WSpd_Avg '[m/s']]]-RecData[[#This Row],[Wind Speed min]]&gt;=$DF$3,RecData[[#This Row],[Wind Speed max]]-RecData[[#This Row],[WSpd_Avg '[m/s']]]&gt;=$DF$2),TRUE,FALSE)</f>
        <v>0</v>
      </c>
      <c r="DG805" s="2" t="b">
        <f>RecData[[#This Row],[Temperature '[°C']]]&lt;=-20</f>
        <v>0</v>
      </c>
      <c r="DH805" s="18" t="b">
        <f>NOT(OR(MOD(RecData[[#This Row],[TIMESTAMP]],1)&gt;0.91632,MOD(RecData[[#This Row],[TIMESTAMP]],1)&lt;0.208681))</f>
        <v>0</v>
      </c>
      <c r="DI805" s="18" t="b">
        <f>RecData[[#This Row],[Overall (dBA)]]-RecData[[#This Row],[L90]]&gt;=$DS$4</f>
        <v>0</v>
      </c>
      <c r="DJ805" s="18" t="b">
        <f>RecData[[#This Row],[Overall (dBA)]]&gt;$DS$2</f>
        <v>0</v>
      </c>
      <c r="DK805" s="18" t="b">
        <f>RecData[[#This Row],[Overall (dBA)]]&lt;$DS$3</f>
        <v>0</v>
      </c>
      <c r="DL8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5" s="2">
        <f>IF(AND(RecData[[#This Row],[Turbines ON/OFF]] = "OFF", NOT(OR(RecData[[#This Row],[Junk?]]="YES",RecData[[#This Row],[Gust?]],RecData[[#This Row],[Rain?]:[Min SPL Threshold?]]))),1,0)</f>
        <v>1</v>
      </c>
      <c r="DN805" s="16">
        <f>RecData[[#This Row],[dBA Sum]]</f>
        <v>16.577561874584646</v>
      </c>
      <c r="DO805" s="16">
        <f>RecData[[#This Row],[LAF90.0]]</f>
        <v>20.8</v>
      </c>
      <c r="DP805" s="55" t="str">
        <f>IF(AND(RecData[[#This Row],[Useable TON Data?]],RecData[[#This Row],[Turbines ON/OFF]]="ON"),RecData[[#This Row],[dBA Sum]],"")</f>
        <v/>
      </c>
      <c r="DQ805" s="55">
        <f>IF(AND(RecData[[#This Row],[Useable Background Data?]],RecData[[#This Row],[Turbines ON/OFF]]="OFF"),RecData[[#This Row],[dBA Sum]],"")</f>
        <v>16.577561874584646</v>
      </c>
      <c r="DR805" s="3">
        <f>IF(OR(RecData[[#This Row],[Useable TON Data?]],RecData[[#This Row],[Useable Background Data?]]),ROUND(RecData[[#This Row],[WSpd_Avg '[m/s']]],0),"")</f>
        <v>0</v>
      </c>
      <c r="DS805" s="85">
        <f>(0.00002)^2*(10^(RecData[[#This Row],[Overall (dBA)]]/10))</f>
        <v>1.8189308077498645E-8</v>
      </c>
    </row>
    <row r="806" spans="1:123" ht="15" x14ac:dyDescent="0.25">
      <c r="A806" s="3" t="s">
        <v>249</v>
      </c>
      <c r="B806" s="12">
        <v>43274.006944444445</v>
      </c>
      <c r="C806" s="3"/>
      <c r="D806" s="3">
        <v>27.4</v>
      </c>
      <c r="E806" s="3"/>
      <c r="F806" s="3"/>
      <c r="G806" s="3"/>
      <c r="H806" s="3"/>
      <c r="I806" s="3"/>
      <c r="J806" s="3"/>
      <c r="K806" s="3">
        <v>19.399999999999999</v>
      </c>
      <c r="L806" s="3"/>
      <c r="M806" s="3"/>
      <c r="N806" s="3">
        <v>101.2</v>
      </c>
      <c r="O806" s="3"/>
      <c r="P806" s="3"/>
      <c r="Q806" s="3">
        <v>0.26</v>
      </c>
      <c r="R806" s="3">
        <v>0.2</v>
      </c>
      <c r="S806" s="3">
        <v>0.4</v>
      </c>
      <c r="T806" s="3">
        <v>12</v>
      </c>
      <c r="U806" s="3">
        <v>81.5</v>
      </c>
      <c r="V806" s="3">
        <v>967.4</v>
      </c>
      <c r="W806" s="3">
        <v>0</v>
      </c>
      <c r="X806" s="3">
        <v>19.100000000000001</v>
      </c>
      <c r="Y806" s="3">
        <v>16.3</v>
      </c>
      <c r="Z806" s="3">
        <v>15.4</v>
      </c>
      <c r="AA806" s="3">
        <v>11.7</v>
      </c>
      <c r="AB806" s="3">
        <v>8.6999999999999993</v>
      </c>
      <c r="AC806" s="3">
        <v>6</v>
      </c>
      <c r="AD806" s="3">
        <v>5.4</v>
      </c>
      <c r="AE806" s="3">
        <v>5.9</v>
      </c>
      <c r="AF806" s="3">
        <v>11.5</v>
      </c>
      <c r="AG806" s="3">
        <v>13.9</v>
      </c>
      <c r="AH806" s="3">
        <v>12.4</v>
      </c>
      <c r="AI806" s="3">
        <v>7.2</v>
      </c>
      <c r="AJ806" s="3">
        <v>9.1</v>
      </c>
      <c r="AK806" s="3">
        <v>8.6</v>
      </c>
      <c r="AL806" s="3">
        <v>6.2</v>
      </c>
      <c r="AM806" s="3">
        <v>5.6</v>
      </c>
      <c r="AN806" s="3">
        <v>6.1</v>
      </c>
      <c r="AO806" s="3">
        <v>5.8</v>
      </c>
      <c r="AP806" s="3">
        <v>5.5</v>
      </c>
      <c r="AQ806" s="3">
        <v>6.2</v>
      </c>
      <c r="AR806" s="3">
        <v>6.4</v>
      </c>
      <c r="AS806" s="3">
        <v>12</v>
      </c>
      <c r="AT806" s="3">
        <v>25.4</v>
      </c>
      <c r="AU806" s="3">
        <v>8.9</v>
      </c>
      <c r="AV806" s="3">
        <v>8.1</v>
      </c>
      <c r="AW806" s="3">
        <v>8.6999999999999993</v>
      </c>
      <c r="AX806" s="3">
        <v>8.9</v>
      </c>
      <c r="AY806" s="3">
        <v>9.1</v>
      </c>
      <c r="AZ806" s="3">
        <v>0</v>
      </c>
      <c r="BA806" s="3">
        <v>0</v>
      </c>
      <c r="BB806" s="3">
        <v>0</v>
      </c>
      <c r="BC806" s="3">
        <v>27.381865824407889</v>
      </c>
      <c r="BD806" s="3">
        <v>19.118134175592111</v>
      </c>
      <c r="BE806" s="3">
        <v>16.318134175592114</v>
      </c>
      <c r="BF806" s="3">
        <v>14.178134175592113</v>
      </c>
      <c r="BG806" s="3">
        <v>10.804800842258771</v>
      </c>
      <c r="BH806" s="3">
        <v>7.944800842258779</v>
      </c>
      <c r="BI806" s="3">
        <v>5.6581341755921102</v>
      </c>
      <c r="BJ806" s="3">
        <v>5.8514675089254453</v>
      </c>
      <c r="BK806" s="3">
        <v>6.2248008422587731</v>
      </c>
      <c r="BL806" s="3">
        <v>11.398134175592112</v>
      </c>
      <c r="BM806" s="3">
        <v>13.931467508925444</v>
      </c>
      <c r="BN806" s="3">
        <v>12.714800842258775</v>
      </c>
      <c r="BO806" s="3">
        <v>6.8814675089254465</v>
      </c>
      <c r="BP806" s="3">
        <v>8.4981341755921065</v>
      </c>
      <c r="BQ806" s="3">
        <v>8.4148008422587637</v>
      </c>
      <c r="BR806" s="3">
        <v>6.3414675089254473</v>
      </c>
      <c r="BS806" s="3">
        <v>5.5448008422587733</v>
      </c>
      <c r="BT806" s="3">
        <v>6.2414675089254459</v>
      </c>
      <c r="BU806" s="3">
        <v>5.9081341755921102</v>
      </c>
      <c r="BV806" s="3">
        <v>5.3248008422587745</v>
      </c>
      <c r="BW806" s="3">
        <v>6.5581341755921159</v>
      </c>
      <c r="BX806" s="3">
        <v>6.6781341755921133</v>
      </c>
      <c r="BY806" s="3">
        <v>12.098134175592108</v>
      </c>
      <c r="BZ806" s="3">
        <v>25.628134175592116</v>
      </c>
      <c r="CA806" s="3">
        <v>9.2281341755921034</v>
      </c>
      <c r="CB806" s="3">
        <v>7.8648008422587736</v>
      </c>
      <c r="CC806" s="3">
        <v>8.6781341755921062</v>
      </c>
      <c r="CD806" s="3">
        <v>8.184800842258781</v>
      </c>
      <c r="CE806" s="3">
        <v>8.5781341755921048</v>
      </c>
      <c r="CF806" s="3">
        <v>-0.90853249107455625</v>
      </c>
      <c r="CG806" s="3">
        <v>-1.4418658244078877</v>
      </c>
      <c r="CH806" s="3">
        <v>-2.5185324910745557</v>
      </c>
      <c r="CI806" s="13">
        <f>[1]!dbasum(RecData[[#This Row],[20]:[2000]],RecData[[#Headers],[20]:[2000]])</f>
        <v>15.450655284539504</v>
      </c>
      <c r="CJ806" s="14">
        <v>9883</v>
      </c>
      <c r="CK806" s="15" t="s">
        <v>249</v>
      </c>
      <c r="CL806" s="15">
        <f>RecData[[#This Row],[Start Time]]</f>
        <v>43274.006944444445</v>
      </c>
      <c r="CM806" s="16">
        <f>RecData[[#This Row],[Wind Speed avg]]</f>
        <v>0.26</v>
      </c>
      <c r="CN806" s="16">
        <f>RecData[[#This Row],[Wind Dir. avg]]</f>
        <v>101.2</v>
      </c>
      <c r="CO806" s="16">
        <f>RecData[[#This Row],[Amb. Humidity]]</f>
        <v>81.5</v>
      </c>
      <c r="CP806" s="16">
        <f>RecData[[#This Row],[Amb. Temperature]]</f>
        <v>12</v>
      </c>
      <c r="CQ806" s="17">
        <f>RecData[[#This Row],[Amb. Rain Gauge]]</f>
        <v>0</v>
      </c>
      <c r="CR806" s="4" t="s">
        <v>50</v>
      </c>
      <c r="CS806" s="4" t="s">
        <v>49</v>
      </c>
      <c r="CT806" s="70">
        <v>-9.4852952957153303</v>
      </c>
      <c r="CU806" s="70">
        <v>179.52879333496</v>
      </c>
      <c r="CV806" s="70">
        <v>0.36318024992942799</v>
      </c>
      <c r="CW806" s="70">
        <v>0</v>
      </c>
      <c r="CX806" s="109"/>
      <c r="CY806" s="110"/>
      <c r="CZ806" s="2" t="b">
        <f>IF($DP$1="YES",IF(RecData[[#This Row],[Power (kW)]]&gt;=$CR$3, TRUE,FALSE),TRUE)</f>
        <v>0</v>
      </c>
      <c r="DA806" s="16">
        <f>MIN(MOD(180-ABS(ABS($DA$1-RecData[Yaw Angle (°)])-180),360),MOD(180-ABS(ABS($DB$1-RecData[Yaw Angle (°)])-180),360))</f>
        <v>171.99886655727244</v>
      </c>
      <c r="DB806" s="2" t="str">
        <f>IF($DP$2="None","None",IF(RecData[[#This Row],[Relative Wind Direction]]&lt;=45,"DW",IF(RecData[[#This Row],[Relative Wind Direction]]&lt;=135,"CW","UW")))</f>
        <v>UW</v>
      </c>
      <c r="DC806" s="61">
        <v>-1</v>
      </c>
      <c r="DD806" s="61">
        <v>-1</v>
      </c>
      <c r="DE806" s="18" t="b">
        <v>0</v>
      </c>
      <c r="DF806" s="2" t="b">
        <f>IF(OR(RecData[[#This Row],[WSpd_Avg '[m/s']]]-RecData[[#This Row],[Wind Speed min]]&gt;=$DF$3,RecData[[#This Row],[Wind Speed max]]-RecData[[#This Row],[WSpd_Avg '[m/s']]]&gt;=$DF$2),TRUE,FALSE)</f>
        <v>0</v>
      </c>
      <c r="DG806" s="2" t="b">
        <f>RecData[[#This Row],[Temperature '[°C']]]&lt;=-20</f>
        <v>0</v>
      </c>
      <c r="DH806" s="18" t="b">
        <f>NOT(OR(MOD(RecData[[#This Row],[TIMESTAMP]],1)&gt;0.91632,MOD(RecData[[#This Row],[TIMESTAMP]],1)&lt;0.208681))</f>
        <v>0</v>
      </c>
      <c r="DI806" s="18" t="b">
        <f>RecData[[#This Row],[Overall (dBA)]]-RecData[[#This Row],[L90]]&gt;=$DS$4</f>
        <v>0</v>
      </c>
      <c r="DJ806" s="18" t="b">
        <f>RecData[[#This Row],[Overall (dBA)]]&gt;$DS$2</f>
        <v>0</v>
      </c>
      <c r="DK806" s="18" t="b">
        <f>RecData[[#This Row],[Overall (dBA)]]&lt;$DS$3</f>
        <v>0</v>
      </c>
      <c r="DL8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6" s="2">
        <f>IF(AND(RecData[[#This Row],[Turbines ON/OFF]] = "OFF", NOT(OR(RecData[[#This Row],[Junk?]]="YES",RecData[[#This Row],[Gust?]],RecData[[#This Row],[Rain?]:[Min SPL Threshold?]]))),1,0)</f>
        <v>1</v>
      </c>
      <c r="DN806" s="16">
        <f>RecData[[#This Row],[dBA Sum]]</f>
        <v>15.450655284539504</v>
      </c>
      <c r="DO806" s="16">
        <f>RecData[[#This Row],[LAF90.0]]</f>
        <v>19.399999999999999</v>
      </c>
      <c r="DP806" s="55" t="str">
        <f>IF(AND(RecData[[#This Row],[Useable TON Data?]],RecData[[#This Row],[Turbines ON/OFF]]="ON"),RecData[[#This Row],[dBA Sum]],"")</f>
        <v/>
      </c>
      <c r="DQ806" s="55">
        <f>IF(AND(RecData[[#This Row],[Useable Background Data?]],RecData[[#This Row],[Turbines ON/OFF]]="OFF"),RecData[[#This Row],[dBA Sum]],"")</f>
        <v>15.450655284539504</v>
      </c>
      <c r="DR806" s="3">
        <f>IF(OR(RecData[[#This Row],[Useable TON Data?]],RecData[[#This Row],[Useable Background Data?]]),ROUND(RecData[[#This Row],[WSpd_Avg '[m/s']]],0),"")</f>
        <v>0</v>
      </c>
      <c r="DS806" s="85">
        <f>(0.00002)^2*(10^(RecData[[#This Row],[Overall (dBA)]]/10))</f>
        <v>1.4032192043449299E-8</v>
      </c>
    </row>
    <row r="807" spans="1:123" ht="15" x14ac:dyDescent="0.25">
      <c r="A807" s="3" t="s">
        <v>249</v>
      </c>
      <c r="B807" s="12">
        <v>43274.007638888892</v>
      </c>
      <c r="C807" s="3"/>
      <c r="D807" s="3">
        <v>31.8</v>
      </c>
      <c r="E807" s="3"/>
      <c r="F807" s="3"/>
      <c r="G807" s="3"/>
      <c r="H807" s="3"/>
      <c r="I807" s="3"/>
      <c r="J807" s="3"/>
      <c r="K807" s="3">
        <v>20.6</v>
      </c>
      <c r="L807" s="3"/>
      <c r="M807" s="3"/>
      <c r="N807" s="3">
        <v>101.4</v>
      </c>
      <c r="O807" s="3"/>
      <c r="P807" s="3"/>
      <c r="Q807" s="3">
        <v>0.3</v>
      </c>
      <c r="R807" s="3">
        <v>0.2</v>
      </c>
      <c r="S807" s="3">
        <v>0.4</v>
      </c>
      <c r="T807" s="3">
        <v>12</v>
      </c>
      <c r="U807" s="3">
        <v>81.2</v>
      </c>
      <c r="V807" s="3">
        <v>967.4</v>
      </c>
      <c r="W807" s="3">
        <v>0</v>
      </c>
      <c r="X807" s="3">
        <v>18.899999999999999</v>
      </c>
      <c r="Y807" s="3">
        <v>16.100000000000001</v>
      </c>
      <c r="Z807" s="3">
        <v>17.399999999999999</v>
      </c>
      <c r="AA807" s="3">
        <v>11.9</v>
      </c>
      <c r="AB807" s="3">
        <v>9.3000000000000007</v>
      </c>
      <c r="AC807" s="3">
        <v>11.8</v>
      </c>
      <c r="AD807" s="3">
        <v>7.7</v>
      </c>
      <c r="AE807" s="3">
        <v>7.8</v>
      </c>
      <c r="AF807" s="3">
        <v>11.4</v>
      </c>
      <c r="AG807" s="3">
        <v>17.899999999999999</v>
      </c>
      <c r="AH807" s="3">
        <v>14.8</v>
      </c>
      <c r="AI807" s="3">
        <v>10.1</v>
      </c>
      <c r="AJ807" s="3">
        <v>12.3</v>
      </c>
      <c r="AK807" s="3">
        <v>13</v>
      </c>
      <c r="AL807" s="3">
        <v>8</v>
      </c>
      <c r="AM807" s="3">
        <v>13.6</v>
      </c>
      <c r="AN807" s="3">
        <v>9.9</v>
      </c>
      <c r="AO807" s="3">
        <v>10.7</v>
      </c>
      <c r="AP807" s="3">
        <v>9.6999999999999993</v>
      </c>
      <c r="AQ807" s="3">
        <v>6.4</v>
      </c>
      <c r="AR807" s="3">
        <v>6.1</v>
      </c>
      <c r="AS807" s="3">
        <v>12.9</v>
      </c>
      <c r="AT807" s="3">
        <v>30.2</v>
      </c>
      <c r="AU807" s="3">
        <v>10.4</v>
      </c>
      <c r="AV807" s="3">
        <v>8.4</v>
      </c>
      <c r="AW807" s="3">
        <v>8.8000000000000007</v>
      </c>
      <c r="AX807" s="3">
        <v>8.9</v>
      </c>
      <c r="AY807" s="3">
        <v>9.1999999999999993</v>
      </c>
      <c r="AZ807" s="3">
        <v>0</v>
      </c>
      <c r="BA807" s="3">
        <v>0</v>
      </c>
      <c r="BB807" s="3">
        <v>0</v>
      </c>
      <c r="BC807" s="3">
        <v>31.824063792458347</v>
      </c>
      <c r="BD807" s="3">
        <v>18.875936207541656</v>
      </c>
      <c r="BE807" s="3">
        <v>16.075936207541659</v>
      </c>
      <c r="BF807" s="3">
        <v>16.135936207541654</v>
      </c>
      <c r="BG807" s="3">
        <v>10.962602874208315</v>
      </c>
      <c r="BH807" s="3">
        <v>8.5026028742083213</v>
      </c>
      <c r="BI807" s="3">
        <v>11.415936207541655</v>
      </c>
      <c r="BJ807" s="3">
        <v>8.1092695408749904</v>
      </c>
      <c r="BK807" s="3">
        <v>8.0826028742083196</v>
      </c>
      <c r="BL807" s="3">
        <v>11.255936207541652</v>
      </c>
      <c r="BM807" s="3">
        <v>17.889269540874992</v>
      </c>
      <c r="BN807" s="3">
        <v>15.072602874208322</v>
      </c>
      <c r="BO807" s="3">
        <v>9.7392695408749859</v>
      </c>
      <c r="BP807" s="3">
        <v>11.655936207541657</v>
      </c>
      <c r="BQ807" s="3">
        <v>12.77260287420831</v>
      </c>
      <c r="BR807" s="3">
        <v>8.0992695408749853</v>
      </c>
      <c r="BS807" s="3">
        <v>13.502602874208321</v>
      </c>
      <c r="BT807" s="3">
        <v>9.999269540874991</v>
      </c>
      <c r="BU807" s="3">
        <v>10.765936207541657</v>
      </c>
      <c r="BV807" s="3">
        <v>9.4826028742083182</v>
      </c>
      <c r="BW807" s="3">
        <v>6.7159362075416595</v>
      </c>
      <c r="BX807" s="3">
        <v>6.335936207541657</v>
      </c>
      <c r="BY807" s="3">
        <v>12.955936207541654</v>
      </c>
      <c r="BZ807" s="3">
        <v>30.385936207541661</v>
      </c>
      <c r="CA807" s="3">
        <v>10.685936207541644</v>
      </c>
      <c r="CB807" s="3">
        <v>8.1226028742083187</v>
      </c>
      <c r="CC807" s="3">
        <v>8.7359362075416556</v>
      </c>
      <c r="CD807" s="3">
        <v>8.1426028742083219</v>
      </c>
      <c r="CE807" s="3">
        <v>8.6359362075416541</v>
      </c>
      <c r="CF807" s="3">
        <v>-0.95073045912501186</v>
      </c>
      <c r="CG807" s="3">
        <v>-1.4840637924583433</v>
      </c>
      <c r="CH807" s="3">
        <v>-2.5607304591250113</v>
      </c>
      <c r="CI807" s="13">
        <f>[1]!dbasum(RecData[[#This Row],[20]:[2000]],RecData[[#Headers],[20]:[2000]])</f>
        <v>18.818630662836924</v>
      </c>
      <c r="CJ807" s="14">
        <v>9884</v>
      </c>
      <c r="CK807" s="15" t="s">
        <v>249</v>
      </c>
      <c r="CL807" s="15">
        <f>RecData[[#This Row],[Start Time]]</f>
        <v>43274.007638888892</v>
      </c>
      <c r="CM807" s="16">
        <f>RecData[[#This Row],[Wind Speed avg]]</f>
        <v>0.3</v>
      </c>
      <c r="CN807" s="16">
        <f>RecData[[#This Row],[Wind Dir. avg]]</f>
        <v>101.4</v>
      </c>
      <c r="CO807" s="16">
        <f>RecData[[#This Row],[Amb. Humidity]]</f>
        <v>81.2</v>
      </c>
      <c r="CP807" s="16">
        <f>RecData[[#This Row],[Amb. Temperature]]</f>
        <v>12</v>
      </c>
      <c r="CQ807" s="17">
        <f>RecData[[#This Row],[Amb. Rain Gauge]]</f>
        <v>0</v>
      </c>
      <c r="CR807" s="4" t="s">
        <v>50</v>
      </c>
      <c r="CS807" s="4" t="s">
        <v>49</v>
      </c>
      <c r="CT807" s="70">
        <v>-13.5852308273315</v>
      </c>
      <c r="CU807" s="70">
        <v>260.50036621093699</v>
      </c>
      <c r="CV807" s="70">
        <v>0.82966721057891801</v>
      </c>
      <c r="CW807" s="70">
        <v>0</v>
      </c>
      <c r="CX807" s="109"/>
      <c r="CY807" s="110"/>
      <c r="CZ807" s="2" t="b">
        <f>IF($DP$1="YES",IF(RecData[[#This Row],[Power (kW)]]&gt;=$CR$3, TRUE,FALSE),TRUE)</f>
        <v>0</v>
      </c>
      <c r="DA807" s="16">
        <f>MIN(MOD(180-ABS(ABS($DA$1-RecData[Yaw Angle (°)])-180),360),MOD(180-ABS(ABS($DB$1-RecData[Yaw Angle (°)])-180),360))</f>
        <v>107.02956056675055</v>
      </c>
      <c r="DB807" s="2" t="str">
        <f>IF($DP$2="None","None",IF(RecData[[#This Row],[Relative Wind Direction]]&lt;=45,"DW",IF(RecData[[#This Row],[Relative Wind Direction]]&lt;=135,"CW","UW")))</f>
        <v>CW</v>
      </c>
      <c r="DC807" s="61" t="e">
        <f>IF($CL807-$CL806&gt;1/24,#REF!,IF(SUM($CQ806:$CQ807)&gt;$DS$1,$DS$5,DC808-1))</f>
        <v>#REF!</v>
      </c>
      <c r="DD807" s="61">
        <f>IF($CL808-$CL807&gt;1/24,#REF!,IF(SUM($CQ806:$CQ807)&gt;$DS$1,$DS$6,DD806-1))</f>
        <v>-2</v>
      </c>
      <c r="DE807" s="18" t="b">
        <v>0</v>
      </c>
      <c r="DF807" s="2" t="b">
        <f>IF(OR(RecData[[#This Row],[WSpd_Avg '[m/s']]]-RecData[[#This Row],[Wind Speed min]]&gt;=$DF$3,RecData[[#This Row],[Wind Speed max]]-RecData[[#This Row],[WSpd_Avg '[m/s']]]&gt;=$DF$2),TRUE,FALSE)</f>
        <v>0</v>
      </c>
      <c r="DG807" s="2" t="b">
        <f>RecData[[#This Row],[Temperature '[°C']]]&lt;=-20</f>
        <v>0</v>
      </c>
      <c r="DH807" s="18" t="b">
        <f>NOT(OR(MOD(RecData[[#This Row],[TIMESTAMP]],1)&gt;0.91632,MOD(RecData[[#This Row],[TIMESTAMP]],1)&lt;0.208681))</f>
        <v>0</v>
      </c>
      <c r="DI807" s="18" t="b">
        <f>RecData[[#This Row],[Overall (dBA)]]-RecData[[#This Row],[L90]]&gt;=$DS$4</f>
        <v>0</v>
      </c>
      <c r="DJ807" s="18" t="b">
        <f>RecData[[#This Row],[Overall (dBA)]]&gt;$DS$2</f>
        <v>0</v>
      </c>
      <c r="DK807" s="18" t="b">
        <f>RecData[[#This Row],[Overall (dBA)]]&lt;$DS$3</f>
        <v>0</v>
      </c>
      <c r="DL8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7" s="2">
        <f>IF(AND(RecData[[#This Row],[Turbines ON/OFF]] = "OFF", NOT(OR(RecData[[#This Row],[Junk?]]="YES",RecData[[#This Row],[Gust?]],RecData[[#This Row],[Rain?]:[Min SPL Threshold?]]))),1,0)</f>
        <v>1</v>
      </c>
      <c r="DN807" s="16">
        <f>RecData[[#This Row],[dBA Sum]]</f>
        <v>18.818630662836924</v>
      </c>
      <c r="DO807" s="16">
        <f>RecData[[#This Row],[LAF90.0]]</f>
        <v>20.6</v>
      </c>
      <c r="DP807" s="55" t="str">
        <f>IF(AND(RecData[[#This Row],[Useable TON Data?]],RecData[[#This Row],[Turbines ON/OFF]]="ON"),RecData[[#This Row],[dBA Sum]],"")</f>
        <v/>
      </c>
      <c r="DQ807" s="55">
        <f>IF(AND(RecData[[#This Row],[Useable Background Data?]],RecData[[#This Row],[Turbines ON/OFF]]="OFF"),RecData[[#This Row],[dBA Sum]],"")</f>
        <v>18.818630662836924</v>
      </c>
      <c r="DR807" s="3">
        <f>IF(OR(RecData[[#This Row],[Useable TON Data?]],RecData[[#This Row],[Useable Background Data?]]),ROUND(RecData[[#This Row],[WSpd_Avg '[m/s']]],0),"")</f>
        <v>0</v>
      </c>
      <c r="DS807" s="85">
        <f>(0.00002)^2*(10^(RecData[[#This Row],[Overall (dBA)]]/10))</f>
        <v>3.0473550528867329E-8</v>
      </c>
    </row>
    <row r="808" spans="1:123" ht="15" x14ac:dyDescent="0.25">
      <c r="A808" s="3" t="s">
        <v>249</v>
      </c>
      <c r="B808" s="12">
        <v>43274.008333333331</v>
      </c>
      <c r="C808" s="3"/>
      <c r="D808" s="3">
        <v>31.7</v>
      </c>
      <c r="E808" s="3"/>
      <c r="F808" s="3"/>
      <c r="G808" s="3"/>
      <c r="H808" s="3"/>
      <c r="I808" s="3"/>
      <c r="J808" s="3"/>
      <c r="K808" s="3">
        <v>19.399999999999999</v>
      </c>
      <c r="L808" s="3"/>
      <c r="M808" s="3"/>
      <c r="N808" s="3">
        <v>133.9</v>
      </c>
      <c r="O808" s="3"/>
      <c r="P808" s="3"/>
      <c r="Q808" s="3">
        <v>0.34</v>
      </c>
      <c r="R808" s="3">
        <v>0.2</v>
      </c>
      <c r="S808" s="3">
        <v>0.4</v>
      </c>
      <c r="T808" s="3">
        <v>12</v>
      </c>
      <c r="U808" s="3">
        <v>81.099999999999994</v>
      </c>
      <c r="V808" s="3">
        <v>967.4</v>
      </c>
      <c r="W808" s="3">
        <v>0</v>
      </c>
      <c r="X808" s="3">
        <v>18.7</v>
      </c>
      <c r="Y808" s="3">
        <v>16.100000000000001</v>
      </c>
      <c r="Z808" s="3">
        <v>15.8</v>
      </c>
      <c r="AA808" s="3">
        <v>12.3</v>
      </c>
      <c r="AB808" s="3">
        <v>9.6999999999999993</v>
      </c>
      <c r="AC808" s="3">
        <v>6.7</v>
      </c>
      <c r="AD808" s="3">
        <v>7.7</v>
      </c>
      <c r="AE808" s="3">
        <v>7.6</v>
      </c>
      <c r="AF808" s="3">
        <v>9.9</v>
      </c>
      <c r="AG808" s="3">
        <v>11.4</v>
      </c>
      <c r="AH808" s="3">
        <v>14.5</v>
      </c>
      <c r="AI808" s="3">
        <v>9.6</v>
      </c>
      <c r="AJ808" s="3">
        <v>11.1</v>
      </c>
      <c r="AK808" s="3">
        <v>13.7</v>
      </c>
      <c r="AL808" s="3">
        <v>7.8</v>
      </c>
      <c r="AM808" s="3">
        <v>12.5</v>
      </c>
      <c r="AN808" s="3">
        <v>9.6999999999999993</v>
      </c>
      <c r="AO808" s="3">
        <v>11.5</v>
      </c>
      <c r="AP808" s="3">
        <v>10.7</v>
      </c>
      <c r="AQ808" s="3">
        <v>6.1</v>
      </c>
      <c r="AR808" s="3">
        <v>5.9</v>
      </c>
      <c r="AS808" s="3">
        <v>14.7</v>
      </c>
      <c r="AT808" s="3">
        <v>30.1</v>
      </c>
      <c r="AU808" s="3">
        <v>10.5</v>
      </c>
      <c r="AV808" s="3">
        <v>8.1999999999999993</v>
      </c>
      <c r="AW808" s="3">
        <v>8.6999999999999993</v>
      </c>
      <c r="AX808" s="3">
        <v>8.9</v>
      </c>
      <c r="AY808" s="3">
        <v>9.1</v>
      </c>
      <c r="AZ808" s="3">
        <v>0</v>
      </c>
      <c r="BA808" s="3">
        <v>0</v>
      </c>
      <c r="BB808" s="3">
        <v>0</v>
      </c>
      <c r="BC808" s="3">
        <v>31.766564321358342</v>
      </c>
      <c r="BD808" s="3">
        <v>18.633435678641657</v>
      </c>
      <c r="BE808" s="3">
        <v>16.033435678641656</v>
      </c>
      <c r="BF808" s="3">
        <v>14.493435678641656</v>
      </c>
      <c r="BG808" s="3">
        <v>11.320102345308324</v>
      </c>
      <c r="BH808" s="3">
        <v>8.8601023453083236</v>
      </c>
      <c r="BI808" s="3">
        <v>6.2734356786416576</v>
      </c>
      <c r="BJ808" s="3">
        <v>8.0667690119749871</v>
      </c>
      <c r="BK808" s="3">
        <v>7.8401023453083205</v>
      </c>
      <c r="BL808" s="3">
        <v>9.7134356786416625</v>
      </c>
      <c r="BM808" s="3">
        <v>11.346769011974995</v>
      </c>
      <c r="BN808" s="3">
        <v>14.730102345308328</v>
      </c>
      <c r="BO808" s="3">
        <v>9.1967690119749967</v>
      </c>
      <c r="BP808" s="3">
        <v>10.413435678641658</v>
      </c>
      <c r="BQ808" s="3">
        <v>13.430102345308317</v>
      </c>
      <c r="BR808" s="3">
        <v>7.8567690119749933</v>
      </c>
      <c r="BS808" s="3">
        <v>12.360102345308324</v>
      </c>
      <c r="BT808" s="3">
        <v>9.7567690119749919</v>
      </c>
      <c r="BU808" s="3">
        <v>11.523435678641665</v>
      </c>
      <c r="BV808" s="3">
        <v>10.440102345308322</v>
      </c>
      <c r="BW808" s="3">
        <v>6.3734356786416591</v>
      </c>
      <c r="BX808" s="3">
        <v>6.093435678641665</v>
      </c>
      <c r="BY808" s="3">
        <v>14.713435678641655</v>
      </c>
      <c r="BZ808" s="3">
        <v>30.243435678641664</v>
      </c>
      <c r="CA808" s="3">
        <v>10.743435678641649</v>
      </c>
      <c r="CB808" s="3">
        <v>7.8801023453083197</v>
      </c>
      <c r="CC808" s="3">
        <v>8.5934356786416579</v>
      </c>
      <c r="CD808" s="3">
        <v>8.1001023453083327</v>
      </c>
      <c r="CE808" s="3">
        <v>8.4934356786416565</v>
      </c>
      <c r="CF808" s="3">
        <v>-0.99323098802500809</v>
      </c>
      <c r="CG808" s="3">
        <v>-1.5265643213583395</v>
      </c>
      <c r="CH808" s="3">
        <v>-2.6032309880250075</v>
      </c>
      <c r="CI808" s="13">
        <f>[1]!dbasum(RecData[[#This Row],[20]:[2000]],RecData[[#Headers],[20]:[2000]])</f>
        <v>18.677409977349846</v>
      </c>
      <c r="CJ808" s="14">
        <v>9885</v>
      </c>
      <c r="CK808" s="15" t="s">
        <v>249</v>
      </c>
      <c r="CL808" s="15">
        <f>RecData[[#This Row],[Start Time]]</f>
        <v>43274.008333333331</v>
      </c>
      <c r="CM808" s="16">
        <f>RecData[[#This Row],[Wind Speed avg]]</f>
        <v>0.34</v>
      </c>
      <c r="CN808" s="16">
        <f>RecData[[#This Row],[Wind Dir. avg]]</f>
        <v>133.9</v>
      </c>
      <c r="CO808" s="16">
        <f>RecData[[#This Row],[Amb. Humidity]]</f>
        <v>81.099999999999994</v>
      </c>
      <c r="CP808" s="16">
        <f>RecData[[#This Row],[Amb. Temperature]]</f>
        <v>12</v>
      </c>
      <c r="CQ808" s="17">
        <f>RecData[[#This Row],[Amb. Rain Gauge]]</f>
        <v>0</v>
      </c>
      <c r="CR808" s="4" t="s">
        <v>50</v>
      </c>
      <c r="CS808" s="4" t="s">
        <v>49</v>
      </c>
      <c r="CT808" s="70">
        <v>-13.5852308273315</v>
      </c>
      <c r="CU808" s="70">
        <v>260.50036621093699</v>
      </c>
      <c r="CV808" s="70">
        <v>0.82966721057891801</v>
      </c>
      <c r="CW808" s="70">
        <v>0</v>
      </c>
      <c r="CX808" s="109"/>
      <c r="CY808" s="110"/>
      <c r="CZ808" s="2" t="b">
        <f>IF($DP$1="YES",IF(RecData[[#This Row],[Power (kW)]]&gt;=$CR$3, TRUE,FALSE),TRUE)</f>
        <v>0</v>
      </c>
      <c r="DA808" s="16">
        <f>MIN(MOD(180-ABS(ABS($DA$1-RecData[Yaw Angle (°)])-180),360),MOD(180-ABS(ABS($DB$1-RecData[Yaw Angle (°)])-180),360))</f>
        <v>107.02956056675055</v>
      </c>
      <c r="DB808" s="2" t="str">
        <f>IF($DP$2="None","None",IF(RecData[[#This Row],[Relative Wind Direction]]&lt;=45,"DW",IF(RecData[[#This Row],[Relative Wind Direction]]&lt;=135,"CW","UW")))</f>
        <v>CW</v>
      </c>
      <c r="DC808" s="61" t="e">
        <f>IF($CL808-$CL806&gt;1/24,#REF!,IF(SUM($CQ806:$CQ808)&gt;$DS$1,$DS$5,DC809-1))</f>
        <v>#REF!</v>
      </c>
      <c r="DD808" s="61">
        <f>IF($CL809-$CL808&gt;1/24,#REF!,IF(SUM($CQ806:$CQ808)&gt;$DS$1,$DS$6,DD807-1))</f>
        <v>-3</v>
      </c>
      <c r="DE808" s="18" t="b">
        <v>0</v>
      </c>
      <c r="DF808" s="2" t="b">
        <f>IF(OR(RecData[[#This Row],[WSpd_Avg '[m/s']]]-RecData[[#This Row],[Wind Speed min]]&gt;=$DF$3,RecData[[#This Row],[Wind Speed max]]-RecData[[#This Row],[WSpd_Avg '[m/s']]]&gt;=$DF$2),TRUE,FALSE)</f>
        <v>0</v>
      </c>
      <c r="DG808" s="2" t="b">
        <f>RecData[[#This Row],[Temperature '[°C']]]&lt;=-20</f>
        <v>0</v>
      </c>
      <c r="DH808" s="18" t="b">
        <f>NOT(OR(MOD(RecData[[#This Row],[TIMESTAMP]],1)&gt;0.91632,MOD(RecData[[#This Row],[TIMESTAMP]],1)&lt;0.208681))</f>
        <v>0</v>
      </c>
      <c r="DI808" s="18" t="b">
        <f>RecData[[#This Row],[Overall (dBA)]]-RecData[[#This Row],[L90]]&gt;=$DS$4</f>
        <v>0</v>
      </c>
      <c r="DJ808" s="18" t="b">
        <f>RecData[[#This Row],[Overall (dBA)]]&gt;$DS$2</f>
        <v>0</v>
      </c>
      <c r="DK808" s="18" t="b">
        <f>RecData[[#This Row],[Overall (dBA)]]&lt;$DS$3</f>
        <v>0</v>
      </c>
      <c r="DL8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8" s="2">
        <f>IF(AND(RecData[[#This Row],[Turbines ON/OFF]] = "OFF", NOT(OR(RecData[[#This Row],[Junk?]]="YES",RecData[[#This Row],[Gust?]],RecData[[#This Row],[Rain?]:[Min SPL Threshold?]]))),1,0)</f>
        <v>1</v>
      </c>
      <c r="DN808" s="16">
        <f>RecData[[#This Row],[dBA Sum]]</f>
        <v>18.677409977349846</v>
      </c>
      <c r="DO808" s="16">
        <f>RecData[[#This Row],[LAF90.0]]</f>
        <v>19.399999999999999</v>
      </c>
      <c r="DP808" s="55" t="str">
        <f>IF(AND(RecData[[#This Row],[Useable TON Data?]],RecData[[#This Row],[Turbines ON/OFF]]="ON"),RecData[[#This Row],[dBA Sum]],"")</f>
        <v/>
      </c>
      <c r="DQ808" s="55">
        <f>IF(AND(RecData[[#This Row],[Useable Background Data?]],RecData[[#This Row],[Turbines ON/OFF]]="OFF"),RecData[[#This Row],[dBA Sum]],"")</f>
        <v>18.677409977349846</v>
      </c>
      <c r="DR808" s="3">
        <f>IF(OR(RecData[[#This Row],[Useable TON Data?]],RecData[[#This Row],[Useable Background Data?]]),ROUND(RecData[[#This Row],[WSpd_Avg '[m/s']]],0),"")</f>
        <v>0</v>
      </c>
      <c r="DS808" s="85">
        <f>(0.00002)^2*(10^(RecData[[#This Row],[Overall (dBA)]]/10))</f>
        <v>2.9498571754860358E-8</v>
      </c>
    </row>
    <row r="809" spans="1:123" ht="15" x14ac:dyDescent="0.25">
      <c r="A809" s="3" t="s">
        <v>249</v>
      </c>
      <c r="B809" s="12">
        <v>43274.009027777778</v>
      </c>
      <c r="C809" s="3"/>
      <c r="D809" s="3">
        <v>30.6</v>
      </c>
      <c r="E809" s="3"/>
      <c r="F809" s="3"/>
      <c r="G809" s="3"/>
      <c r="H809" s="3"/>
      <c r="I809" s="3"/>
      <c r="J809" s="3"/>
      <c r="K809" s="3">
        <v>22.3</v>
      </c>
      <c r="L809" s="3"/>
      <c r="M809" s="3"/>
      <c r="N809" s="3">
        <v>130.9</v>
      </c>
      <c r="O809" s="3"/>
      <c r="P809" s="3"/>
      <c r="Q809" s="3">
        <v>0.43</v>
      </c>
      <c r="R809" s="3">
        <v>0.3</v>
      </c>
      <c r="S809" s="3">
        <v>0.6</v>
      </c>
      <c r="T809" s="3">
        <v>12</v>
      </c>
      <c r="U809" s="3">
        <v>81.400000000000006</v>
      </c>
      <c r="V809" s="3">
        <v>967.4</v>
      </c>
      <c r="W809" s="3">
        <v>0</v>
      </c>
      <c r="X809" s="3">
        <v>17</v>
      </c>
      <c r="Y809" s="3">
        <v>15.4</v>
      </c>
      <c r="Z809" s="3">
        <v>16.600000000000001</v>
      </c>
      <c r="AA809" s="3">
        <v>13.2</v>
      </c>
      <c r="AB809" s="3">
        <v>9.9</v>
      </c>
      <c r="AC809" s="3">
        <v>6.3</v>
      </c>
      <c r="AD809" s="3">
        <v>13</v>
      </c>
      <c r="AE809" s="3">
        <v>11.2</v>
      </c>
      <c r="AF809" s="3">
        <v>13.3</v>
      </c>
      <c r="AG809" s="3">
        <v>17.8</v>
      </c>
      <c r="AH809" s="3">
        <v>18.8</v>
      </c>
      <c r="AI809" s="3">
        <v>14.3</v>
      </c>
      <c r="AJ809" s="3">
        <v>16</v>
      </c>
      <c r="AK809" s="3">
        <v>20.8</v>
      </c>
      <c r="AL809" s="3">
        <v>12.9</v>
      </c>
      <c r="AM809" s="3">
        <v>17.8</v>
      </c>
      <c r="AN809" s="3">
        <v>15.4</v>
      </c>
      <c r="AO809" s="3">
        <v>17.899999999999999</v>
      </c>
      <c r="AP809" s="3">
        <v>15.9</v>
      </c>
      <c r="AQ809" s="3">
        <v>6.7</v>
      </c>
      <c r="AR809" s="3">
        <v>6.1</v>
      </c>
      <c r="AS809" s="3">
        <v>12.9</v>
      </c>
      <c r="AT809" s="3">
        <v>28</v>
      </c>
      <c r="AU809" s="3">
        <v>9.6999999999999993</v>
      </c>
      <c r="AV809" s="3">
        <v>8.1</v>
      </c>
      <c r="AW809" s="3">
        <v>8.6</v>
      </c>
      <c r="AX809" s="3">
        <v>8.8000000000000007</v>
      </c>
      <c r="AY809" s="3">
        <v>9.1</v>
      </c>
      <c r="AZ809" s="3">
        <v>0</v>
      </c>
      <c r="BA809" s="3">
        <v>0</v>
      </c>
      <c r="BB809" s="3">
        <v>0</v>
      </c>
      <c r="BC809" s="3">
        <v>30.607314523033359</v>
      </c>
      <c r="BD809" s="3">
        <v>16.992685476966642</v>
      </c>
      <c r="BE809" s="3">
        <v>15.392685476966641</v>
      </c>
      <c r="BF809" s="3">
        <v>15.352685476966641</v>
      </c>
      <c r="BG809" s="3">
        <v>12.279352143633304</v>
      </c>
      <c r="BH809" s="3">
        <v>9.1193521436333143</v>
      </c>
      <c r="BI809" s="3">
        <v>5.9326854769666397</v>
      </c>
      <c r="BJ809" s="3">
        <v>13.426018810299972</v>
      </c>
      <c r="BK809" s="3">
        <v>11.499352143633303</v>
      </c>
      <c r="BL809" s="3">
        <v>13.172685476966642</v>
      </c>
      <c r="BM809" s="3">
        <v>17.806018810299982</v>
      </c>
      <c r="BN809" s="3">
        <v>19.089352143633313</v>
      </c>
      <c r="BO809" s="3">
        <v>13.95601881029998</v>
      </c>
      <c r="BP809" s="3">
        <v>15.372685476966645</v>
      </c>
      <c r="BQ809" s="3">
        <v>20.589352143633299</v>
      </c>
      <c r="BR809" s="3">
        <v>13.016018810299975</v>
      </c>
      <c r="BS809" s="3">
        <v>17.719352143633309</v>
      </c>
      <c r="BT809" s="3">
        <v>15.516018810299975</v>
      </c>
      <c r="BU809" s="3">
        <v>17.982685476966644</v>
      </c>
      <c r="BV809" s="3">
        <v>15.699352143633313</v>
      </c>
      <c r="BW809" s="3">
        <v>7.0326854769666483</v>
      </c>
      <c r="BX809" s="3">
        <v>6.3526854769666485</v>
      </c>
      <c r="BY809" s="3">
        <v>12.972685476966639</v>
      </c>
      <c r="BZ809" s="3">
        <v>28.202685476966643</v>
      </c>
      <c r="CA809" s="3">
        <v>10.002685476966633</v>
      </c>
      <c r="CB809" s="3">
        <v>7.839352143633306</v>
      </c>
      <c r="CC809" s="3">
        <v>8.5526854769666372</v>
      </c>
      <c r="CD809" s="3">
        <v>8.059352143633312</v>
      </c>
      <c r="CE809" s="3">
        <v>8.5526854769666372</v>
      </c>
      <c r="CF809" s="3">
        <v>-0.93398118970002386</v>
      </c>
      <c r="CG809" s="3">
        <v>-1.4673145230333553</v>
      </c>
      <c r="CH809" s="3">
        <v>-2.5439811897000233</v>
      </c>
      <c r="CI809" s="13">
        <f>[1]!dbasum(RecData[[#This Row],[20]:[2000]],RecData[[#Headers],[20]:[2000]])</f>
        <v>24.042414399134209</v>
      </c>
      <c r="CJ809" s="14">
        <v>9886</v>
      </c>
      <c r="CK809" s="15" t="s">
        <v>249</v>
      </c>
      <c r="CL809" s="15">
        <f>RecData[[#This Row],[Start Time]]</f>
        <v>43274.009027777778</v>
      </c>
      <c r="CM809" s="16">
        <f>RecData[[#This Row],[Wind Speed avg]]</f>
        <v>0.43</v>
      </c>
      <c r="CN809" s="16">
        <f>RecData[[#This Row],[Wind Dir. avg]]</f>
        <v>130.9</v>
      </c>
      <c r="CO809" s="16">
        <f>RecData[[#This Row],[Amb. Humidity]]</f>
        <v>81.400000000000006</v>
      </c>
      <c r="CP809" s="16">
        <f>RecData[[#This Row],[Amb. Temperature]]</f>
        <v>12</v>
      </c>
      <c r="CQ809" s="17">
        <f>RecData[[#This Row],[Amb. Rain Gauge]]</f>
        <v>0</v>
      </c>
      <c r="CR809" s="4" t="s">
        <v>50</v>
      </c>
      <c r="CS809" s="4" t="s">
        <v>49</v>
      </c>
      <c r="CT809" s="70">
        <v>-13.5852308273315</v>
      </c>
      <c r="CU809" s="70">
        <v>260.50036621093699</v>
      </c>
      <c r="CV809" s="70">
        <v>0.82966721057891801</v>
      </c>
      <c r="CW809" s="70">
        <v>0</v>
      </c>
      <c r="CX809" s="109"/>
      <c r="CY809" s="110"/>
      <c r="CZ809" s="2" t="b">
        <f>IF($DP$1="YES",IF(RecData[[#This Row],[Power (kW)]]&gt;=$CR$3, TRUE,FALSE),TRUE)</f>
        <v>0</v>
      </c>
      <c r="DA809" s="16">
        <f>MIN(MOD(180-ABS(ABS($DA$1-RecData[Yaw Angle (°)])-180),360),MOD(180-ABS(ABS($DB$1-RecData[Yaw Angle (°)])-180),360))</f>
        <v>107.02956056675055</v>
      </c>
      <c r="DB809" s="2" t="str">
        <f>IF($DP$2="None","None",IF(RecData[[#This Row],[Relative Wind Direction]]&lt;=45,"DW",IF(RecData[[#This Row],[Relative Wind Direction]]&lt;=135,"CW","UW")))</f>
        <v>CW</v>
      </c>
      <c r="DC809" s="61" t="e">
        <f>IF($CL809-$CL806&gt;1/24,#REF!,IF(SUM($CQ806:$CQ809)&gt;$DS$1,$DS$5,DC810-1))</f>
        <v>#REF!</v>
      </c>
      <c r="DD809" s="61">
        <f>IF($CL810-$CL809&gt;1/24,#REF!,IF(SUM($CQ806:$CQ809)&gt;$DS$1,$DS$6,DD808-1))</f>
        <v>-4</v>
      </c>
      <c r="DE809" s="18" t="b">
        <v>0</v>
      </c>
      <c r="DF809" s="2" t="b">
        <f>IF(OR(RecData[[#This Row],[WSpd_Avg '[m/s']]]-RecData[[#This Row],[Wind Speed min]]&gt;=$DF$3,RecData[[#This Row],[Wind Speed max]]-RecData[[#This Row],[WSpd_Avg '[m/s']]]&gt;=$DF$2),TRUE,FALSE)</f>
        <v>0</v>
      </c>
      <c r="DG809" s="2" t="b">
        <f>RecData[[#This Row],[Temperature '[°C']]]&lt;=-20</f>
        <v>0</v>
      </c>
      <c r="DH809" s="18" t="b">
        <f>NOT(OR(MOD(RecData[[#This Row],[TIMESTAMP]],1)&gt;0.91632,MOD(RecData[[#This Row],[TIMESTAMP]],1)&lt;0.208681))</f>
        <v>0</v>
      </c>
      <c r="DI809" s="18" t="b">
        <f>RecData[[#This Row],[Overall (dBA)]]-RecData[[#This Row],[L90]]&gt;=$DS$4</f>
        <v>0</v>
      </c>
      <c r="DJ809" s="18" t="b">
        <f>RecData[[#This Row],[Overall (dBA)]]&gt;$DS$2</f>
        <v>0</v>
      </c>
      <c r="DK809" s="18" t="b">
        <f>RecData[[#This Row],[Overall (dBA)]]&lt;$DS$3</f>
        <v>0</v>
      </c>
      <c r="DL8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09" s="2">
        <f>IF(AND(RecData[[#This Row],[Turbines ON/OFF]] = "OFF", NOT(OR(RecData[[#This Row],[Junk?]]="YES",RecData[[#This Row],[Gust?]],RecData[[#This Row],[Rain?]:[Min SPL Threshold?]]))),1,0)</f>
        <v>1</v>
      </c>
      <c r="DN809" s="16">
        <f>RecData[[#This Row],[dBA Sum]]</f>
        <v>24.042414399134209</v>
      </c>
      <c r="DO809" s="16">
        <f>RecData[[#This Row],[LAF90.0]]</f>
        <v>22.3</v>
      </c>
      <c r="DP809" s="55" t="str">
        <f>IF(AND(RecData[[#This Row],[Useable TON Data?]],RecData[[#This Row],[Turbines ON/OFF]]="ON"),RecData[[#This Row],[dBA Sum]],"")</f>
        <v/>
      </c>
      <c r="DQ809" s="55">
        <f>IF(AND(RecData[[#This Row],[Useable Background Data?]],RecData[[#This Row],[Turbines ON/OFF]]="OFF"),RecData[[#This Row],[dBA Sum]],"")</f>
        <v>24.042414399134209</v>
      </c>
      <c r="DR809" s="3">
        <f>IF(OR(RecData[[#This Row],[Useable TON Data?]],RecData[[#This Row],[Useable Background Data?]]),ROUND(RecData[[#This Row],[WSpd_Avg '[m/s']]],0),"")</f>
        <v>0</v>
      </c>
      <c r="DS809" s="85">
        <f>(0.00002)^2*(10^(RecData[[#This Row],[Overall (dBA)]]/10))</f>
        <v>1.0146153565848601E-7</v>
      </c>
    </row>
    <row r="810" spans="1:123" ht="15" x14ac:dyDescent="0.25">
      <c r="A810" s="3" t="s">
        <v>249</v>
      </c>
      <c r="B810" s="12">
        <v>43274.009722222225</v>
      </c>
      <c r="C810" s="3"/>
      <c r="D810" s="3">
        <v>31</v>
      </c>
      <c r="E810" s="3"/>
      <c r="F810" s="3"/>
      <c r="G810" s="3"/>
      <c r="H810" s="3"/>
      <c r="I810" s="3"/>
      <c r="J810" s="3"/>
      <c r="K810" s="3">
        <v>25.6</v>
      </c>
      <c r="L810" s="3"/>
      <c r="M810" s="3"/>
      <c r="N810" s="3">
        <v>124.9</v>
      </c>
      <c r="O810" s="3"/>
      <c r="P810" s="3"/>
      <c r="Q810" s="3">
        <v>0.41</v>
      </c>
      <c r="R810" s="3">
        <v>0.3</v>
      </c>
      <c r="S810" s="3">
        <v>0.6</v>
      </c>
      <c r="T810" s="3">
        <v>12</v>
      </c>
      <c r="U810" s="3">
        <v>80.900000000000006</v>
      </c>
      <c r="V810" s="3">
        <v>967.3</v>
      </c>
      <c r="W810" s="3">
        <v>0</v>
      </c>
      <c r="X810" s="3">
        <v>17.5</v>
      </c>
      <c r="Y810" s="3">
        <v>15</v>
      </c>
      <c r="Z810" s="3">
        <v>15.6</v>
      </c>
      <c r="AA810" s="3">
        <v>12.4</v>
      </c>
      <c r="AB810" s="3">
        <v>9.3000000000000007</v>
      </c>
      <c r="AC810" s="3">
        <v>7.3</v>
      </c>
      <c r="AD810" s="3">
        <v>15.3</v>
      </c>
      <c r="AE810" s="3">
        <v>12.4</v>
      </c>
      <c r="AF810" s="3">
        <v>15.9</v>
      </c>
      <c r="AG810" s="3">
        <v>18.3</v>
      </c>
      <c r="AH810" s="3">
        <v>19.3</v>
      </c>
      <c r="AI810" s="3">
        <v>17.399999999999999</v>
      </c>
      <c r="AJ810" s="3">
        <v>15.1</v>
      </c>
      <c r="AK810" s="3">
        <v>21.1</v>
      </c>
      <c r="AL810" s="3">
        <v>13.9</v>
      </c>
      <c r="AM810" s="3">
        <v>21</v>
      </c>
      <c r="AN810" s="3">
        <v>20</v>
      </c>
      <c r="AO810" s="3">
        <v>19</v>
      </c>
      <c r="AP810" s="3">
        <v>17.5</v>
      </c>
      <c r="AQ810" s="3">
        <v>7.5</v>
      </c>
      <c r="AR810" s="3">
        <v>6.4</v>
      </c>
      <c r="AS810" s="3">
        <v>12.5</v>
      </c>
      <c r="AT810" s="3">
        <v>27.9</v>
      </c>
      <c r="AU810" s="3">
        <v>9</v>
      </c>
      <c r="AV810" s="3">
        <v>8.1</v>
      </c>
      <c r="AW810" s="3">
        <v>8.6</v>
      </c>
      <c r="AX810" s="3">
        <v>8.9</v>
      </c>
      <c r="AY810" s="3">
        <v>9.1</v>
      </c>
      <c r="AZ810" s="3">
        <v>0</v>
      </c>
      <c r="BA810" s="3">
        <v>0</v>
      </c>
      <c r="BB810" s="3">
        <v>0</v>
      </c>
      <c r="BC810" s="3">
        <v>31.045107766138443</v>
      </c>
      <c r="BD810" s="3">
        <v>17.454892233861557</v>
      </c>
      <c r="BE810" s="3">
        <v>14.954892233861557</v>
      </c>
      <c r="BF810" s="3">
        <v>14.314892233861556</v>
      </c>
      <c r="BG810" s="3">
        <v>11.441558900528221</v>
      </c>
      <c r="BH810" s="3">
        <v>8.4815589005282277</v>
      </c>
      <c r="BI810" s="3">
        <v>6.8948922338615546</v>
      </c>
      <c r="BJ810" s="3">
        <v>15.688225567194891</v>
      </c>
      <c r="BK810" s="3">
        <v>12.66155890052822</v>
      </c>
      <c r="BL810" s="3">
        <v>15.734892233861558</v>
      </c>
      <c r="BM810" s="3">
        <v>18.268225567194889</v>
      </c>
      <c r="BN810" s="3">
        <v>19.551558900528221</v>
      </c>
      <c r="BO810" s="3">
        <v>17.018225567194889</v>
      </c>
      <c r="BP810" s="3">
        <v>14.434892233861561</v>
      </c>
      <c r="BQ810" s="3">
        <v>20.851558900528218</v>
      </c>
      <c r="BR810" s="3">
        <v>13.97822556719489</v>
      </c>
      <c r="BS810" s="3">
        <v>20.881558900528219</v>
      </c>
      <c r="BT810" s="3">
        <v>20.078225567194892</v>
      </c>
      <c r="BU810" s="3">
        <v>19.04489223386156</v>
      </c>
      <c r="BV810" s="3">
        <v>17.261558900528229</v>
      </c>
      <c r="BW810" s="3">
        <v>7.7948922338615603</v>
      </c>
      <c r="BX810" s="3">
        <v>6.6148922338615606</v>
      </c>
      <c r="BY810" s="3">
        <v>12.534892233861555</v>
      </c>
      <c r="BZ810" s="3">
        <v>28.064892233861556</v>
      </c>
      <c r="CA810" s="3">
        <v>9.264892233861552</v>
      </c>
      <c r="CB810" s="3">
        <v>7.8015589005282209</v>
      </c>
      <c r="CC810" s="3">
        <v>8.5148922338615591</v>
      </c>
      <c r="CD810" s="3">
        <v>8.1215589005282283</v>
      </c>
      <c r="CE810" s="3">
        <v>8.5148922338615591</v>
      </c>
      <c r="CF810" s="3">
        <v>-0.971774432805109</v>
      </c>
      <c r="CG810" s="3">
        <v>-1.5051077661384404</v>
      </c>
      <c r="CH810" s="3">
        <v>-2.5817744328051084</v>
      </c>
      <c r="CI810" s="13">
        <f>[1]!dbasum(RecData[[#This Row],[20]:[2000]],RecData[[#Headers],[20]:[2000]])</f>
        <v>25.96780923627766</v>
      </c>
      <c r="CJ810" s="14">
        <v>9887</v>
      </c>
      <c r="CK810" s="15" t="s">
        <v>249</v>
      </c>
      <c r="CL810" s="15">
        <f>RecData[[#This Row],[Start Time]]</f>
        <v>43274.009722222225</v>
      </c>
      <c r="CM810" s="16">
        <f>RecData[[#This Row],[Wind Speed avg]]</f>
        <v>0.41</v>
      </c>
      <c r="CN810" s="16">
        <f>RecData[[#This Row],[Wind Dir. avg]]</f>
        <v>124.9</v>
      </c>
      <c r="CO810" s="16">
        <f>RecData[[#This Row],[Amb. Humidity]]</f>
        <v>80.900000000000006</v>
      </c>
      <c r="CP810" s="16">
        <f>RecData[[#This Row],[Amb. Temperature]]</f>
        <v>12</v>
      </c>
      <c r="CQ810" s="17">
        <f>RecData[[#This Row],[Amb. Rain Gauge]]</f>
        <v>0</v>
      </c>
      <c r="CR810" s="4" t="s">
        <v>50</v>
      </c>
      <c r="CS810" s="4" t="s">
        <v>49</v>
      </c>
      <c r="CT810" s="70">
        <v>-13.5852308273315</v>
      </c>
      <c r="CU810" s="70">
        <v>260.50036621093699</v>
      </c>
      <c r="CV810" s="70">
        <v>0.82966721057891801</v>
      </c>
      <c r="CW810" s="70">
        <v>0</v>
      </c>
      <c r="CX810" s="109"/>
      <c r="CY810" s="110"/>
      <c r="CZ810" s="2" t="b">
        <f>IF($DP$1="YES",IF(RecData[[#This Row],[Power (kW)]]&gt;=$CR$3, TRUE,FALSE),TRUE)</f>
        <v>0</v>
      </c>
      <c r="DA810" s="16">
        <f>MIN(MOD(180-ABS(ABS($DA$1-RecData[Yaw Angle (°)])-180),360),MOD(180-ABS(ABS($DB$1-RecData[Yaw Angle (°)])-180),360))</f>
        <v>107.02956056675055</v>
      </c>
      <c r="DB810" s="2" t="str">
        <f>IF($DP$2="None","None",IF(RecData[[#This Row],[Relative Wind Direction]]&lt;=45,"DW",IF(RecData[[#This Row],[Relative Wind Direction]]&lt;=135,"CW","UW")))</f>
        <v>CW</v>
      </c>
      <c r="DC810" s="61" t="e">
        <f>IF($CL810-$CL806&gt;1/24,#REF!,IF(SUM($CQ806:$CQ810)&gt;$DS$1,$DS$5,DC811-1))</f>
        <v>#REF!</v>
      </c>
      <c r="DD810" s="61">
        <f>IF($CL811-$CL810&gt;1/24,#REF!,IF(SUM($CQ806:$CQ810)&gt;$DS$1,$DS$6,DD809-1))</f>
        <v>-5</v>
      </c>
      <c r="DE810" s="18" t="b">
        <v>0</v>
      </c>
      <c r="DF810" s="2" t="b">
        <f>IF(OR(RecData[[#This Row],[WSpd_Avg '[m/s']]]-RecData[[#This Row],[Wind Speed min]]&gt;=$DF$3,RecData[[#This Row],[Wind Speed max]]-RecData[[#This Row],[WSpd_Avg '[m/s']]]&gt;=$DF$2),TRUE,FALSE)</f>
        <v>0</v>
      </c>
      <c r="DG810" s="2" t="b">
        <f>RecData[[#This Row],[Temperature '[°C']]]&lt;=-20</f>
        <v>0</v>
      </c>
      <c r="DH810" s="18" t="b">
        <f>NOT(OR(MOD(RecData[[#This Row],[TIMESTAMP]],1)&gt;0.91632,MOD(RecData[[#This Row],[TIMESTAMP]],1)&lt;0.208681))</f>
        <v>0</v>
      </c>
      <c r="DI810" s="18" t="b">
        <f>RecData[[#This Row],[Overall (dBA)]]-RecData[[#This Row],[L90]]&gt;=$DS$4</f>
        <v>0</v>
      </c>
      <c r="DJ810" s="18" t="b">
        <f>RecData[[#This Row],[Overall (dBA)]]&gt;$DS$2</f>
        <v>0</v>
      </c>
      <c r="DK810" s="18" t="b">
        <f>RecData[[#This Row],[Overall (dBA)]]&lt;$DS$3</f>
        <v>0</v>
      </c>
      <c r="DL8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0" s="2">
        <f>IF(AND(RecData[[#This Row],[Turbines ON/OFF]] = "OFF", NOT(OR(RecData[[#This Row],[Junk?]]="YES",RecData[[#This Row],[Gust?]],RecData[[#This Row],[Rain?]:[Min SPL Threshold?]]))),1,0)</f>
        <v>1</v>
      </c>
      <c r="DN810" s="16">
        <f>RecData[[#This Row],[dBA Sum]]</f>
        <v>25.96780923627766</v>
      </c>
      <c r="DO810" s="16">
        <f>RecData[[#This Row],[LAF90.0]]</f>
        <v>25.6</v>
      </c>
      <c r="DP810" s="55" t="str">
        <f>IF(AND(RecData[[#This Row],[Useable TON Data?]],RecData[[#This Row],[Turbines ON/OFF]]="ON"),RecData[[#This Row],[dBA Sum]],"")</f>
        <v/>
      </c>
      <c r="DQ810" s="55">
        <f>IF(AND(RecData[[#This Row],[Useable Background Data?]],RecData[[#This Row],[Turbines ON/OFF]]="OFF"),RecData[[#This Row],[dBA Sum]],"")</f>
        <v>25.96780923627766</v>
      </c>
      <c r="DR810" s="3">
        <f>IF(OR(RecData[[#This Row],[Useable TON Data?]],RecData[[#This Row],[Useable Background Data?]]),ROUND(RecData[[#This Row],[WSpd_Avg '[m/s']]],0),"")</f>
        <v>0</v>
      </c>
      <c r="DS810" s="85">
        <f>(0.00002)^2*(10^(RecData[[#This Row],[Overall (dBA)]]/10))</f>
        <v>1.5806689233532853E-7</v>
      </c>
    </row>
    <row r="811" spans="1:123" ht="15" x14ac:dyDescent="0.25">
      <c r="A811" s="3" t="s">
        <v>249</v>
      </c>
      <c r="B811" s="12">
        <v>43274.010416666664</v>
      </c>
      <c r="C811" s="3"/>
      <c r="D811" s="3">
        <v>30.6</v>
      </c>
      <c r="E811" s="3"/>
      <c r="F811" s="3"/>
      <c r="G811" s="3"/>
      <c r="H811" s="3"/>
      <c r="I811" s="3"/>
      <c r="J811" s="3"/>
      <c r="K811" s="3">
        <v>24.3</v>
      </c>
      <c r="L811" s="3"/>
      <c r="M811" s="3"/>
      <c r="N811" s="3">
        <v>140.4</v>
      </c>
      <c r="O811" s="3"/>
      <c r="P811" s="3"/>
      <c r="Q811" s="3">
        <v>0.5</v>
      </c>
      <c r="R811" s="3">
        <v>0.4</v>
      </c>
      <c r="S811" s="3">
        <v>0.6</v>
      </c>
      <c r="T811" s="3">
        <v>12</v>
      </c>
      <c r="U811" s="3">
        <v>81</v>
      </c>
      <c r="V811" s="3">
        <v>967.3</v>
      </c>
      <c r="W811" s="3">
        <v>0</v>
      </c>
      <c r="X811" s="3">
        <v>15.8</v>
      </c>
      <c r="Y811" s="3">
        <v>13.4</v>
      </c>
      <c r="Z811" s="3">
        <v>13.6</v>
      </c>
      <c r="AA811" s="3">
        <v>11.8</v>
      </c>
      <c r="AB811" s="3">
        <v>8.9</v>
      </c>
      <c r="AC811" s="3">
        <v>6.7</v>
      </c>
      <c r="AD811" s="3">
        <v>13.4</v>
      </c>
      <c r="AE811" s="3">
        <v>12.6</v>
      </c>
      <c r="AF811" s="3">
        <v>15.7</v>
      </c>
      <c r="AG811" s="3">
        <v>16.3</v>
      </c>
      <c r="AH811" s="3">
        <v>18.3</v>
      </c>
      <c r="AI811" s="3">
        <v>16.3</v>
      </c>
      <c r="AJ811" s="3">
        <v>15.1</v>
      </c>
      <c r="AK811" s="3">
        <v>18.7</v>
      </c>
      <c r="AL811" s="3">
        <v>13.3</v>
      </c>
      <c r="AM811" s="3">
        <v>22.1</v>
      </c>
      <c r="AN811" s="3">
        <v>17.8</v>
      </c>
      <c r="AO811" s="3">
        <v>18.7</v>
      </c>
      <c r="AP811" s="3">
        <v>16.5</v>
      </c>
      <c r="AQ811" s="3">
        <v>7.2</v>
      </c>
      <c r="AR811" s="3">
        <v>6.7</v>
      </c>
      <c r="AS811" s="3">
        <v>9.6999999999999993</v>
      </c>
      <c r="AT811" s="3">
        <v>27.5</v>
      </c>
      <c r="AU811" s="3">
        <v>9.3000000000000007</v>
      </c>
      <c r="AV811" s="3">
        <v>8.1</v>
      </c>
      <c r="AW811" s="3">
        <v>8.6999999999999993</v>
      </c>
      <c r="AX811" s="3">
        <v>8.9</v>
      </c>
      <c r="AY811" s="3">
        <v>9.1</v>
      </c>
      <c r="AZ811" s="3">
        <v>0</v>
      </c>
      <c r="BA811" s="3">
        <v>0</v>
      </c>
      <c r="BB811" s="3">
        <v>0</v>
      </c>
      <c r="BC811" s="3">
        <v>30.560664457578785</v>
      </c>
      <c r="BD811" s="3">
        <v>15.839335542421221</v>
      </c>
      <c r="BE811" s="3">
        <v>13.439335542421215</v>
      </c>
      <c r="BF811" s="3">
        <v>12.399335542421216</v>
      </c>
      <c r="BG811" s="3">
        <v>10.92600220908788</v>
      </c>
      <c r="BH811" s="3">
        <v>8.166002209087889</v>
      </c>
      <c r="BI811" s="3">
        <v>6.3793355424212201</v>
      </c>
      <c r="BJ811" s="3">
        <v>13.872668875754552</v>
      </c>
      <c r="BK811" s="3">
        <v>12.946002209087876</v>
      </c>
      <c r="BL811" s="3">
        <v>15.619335542421215</v>
      </c>
      <c r="BM811" s="3">
        <v>16.352668875754556</v>
      </c>
      <c r="BN811" s="3">
        <v>18.636002209087888</v>
      </c>
      <c r="BO811" s="3">
        <v>16.002668875754555</v>
      </c>
      <c r="BP811" s="3">
        <v>14.519335542421214</v>
      </c>
      <c r="BQ811" s="3">
        <v>18.536002209087872</v>
      </c>
      <c r="BR811" s="3">
        <v>13.462668875754556</v>
      </c>
      <c r="BS811" s="3">
        <v>22.06600220908788</v>
      </c>
      <c r="BT811" s="3">
        <v>17.962668875754556</v>
      </c>
      <c r="BU811" s="3">
        <v>18.829335542421216</v>
      </c>
      <c r="BV811" s="3">
        <v>16.346002209087882</v>
      </c>
      <c r="BW811" s="3">
        <v>7.579335542421223</v>
      </c>
      <c r="BX811" s="3">
        <v>6.9993355424212247</v>
      </c>
      <c r="BY811" s="3">
        <v>9.8193355424212108</v>
      </c>
      <c r="BZ811" s="3">
        <v>27.749335542421218</v>
      </c>
      <c r="CA811" s="3">
        <v>9.6493355424212091</v>
      </c>
      <c r="CB811" s="3">
        <v>7.8860022090878807</v>
      </c>
      <c r="CC811" s="3">
        <v>8.6993355424212133</v>
      </c>
      <c r="CD811" s="3">
        <v>8.2060022090878881</v>
      </c>
      <c r="CE811" s="3">
        <v>8.5993355424212119</v>
      </c>
      <c r="CF811" s="3">
        <v>-0.88733112424544913</v>
      </c>
      <c r="CG811" s="3">
        <v>-1.4206644575787806</v>
      </c>
      <c r="CH811" s="3">
        <v>-2.4973311242454486</v>
      </c>
      <c r="CI811" s="13">
        <f>[1]!dbasum(RecData[[#This Row],[20]:[2000]],RecData[[#Headers],[20]:[2000]])</f>
        <v>25.440827131393988</v>
      </c>
      <c r="CJ811" s="14">
        <v>9888</v>
      </c>
      <c r="CK811" s="15" t="s">
        <v>249</v>
      </c>
      <c r="CL811" s="15">
        <f>RecData[[#This Row],[Start Time]]</f>
        <v>43274.010416666664</v>
      </c>
      <c r="CM811" s="16">
        <f>RecData[[#This Row],[Wind Speed avg]]</f>
        <v>0.5</v>
      </c>
      <c r="CN811" s="16">
        <f>RecData[[#This Row],[Wind Dir. avg]]</f>
        <v>140.4</v>
      </c>
      <c r="CO811" s="16">
        <f>RecData[[#This Row],[Amb. Humidity]]</f>
        <v>81</v>
      </c>
      <c r="CP811" s="16">
        <f>RecData[[#This Row],[Amb. Temperature]]</f>
        <v>12</v>
      </c>
      <c r="CQ811" s="17">
        <f>RecData[[#This Row],[Amb. Rain Gauge]]</f>
        <v>0</v>
      </c>
      <c r="CR811" s="4" t="s">
        <v>50</v>
      </c>
      <c r="CS811" s="4" t="s">
        <v>49</v>
      </c>
      <c r="CT811" s="70">
        <v>-13.5852308273315</v>
      </c>
      <c r="CU811" s="70">
        <v>260.50036621093699</v>
      </c>
      <c r="CV811" s="70">
        <v>0.82966721057891801</v>
      </c>
      <c r="CW811" s="70">
        <v>0</v>
      </c>
      <c r="CX811" s="109"/>
      <c r="CY811" s="110"/>
      <c r="CZ811" s="2" t="b">
        <f>IF($DP$1="YES",IF(RecData[[#This Row],[Power (kW)]]&gt;=$CR$3, TRUE,FALSE),TRUE)</f>
        <v>0</v>
      </c>
      <c r="DA811" s="16">
        <f>MIN(MOD(180-ABS(ABS($DA$1-RecData[Yaw Angle (°)])-180),360),MOD(180-ABS(ABS($DB$1-RecData[Yaw Angle (°)])-180),360))</f>
        <v>107.02956056675055</v>
      </c>
      <c r="DB811" s="2" t="str">
        <f>IF($DP$2="None","None",IF(RecData[[#This Row],[Relative Wind Direction]]&lt;=45,"DW",IF(RecData[[#This Row],[Relative Wind Direction]]&lt;=135,"CW","UW")))</f>
        <v>CW</v>
      </c>
      <c r="DC811" s="61" t="e">
        <f>IF($CL811-$CL807&gt;1/24,#REF!,IF(SUM($CQ807:$CQ811)&gt;$DS$1,$DS$5,DC812-1))</f>
        <v>#REF!</v>
      </c>
      <c r="DD811" s="61">
        <f>IF($CL812-$CL811&gt;1/24,#REF!,IF(SUM($CQ807:$CQ811)&gt;$DS$1,$DS$6,DD810-1))</f>
        <v>-6</v>
      </c>
      <c r="DE811" s="18" t="b">
        <v>0</v>
      </c>
      <c r="DF811" s="2" t="b">
        <f>IF(OR(RecData[[#This Row],[WSpd_Avg '[m/s']]]-RecData[[#This Row],[Wind Speed min]]&gt;=$DF$3,RecData[[#This Row],[Wind Speed max]]-RecData[[#This Row],[WSpd_Avg '[m/s']]]&gt;=$DF$2),TRUE,FALSE)</f>
        <v>0</v>
      </c>
      <c r="DG811" s="2" t="b">
        <f>RecData[[#This Row],[Temperature '[°C']]]&lt;=-20</f>
        <v>0</v>
      </c>
      <c r="DH811" s="18" t="b">
        <f>NOT(OR(MOD(RecData[[#This Row],[TIMESTAMP]],1)&gt;0.91632,MOD(RecData[[#This Row],[TIMESTAMP]],1)&lt;0.208681))</f>
        <v>0</v>
      </c>
      <c r="DI811" s="18" t="b">
        <f>RecData[[#This Row],[Overall (dBA)]]-RecData[[#This Row],[L90]]&gt;=$DS$4</f>
        <v>0</v>
      </c>
      <c r="DJ811" s="18" t="b">
        <f>RecData[[#This Row],[Overall (dBA)]]&gt;$DS$2</f>
        <v>0</v>
      </c>
      <c r="DK811" s="18" t="b">
        <f>RecData[[#This Row],[Overall (dBA)]]&lt;$DS$3</f>
        <v>0</v>
      </c>
      <c r="DL8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1" s="2">
        <f>IF(AND(RecData[[#This Row],[Turbines ON/OFF]] = "OFF", NOT(OR(RecData[[#This Row],[Junk?]]="YES",RecData[[#This Row],[Gust?]],RecData[[#This Row],[Rain?]:[Min SPL Threshold?]]))),1,0)</f>
        <v>1</v>
      </c>
      <c r="DN811" s="16">
        <f>RecData[[#This Row],[dBA Sum]]</f>
        <v>25.440827131393988</v>
      </c>
      <c r="DO811" s="16">
        <f>RecData[[#This Row],[LAF90.0]]</f>
        <v>24.3</v>
      </c>
      <c r="DP811" s="55" t="str">
        <f>IF(AND(RecData[[#This Row],[Useable TON Data?]],RecData[[#This Row],[Turbines ON/OFF]]="ON"),RecData[[#This Row],[dBA Sum]],"")</f>
        <v/>
      </c>
      <c r="DQ811" s="55">
        <f>IF(AND(RecData[[#This Row],[Useable Background Data?]],RecData[[#This Row],[Turbines ON/OFF]]="OFF"),RecData[[#This Row],[dBA Sum]],"")</f>
        <v>25.440827131393988</v>
      </c>
      <c r="DR811" s="3">
        <f>IF(OR(RecData[[#This Row],[Useable TON Data?]],RecData[[#This Row],[Useable Background Data?]]),ROUND(RecData[[#This Row],[WSpd_Avg '[m/s']]],0),"")</f>
        <v>1</v>
      </c>
      <c r="DS811" s="85">
        <f>(0.00002)^2*(10^(RecData[[#This Row],[Overall (dBA)]]/10))</f>
        <v>1.4000472873878228E-7</v>
      </c>
    </row>
    <row r="812" spans="1:123" ht="15" x14ac:dyDescent="0.25">
      <c r="A812" s="3" t="s">
        <v>249</v>
      </c>
      <c r="B812" s="12">
        <v>43274.011111111111</v>
      </c>
      <c r="C812" s="3"/>
      <c r="D812" s="3">
        <v>31.4</v>
      </c>
      <c r="E812" s="3"/>
      <c r="F812" s="3"/>
      <c r="G812" s="3"/>
      <c r="H812" s="3"/>
      <c r="I812" s="3"/>
      <c r="J812" s="3"/>
      <c r="K812" s="3">
        <v>19.899999999999999</v>
      </c>
      <c r="L812" s="3"/>
      <c r="M812" s="3"/>
      <c r="N812" s="3">
        <v>144.9</v>
      </c>
      <c r="O812" s="3"/>
      <c r="P812" s="3"/>
      <c r="Q812" s="3">
        <v>0.52</v>
      </c>
      <c r="R812" s="3">
        <v>0.3</v>
      </c>
      <c r="S812" s="3">
        <v>0.6</v>
      </c>
      <c r="T812" s="3">
        <v>12</v>
      </c>
      <c r="U812" s="3">
        <v>80.7</v>
      </c>
      <c r="V812" s="3">
        <v>967.3</v>
      </c>
      <c r="W812" s="3">
        <v>0</v>
      </c>
      <c r="X812" s="3">
        <v>16.8</v>
      </c>
      <c r="Y812" s="3">
        <v>14.9</v>
      </c>
      <c r="Z812" s="3">
        <v>18.2</v>
      </c>
      <c r="AA812" s="3">
        <v>11.2</v>
      </c>
      <c r="AB812" s="3">
        <v>8.6</v>
      </c>
      <c r="AC812" s="3">
        <v>5.5</v>
      </c>
      <c r="AD812" s="3">
        <v>7.2</v>
      </c>
      <c r="AE812" s="3">
        <v>9.1</v>
      </c>
      <c r="AF812" s="3">
        <v>12.1</v>
      </c>
      <c r="AG812" s="3">
        <v>11.3</v>
      </c>
      <c r="AH812" s="3">
        <v>13.8</v>
      </c>
      <c r="AI812" s="3">
        <v>11.3</v>
      </c>
      <c r="AJ812" s="3">
        <v>11.4</v>
      </c>
      <c r="AK812" s="3">
        <v>13.5</v>
      </c>
      <c r="AL812" s="3">
        <v>8.1</v>
      </c>
      <c r="AM812" s="3">
        <v>13.1</v>
      </c>
      <c r="AN812" s="3">
        <v>8.6999999999999993</v>
      </c>
      <c r="AO812" s="3">
        <v>11.6</v>
      </c>
      <c r="AP812" s="3">
        <v>8.8000000000000007</v>
      </c>
      <c r="AQ812" s="3">
        <v>6</v>
      </c>
      <c r="AR812" s="3">
        <v>5.9</v>
      </c>
      <c r="AS812" s="3">
        <v>10.6</v>
      </c>
      <c r="AT812" s="3">
        <v>29.8</v>
      </c>
      <c r="AU812" s="3">
        <v>10.4</v>
      </c>
      <c r="AV812" s="3">
        <v>8.1999999999999993</v>
      </c>
      <c r="AW812" s="3">
        <v>8.8000000000000007</v>
      </c>
      <c r="AX812" s="3">
        <v>8.9</v>
      </c>
      <c r="AY812" s="3">
        <v>9.1</v>
      </c>
      <c r="AZ812" s="3">
        <v>0</v>
      </c>
      <c r="BA812" s="3">
        <v>0</v>
      </c>
      <c r="BB812" s="3">
        <v>0</v>
      </c>
      <c r="BC812" s="3">
        <v>31.410421491042829</v>
      </c>
      <c r="BD812" s="3">
        <v>16.789578508957174</v>
      </c>
      <c r="BE812" s="3">
        <v>14.889578508957168</v>
      </c>
      <c r="BF812" s="3">
        <v>16.94957850895717</v>
      </c>
      <c r="BG812" s="3">
        <v>10.276245175623831</v>
      </c>
      <c r="BH812" s="3">
        <v>7.8162451756238376</v>
      </c>
      <c r="BI812" s="3">
        <v>5.1295785089571702</v>
      </c>
      <c r="BJ812" s="3">
        <v>7.6229118422905024</v>
      </c>
      <c r="BK812" s="3">
        <v>9.3962451756238288</v>
      </c>
      <c r="BL812" s="3">
        <v>11.969578508957166</v>
      </c>
      <c r="BM812" s="3">
        <v>11.302911842290509</v>
      </c>
      <c r="BN812" s="3">
        <v>14.086245175623841</v>
      </c>
      <c r="BO812" s="3">
        <v>10.952911842290508</v>
      </c>
      <c r="BP812" s="3">
        <v>10.769578508957171</v>
      </c>
      <c r="BQ812" s="3">
        <v>13.286245175623829</v>
      </c>
      <c r="BR812" s="3">
        <v>8.2129118422905059</v>
      </c>
      <c r="BS812" s="3">
        <v>13.016245175623833</v>
      </c>
      <c r="BT812" s="3">
        <v>8.8129118422905002</v>
      </c>
      <c r="BU812" s="3">
        <v>11.679578508957174</v>
      </c>
      <c r="BV812" s="3">
        <v>8.5962451756238387</v>
      </c>
      <c r="BW812" s="3">
        <v>6.329578508957173</v>
      </c>
      <c r="BX812" s="3">
        <v>6.1495785089571733</v>
      </c>
      <c r="BY812" s="3">
        <v>10.669578508957169</v>
      </c>
      <c r="BZ812" s="3">
        <v>29.999578508957175</v>
      </c>
      <c r="CA812" s="3">
        <v>10.699578508957163</v>
      </c>
      <c r="CB812" s="3">
        <v>7.936245175623835</v>
      </c>
      <c r="CC812" s="3">
        <v>8.7495785089571676</v>
      </c>
      <c r="CD812" s="3">
        <v>8.156245175623841</v>
      </c>
      <c r="CE812" s="3">
        <v>8.5495785089571648</v>
      </c>
      <c r="CF812" s="3">
        <v>-0.93708815770949627</v>
      </c>
      <c r="CG812" s="3">
        <v>-1.4704214910428277</v>
      </c>
      <c r="CH812" s="3">
        <v>-2.5470881577094957</v>
      </c>
      <c r="CI812" s="13">
        <f>[1]!dbasum(RecData[[#This Row],[20]:[2000]],RecData[[#Headers],[20]:[2000]])</f>
        <v>18.499888244819349</v>
      </c>
      <c r="CJ812" s="14">
        <v>9889</v>
      </c>
      <c r="CK812" s="15" t="s">
        <v>249</v>
      </c>
      <c r="CL812" s="15">
        <f>RecData[[#This Row],[Start Time]]</f>
        <v>43274.011111111111</v>
      </c>
      <c r="CM812" s="16">
        <f>RecData[[#This Row],[Wind Speed avg]]</f>
        <v>0.52</v>
      </c>
      <c r="CN812" s="16">
        <f>RecData[[#This Row],[Wind Dir. avg]]</f>
        <v>144.9</v>
      </c>
      <c r="CO812" s="16">
        <f>RecData[[#This Row],[Amb. Humidity]]</f>
        <v>80.7</v>
      </c>
      <c r="CP812" s="16">
        <f>RecData[[#This Row],[Amb. Temperature]]</f>
        <v>12</v>
      </c>
      <c r="CQ812" s="17">
        <f>RecData[[#This Row],[Amb. Rain Gauge]]</f>
        <v>0</v>
      </c>
      <c r="CR812" s="4" t="s">
        <v>50</v>
      </c>
      <c r="CS812" s="4" t="s">
        <v>49</v>
      </c>
      <c r="CT812" s="70">
        <v>-13.5852308273315</v>
      </c>
      <c r="CU812" s="70">
        <v>260.50036621093699</v>
      </c>
      <c r="CV812" s="70">
        <v>0.82966721057891801</v>
      </c>
      <c r="CW812" s="70">
        <v>0</v>
      </c>
      <c r="CX812" s="109"/>
      <c r="CY812" s="110"/>
      <c r="CZ812" s="2" t="b">
        <f>IF($DP$1="YES",IF(RecData[[#This Row],[Power (kW)]]&gt;=$CR$3, TRUE,FALSE),TRUE)</f>
        <v>0</v>
      </c>
      <c r="DA812" s="16">
        <f>MIN(MOD(180-ABS(ABS($DA$1-RecData[Yaw Angle (°)])-180),360),MOD(180-ABS(ABS($DB$1-RecData[Yaw Angle (°)])-180),360))</f>
        <v>107.02956056675055</v>
      </c>
      <c r="DB812" s="2" t="str">
        <f>IF($DP$2="None","None",IF(RecData[[#This Row],[Relative Wind Direction]]&lt;=45,"DW",IF(RecData[[#This Row],[Relative Wind Direction]]&lt;=135,"CW","UW")))</f>
        <v>CW</v>
      </c>
      <c r="DC812" s="61" t="e">
        <f>IF($CL812-$CL808&gt;1/24,#REF!,IF(SUM($CQ808:$CQ812)&gt;$DS$1,$DS$5,DC813-1))</f>
        <v>#REF!</v>
      </c>
      <c r="DD812" s="61">
        <f>IF($CL813-$CL812&gt;1/24,#REF!,IF(SUM($CQ808:$CQ812)&gt;$DS$1,$DS$6,DD811-1))</f>
        <v>-7</v>
      </c>
      <c r="DE812" s="18" t="b">
        <v>0</v>
      </c>
      <c r="DF812" s="2" t="b">
        <f>IF(OR(RecData[[#This Row],[WSpd_Avg '[m/s']]]-RecData[[#This Row],[Wind Speed min]]&gt;=$DF$3,RecData[[#This Row],[Wind Speed max]]-RecData[[#This Row],[WSpd_Avg '[m/s']]]&gt;=$DF$2),TRUE,FALSE)</f>
        <v>0</v>
      </c>
      <c r="DG812" s="2" t="b">
        <f>RecData[[#This Row],[Temperature '[°C']]]&lt;=-20</f>
        <v>0</v>
      </c>
      <c r="DH812" s="18" t="b">
        <f>NOT(OR(MOD(RecData[[#This Row],[TIMESTAMP]],1)&gt;0.91632,MOD(RecData[[#This Row],[TIMESTAMP]],1)&lt;0.208681))</f>
        <v>0</v>
      </c>
      <c r="DI812" s="18" t="b">
        <f>RecData[[#This Row],[Overall (dBA)]]-RecData[[#This Row],[L90]]&gt;=$DS$4</f>
        <v>0</v>
      </c>
      <c r="DJ812" s="18" t="b">
        <f>RecData[[#This Row],[Overall (dBA)]]&gt;$DS$2</f>
        <v>0</v>
      </c>
      <c r="DK812" s="18" t="b">
        <f>RecData[[#This Row],[Overall (dBA)]]&lt;$DS$3</f>
        <v>0</v>
      </c>
      <c r="DL8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2" s="2">
        <f>IF(AND(RecData[[#This Row],[Turbines ON/OFF]] = "OFF", NOT(OR(RecData[[#This Row],[Junk?]]="YES",RecData[[#This Row],[Gust?]],RecData[[#This Row],[Rain?]:[Min SPL Threshold?]]))),1,0)</f>
        <v>1</v>
      </c>
      <c r="DN812" s="16">
        <f>RecData[[#This Row],[dBA Sum]]</f>
        <v>18.499888244819349</v>
      </c>
      <c r="DO812" s="16">
        <f>RecData[[#This Row],[LAF90.0]]</f>
        <v>19.899999999999999</v>
      </c>
      <c r="DP812" s="55" t="str">
        <f>IF(AND(RecData[[#This Row],[Useable TON Data?]],RecData[[#This Row],[Turbines ON/OFF]]="ON"),RecData[[#This Row],[dBA Sum]],"")</f>
        <v/>
      </c>
      <c r="DQ812" s="55">
        <f>IF(AND(RecData[[#This Row],[Useable Background Data?]],RecData[[#This Row],[Turbines ON/OFF]]="OFF"),RecData[[#This Row],[dBA Sum]],"")</f>
        <v>18.499888244819349</v>
      </c>
      <c r="DR812" s="3">
        <f>IF(OR(RecData[[#This Row],[Useable TON Data?]],RecData[[#This Row],[Useable Background Data?]]),ROUND(RecData[[#This Row],[WSpd_Avg '[m/s']]],0),"")</f>
        <v>1</v>
      </c>
      <c r="DS812" s="85">
        <f>(0.00002)^2*(10^(RecData[[#This Row],[Overall (dBA)]]/10))</f>
        <v>2.8317102693842798E-8</v>
      </c>
    </row>
    <row r="813" spans="1:123" ht="15" x14ac:dyDescent="0.25">
      <c r="A813" s="3" t="s">
        <v>249</v>
      </c>
      <c r="B813" s="12">
        <v>43274.011805555558</v>
      </c>
      <c r="C813" s="3"/>
      <c r="D813" s="3">
        <v>31.3</v>
      </c>
      <c r="E813" s="3"/>
      <c r="F813" s="3"/>
      <c r="G813" s="3"/>
      <c r="H813" s="3"/>
      <c r="I813" s="3"/>
      <c r="J813" s="3"/>
      <c r="K813" s="3">
        <v>19.2</v>
      </c>
      <c r="L813" s="3"/>
      <c r="M813" s="3"/>
      <c r="N813" s="3">
        <v>144.30000000000001</v>
      </c>
      <c r="O813" s="3"/>
      <c r="P813" s="3"/>
      <c r="Q813" s="3">
        <v>0.56999999999999995</v>
      </c>
      <c r="R813" s="3">
        <v>0.4</v>
      </c>
      <c r="S813" s="3">
        <v>0.6</v>
      </c>
      <c r="T813" s="3">
        <v>12</v>
      </c>
      <c r="U813" s="3">
        <v>80.400000000000006</v>
      </c>
      <c r="V813" s="3">
        <v>967.3</v>
      </c>
      <c r="W813" s="3">
        <v>0</v>
      </c>
      <c r="X813" s="3">
        <v>18.5</v>
      </c>
      <c r="Y813" s="3">
        <v>15.8</v>
      </c>
      <c r="Z813" s="3">
        <v>17.100000000000001</v>
      </c>
      <c r="AA813" s="3">
        <v>11.1</v>
      </c>
      <c r="AB813" s="3">
        <v>8.1</v>
      </c>
      <c r="AC813" s="3">
        <v>6.1</v>
      </c>
      <c r="AD813" s="3">
        <v>7.4</v>
      </c>
      <c r="AE813" s="3">
        <v>8</v>
      </c>
      <c r="AF813" s="3">
        <v>11.9</v>
      </c>
      <c r="AG813" s="3">
        <v>11.6</v>
      </c>
      <c r="AH813" s="3">
        <v>12.8</v>
      </c>
      <c r="AI813" s="3">
        <v>10</v>
      </c>
      <c r="AJ813" s="3">
        <v>10.5</v>
      </c>
      <c r="AK813" s="3">
        <v>12</v>
      </c>
      <c r="AL813" s="3">
        <v>7.4</v>
      </c>
      <c r="AM813" s="3">
        <v>9.9</v>
      </c>
      <c r="AN813" s="3">
        <v>9.5</v>
      </c>
      <c r="AO813" s="3">
        <v>13.4</v>
      </c>
      <c r="AP813" s="3">
        <v>10</v>
      </c>
      <c r="AQ813" s="3">
        <v>6</v>
      </c>
      <c r="AR813" s="3">
        <v>5.9</v>
      </c>
      <c r="AS813" s="3">
        <v>11.9</v>
      </c>
      <c r="AT813" s="3">
        <v>29.6</v>
      </c>
      <c r="AU813" s="3">
        <v>11.4</v>
      </c>
      <c r="AV813" s="3">
        <v>8.1999999999999993</v>
      </c>
      <c r="AW813" s="3">
        <v>8.6999999999999993</v>
      </c>
      <c r="AX813" s="3">
        <v>8.9</v>
      </c>
      <c r="AY813" s="3">
        <v>9.1</v>
      </c>
      <c r="AZ813" s="3">
        <v>0</v>
      </c>
      <c r="BA813" s="3">
        <v>0</v>
      </c>
      <c r="BB813" s="3">
        <v>0</v>
      </c>
      <c r="BC813" s="3">
        <v>31.259078175924948</v>
      </c>
      <c r="BD813" s="3">
        <v>18.540921824075049</v>
      </c>
      <c r="BE813" s="3">
        <v>15.840921824075053</v>
      </c>
      <c r="BF813" s="3">
        <v>15.900921824075056</v>
      </c>
      <c r="BG813" s="3">
        <v>10.227588490741716</v>
      </c>
      <c r="BH813" s="3">
        <v>7.3675884907417242</v>
      </c>
      <c r="BI813" s="3">
        <v>5.7809218240750511</v>
      </c>
      <c r="BJ813" s="3">
        <v>7.8742551574083848</v>
      </c>
      <c r="BK813" s="3">
        <v>8.3475884907417139</v>
      </c>
      <c r="BL813" s="3">
        <v>11.82092182407505</v>
      </c>
      <c r="BM813" s="3">
        <v>11.654255157408386</v>
      </c>
      <c r="BN813" s="3">
        <v>13.13758849074172</v>
      </c>
      <c r="BO813" s="3">
        <v>9.7042551574083902</v>
      </c>
      <c r="BP813" s="3">
        <v>9.9209218240750516</v>
      </c>
      <c r="BQ813" s="3">
        <v>11.837588490741709</v>
      </c>
      <c r="BR813" s="3">
        <v>7.5642551574083896</v>
      </c>
      <c r="BS813" s="3">
        <v>9.8675884907417171</v>
      </c>
      <c r="BT813" s="3">
        <v>9.6642551574083839</v>
      </c>
      <c r="BU813" s="3">
        <v>13.530921824075058</v>
      </c>
      <c r="BV813" s="3">
        <v>9.847588490741721</v>
      </c>
      <c r="BW813" s="3">
        <v>6.3809218240750525</v>
      </c>
      <c r="BX813" s="3">
        <v>6.2009218240750599</v>
      </c>
      <c r="BY813" s="3">
        <v>12.020921824075053</v>
      </c>
      <c r="BZ813" s="3">
        <v>29.850921824075058</v>
      </c>
      <c r="CA813" s="3">
        <v>11.750921824075043</v>
      </c>
      <c r="CB813" s="3">
        <v>7.9875884907417145</v>
      </c>
      <c r="CC813" s="3">
        <v>8.7009218240750528</v>
      </c>
      <c r="CD813" s="3">
        <v>8.2075884907417205</v>
      </c>
      <c r="CE813" s="3">
        <v>8.6009218240750513</v>
      </c>
      <c r="CF813" s="3">
        <v>-0.88574484259161324</v>
      </c>
      <c r="CG813" s="3">
        <v>-1.4190781759249447</v>
      </c>
      <c r="CH813" s="3">
        <v>-2.4957448425916127</v>
      </c>
      <c r="CI813" s="13">
        <f>[1]!dbasum(RecData[[#This Row],[20]:[2000]],RecData[[#Headers],[20]:[2000]])</f>
        <v>18.603340720540885</v>
      </c>
      <c r="CJ813" s="14">
        <v>9890</v>
      </c>
      <c r="CK813" s="15" t="s">
        <v>249</v>
      </c>
      <c r="CL813" s="15">
        <f>RecData[[#This Row],[Start Time]]</f>
        <v>43274.011805555558</v>
      </c>
      <c r="CM813" s="16">
        <f>RecData[[#This Row],[Wind Speed avg]]</f>
        <v>0.56999999999999995</v>
      </c>
      <c r="CN813" s="16">
        <f>RecData[[#This Row],[Wind Dir. avg]]</f>
        <v>144.30000000000001</v>
      </c>
      <c r="CO813" s="16">
        <f>RecData[[#This Row],[Amb. Humidity]]</f>
        <v>80.400000000000006</v>
      </c>
      <c r="CP813" s="16">
        <f>RecData[[#This Row],[Amb. Temperature]]</f>
        <v>12</v>
      </c>
      <c r="CQ813" s="17">
        <f>RecData[[#This Row],[Amb. Rain Gauge]]</f>
        <v>0</v>
      </c>
      <c r="CR813" s="4" t="s">
        <v>50</v>
      </c>
      <c r="CS813" s="4" t="s">
        <v>49</v>
      </c>
      <c r="CT813" s="70">
        <v>-13.5852308273315</v>
      </c>
      <c r="CU813" s="70">
        <v>260.50036621093699</v>
      </c>
      <c r="CV813" s="70">
        <v>0.82966721057891801</v>
      </c>
      <c r="CW813" s="70">
        <v>0</v>
      </c>
      <c r="CX813" s="109"/>
      <c r="CY813" s="110"/>
      <c r="CZ813" s="2" t="b">
        <f>IF($DP$1="YES",IF(RecData[[#This Row],[Power (kW)]]&gt;=$CR$3, TRUE,FALSE),TRUE)</f>
        <v>0</v>
      </c>
      <c r="DA813" s="16">
        <f>MIN(MOD(180-ABS(ABS($DA$1-RecData[Yaw Angle (°)])-180),360),MOD(180-ABS(ABS($DB$1-RecData[Yaw Angle (°)])-180),360))</f>
        <v>107.02956056675055</v>
      </c>
      <c r="DB813" s="2" t="str">
        <f>IF($DP$2="None","None",IF(RecData[[#This Row],[Relative Wind Direction]]&lt;=45,"DW",IF(RecData[[#This Row],[Relative Wind Direction]]&lt;=135,"CW","UW")))</f>
        <v>CW</v>
      </c>
      <c r="DC813" s="61" t="e">
        <f>IF($CL813-$CL809&gt;1/24,#REF!,IF(SUM($CQ809:$CQ813)&gt;$DS$1,$DS$5,#REF!-1))</f>
        <v>#REF!</v>
      </c>
      <c r="DD813" s="61" t="e">
        <f>IF(#REF!-$CL813&gt;1/24,#REF!,IF(SUM($CQ809:$CQ813)&gt;$DS$1,$DS$6,DD812-1))</f>
        <v>#REF!</v>
      </c>
      <c r="DE813" s="18" t="b">
        <v>0</v>
      </c>
      <c r="DF813" s="2" t="b">
        <f>IF(OR(RecData[[#This Row],[WSpd_Avg '[m/s']]]-RecData[[#This Row],[Wind Speed min]]&gt;=$DF$3,RecData[[#This Row],[Wind Speed max]]-RecData[[#This Row],[WSpd_Avg '[m/s']]]&gt;=$DF$2),TRUE,FALSE)</f>
        <v>0</v>
      </c>
      <c r="DG813" s="2" t="b">
        <f>RecData[[#This Row],[Temperature '[°C']]]&lt;=-20</f>
        <v>0</v>
      </c>
      <c r="DH813" s="18" t="b">
        <f>NOT(OR(MOD(RecData[[#This Row],[TIMESTAMP]],1)&gt;0.91632,MOD(RecData[[#This Row],[TIMESTAMP]],1)&lt;0.208681))</f>
        <v>0</v>
      </c>
      <c r="DI813" s="18" t="b">
        <f>RecData[[#This Row],[Overall (dBA)]]-RecData[[#This Row],[L90]]&gt;=$DS$4</f>
        <v>0</v>
      </c>
      <c r="DJ813" s="18" t="b">
        <f>RecData[[#This Row],[Overall (dBA)]]&gt;$DS$2</f>
        <v>0</v>
      </c>
      <c r="DK813" s="18" t="b">
        <f>RecData[[#This Row],[Overall (dBA)]]&lt;$DS$3</f>
        <v>0</v>
      </c>
      <c r="DL8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3" s="2">
        <f>IF(AND(RecData[[#This Row],[Turbines ON/OFF]] = "OFF", NOT(OR(RecData[[#This Row],[Junk?]]="YES",RecData[[#This Row],[Gust?]],RecData[[#This Row],[Rain?]:[Min SPL Threshold?]]))),1,0)</f>
        <v>1</v>
      </c>
      <c r="DN813" s="16">
        <f>RecData[[#This Row],[dBA Sum]]</f>
        <v>18.603340720540885</v>
      </c>
      <c r="DO813" s="16">
        <f>RecData[[#This Row],[LAF90.0]]</f>
        <v>19.2</v>
      </c>
      <c r="DP813" s="55" t="str">
        <f>IF(AND(RecData[[#This Row],[Useable TON Data?]],RecData[[#This Row],[Turbines ON/OFF]]="ON"),RecData[[#This Row],[dBA Sum]],"")</f>
        <v/>
      </c>
      <c r="DQ813" s="55">
        <f>IF(AND(RecData[[#This Row],[Useable Background Data?]],RecData[[#This Row],[Turbines ON/OFF]]="OFF"),RecData[[#This Row],[dBA Sum]],"")</f>
        <v>18.603340720540885</v>
      </c>
      <c r="DR813" s="3">
        <f>IF(OR(RecData[[#This Row],[Useable TON Data?]],RecData[[#This Row],[Useable Background Data?]]),ROUND(RecData[[#This Row],[WSpd_Avg '[m/s']]],0),"")</f>
        <v>1</v>
      </c>
      <c r="DS813" s="85">
        <f>(0.00002)^2*(10^(RecData[[#This Row],[Overall (dBA)]]/10))</f>
        <v>2.8999737273950864E-8</v>
      </c>
    </row>
    <row r="814" spans="1:123" ht="15" x14ac:dyDescent="0.25">
      <c r="A814" s="3" t="s">
        <v>249</v>
      </c>
      <c r="B814" s="12">
        <v>43274.013194444444</v>
      </c>
      <c r="C814" s="3"/>
      <c r="D814" s="3">
        <v>30</v>
      </c>
      <c r="E814" s="3"/>
      <c r="F814" s="3"/>
      <c r="G814" s="3"/>
      <c r="H814" s="3"/>
      <c r="I814" s="3"/>
      <c r="J814" s="3"/>
      <c r="K814" s="3">
        <v>19.100000000000001</v>
      </c>
      <c r="L814" s="3"/>
      <c r="M814" s="3"/>
      <c r="N814" s="3">
        <v>148.80000000000001</v>
      </c>
      <c r="O814" s="3"/>
      <c r="P814" s="3"/>
      <c r="Q814" s="3">
        <v>0.56999999999999995</v>
      </c>
      <c r="R814" s="3">
        <v>0.3</v>
      </c>
      <c r="S814" s="3">
        <v>0.7</v>
      </c>
      <c r="T814" s="3">
        <v>12</v>
      </c>
      <c r="U814" s="3">
        <v>78.8</v>
      </c>
      <c r="V814" s="3">
        <v>967.3</v>
      </c>
      <c r="W814" s="3">
        <v>0</v>
      </c>
      <c r="X814" s="3">
        <v>22.2</v>
      </c>
      <c r="Y814" s="3">
        <v>18.899999999999999</v>
      </c>
      <c r="Z814" s="3">
        <v>17.8</v>
      </c>
      <c r="AA814" s="3">
        <v>11.2</v>
      </c>
      <c r="AB814" s="3">
        <v>10.1</v>
      </c>
      <c r="AC814" s="3">
        <v>11.1</v>
      </c>
      <c r="AD814" s="3">
        <v>9.6</v>
      </c>
      <c r="AE814" s="3">
        <v>8.6</v>
      </c>
      <c r="AF814" s="3">
        <v>11.1</v>
      </c>
      <c r="AG814" s="3">
        <v>9.6</v>
      </c>
      <c r="AH814" s="3">
        <v>9.6</v>
      </c>
      <c r="AI814" s="3">
        <v>8.4</v>
      </c>
      <c r="AJ814" s="3">
        <v>8.4</v>
      </c>
      <c r="AK814" s="3">
        <v>7.3</v>
      </c>
      <c r="AL814" s="3">
        <v>6.4</v>
      </c>
      <c r="AM814" s="3">
        <v>5.4</v>
      </c>
      <c r="AN814" s="3">
        <v>6</v>
      </c>
      <c r="AO814" s="3">
        <v>6.1</v>
      </c>
      <c r="AP814" s="3">
        <v>5.5</v>
      </c>
      <c r="AQ814" s="3">
        <v>5.8</v>
      </c>
      <c r="AR814" s="3">
        <v>5.8</v>
      </c>
      <c r="AS814" s="3">
        <v>11.3</v>
      </c>
      <c r="AT814" s="3">
        <v>28.4</v>
      </c>
      <c r="AU814" s="3">
        <v>9.6999999999999993</v>
      </c>
      <c r="AV814" s="3">
        <v>8.1</v>
      </c>
      <c r="AW814" s="3">
        <v>8.6999999999999993</v>
      </c>
      <c r="AX814" s="3">
        <v>8.9</v>
      </c>
      <c r="AY814" s="3">
        <v>9.1</v>
      </c>
      <c r="AZ814" s="3">
        <v>0</v>
      </c>
      <c r="BA814" s="3">
        <v>0</v>
      </c>
      <c r="BB814" s="3">
        <v>0</v>
      </c>
      <c r="BC814" s="3">
        <v>29.99001716566535</v>
      </c>
      <c r="BD814" s="3">
        <v>22.209982834334653</v>
      </c>
      <c r="BE814" s="3">
        <v>18.909982834334649</v>
      </c>
      <c r="BF814" s="3">
        <v>16.569982834334652</v>
      </c>
      <c r="BG814" s="3">
        <v>10.296649501001312</v>
      </c>
      <c r="BH814" s="3">
        <v>9.3366495010013182</v>
      </c>
      <c r="BI814" s="3">
        <v>10.749982834334652</v>
      </c>
      <c r="BJ814" s="3">
        <v>10.043316167667982</v>
      </c>
      <c r="BK814" s="3">
        <v>8.9166495010013165</v>
      </c>
      <c r="BL814" s="3">
        <v>10.989982834334654</v>
      </c>
      <c r="BM814" s="3">
        <v>9.623316167667987</v>
      </c>
      <c r="BN814" s="3">
        <v>9.9066495010013185</v>
      </c>
      <c r="BO814" s="3">
        <v>8.0733161676679828</v>
      </c>
      <c r="BP814" s="3">
        <v>7.7899828343346513</v>
      </c>
      <c r="BQ814" s="3">
        <v>7.1066495010013071</v>
      </c>
      <c r="BR814" s="3">
        <v>6.5333161676679836</v>
      </c>
      <c r="BS814" s="3">
        <v>5.3366495010013182</v>
      </c>
      <c r="BT814" s="3">
        <v>6.133316167667985</v>
      </c>
      <c r="BU814" s="3">
        <v>6.199982834334655</v>
      </c>
      <c r="BV814" s="3">
        <v>5.3166495010013151</v>
      </c>
      <c r="BW814" s="3">
        <v>6.1499828343346508</v>
      </c>
      <c r="BX814" s="3">
        <v>6.0699828343346525</v>
      </c>
      <c r="BY814" s="3">
        <v>11.389982834334646</v>
      </c>
      <c r="BZ814" s="3">
        <v>28.61998283433465</v>
      </c>
      <c r="CA814" s="3">
        <v>10.019982834334641</v>
      </c>
      <c r="CB814" s="3">
        <v>7.8566495010013142</v>
      </c>
      <c r="CC814" s="3">
        <v>8.6699828343346468</v>
      </c>
      <c r="CD814" s="3">
        <v>8.1766495010013216</v>
      </c>
      <c r="CE814" s="3">
        <v>8.5699828343346525</v>
      </c>
      <c r="CF814" s="3">
        <v>-0.91668383233201567</v>
      </c>
      <c r="CG814" s="3">
        <v>-1.4500171656653471</v>
      </c>
      <c r="CH814" s="3">
        <v>-2.5266838323320151</v>
      </c>
      <c r="CI814" s="13">
        <f>[1]!dbasum(RecData[[#This Row],[20]:[2000]],RecData[[#Headers],[20]:[2000]])</f>
        <v>15.040080302950241</v>
      </c>
      <c r="CJ814" s="14">
        <v>9892</v>
      </c>
      <c r="CK814" s="15" t="s">
        <v>249</v>
      </c>
      <c r="CL814" s="15">
        <f>RecData[[#This Row],[Start Time]]</f>
        <v>43274.013194444444</v>
      </c>
      <c r="CM814" s="16">
        <f>RecData[[#This Row],[Wind Speed avg]]</f>
        <v>0.56999999999999995</v>
      </c>
      <c r="CN814" s="16">
        <f>RecData[[#This Row],[Wind Dir. avg]]</f>
        <v>148.80000000000001</v>
      </c>
      <c r="CO814" s="16">
        <f>RecData[[#This Row],[Amb. Humidity]]</f>
        <v>78.8</v>
      </c>
      <c r="CP814" s="16">
        <f>RecData[[#This Row],[Amb. Temperature]]</f>
        <v>12</v>
      </c>
      <c r="CQ814" s="17">
        <f>RecData[[#This Row],[Amb. Rain Gauge]]</f>
        <v>0</v>
      </c>
      <c r="CR814" s="4" t="s">
        <v>50</v>
      </c>
      <c r="CS814" s="4" t="s">
        <v>49</v>
      </c>
      <c r="CT814" s="70">
        <v>-13.5852308273315</v>
      </c>
      <c r="CU814" s="70">
        <v>260.50036621093699</v>
      </c>
      <c r="CV814" s="70">
        <v>0.82966721057891801</v>
      </c>
      <c r="CW814" s="70">
        <v>0</v>
      </c>
      <c r="CX814" s="109"/>
      <c r="CY814" s="110"/>
      <c r="CZ814" s="2" t="b">
        <f>IF($DP$1="YES",IF(RecData[[#This Row],[Power (kW)]]&gt;=$CR$3, TRUE,FALSE),TRUE)</f>
        <v>0</v>
      </c>
      <c r="DA814" s="16">
        <f>MIN(MOD(180-ABS(ABS($DA$1-RecData[Yaw Angle (°)])-180),360),MOD(180-ABS(ABS($DB$1-RecData[Yaw Angle (°)])-180),360))</f>
        <v>107.02956056675055</v>
      </c>
      <c r="DB814" s="2" t="str">
        <f>IF($DP$2="None","None",IF(RecData[[#This Row],[Relative Wind Direction]]&lt;=45,"DW",IF(RecData[[#This Row],[Relative Wind Direction]]&lt;=135,"CW","UW")))</f>
        <v>CW</v>
      </c>
      <c r="DC814" s="61">
        <v>-1</v>
      </c>
      <c r="DD814" s="61">
        <v>-1</v>
      </c>
      <c r="DE814" s="18" t="b">
        <v>0</v>
      </c>
      <c r="DF814" s="2" t="b">
        <f>IF(OR(RecData[[#This Row],[WSpd_Avg '[m/s']]]-RecData[[#This Row],[Wind Speed min]]&gt;=$DF$3,RecData[[#This Row],[Wind Speed max]]-RecData[[#This Row],[WSpd_Avg '[m/s']]]&gt;=$DF$2),TRUE,FALSE)</f>
        <v>0</v>
      </c>
      <c r="DG814" s="2" t="b">
        <f>RecData[[#This Row],[Temperature '[°C']]]&lt;=-20</f>
        <v>0</v>
      </c>
      <c r="DH814" s="18" t="b">
        <f>NOT(OR(MOD(RecData[[#This Row],[TIMESTAMP]],1)&gt;0.91632,MOD(RecData[[#This Row],[TIMESTAMP]],1)&lt;0.208681))</f>
        <v>0</v>
      </c>
      <c r="DI814" s="18" t="b">
        <f>RecData[[#This Row],[Overall (dBA)]]-RecData[[#This Row],[L90]]&gt;=$DS$4</f>
        <v>0</v>
      </c>
      <c r="DJ814" s="18" t="b">
        <f>RecData[[#This Row],[Overall (dBA)]]&gt;$DS$2</f>
        <v>0</v>
      </c>
      <c r="DK814" s="18" t="b">
        <f>RecData[[#This Row],[Overall (dBA)]]&lt;$DS$3</f>
        <v>0</v>
      </c>
      <c r="DL8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4" s="2">
        <f>IF(AND(RecData[[#This Row],[Turbines ON/OFF]] = "OFF", NOT(OR(RecData[[#This Row],[Junk?]]="YES",RecData[[#This Row],[Gust?]],RecData[[#This Row],[Rain?]:[Min SPL Threshold?]]))),1,0)</f>
        <v>1</v>
      </c>
      <c r="DN814" s="16">
        <f>RecData[[#This Row],[dBA Sum]]</f>
        <v>15.040080302950241</v>
      </c>
      <c r="DO814" s="16">
        <f>RecData[[#This Row],[LAF90.0]]</f>
        <v>19.100000000000001</v>
      </c>
      <c r="DP814" s="55" t="str">
        <f>IF(AND(RecData[[#This Row],[Useable TON Data?]],RecData[[#This Row],[Turbines ON/OFF]]="ON"),RecData[[#This Row],[dBA Sum]],"")</f>
        <v/>
      </c>
      <c r="DQ814" s="55">
        <f>IF(AND(RecData[[#This Row],[Useable Background Data?]],RecData[[#This Row],[Turbines ON/OFF]]="OFF"),RecData[[#This Row],[dBA Sum]],"")</f>
        <v>15.040080302950241</v>
      </c>
      <c r="DR814" s="3">
        <f>IF(OR(RecData[[#This Row],[Useable TON Data?]],RecData[[#This Row],[Useable Background Data?]]),ROUND(RecData[[#This Row],[WSpd_Avg '[m/s']]],0),"")</f>
        <v>1</v>
      </c>
      <c r="DS814" s="85">
        <f>(0.00002)^2*(10^(RecData[[#This Row],[Overall (dBA)]]/10))</f>
        <v>1.2766387474311838E-8</v>
      </c>
    </row>
    <row r="815" spans="1:123" ht="15" x14ac:dyDescent="0.25">
      <c r="A815" s="3" t="s">
        <v>249</v>
      </c>
      <c r="B815" s="12">
        <v>43274.01458333333</v>
      </c>
      <c r="C815" s="3"/>
      <c r="D815" s="3">
        <v>29.6</v>
      </c>
      <c r="E815" s="3"/>
      <c r="F815" s="3"/>
      <c r="G815" s="3"/>
      <c r="H815" s="3"/>
      <c r="I815" s="3"/>
      <c r="J815" s="3"/>
      <c r="K815" s="3">
        <v>20</v>
      </c>
      <c r="L815" s="3"/>
      <c r="M815" s="3"/>
      <c r="N815" s="3">
        <v>135.9</v>
      </c>
      <c r="O815" s="3"/>
      <c r="P815" s="3"/>
      <c r="Q815" s="3">
        <v>0.56000000000000005</v>
      </c>
      <c r="R815" s="3">
        <v>0.4</v>
      </c>
      <c r="S815" s="3">
        <v>0.7</v>
      </c>
      <c r="T815" s="3">
        <v>11.9</v>
      </c>
      <c r="U815" s="3">
        <v>79.5</v>
      </c>
      <c r="V815" s="3">
        <v>967.4</v>
      </c>
      <c r="W815" s="3">
        <v>0</v>
      </c>
      <c r="X815" s="3">
        <v>21.6</v>
      </c>
      <c r="Y815" s="3">
        <v>19.100000000000001</v>
      </c>
      <c r="Z815" s="3">
        <v>19.8</v>
      </c>
      <c r="AA815" s="3">
        <v>14.1</v>
      </c>
      <c r="AB815" s="3">
        <v>10.6</v>
      </c>
      <c r="AC815" s="3">
        <v>7.8</v>
      </c>
      <c r="AD815" s="3">
        <v>9.1</v>
      </c>
      <c r="AE815" s="3">
        <v>8.3000000000000007</v>
      </c>
      <c r="AF815" s="3">
        <v>8.5</v>
      </c>
      <c r="AG815" s="3">
        <v>8.6999999999999993</v>
      </c>
      <c r="AH815" s="3">
        <v>8.4</v>
      </c>
      <c r="AI815" s="3">
        <v>7.6</v>
      </c>
      <c r="AJ815" s="3">
        <v>8.1</v>
      </c>
      <c r="AK815" s="3">
        <v>7</v>
      </c>
      <c r="AL815" s="3">
        <v>6.5</v>
      </c>
      <c r="AM815" s="3">
        <v>5.9</v>
      </c>
      <c r="AN815" s="3">
        <v>6.1</v>
      </c>
      <c r="AO815" s="3">
        <v>6</v>
      </c>
      <c r="AP815" s="3">
        <v>5.8</v>
      </c>
      <c r="AQ815" s="3">
        <v>6.3</v>
      </c>
      <c r="AR815" s="3">
        <v>6.5</v>
      </c>
      <c r="AS815" s="3">
        <v>13.2</v>
      </c>
      <c r="AT815" s="3">
        <v>28</v>
      </c>
      <c r="AU815" s="3">
        <v>9.6</v>
      </c>
      <c r="AV815" s="3">
        <v>8.1999999999999993</v>
      </c>
      <c r="AW815" s="3">
        <v>8.6999999999999993</v>
      </c>
      <c r="AX815" s="3">
        <v>8.9</v>
      </c>
      <c r="AY815" s="3">
        <v>9.1999999999999993</v>
      </c>
      <c r="AZ815" s="3">
        <v>0</v>
      </c>
      <c r="BA815" s="3">
        <v>0</v>
      </c>
      <c r="BB815" s="3">
        <v>0</v>
      </c>
      <c r="BC815" s="3">
        <v>29.678667153516582</v>
      </c>
      <c r="BD815" s="3">
        <v>21.521332846483421</v>
      </c>
      <c r="BE815" s="3">
        <v>19.021332846483421</v>
      </c>
      <c r="BF815" s="3">
        <v>18.481332846483422</v>
      </c>
      <c r="BG815" s="3">
        <v>13.10799951315008</v>
      </c>
      <c r="BH815" s="3">
        <v>9.7479995131500878</v>
      </c>
      <c r="BI815" s="3">
        <v>7.3613328464834176</v>
      </c>
      <c r="BJ815" s="3">
        <v>9.4546661798167513</v>
      </c>
      <c r="BK815" s="3">
        <v>8.5279995131500819</v>
      </c>
      <c r="BL815" s="3">
        <v>8.3013328464834224</v>
      </c>
      <c r="BM815" s="3">
        <v>8.634666179816751</v>
      </c>
      <c r="BN815" s="3">
        <v>8.6179995131500853</v>
      </c>
      <c r="BO815" s="3">
        <v>7.1846661798167553</v>
      </c>
      <c r="BP815" s="3">
        <v>7.4013328464834167</v>
      </c>
      <c r="BQ815" s="3">
        <v>6.7179995131500796</v>
      </c>
      <c r="BR815" s="3">
        <v>6.5446661798167547</v>
      </c>
      <c r="BS815" s="3">
        <v>5.7479995131500878</v>
      </c>
      <c r="BT815" s="3">
        <v>6.1446661798167561</v>
      </c>
      <c r="BU815" s="3">
        <v>6.0113328464834233</v>
      </c>
      <c r="BV815" s="3">
        <v>5.527999513150089</v>
      </c>
      <c r="BW815" s="3">
        <v>6.5613328464834204</v>
      </c>
      <c r="BX815" s="3">
        <v>6.681332846483425</v>
      </c>
      <c r="BY815" s="3">
        <v>13.201332846483414</v>
      </c>
      <c r="BZ815" s="3">
        <v>28.131332846483421</v>
      </c>
      <c r="CA815" s="3">
        <v>9.8313328464834093</v>
      </c>
      <c r="CB815" s="3">
        <v>7.8679995131500853</v>
      </c>
      <c r="CC815" s="3">
        <v>8.5813328464834164</v>
      </c>
      <c r="CD815" s="3">
        <v>8.0879995131500912</v>
      </c>
      <c r="CE815" s="3">
        <v>8.5813328464834164</v>
      </c>
      <c r="CF815" s="3">
        <v>-1.005333820183246</v>
      </c>
      <c r="CG815" s="3">
        <v>-1.5386671535165775</v>
      </c>
      <c r="CH815" s="3">
        <v>-2.6153338201832455</v>
      </c>
      <c r="CI815" s="13">
        <f>[1]!dbasum(RecData[[#This Row],[20]:[2000]],RecData[[#Headers],[20]:[2000]])</f>
        <v>15.133315816277783</v>
      </c>
      <c r="CJ815" s="14">
        <v>9894</v>
      </c>
      <c r="CK815" s="15" t="s">
        <v>249</v>
      </c>
      <c r="CL815" s="15">
        <f>RecData[[#This Row],[Start Time]]</f>
        <v>43274.01458333333</v>
      </c>
      <c r="CM815" s="16">
        <f>RecData[[#This Row],[Wind Speed avg]]</f>
        <v>0.56000000000000005</v>
      </c>
      <c r="CN815" s="16">
        <f>RecData[[#This Row],[Wind Dir. avg]]</f>
        <v>135.9</v>
      </c>
      <c r="CO815" s="16">
        <f>RecData[[#This Row],[Amb. Humidity]]</f>
        <v>79.5</v>
      </c>
      <c r="CP815" s="16">
        <f>RecData[[#This Row],[Amb. Temperature]]</f>
        <v>11.9</v>
      </c>
      <c r="CQ815" s="17">
        <f>RecData[[#This Row],[Amb. Rain Gauge]]</f>
        <v>0</v>
      </c>
      <c r="CR815" s="4" t="s">
        <v>50</v>
      </c>
      <c r="CS815" s="4" t="s">
        <v>49</v>
      </c>
      <c r="CT815" s="70">
        <v>-9.4024381637573207</v>
      </c>
      <c r="CU815" s="70">
        <v>329.07009887695301</v>
      </c>
      <c r="CV815" s="70">
        <v>0.81433826684951705</v>
      </c>
      <c r="CW815" s="70">
        <v>0</v>
      </c>
      <c r="CX815" s="109"/>
      <c r="CY815" s="110"/>
      <c r="CZ815" s="2" t="b">
        <f>IF($DP$1="YES",IF(RecData[[#This Row],[Power (kW)]]&gt;=$CR$3, TRUE,FALSE),TRUE)</f>
        <v>0</v>
      </c>
      <c r="DA815" s="16">
        <f>MIN(MOD(180-ABS(ABS($DA$1-RecData[Yaw Angle (°)])-180),360),MOD(180-ABS(ABS($DB$1-RecData[Yaw Angle (°)])-180),360))</f>
        <v>38.459827900734524</v>
      </c>
      <c r="DB815" s="2" t="str">
        <f>IF($DP$2="None","None",IF(RecData[[#This Row],[Relative Wind Direction]]&lt;=45,"DW",IF(RecData[[#This Row],[Relative Wind Direction]]&lt;=135,"CW","UW")))</f>
        <v>DW</v>
      </c>
      <c r="DC815" s="61" t="e">
        <f>IF($CL815-$CL814&gt;1/24,#REF!,IF(SUM($CQ814:$CQ815)&gt;$DS$1,$DS$5,DC816-1))</f>
        <v>#REF!</v>
      </c>
      <c r="DD815" s="61" t="e">
        <f>IF($CL816-$CL815&gt;1/24,#REF!,IF(SUM($CQ814:$CQ815)&gt;$DS$1,$DS$6,#REF!-1))</f>
        <v>#REF!</v>
      </c>
      <c r="DE815" s="18" t="b">
        <v>0</v>
      </c>
      <c r="DF815" s="2" t="b">
        <f>IF(OR(RecData[[#This Row],[WSpd_Avg '[m/s']]]-RecData[[#This Row],[Wind Speed min]]&gt;=$DF$3,RecData[[#This Row],[Wind Speed max]]-RecData[[#This Row],[WSpd_Avg '[m/s']]]&gt;=$DF$2),TRUE,FALSE)</f>
        <v>0</v>
      </c>
      <c r="DG815" s="2" t="b">
        <f>RecData[[#This Row],[Temperature '[°C']]]&lt;=-20</f>
        <v>0</v>
      </c>
      <c r="DH815" s="18" t="b">
        <f>NOT(OR(MOD(RecData[[#This Row],[TIMESTAMP]],1)&gt;0.91632,MOD(RecData[[#This Row],[TIMESTAMP]],1)&lt;0.208681))</f>
        <v>0</v>
      </c>
      <c r="DI815" s="18" t="b">
        <f>RecData[[#This Row],[Overall (dBA)]]-RecData[[#This Row],[L90]]&gt;=$DS$4</f>
        <v>0</v>
      </c>
      <c r="DJ815" s="18" t="b">
        <f>RecData[[#This Row],[Overall (dBA)]]&gt;$DS$2</f>
        <v>0</v>
      </c>
      <c r="DK815" s="18" t="b">
        <f>RecData[[#This Row],[Overall (dBA)]]&lt;$DS$3</f>
        <v>0</v>
      </c>
      <c r="DL8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5" s="2">
        <f>IF(AND(RecData[[#This Row],[Turbines ON/OFF]] = "OFF", NOT(OR(RecData[[#This Row],[Junk?]]="YES",RecData[[#This Row],[Gust?]],RecData[[#This Row],[Rain?]:[Min SPL Threshold?]]))),1,0)</f>
        <v>1</v>
      </c>
      <c r="DN815" s="16">
        <f>RecData[[#This Row],[dBA Sum]]</f>
        <v>15.133315816277783</v>
      </c>
      <c r="DO815" s="16">
        <f>RecData[[#This Row],[LAF90.0]]</f>
        <v>20</v>
      </c>
      <c r="DP815" s="55" t="str">
        <f>IF(AND(RecData[[#This Row],[Useable TON Data?]],RecData[[#This Row],[Turbines ON/OFF]]="ON"),RecData[[#This Row],[dBA Sum]],"")</f>
        <v/>
      </c>
      <c r="DQ815" s="55">
        <f>IF(AND(RecData[[#This Row],[Useable Background Data?]],RecData[[#This Row],[Turbines ON/OFF]]="OFF"),RecData[[#This Row],[dBA Sum]],"")</f>
        <v>15.133315816277783</v>
      </c>
      <c r="DR815" s="3">
        <f>IF(OR(RecData[[#This Row],[Useable TON Data?]],RecData[[#This Row],[Useable Background Data?]]),ROUND(RecData[[#This Row],[WSpd_Avg '[m/s']]],0),"")</f>
        <v>1</v>
      </c>
      <c r="DS815" s="85">
        <f>(0.00002)^2*(10^(RecData[[#This Row],[Overall (dBA)]]/10))</f>
        <v>1.3043422826361517E-8</v>
      </c>
    </row>
    <row r="816" spans="1:123" ht="15" x14ac:dyDescent="0.25">
      <c r="A816" s="3" t="s">
        <v>249</v>
      </c>
      <c r="B816" s="12">
        <v>43274.015277777777</v>
      </c>
      <c r="C816" s="3"/>
      <c r="D816" s="3">
        <v>30.2</v>
      </c>
      <c r="E816" s="3"/>
      <c r="F816" s="3"/>
      <c r="G816" s="3"/>
      <c r="H816" s="3"/>
      <c r="I816" s="3"/>
      <c r="J816" s="3"/>
      <c r="K816" s="3">
        <v>19.3</v>
      </c>
      <c r="L816" s="3"/>
      <c r="M816" s="3"/>
      <c r="N816" s="3">
        <v>134.9</v>
      </c>
      <c r="O816" s="3"/>
      <c r="P816" s="3"/>
      <c r="Q816" s="3">
        <v>0.57999999999999996</v>
      </c>
      <c r="R816" s="3">
        <v>0.5</v>
      </c>
      <c r="S816" s="3">
        <v>0.7</v>
      </c>
      <c r="T816" s="3">
        <v>11.9</v>
      </c>
      <c r="U816" s="3">
        <v>80.2</v>
      </c>
      <c r="V816" s="3">
        <v>967.4</v>
      </c>
      <c r="W816" s="3">
        <v>0</v>
      </c>
      <c r="X816" s="3">
        <v>20.100000000000001</v>
      </c>
      <c r="Y816" s="3">
        <v>15.8</v>
      </c>
      <c r="Z816" s="3">
        <v>17.100000000000001</v>
      </c>
      <c r="AA816" s="3">
        <v>12.8</v>
      </c>
      <c r="AB816" s="3">
        <v>8.8000000000000007</v>
      </c>
      <c r="AC816" s="3">
        <v>6.3</v>
      </c>
      <c r="AD816" s="3">
        <v>9.4</v>
      </c>
      <c r="AE816" s="3">
        <v>8.5</v>
      </c>
      <c r="AF816" s="3">
        <v>9.6999999999999993</v>
      </c>
      <c r="AG816" s="3">
        <v>11.5</v>
      </c>
      <c r="AH816" s="3">
        <v>8.9</v>
      </c>
      <c r="AI816" s="3">
        <v>8.5</v>
      </c>
      <c r="AJ816" s="3">
        <v>8.6</v>
      </c>
      <c r="AK816" s="3">
        <v>8.4</v>
      </c>
      <c r="AL816" s="3">
        <v>6.9</v>
      </c>
      <c r="AM816" s="3">
        <v>6.9</v>
      </c>
      <c r="AN816" s="3">
        <v>7.5</v>
      </c>
      <c r="AO816" s="3">
        <v>8.9</v>
      </c>
      <c r="AP816" s="3">
        <v>7.3</v>
      </c>
      <c r="AQ816" s="3">
        <v>6.1</v>
      </c>
      <c r="AR816" s="3">
        <v>6</v>
      </c>
      <c r="AS816" s="3">
        <v>12.8</v>
      </c>
      <c r="AT816" s="3">
        <v>28.5</v>
      </c>
      <c r="AU816" s="3">
        <v>11.4</v>
      </c>
      <c r="AV816" s="3">
        <v>8.1999999999999993</v>
      </c>
      <c r="AW816" s="3">
        <v>8.6999999999999993</v>
      </c>
      <c r="AX816" s="3">
        <v>8.9</v>
      </c>
      <c r="AY816" s="3">
        <v>9.1</v>
      </c>
      <c r="AZ816" s="3">
        <v>0</v>
      </c>
      <c r="BA816" s="3">
        <v>0</v>
      </c>
      <c r="BB816" s="3">
        <v>0</v>
      </c>
      <c r="BC816" s="3">
        <v>30.177149835827713</v>
      </c>
      <c r="BD816" s="3">
        <v>20.122850164172284</v>
      </c>
      <c r="BE816" s="3">
        <v>15.822850164172287</v>
      </c>
      <c r="BF816" s="3">
        <v>15.882850164172289</v>
      </c>
      <c r="BG816" s="3">
        <v>11.909516830838953</v>
      </c>
      <c r="BH816" s="3">
        <v>8.0495168308389538</v>
      </c>
      <c r="BI816" s="3">
        <v>5.9628501641722877</v>
      </c>
      <c r="BJ816" s="3">
        <v>9.8561834975056186</v>
      </c>
      <c r="BK816" s="3">
        <v>8.8295168308389478</v>
      </c>
      <c r="BL816" s="3">
        <v>9.6028501641722883</v>
      </c>
      <c r="BM816" s="3">
        <v>11.536183497505625</v>
      </c>
      <c r="BN816" s="3">
        <v>9.2195168308389555</v>
      </c>
      <c r="BO816" s="3">
        <v>8.186183497505624</v>
      </c>
      <c r="BP816" s="3">
        <v>8.0028501641722869</v>
      </c>
      <c r="BQ816" s="3">
        <v>8.2195168308389484</v>
      </c>
      <c r="BR816" s="3">
        <v>7.0461834975056234</v>
      </c>
      <c r="BS816" s="3">
        <v>6.8495168308389509</v>
      </c>
      <c r="BT816" s="3">
        <v>7.6461834975056249</v>
      </c>
      <c r="BU816" s="3">
        <v>9.012850164172292</v>
      </c>
      <c r="BV816" s="3">
        <v>7.129516830838952</v>
      </c>
      <c r="BW816" s="3">
        <v>6.4628501641722877</v>
      </c>
      <c r="BX816" s="3">
        <v>6.2828501641722951</v>
      </c>
      <c r="BY816" s="3">
        <v>12.902850164172285</v>
      </c>
      <c r="BZ816" s="3">
        <v>28.732850164172291</v>
      </c>
      <c r="CA816" s="3">
        <v>11.732850164172284</v>
      </c>
      <c r="CB816" s="3">
        <v>7.9695168308389484</v>
      </c>
      <c r="CC816" s="3">
        <v>8.6828501641722866</v>
      </c>
      <c r="CD816" s="3">
        <v>8.1895168308389614</v>
      </c>
      <c r="CE816" s="3">
        <v>8.5828501641722852</v>
      </c>
      <c r="CF816" s="3">
        <v>-0.90381650249437939</v>
      </c>
      <c r="CG816" s="3">
        <v>-1.4371498358277108</v>
      </c>
      <c r="CH816" s="3">
        <v>-2.5138165024943788</v>
      </c>
      <c r="CI816" s="13">
        <f>[1]!dbasum(RecData[[#This Row],[20]:[2000]],RecData[[#Headers],[20]:[2000]])</f>
        <v>16.189154849421897</v>
      </c>
      <c r="CJ816" s="14">
        <v>9895</v>
      </c>
      <c r="CK816" s="15" t="s">
        <v>249</v>
      </c>
      <c r="CL816" s="15">
        <f>RecData[[#This Row],[Start Time]]</f>
        <v>43274.015277777777</v>
      </c>
      <c r="CM816" s="16">
        <f>RecData[[#This Row],[Wind Speed avg]]</f>
        <v>0.57999999999999996</v>
      </c>
      <c r="CN816" s="16">
        <f>RecData[[#This Row],[Wind Dir. avg]]</f>
        <v>134.9</v>
      </c>
      <c r="CO816" s="16">
        <f>RecData[[#This Row],[Amb. Humidity]]</f>
        <v>80.2</v>
      </c>
      <c r="CP816" s="16">
        <f>RecData[[#This Row],[Amb. Temperature]]</f>
        <v>11.9</v>
      </c>
      <c r="CQ816" s="17">
        <f>RecData[[#This Row],[Amb. Rain Gauge]]</f>
        <v>0</v>
      </c>
      <c r="CR816" s="4" t="s">
        <v>50</v>
      </c>
      <c r="CS816" s="4" t="s">
        <v>49</v>
      </c>
      <c r="CT816" s="70">
        <v>-9.4024381637573207</v>
      </c>
      <c r="CU816" s="70">
        <v>329.07009887695301</v>
      </c>
      <c r="CV816" s="70">
        <v>0.81433826684951705</v>
      </c>
      <c r="CW816" s="70">
        <v>0</v>
      </c>
      <c r="CX816" s="109"/>
      <c r="CY816" s="110"/>
      <c r="CZ816" s="2" t="b">
        <f>IF($DP$1="YES",IF(RecData[[#This Row],[Power (kW)]]&gt;=$CR$3, TRUE,FALSE),TRUE)</f>
        <v>0</v>
      </c>
      <c r="DA816" s="16">
        <f>MIN(MOD(180-ABS(ABS($DA$1-RecData[Yaw Angle (°)])-180),360),MOD(180-ABS(ABS($DB$1-RecData[Yaw Angle (°)])-180),360))</f>
        <v>38.459827900734524</v>
      </c>
      <c r="DB816" s="2" t="str">
        <f>IF($DP$2="None","None",IF(RecData[[#This Row],[Relative Wind Direction]]&lt;=45,"DW",IF(RecData[[#This Row],[Relative Wind Direction]]&lt;=135,"CW","UW")))</f>
        <v>DW</v>
      </c>
      <c r="DC816" s="61" t="e">
        <f>IF($CL816-$CL814&gt;1/24,#REF!,IF(SUM($CQ814:$CQ816)&gt;$DS$1,$DS$5,DC817-1))</f>
        <v>#REF!</v>
      </c>
      <c r="DD816" s="61" t="e">
        <f>IF($CL817-$CL816&gt;1/24,#REF!,IF(SUM($CQ814:$CQ816)&gt;$DS$1,$DS$6,DD815-1))</f>
        <v>#REF!</v>
      </c>
      <c r="DE816" s="18" t="b">
        <v>0</v>
      </c>
      <c r="DF816" s="2" t="b">
        <f>IF(OR(RecData[[#This Row],[WSpd_Avg '[m/s']]]-RecData[[#This Row],[Wind Speed min]]&gt;=$DF$3,RecData[[#This Row],[Wind Speed max]]-RecData[[#This Row],[WSpd_Avg '[m/s']]]&gt;=$DF$2),TRUE,FALSE)</f>
        <v>0</v>
      </c>
      <c r="DG816" s="2" t="b">
        <f>RecData[[#This Row],[Temperature '[°C']]]&lt;=-20</f>
        <v>0</v>
      </c>
      <c r="DH816" s="18" t="b">
        <f>NOT(OR(MOD(RecData[[#This Row],[TIMESTAMP]],1)&gt;0.91632,MOD(RecData[[#This Row],[TIMESTAMP]],1)&lt;0.208681))</f>
        <v>0</v>
      </c>
      <c r="DI816" s="18" t="b">
        <f>RecData[[#This Row],[Overall (dBA)]]-RecData[[#This Row],[L90]]&gt;=$DS$4</f>
        <v>0</v>
      </c>
      <c r="DJ816" s="18" t="b">
        <f>RecData[[#This Row],[Overall (dBA)]]&gt;$DS$2</f>
        <v>0</v>
      </c>
      <c r="DK816" s="18" t="b">
        <f>RecData[[#This Row],[Overall (dBA)]]&lt;$DS$3</f>
        <v>0</v>
      </c>
      <c r="DL8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6" s="2">
        <f>IF(AND(RecData[[#This Row],[Turbines ON/OFF]] = "OFF", NOT(OR(RecData[[#This Row],[Junk?]]="YES",RecData[[#This Row],[Gust?]],RecData[[#This Row],[Rain?]:[Min SPL Threshold?]]))),1,0)</f>
        <v>1</v>
      </c>
      <c r="DN816" s="16">
        <f>RecData[[#This Row],[dBA Sum]]</f>
        <v>16.189154849421897</v>
      </c>
      <c r="DO816" s="16">
        <f>RecData[[#This Row],[LAF90.0]]</f>
        <v>19.3</v>
      </c>
      <c r="DP816" s="55" t="str">
        <f>IF(AND(RecData[[#This Row],[Useable TON Data?]],RecData[[#This Row],[Turbines ON/OFF]]="ON"),RecData[[#This Row],[dBA Sum]],"")</f>
        <v/>
      </c>
      <c r="DQ816" s="55">
        <f>IF(AND(RecData[[#This Row],[Useable Background Data?]],RecData[[#This Row],[Turbines ON/OFF]]="OFF"),RecData[[#This Row],[dBA Sum]],"")</f>
        <v>16.189154849421897</v>
      </c>
      <c r="DR816" s="3">
        <f>IF(OR(RecData[[#This Row],[Useable TON Data?]],RecData[[#This Row],[Useable Background Data?]]),ROUND(RecData[[#This Row],[WSpd_Avg '[m/s']]],0),"")</f>
        <v>1</v>
      </c>
      <c r="DS816" s="85">
        <f>(0.00002)^2*(10^(RecData[[#This Row],[Overall (dBA)]]/10))</f>
        <v>1.663318723478548E-8</v>
      </c>
    </row>
    <row r="817" spans="1:123" ht="15" x14ac:dyDescent="0.25">
      <c r="A817" s="3" t="s">
        <v>249</v>
      </c>
      <c r="B817" s="12">
        <v>43274.015972222223</v>
      </c>
      <c r="C817" s="3"/>
      <c r="D817" s="3">
        <v>28.1</v>
      </c>
      <c r="E817" s="3"/>
      <c r="F817" s="3"/>
      <c r="G817" s="3"/>
      <c r="H817" s="3"/>
      <c r="I817" s="3"/>
      <c r="J817" s="3"/>
      <c r="K817" s="3">
        <v>19</v>
      </c>
      <c r="L817" s="3"/>
      <c r="M817" s="3"/>
      <c r="N817" s="3">
        <v>148.80000000000001</v>
      </c>
      <c r="O817" s="3"/>
      <c r="P817" s="3"/>
      <c r="Q817" s="3">
        <v>0.53</v>
      </c>
      <c r="R817" s="3">
        <v>0.4</v>
      </c>
      <c r="S817" s="3">
        <v>0.7</v>
      </c>
      <c r="T817" s="3">
        <v>11.9</v>
      </c>
      <c r="U817" s="3">
        <v>78.900000000000006</v>
      </c>
      <c r="V817" s="3">
        <v>967.4</v>
      </c>
      <c r="W817" s="3">
        <v>0</v>
      </c>
      <c r="X817" s="3">
        <v>21.7</v>
      </c>
      <c r="Y817" s="3">
        <v>16.5</v>
      </c>
      <c r="Z817" s="3">
        <v>17.100000000000001</v>
      </c>
      <c r="AA817" s="3">
        <v>11.4</v>
      </c>
      <c r="AB817" s="3">
        <v>7.4</v>
      </c>
      <c r="AC817" s="3">
        <v>5.7</v>
      </c>
      <c r="AD817" s="3">
        <v>9.1</v>
      </c>
      <c r="AE817" s="3">
        <v>9.4</v>
      </c>
      <c r="AF817" s="3">
        <v>13</v>
      </c>
      <c r="AG817" s="3">
        <v>14.9</v>
      </c>
      <c r="AH817" s="3">
        <v>15.9</v>
      </c>
      <c r="AI817" s="3">
        <v>13.2</v>
      </c>
      <c r="AJ817" s="3">
        <v>12.8</v>
      </c>
      <c r="AK817" s="3">
        <v>13.5</v>
      </c>
      <c r="AL817" s="3">
        <v>9.6999999999999993</v>
      </c>
      <c r="AM817" s="3">
        <v>12.5</v>
      </c>
      <c r="AN817" s="3">
        <v>11.3</v>
      </c>
      <c r="AO817" s="3">
        <v>14.1</v>
      </c>
      <c r="AP817" s="3">
        <v>13.2</v>
      </c>
      <c r="AQ817" s="3">
        <v>6.4</v>
      </c>
      <c r="AR817" s="3">
        <v>6.2</v>
      </c>
      <c r="AS817" s="3">
        <v>11</v>
      </c>
      <c r="AT817" s="3">
        <v>25.7</v>
      </c>
      <c r="AU817" s="3">
        <v>9</v>
      </c>
      <c r="AV817" s="3">
        <v>8.1</v>
      </c>
      <c r="AW817" s="3">
        <v>8.6999999999999993</v>
      </c>
      <c r="AX817" s="3">
        <v>8.9</v>
      </c>
      <c r="AY817" s="3">
        <v>9.1</v>
      </c>
      <c r="AZ817" s="3">
        <v>0</v>
      </c>
      <c r="BA817" s="3">
        <v>0</v>
      </c>
      <c r="BB817" s="3">
        <v>0</v>
      </c>
      <c r="BC817" s="3">
        <v>28.120076851408065</v>
      </c>
      <c r="BD817" s="3">
        <v>21.679923148591932</v>
      </c>
      <c r="BE817" s="3">
        <v>16.479923148591936</v>
      </c>
      <c r="BF817" s="3">
        <v>15.839923148591936</v>
      </c>
      <c r="BG817" s="3">
        <v>10.466589815258601</v>
      </c>
      <c r="BH817" s="3">
        <v>6.6065898152586087</v>
      </c>
      <c r="BI817" s="3">
        <v>5.3199231485919398</v>
      </c>
      <c r="BJ817" s="3">
        <v>9.5132564819252678</v>
      </c>
      <c r="BK817" s="3">
        <v>9.6865898152585999</v>
      </c>
      <c r="BL817" s="3">
        <v>12.859923148591939</v>
      </c>
      <c r="BM817" s="3">
        <v>14.89325648192527</v>
      </c>
      <c r="BN817" s="3">
        <v>16.176589815258602</v>
      </c>
      <c r="BO817" s="3">
        <v>12.843256481925273</v>
      </c>
      <c r="BP817" s="3">
        <v>12.159923148591936</v>
      </c>
      <c r="BQ817" s="3">
        <v>13.276589815258596</v>
      </c>
      <c r="BR817" s="3">
        <v>9.803256481925267</v>
      </c>
      <c r="BS817" s="3">
        <v>12.406589815258606</v>
      </c>
      <c r="BT817" s="3">
        <v>11.403256481925276</v>
      </c>
      <c r="BU817" s="3">
        <v>14.169923148591941</v>
      </c>
      <c r="BV817" s="3">
        <v>12.986589815258604</v>
      </c>
      <c r="BW817" s="3">
        <v>6.7199231485919384</v>
      </c>
      <c r="BX817" s="3">
        <v>6.4399231485919444</v>
      </c>
      <c r="BY817" s="3">
        <v>11.059923148591935</v>
      </c>
      <c r="BZ817" s="3">
        <v>25.88992314859194</v>
      </c>
      <c r="CA817" s="3">
        <v>9.2899231485919316</v>
      </c>
      <c r="CB817" s="3">
        <v>7.8265898152586004</v>
      </c>
      <c r="CC817" s="3">
        <v>8.639923148591933</v>
      </c>
      <c r="CD817" s="3">
        <v>8.1465898152586078</v>
      </c>
      <c r="CE817" s="3">
        <v>8.5399231485919316</v>
      </c>
      <c r="CF817" s="3">
        <v>-0.94674351807472945</v>
      </c>
      <c r="CG817" s="3">
        <v>-1.4800768514080609</v>
      </c>
      <c r="CH817" s="3">
        <v>-2.5567435180747289</v>
      </c>
      <c r="CI817" s="13">
        <f>[1]!dbasum(RecData[[#This Row],[20]:[2000]],RecData[[#Headers],[20]:[2000]])</f>
        <v>20.272352198694552</v>
      </c>
      <c r="CJ817" s="14">
        <v>9896</v>
      </c>
      <c r="CK817" s="15" t="s">
        <v>249</v>
      </c>
      <c r="CL817" s="15">
        <f>RecData[[#This Row],[Start Time]]</f>
        <v>43274.015972222223</v>
      </c>
      <c r="CM817" s="16">
        <f>RecData[[#This Row],[Wind Speed avg]]</f>
        <v>0.53</v>
      </c>
      <c r="CN817" s="16">
        <f>RecData[[#This Row],[Wind Dir. avg]]</f>
        <v>148.80000000000001</v>
      </c>
      <c r="CO817" s="16">
        <f>RecData[[#This Row],[Amb. Humidity]]</f>
        <v>78.900000000000006</v>
      </c>
      <c r="CP817" s="16">
        <f>RecData[[#This Row],[Amb. Temperature]]</f>
        <v>11.9</v>
      </c>
      <c r="CQ817" s="17">
        <f>RecData[[#This Row],[Amb. Rain Gauge]]</f>
        <v>0</v>
      </c>
      <c r="CR817" s="4" t="s">
        <v>50</v>
      </c>
      <c r="CS817" s="4" t="s">
        <v>49</v>
      </c>
      <c r="CT817" s="70">
        <v>-9.4024381637573207</v>
      </c>
      <c r="CU817" s="70">
        <v>329.07009887695301</v>
      </c>
      <c r="CV817" s="70">
        <v>0.81433826684951705</v>
      </c>
      <c r="CW817" s="70">
        <v>0</v>
      </c>
      <c r="CX817" s="109"/>
      <c r="CY817" s="110"/>
      <c r="CZ817" s="2" t="b">
        <f>IF($DP$1="YES",IF(RecData[[#This Row],[Power (kW)]]&gt;=$CR$3, TRUE,FALSE),TRUE)</f>
        <v>0</v>
      </c>
      <c r="DA817" s="16">
        <f>MIN(MOD(180-ABS(ABS($DA$1-RecData[Yaw Angle (°)])-180),360),MOD(180-ABS(ABS($DB$1-RecData[Yaw Angle (°)])-180),360))</f>
        <v>38.459827900734524</v>
      </c>
      <c r="DB817" s="2" t="str">
        <f>IF($DP$2="None","None",IF(RecData[[#This Row],[Relative Wind Direction]]&lt;=45,"DW",IF(RecData[[#This Row],[Relative Wind Direction]]&lt;=135,"CW","UW")))</f>
        <v>DW</v>
      </c>
      <c r="DC817" s="61" t="e">
        <f>IF($CL817-$CL814&gt;1/24,#REF!,IF(SUM($CQ814:$CQ817)&gt;$DS$1,$DS$5,DC818-1))</f>
        <v>#REF!</v>
      </c>
      <c r="DD817" s="61" t="e">
        <f>IF($CL818-$CL817&gt;1/24,#REF!,IF(SUM($CQ814:$CQ817)&gt;$DS$1,$DS$6,DD816-1))</f>
        <v>#REF!</v>
      </c>
      <c r="DE817" s="18" t="b">
        <v>0</v>
      </c>
      <c r="DF817" s="2" t="b">
        <f>IF(OR(RecData[[#This Row],[WSpd_Avg '[m/s']]]-RecData[[#This Row],[Wind Speed min]]&gt;=$DF$3,RecData[[#This Row],[Wind Speed max]]-RecData[[#This Row],[WSpd_Avg '[m/s']]]&gt;=$DF$2),TRUE,FALSE)</f>
        <v>0</v>
      </c>
      <c r="DG817" s="2" t="b">
        <f>RecData[[#This Row],[Temperature '[°C']]]&lt;=-20</f>
        <v>0</v>
      </c>
      <c r="DH817" s="18" t="b">
        <f>NOT(OR(MOD(RecData[[#This Row],[TIMESTAMP]],1)&gt;0.91632,MOD(RecData[[#This Row],[TIMESTAMP]],1)&lt;0.208681))</f>
        <v>0</v>
      </c>
      <c r="DI817" s="18" t="b">
        <f>RecData[[#This Row],[Overall (dBA)]]-RecData[[#This Row],[L90]]&gt;=$DS$4</f>
        <v>0</v>
      </c>
      <c r="DJ817" s="18" t="b">
        <f>RecData[[#This Row],[Overall (dBA)]]&gt;$DS$2</f>
        <v>0</v>
      </c>
      <c r="DK817" s="18" t="b">
        <f>RecData[[#This Row],[Overall (dBA)]]&lt;$DS$3</f>
        <v>0</v>
      </c>
      <c r="DL8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7" s="2">
        <f>IF(AND(RecData[[#This Row],[Turbines ON/OFF]] = "OFF", NOT(OR(RecData[[#This Row],[Junk?]]="YES",RecData[[#This Row],[Gust?]],RecData[[#This Row],[Rain?]:[Min SPL Threshold?]]))),1,0)</f>
        <v>1</v>
      </c>
      <c r="DN817" s="16">
        <f>RecData[[#This Row],[dBA Sum]]</f>
        <v>20.272352198694552</v>
      </c>
      <c r="DO817" s="16">
        <f>RecData[[#This Row],[LAF90.0]]</f>
        <v>19</v>
      </c>
      <c r="DP817" s="55" t="str">
        <f>IF(AND(RecData[[#This Row],[Useable TON Data?]],RecData[[#This Row],[Turbines ON/OFF]]="ON"),RecData[[#This Row],[dBA Sum]],"")</f>
        <v/>
      </c>
      <c r="DQ817" s="55">
        <f>IF(AND(RecData[[#This Row],[Useable Background Data?]],RecData[[#This Row],[Turbines ON/OFF]]="OFF"),RecData[[#This Row],[dBA Sum]],"")</f>
        <v>20.272352198694552</v>
      </c>
      <c r="DR817" s="3">
        <f>IF(OR(RecData[[#This Row],[Useable TON Data?]],RecData[[#This Row],[Useable Background Data?]]),ROUND(RecData[[#This Row],[WSpd_Avg '[m/s']]],0),"")</f>
        <v>1</v>
      </c>
      <c r="DS817" s="85">
        <f>(0.00002)^2*(10^(RecData[[#This Row],[Overall (dBA)]]/10))</f>
        <v>4.2588781153593892E-8</v>
      </c>
    </row>
    <row r="818" spans="1:123" ht="15" x14ac:dyDescent="0.25">
      <c r="A818" s="3" t="s">
        <v>249</v>
      </c>
      <c r="B818" s="12">
        <v>43274.01666666667</v>
      </c>
      <c r="C818" s="3"/>
      <c r="D818" s="3">
        <v>30</v>
      </c>
      <c r="E818" s="3"/>
      <c r="F818" s="3"/>
      <c r="G818" s="3"/>
      <c r="H818" s="3"/>
      <c r="I818" s="3"/>
      <c r="J818" s="3"/>
      <c r="K818" s="3">
        <v>19</v>
      </c>
      <c r="L818" s="3"/>
      <c r="M818" s="3"/>
      <c r="N818" s="3">
        <v>151.9</v>
      </c>
      <c r="O818" s="3"/>
      <c r="P818" s="3"/>
      <c r="Q818" s="3">
        <v>0.51</v>
      </c>
      <c r="R818" s="3">
        <v>0.4</v>
      </c>
      <c r="S818" s="3">
        <v>0.6</v>
      </c>
      <c r="T818" s="3">
        <v>11.9</v>
      </c>
      <c r="U818" s="3">
        <v>79.099999999999994</v>
      </c>
      <c r="V818" s="3">
        <v>967.4</v>
      </c>
      <c r="W818" s="3">
        <v>0</v>
      </c>
      <c r="X818" s="3">
        <v>18.600000000000001</v>
      </c>
      <c r="Y818" s="3">
        <v>15.1</v>
      </c>
      <c r="Z818" s="3">
        <v>13.4</v>
      </c>
      <c r="AA818" s="3">
        <v>10.3</v>
      </c>
      <c r="AB818" s="3">
        <v>7.1</v>
      </c>
      <c r="AC818" s="3">
        <v>4.9000000000000004</v>
      </c>
      <c r="AD818" s="3">
        <v>6.2</v>
      </c>
      <c r="AE818" s="3">
        <v>5.4</v>
      </c>
      <c r="AF818" s="3">
        <v>8.3000000000000007</v>
      </c>
      <c r="AG818" s="3">
        <v>11.9</v>
      </c>
      <c r="AH818" s="3">
        <v>7</v>
      </c>
      <c r="AI818" s="3">
        <v>7.4</v>
      </c>
      <c r="AJ818" s="3">
        <v>8.3000000000000007</v>
      </c>
      <c r="AK818" s="3">
        <v>8.8000000000000007</v>
      </c>
      <c r="AL818" s="3">
        <v>6.4</v>
      </c>
      <c r="AM818" s="3">
        <v>5.4</v>
      </c>
      <c r="AN818" s="3">
        <v>5.9</v>
      </c>
      <c r="AO818" s="3">
        <v>6</v>
      </c>
      <c r="AP818" s="3">
        <v>5.7</v>
      </c>
      <c r="AQ818" s="3">
        <v>6.1</v>
      </c>
      <c r="AR818" s="3">
        <v>6.1</v>
      </c>
      <c r="AS818" s="3">
        <v>12.7</v>
      </c>
      <c r="AT818" s="3">
        <v>28.4</v>
      </c>
      <c r="AU818" s="3">
        <v>11.2</v>
      </c>
      <c r="AV818" s="3">
        <v>8.1</v>
      </c>
      <c r="AW818" s="3">
        <v>8.6</v>
      </c>
      <c r="AX818" s="3">
        <v>8.9</v>
      </c>
      <c r="AY818" s="3">
        <v>9.1</v>
      </c>
      <c r="AZ818" s="3">
        <v>0</v>
      </c>
      <c r="BA818" s="3">
        <v>0</v>
      </c>
      <c r="BB818" s="3">
        <v>0</v>
      </c>
      <c r="BC818" s="3">
        <v>30.043862897404775</v>
      </c>
      <c r="BD818" s="3">
        <v>18.556137102595226</v>
      </c>
      <c r="BE818" s="3">
        <v>15.056137102595226</v>
      </c>
      <c r="BF818" s="3">
        <v>12.116137102595221</v>
      </c>
      <c r="BG818" s="3">
        <v>9.3428037692618879</v>
      </c>
      <c r="BH818" s="3">
        <v>6.2828037692618928</v>
      </c>
      <c r="BI818" s="3">
        <v>4.4961371025952239</v>
      </c>
      <c r="BJ818" s="3">
        <v>6.5894704359285576</v>
      </c>
      <c r="BK818" s="3">
        <v>5.6628037692618882</v>
      </c>
      <c r="BL818" s="3">
        <v>8.1361371025952245</v>
      </c>
      <c r="BM818" s="3">
        <v>11.869470435928559</v>
      </c>
      <c r="BN818" s="3">
        <v>7.2528037692618916</v>
      </c>
      <c r="BO818" s="3">
        <v>7.0194704359285645</v>
      </c>
      <c r="BP818" s="3">
        <v>7.6361371025952245</v>
      </c>
      <c r="BQ818" s="3">
        <v>8.5528037692618817</v>
      </c>
      <c r="BR818" s="3">
        <v>6.4794704359285582</v>
      </c>
      <c r="BS818" s="3">
        <v>5.2828037692618928</v>
      </c>
      <c r="BT818" s="3">
        <v>5.9794704359285582</v>
      </c>
      <c r="BU818" s="3">
        <v>6.0461371025952282</v>
      </c>
      <c r="BV818" s="3">
        <v>5.4628037692618925</v>
      </c>
      <c r="BW818" s="3">
        <v>6.3961371025952296</v>
      </c>
      <c r="BX818" s="3">
        <v>6.3161371025952313</v>
      </c>
      <c r="BY818" s="3">
        <v>12.736137102595226</v>
      </c>
      <c r="BZ818" s="3">
        <v>28.566137102595224</v>
      </c>
      <c r="CA818" s="3">
        <v>11.466137102595216</v>
      </c>
      <c r="CB818" s="3">
        <v>7.8028037692618888</v>
      </c>
      <c r="CC818" s="3">
        <v>8.516137102595227</v>
      </c>
      <c r="CD818" s="3">
        <v>8.1228037692618962</v>
      </c>
      <c r="CE818" s="3">
        <v>8.516137102595227</v>
      </c>
      <c r="CF818" s="3">
        <v>-0.97052956407144109</v>
      </c>
      <c r="CG818" s="3">
        <v>-1.5038628974047725</v>
      </c>
      <c r="CH818" s="3">
        <v>-2.5805295640714405</v>
      </c>
      <c r="CI818" s="13">
        <f>[1]!dbasum(RecData[[#This Row],[20]:[2000]],RecData[[#Headers],[20]:[2000]])</f>
        <v>15.1126672648453</v>
      </c>
      <c r="CJ818" s="14">
        <v>9897</v>
      </c>
      <c r="CK818" s="15" t="s">
        <v>249</v>
      </c>
      <c r="CL818" s="15">
        <f>RecData[[#This Row],[Start Time]]</f>
        <v>43274.01666666667</v>
      </c>
      <c r="CM818" s="16">
        <f>RecData[[#This Row],[Wind Speed avg]]</f>
        <v>0.51</v>
      </c>
      <c r="CN818" s="16">
        <f>RecData[[#This Row],[Wind Dir. avg]]</f>
        <v>151.9</v>
      </c>
      <c r="CO818" s="16">
        <f>RecData[[#This Row],[Amb. Humidity]]</f>
        <v>79.099999999999994</v>
      </c>
      <c r="CP818" s="16">
        <f>RecData[[#This Row],[Amb. Temperature]]</f>
        <v>11.9</v>
      </c>
      <c r="CQ818" s="17">
        <f>RecData[[#This Row],[Amb. Rain Gauge]]</f>
        <v>0</v>
      </c>
      <c r="CR818" s="4" t="s">
        <v>50</v>
      </c>
      <c r="CS818" s="4" t="s">
        <v>49</v>
      </c>
      <c r="CT818" s="70">
        <v>-9.4024381637573207</v>
      </c>
      <c r="CU818" s="70">
        <v>329.07009887695301</v>
      </c>
      <c r="CV818" s="70">
        <v>0.81433826684951705</v>
      </c>
      <c r="CW818" s="70">
        <v>0</v>
      </c>
      <c r="CX818" s="109"/>
      <c r="CY818" s="110"/>
      <c r="CZ818" s="2" t="b">
        <f>IF($DP$1="YES",IF(RecData[[#This Row],[Power (kW)]]&gt;=$CR$3, TRUE,FALSE),TRUE)</f>
        <v>0</v>
      </c>
      <c r="DA818" s="16">
        <f>MIN(MOD(180-ABS(ABS($DA$1-RecData[Yaw Angle (°)])-180),360),MOD(180-ABS(ABS($DB$1-RecData[Yaw Angle (°)])-180),360))</f>
        <v>38.459827900734524</v>
      </c>
      <c r="DB818" s="2" t="str">
        <f>IF($DP$2="None","None",IF(RecData[[#This Row],[Relative Wind Direction]]&lt;=45,"DW",IF(RecData[[#This Row],[Relative Wind Direction]]&lt;=135,"CW","UW")))</f>
        <v>DW</v>
      </c>
      <c r="DC818" s="61" t="e">
        <f>IF($CL818-#REF!&gt;1/24,#REF!,IF(SUM($CQ815:$CQ818)&gt;$DS$1,$DS$5,DC819-1))</f>
        <v>#REF!</v>
      </c>
      <c r="DD818" s="61" t="e">
        <f>IF($CL819-$CL818&gt;1/24,#REF!,IF(SUM($CQ815:$CQ818)&gt;$DS$1,$DS$6,DD817-1))</f>
        <v>#REF!</v>
      </c>
      <c r="DE818" s="18" t="b">
        <v>0</v>
      </c>
      <c r="DF818" s="2" t="b">
        <f>IF(OR(RecData[[#This Row],[WSpd_Avg '[m/s']]]-RecData[[#This Row],[Wind Speed min]]&gt;=$DF$3,RecData[[#This Row],[Wind Speed max]]-RecData[[#This Row],[WSpd_Avg '[m/s']]]&gt;=$DF$2),TRUE,FALSE)</f>
        <v>0</v>
      </c>
      <c r="DG818" s="2" t="b">
        <f>RecData[[#This Row],[Temperature '[°C']]]&lt;=-20</f>
        <v>0</v>
      </c>
      <c r="DH818" s="18" t="b">
        <f>NOT(OR(MOD(RecData[[#This Row],[TIMESTAMP]],1)&gt;0.91632,MOD(RecData[[#This Row],[TIMESTAMP]],1)&lt;0.208681))</f>
        <v>0</v>
      </c>
      <c r="DI818" s="18" t="b">
        <f>RecData[[#This Row],[Overall (dBA)]]-RecData[[#This Row],[L90]]&gt;=$DS$4</f>
        <v>0</v>
      </c>
      <c r="DJ818" s="18" t="b">
        <f>RecData[[#This Row],[Overall (dBA)]]&gt;$DS$2</f>
        <v>0</v>
      </c>
      <c r="DK818" s="18" t="b">
        <f>RecData[[#This Row],[Overall (dBA)]]&lt;$DS$3</f>
        <v>0</v>
      </c>
      <c r="DL8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8" s="2">
        <f>IF(AND(RecData[[#This Row],[Turbines ON/OFF]] = "OFF", NOT(OR(RecData[[#This Row],[Junk?]]="YES",RecData[[#This Row],[Gust?]],RecData[[#This Row],[Rain?]:[Min SPL Threshold?]]))),1,0)</f>
        <v>1</v>
      </c>
      <c r="DN818" s="16">
        <f>RecData[[#This Row],[dBA Sum]]</f>
        <v>15.1126672648453</v>
      </c>
      <c r="DO818" s="16">
        <f>RecData[[#This Row],[LAF90.0]]</f>
        <v>19</v>
      </c>
      <c r="DP818" s="55" t="str">
        <f>IF(AND(RecData[[#This Row],[Useable TON Data?]],RecData[[#This Row],[Turbines ON/OFF]]="ON"),RecData[[#This Row],[dBA Sum]],"")</f>
        <v/>
      </c>
      <c r="DQ818" s="55">
        <f>IF(AND(RecData[[#This Row],[Useable Background Data?]],RecData[[#This Row],[Turbines ON/OFF]]="OFF"),RecData[[#This Row],[dBA Sum]],"")</f>
        <v>15.1126672648453</v>
      </c>
      <c r="DR818" s="3">
        <f>IF(OR(RecData[[#This Row],[Useable TON Data?]],RecData[[#This Row],[Useable Background Data?]]),ROUND(RecData[[#This Row],[WSpd_Avg '[m/s']]],0),"")</f>
        <v>1</v>
      </c>
      <c r="DS818" s="85">
        <f>(0.00002)^2*(10^(RecData[[#This Row],[Overall (dBA)]]/10))</f>
        <v>1.2981555003565594E-8</v>
      </c>
    </row>
    <row r="819" spans="1:123" ht="15" x14ac:dyDescent="0.25">
      <c r="A819" s="3" t="s">
        <v>249</v>
      </c>
      <c r="B819" s="12">
        <v>43274.017361111109</v>
      </c>
      <c r="C819" s="3"/>
      <c r="D819" s="3">
        <v>30.7</v>
      </c>
      <c r="E819" s="3"/>
      <c r="F819" s="3"/>
      <c r="G819" s="3"/>
      <c r="H819" s="3"/>
      <c r="I819" s="3"/>
      <c r="J819" s="3"/>
      <c r="K819" s="3">
        <v>19.2</v>
      </c>
      <c r="L819" s="3"/>
      <c r="M819" s="3"/>
      <c r="N819" s="3">
        <v>158.80000000000001</v>
      </c>
      <c r="O819" s="3"/>
      <c r="P819" s="3"/>
      <c r="Q819" s="3">
        <v>0.49</v>
      </c>
      <c r="R819" s="3">
        <v>0.2</v>
      </c>
      <c r="S819" s="3">
        <v>0.6</v>
      </c>
      <c r="T819" s="3">
        <v>11.9</v>
      </c>
      <c r="U819" s="3">
        <v>79.3</v>
      </c>
      <c r="V819" s="3">
        <v>967.4</v>
      </c>
      <c r="W819" s="3">
        <v>0</v>
      </c>
      <c r="X819" s="3">
        <v>17.7</v>
      </c>
      <c r="Y819" s="3">
        <v>15.8</v>
      </c>
      <c r="Z819" s="3">
        <v>14.6</v>
      </c>
      <c r="AA819" s="3">
        <v>10.4</v>
      </c>
      <c r="AB819" s="3">
        <v>8.3000000000000007</v>
      </c>
      <c r="AC819" s="3">
        <v>5.9</v>
      </c>
      <c r="AD819" s="3">
        <v>6.2</v>
      </c>
      <c r="AE819" s="3">
        <v>7.1</v>
      </c>
      <c r="AF819" s="3">
        <v>11.6</v>
      </c>
      <c r="AG819" s="3">
        <v>16.3</v>
      </c>
      <c r="AH819" s="3">
        <v>11.2</v>
      </c>
      <c r="AI819" s="3">
        <v>8.9</v>
      </c>
      <c r="AJ819" s="3">
        <v>10.9</v>
      </c>
      <c r="AK819" s="3">
        <v>8.5</v>
      </c>
      <c r="AL819" s="3">
        <v>7.5</v>
      </c>
      <c r="AM819" s="3">
        <v>6</v>
      </c>
      <c r="AN819" s="3">
        <v>6.3</v>
      </c>
      <c r="AO819" s="3">
        <v>6.1</v>
      </c>
      <c r="AP819" s="3">
        <v>5.7</v>
      </c>
      <c r="AQ819" s="3">
        <v>6.1</v>
      </c>
      <c r="AR819" s="3">
        <v>6.2</v>
      </c>
      <c r="AS819" s="3">
        <v>12.5</v>
      </c>
      <c r="AT819" s="3">
        <v>29.2</v>
      </c>
      <c r="AU819" s="3">
        <v>11.2</v>
      </c>
      <c r="AV819" s="3">
        <v>8.1999999999999993</v>
      </c>
      <c r="AW819" s="3">
        <v>8.6999999999999993</v>
      </c>
      <c r="AX819" s="3">
        <v>8.9</v>
      </c>
      <c r="AY819" s="3">
        <v>9.1</v>
      </c>
      <c r="AZ819" s="3">
        <v>0</v>
      </c>
      <c r="BA819" s="3">
        <v>0</v>
      </c>
      <c r="BB819" s="3">
        <v>0</v>
      </c>
      <c r="BC819" s="3">
        <v>30.787066208580974</v>
      </c>
      <c r="BD819" s="3">
        <v>17.612933791419024</v>
      </c>
      <c r="BE819" s="3">
        <v>15.712933791419026</v>
      </c>
      <c r="BF819" s="3">
        <v>13.272933791419028</v>
      </c>
      <c r="BG819" s="3">
        <v>9.3996004580856933</v>
      </c>
      <c r="BH819" s="3">
        <v>7.4396004580856925</v>
      </c>
      <c r="BI819" s="3">
        <v>5.4529337914190279</v>
      </c>
      <c r="BJ819" s="3">
        <v>6.5462671247523545</v>
      </c>
      <c r="BK819" s="3">
        <v>7.3196004580856879</v>
      </c>
      <c r="BL819" s="3">
        <v>11.392933791419026</v>
      </c>
      <c r="BM819" s="3">
        <v>16.226267124752361</v>
      </c>
      <c r="BN819" s="3">
        <v>11.409600458085691</v>
      </c>
      <c r="BO819" s="3">
        <v>8.4762671247523613</v>
      </c>
      <c r="BP819" s="3">
        <v>10.19293379141903</v>
      </c>
      <c r="BQ819" s="3">
        <v>8.2096004580856814</v>
      </c>
      <c r="BR819" s="3">
        <v>7.5362671247523636</v>
      </c>
      <c r="BS819" s="3">
        <v>5.8396004580856911</v>
      </c>
      <c r="BT819" s="3">
        <v>6.3362671247523608</v>
      </c>
      <c r="BU819" s="3">
        <v>6.1029337914190265</v>
      </c>
      <c r="BV819" s="3">
        <v>5.4196004580856894</v>
      </c>
      <c r="BW819" s="3">
        <v>6.3529337914190265</v>
      </c>
      <c r="BX819" s="3">
        <v>6.3729337914190296</v>
      </c>
      <c r="BY819" s="3">
        <v>12.492933791419027</v>
      </c>
      <c r="BZ819" s="3">
        <v>29.322933791419025</v>
      </c>
      <c r="CA819" s="3">
        <v>11.42293379141902</v>
      </c>
      <c r="CB819" s="3">
        <v>7.8596004580856871</v>
      </c>
      <c r="CC819" s="3">
        <v>8.5729337914190253</v>
      </c>
      <c r="CD819" s="3">
        <v>8.0796004580857002</v>
      </c>
      <c r="CE819" s="3">
        <v>8.4729337914190239</v>
      </c>
      <c r="CF819" s="3">
        <v>-1.0137328752476407</v>
      </c>
      <c r="CG819" s="3">
        <v>-1.5470662085809721</v>
      </c>
      <c r="CH819" s="3">
        <v>-2.6237328752476401</v>
      </c>
      <c r="CI819" s="13">
        <f>[1]!dbasum(RecData[[#This Row],[20]:[2000]],RecData[[#Headers],[20]:[2000]])</f>
        <v>15.670183771162357</v>
      </c>
      <c r="CJ819" s="14">
        <v>9898</v>
      </c>
      <c r="CK819" s="15" t="s">
        <v>249</v>
      </c>
      <c r="CL819" s="15">
        <f>RecData[[#This Row],[Start Time]]</f>
        <v>43274.017361111109</v>
      </c>
      <c r="CM819" s="16">
        <f>RecData[[#This Row],[Wind Speed avg]]</f>
        <v>0.49</v>
      </c>
      <c r="CN819" s="16">
        <f>RecData[[#This Row],[Wind Dir. avg]]</f>
        <v>158.80000000000001</v>
      </c>
      <c r="CO819" s="16">
        <f>RecData[[#This Row],[Amb. Humidity]]</f>
        <v>79.3</v>
      </c>
      <c r="CP819" s="16">
        <f>RecData[[#This Row],[Amb. Temperature]]</f>
        <v>11.9</v>
      </c>
      <c r="CQ819" s="17">
        <f>RecData[[#This Row],[Amb. Rain Gauge]]</f>
        <v>0</v>
      </c>
      <c r="CR819" s="4" t="s">
        <v>50</v>
      </c>
      <c r="CS819" s="4" t="s">
        <v>49</v>
      </c>
      <c r="CT819" s="70">
        <v>-9.4024381637573207</v>
      </c>
      <c r="CU819" s="70">
        <v>329.07009887695301</v>
      </c>
      <c r="CV819" s="70">
        <v>0.81433826684951705</v>
      </c>
      <c r="CW819" s="70">
        <v>0</v>
      </c>
      <c r="CX819" s="109"/>
      <c r="CY819" s="110"/>
      <c r="CZ819" s="2" t="b">
        <f>IF($DP$1="YES",IF(RecData[[#This Row],[Power (kW)]]&gt;=$CR$3, TRUE,FALSE),TRUE)</f>
        <v>0</v>
      </c>
      <c r="DA819" s="16">
        <f>MIN(MOD(180-ABS(ABS($DA$1-RecData[Yaw Angle (°)])-180),360),MOD(180-ABS(ABS($DB$1-RecData[Yaw Angle (°)])-180),360))</f>
        <v>38.459827900734524</v>
      </c>
      <c r="DB819" s="2" t="str">
        <f>IF($DP$2="None","None",IF(RecData[[#This Row],[Relative Wind Direction]]&lt;=45,"DW",IF(RecData[[#This Row],[Relative Wind Direction]]&lt;=135,"CW","UW")))</f>
        <v>DW</v>
      </c>
      <c r="DC819" s="61">
        <f>IF($CL819-$CL815&gt;1/24,#REF!,IF(SUM($CQ815:$CQ819)&gt;$DS$1,$DS$5,DC820-1))</f>
        <v>-4</v>
      </c>
      <c r="DD819" s="61" t="e">
        <f>IF($CL820-$CL819&gt;1/24,#REF!,IF(SUM($CQ815:$CQ819)&gt;$DS$1,$DS$6,DD818-1))</f>
        <v>#REF!</v>
      </c>
      <c r="DE819" s="18" t="b">
        <v>0</v>
      </c>
      <c r="DF819" s="2" t="b">
        <f>IF(OR(RecData[[#This Row],[WSpd_Avg '[m/s']]]-RecData[[#This Row],[Wind Speed min]]&gt;=$DF$3,RecData[[#This Row],[Wind Speed max]]-RecData[[#This Row],[WSpd_Avg '[m/s']]]&gt;=$DF$2),TRUE,FALSE)</f>
        <v>0</v>
      </c>
      <c r="DG819" s="2" t="b">
        <f>RecData[[#This Row],[Temperature '[°C']]]&lt;=-20</f>
        <v>0</v>
      </c>
      <c r="DH819" s="18" t="b">
        <f>NOT(OR(MOD(RecData[[#This Row],[TIMESTAMP]],1)&gt;0.91632,MOD(RecData[[#This Row],[TIMESTAMP]],1)&lt;0.208681))</f>
        <v>0</v>
      </c>
      <c r="DI819" s="18" t="b">
        <f>RecData[[#This Row],[Overall (dBA)]]-RecData[[#This Row],[L90]]&gt;=$DS$4</f>
        <v>0</v>
      </c>
      <c r="DJ819" s="18" t="b">
        <f>RecData[[#This Row],[Overall (dBA)]]&gt;$DS$2</f>
        <v>0</v>
      </c>
      <c r="DK819" s="18" t="b">
        <f>RecData[[#This Row],[Overall (dBA)]]&lt;$DS$3</f>
        <v>0</v>
      </c>
      <c r="DL8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19" s="2">
        <f>IF(AND(RecData[[#This Row],[Turbines ON/OFF]] = "OFF", NOT(OR(RecData[[#This Row],[Junk?]]="YES",RecData[[#This Row],[Gust?]],RecData[[#This Row],[Rain?]:[Min SPL Threshold?]]))),1,0)</f>
        <v>1</v>
      </c>
      <c r="DN819" s="16">
        <f>RecData[[#This Row],[dBA Sum]]</f>
        <v>15.670183771162357</v>
      </c>
      <c r="DO819" s="16">
        <f>RecData[[#This Row],[LAF90.0]]</f>
        <v>19.2</v>
      </c>
      <c r="DP819" s="55" t="str">
        <f>IF(AND(RecData[[#This Row],[Useable TON Data?]],RecData[[#This Row],[Turbines ON/OFF]]="ON"),RecData[[#This Row],[dBA Sum]],"")</f>
        <v/>
      </c>
      <c r="DQ819" s="55">
        <f>IF(AND(RecData[[#This Row],[Useable Background Data?]],RecData[[#This Row],[Turbines ON/OFF]]="OFF"),RecData[[#This Row],[dBA Sum]],"")</f>
        <v>15.670183771162357</v>
      </c>
      <c r="DR819" s="3">
        <f>IF(OR(RecData[[#This Row],[Useable TON Data?]],RecData[[#This Row],[Useable Background Data?]]),ROUND(RecData[[#This Row],[WSpd_Avg '[m/s']]],0),"")</f>
        <v>0</v>
      </c>
      <c r="DS819" s="85">
        <f>(0.00002)^2*(10^(RecData[[#This Row],[Overall (dBA)]]/10))</f>
        <v>1.4759728485641814E-8</v>
      </c>
    </row>
    <row r="820" spans="1:123" ht="15" x14ac:dyDescent="0.25">
      <c r="A820" s="3" t="s">
        <v>249</v>
      </c>
      <c r="B820" s="12">
        <v>43274.018055555556</v>
      </c>
      <c r="C820" s="3"/>
      <c r="D820" s="3">
        <v>30.1</v>
      </c>
      <c r="E820" s="3"/>
      <c r="F820" s="3"/>
      <c r="G820" s="3"/>
      <c r="H820" s="3"/>
      <c r="I820" s="3"/>
      <c r="J820" s="3"/>
      <c r="K820" s="3">
        <v>19.7</v>
      </c>
      <c r="L820" s="3"/>
      <c r="M820" s="3"/>
      <c r="N820" s="3">
        <v>154.69999999999999</v>
      </c>
      <c r="O820" s="3"/>
      <c r="P820" s="3"/>
      <c r="Q820" s="3">
        <v>0.37</v>
      </c>
      <c r="R820" s="3">
        <v>0.1</v>
      </c>
      <c r="S820" s="3">
        <v>0.7</v>
      </c>
      <c r="T820" s="3">
        <v>11.9</v>
      </c>
      <c r="U820" s="3">
        <v>79.900000000000006</v>
      </c>
      <c r="V820" s="3">
        <v>967.4</v>
      </c>
      <c r="W820" s="3">
        <v>0</v>
      </c>
      <c r="X820" s="3">
        <v>18.399999999999999</v>
      </c>
      <c r="Y820" s="3">
        <v>16.399999999999999</v>
      </c>
      <c r="Z820" s="3">
        <v>14.3</v>
      </c>
      <c r="AA820" s="3">
        <v>10.3</v>
      </c>
      <c r="AB820" s="3">
        <v>8</v>
      </c>
      <c r="AC820" s="3">
        <v>5.9</v>
      </c>
      <c r="AD820" s="3">
        <v>5.4</v>
      </c>
      <c r="AE820" s="3">
        <v>6.6</v>
      </c>
      <c r="AF820" s="3">
        <v>10.9</v>
      </c>
      <c r="AG820" s="3">
        <v>11.2</v>
      </c>
      <c r="AH820" s="3">
        <v>7.3</v>
      </c>
      <c r="AI820" s="3">
        <v>7.8</v>
      </c>
      <c r="AJ820" s="3">
        <v>8.5</v>
      </c>
      <c r="AK820" s="3">
        <v>8.6999999999999993</v>
      </c>
      <c r="AL820" s="3">
        <v>6.7</v>
      </c>
      <c r="AM820" s="3">
        <v>5.7</v>
      </c>
      <c r="AN820" s="3">
        <v>5.9</v>
      </c>
      <c r="AO820" s="3">
        <v>5.9</v>
      </c>
      <c r="AP820" s="3">
        <v>5.5</v>
      </c>
      <c r="AQ820" s="3">
        <v>6.1</v>
      </c>
      <c r="AR820" s="3">
        <v>6.1</v>
      </c>
      <c r="AS820" s="3">
        <v>13.7</v>
      </c>
      <c r="AT820" s="3">
        <v>28.4</v>
      </c>
      <c r="AU820" s="3">
        <v>10.5</v>
      </c>
      <c r="AV820" s="3">
        <v>8.1999999999999993</v>
      </c>
      <c r="AW820" s="3">
        <v>8.8000000000000007</v>
      </c>
      <c r="AX820" s="3">
        <v>8.9</v>
      </c>
      <c r="AY820" s="3">
        <v>9.1</v>
      </c>
      <c r="AZ820" s="3">
        <v>0</v>
      </c>
      <c r="BA820" s="3">
        <v>0</v>
      </c>
      <c r="BB820" s="3">
        <v>0</v>
      </c>
      <c r="BC820" s="3">
        <v>30.063961901510222</v>
      </c>
      <c r="BD820" s="3">
        <v>18.436038098489778</v>
      </c>
      <c r="BE820" s="3">
        <v>16.436038098489778</v>
      </c>
      <c r="BF820" s="3">
        <v>13.096038098489782</v>
      </c>
      <c r="BG820" s="3">
        <v>9.4227047651564426</v>
      </c>
      <c r="BH820" s="3">
        <v>7.262704765156446</v>
      </c>
      <c r="BI820" s="3">
        <v>5.5760380984897786</v>
      </c>
      <c r="BJ820" s="3">
        <v>5.8693714318231152</v>
      </c>
      <c r="BK820" s="3">
        <v>6.9427047651564386</v>
      </c>
      <c r="BL820" s="3">
        <v>10.816038098489781</v>
      </c>
      <c r="BM820" s="3">
        <v>11.249371431823111</v>
      </c>
      <c r="BN820" s="3">
        <v>7.6327047651564435</v>
      </c>
      <c r="BO820" s="3">
        <v>7.4993714318231177</v>
      </c>
      <c r="BP820" s="3">
        <v>7.916038098489782</v>
      </c>
      <c r="BQ820" s="3">
        <v>8.5327047651564349</v>
      </c>
      <c r="BR820" s="3">
        <v>6.8593714318231171</v>
      </c>
      <c r="BS820" s="3">
        <v>5.6627047651564446</v>
      </c>
      <c r="BT820" s="3">
        <v>6.0593714318231129</v>
      </c>
      <c r="BU820" s="3">
        <v>6.0260380984897814</v>
      </c>
      <c r="BV820" s="3">
        <v>5.3427047651564443</v>
      </c>
      <c r="BW820" s="3">
        <v>6.4760380984897843</v>
      </c>
      <c r="BX820" s="3">
        <v>6.396038098489786</v>
      </c>
      <c r="BY820" s="3">
        <v>13.816038098489773</v>
      </c>
      <c r="BZ820" s="3">
        <v>28.646038098489786</v>
      </c>
      <c r="CA820" s="3">
        <v>10.846038098489775</v>
      </c>
      <c r="CB820" s="3">
        <v>7.9827047651564449</v>
      </c>
      <c r="CC820" s="3">
        <v>8.7960380984897775</v>
      </c>
      <c r="CD820" s="3">
        <v>8.2027047651564509</v>
      </c>
      <c r="CE820" s="3">
        <v>8.5960380984897746</v>
      </c>
      <c r="CF820" s="3">
        <v>-0.8906285681768864</v>
      </c>
      <c r="CG820" s="3">
        <v>-1.4239619015102178</v>
      </c>
      <c r="CH820" s="3">
        <v>-2.5006285681768858</v>
      </c>
      <c r="CI820" s="13">
        <f>[1]!dbasum(RecData[[#This Row],[20]:[2000]],RecData[[#Headers],[20]:[2000]])</f>
        <v>15.215082248958812</v>
      </c>
      <c r="CJ820" s="14">
        <v>9899</v>
      </c>
      <c r="CK820" s="15" t="s">
        <v>249</v>
      </c>
      <c r="CL820" s="15">
        <f>RecData[[#This Row],[Start Time]]</f>
        <v>43274.018055555556</v>
      </c>
      <c r="CM820" s="16">
        <f>RecData[[#This Row],[Wind Speed avg]]</f>
        <v>0.37</v>
      </c>
      <c r="CN820" s="16">
        <f>RecData[[#This Row],[Wind Dir. avg]]</f>
        <v>154.69999999999999</v>
      </c>
      <c r="CO820" s="16">
        <f>RecData[[#This Row],[Amb. Humidity]]</f>
        <v>79.900000000000006</v>
      </c>
      <c r="CP820" s="16">
        <f>RecData[[#This Row],[Amb. Temperature]]</f>
        <v>11.9</v>
      </c>
      <c r="CQ820" s="17">
        <f>RecData[[#This Row],[Amb. Rain Gauge]]</f>
        <v>0</v>
      </c>
      <c r="CR820" s="4" t="s">
        <v>50</v>
      </c>
      <c r="CS820" s="4" t="s">
        <v>49</v>
      </c>
      <c r="CT820" s="70">
        <v>-9.4024381637573207</v>
      </c>
      <c r="CU820" s="70">
        <v>329.07009887695301</v>
      </c>
      <c r="CV820" s="70">
        <v>0.81433826684951705</v>
      </c>
      <c r="CW820" s="70">
        <v>0</v>
      </c>
      <c r="CX820" s="109"/>
      <c r="CY820" s="110"/>
      <c r="CZ820" s="2" t="b">
        <f>IF($DP$1="YES",IF(RecData[[#This Row],[Power (kW)]]&gt;=$CR$3, TRUE,FALSE),TRUE)</f>
        <v>0</v>
      </c>
      <c r="DA820" s="16">
        <f>MIN(MOD(180-ABS(ABS($DA$1-RecData[Yaw Angle (°)])-180),360),MOD(180-ABS(ABS($DB$1-RecData[Yaw Angle (°)])-180),360))</f>
        <v>38.459827900734524</v>
      </c>
      <c r="DB820" s="2" t="str">
        <f>IF($DP$2="None","None",IF(RecData[[#This Row],[Relative Wind Direction]]&lt;=45,"DW",IF(RecData[[#This Row],[Relative Wind Direction]]&lt;=135,"CW","UW")))</f>
        <v>DW</v>
      </c>
      <c r="DC820" s="61">
        <f>IF($CL820-$CL816&gt;1/24,#REF!,IF(SUM($CQ816:$CQ820)&gt;$DS$1,$DS$5,DC821-1))</f>
        <v>-3</v>
      </c>
      <c r="DD820" s="61" t="e">
        <f>IF($CL821-$CL820&gt;1/24,#REF!,IF(SUM($CQ816:$CQ820)&gt;$DS$1,$DS$6,DD819-1))</f>
        <v>#REF!</v>
      </c>
      <c r="DE820" s="18" t="b">
        <v>0</v>
      </c>
      <c r="DF820" s="2" t="b">
        <f>IF(OR(RecData[[#This Row],[WSpd_Avg '[m/s']]]-RecData[[#This Row],[Wind Speed min]]&gt;=$DF$3,RecData[[#This Row],[Wind Speed max]]-RecData[[#This Row],[WSpd_Avg '[m/s']]]&gt;=$DF$2),TRUE,FALSE)</f>
        <v>0</v>
      </c>
      <c r="DG820" s="2" t="b">
        <f>RecData[[#This Row],[Temperature '[°C']]]&lt;=-20</f>
        <v>0</v>
      </c>
      <c r="DH820" s="18" t="b">
        <f>NOT(OR(MOD(RecData[[#This Row],[TIMESTAMP]],1)&gt;0.91632,MOD(RecData[[#This Row],[TIMESTAMP]],1)&lt;0.208681))</f>
        <v>0</v>
      </c>
      <c r="DI820" s="18" t="b">
        <f>RecData[[#This Row],[Overall (dBA)]]-RecData[[#This Row],[L90]]&gt;=$DS$4</f>
        <v>0</v>
      </c>
      <c r="DJ820" s="18" t="b">
        <f>RecData[[#This Row],[Overall (dBA)]]&gt;$DS$2</f>
        <v>0</v>
      </c>
      <c r="DK820" s="18" t="b">
        <f>RecData[[#This Row],[Overall (dBA)]]&lt;$DS$3</f>
        <v>0</v>
      </c>
      <c r="DL8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0" s="2">
        <f>IF(AND(RecData[[#This Row],[Turbines ON/OFF]] = "OFF", NOT(OR(RecData[[#This Row],[Junk?]]="YES",RecData[[#This Row],[Gust?]],RecData[[#This Row],[Rain?]:[Min SPL Threshold?]]))),1,0)</f>
        <v>1</v>
      </c>
      <c r="DN820" s="16">
        <f>RecData[[#This Row],[dBA Sum]]</f>
        <v>15.215082248958812</v>
      </c>
      <c r="DO820" s="16">
        <f>RecData[[#This Row],[LAF90.0]]</f>
        <v>19.7</v>
      </c>
      <c r="DP820" s="55" t="str">
        <f>IF(AND(RecData[[#This Row],[Useable TON Data?]],RecData[[#This Row],[Turbines ON/OFF]]="ON"),RecData[[#This Row],[dBA Sum]],"")</f>
        <v/>
      </c>
      <c r="DQ820" s="55">
        <f>IF(AND(RecData[[#This Row],[Useable Background Data?]],RecData[[#This Row],[Turbines ON/OFF]]="OFF"),RecData[[#This Row],[dBA Sum]],"")</f>
        <v>15.215082248958812</v>
      </c>
      <c r="DR820" s="3">
        <f>IF(OR(RecData[[#This Row],[Useable TON Data?]],RecData[[#This Row],[Useable Background Data?]]),ROUND(RecData[[#This Row],[WSpd_Avg '[m/s']]],0),"")</f>
        <v>0</v>
      </c>
      <c r="DS820" s="85">
        <f>(0.00002)^2*(10^(RecData[[#This Row],[Overall (dBA)]]/10))</f>
        <v>1.3291323124083465E-8</v>
      </c>
    </row>
    <row r="821" spans="1:123" ht="15" x14ac:dyDescent="0.25">
      <c r="A821" s="3" t="s">
        <v>249</v>
      </c>
      <c r="B821" s="12">
        <v>43274.018750000003</v>
      </c>
      <c r="C821" s="3"/>
      <c r="D821" s="3">
        <v>31.4</v>
      </c>
      <c r="E821" s="3"/>
      <c r="F821" s="3"/>
      <c r="G821" s="3"/>
      <c r="H821" s="3"/>
      <c r="I821" s="3"/>
      <c r="J821" s="3"/>
      <c r="K821" s="3">
        <v>20.7</v>
      </c>
      <c r="L821" s="3"/>
      <c r="M821" s="3"/>
      <c r="N821" s="3">
        <v>142.1</v>
      </c>
      <c r="O821" s="3"/>
      <c r="P821" s="3"/>
      <c r="Q821" s="3">
        <v>0.34</v>
      </c>
      <c r="R821" s="3">
        <v>0.1</v>
      </c>
      <c r="S821" s="3">
        <v>0.5</v>
      </c>
      <c r="T821" s="3">
        <v>11.9</v>
      </c>
      <c r="U821" s="3">
        <v>79.900000000000006</v>
      </c>
      <c r="V821" s="3">
        <v>967.4</v>
      </c>
      <c r="W821" s="3">
        <v>0</v>
      </c>
      <c r="X821" s="3">
        <v>17.600000000000001</v>
      </c>
      <c r="Y821" s="3">
        <v>13.9</v>
      </c>
      <c r="Z821" s="3">
        <v>11.3</v>
      </c>
      <c r="AA821" s="3">
        <v>9.1999999999999993</v>
      </c>
      <c r="AB821" s="3">
        <v>7.5</v>
      </c>
      <c r="AC821" s="3">
        <v>4.5</v>
      </c>
      <c r="AD821" s="3">
        <v>5.6</v>
      </c>
      <c r="AE821" s="3">
        <v>6.9</v>
      </c>
      <c r="AF821" s="3">
        <v>11</v>
      </c>
      <c r="AG821" s="3">
        <v>10.3</v>
      </c>
      <c r="AH821" s="3">
        <v>7.2</v>
      </c>
      <c r="AI821" s="3">
        <v>7.6</v>
      </c>
      <c r="AJ821" s="3">
        <v>8.4</v>
      </c>
      <c r="AK821" s="3">
        <v>8.9</v>
      </c>
      <c r="AL821" s="3">
        <v>6.1</v>
      </c>
      <c r="AM821" s="3">
        <v>5.5</v>
      </c>
      <c r="AN821" s="3">
        <v>5.8</v>
      </c>
      <c r="AO821" s="3">
        <v>6.1</v>
      </c>
      <c r="AP821" s="3">
        <v>5.4</v>
      </c>
      <c r="AQ821" s="3">
        <v>5.9</v>
      </c>
      <c r="AR821" s="3">
        <v>5.8</v>
      </c>
      <c r="AS821" s="3">
        <v>14.2</v>
      </c>
      <c r="AT821" s="3">
        <v>29.8</v>
      </c>
      <c r="AU821" s="3">
        <v>12.8</v>
      </c>
      <c r="AV821" s="3">
        <v>8.3000000000000007</v>
      </c>
      <c r="AW821" s="3">
        <v>8.8000000000000007</v>
      </c>
      <c r="AX821" s="3">
        <v>8.9</v>
      </c>
      <c r="AY821" s="3">
        <v>9.1999999999999993</v>
      </c>
      <c r="AZ821" s="3">
        <v>0</v>
      </c>
      <c r="BA821" s="3">
        <v>0</v>
      </c>
      <c r="BB821" s="3">
        <v>0</v>
      </c>
      <c r="BC821" s="3">
        <v>31.381134632758588</v>
      </c>
      <c r="BD821" s="3">
        <v>17.618865367241412</v>
      </c>
      <c r="BE821" s="3">
        <v>13.918865367241409</v>
      </c>
      <c r="BF821" s="3">
        <v>10.078865367241413</v>
      </c>
      <c r="BG821" s="3">
        <v>8.3055320339080723</v>
      </c>
      <c r="BH821" s="3">
        <v>6.7455320339080771</v>
      </c>
      <c r="BI821" s="3">
        <v>4.1588653672414111</v>
      </c>
      <c r="BJ821" s="3">
        <v>6.052198700574742</v>
      </c>
      <c r="BK821" s="3">
        <v>7.225532033908074</v>
      </c>
      <c r="BL821" s="3">
        <v>10.898865367241413</v>
      </c>
      <c r="BM821" s="3">
        <v>10.33219870057475</v>
      </c>
      <c r="BN821" s="3">
        <v>7.5155320339080802</v>
      </c>
      <c r="BO821" s="3">
        <v>7.2821987005747459</v>
      </c>
      <c r="BP821" s="3">
        <v>7.7988653672414117</v>
      </c>
      <c r="BQ821" s="3">
        <v>8.7155320339080689</v>
      </c>
      <c r="BR821" s="3">
        <v>6.2421987005747468</v>
      </c>
      <c r="BS821" s="3">
        <v>5.4455320339080799</v>
      </c>
      <c r="BT821" s="3">
        <v>5.9421987005747425</v>
      </c>
      <c r="BU821" s="3">
        <v>6.2088653672414154</v>
      </c>
      <c r="BV821" s="3">
        <v>5.2255320339080811</v>
      </c>
      <c r="BW821" s="3">
        <v>6.2588653672414125</v>
      </c>
      <c r="BX821" s="3">
        <v>6.0788653672414128</v>
      </c>
      <c r="BY821" s="3">
        <v>14.298865367241405</v>
      </c>
      <c r="BZ821" s="3">
        <v>30.028865367241416</v>
      </c>
      <c r="CA821" s="3">
        <v>13.128865367241403</v>
      </c>
      <c r="CB821" s="3">
        <v>8.0655320339080774</v>
      </c>
      <c r="CC821" s="3">
        <v>8.7788653672414085</v>
      </c>
      <c r="CD821" s="3">
        <v>8.1855320339080819</v>
      </c>
      <c r="CE821" s="3">
        <v>8.6788653672414071</v>
      </c>
      <c r="CF821" s="3">
        <v>-0.90780129942525534</v>
      </c>
      <c r="CG821" s="3">
        <v>-1.4411346327585868</v>
      </c>
      <c r="CH821" s="3">
        <v>-2.5178012994252548</v>
      </c>
      <c r="CI821" s="13">
        <f>[1]!dbasum(RecData[[#This Row],[20]:[2000]],RecData[[#Headers],[20]:[2000]])</f>
        <v>15.053144383991743</v>
      </c>
      <c r="CJ821" s="14">
        <v>9900</v>
      </c>
      <c r="CK821" s="15" t="s">
        <v>249</v>
      </c>
      <c r="CL821" s="15">
        <f>RecData[[#This Row],[Start Time]]</f>
        <v>43274.018750000003</v>
      </c>
      <c r="CM821" s="16">
        <f>RecData[[#This Row],[Wind Speed avg]]</f>
        <v>0.34</v>
      </c>
      <c r="CN821" s="16">
        <f>RecData[[#This Row],[Wind Dir. avg]]</f>
        <v>142.1</v>
      </c>
      <c r="CO821" s="16">
        <f>RecData[[#This Row],[Amb. Humidity]]</f>
        <v>79.900000000000006</v>
      </c>
      <c r="CP821" s="16">
        <f>RecData[[#This Row],[Amb. Temperature]]</f>
        <v>11.9</v>
      </c>
      <c r="CQ821" s="17">
        <f>RecData[[#This Row],[Amb. Rain Gauge]]</f>
        <v>0</v>
      </c>
      <c r="CR821" s="4" t="s">
        <v>50</v>
      </c>
      <c r="CS821" s="4" t="s">
        <v>49</v>
      </c>
      <c r="CT821" s="70">
        <v>-9.4024381637573207</v>
      </c>
      <c r="CU821" s="70">
        <v>329.07009887695301</v>
      </c>
      <c r="CV821" s="70">
        <v>0.81433826684951705</v>
      </c>
      <c r="CW821" s="70">
        <v>0</v>
      </c>
      <c r="CX821" s="109"/>
      <c r="CY821" s="110"/>
      <c r="CZ821" s="2" t="b">
        <f>IF($DP$1="YES",IF(RecData[[#This Row],[Power (kW)]]&gt;=$CR$3, TRUE,FALSE),TRUE)</f>
        <v>0</v>
      </c>
      <c r="DA821" s="16">
        <f>MIN(MOD(180-ABS(ABS($DA$1-RecData[Yaw Angle (°)])-180),360),MOD(180-ABS(ABS($DB$1-RecData[Yaw Angle (°)])-180),360))</f>
        <v>38.459827900734524</v>
      </c>
      <c r="DB821" s="2" t="str">
        <f>IF($DP$2="None","None",IF(RecData[[#This Row],[Relative Wind Direction]]&lt;=45,"DW",IF(RecData[[#This Row],[Relative Wind Direction]]&lt;=135,"CW","UW")))</f>
        <v>DW</v>
      </c>
      <c r="DC821" s="61">
        <f>IF($CL821-$CL817&gt;1/24,#REF!,IF(SUM($CQ817:$CQ821)&gt;$DS$1,$DS$5,DC822-1))</f>
        <v>-2</v>
      </c>
      <c r="DD821" s="61" t="e">
        <f>IF($CL822-$CL821&gt;1/24,#REF!,IF(SUM($CQ817:$CQ821)&gt;$DS$1,$DS$6,DD820-1))</f>
        <v>#REF!</v>
      </c>
      <c r="DE821" s="18" t="b">
        <v>0</v>
      </c>
      <c r="DF821" s="2" t="b">
        <f>IF(OR(RecData[[#This Row],[WSpd_Avg '[m/s']]]-RecData[[#This Row],[Wind Speed min]]&gt;=$DF$3,RecData[[#This Row],[Wind Speed max]]-RecData[[#This Row],[WSpd_Avg '[m/s']]]&gt;=$DF$2),TRUE,FALSE)</f>
        <v>0</v>
      </c>
      <c r="DG821" s="2" t="b">
        <f>RecData[[#This Row],[Temperature '[°C']]]&lt;=-20</f>
        <v>0</v>
      </c>
      <c r="DH821" s="18" t="b">
        <f>NOT(OR(MOD(RecData[[#This Row],[TIMESTAMP]],1)&gt;0.91632,MOD(RecData[[#This Row],[TIMESTAMP]],1)&lt;0.208681))</f>
        <v>0</v>
      </c>
      <c r="DI821" s="18" t="b">
        <f>RecData[[#This Row],[Overall (dBA)]]-RecData[[#This Row],[L90]]&gt;=$DS$4</f>
        <v>0</v>
      </c>
      <c r="DJ821" s="18" t="b">
        <f>RecData[[#This Row],[Overall (dBA)]]&gt;$DS$2</f>
        <v>0</v>
      </c>
      <c r="DK821" s="18" t="b">
        <f>RecData[[#This Row],[Overall (dBA)]]&lt;$DS$3</f>
        <v>0</v>
      </c>
      <c r="DL8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1" s="2">
        <f>IF(AND(RecData[[#This Row],[Turbines ON/OFF]] = "OFF", NOT(OR(RecData[[#This Row],[Junk?]]="YES",RecData[[#This Row],[Gust?]],RecData[[#This Row],[Rain?]:[Min SPL Threshold?]]))),1,0)</f>
        <v>1</v>
      </c>
      <c r="DN821" s="16">
        <f>RecData[[#This Row],[dBA Sum]]</f>
        <v>15.053144383991743</v>
      </c>
      <c r="DO821" s="16">
        <f>RecData[[#This Row],[LAF90.0]]</f>
        <v>20.7</v>
      </c>
      <c r="DP821" s="55" t="str">
        <f>IF(AND(RecData[[#This Row],[Useable TON Data?]],RecData[[#This Row],[Turbines ON/OFF]]="ON"),RecData[[#This Row],[dBA Sum]],"")</f>
        <v/>
      </c>
      <c r="DQ821" s="55">
        <f>IF(AND(RecData[[#This Row],[Useable Background Data?]],RecData[[#This Row],[Turbines ON/OFF]]="OFF"),RecData[[#This Row],[dBA Sum]],"")</f>
        <v>15.053144383991743</v>
      </c>
      <c r="DR821" s="3">
        <f>IF(OR(RecData[[#This Row],[Useable TON Data?]],RecData[[#This Row],[Useable Background Data?]]),ROUND(RecData[[#This Row],[WSpd_Avg '[m/s']]],0),"")</f>
        <v>0</v>
      </c>
      <c r="DS821" s="85">
        <f>(0.00002)^2*(10^(RecData[[#This Row],[Overall (dBA)]]/10))</f>
        <v>1.2804848064467187E-8</v>
      </c>
    </row>
    <row r="822" spans="1:123" ht="15" x14ac:dyDescent="0.25">
      <c r="A822" s="3" t="s">
        <v>249</v>
      </c>
      <c r="B822" s="12">
        <v>43274.019444444442</v>
      </c>
      <c r="C822" s="3"/>
      <c r="D822" s="3">
        <v>30.2</v>
      </c>
      <c r="E822" s="3"/>
      <c r="F822" s="3"/>
      <c r="G822" s="3"/>
      <c r="H822" s="3"/>
      <c r="I822" s="3"/>
      <c r="J822" s="3"/>
      <c r="K822" s="3">
        <v>18.8</v>
      </c>
      <c r="L822" s="3"/>
      <c r="M822" s="3"/>
      <c r="N822" s="3">
        <v>148.6</v>
      </c>
      <c r="O822" s="3"/>
      <c r="P822" s="3"/>
      <c r="Q822" s="3">
        <v>0.21</v>
      </c>
      <c r="R822" s="3">
        <v>0.1</v>
      </c>
      <c r="S822" s="3">
        <v>0.4</v>
      </c>
      <c r="T822" s="3">
        <v>11.8</v>
      </c>
      <c r="U822" s="3">
        <v>80.5</v>
      </c>
      <c r="V822" s="3">
        <v>967.4</v>
      </c>
      <c r="W822" s="3">
        <v>0</v>
      </c>
      <c r="X822" s="3">
        <v>18.899999999999999</v>
      </c>
      <c r="Y822" s="3">
        <v>15</v>
      </c>
      <c r="Z822" s="3">
        <v>15.3</v>
      </c>
      <c r="AA822" s="3">
        <v>12.5</v>
      </c>
      <c r="AB822" s="3">
        <v>9.4</v>
      </c>
      <c r="AC822" s="3">
        <v>5.2</v>
      </c>
      <c r="AD822" s="3">
        <v>6.3</v>
      </c>
      <c r="AE822" s="3">
        <v>8.8000000000000007</v>
      </c>
      <c r="AF822" s="3">
        <v>11.4</v>
      </c>
      <c r="AG822" s="3">
        <v>9.9</v>
      </c>
      <c r="AH822" s="3">
        <v>8.4</v>
      </c>
      <c r="AI822" s="3">
        <v>7.5</v>
      </c>
      <c r="AJ822" s="3">
        <v>7.9</v>
      </c>
      <c r="AK822" s="3">
        <v>7.4</v>
      </c>
      <c r="AL822" s="3">
        <v>7.5</v>
      </c>
      <c r="AM822" s="3">
        <v>6</v>
      </c>
      <c r="AN822" s="3">
        <v>6</v>
      </c>
      <c r="AO822" s="3">
        <v>6.2</v>
      </c>
      <c r="AP822" s="3">
        <v>5.5</v>
      </c>
      <c r="AQ822" s="3">
        <v>6.2</v>
      </c>
      <c r="AR822" s="3">
        <v>6.3</v>
      </c>
      <c r="AS822" s="3">
        <v>13.3</v>
      </c>
      <c r="AT822" s="3">
        <v>28.6</v>
      </c>
      <c r="AU822" s="3">
        <v>10.6</v>
      </c>
      <c r="AV822" s="3">
        <v>8.1999999999999993</v>
      </c>
      <c r="AW822" s="3">
        <v>8.6999999999999993</v>
      </c>
      <c r="AX822" s="3">
        <v>8.9</v>
      </c>
      <c r="AY822" s="3">
        <v>9.1</v>
      </c>
      <c r="AZ822" s="3">
        <v>0</v>
      </c>
      <c r="BA822" s="3">
        <v>0</v>
      </c>
      <c r="BB822" s="3">
        <v>0</v>
      </c>
      <c r="BC822" s="3">
        <v>30.235371501877552</v>
      </c>
      <c r="BD822" s="3">
        <v>18.864628498122443</v>
      </c>
      <c r="BE822" s="3">
        <v>14.964628498122451</v>
      </c>
      <c r="BF822" s="3">
        <v>14.024628498122446</v>
      </c>
      <c r="BG822" s="3">
        <v>11.55129516478911</v>
      </c>
      <c r="BH822" s="3">
        <v>8.5912951647891163</v>
      </c>
      <c r="BI822" s="3">
        <v>4.8046284981224474</v>
      </c>
      <c r="BJ822" s="3">
        <v>6.6979618314557783</v>
      </c>
      <c r="BK822" s="3">
        <v>9.0712951647891131</v>
      </c>
      <c r="BL822" s="3">
        <v>11.244628498122452</v>
      </c>
      <c r="BM822" s="3">
        <v>9.8779618314557851</v>
      </c>
      <c r="BN822" s="3">
        <v>8.6612951647891165</v>
      </c>
      <c r="BO822" s="3">
        <v>7.1279618314557851</v>
      </c>
      <c r="BP822" s="3">
        <v>7.2446284981224451</v>
      </c>
      <c r="BQ822" s="3">
        <v>7.1612951647891023</v>
      </c>
      <c r="BR822" s="3">
        <v>7.587961831455786</v>
      </c>
      <c r="BS822" s="3">
        <v>5.8912951647891134</v>
      </c>
      <c r="BT822" s="3">
        <v>6.087961831455786</v>
      </c>
      <c r="BU822" s="3">
        <v>6.2546284981224503</v>
      </c>
      <c r="BV822" s="3">
        <v>5.271295164789116</v>
      </c>
      <c r="BW822" s="3">
        <v>6.5046284981224503</v>
      </c>
      <c r="BX822" s="3">
        <v>6.5246284981224534</v>
      </c>
      <c r="BY822" s="3">
        <v>13.344628498122447</v>
      </c>
      <c r="BZ822" s="3">
        <v>28.774628498122453</v>
      </c>
      <c r="CA822" s="3">
        <v>10.874628498122441</v>
      </c>
      <c r="CB822" s="3">
        <v>7.9112951647891094</v>
      </c>
      <c r="CC822" s="3">
        <v>8.6246284981224477</v>
      </c>
      <c r="CD822" s="3">
        <v>8.1312951647891225</v>
      </c>
      <c r="CE822" s="3">
        <v>8.5246284981224463</v>
      </c>
      <c r="CF822" s="3">
        <v>-0.96203816854421831</v>
      </c>
      <c r="CG822" s="3">
        <v>-1.4953715018775497</v>
      </c>
      <c r="CH822" s="3">
        <v>-2.5720381685442177</v>
      </c>
      <c r="CI822" s="13">
        <f>[1]!dbasum(RecData[[#This Row],[20]:[2000]],RecData[[#Headers],[20]:[2000]])</f>
        <v>15.223741687457064</v>
      </c>
      <c r="CJ822" s="14">
        <v>9901</v>
      </c>
      <c r="CK822" s="15" t="s">
        <v>249</v>
      </c>
      <c r="CL822" s="15">
        <f>RecData[[#This Row],[Start Time]]</f>
        <v>43274.019444444442</v>
      </c>
      <c r="CM822" s="16">
        <f>RecData[[#This Row],[Wind Speed avg]]</f>
        <v>0.21</v>
      </c>
      <c r="CN822" s="16">
        <f>RecData[[#This Row],[Wind Dir. avg]]</f>
        <v>148.6</v>
      </c>
      <c r="CO822" s="16">
        <f>RecData[[#This Row],[Amb. Humidity]]</f>
        <v>80.5</v>
      </c>
      <c r="CP822" s="16">
        <f>RecData[[#This Row],[Amb. Temperature]]</f>
        <v>11.8</v>
      </c>
      <c r="CQ822" s="17">
        <f>RecData[[#This Row],[Amb. Rain Gauge]]</f>
        <v>0</v>
      </c>
      <c r="CR822" s="4" t="s">
        <v>50</v>
      </c>
      <c r="CS822" s="4" t="s">
        <v>49</v>
      </c>
      <c r="CT822" s="70">
        <v>-9.4024381637573207</v>
      </c>
      <c r="CU822" s="70">
        <v>329.07009887695301</v>
      </c>
      <c r="CV822" s="70">
        <v>0.81433826684951705</v>
      </c>
      <c r="CW822" s="70">
        <v>0</v>
      </c>
      <c r="CX822" s="109"/>
      <c r="CY822" s="110"/>
      <c r="CZ822" s="2" t="b">
        <f>IF($DP$1="YES",IF(RecData[[#This Row],[Power (kW)]]&gt;=$CR$3, TRUE,FALSE),TRUE)</f>
        <v>0</v>
      </c>
      <c r="DA822" s="16">
        <f>MIN(MOD(180-ABS(ABS($DA$1-RecData[Yaw Angle (°)])-180),360),MOD(180-ABS(ABS($DB$1-RecData[Yaw Angle (°)])-180),360))</f>
        <v>38.459827900734524</v>
      </c>
      <c r="DB822" s="2" t="str">
        <f>IF($DP$2="None","None",IF(RecData[[#This Row],[Relative Wind Direction]]&lt;=45,"DW",IF(RecData[[#This Row],[Relative Wind Direction]]&lt;=135,"CW","UW")))</f>
        <v>DW</v>
      </c>
      <c r="DC822" s="61">
        <v>-1</v>
      </c>
      <c r="DD822" s="61">
        <v>-1</v>
      </c>
      <c r="DE822" s="18" t="b">
        <v>0</v>
      </c>
      <c r="DF822" s="2" t="b">
        <f>IF(OR(RecData[[#This Row],[WSpd_Avg '[m/s']]]-RecData[[#This Row],[Wind Speed min]]&gt;=$DF$3,RecData[[#This Row],[Wind Speed max]]-RecData[[#This Row],[WSpd_Avg '[m/s']]]&gt;=$DF$2),TRUE,FALSE)</f>
        <v>0</v>
      </c>
      <c r="DG822" s="2" t="b">
        <f>RecData[[#This Row],[Temperature '[°C']]]&lt;=-20</f>
        <v>0</v>
      </c>
      <c r="DH822" s="18" t="b">
        <f>NOT(OR(MOD(RecData[[#This Row],[TIMESTAMP]],1)&gt;0.91632,MOD(RecData[[#This Row],[TIMESTAMP]],1)&lt;0.208681))</f>
        <v>0</v>
      </c>
      <c r="DI822" s="18" t="b">
        <f>RecData[[#This Row],[Overall (dBA)]]-RecData[[#This Row],[L90]]&gt;=$DS$4</f>
        <v>0</v>
      </c>
      <c r="DJ822" s="18" t="b">
        <f>RecData[[#This Row],[Overall (dBA)]]&gt;$DS$2</f>
        <v>0</v>
      </c>
      <c r="DK822" s="18" t="b">
        <f>RecData[[#This Row],[Overall (dBA)]]&lt;$DS$3</f>
        <v>0</v>
      </c>
      <c r="DL8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2" s="2">
        <f>IF(AND(RecData[[#This Row],[Turbines ON/OFF]] = "OFF", NOT(OR(RecData[[#This Row],[Junk?]]="YES",RecData[[#This Row],[Gust?]],RecData[[#This Row],[Rain?]:[Min SPL Threshold?]]))),1,0)</f>
        <v>1</v>
      </c>
      <c r="DN822" s="16">
        <f>RecData[[#This Row],[dBA Sum]]</f>
        <v>15.223741687457064</v>
      </c>
      <c r="DO822" s="16">
        <f>RecData[[#This Row],[LAF90.0]]</f>
        <v>18.8</v>
      </c>
      <c r="DP822" s="55" t="str">
        <f>IF(AND(RecData[[#This Row],[Useable TON Data?]],RecData[[#This Row],[Turbines ON/OFF]]="ON"),RecData[[#This Row],[dBA Sum]],"")</f>
        <v/>
      </c>
      <c r="DQ822" s="55">
        <f>IF(AND(RecData[[#This Row],[Useable Background Data?]],RecData[[#This Row],[Turbines ON/OFF]]="OFF"),RecData[[#This Row],[dBA Sum]],"")</f>
        <v>15.223741687457064</v>
      </c>
      <c r="DR822" s="3">
        <f>IF(OR(RecData[[#This Row],[Useable TON Data?]],RecData[[#This Row],[Useable Background Data?]]),ROUND(RecData[[#This Row],[WSpd_Avg '[m/s']]],0),"")</f>
        <v>0</v>
      </c>
      <c r="DS822" s="85">
        <f>(0.00002)^2*(10^(RecData[[#This Row],[Overall (dBA)]]/10))</f>
        <v>1.3317851256756329E-8</v>
      </c>
    </row>
    <row r="823" spans="1:123" ht="15" x14ac:dyDescent="0.25">
      <c r="A823" s="3" t="s">
        <v>249</v>
      </c>
      <c r="B823" s="12">
        <v>43274.020138888889</v>
      </c>
      <c r="C823" s="3"/>
      <c r="D823" s="3">
        <v>30</v>
      </c>
      <c r="E823" s="3"/>
      <c r="F823" s="3"/>
      <c r="G823" s="3"/>
      <c r="H823" s="3"/>
      <c r="I823" s="3"/>
      <c r="J823" s="3"/>
      <c r="K823" s="3">
        <v>18.8</v>
      </c>
      <c r="L823" s="3"/>
      <c r="M823" s="3"/>
      <c r="N823" s="3">
        <v>151.6</v>
      </c>
      <c r="O823" s="3"/>
      <c r="P823" s="3"/>
      <c r="Q823" s="3">
        <v>0.23</v>
      </c>
      <c r="R823" s="3">
        <v>0.1</v>
      </c>
      <c r="S823" s="3">
        <v>0.4</v>
      </c>
      <c r="T823" s="3">
        <v>11.8</v>
      </c>
      <c r="U823" s="3">
        <v>80.400000000000006</v>
      </c>
      <c r="V823" s="3">
        <v>967.4</v>
      </c>
      <c r="W823" s="3">
        <v>0</v>
      </c>
      <c r="X823" s="3">
        <v>18.899999999999999</v>
      </c>
      <c r="Y823" s="3">
        <v>14.7</v>
      </c>
      <c r="Z823" s="3">
        <v>14.7</v>
      </c>
      <c r="AA823" s="3">
        <v>11</v>
      </c>
      <c r="AB823" s="3">
        <v>9.1999999999999993</v>
      </c>
      <c r="AC823" s="3">
        <v>5.2</v>
      </c>
      <c r="AD823" s="3">
        <v>5.2</v>
      </c>
      <c r="AE823" s="3">
        <v>6.3</v>
      </c>
      <c r="AF823" s="3">
        <v>10.6</v>
      </c>
      <c r="AG823" s="3">
        <v>9.1999999999999993</v>
      </c>
      <c r="AH823" s="3">
        <v>8.3000000000000007</v>
      </c>
      <c r="AI823" s="3">
        <v>6.9</v>
      </c>
      <c r="AJ823" s="3">
        <v>8</v>
      </c>
      <c r="AK823" s="3">
        <v>8.6999999999999993</v>
      </c>
      <c r="AL823" s="3">
        <v>6.2</v>
      </c>
      <c r="AM823" s="3">
        <v>5.8</v>
      </c>
      <c r="AN823" s="3">
        <v>6</v>
      </c>
      <c r="AO823" s="3">
        <v>6.1</v>
      </c>
      <c r="AP823" s="3">
        <v>5.6</v>
      </c>
      <c r="AQ823" s="3">
        <v>5.9</v>
      </c>
      <c r="AR823" s="3">
        <v>6</v>
      </c>
      <c r="AS823" s="3">
        <v>10.9</v>
      </c>
      <c r="AT823" s="3">
        <v>28.4</v>
      </c>
      <c r="AU823" s="3">
        <v>10.4</v>
      </c>
      <c r="AV823" s="3">
        <v>8.4</v>
      </c>
      <c r="AW823" s="3">
        <v>8.9</v>
      </c>
      <c r="AX823" s="3">
        <v>9</v>
      </c>
      <c r="AY823" s="3">
        <v>9.1999999999999993</v>
      </c>
      <c r="AZ823" s="3">
        <v>0</v>
      </c>
      <c r="BA823" s="3">
        <v>0</v>
      </c>
      <c r="BB823" s="3">
        <v>0</v>
      </c>
      <c r="BC823" s="3">
        <v>29.998841004193274</v>
      </c>
      <c r="BD823" s="3">
        <v>18.901158995806725</v>
      </c>
      <c r="BE823" s="3">
        <v>14.701158995806729</v>
      </c>
      <c r="BF823" s="3">
        <v>13.461158995806727</v>
      </c>
      <c r="BG823" s="3">
        <v>10.087825662473392</v>
      </c>
      <c r="BH823" s="3">
        <v>8.4278256624733956</v>
      </c>
      <c r="BI823" s="3">
        <v>4.8411589958067296</v>
      </c>
      <c r="BJ823" s="3">
        <v>5.634492329140059</v>
      </c>
      <c r="BK823" s="3">
        <v>6.6078256624733882</v>
      </c>
      <c r="BL823" s="3">
        <v>10.48115899580673</v>
      </c>
      <c r="BM823" s="3">
        <v>9.2144923291400644</v>
      </c>
      <c r="BN823" s="3">
        <v>8.5978256624733902</v>
      </c>
      <c r="BO823" s="3">
        <v>6.5644923291400659</v>
      </c>
      <c r="BP823" s="3">
        <v>7.3811589958067287</v>
      </c>
      <c r="BQ823" s="3">
        <v>8.4978256624733817</v>
      </c>
      <c r="BR823" s="3">
        <v>6.3244923291400639</v>
      </c>
      <c r="BS823" s="3">
        <v>5.7278256624733928</v>
      </c>
      <c r="BT823" s="3">
        <v>6.124492329140061</v>
      </c>
      <c r="BU823" s="3">
        <v>6.191158995806731</v>
      </c>
      <c r="BV823" s="3">
        <v>5.4078256624733925</v>
      </c>
      <c r="BW823" s="3">
        <v>6.2411589958067282</v>
      </c>
      <c r="BX823" s="3">
        <v>6.2611589958067313</v>
      </c>
      <c r="BY823" s="3">
        <v>10.981158995806723</v>
      </c>
      <c r="BZ823" s="3">
        <v>28.611158995806726</v>
      </c>
      <c r="CA823" s="3">
        <v>10.71115899580672</v>
      </c>
      <c r="CB823" s="3">
        <v>8.1478256624733874</v>
      </c>
      <c r="CC823" s="3">
        <v>8.8611589958067256</v>
      </c>
      <c r="CD823" s="3">
        <v>8.267825662473399</v>
      </c>
      <c r="CE823" s="3">
        <v>8.6611589958067228</v>
      </c>
      <c r="CF823" s="3">
        <v>-0.92550767085993968</v>
      </c>
      <c r="CG823" s="3">
        <v>-1.4588410041932711</v>
      </c>
      <c r="CH823" s="3">
        <v>-2.5355076708599391</v>
      </c>
      <c r="CI823" s="13">
        <f>[1]!dbasum(RecData[[#This Row],[20]:[2000]],RecData[[#Headers],[20]:[2000]])</f>
        <v>15.095753268870329</v>
      </c>
      <c r="CJ823" s="14">
        <v>9902</v>
      </c>
      <c r="CK823" s="15" t="s">
        <v>249</v>
      </c>
      <c r="CL823" s="15">
        <f>RecData[[#This Row],[Start Time]]</f>
        <v>43274.020138888889</v>
      </c>
      <c r="CM823" s="16">
        <f>RecData[[#This Row],[Wind Speed avg]]</f>
        <v>0.23</v>
      </c>
      <c r="CN823" s="16">
        <f>RecData[[#This Row],[Wind Dir. avg]]</f>
        <v>151.6</v>
      </c>
      <c r="CO823" s="16">
        <f>RecData[[#This Row],[Amb. Humidity]]</f>
        <v>80.400000000000006</v>
      </c>
      <c r="CP823" s="16">
        <f>RecData[[#This Row],[Amb. Temperature]]</f>
        <v>11.8</v>
      </c>
      <c r="CQ823" s="17">
        <f>RecData[[#This Row],[Amb. Rain Gauge]]</f>
        <v>0</v>
      </c>
      <c r="CR823" s="4" t="s">
        <v>50</v>
      </c>
      <c r="CS823" s="4" t="s">
        <v>49</v>
      </c>
      <c r="CT823" s="70">
        <v>-9.4024381637573207</v>
      </c>
      <c r="CU823" s="70">
        <v>329.07009887695301</v>
      </c>
      <c r="CV823" s="70">
        <v>0.81433826684951705</v>
      </c>
      <c r="CW823" s="70">
        <v>0</v>
      </c>
      <c r="CX823" s="109"/>
      <c r="CY823" s="110"/>
      <c r="CZ823" s="2" t="b">
        <f>IF($DP$1="YES",IF(RecData[[#This Row],[Power (kW)]]&gt;=$CR$3, TRUE,FALSE),TRUE)</f>
        <v>0</v>
      </c>
      <c r="DA823" s="16">
        <f>MIN(MOD(180-ABS(ABS($DA$1-RecData[Yaw Angle (°)])-180),360),MOD(180-ABS(ABS($DB$1-RecData[Yaw Angle (°)])-180),360))</f>
        <v>38.459827900734524</v>
      </c>
      <c r="DB823" s="2" t="str">
        <f>IF($DP$2="None","None",IF(RecData[[#This Row],[Relative Wind Direction]]&lt;=45,"DW",IF(RecData[[#This Row],[Relative Wind Direction]]&lt;=135,"CW","UW")))</f>
        <v>DW</v>
      </c>
      <c r="DC823" s="61" t="e">
        <f>IF($CL823-$CL822&gt;1/24,#REF!,IF(SUM($CQ822:$CQ823)&gt;$DS$1,$DS$5,#REF!-1))</f>
        <v>#REF!</v>
      </c>
      <c r="DD823" s="61" t="e">
        <f>IF(#REF!-$CL823&gt;1/24,#REF!,IF(SUM($CQ822:$CQ823)&gt;$DS$1,$DS$6,DD822-1))</f>
        <v>#REF!</v>
      </c>
      <c r="DE823" s="18" t="b">
        <v>0</v>
      </c>
      <c r="DF823" s="2" t="b">
        <f>IF(OR(RecData[[#This Row],[WSpd_Avg '[m/s']]]-RecData[[#This Row],[Wind Speed min]]&gt;=$DF$3,RecData[[#This Row],[Wind Speed max]]-RecData[[#This Row],[WSpd_Avg '[m/s']]]&gt;=$DF$2),TRUE,FALSE)</f>
        <v>0</v>
      </c>
      <c r="DG823" s="2" t="b">
        <f>RecData[[#This Row],[Temperature '[°C']]]&lt;=-20</f>
        <v>0</v>
      </c>
      <c r="DH823" s="18" t="b">
        <f>NOT(OR(MOD(RecData[[#This Row],[TIMESTAMP]],1)&gt;0.91632,MOD(RecData[[#This Row],[TIMESTAMP]],1)&lt;0.208681))</f>
        <v>0</v>
      </c>
      <c r="DI823" s="18" t="b">
        <f>RecData[[#This Row],[Overall (dBA)]]-RecData[[#This Row],[L90]]&gt;=$DS$4</f>
        <v>0</v>
      </c>
      <c r="DJ823" s="18" t="b">
        <f>RecData[[#This Row],[Overall (dBA)]]&gt;$DS$2</f>
        <v>0</v>
      </c>
      <c r="DK823" s="18" t="b">
        <f>RecData[[#This Row],[Overall (dBA)]]&lt;$DS$3</f>
        <v>0</v>
      </c>
      <c r="DL8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3" s="2">
        <f>IF(AND(RecData[[#This Row],[Turbines ON/OFF]] = "OFF", NOT(OR(RecData[[#This Row],[Junk?]]="YES",RecData[[#This Row],[Gust?]],RecData[[#This Row],[Rain?]:[Min SPL Threshold?]]))),1,0)</f>
        <v>1</v>
      </c>
      <c r="DN823" s="16">
        <f>RecData[[#This Row],[dBA Sum]]</f>
        <v>15.095753268870329</v>
      </c>
      <c r="DO823" s="16">
        <f>RecData[[#This Row],[LAF90.0]]</f>
        <v>18.8</v>
      </c>
      <c r="DP823" s="55" t="str">
        <f>IF(AND(RecData[[#This Row],[Useable TON Data?]],RecData[[#This Row],[Turbines ON/OFF]]="ON"),RecData[[#This Row],[dBA Sum]],"")</f>
        <v/>
      </c>
      <c r="DQ823" s="55">
        <f>IF(AND(RecData[[#This Row],[Useable Background Data?]],RecData[[#This Row],[Turbines ON/OFF]]="OFF"),RecData[[#This Row],[dBA Sum]],"")</f>
        <v>15.095753268870329</v>
      </c>
      <c r="DR823" s="3">
        <f>IF(OR(RecData[[#This Row],[Useable TON Data?]],RecData[[#This Row],[Useable Background Data?]]),ROUND(RecData[[#This Row],[WSpd_Avg '[m/s']]],0),"")</f>
        <v>0</v>
      </c>
      <c r="DS823" s="85">
        <f>(0.00002)^2*(10^(RecData[[#This Row],[Overall (dBA)]]/10))</f>
        <v>1.2931095473207679E-8</v>
      </c>
    </row>
    <row r="824" spans="1:123" ht="15" x14ac:dyDescent="0.25">
      <c r="A824" s="3" t="s">
        <v>249</v>
      </c>
      <c r="B824" s="12">
        <v>43274.021527777775</v>
      </c>
      <c r="C824" s="3"/>
      <c r="D824" s="3">
        <v>29.6</v>
      </c>
      <c r="E824" s="3"/>
      <c r="F824" s="3"/>
      <c r="G824" s="3"/>
      <c r="H824" s="3"/>
      <c r="I824" s="3"/>
      <c r="J824" s="3"/>
      <c r="K824" s="3">
        <v>18.8</v>
      </c>
      <c r="L824" s="3"/>
      <c r="M824" s="3"/>
      <c r="N824" s="3">
        <v>128.4</v>
      </c>
      <c r="O824" s="3"/>
      <c r="P824" s="3"/>
      <c r="Q824" s="3">
        <v>0.38</v>
      </c>
      <c r="R824" s="3">
        <v>0.2</v>
      </c>
      <c r="S824" s="3">
        <v>0.6</v>
      </c>
      <c r="T824" s="3">
        <v>11.8</v>
      </c>
      <c r="U824" s="3">
        <v>79.7</v>
      </c>
      <c r="V824" s="3">
        <v>967.4</v>
      </c>
      <c r="W824" s="3">
        <v>0</v>
      </c>
      <c r="X824" s="3">
        <v>19.899999999999999</v>
      </c>
      <c r="Y824" s="3">
        <v>16.399999999999999</v>
      </c>
      <c r="Z824" s="3">
        <v>15.9</v>
      </c>
      <c r="AA824" s="3">
        <v>14</v>
      </c>
      <c r="AB824" s="3">
        <v>10.8</v>
      </c>
      <c r="AC824" s="3">
        <v>5.4</v>
      </c>
      <c r="AD824" s="3">
        <v>7.6</v>
      </c>
      <c r="AE824" s="3">
        <v>8.5</v>
      </c>
      <c r="AF824" s="3">
        <v>11.6</v>
      </c>
      <c r="AG824" s="3">
        <v>13.1</v>
      </c>
      <c r="AH824" s="3">
        <v>8.6</v>
      </c>
      <c r="AI824" s="3">
        <v>7.2</v>
      </c>
      <c r="AJ824" s="3">
        <v>8.6999999999999993</v>
      </c>
      <c r="AK824" s="3">
        <v>8.6999999999999993</v>
      </c>
      <c r="AL824" s="3">
        <v>7.1</v>
      </c>
      <c r="AM824" s="3">
        <v>6.2</v>
      </c>
      <c r="AN824" s="3">
        <v>6.1</v>
      </c>
      <c r="AO824" s="3">
        <v>6.1</v>
      </c>
      <c r="AP824" s="3">
        <v>5.6</v>
      </c>
      <c r="AQ824" s="3">
        <v>5.9</v>
      </c>
      <c r="AR824" s="3">
        <v>6.5</v>
      </c>
      <c r="AS824" s="3">
        <v>10.6</v>
      </c>
      <c r="AT824" s="3">
        <v>28</v>
      </c>
      <c r="AU824" s="3">
        <v>9.1</v>
      </c>
      <c r="AV824" s="3">
        <v>8.1</v>
      </c>
      <c r="AW824" s="3">
        <v>8.6999999999999993</v>
      </c>
      <c r="AX824" s="3">
        <v>8.8000000000000007</v>
      </c>
      <c r="AY824" s="3">
        <v>9.1</v>
      </c>
      <c r="AZ824" s="3">
        <v>0</v>
      </c>
      <c r="BA824" s="3">
        <v>0</v>
      </c>
      <c r="BB824" s="3">
        <v>0</v>
      </c>
      <c r="BC824" s="3">
        <v>29.619350014105315</v>
      </c>
      <c r="BD824" s="3">
        <v>19.880649985894685</v>
      </c>
      <c r="BE824" s="3">
        <v>16.380649985894685</v>
      </c>
      <c r="BF824" s="3">
        <v>14.64064998589469</v>
      </c>
      <c r="BG824" s="3">
        <v>13.067316652561352</v>
      </c>
      <c r="BH824" s="3">
        <v>10.007316652561357</v>
      </c>
      <c r="BI824" s="3">
        <v>5.0206499858946856</v>
      </c>
      <c r="BJ824" s="3">
        <v>8.0139833192280179</v>
      </c>
      <c r="BK824" s="3">
        <v>8.7873166525613513</v>
      </c>
      <c r="BL824" s="3">
        <v>11.460649985894683</v>
      </c>
      <c r="BM824" s="3">
        <v>13.093983319228023</v>
      </c>
      <c r="BN824" s="3">
        <v>8.8773166525613547</v>
      </c>
      <c r="BO824" s="3">
        <v>6.8439833192280233</v>
      </c>
      <c r="BP824" s="3">
        <v>8.0606499858946847</v>
      </c>
      <c r="BQ824" s="3">
        <v>8.4773166525613419</v>
      </c>
      <c r="BR824" s="3">
        <v>7.2039833192280227</v>
      </c>
      <c r="BS824" s="3">
        <v>6.1073166525613516</v>
      </c>
      <c r="BT824" s="3">
        <v>6.2039833192280227</v>
      </c>
      <c r="BU824" s="3">
        <v>6.1706499858946913</v>
      </c>
      <c r="BV824" s="3">
        <v>5.3873166525613527</v>
      </c>
      <c r="BW824" s="3">
        <v>6.2206499858946884</v>
      </c>
      <c r="BX824" s="3">
        <v>6.7406499858946916</v>
      </c>
      <c r="BY824" s="3">
        <v>10.660649985894686</v>
      </c>
      <c r="BZ824" s="3">
        <v>28.190649985894687</v>
      </c>
      <c r="CA824" s="3">
        <v>9.3906499858946759</v>
      </c>
      <c r="CB824" s="3">
        <v>7.8273166525613505</v>
      </c>
      <c r="CC824" s="3">
        <v>8.640649985894683</v>
      </c>
      <c r="CD824" s="3">
        <v>8.0473166525613564</v>
      </c>
      <c r="CE824" s="3">
        <v>8.5406499858946816</v>
      </c>
      <c r="CF824" s="3">
        <v>-0.94601668077197942</v>
      </c>
      <c r="CG824" s="3">
        <v>-1.4793500141053109</v>
      </c>
      <c r="CH824" s="3">
        <v>-2.5560166807719789</v>
      </c>
      <c r="CI824" s="13">
        <f>[1]!dbasum(RecData[[#This Row],[20]:[2000]],RecData[[#Headers],[20]:[2000]])</f>
        <v>15.393329499191035</v>
      </c>
      <c r="CJ824" s="14">
        <v>9904</v>
      </c>
      <c r="CK824" s="15" t="s">
        <v>249</v>
      </c>
      <c r="CL824" s="15">
        <f>RecData[[#This Row],[Start Time]]</f>
        <v>43274.021527777775</v>
      </c>
      <c r="CM824" s="16">
        <f>RecData[[#This Row],[Wind Speed avg]]</f>
        <v>0.38</v>
      </c>
      <c r="CN824" s="16">
        <f>RecData[[#This Row],[Wind Dir. avg]]</f>
        <v>128.4</v>
      </c>
      <c r="CO824" s="16">
        <f>RecData[[#This Row],[Amb. Humidity]]</f>
        <v>79.7</v>
      </c>
      <c r="CP824" s="16">
        <f>RecData[[#This Row],[Amb. Temperature]]</f>
        <v>11.8</v>
      </c>
      <c r="CQ824" s="17">
        <f>RecData[[#This Row],[Amb. Rain Gauge]]</f>
        <v>0</v>
      </c>
      <c r="CR824" s="4" t="s">
        <v>50</v>
      </c>
      <c r="CS824" s="4" t="s">
        <v>49</v>
      </c>
      <c r="CT824" s="70">
        <v>-10.5403890609741</v>
      </c>
      <c r="CU824" s="70">
        <v>347.57943725585898</v>
      </c>
      <c r="CV824" s="70">
        <v>0.608900606632232</v>
      </c>
      <c r="CW824" s="70">
        <v>0</v>
      </c>
      <c r="CX824" s="109"/>
      <c r="CY824" s="110"/>
      <c r="CZ824" s="2" t="b">
        <f>IF($DP$1="YES",IF(RecData[[#This Row],[Power (kW)]]&gt;=$CR$3, TRUE,FALSE),TRUE)</f>
        <v>0</v>
      </c>
      <c r="DA824" s="16">
        <f>MIN(MOD(180-ABS(ABS($DA$1-RecData[Yaw Angle (°)])-180),360),MOD(180-ABS(ABS($DB$1-RecData[Yaw Angle (°)])-180),360))</f>
        <v>19.950489521828558</v>
      </c>
      <c r="DB824" s="2" t="str">
        <f>IF($DP$2="None","None",IF(RecData[[#This Row],[Relative Wind Direction]]&lt;=45,"DW",IF(RecData[[#This Row],[Relative Wind Direction]]&lt;=135,"CW","UW")))</f>
        <v>DW</v>
      </c>
      <c r="DC824" s="61" t="e">
        <f>IF($CL824-$CL822&gt;1/24,#REF!,IF(SUM($CQ822:$CQ824)&gt;$DS$1,$DS$5,DC825-1))</f>
        <v>#REF!</v>
      </c>
      <c r="DD824" s="61" t="e">
        <f>IF($CL825-$CL824&gt;1/24,#REF!,IF(SUM($CQ822:$CQ824)&gt;$DS$1,$DS$6,#REF!-1))</f>
        <v>#REF!</v>
      </c>
      <c r="DE824" s="18" t="b">
        <v>0</v>
      </c>
      <c r="DF824" s="2" t="b">
        <f>IF(OR(RecData[[#This Row],[WSpd_Avg '[m/s']]]-RecData[[#This Row],[Wind Speed min]]&gt;=$DF$3,RecData[[#This Row],[Wind Speed max]]-RecData[[#This Row],[WSpd_Avg '[m/s']]]&gt;=$DF$2),TRUE,FALSE)</f>
        <v>0</v>
      </c>
      <c r="DG824" s="2" t="b">
        <f>RecData[[#This Row],[Temperature '[°C']]]&lt;=-20</f>
        <v>0</v>
      </c>
      <c r="DH824" s="18" t="b">
        <f>NOT(OR(MOD(RecData[[#This Row],[TIMESTAMP]],1)&gt;0.91632,MOD(RecData[[#This Row],[TIMESTAMP]],1)&lt;0.208681))</f>
        <v>0</v>
      </c>
      <c r="DI824" s="18" t="b">
        <f>RecData[[#This Row],[Overall (dBA)]]-RecData[[#This Row],[L90]]&gt;=$DS$4</f>
        <v>0</v>
      </c>
      <c r="DJ824" s="18" t="b">
        <f>RecData[[#This Row],[Overall (dBA)]]&gt;$DS$2</f>
        <v>0</v>
      </c>
      <c r="DK824" s="18" t="b">
        <f>RecData[[#This Row],[Overall (dBA)]]&lt;$DS$3</f>
        <v>0</v>
      </c>
      <c r="DL8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4" s="2">
        <f>IF(AND(RecData[[#This Row],[Turbines ON/OFF]] = "OFF", NOT(OR(RecData[[#This Row],[Junk?]]="YES",RecData[[#This Row],[Gust?]],RecData[[#This Row],[Rain?]:[Min SPL Threshold?]]))),1,0)</f>
        <v>1</v>
      </c>
      <c r="DN824" s="16">
        <f>RecData[[#This Row],[dBA Sum]]</f>
        <v>15.393329499191035</v>
      </c>
      <c r="DO824" s="16">
        <f>RecData[[#This Row],[LAF90.0]]</f>
        <v>18.8</v>
      </c>
      <c r="DP824" s="55" t="str">
        <f>IF(AND(RecData[[#This Row],[Useable TON Data?]],RecData[[#This Row],[Turbines ON/OFF]]="ON"),RecData[[#This Row],[dBA Sum]],"")</f>
        <v/>
      </c>
      <c r="DQ824" s="55">
        <f>IF(AND(RecData[[#This Row],[Useable Background Data?]],RecData[[#This Row],[Turbines ON/OFF]]="OFF"),RecData[[#This Row],[dBA Sum]],"")</f>
        <v>15.393329499191035</v>
      </c>
      <c r="DR824" s="3">
        <f>IF(OR(RecData[[#This Row],[Useable TON Data?]],RecData[[#This Row],[Useable Background Data?]]),ROUND(RecData[[#This Row],[WSpd_Avg '[m/s']]],0),"")</f>
        <v>0</v>
      </c>
      <c r="DS824" s="85">
        <f>(0.00002)^2*(10^(RecData[[#This Row],[Overall (dBA)]]/10))</f>
        <v>1.3848187695543696E-8</v>
      </c>
    </row>
    <row r="825" spans="1:123" ht="15" x14ac:dyDescent="0.25">
      <c r="A825" s="3" t="s">
        <v>249</v>
      </c>
      <c r="B825" s="12">
        <v>43274.022222222222</v>
      </c>
      <c r="C825" s="3"/>
      <c r="D825" s="3">
        <v>29.5</v>
      </c>
      <c r="E825" s="3"/>
      <c r="F825" s="3"/>
      <c r="G825" s="3"/>
      <c r="H825" s="3"/>
      <c r="I825" s="3"/>
      <c r="J825" s="3"/>
      <c r="K825" s="3">
        <v>20.5</v>
      </c>
      <c r="L825" s="3"/>
      <c r="M825" s="3"/>
      <c r="N825" s="3">
        <v>105</v>
      </c>
      <c r="O825" s="3"/>
      <c r="P825" s="3"/>
      <c r="Q825" s="3">
        <v>0.27</v>
      </c>
      <c r="R825" s="3">
        <v>0.2</v>
      </c>
      <c r="S825" s="3">
        <v>0.4</v>
      </c>
      <c r="T825" s="3">
        <v>11.8</v>
      </c>
      <c r="U825" s="3">
        <v>80.099999999999994</v>
      </c>
      <c r="V825" s="3">
        <v>967.4</v>
      </c>
      <c r="W825" s="3">
        <v>0</v>
      </c>
      <c r="X825" s="3">
        <v>22.4</v>
      </c>
      <c r="Y825" s="3">
        <v>15.8</v>
      </c>
      <c r="Z825" s="3">
        <v>15.5</v>
      </c>
      <c r="AA825" s="3">
        <v>12.3</v>
      </c>
      <c r="AB825" s="3">
        <v>10.9</v>
      </c>
      <c r="AC825" s="3">
        <v>5.7</v>
      </c>
      <c r="AD825" s="3">
        <v>8.1</v>
      </c>
      <c r="AE825" s="3">
        <v>8.5</v>
      </c>
      <c r="AF825" s="3">
        <v>13.7</v>
      </c>
      <c r="AG825" s="3">
        <v>16.100000000000001</v>
      </c>
      <c r="AH825" s="3">
        <v>11.7</v>
      </c>
      <c r="AI825" s="3">
        <v>8.1999999999999993</v>
      </c>
      <c r="AJ825" s="3">
        <v>12.2</v>
      </c>
      <c r="AK825" s="3">
        <v>9.1999999999999993</v>
      </c>
      <c r="AL825" s="3">
        <v>7.2</v>
      </c>
      <c r="AM825" s="3">
        <v>7.8</v>
      </c>
      <c r="AN825" s="3">
        <v>7.7</v>
      </c>
      <c r="AO825" s="3">
        <v>9.8000000000000007</v>
      </c>
      <c r="AP825" s="3">
        <v>7.3</v>
      </c>
      <c r="AQ825" s="3">
        <v>6.2</v>
      </c>
      <c r="AR825" s="3">
        <v>6</v>
      </c>
      <c r="AS825" s="3">
        <v>17.100000000000001</v>
      </c>
      <c r="AT825" s="3">
        <v>27.5</v>
      </c>
      <c r="AU825" s="3">
        <v>10.5</v>
      </c>
      <c r="AV825" s="3">
        <v>8.1999999999999993</v>
      </c>
      <c r="AW825" s="3">
        <v>8.6999999999999993</v>
      </c>
      <c r="AX825" s="3">
        <v>8.9</v>
      </c>
      <c r="AY825" s="3">
        <v>9.1999999999999993</v>
      </c>
      <c r="AZ825" s="3">
        <v>0</v>
      </c>
      <c r="BA825" s="3">
        <v>0</v>
      </c>
      <c r="BB825" s="3">
        <v>0</v>
      </c>
      <c r="BC825" s="3">
        <v>29.53003327830174</v>
      </c>
      <c r="BD825" s="3">
        <v>22.369966721698258</v>
      </c>
      <c r="BE825" s="3">
        <v>15.769966721698257</v>
      </c>
      <c r="BF825" s="3">
        <v>14.229966721698258</v>
      </c>
      <c r="BG825" s="3">
        <v>11.356633388364923</v>
      </c>
      <c r="BH825" s="3">
        <v>10.096633388364925</v>
      </c>
      <c r="BI825" s="3">
        <v>5.3099667216982631</v>
      </c>
      <c r="BJ825" s="3">
        <v>8.5033000550315911</v>
      </c>
      <c r="BK825" s="3">
        <v>8.7766333883649246</v>
      </c>
      <c r="BL825" s="3">
        <v>13.549966721698258</v>
      </c>
      <c r="BM825" s="3">
        <v>16.083300055031597</v>
      </c>
      <c r="BN825" s="3">
        <v>11.966633388364929</v>
      </c>
      <c r="BO825" s="3">
        <v>7.8333000550315965</v>
      </c>
      <c r="BP825" s="3">
        <v>11.549966721698258</v>
      </c>
      <c r="BQ825" s="3">
        <v>8.9666333883649152</v>
      </c>
      <c r="BR825" s="3">
        <v>7.2933000550315974</v>
      </c>
      <c r="BS825" s="3">
        <v>7.6966333883649263</v>
      </c>
      <c r="BT825" s="3">
        <v>7.7933000550315974</v>
      </c>
      <c r="BU825" s="3">
        <v>9.8599667216982603</v>
      </c>
      <c r="BV825" s="3">
        <v>7.0766333883649288</v>
      </c>
      <c r="BW825" s="3">
        <v>6.509966721698266</v>
      </c>
      <c r="BX825" s="3">
        <v>6.2299667216982648</v>
      </c>
      <c r="BY825" s="3">
        <v>17.149966721698259</v>
      </c>
      <c r="BZ825" s="3">
        <v>27.679966721698268</v>
      </c>
      <c r="CA825" s="3">
        <v>10.779966721698255</v>
      </c>
      <c r="CB825" s="3">
        <v>7.9166333883649251</v>
      </c>
      <c r="CC825" s="3">
        <v>8.6299667216982563</v>
      </c>
      <c r="CD825" s="3">
        <v>8.1366333883649311</v>
      </c>
      <c r="CE825" s="3">
        <v>8.6299667216982563</v>
      </c>
      <c r="CF825" s="3">
        <v>-0.95669994496840616</v>
      </c>
      <c r="CG825" s="3">
        <v>-1.4900332783017376</v>
      </c>
      <c r="CH825" s="3">
        <v>-2.5666999449684056</v>
      </c>
      <c r="CI825" s="13">
        <f>[1]!dbasum(RecData[[#This Row],[20]:[2000]],RecData[[#Headers],[20]:[2000]])</f>
        <v>16.851115478390103</v>
      </c>
      <c r="CJ825" s="14">
        <v>9905</v>
      </c>
      <c r="CK825" s="15" t="s">
        <v>249</v>
      </c>
      <c r="CL825" s="15">
        <f>RecData[[#This Row],[Start Time]]</f>
        <v>43274.022222222222</v>
      </c>
      <c r="CM825" s="16">
        <f>RecData[[#This Row],[Wind Speed avg]]</f>
        <v>0.27</v>
      </c>
      <c r="CN825" s="16">
        <f>RecData[[#This Row],[Wind Dir. avg]]</f>
        <v>105</v>
      </c>
      <c r="CO825" s="16">
        <f>RecData[[#This Row],[Amb. Humidity]]</f>
        <v>80.099999999999994</v>
      </c>
      <c r="CP825" s="16">
        <f>RecData[[#This Row],[Amb. Temperature]]</f>
        <v>11.8</v>
      </c>
      <c r="CQ825" s="17">
        <f>RecData[[#This Row],[Amb. Rain Gauge]]</f>
        <v>0</v>
      </c>
      <c r="CR825" s="4" t="s">
        <v>50</v>
      </c>
      <c r="CS825" s="4" t="s">
        <v>49</v>
      </c>
      <c r="CT825" s="70">
        <v>-10.5403890609741</v>
      </c>
      <c r="CU825" s="70">
        <v>347.57943725585898</v>
      </c>
      <c r="CV825" s="70">
        <v>0.608900606632232</v>
      </c>
      <c r="CW825" s="70">
        <v>0</v>
      </c>
      <c r="CX825" s="109"/>
      <c r="CY825" s="110"/>
      <c r="CZ825" s="2" t="b">
        <f>IF($DP$1="YES",IF(RecData[[#This Row],[Power (kW)]]&gt;=$CR$3, TRUE,FALSE),TRUE)</f>
        <v>0</v>
      </c>
      <c r="DA825" s="16">
        <f>MIN(MOD(180-ABS(ABS($DA$1-RecData[Yaw Angle (°)])-180),360),MOD(180-ABS(ABS($DB$1-RecData[Yaw Angle (°)])-180),360))</f>
        <v>19.950489521828558</v>
      </c>
      <c r="DB825" s="2" t="str">
        <f>IF($DP$2="None","None",IF(RecData[[#This Row],[Relative Wind Direction]]&lt;=45,"DW",IF(RecData[[#This Row],[Relative Wind Direction]]&lt;=135,"CW","UW")))</f>
        <v>DW</v>
      </c>
      <c r="DC825" s="61" t="e">
        <f>IF($CL825-$CL822&gt;1/24,#REF!,IF(SUM($CQ822:$CQ825)&gt;$DS$1,$DS$5,DC826-1))</f>
        <v>#REF!</v>
      </c>
      <c r="DD825" s="61" t="e">
        <f>IF($CL826-$CL825&gt;1/24,#REF!,IF(SUM($CQ822:$CQ825)&gt;$DS$1,$DS$6,DD824-1))</f>
        <v>#REF!</v>
      </c>
      <c r="DE825" s="18" t="b">
        <v>0</v>
      </c>
      <c r="DF825" s="2" t="b">
        <f>IF(OR(RecData[[#This Row],[WSpd_Avg '[m/s']]]-RecData[[#This Row],[Wind Speed min]]&gt;=$DF$3,RecData[[#This Row],[Wind Speed max]]-RecData[[#This Row],[WSpd_Avg '[m/s']]]&gt;=$DF$2),TRUE,FALSE)</f>
        <v>0</v>
      </c>
      <c r="DG825" s="2" t="b">
        <f>RecData[[#This Row],[Temperature '[°C']]]&lt;=-20</f>
        <v>0</v>
      </c>
      <c r="DH825" s="18" t="b">
        <f>NOT(OR(MOD(RecData[[#This Row],[TIMESTAMP]],1)&gt;0.91632,MOD(RecData[[#This Row],[TIMESTAMP]],1)&lt;0.208681))</f>
        <v>0</v>
      </c>
      <c r="DI825" s="18" t="b">
        <f>RecData[[#This Row],[Overall (dBA)]]-RecData[[#This Row],[L90]]&gt;=$DS$4</f>
        <v>0</v>
      </c>
      <c r="DJ825" s="18" t="b">
        <f>RecData[[#This Row],[Overall (dBA)]]&gt;$DS$2</f>
        <v>0</v>
      </c>
      <c r="DK825" s="18" t="b">
        <f>RecData[[#This Row],[Overall (dBA)]]&lt;$DS$3</f>
        <v>0</v>
      </c>
      <c r="DL8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5" s="2">
        <f>IF(AND(RecData[[#This Row],[Turbines ON/OFF]] = "OFF", NOT(OR(RecData[[#This Row],[Junk?]]="YES",RecData[[#This Row],[Gust?]],RecData[[#This Row],[Rain?]:[Min SPL Threshold?]]))),1,0)</f>
        <v>1</v>
      </c>
      <c r="DN825" s="16">
        <f>RecData[[#This Row],[dBA Sum]]</f>
        <v>16.851115478390103</v>
      </c>
      <c r="DO825" s="16">
        <f>RecData[[#This Row],[LAF90.0]]</f>
        <v>20.5</v>
      </c>
      <c r="DP825" s="55" t="str">
        <f>IF(AND(RecData[[#This Row],[Useable TON Data?]],RecData[[#This Row],[Turbines ON/OFF]]="ON"),RecData[[#This Row],[dBA Sum]],"")</f>
        <v/>
      </c>
      <c r="DQ825" s="55">
        <f>IF(AND(RecData[[#This Row],[Useable Background Data?]],RecData[[#This Row],[Turbines ON/OFF]]="OFF"),RecData[[#This Row],[dBA Sum]],"")</f>
        <v>16.851115478390103</v>
      </c>
      <c r="DR825" s="3">
        <f>IF(OR(RecData[[#This Row],[Useable TON Data?]],RecData[[#This Row],[Useable Background Data?]]),ROUND(RecData[[#This Row],[WSpd_Avg '[m/s']]],0),"")</f>
        <v>0</v>
      </c>
      <c r="DS825" s="85">
        <f>(0.00002)^2*(10^(RecData[[#This Row],[Overall (dBA)]]/10))</f>
        <v>1.9371869697994589E-8</v>
      </c>
    </row>
    <row r="826" spans="1:123" ht="15" x14ac:dyDescent="0.25">
      <c r="A826" s="3" t="s">
        <v>249</v>
      </c>
      <c r="B826" s="12">
        <v>43274.022916666669</v>
      </c>
      <c r="C826" s="3"/>
      <c r="D826" s="3">
        <v>32.5</v>
      </c>
      <c r="E826" s="3"/>
      <c r="F826" s="3"/>
      <c r="G826" s="3"/>
      <c r="H826" s="3"/>
      <c r="I826" s="3"/>
      <c r="J826" s="3"/>
      <c r="K826" s="3">
        <v>21.8</v>
      </c>
      <c r="L826" s="3"/>
      <c r="M826" s="3"/>
      <c r="N826" s="3">
        <v>107.5</v>
      </c>
      <c r="O826" s="3"/>
      <c r="P826" s="3"/>
      <c r="Q826" s="3">
        <v>0.39</v>
      </c>
      <c r="R826" s="3">
        <v>0.2</v>
      </c>
      <c r="S826" s="3">
        <v>0.5</v>
      </c>
      <c r="T826" s="3">
        <v>11.8</v>
      </c>
      <c r="U826" s="3">
        <v>80.8</v>
      </c>
      <c r="V826" s="3">
        <v>967.4</v>
      </c>
      <c r="W826" s="3">
        <v>0</v>
      </c>
      <c r="X826" s="3">
        <v>19.100000000000001</v>
      </c>
      <c r="Y826" s="3">
        <v>14.7</v>
      </c>
      <c r="Z826" s="3">
        <v>14.9</v>
      </c>
      <c r="AA826" s="3">
        <v>12.4</v>
      </c>
      <c r="AB826" s="3">
        <v>10.4</v>
      </c>
      <c r="AC826" s="3">
        <v>4.7</v>
      </c>
      <c r="AD826" s="3">
        <v>6.5</v>
      </c>
      <c r="AE826" s="3">
        <v>7.1</v>
      </c>
      <c r="AF826" s="3">
        <v>12</v>
      </c>
      <c r="AG826" s="3">
        <v>12.1</v>
      </c>
      <c r="AH826" s="3">
        <v>11.5</v>
      </c>
      <c r="AI826" s="3">
        <v>9.1</v>
      </c>
      <c r="AJ826" s="3">
        <v>9.9</v>
      </c>
      <c r="AK826" s="3">
        <v>10.7</v>
      </c>
      <c r="AL826" s="3">
        <v>8.3000000000000007</v>
      </c>
      <c r="AM826" s="3">
        <v>8.6999999999999993</v>
      </c>
      <c r="AN826" s="3">
        <v>9.6</v>
      </c>
      <c r="AO826" s="3">
        <v>9.5</v>
      </c>
      <c r="AP826" s="3">
        <v>7.9</v>
      </c>
      <c r="AQ826" s="3">
        <v>6.4</v>
      </c>
      <c r="AR826" s="3">
        <v>6.3</v>
      </c>
      <c r="AS826" s="3">
        <v>16.5</v>
      </c>
      <c r="AT826" s="3">
        <v>30.9</v>
      </c>
      <c r="AU826" s="3">
        <v>10.9</v>
      </c>
      <c r="AV826" s="3">
        <v>8.1999999999999993</v>
      </c>
      <c r="AW826" s="3">
        <v>8.6999999999999993</v>
      </c>
      <c r="AX826" s="3">
        <v>8.9</v>
      </c>
      <c r="AY826" s="3">
        <v>9.1999999999999993</v>
      </c>
      <c r="AZ826" s="3">
        <v>0</v>
      </c>
      <c r="BA826" s="3">
        <v>0</v>
      </c>
      <c r="BB826" s="3">
        <v>0</v>
      </c>
      <c r="BC826" s="3">
        <v>32.488462657935159</v>
      </c>
      <c r="BD826" s="3">
        <v>19.111537342064842</v>
      </c>
      <c r="BE826" s="3">
        <v>14.711537342064844</v>
      </c>
      <c r="BF826" s="3">
        <v>13.671537342064838</v>
      </c>
      <c r="BG826" s="3">
        <v>11.498204008731506</v>
      </c>
      <c r="BH826" s="3">
        <v>9.6382040087315062</v>
      </c>
      <c r="BI826" s="3">
        <v>4.3515373420648444</v>
      </c>
      <c r="BJ826" s="3">
        <v>6.944870675398171</v>
      </c>
      <c r="BK826" s="3">
        <v>7.4182040087315002</v>
      </c>
      <c r="BL826" s="3">
        <v>11.891537342064844</v>
      </c>
      <c r="BM826" s="3">
        <v>12.124870675398178</v>
      </c>
      <c r="BN826" s="3">
        <v>11.808204008731508</v>
      </c>
      <c r="BO826" s="3">
        <v>8.7748706753981764</v>
      </c>
      <c r="BP826" s="3">
        <v>9.2915373420648422</v>
      </c>
      <c r="BQ826" s="3">
        <v>10.508204008731497</v>
      </c>
      <c r="BR826" s="3">
        <v>8.434870675398173</v>
      </c>
      <c r="BS826" s="3">
        <v>8.6382040087315062</v>
      </c>
      <c r="BT826" s="3">
        <v>9.7348706753981773</v>
      </c>
      <c r="BU826" s="3">
        <v>9.6015373420648444</v>
      </c>
      <c r="BV826" s="3">
        <v>7.7182040087315116</v>
      </c>
      <c r="BW826" s="3">
        <v>6.751537342064843</v>
      </c>
      <c r="BX826" s="3">
        <v>6.5715373420648433</v>
      </c>
      <c r="BY826" s="3">
        <v>16.591537342064839</v>
      </c>
      <c r="BZ826" s="3">
        <v>31.12153734206484</v>
      </c>
      <c r="CA826" s="3">
        <v>11.221537342064835</v>
      </c>
      <c r="CB826" s="3">
        <v>7.9582040087315065</v>
      </c>
      <c r="CC826" s="3">
        <v>8.6715373420648376</v>
      </c>
      <c r="CD826" s="3">
        <v>8.1782040087315124</v>
      </c>
      <c r="CE826" s="3">
        <v>8.6715373420648376</v>
      </c>
      <c r="CF826" s="3">
        <v>-0.91512932460182483</v>
      </c>
      <c r="CG826" s="3">
        <v>-1.4484626579351563</v>
      </c>
      <c r="CH826" s="3">
        <v>-2.5251293246018243</v>
      </c>
      <c r="CI826" s="13">
        <f>[1]!dbasum(RecData[[#This Row],[20]:[2000]],RecData[[#Headers],[20]:[2000]])</f>
        <v>17.22035216790378</v>
      </c>
      <c r="CJ826" s="14">
        <v>9906</v>
      </c>
      <c r="CK826" s="15" t="s">
        <v>249</v>
      </c>
      <c r="CL826" s="15">
        <f>RecData[[#This Row],[Start Time]]</f>
        <v>43274.022916666669</v>
      </c>
      <c r="CM826" s="16">
        <f>RecData[[#This Row],[Wind Speed avg]]</f>
        <v>0.39</v>
      </c>
      <c r="CN826" s="16">
        <f>RecData[[#This Row],[Wind Dir. avg]]</f>
        <v>107.5</v>
      </c>
      <c r="CO826" s="16">
        <f>RecData[[#This Row],[Amb. Humidity]]</f>
        <v>80.8</v>
      </c>
      <c r="CP826" s="16">
        <f>RecData[[#This Row],[Amb. Temperature]]</f>
        <v>11.8</v>
      </c>
      <c r="CQ826" s="17">
        <f>RecData[[#This Row],[Amb. Rain Gauge]]</f>
        <v>0</v>
      </c>
      <c r="CR826" s="4" t="s">
        <v>50</v>
      </c>
      <c r="CS826" s="4" t="s">
        <v>49</v>
      </c>
      <c r="CT826" s="70">
        <v>-10.5403890609741</v>
      </c>
      <c r="CU826" s="70">
        <v>347.57943725585898</v>
      </c>
      <c r="CV826" s="70">
        <v>0.608900606632232</v>
      </c>
      <c r="CW826" s="70">
        <v>0</v>
      </c>
      <c r="CX826" s="109"/>
      <c r="CY826" s="110"/>
      <c r="CZ826" s="2" t="b">
        <f>IF($DP$1="YES",IF(RecData[[#This Row],[Power (kW)]]&gt;=$CR$3, TRUE,FALSE),TRUE)</f>
        <v>0</v>
      </c>
      <c r="DA826" s="16">
        <f>MIN(MOD(180-ABS(ABS($DA$1-RecData[Yaw Angle (°)])-180),360),MOD(180-ABS(ABS($DB$1-RecData[Yaw Angle (°)])-180),360))</f>
        <v>19.950489521828558</v>
      </c>
      <c r="DB826" s="2" t="str">
        <f>IF($DP$2="None","None",IF(RecData[[#This Row],[Relative Wind Direction]]&lt;=45,"DW",IF(RecData[[#This Row],[Relative Wind Direction]]&lt;=135,"CW","UW")))</f>
        <v>DW</v>
      </c>
      <c r="DC826" s="61" t="e">
        <f>IF($CL826-$CL823&gt;1/24,#REF!,IF(SUM($CQ823:$CQ826)&gt;$DS$1,$DS$5,DC827-1))</f>
        <v>#REF!</v>
      </c>
      <c r="DD826" s="61" t="e">
        <f>IF($CL827-$CL826&gt;1/24,#REF!,IF(SUM($CQ823:$CQ826)&gt;$DS$1,$DS$6,DD825-1))</f>
        <v>#REF!</v>
      </c>
      <c r="DE826" s="18" t="b">
        <v>0</v>
      </c>
      <c r="DF826" s="2" t="b">
        <f>IF(OR(RecData[[#This Row],[WSpd_Avg '[m/s']]]-RecData[[#This Row],[Wind Speed min]]&gt;=$DF$3,RecData[[#This Row],[Wind Speed max]]-RecData[[#This Row],[WSpd_Avg '[m/s']]]&gt;=$DF$2),TRUE,FALSE)</f>
        <v>0</v>
      </c>
      <c r="DG826" s="2" t="b">
        <f>RecData[[#This Row],[Temperature '[°C']]]&lt;=-20</f>
        <v>0</v>
      </c>
      <c r="DH826" s="18" t="b">
        <f>NOT(OR(MOD(RecData[[#This Row],[TIMESTAMP]],1)&gt;0.91632,MOD(RecData[[#This Row],[TIMESTAMP]],1)&lt;0.208681))</f>
        <v>0</v>
      </c>
      <c r="DI826" s="18" t="b">
        <f>RecData[[#This Row],[Overall (dBA)]]-RecData[[#This Row],[L90]]&gt;=$DS$4</f>
        <v>0</v>
      </c>
      <c r="DJ826" s="18" t="b">
        <f>RecData[[#This Row],[Overall (dBA)]]&gt;$DS$2</f>
        <v>0</v>
      </c>
      <c r="DK826" s="18" t="b">
        <f>RecData[[#This Row],[Overall (dBA)]]&lt;$DS$3</f>
        <v>0</v>
      </c>
      <c r="DL8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6" s="2">
        <f>IF(AND(RecData[[#This Row],[Turbines ON/OFF]] = "OFF", NOT(OR(RecData[[#This Row],[Junk?]]="YES",RecData[[#This Row],[Gust?]],RecData[[#This Row],[Rain?]:[Min SPL Threshold?]]))),1,0)</f>
        <v>1</v>
      </c>
      <c r="DN826" s="16">
        <f>RecData[[#This Row],[dBA Sum]]</f>
        <v>17.22035216790378</v>
      </c>
      <c r="DO826" s="16">
        <f>RecData[[#This Row],[LAF90.0]]</f>
        <v>21.8</v>
      </c>
      <c r="DP826" s="55" t="str">
        <f>IF(AND(RecData[[#This Row],[Useable TON Data?]],RecData[[#This Row],[Turbines ON/OFF]]="ON"),RecData[[#This Row],[dBA Sum]],"")</f>
        <v/>
      </c>
      <c r="DQ826" s="55">
        <f>IF(AND(RecData[[#This Row],[Useable Background Data?]],RecData[[#This Row],[Turbines ON/OFF]]="OFF"),RecData[[#This Row],[dBA Sum]],"")</f>
        <v>17.22035216790378</v>
      </c>
      <c r="DR826" s="3">
        <f>IF(OR(RecData[[#This Row],[Useable TON Data?]],RecData[[#This Row],[Useable Background Data?]]),ROUND(RecData[[#This Row],[WSpd_Avg '[m/s']]],0),"")</f>
        <v>0</v>
      </c>
      <c r="DS826" s="85">
        <f>(0.00002)^2*(10^(RecData[[#This Row],[Overall (dBA)]]/10))</f>
        <v>2.109090464178651E-8</v>
      </c>
    </row>
    <row r="827" spans="1:123" ht="15" x14ac:dyDescent="0.25">
      <c r="A827" s="3" t="s">
        <v>249</v>
      </c>
      <c r="B827" s="12">
        <v>43274.023611111108</v>
      </c>
      <c r="C827" s="3"/>
      <c r="D827" s="3">
        <v>31.2</v>
      </c>
      <c r="E827" s="3"/>
      <c r="F827" s="3"/>
      <c r="G827" s="3"/>
      <c r="H827" s="3"/>
      <c r="I827" s="3"/>
      <c r="J827" s="3"/>
      <c r="K827" s="3">
        <v>19.8</v>
      </c>
      <c r="L827" s="3"/>
      <c r="M827" s="3"/>
      <c r="N827" s="3">
        <v>145</v>
      </c>
      <c r="O827" s="3"/>
      <c r="P827" s="3"/>
      <c r="Q827" s="3">
        <v>0.35</v>
      </c>
      <c r="R827" s="3">
        <v>0.2</v>
      </c>
      <c r="S827" s="3">
        <v>0.6</v>
      </c>
      <c r="T827" s="3">
        <v>11.7</v>
      </c>
      <c r="U827" s="3">
        <v>79.2</v>
      </c>
      <c r="V827" s="3">
        <v>967.3</v>
      </c>
      <c r="W827" s="3">
        <v>0</v>
      </c>
      <c r="X827" s="3">
        <v>20.8</v>
      </c>
      <c r="Y827" s="3">
        <v>17.2</v>
      </c>
      <c r="Z827" s="3">
        <v>16.7</v>
      </c>
      <c r="AA827" s="3">
        <v>14.2</v>
      </c>
      <c r="AB827" s="3">
        <v>11</v>
      </c>
      <c r="AC827" s="3">
        <v>5.3</v>
      </c>
      <c r="AD827" s="3">
        <v>6.5</v>
      </c>
      <c r="AE827" s="3">
        <v>7.4</v>
      </c>
      <c r="AF827" s="3">
        <v>9.6</v>
      </c>
      <c r="AG827" s="3">
        <v>13.3</v>
      </c>
      <c r="AH827" s="3">
        <v>11.8</v>
      </c>
      <c r="AI827" s="3">
        <v>10.4</v>
      </c>
      <c r="AJ827" s="3">
        <v>10.1</v>
      </c>
      <c r="AK827" s="3">
        <v>11</v>
      </c>
      <c r="AL827" s="3">
        <v>8.9</v>
      </c>
      <c r="AM827" s="3">
        <v>9.5</v>
      </c>
      <c r="AN827" s="3">
        <v>8.6</v>
      </c>
      <c r="AO827" s="3">
        <v>9.9</v>
      </c>
      <c r="AP827" s="3">
        <v>7.7</v>
      </c>
      <c r="AQ827" s="3">
        <v>6.4</v>
      </c>
      <c r="AR827" s="3">
        <v>6.5</v>
      </c>
      <c r="AS827" s="3">
        <v>14.7</v>
      </c>
      <c r="AT827" s="3">
        <v>29.6</v>
      </c>
      <c r="AU827" s="3">
        <v>10.4</v>
      </c>
      <c r="AV827" s="3">
        <v>8.1999999999999993</v>
      </c>
      <c r="AW827" s="3">
        <v>8.6999999999999993</v>
      </c>
      <c r="AX827" s="3">
        <v>8.9</v>
      </c>
      <c r="AY827" s="3">
        <v>9.1999999999999993</v>
      </c>
      <c r="AZ827" s="3">
        <v>0</v>
      </c>
      <c r="BA827" s="3">
        <v>0</v>
      </c>
      <c r="BB827" s="3">
        <v>0</v>
      </c>
      <c r="BC827" s="3">
        <v>31.251292094329877</v>
      </c>
      <c r="BD827" s="3">
        <v>20.748707905670123</v>
      </c>
      <c r="BE827" s="3">
        <v>17.148707905670122</v>
      </c>
      <c r="BF827" s="3">
        <v>15.40870790567012</v>
      </c>
      <c r="BG827" s="3">
        <v>13.235374572336788</v>
      </c>
      <c r="BH827" s="3">
        <v>10.175374572336793</v>
      </c>
      <c r="BI827" s="3">
        <v>4.8887079056701239</v>
      </c>
      <c r="BJ827" s="3">
        <v>6.8820412390034562</v>
      </c>
      <c r="BK827" s="3">
        <v>7.6553745723367825</v>
      </c>
      <c r="BL827" s="3">
        <v>9.4287079056701231</v>
      </c>
      <c r="BM827" s="3">
        <v>13.262041239003459</v>
      </c>
      <c r="BN827" s="3">
        <v>12.04537457233679</v>
      </c>
      <c r="BO827" s="3">
        <v>10.012041239003459</v>
      </c>
      <c r="BP827" s="3">
        <v>9.4287079056701231</v>
      </c>
      <c r="BQ827" s="3">
        <v>10.745374572336779</v>
      </c>
      <c r="BR827" s="3">
        <v>8.9720412390034596</v>
      </c>
      <c r="BS827" s="3">
        <v>9.3753745723367885</v>
      </c>
      <c r="BT827" s="3">
        <v>8.6720412390034554</v>
      </c>
      <c r="BU827" s="3">
        <v>9.9387079056701282</v>
      </c>
      <c r="BV827" s="3">
        <v>7.4553745723367868</v>
      </c>
      <c r="BW827" s="3">
        <v>6.6887079056701282</v>
      </c>
      <c r="BX827" s="3">
        <v>6.7087079056701313</v>
      </c>
      <c r="BY827" s="3">
        <v>14.72870790567012</v>
      </c>
      <c r="BZ827" s="3">
        <v>29.758707905670128</v>
      </c>
      <c r="CA827" s="3">
        <v>10.65870790567012</v>
      </c>
      <c r="CB827" s="3">
        <v>7.8953745723367845</v>
      </c>
      <c r="CC827" s="3">
        <v>8.6087079056701228</v>
      </c>
      <c r="CD827" s="3">
        <v>8.1153745723367976</v>
      </c>
      <c r="CE827" s="3">
        <v>8.6087079056701228</v>
      </c>
      <c r="CF827" s="3">
        <v>-0.97795876099654322</v>
      </c>
      <c r="CG827" s="3">
        <v>-1.5112920943298747</v>
      </c>
      <c r="CH827" s="3">
        <v>-2.5879587609965427</v>
      </c>
      <c r="CI827" s="13">
        <f>[1]!dbasum(RecData[[#This Row],[20]:[2000]],RecData[[#Headers],[20]:[2000]])</f>
        <v>17.286414226064011</v>
      </c>
      <c r="CJ827" s="14">
        <v>9907</v>
      </c>
      <c r="CK827" s="15" t="s">
        <v>249</v>
      </c>
      <c r="CL827" s="15">
        <f>RecData[[#This Row],[Start Time]]</f>
        <v>43274.023611111108</v>
      </c>
      <c r="CM827" s="16">
        <f>RecData[[#This Row],[Wind Speed avg]]</f>
        <v>0.35</v>
      </c>
      <c r="CN827" s="16">
        <f>RecData[[#This Row],[Wind Dir. avg]]</f>
        <v>145</v>
      </c>
      <c r="CO827" s="16">
        <f>RecData[[#This Row],[Amb. Humidity]]</f>
        <v>79.2</v>
      </c>
      <c r="CP827" s="16">
        <f>RecData[[#This Row],[Amb. Temperature]]</f>
        <v>11.7</v>
      </c>
      <c r="CQ827" s="17">
        <f>RecData[[#This Row],[Amb. Rain Gauge]]</f>
        <v>0</v>
      </c>
      <c r="CR827" s="4" t="s">
        <v>50</v>
      </c>
      <c r="CS827" s="4" t="s">
        <v>49</v>
      </c>
      <c r="CT827" s="70">
        <v>-10.5403890609741</v>
      </c>
      <c r="CU827" s="70">
        <v>347.57943725585898</v>
      </c>
      <c r="CV827" s="70">
        <v>0.608900606632232</v>
      </c>
      <c r="CW827" s="70">
        <v>0</v>
      </c>
      <c r="CX827" s="109"/>
      <c r="CY827" s="110"/>
      <c r="CZ827" s="2" t="b">
        <f>IF($DP$1="YES",IF(RecData[[#This Row],[Power (kW)]]&gt;=$CR$3, TRUE,FALSE),TRUE)</f>
        <v>0</v>
      </c>
      <c r="DA827" s="16">
        <f>MIN(MOD(180-ABS(ABS($DA$1-RecData[Yaw Angle (°)])-180),360),MOD(180-ABS(ABS($DB$1-RecData[Yaw Angle (°)])-180),360))</f>
        <v>19.950489521828558</v>
      </c>
      <c r="DB827" s="2" t="str">
        <f>IF($DP$2="None","None",IF(RecData[[#This Row],[Relative Wind Direction]]&lt;=45,"DW",IF(RecData[[#This Row],[Relative Wind Direction]]&lt;=135,"CW","UW")))</f>
        <v>DW</v>
      </c>
      <c r="DC827" s="61" t="e">
        <f>IF($CL827-#REF!&gt;1/24,#REF!,IF(SUM($CQ824:$CQ827)&gt;$DS$1,$DS$5,DC828-1))</f>
        <v>#REF!</v>
      </c>
      <c r="DD827" s="61" t="e">
        <f>IF($CL828-$CL827&gt;1/24,#REF!,IF(SUM($CQ824:$CQ827)&gt;$DS$1,$DS$6,DD826-1))</f>
        <v>#REF!</v>
      </c>
      <c r="DE827" s="18" t="b">
        <v>0</v>
      </c>
      <c r="DF827" s="2" t="b">
        <f>IF(OR(RecData[[#This Row],[WSpd_Avg '[m/s']]]-RecData[[#This Row],[Wind Speed min]]&gt;=$DF$3,RecData[[#This Row],[Wind Speed max]]-RecData[[#This Row],[WSpd_Avg '[m/s']]]&gt;=$DF$2),TRUE,FALSE)</f>
        <v>0</v>
      </c>
      <c r="DG827" s="2" t="b">
        <f>RecData[[#This Row],[Temperature '[°C']]]&lt;=-20</f>
        <v>0</v>
      </c>
      <c r="DH827" s="18" t="b">
        <f>NOT(OR(MOD(RecData[[#This Row],[TIMESTAMP]],1)&gt;0.91632,MOD(RecData[[#This Row],[TIMESTAMP]],1)&lt;0.208681))</f>
        <v>0</v>
      </c>
      <c r="DI827" s="18" t="b">
        <f>RecData[[#This Row],[Overall (dBA)]]-RecData[[#This Row],[L90]]&gt;=$DS$4</f>
        <v>0</v>
      </c>
      <c r="DJ827" s="18" t="b">
        <f>RecData[[#This Row],[Overall (dBA)]]&gt;$DS$2</f>
        <v>0</v>
      </c>
      <c r="DK827" s="18" t="b">
        <f>RecData[[#This Row],[Overall (dBA)]]&lt;$DS$3</f>
        <v>0</v>
      </c>
      <c r="DL8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7" s="2">
        <f>IF(AND(RecData[[#This Row],[Turbines ON/OFF]] = "OFF", NOT(OR(RecData[[#This Row],[Junk?]]="YES",RecData[[#This Row],[Gust?]],RecData[[#This Row],[Rain?]:[Min SPL Threshold?]]))),1,0)</f>
        <v>1</v>
      </c>
      <c r="DN827" s="16">
        <f>RecData[[#This Row],[dBA Sum]]</f>
        <v>17.286414226064011</v>
      </c>
      <c r="DO827" s="16">
        <f>RecData[[#This Row],[LAF90.0]]</f>
        <v>19.8</v>
      </c>
      <c r="DP827" s="55" t="str">
        <f>IF(AND(RecData[[#This Row],[Useable TON Data?]],RecData[[#This Row],[Turbines ON/OFF]]="ON"),RecData[[#This Row],[dBA Sum]],"")</f>
        <v/>
      </c>
      <c r="DQ827" s="55">
        <f>IF(AND(RecData[[#This Row],[Useable Background Data?]],RecData[[#This Row],[Turbines ON/OFF]]="OFF"),RecData[[#This Row],[dBA Sum]],"")</f>
        <v>17.286414226064011</v>
      </c>
      <c r="DR827" s="3">
        <f>IF(OR(RecData[[#This Row],[Useable TON Data?]],RecData[[#This Row],[Useable Background Data?]]),ROUND(RecData[[#This Row],[WSpd_Avg '[m/s']]],0),"")</f>
        <v>0</v>
      </c>
      <c r="DS827" s="85">
        <f>(0.00002)^2*(10^(RecData[[#This Row],[Overall (dBA)]]/10))</f>
        <v>2.1414178276902247E-8</v>
      </c>
    </row>
    <row r="828" spans="1:123" ht="15" x14ac:dyDescent="0.25">
      <c r="A828" s="3" t="s">
        <v>249</v>
      </c>
      <c r="B828" s="12">
        <v>43274.024305555555</v>
      </c>
      <c r="C828" s="3"/>
      <c r="D828" s="3">
        <v>29.8</v>
      </c>
      <c r="E828" s="3"/>
      <c r="F828" s="3"/>
      <c r="G828" s="3"/>
      <c r="H828" s="3"/>
      <c r="I828" s="3"/>
      <c r="J828" s="3"/>
      <c r="K828" s="3">
        <v>20.2</v>
      </c>
      <c r="L828" s="3"/>
      <c r="M828" s="3"/>
      <c r="N828" s="3">
        <v>166.1</v>
      </c>
      <c r="O828" s="3"/>
      <c r="P828" s="3"/>
      <c r="Q828" s="3">
        <v>0.43</v>
      </c>
      <c r="R828" s="3">
        <v>0.3</v>
      </c>
      <c r="S828" s="3">
        <v>0.6</v>
      </c>
      <c r="T828" s="3">
        <v>11.7</v>
      </c>
      <c r="U828" s="3">
        <v>78</v>
      </c>
      <c r="V828" s="3">
        <v>967.3</v>
      </c>
      <c r="W828" s="3">
        <v>0</v>
      </c>
      <c r="X828" s="3">
        <v>20.6</v>
      </c>
      <c r="Y828" s="3">
        <v>17.5</v>
      </c>
      <c r="Z828" s="3">
        <v>17</v>
      </c>
      <c r="AA828" s="3">
        <v>15.7</v>
      </c>
      <c r="AB828" s="3">
        <v>16.399999999999999</v>
      </c>
      <c r="AC828" s="3">
        <v>6.8</v>
      </c>
      <c r="AD828" s="3">
        <v>8.4</v>
      </c>
      <c r="AE828" s="3">
        <v>12.4</v>
      </c>
      <c r="AF828" s="3">
        <v>15</v>
      </c>
      <c r="AG828" s="3">
        <v>17.899999999999999</v>
      </c>
      <c r="AH828" s="3">
        <v>14.6</v>
      </c>
      <c r="AI828" s="3">
        <v>12.2</v>
      </c>
      <c r="AJ828" s="3">
        <v>12.5</v>
      </c>
      <c r="AK828" s="3">
        <v>10.7</v>
      </c>
      <c r="AL828" s="3">
        <v>8.3000000000000007</v>
      </c>
      <c r="AM828" s="3">
        <v>6.7</v>
      </c>
      <c r="AN828" s="3">
        <v>6.5</v>
      </c>
      <c r="AO828" s="3">
        <v>6.1</v>
      </c>
      <c r="AP828" s="3">
        <v>5.8</v>
      </c>
      <c r="AQ828" s="3">
        <v>6.1</v>
      </c>
      <c r="AR828" s="3">
        <v>6</v>
      </c>
      <c r="AS828" s="3">
        <v>15.7</v>
      </c>
      <c r="AT828" s="3">
        <v>27.9</v>
      </c>
      <c r="AU828" s="3">
        <v>10.8</v>
      </c>
      <c r="AV828" s="3">
        <v>8.4</v>
      </c>
      <c r="AW828" s="3">
        <v>8.9</v>
      </c>
      <c r="AX828" s="3">
        <v>8.9</v>
      </c>
      <c r="AY828" s="3">
        <v>9.1999999999999993</v>
      </c>
      <c r="AZ828" s="3">
        <v>0</v>
      </c>
      <c r="BA828" s="3">
        <v>0</v>
      </c>
      <c r="BB828" s="3">
        <v>0</v>
      </c>
      <c r="BC828" s="3">
        <v>29.769179957259926</v>
      </c>
      <c r="BD828" s="3">
        <v>20.63082004274008</v>
      </c>
      <c r="BE828" s="3">
        <v>17.530820042740071</v>
      </c>
      <c r="BF828" s="3">
        <v>15.790820042740076</v>
      </c>
      <c r="BG828" s="3">
        <v>14.81748670940674</v>
      </c>
      <c r="BH828" s="3">
        <v>15.657486709406744</v>
      </c>
      <c r="BI828" s="3">
        <v>6.4708200427400762</v>
      </c>
      <c r="BJ828" s="3">
        <v>8.864153376073407</v>
      </c>
      <c r="BK828" s="3">
        <v>12.737486709406735</v>
      </c>
      <c r="BL828" s="3">
        <v>14.910820042740074</v>
      </c>
      <c r="BM828" s="3">
        <v>17.944153376073412</v>
      </c>
      <c r="BN828" s="3">
        <v>14.92748670940674</v>
      </c>
      <c r="BO828" s="3">
        <v>11.894153376073408</v>
      </c>
      <c r="BP828" s="3">
        <v>11.910820042740074</v>
      </c>
      <c r="BQ828" s="3">
        <v>10.527486709406734</v>
      </c>
      <c r="BR828" s="3">
        <v>8.4541533760734104</v>
      </c>
      <c r="BS828" s="3">
        <v>6.6574867094067436</v>
      </c>
      <c r="BT828" s="3">
        <v>6.6541533760734062</v>
      </c>
      <c r="BU828" s="3">
        <v>6.2208200427400762</v>
      </c>
      <c r="BV828" s="3">
        <v>5.6374867094067405</v>
      </c>
      <c r="BW828" s="3">
        <v>6.4708200427400762</v>
      </c>
      <c r="BX828" s="3">
        <v>6.2908200427400764</v>
      </c>
      <c r="BY828" s="3">
        <v>15.810820042740072</v>
      </c>
      <c r="BZ828" s="3">
        <v>28.140820042740078</v>
      </c>
      <c r="CA828" s="3">
        <v>11.140820042740071</v>
      </c>
      <c r="CB828" s="3">
        <v>8.1774867094067396</v>
      </c>
      <c r="CC828" s="3">
        <v>8.8908200427400708</v>
      </c>
      <c r="CD828" s="3">
        <v>8.1974867094067427</v>
      </c>
      <c r="CE828" s="3">
        <v>8.690820042740075</v>
      </c>
      <c r="CF828" s="3">
        <v>-0.89584662392659098</v>
      </c>
      <c r="CG828" s="3">
        <v>-1.4291799572599224</v>
      </c>
      <c r="CH828" s="3">
        <v>-2.5058466239265904</v>
      </c>
      <c r="CI828" s="13">
        <f>[1]!dbasum(RecData[[#This Row],[20]:[2000]],RecData[[#Headers],[20]:[2000]])</f>
        <v>16.578692205920241</v>
      </c>
      <c r="CJ828" s="14">
        <v>9908</v>
      </c>
      <c r="CK828" s="15" t="s">
        <v>249</v>
      </c>
      <c r="CL828" s="15">
        <f>RecData[[#This Row],[Start Time]]</f>
        <v>43274.024305555555</v>
      </c>
      <c r="CM828" s="16">
        <f>RecData[[#This Row],[Wind Speed avg]]</f>
        <v>0.43</v>
      </c>
      <c r="CN828" s="16">
        <f>RecData[[#This Row],[Wind Dir. avg]]</f>
        <v>166.1</v>
      </c>
      <c r="CO828" s="16">
        <f>RecData[[#This Row],[Amb. Humidity]]</f>
        <v>78</v>
      </c>
      <c r="CP828" s="16">
        <f>RecData[[#This Row],[Amb. Temperature]]</f>
        <v>11.7</v>
      </c>
      <c r="CQ828" s="17">
        <f>RecData[[#This Row],[Amb. Rain Gauge]]</f>
        <v>0</v>
      </c>
      <c r="CR828" s="4" t="s">
        <v>50</v>
      </c>
      <c r="CS828" s="4" t="s">
        <v>49</v>
      </c>
      <c r="CT828" s="70">
        <v>-10.5403890609741</v>
      </c>
      <c r="CU828" s="70">
        <v>347.57943725585898</v>
      </c>
      <c r="CV828" s="70">
        <v>0.608900606632232</v>
      </c>
      <c r="CW828" s="70">
        <v>0</v>
      </c>
      <c r="CX828" s="109"/>
      <c r="CY828" s="110"/>
      <c r="CZ828" s="2" t="b">
        <f>IF($DP$1="YES",IF(RecData[[#This Row],[Power (kW)]]&gt;=$CR$3, TRUE,FALSE),TRUE)</f>
        <v>0</v>
      </c>
      <c r="DA828" s="16">
        <f>MIN(MOD(180-ABS(ABS($DA$1-RecData[Yaw Angle (°)])-180),360),MOD(180-ABS(ABS($DB$1-RecData[Yaw Angle (°)])-180),360))</f>
        <v>19.950489521828558</v>
      </c>
      <c r="DB828" s="2" t="str">
        <f>IF($DP$2="None","None",IF(RecData[[#This Row],[Relative Wind Direction]]&lt;=45,"DW",IF(RecData[[#This Row],[Relative Wind Direction]]&lt;=135,"CW","UW")))</f>
        <v>DW</v>
      </c>
      <c r="DC828" s="61">
        <f>IF($CL828-$CL824&gt;1/24,#REF!,IF(SUM($CQ824:$CQ828)&gt;$DS$1,$DS$5,DC829-1))</f>
        <v>-3</v>
      </c>
      <c r="DD828" s="61" t="e">
        <f>IF($CL829-$CL828&gt;1/24,#REF!,IF(SUM($CQ824:$CQ828)&gt;$DS$1,$DS$6,DD827-1))</f>
        <v>#REF!</v>
      </c>
      <c r="DE828" s="18" t="b">
        <v>0</v>
      </c>
      <c r="DF828" s="2" t="b">
        <f>IF(OR(RecData[[#This Row],[WSpd_Avg '[m/s']]]-RecData[[#This Row],[Wind Speed min]]&gt;=$DF$3,RecData[[#This Row],[Wind Speed max]]-RecData[[#This Row],[WSpd_Avg '[m/s']]]&gt;=$DF$2),TRUE,FALSE)</f>
        <v>0</v>
      </c>
      <c r="DG828" s="2" t="b">
        <f>RecData[[#This Row],[Temperature '[°C']]]&lt;=-20</f>
        <v>0</v>
      </c>
      <c r="DH828" s="18" t="b">
        <f>NOT(OR(MOD(RecData[[#This Row],[TIMESTAMP]],1)&gt;0.91632,MOD(RecData[[#This Row],[TIMESTAMP]],1)&lt;0.208681))</f>
        <v>0</v>
      </c>
      <c r="DI828" s="18" t="b">
        <f>RecData[[#This Row],[Overall (dBA)]]-RecData[[#This Row],[L90]]&gt;=$DS$4</f>
        <v>0</v>
      </c>
      <c r="DJ828" s="18" t="b">
        <f>RecData[[#This Row],[Overall (dBA)]]&gt;$DS$2</f>
        <v>0</v>
      </c>
      <c r="DK828" s="18" t="b">
        <f>RecData[[#This Row],[Overall (dBA)]]&lt;$DS$3</f>
        <v>0</v>
      </c>
      <c r="DL8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8" s="2">
        <f>IF(AND(RecData[[#This Row],[Turbines ON/OFF]] = "OFF", NOT(OR(RecData[[#This Row],[Junk?]]="YES",RecData[[#This Row],[Gust?]],RecData[[#This Row],[Rain?]:[Min SPL Threshold?]]))),1,0)</f>
        <v>1</v>
      </c>
      <c r="DN828" s="16">
        <f>RecData[[#This Row],[dBA Sum]]</f>
        <v>16.578692205920241</v>
      </c>
      <c r="DO828" s="16">
        <f>RecData[[#This Row],[LAF90.0]]</f>
        <v>20.2</v>
      </c>
      <c r="DP828" s="55" t="str">
        <f>IF(AND(RecData[[#This Row],[Useable TON Data?]],RecData[[#This Row],[Turbines ON/OFF]]="ON"),RecData[[#This Row],[dBA Sum]],"")</f>
        <v/>
      </c>
      <c r="DQ828" s="55">
        <f>IF(AND(RecData[[#This Row],[Useable Background Data?]],RecData[[#This Row],[Turbines ON/OFF]]="OFF"),RecData[[#This Row],[dBA Sum]],"")</f>
        <v>16.578692205920241</v>
      </c>
      <c r="DR828" s="3">
        <f>IF(OR(RecData[[#This Row],[Useable TON Data?]],RecData[[#This Row],[Useable Background Data?]]),ROUND(RecData[[#This Row],[WSpd_Avg '[m/s']]],0),"")</f>
        <v>0</v>
      </c>
      <c r="DS828" s="85">
        <f>(0.00002)^2*(10^(RecData[[#This Row],[Overall (dBA)]]/10))</f>
        <v>1.8194042795883014E-8</v>
      </c>
    </row>
    <row r="829" spans="1:123" ht="15" x14ac:dyDescent="0.25">
      <c r="A829" s="3" t="s">
        <v>249</v>
      </c>
      <c r="B829" s="12">
        <v>43274.025000000001</v>
      </c>
      <c r="C829" s="3"/>
      <c r="D829" s="3">
        <v>28.2</v>
      </c>
      <c r="E829" s="3"/>
      <c r="F829" s="3"/>
      <c r="G829" s="3"/>
      <c r="H829" s="3"/>
      <c r="I829" s="3"/>
      <c r="J829" s="3"/>
      <c r="K829" s="3">
        <v>19.7</v>
      </c>
      <c r="L829" s="3"/>
      <c r="M829" s="3"/>
      <c r="N829" s="3">
        <v>159.1</v>
      </c>
      <c r="O829" s="3"/>
      <c r="P829" s="3"/>
      <c r="Q829" s="3">
        <v>0.49</v>
      </c>
      <c r="R829" s="3">
        <v>0.4</v>
      </c>
      <c r="S829" s="3">
        <v>0.6</v>
      </c>
      <c r="T829" s="3">
        <v>11.8</v>
      </c>
      <c r="U829" s="3">
        <v>78.900000000000006</v>
      </c>
      <c r="V829" s="3">
        <v>967.3</v>
      </c>
      <c r="W829" s="3">
        <v>0</v>
      </c>
      <c r="X829" s="3">
        <v>21.6</v>
      </c>
      <c r="Y829" s="3">
        <v>22.1</v>
      </c>
      <c r="Z829" s="3">
        <v>21.2</v>
      </c>
      <c r="AA829" s="3">
        <v>15.8</v>
      </c>
      <c r="AB829" s="3">
        <v>17</v>
      </c>
      <c r="AC829" s="3">
        <v>7.4</v>
      </c>
      <c r="AD829" s="3">
        <v>9.6</v>
      </c>
      <c r="AE829" s="3">
        <v>19.600000000000001</v>
      </c>
      <c r="AF829" s="3">
        <v>18.899999999999999</v>
      </c>
      <c r="AG829" s="3">
        <v>20.8</v>
      </c>
      <c r="AH829" s="3">
        <v>19.3</v>
      </c>
      <c r="AI829" s="3">
        <v>17.2</v>
      </c>
      <c r="AJ829" s="3">
        <v>16.100000000000001</v>
      </c>
      <c r="AK829" s="3">
        <v>13.1</v>
      </c>
      <c r="AL829" s="3">
        <v>9.9</v>
      </c>
      <c r="AM829" s="3">
        <v>9.4</v>
      </c>
      <c r="AN829" s="3">
        <v>8.4</v>
      </c>
      <c r="AO829" s="3">
        <v>8.4</v>
      </c>
      <c r="AP829" s="3">
        <v>6.8</v>
      </c>
      <c r="AQ829" s="3">
        <v>6.7</v>
      </c>
      <c r="AR829" s="3">
        <v>6.7</v>
      </c>
      <c r="AS829" s="3">
        <v>14.5</v>
      </c>
      <c r="AT829" s="3">
        <v>25.9</v>
      </c>
      <c r="AU829" s="3">
        <v>9.1999999999999993</v>
      </c>
      <c r="AV829" s="3">
        <v>8.3000000000000007</v>
      </c>
      <c r="AW829" s="3">
        <v>8.8000000000000007</v>
      </c>
      <c r="AX829" s="3">
        <v>8.9</v>
      </c>
      <c r="AY829" s="3">
        <v>9.1</v>
      </c>
      <c r="AZ829" s="3">
        <v>0</v>
      </c>
      <c r="BA829" s="3">
        <v>0</v>
      </c>
      <c r="BB829" s="3">
        <v>0</v>
      </c>
      <c r="BC829" s="3">
        <v>28.229515074652074</v>
      </c>
      <c r="BD829" s="3">
        <v>21.570484925347923</v>
      </c>
      <c r="BE829" s="3">
        <v>22.070484925347923</v>
      </c>
      <c r="BF829" s="3">
        <v>19.930484925347923</v>
      </c>
      <c r="BG829" s="3">
        <v>14.857151592014592</v>
      </c>
      <c r="BH829" s="3">
        <v>16.197151592014595</v>
      </c>
      <c r="BI829" s="3">
        <v>7.010484925347928</v>
      </c>
      <c r="BJ829" s="3">
        <v>10.00381825868126</v>
      </c>
      <c r="BK829" s="3">
        <v>19.877151592014588</v>
      </c>
      <c r="BL829" s="3">
        <v>18.750484925347923</v>
      </c>
      <c r="BM829" s="3">
        <v>20.783818258681261</v>
      </c>
      <c r="BN829" s="3">
        <v>19.567151592014593</v>
      </c>
      <c r="BO829" s="3">
        <v>16.833818258681259</v>
      </c>
      <c r="BP829" s="3">
        <v>15.450484925347926</v>
      </c>
      <c r="BQ829" s="3">
        <v>12.867151592014583</v>
      </c>
      <c r="BR829" s="3">
        <v>9.9938182586812623</v>
      </c>
      <c r="BS829" s="3">
        <v>9.2971515920145968</v>
      </c>
      <c r="BT829" s="3">
        <v>8.4938182586812623</v>
      </c>
      <c r="BU829" s="3">
        <v>8.4604849253479308</v>
      </c>
      <c r="BV829" s="3">
        <v>6.5771515920145909</v>
      </c>
      <c r="BW829" s="3">
        <v>7.010484925347928</v>
      </c>
      <c r="BX829" s="3">
        <v>6.9304849253479297</v>
      </c>
      <c r="BY829" s="3">
        <v>14.550484925347927</v>
      </c>
      <c r="BZ829" s="3">
        <v>26.080484925347928</v>
      </c>
      <c r="CA829" s="3">
        <v>9.4804849253479198</v>
      </c>
      <c r="CB829" s="3">
        <v>8.0171515920145886</v>
      </c>
      <c r="CC829" s="3">
        <v>8.7304849253479269</v>
      </c>
      <c r="CD829" s="3">
        <v>8.1371515920146003</v>
      </c>
      <c r="CE829" s="3">
        <v>8.530484925347924</v>
      </c>
      <c r="CF829" s="3">
        <v>-0.95618174131874056</v>
      </c>
      <c r="CG829" s="3">
        <v>-1.489515074652072</v>
      </c>
      <c r="CH829" s="3">
        <v>-2.56618174131874</v>
      </c>
      <c r="CI829" s="13">
        <f>[1]!dbasum(RecData[[#This Row],[20]:[2000]],RecData[[#Headers],[20]:[2000]])</f>
        <v>18.914258915060845</v>
      </c>
      <c r="CJ829" s="14">
        <v>9909</v>
      </c>
      <c r="CK829" s="15" t="s">
        <v>249</v>
      </c>
      <c r="CL829" s="15">
        <f>RecData[[#This Row],[Start Time]]</f>
        <v>43274.025000000001</v>
      </c>
      <c r="CM829" s="16">
        <f>RecData[[#This Row],[Wind Speed avg]]</f>
        <v>0.49</v>
      </c>
      <c r="CN829" s="16">
        <f>RecData[[#This Row],[Wind Dir. avg]]</f>
        <v>159.1</v>
      </c>
      <c r="CO829" s="16">
        <f>RecData[[#This Row],[Amb. Humidity]]</f>
        <v>78.900000000000006</v>
      </c>
      <c r="CP829" s="16">
        <f>RecData[[#This Row],[Amb. Temperature]]</f>
        <v>11.8</v>
      </c>
      <c r="CQ829" s="17">
        <f>RecData[[#This Row],[Amb. Rain Gauge]]</f>
        <v>0</v>
      </c>
      <c r="CR829" s="4" t="s">
        <v>50</v>
      </c>
      <c r="CS829" s="4" t="s">
        <v>49</v>
      </c>
      <c r="CT829" s="70">
        <v>-10.5403890609741</v>
      </c>
      <c r="CU829" s="70">
        <v>347.57943725585898</v>
      </c>
      <c r="CV829" s="70">
        <v>0.608900606632232</v>
      </c>
      <c r="CW829" s="70">
        <v>0</v>
      </c>
      <c r="CX829" s="109"/>
      <c r="CY829" s="110"/>
      <c r="CZ829" s="2" t="b">
        <f>IF($DP$1="YES",IF(RecData[[#This Row],[Power (kW)]]&gt;=$CR$3, TRUE,FALSE),TRUE)</f>
        <v>0</v>
      </c>
      <c r="DA829" s="16">
        <f>MIN(MOD(180-ABS(ABS($DA$1-RecData[Yaw Angle (°)])-180),360),MOD(180-ABS(ABS($DB$1-RecData[Yaw Angle (°)])-180),360))</f>
        <v>19.950489521828558</v>
      </c>
      <c r="DB829" s="2" t="str">
        <f>IF($DP$2="None","None",IF(RecData[[#This Row],[Relative Wind Direction]]&lt;=45,"DW",IF(RecData[[#This Row],[Relative Wind Direction]]&lt;=135,"CW","UW")))</f>
        <v>DW</v>
      </c>
      <c r="DC829" s="61">
        <f>IF($CL829-$CL825&gt;1/24,#REF!,IF(SUM($CQ825:$CQ829)&gt;$DS$1,$DS$5,DC830-1))</f>
        <v>-2</v>
      </c>
      <c r="DD829" s="61" t="e">
        <f>IF($CL830-$CL829&gt;1/24,#REF!,IF(SUM($CQ825:$CQ829)&gt;$DS$1,$DS$6,DD828-1))</f>
        <v>#REF!</v>
      </c>
      <c r="DE829" s="18" t="b">
        <v>0</v>
      </c>
      <c r="DF829" s="2" t="b">
        <f>IF(OR(RecData[[#This Row],[WSpd_Avg '[m/s']]]-RecData[[#This Row],[Wind Speed min]]&gt;=$DF$3,RecData[[#This Row],[Wind Speed max]]-RecData[[#This Row],[WSpd_Avg '[m/s']]]&gt;=$DF$2),TRUE,FALSE)</f>
        <v>0</v>
      </c>
      <c r="DG829" s="2" t="b">
        <f>RecData[[#This Row],[Temperature '[°C']]]&lt;=-20</f>
        <v>0</v>
      </c>
      <c r="DH829" s="18" t="b">
        <f>NOT(OR(MOD(RecData[[#This Row],[TIMESTAMP]],1)&gt;0.91632,MOD(RecData[[#This Row],[TIMESTAMP]],1)&lt;0.208681))</f>
        <v>0</v>
      </c>
      <c r="DI829" s="18" t="b">
        <f>RecData[[#This Row],[Overall (dBA)]]-RecData[[#This Row],[L90]]&gt;=$DS$4</f>
        <v>0</v>
      </c>
      <c r="DJ829" s="18" t="b">
        <f>RecData[[#This Row],[Overall (dBA)]]&gt;$DS$2</f>
        <v>0</v>
      </c>
      <c r="DK829" s="18" t="b">
        <f>RecData[[#This Row],[Overall (dBA)]]&lt;$DS$3</f>
        <v>0</v>
      </c>
      <c r="DL8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29" s="2">
        <f>IF(AND(RecData[[#This Row],[Turbines ON/OFF]] = "OFF", NOT(OR(RecData[[#This Row],[Junk?]]="YES",RecData[[#This Row],[Gust?]],RecData[[#This Row],[Rain?]:[Min SPL Threshold?]]))),1,0)</f>
        <v>1</v>
      </c>
      <c r="DN829" s="16">
        <f>RecData[[#This Row],[dBA Sum]]</f>
        <v>18.914258915060845</v>
      </c>
      <c r="DO829" s="16">
        <f>RecData[[#This Row],[LAF90.0]]</f>
        <v>19.7</v>
      </c>
      <c r="DP829" s="55" t="str">
        <f>IF(AND(RecData[[#This Row],[Useable TON Data?]],RecData[[#This Row],[Turbines ON/OFF]]="ON"),RecData[[#This Row],[dBA Sum]],"")</f>
        <v/>
      </c>
      <c r="DQ829" s="55">
        <f>IF(AND(RecData[[#This Row],[Useable Background Data?]],RecData[[#This Row],[Turbines ON/OFF]]="OFF"),RecData[[#This Row],[dBA Sum]],"")</f>
        <v>18.914258915060845</v>
      </c>
      <c r="DR829" s="3">
        <f>IF(OR(RecData[[#This Row],[Useable TON Data?]],RecData[[#This Row],[Useable Background Data?]]),ROUND(RecData[[#This Row],[WSpd_Avg '[m/s']]],0),"")</f>
        <v>0</v>
      </c>
      <c r="DS829" s="85">
        <f>(0.00002)^2*(10^(RecData[[#This Row],[Overall (dBA)]]/10))</f>
        <v>3.1151996317238355E-8</v>
      </c>
    </row>
    <row r="830" spans="1:123" ht="15" x14ac:dyDescent="0.25">
      <c r="A830" s="3" t="s">
        <v>249</v>
      </c>
      <c r="B830" s="12">
        <v>43274.025694444441</v>
      </c>
      <c r="C830" s="3"/>
      <c r="D830" s="3">
        <v>29.4</v>
      </c>
      <c r="E830" s="3"/>
      <c r="F830" s="3"/>
      <c r="G830" s="3"/>
      <c r="H830" s="3"/>
      <c r="I830" s="3"/>
      <c r="J830" s="3"/>
      <c r="K830" s="3">
        <v>19.399999999999999</v>
      </c>
      <c r="L830" s="3"/>
      <c r="M830" s="3"/>
      <c r="N830" s="3">
        <v>160.80000000000001</v>
      </c>
      <c r="O830" s="3"/>
      <c r="P830" s="3"/>
      <c r="Q830" s="3">
        <v>0.51</v>
      </c>
      <c r="R830" s="3">
        <v>0.4</v>
      </c>
      <c r="S830" s="3">
        <v>0.7</v>
      </c>
      <c r="T830" s="3">
        <v>11.8</v>
      </c>
      <c r="U830" s="3">
        <v>78.7</v>
      </c>
      <c r="V830" s="3">
        <v>967.3</v>
      </c>
      <c r="W830" s="3">
        <v>0</v>
      </c>
      <c r="X830" s="3">
        <v>20.7</v>
      </c>
      <c r="Y830" s="3">
        <v>16.8</v>
      </c>
      <c r="Z830" s="3">
        <v>18</v>
      </c>
      <c r="AA830" s="3">
        <v>18</v>
      </c>
      <c r="AB830" s="3">
        <v>13.9</v>
      </c>
      <c r="AC830" s="3">
        <v>5.9</v>
      </c>
      <c r="AD830" s="3">
        <v>12.2</v>
      </c>
      <c r="AE830" s="3">
        <v>11.4</v>
      </c>
      <c r="AF830" s="3">
        <v>14.6</v>
      </c>
      <c r="AG830" s="3">
        <v>15.7</v>
      </c>
      <c r="AH830" s="3">
        <v>18.2</v>
      </c>
      <c r="AI830" s="3">
        <v>15.2</v>
      </c>
      <c r="AJ830" s="3">
        <v>14.6</v>
      </c>
      <c r="AK830" s="3">
        <v>16.100000000000001</v>
      </c>
      <c r="AL830" s="3">
        <v>11.7</v>
      </c>
      <c r="AM830" s="3">
        <v>13.7</v>
      </c>
      <c r="AN830" s="3">
        <v>11.5</v>
      </c>
      <c r="AO830" s="3">
        <v>15.9</v>
      </c>
      <c r="AP830" s="3">
        <v>13.3</v>
      </c>
      <c r="AQ830" s="3">
        <v>7.7</v>
      </c>
      <c r="AR830" s="3">
        <v>6.9</v>
      </c>
      <c r="AS830" s="3">
        <v>12.8</v>
      </c>
      <c r="AT830" s="3">
        <v>27</v>
      </c>
      <c r="AU830" s="3">
        <v>9.6</v>
      </c>
      <c r="AV830" s="3">
        <v>8.1</v>
      </c>
      <c r="AW830" s="3">
        <v>8.6999999999999993</v>
      </c>
      <c r="AX830" s="3">
        <v>8.9</v>
      </c>
      <c r="AY830" s="3">
        <v>9.1999999999999993</v>
      </c>
      <c r="AZ830" s="3">
        <v>0</v>
      </c>
      <c r="BA830" s="3">
        <v>0</v>
      </c>
      <c r="BB830" s="3">
        <v>0</v>
      </c>
      <c r="BC830" s="3">
        <v>29.374355102854651</v>
      </c>
      <c r="BD830" s="3">
        <v>20.725644897145344</v>
      </c>
      <c r="BE830" s="3">
        <v>16.825644897145352</v>
      </c>
      <c r="BF830" s="3">
        <v>16.785644897145346</v>
      </c>
      <c r="BG830" s="3">
        <v>17.112311563812014</v>
      </c>
      <c r="BH830" s="3">
        <v>13.15231156381202</v>
      </c>
      <c r="BI830" s="3">
        <v>5.5656448971453472</v>
      </c>
      <c r="BJ830" s="3">
        <v>12.658978230478681</v>
      </c>
      <c r="BK830" s="3">
        <v>11.732311563812011</v>
      </c>
      <c r="BL830" s="3">
        <v>14.505644897145345</v>
      </c>
      <c r="BM830" s="3">
        <v>15.738978230478679</v>
      </c>
      <c r="BN830" s="3">
        <v>18.522311563812011</v>
      </c>
      <c r="BO830" s="3">
        <v>14.888978230478685</v>
      </c>
      <c r="BP830" s="3">
        <v>14.005644897145345</v>
      </c>
      <c r="BQ830" s="3">
        <v>15.922311563812009</v>
      </c>
      <c r="BR830" s="3">
        <v>11.848978230478679</v>
      </c>
      <c r="BS830" s="3">
        <v>13.652311563812013</v>
      </c>
      <c r="BT830" s="3">
        <v>11.648978230478683</v>
      </c>
      <c r="BU830" s="3">
        <v>16.01564489714535</v>
      </c>
      <c r="BV830" s="3">
        <v>13.132311563812017</v>
      </c>
      <c r="BW830" s="3">
        <v>8.0656448971453472</v>
      </c>
      <c r="BX830" s="3">
        <v>7.1856448971453517</v>
      </c>
      <c r="BY830" s="3">
        <v>12.905644897145351</v>
      </c>
      <c r="BZ830" s="3">
        <v>27.235644897145349</v>
      </c>
      <c r="CA830" s="3">
        <v>9.9356448971453375</v>
      </c>
      <c r="CB830" s="3">
        <v>7.872311563812012</v>
      </c>
      <c r="CC830" s="3">
        <v>8.6856448971453446</v>
      </c>
      <c r="CD830" s="3">
        <v>8.1923115638120194</v>
      </c>
      <c r="CE830" s="3">
        <v>8.6856448971453446</v>
      </c>
      <c r="CF830" s="3">
        <v>-0.90102176952131785</v>
      </c>
      <c r="CG830" s="3">
        <v>-1.4343551028546493</v>
      </c>
      <c r="CH830" s="3">
        <v>-2.5110217695213173</v>
      </c>
      <c r="CI830" s="13">
        <f>[1]!dbasum(RecData[[#This Row],[20]:[2000]],RecData[[#Headers],[20]:[2000]])</f>
        <v>21.581209275445488</v>
      </c>
      <c r="CJ830" s="14">
        <v>9910</v>
      </c>
      <c r="CK830" s="15" t="s">
        <v>249</v>
      </c>
      <c r="CL830" s="15">
        <f>RecData[[#This Row],[Start Time]]</f>
        <v>43274.025694444441</v>
      </c>
      <c r="CM830" s="16">
        <f>RecData[[#This Row],[Wind Speed avg]]</f>
        <v>0.51</v>
      </c>
      <c r="CN830" s="16">
        <f>RecData[[#This Row],[Wind Dir. avg]]</f>
        <v>160.80000000000001</v>
      </c>
      <c r="CO830" s="16">
        <f>RecData[[#This Row],[Amb. Humidity]]</f>
        <v>78.7</v>
      </c>
      <c r="CP830" s="16">
        <f>RecData[[#This Row],[Amb. Temperature]]</f>
        <v>11.8</v>
      </c>
      <c r="CQ830" s="17">
        <f>RecData[[#This Row],[Amb. Rain Gauge]]</f>
        <v>0</v>
      </c>
      <c r="CR830" s="4" t="s">
        <v>50</v>
      </c>
      <c r="CS830" s="4" t="s">
        <v>49</v>
      </c>
      <c r="CT830" s="70">
        <v>-10.5403890609741</v>
      </c>
      <c r="CU830" s="70">
        <v>347.57943725585898</v>
      </c>
      <c r="CV830" s="70">
        <v>0.608900606632232</v>
      </c>
      <c r="CW830" s="70">
        <v>0</v>
      </c>
      <c r="CX830" s="109"/>
      <c r="CY830" s="110"/>
      <c r="CZ830" s="2" t="b">
        <f>IF($DP$1="YES",IF(RecData[[#This Row],[Power (kW)]]&gt;=$CR$3, TRUE,FALSE),TRUE)</f>
        <v>0</v>
      </c>
      <c r="DA830" s="16">
        <f>MIN(MOD(180-ABS(ABS($DA$1-RecData[Yaw Angle (°)])-180),360),MOD(180-ABS(ABS($DB$1-RecData[Yaw Angle (°)])-180),360))</f>
        <v>19.950489521828558</v>
      </c>
      <c r="DB830" s="2" t="str">
        <f>IF($DP$2="None","None",IF(RecData[[#This Row],[Relative Wind Direction]]&lt;=45,"DW",IF(RecData[[#This Row],[Relative Wind Direction]]&lt;=135,"CW","UW")))</f>
        <v>DW</v>
      </c>
      <c r="DC830" s="61">
        <v>-1</v>
      </c>
      <c r="DD830" s="61">
        <v>-1</v>
      </c>
      <c r="DE830" s="18" t="b">
        <v>0</v>
      </c>
      <c r="DF830" s="2" t="b">
        <f>IF(OR(RecData[[#This Row],[WSpd_Avg '[m/s']]]-RecData[[#This Row],[Wind Speed min]]&gt;=$DF$3,RecData[[#This Row],[Wind Speed max]]-RecData[[#This Row],[WSpd_Avg '[m/s']]]&gt;=$DF$2),TRUE,FALSE)</f>
        <v>0</v>
      </c>
      <c r="DG830" s="2" t="b">
        <f>RecData[[#This Row],[Temperature '[°C']]]&lt;=-20</f>
        <v>0</v>
      </c>
      <c r="DH830" s="18" t="b">
        <f>NOT(OR(MOD(RecData[[#This Row],[TIMESTAMP]],1)&gt;0.91632,MOD(RecData[[#This Row],[TIMESTAMP]],1)&lt;0.208681))</f>
        <v>0</v>
      </c>
      <c r="DI830" s="18" t="b">
        <f>RecData[[#This Row],[Overall (dBA)]]-RecData[[#This Row],[L90]]&gt;=$DS$4</f>
        <v>0</v>
      </c>
      <c r="DJ830" s="18" t="b">
        <f>RecData[[#This Row],[Overall (dBA)]]&gt;$DS$2</f>
        <v>0</v>
      </c>
      <c r="DK830" s="18" t="b">
        <f>RecData[[#This Row],[Overall (dBA)]]&lt;$DS$3</f>
        <v>0</v>
      </c>
      <c r="DL8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0" s="2">
        <f>IF(AND(RecData[[#This Row],[Turbines ON/OFF]] = "OFF", NOT(OR(RecData[[#This Row],[Junk?]]="YES",RecData[[#This Row],[Gust?]],RecData[[#This Row],[Rain?]:[Min SPL Threshold?]]))),1,0)</f>
        <v>1</v>
      </c>
      <c r="DN830" s="16">
        <f>RecData[[#This Row],[dBA Sum]]</f>
        <v>21.581209275445488</v>
      </c>
      <c r="DO830" s="16">
        <f>RecData[[#This Row],[LAF90.0]]</f>
        <v>19.399999999999999</v>
      </c>
      <c r="DP830" s="55" t="str">
        <f>IF(AND(RecData[[#This Row],[Useable TON Data?]],RecData[[#This Row],[Turbines ON/OFF]]="ON"),RecData[[#This Row],[dBA Sum]],"")</f>
        <v/>
      </c>
      <c r="DQ830" s="55">
        <f>IF(AND(RecData[[#This Row],[Useable Background Data?]],RecData[[#This Row],[Turbines ON/OFF]]="OFF"),RecData[[#This Row],[dBA Sum]],"")</f>
        <v>21.581209275445488</v>
      </c>
      <c r="DR830" s="3">
        <f>IF(OR(RecData[[#This Row],[Useable TON Data?]],RecData[[#This Row],[Useable Background Data?]]),ROUND(RecData[[#This Row],[WSpd_Avg '[m/s']]],0),"")</f>
        <v>1</v>
      </c>
      <c r="DS830" s="85">
        <f>(0.00002)^2*(10^(RecData[[#This Row],[Overall (dBA)]]/10))</f>
        <v>5.7567970467639975E-8</v>
      </c>
    </row>
    <row r="831" spans="1:123" ht="15" x14ac:dyDescent="0.25">
      <c r="A831" s="3" t="s">
        <v>249</v>
      </c>
      <c r="B831" s="12">
        <v>43274.026388888888</v>
      </c>
      <c r="C831" s="3"/>
      <c r="D831" s="3">
        <v>30.1</v>
      </c>
      <c r="E831" s="3"/>
      <c r="F831" s="3"/>
      <c r="G831" s="3"/>
      <c r="H831" s="3"/>
      <c r="I831" s="3"/>
      <c r="J831" s="3"/>
      <c r="K831" s="3">
        <v>19.100000000000001</v>
      </c>
      <c r="L831" s="3"/>
      <c r="M831" s="3"/>
      <c r="N831" s="3">
        <v>140.1</v>
      </c>
      <c r="O831" s="3"/>
      <c r="P831" s="3"/>
      <c r="Q831" s="3">
        <v>0.44</v>
      </c>
      <c r="R831" s="3">
        <v>0.1</v>
      </c>
      <c r="S831" s="3">
        <v>0.7</v>
      </c>
      <c r="T831" s="3">
        <v>11.9</v>
      </c>
      <c r="U831" s="3">
        <v>79.400000000000006</v>
      </c>
      <c r="V831" s="3">
        <v>967.3</v>
      </c>
      <c r="W831" s="3">
        <v>0</v>
      </c>
      <c r="X831" s="3">
        <v>22</v>
      </c>
      <c r="Y831" s="3">
        <v>16.3</v>
      </c>
      <c r="Z831" s="3">
        <v>16.8</v>
      </c>
      <c r="AA831" s="3">
        <v>13.5</v>
      </c>
      <c r="AB831" s="3">
        <v>9.1999999999999993</v>
      </c>
      <c r="AC831" s="3">
        <v>5.6</v>
      </c>
      <c r="AD831" s="3">
        <v>7</v>
      </c>
      <c r="AE831" s="3">
        <v>7</v>
      </c>
      <c r="AF831" s="3">
        <v>13.2</v>
      </c>
      <c r="AG831" s="3">
        <v>9.5</v>
      </c>
      <c r="AH831" s="3">
        <v>8.9</v>
      </c>
      <c r="AI831" s="3">
        <v>9.1</v>
      </c>
      <c r="AJ831" s="3">
        <v>10</v>
      </c>
      <c r="AK831" s="3">
        <v>9.6999999999999993</v>
      </c>
      <c r="AL831" s="3">
        <v>9.1999999999999993</v>
      </c>
      <c r="AM831" s="3">
        <v>8</v>
      </c>
      <c r="AN831" s="3">
        <v>7.6</v>
      </c>
      <c r="AO831" s="3">
        <v>7.6</v>
      </c>
      <c r="AP831" s="3">
        <v>6.9</v>
      </c>
      <c r="AQ831" s="3">
        <v>8.5</v>
      </c>
      <c r="AR831" s="3">
        <v>7.5</v>
      </c>
      <c r="AS831" s="3">
        <v>15.3</v>
      </c>
      <c r="AT831" s="3">
        <v>28.3</v>
      </c>
      <c r="AU831" s="3">
        <v>11</v>
      </c>
      <c r="AV831" s="3">
        <v>8.1999999999999993</v>
      </c>
      <c r="AW831" s="3">
        <v>8.8000000000000007</v>
      </c>
      <c r="AX831" s="3">
        <v>8.9</v>
      </c>
      <c r="AY831" s="3">
        <v>9.1999999999999993</v>
      </c>
      <c r="AZ831" s="3">
        <v>0</v>
      </c>
      <c r="BA831" s="3">
        <v>0</v>
      </c>
      <c r="BB831" s="3">
        <v>0</v>
      </c>
      <c r="BC831" s="3">
        <v>30.110716564844861</v>
      </c>
      <c r="BD831" s="3">
        <v>21.989283435155141</v>
      </c>
      <c r="BE831" s="3">
        <v>16.289283435155145</v>
      </c>
      <c r="BF831" s="3">
        <v>15.549283435155143</v>
      </c>
      <c r="BG831" s="3">
        <v>12.575950101821807</v>
      </c>
      <c r="BH831" s="3">
        <v>8.4159501018218101</v>
      </c>
      <c r="BI831" s="3">
        <v>5.2292834351551427</v>
      </c>
      <c r="BJ831" s="3">
        <v>7.4226167684884707</v>
      </c>
      <c r="BK831" s="3">
        <v>7.2959501018218056</v>
      </c>
      <c r="BL831" s="3">
        <v>13.069283435155139</v>
      </c>
      <c r="BM831" s="3">
        <v>9.5026167684884761</v>
      </c>
      <c r="BN831" s="3">
        <v>9.1859501018218062</v>
      </c>
      <c r="BO831" s="3">
        <v>8.7526167684884761</v>
      </c>
      <c r="BP831" s="3">
        <v>9.3692834351551433</v>
      </c>
      <c r="BQ831" s="3">
        <v>9.4859501018217962</v>
      </c>
      <c r="BR831" s="3">
        <v>9.3126167684884713</v>
      </c>
      <c r="BS831" s="3">
        <v>7.9159501018218101</v>
      </c>
      <c r="BT831" s="3">
        <v>7.712616768488477</v>
      </c>
      <c r="BU831" s="3">
        <v>7.6792834351551456</v>
      </c>
      <c r="BV831" s="3">
        <v>6.6959501018218113</v>
      </c>
      <c r="BW831" s="3">
        <v>8.8292834351551441</v>
      </c>
      <c r="BX831" s="3">
        <v>7.7492834351551458</v>
      </c>
      <c r="BY831" s="3">
        <v>15.369283435155143</v>
      </c>
      <c r="BZ831" s="3">
        <v>28.499283435155146</v>
      </c>
      <c r="CA831" s="3">
        <v>11.299283435155136</v>
      </c>
      <c r="CB831" s="3">
        <v>7.9359501018218062</v>
      </c>
      <c r="CC831" s="3">
        <v>8.7492834351551387</v>
      </c>
      <c r="CD831" s="3">
        <v>8.1559501018218121</v>
      </c>
      <c r="CE831" s="3">
        <v>8.6492834351551373</v>
      </c>
      <c r="CF831" s="3">
        <v>-0.93738323151152514</v>
      </c>
      <c r="CG831" s="3">
        <v>-1.4707165648448566</v>
      </c>
      <c r="CH831" s="3">
        <v>-2.5473832315115246</v>
      </c>
      <c r="CI831" s="13">
        <f>[1]!dbasum(RecData[[#This Row],[20]:[2000]],RecData[[#Headers],[20]:[2000]])</f>
        <v>16.912228613179501</v>
      </c>
      <c r="CJ831" s="14">
        <v>9911</v>
      </c>
      <c r="CK831" s="15" t="s">
        <v>249</v>
      </c>
      <c r="CL831" s="15">
        <f>RecData[[#This Row],[Start Time]]</f>
        <v>43274.026388888888</v>
      </c>
      <c r="CM831" s="16">
        <f>RecData[[#This Row],[Wind Speed avg]]</f>
        <v>0.44</v>
      </c>
      <c r="CN831" s="16">
        <f>RecData[[#This Row],[Wind Dir. avg]]</f>
        <v>140.1</v>
      </c>
      <c r="CO831" s="16">
        <f>RecData[[#This Row],[Amb. Humidity]]</f>
        <v>79.400000000000006</v>
      </c>
      <c r="CP831" s="16">
        <f>RecData[[#This Row],[Amb. Temperature]]</f>
        <v>11.9</v>
      </c>
      <c r="CQ831" s="17">
        <f>RecData[[#This Row],[Amb. Rain Gauge]]</f>
        <v>0</v>
      </c>
      <c r="CR831" s="4" t="s">
        <v>50</v>
      </c>
      <c r="CS831" s="4" t="s">
        <v>49</v>
      </c>
      <c r="CT831" s="70">
        <v>-10.5403890609741</v>
      </c>
      <c r="CU831" s="70">
        <v>347.57943725585898</v>
      </c>
      <c r="CV831" s="70">
        <v>0.608900606632232</v>
      </c>
      <c r="CW831" s="70">
        <v>0</v>
      </c>
      <c r="CX831" s="109"/>
      <c r="CY831" s="110"/>
      <c r="CZ831" s="2" t="b">
        <f>IF($DP$1="YES",IF(RecData[[#This Row],[Power (kW)]]&gt;=$CR$3, TRUE,FALSE),TRUE)</f>
        <v>0</v>
      </c>
      <c r="DA831" s="16">
        <f>MIN(MOD(180-ABS(ABS($DA$1-RecData[Yaw Angle (°)])-180),360),MOD(180-ABS(ABS($DB$1-RecData[Yaw Angle (°)])-180),360))</f>
        <v>19.950489521828558</v>
      </c>
      <c r="DB831" s="2" t="str">
        <f>IF($DP$2="None","None",IF(RecData[[#This Row],[Relative Wind Direction]]&lt;=45,"DW",IF(RecData[[#This Row],[Relative Wind Direction]]&lt;=135,"CW","UW")))</f>
        <v>DW</v>
      </c>
      <c r="DC831" s="61">
        <f>IF($CL831-$CL830&gt;1/24,#REF!,IF(SUM($CQ830:$CQ831)&gt;$DS$1,$DS$5,DC832-1))</f>
        <v>-9</v>
      </c>
      <c r="DD831" s="61">
        <f>IF($CL832-$CL831&gt;1/24,#REF!,IF(SUM($CQ830:$CQ831)&gt;$DS$1,$DS$6,DD830-1))</f>
        <v>-2</v>
      </c>
      <c r="DE831" s="18" t="b">
        <v>0</v>
      </c>
      <c r="DF831" s="2" t="b">
        <f>IF(OR(RecData[[#This Row],[WSpd_Avg '[m/s']]]-RecData[[#This Row],[Wind Speed min]]&gt;=$DF$3,RecData[[#This Row],[Wind Speed max]]-RecData[[#This Row],[WSpd_Avg '[m/s']]]&gt;=$DF$2),TRUE,FALSE)</f>
        <v>0</v>
      </c>
      <c r="DG831" s="2" t="b">
        <f>RecData[[#This Row],[Temperature '[°C']]]&lt;=-20</f>
        <v>0</v>
      </c>
      <c r="DH831" s="18" t="b">
        <f>NOT(OR(MOD(RecData[[#This Row],[TIMESTAMP]],1)&gt;0.91632,MOD(RecData[[#This Row],[TIMESTAMP]],1)&lt;0.208681))</f>
        <v>0</v>
      </c>
      <c r="DI831" s="18" t="b">
        <f>RecData[[#This Row],[Overall (dBA)]]-RecData[[#This Row],[L90]]&gt;=$DS$4</f>
        <v>0</v>
      </c>
      <c r="DJ831" s="18" t="b">
        <f>RecData[[#This Row],[Overall (dBA)]]&gt;$DS$2</f>
        <v>0</v>
      </c>
      <c r="DK831" s="18" t="b">
        <f>RecData[[#This Row],[Overall (dBA)]]&lt;$DS$3</f>
        <v>0</v>
      </c>
      <c r="DL8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1" s="2">
        <f>IF(AND(RecData[[#This Row],[Turbines ON/OFF]] = "OFF", NOT(OR(RecData[[#This Row],[Junk?]]="YES",RecData[[#This Row],[Gust?]],RecData[[#This Row],[Rain?]:[Min SPL Threshold?]]))),1,0)</f>
        <v>1</v>
      </c>
      <c r="DN831" s="16">
        <f>RecData[[#This Row],[dBA Sum]]</f>
        <v>16.912228613179501</v>
      </c>
      <c r="DO831" s="16">
        <f>RecData[[#This Row],[LAF90.0]]</f>
        <v>19.100000000000001</v>
      </c>
      <c r="DP831" s="55" t="str">
        <f>IF(AND(RecData[[#This Row],[Useable TON Data?]],RecData[[#This Row],[Turbines ON/OFF]]="ON"),RecData[[#This Row],[dBA Sum]],"")</f>
        <v/>
      </c>
      <c r="DQ831" s="55">
        <f>IF(AND(RecData[[#This Row],[Useable Background Data?]],RecData[[#This Row],[Turbines ON/OFF]]="OFF"),RecData[[#This Row],[dBA Sum]],"")</f>
        <v>16.912228613179501</v>
      </c>
      <c r="DR831" s="3">
        <f>IF(OR(RecData[[#This Row],[Useable TON Data?]],RecData[[#This Row],[Useable Background Data?]]),ROUND(RecData[[#This Row],[WSpd_Avg '[m/s']]],0),"")</f>
        <v>0</v>
      </c>
      <c r="DS831" s="85">
        <f>(0.00002)^2*(10^(RecData[[#This Row],[Overall (dBA)]]/10))</f>
        <v>1.9646394147400832E-8</v>
      </c>
    </row>
    <row r="832" spans="1:123" ht="15" x14ac:dyDescent="0.25">
      <c r="A832" s="3" t="s">
        <v>249</v>
      </c>
      <c r="B832" s="12">
        <v>43274.027083333334</v>
      </c>
      <c r="C832" s="3"/>
      <c r="D832" s="3">
        <v>29.8</v>
      </c>
      <c r="E832" s="3"/>
      <c r="F832" s="3"/>
      <c r="G832" s="3"/>
      <c r="H832" s="3"/>
      <c r="I832" s="3"/>
      <c r="J832" s="3"/>
      <c r="K832" s="3">
        <v>20.7</v>
      </c>
      <c r="L832" s="3"/>
      <c r="M832" s="3"/>
      <c r="N832" s="3">
        <v>111.1</v>
      </c>
      <c r="O832" s="3"/>
      <c r="P832" s="3"/>
      <c r="Q832" s="3">
        <v>0.31</v>
      </c>
      <c r="R832" s="3">
        <v>0.1</v>
      </c>
      <c r="S832" s="3">
        <v>0.5</v>
      </c>
      <c r="T832" s="3">
        <v>11.9</v>
      </c>
      <c r="U832" s="3">
        <v>79.400000000000006</v>
      </c>
      <c r="V832" s="3">
        <v>967.3</v>
      </c>
      <c r="W832" s="3">
        <v>0</v>
      </c>
      <c r="X832" s="3">
        <v>16.899999999999999</v>
      </c>
      <c r="Y832" s="3">
        <v>13.5</v>
      </c>
      <c r="Z832" s="3">
        <v>11.6</v>
      </c>
      <c r="AA832" s="3">
        <v>11.3</v>
      </c>
      <c r="AB832" s="3">
        <v>8.6999999999999993</v>
      </c>
      <c r="AC832" s="3">
        <v>6.5</v>
      </c>
      <c r="AD832" s="3">
        <v>8.4</v>
      </c>
      <c r="AE832" s="3">
        <v>7.8</v>
      </c>
      <c r="AF832" s="3">
        <v>11</v>
      </c>
      <c r="AG832" s="3">
        <v>11.7</v>
      </c>
      <c r="AH832" s="3">
        <v>14.5</v>
      </c>
      <c r="AI832" s="3">
        <v>11.5</v>
      </c>
      <c r="AJ832" s="3">
        <v>12.1</v>
      </c>
      <c r="AK832" s="3">
        <v>13.6</v>
      </c>
      <c r="AL832" s="3">
        <v>10.5</v>
      </c>
      <c r="AM832" s="3">
        <v>13.2</v>
      </c>
      <c r="AN832" s="3">
        <v>11.2</v>
      </c>
      <c r="AO832" s="3">
        <v>14.1</v>
      </c>
      <c r="AP832" s="3">
        <v>12.8</v>
      </c>
      <c r="AQ832" s="3">
        <v>9</v>
      </c>
      <c r="AR832" s="3">
        <v>8.1999999999999993</v>
      </c>
      <c r="AS832" s="3">
        <v>15.4</v>
      </c>
      <c r="AT832" s="3">
        <v>27.5</v>
      </c>
      <c r="AU832" s="3">
        <v>12</v>
      </c>
      <c r="AV832" s="3">
        <v>8.4</v>
      </c>
      <c r="AW832" s="3">
        <v>8.8000000000000007</v>
      </c>
      <c r="AX832" s="3">
        <v>8.9</v>
      </c>
      <c r="AY832" s="3">
        <v>9.1999999999999993</v>
      </c>
      <c r="AZ832" s="3">
        <v>0</v>
      </c>
      <c r="BA832" s="3">
        <v>0</v>
      </c>
      <c r="BB832" s="3">
        <v>0</v>
      </c>
      <c r="BC832" s="3">
        <v>29.755653788686956</v>
      </c>
      <c r="BD832" s="3">
        <v>16.944346211313047</v>
      </c>
      <c r="BE832" s="3">
        <v>13.544346211313041</v>
      </c>
      <c r="BF832" s="3">
        <v>10.40434621131304</v>
      </c>
      <c r="BG832" s="3">
        <v>10.431012877979711</v>
      </c>
      <c r="BH832" s="3">
        <v>7.9710128779797103</v>
      </c>
      <c r="BI832" s="3">
        <v>6.1843462113130414</v>
      </c>
      <c r="BJ832" s="3">
        <v>8.8776795446463765</v>
      </c>
      <c r="BK832" s="3">
        <v>8.15101287797971</v>
      </c>
      <c r="BL832" s="3">
        <v>10.924346211313043</v>
      </c>
      <c r="BM832" s="3">
        <v>11.757679544646379</v>
      </c>
      <c r="BN832" s="3">
        <v>14.841012877979708</v>
      </c>
      <c r="BO832" s="3">
        <v>11.207679544646382</v>
      </c>
      <c r="BP832" s="3">
        <v>11.524346211313045</v>
      </c>
      <c r="BQ832" s="3">
        <v>13.441012877979702</v>
      </c>
      <c r="BR832" s="3">
        <v>10.667679544646376</v>
      </c>
      <c r="BS832" s="3">
        <v>13.171012877979713</v>
      </c>
      <c r="BT832" s="3">
        <v>11.367679544646379</v>
      </c>
      <c r="BU832" s="3">
        <v>14.234346211313046</v>
      </c>
      <c r="BV832" s="3">
        <v>12.65101287797971</v>
      </c>
      <c r="BW832" s="3">
        <v>9.3843462113130443</v>
      </c>
      <c r="BX832" s="3">
        <v>8.5043462113130488</v>
      </c>
      <c r="BY832" s="3">
        <v>15.524346211313045</v>
      </c>
      <c r="BZ832" s="3">
        <v>27.754346211313049</v>
      </c>
      <c r="CA832" s="3">
        <v>12.354346211313036</v>
      </c>
      <c r="CB832" s="3">
        <v>8.1910128779797091</v>
      </c>
      <c r="CC832" s="3">
        <v>8.804346211313046</v>
      </c>
      <c r="CD832" s="3">
        <v>8.2110128779797122</v>
      </c>
      <c r="CE832" s="3">
        <v>8.7043462113130445</v>
      </c>
      <c r="CF832" s="3">
        <v>-0.88232045535362147</v>
      </c>
      <c r="CG832" s="3">
        <v>-1.4156537886869529</v>
      </c>
      <c r="CH832" s="3">
        <v>-2.4923204553536209</v>
      </c>
      <c r="CI832" s="13">
        <f>[1]!dbasum(RecData[[#This Row],[20]:[2000]],RecData[[#Headers],[20]:[2000]])</f>
        <v>20.564088484420115</v>
      </c>
      <c r="CJ832" s="14">
        <v>9912</v>
      </c>
      <c r="CK832" s="15" t="s">
        <v>249</v>
      </c>
      <c r="CL832" s="15">
        <f>RecData[[#This Row],[Start Time]]</f>
        <v>43274.027083333334</v>
      </c>
      <c r="CM832" s="16">
        <f>RecData[[#This Row],[Wind Speed avg]]</f>
        <v>0.31</v>
      </c>
      <c r="CN832" s="16">
        <f>RecData[[#This Row],[Wind Dir. avg]]</f>
        <v>111.1</v>
      </c>
      <c r="CO832" s="16">
        <f>RecData[[#This Row],[Amb. Humidity]]</f>
        <v>79.400000000000006</v>
      </c>
      <c r="CP832" s="16">
        <f>RecData[[#This Row],[Amb. Temperature]]</f>
        <v>11.9</v>
      </c>
      <c r="CQ832" s="17">
        <f>RecData[[#This Row],[Amb. Rain Gauge]]</f>
        <v>0</v>
      </c>
      <c r="CR832" s="4" t="s">
        <v>50</v>
      </c>
      <c r="CS832" s="4" t="s">
        <v>49</v>
      </c>
      <c r="CT832" s="70">
        <v>-10.5403890609741</v>
      </c>
      <c r="CU832" s="70">
        <v>347.57943725585898</v>
      </c>
      <c r="CV832" s="70">
        <v>0.608900606632232</v>
      </c>
      <c r="CW832" s="70">
        <v>0</v>
      </c>
      <c r="CX832" s="109"/>
      <c r="CY832" s="110"/>
      <c r="CZ832" s="2" t="b">
        <f>IF($DP$1="YES",IF(RecData[[#This Row],[Power (kW)]]&gt;=$CR$3, TRUE,FALSE),TRUE)</f>
        <v>0</v>
      </c>
      <c r="DA832" s="16">
        <f>MIN(MOD(180-ABS(ABS($DA$1-RecData[Yaw Angle (°)])-180),360),MOD(180-ABS(ABS($DB$1-RecData[Yaw Angle (°)])-180),360))</f>
        <v>19.950489521828558</v>
      </c>
      <c r="DB832" s="2" t="str">
        <f>IF($DP$2="None","None",IF(RecData[[#This Row],[Relative Wind Direction]]&lt;=45,"DW",IF(RecData[[#This Row],[Relative Wind Direction]]&lt;=135,"CW","UW")))</f>
        <v>DW</v>
      </c>
      <c r="DC832" s="61">
        <f>IF($CL832-$CL830&gt;1/24,#REF!,IF(SUM($CQ830:$CQ832)&gt;$DS$1,$DS$5,DC833-1))</f>
        <v>-8</v>
      </c>
      <c r="DD832" s="61">
        <f>IF($CL833-$CL832&gt;1/24,#REF!,IF(SUM($CQ830:$CQ832)&gt;$DS$1,$DS$6,DD831-1))</f>
        <v>-3</v>
      </c>
      <c r="DE832" s="18" t="b">
        <v>0</v>
      </c>
      <c r="DF832" s="2" t="b">
        <f>IF(OR(RecData[[#This Row],[WSpd_Avg '[m/s']]]-RecData[[#This Row],[Wind Speed min]]&gt;=$DF$3,RecData[[#This Row],[Wind Speed max]]-RecData[[#This Row],[WSpd_Avg '[m/s']]]&gt;=$DF$2),TRUE,FALSE)</f>
        <v>0</v>
      </c>
      <c r="DG832" s="2" t="b">
        <f>RecData[[#This Row],[Temperature '[°C']]]&lt;=-20</f>
        <v>0</v>
      </c>
      <c r="DH832" s="18" t="b">
        <f>NOT(OR(MOD(RecData[[#This Row],[TIMESTAMP]],1)&gt;0.91632,MOD(RecData[[#This Row],[TIMESTAMP]],1)&lt;0.208681))</f>
        <v>0</v>
      </c>
      <c r="DI832" s="18" t="b">
        <f>RecData[[#This Row],[Overall (dBA)]]-RecData[[#This Row],[L90]]&gt;=$DS$4</f>
        <v>0</v>
      </c>
      <c r="DJ832" s="18" t="b">
        <f>RecData[[#This Row],[Overall (dBA)]]&gt;$DS$2</f>
        <v>0</v>
      </c>
      <c r="DK832" s="18" t="b">
        <f>RecData[[#This Row],[Overall (dBA)]]&lt;$DS$3</f>
        <v>0</v>
      </c>
      <c r="DL8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2" s="2">
        <f>IF(AND(RecData[[#This Row],[Turbines ON/OFF]] = "OFF", NOT(OR(RecData[[#This Row],[Junk?]]="YES",RecData[[#This Row],[Gust?]],RecData[[#This Row],[Rain?]:[Min SPL Threshold?]]))),1,0)</f>
        <v>1</v>
      </c>
      <c r="DN832" s="16">
        <f>RecData[[#This Row],[dBA Sum]]</f>
        <v>20.564088484420115</v>
      </c>
      <c r="DO832" s="16">
        <f>RecData[[#This Row],[LAF90.0]]</f>
        <v>20.7</v>
      </c>
      <c r="DP832" s="55" t="str">
        <f>IF(AND(RecData[[#This Row],[Useable TON Data?]],RecData[[#This Row],[Turbines ON/OFF]]="ON"),RecData[[#This Row],[dBA Sum]],"")</f>
        <v/>
      </c>
      <c r="DQ832" s="55">
        <f>IF(AND(RecData[[#This Row],[Useable Background Data?]],RecData[[#This Row],[Turbines ON/OFF]]="OFF"),RecData[[#This Row],[dBA Sum]],"")</f>
        <v>20.564088484420115</v>
      </c>
      <c r="DR832" s="3">
        <f>IF(OR(RecData[[#This Row],[Useable TON Data?]],RecData[[#This Row],[Useable Background Data?]]),ROUND(RecData[[#This Row],[WSpd_Avg '[m/s']]],0),"")</f>
        <v>0</v>
      </c>
      <c r="DS832" s="85">
        <f>(0.00002)^2*(10^(RecData[[#This Row],[Overall (dBA)]]/10))</f>
        <v>4.5547950475737282E-8</v>
      </c>
    </row>
    <row r="833" spans="1:123" ht="15" x14ac:dyDescent="0.25">
      <c r="A833" s="3" t="s">
        <v>249</v>
      </c>
      <c r="B833" s="12">
        <v>43274.027777777781</v>
      </c>
      <c r="C833" s="3"/>
      <c r="D833" s="3">
        <v>28.5</v>
      </c>
      <c r="E833" s="3"/>
      <c r="F833" s="3"/>
      <c r="G833" s="3"/>
      <c r="H833" s="3"/>
      <c r="I833" s="3"/>
      <c r="J833" s="3"/>
      <c r="K833" s="3">
        <v>19.600000000000001</v>
      </c>
      <c r="L833" s="3"/>
      <c r="M833" s="3"/>
      <c r="N833" s="3">
        <v>116.1</v>
      </c>
      <c r="O833" s="3"/>
      <c r="P833" s="3"/>
      <c r="Q833" s="3">
        <v>0.4</v>
      </c>
      <c r="R833" s="3">
        <v>0.2</v>
      </c>
      <c r="S833" s="3">
        <v>0.6</v>
      </c>
      <c r="T833" s="3">
        <v>11.8</v>
      </c>
      <c r="U833" s="3">
        <v>79.3</v>
      </c>
      <c r="V833" s="3">
        <v>967.3</v>
      </c>
      <c r="W833" s="3">
        <v>0</v>
      </c>
      <c r="X833" s="3">
        <v>20.5</v>
      </c>
      <c r="Y833" s="3">
        <v>18.3</v>
      </c>
      <c r="Z833" s="3">
        <v>18.5</v>
      </c>
      <c r="AA833" s="3">
        <v>13.7</v>
      </c>
      <c r="AB833" s="3">
        <v>9.8000000000000007</v>
      </c>
      <c r="AC833" s="3">
        <v>6.4</v>
      </c>
      <c r="AD833" s="3">
        <v>8.1</v>
      </c>
      <c r="AE833" s="3">
        <v>6.8</v>
      </c>
      <c r="AF833" s="3">
        <v>12</v>
      </c>
      <c r="AG833" s="3">
        <v>12.4</v>
      </c>
      <c r="AH833" s="3">
        <v>12.1</v>
      </c>
      <c r="AI833" s="3">
        <v>9.9</v>
      </c>
      <c r="AJ833" s="3">
        <v>12.9</v>
      </c>
      <c r="AK833" s="3">
        <v>14.9</v>
      </c>
      <c r="AL833" s="3">
        <v>11.1</v>
      </c>
      <c r="AM833" s="3">
        <v>11.4</v>
      </c>
      <c r="AN833" s="3">
        <v>10</v>
      </c>
      <c r="AO833" s="3">
        <v>11.5</v>
      </c>
      <c r="AP833" s="3">
        <v>11</v>
      </c>
      <c r="AQ833" s="3">
        <v>9.6</v>
      </c>
      <c r="AR833" s="3">
        <v>8.6999999999999993</v>
      </c>
      <c r="AS833" s="3">
        <v>13.7</v>
      </c>
      <c r="AT833" s="3">
        <v>26.1</v>
      </c>
      <c r="AU833" s="3">
        <v>11.2</v>
      </c>
      <c r="AV833" s="3">
        <v>8.1</v>
      </c>
      <c r="AW833" s="3">
        <v>8.6</v>
      </c>
      <c r="AX833" s="3">
        <v>8.8000000000000007</v>
      </c>
      <c r="AY833" s="3">
        <v>9.1</v>
      </c>
      <c r="AZ833" s="3">
        <v>0</v>
      </c>
      <c r="BA833" s="3">
        <v>0</v>
      </c>
      <c r="BB833" s="3">
        <v>0</v>
      </c>
      <c r="BC833" s="3">
        <v>28.456127651205975</v>
      </c>
      <c r="BD833" s="3">
        <v>20.543872348794025</v>
      </c>
      <c r="BE833" s="3">
        <v>18.343872348794022</v>
      </c>
      <c r="BF833" s="3">
        <v>17.30387234879403</v>
      </c>
      <c r="BG833" s="3">
        <v>12.830539015460687</v>
      </c>
      <c r="BH833" s="3">
        <v>9.070539015460696</v>
      </c>
      <c r="BI833" s="3">
        <v>6.0838723487940243</v>
      </c>
      <c r="BJ833" s="3">
        <v>8.5772056821273566</v>
      </c>
      <c r="BK833" s="3">
        <v>7.1505390154606872</v>
      </c>
      <c r="BL833" s="3">
        <v>11.923872348794028</v>
      </c>
      <c r="BM833" s="3">
        <v>12.457205682127359</v>
      </c>
      <c r="BN833" s="3">
        <v>12.440539015460693</v>
      </c>
      <c r="BO833" s="3">
        <v>9.6072056821273577</v>
      </c>
      <c r="BP833" s="3">
        <v>12.323872348794026</v>
      </c>
      <c r="BQ833" s="3">
        <v>14.740539015460683</v>
      </c>
      <c r="BR833" s="3">
        <v>11.267205682127361</v>
      </c>
      <c r="BS833" s="3">
        <v>11.370539015460693</v>
      </c>
      <c r="BT833" s="3">
        <v>10.16720568212736</v>
      </c>
      <c r="BU833" s="3">
        <v>11.633872348794029</v>
      </c>
      <c r="BV833" s="3">
        <v>10.85053901546069</v>
      </c>
      <c r="BW833" s="3">
        <v>9.98387234879403</v>
      </c>
      <c r="BX833" s="3">
        <v>9.0038723487940331</v>
      </c>
      <c r="BY833" s="3">
        <v>13.823872348794026</v>
      </c>
      <c r="BZ833" s="3">
        <v>26.353872348794027</v>
      </c>
      <c r="CA833" s="3">
        <v>11.553872348794016</v>
      </c>
      <c r="CB833" s="3">
        <v>7.8905390154606891</v>
      </c>
      <c r="CC833" s="3">
        <v>8.6038723487940274</v>
      </c>
      <c r="CD833" s="3">
        <v>8.1105390154606951</v>
      </c>
      <c r="CE833" s="3">
        <v>8.6038723487940274</v>
      </c>
      <c r="CF833" s="3">
        <v>-0.88279431787264073</v>
      </c>
      <c r="CG833" s="3">
        <v>-1.4161276512059722</v>
      </c>
      <c r="CH833" s="3">
        <v>-2.4927943178726402</v>
      </c>
      <c r="CI833" s="13">
        <f>[1]!dbasum(RecData[[#This Row],[20]:[2000]],RecData[[#Headers],[20]:[2000]])</f>
        <v>19.677890214928546</v>
      </c>
      <c r="CJ833" s="14">
        <v>9913</v>
      </c>
      <c r="CK833" s="15" t="s">
        <v>249</v>
      </c>
      <c r="CL833" s="15">
        <f>RecData[[#This Row],[Start Time]]</f>
        <v>43274.027777777781</v>
      </c>
      <c r="CM833" s="16">
        <f>RecData[[#This Row],[Wind Speed avg]]</f>
        <v>0.4</v>
      </c>
      <c r="CN833" s="16">
        <f>RecData[[#This Row],[Wind Dir. avg]]</f>
        <v>116.1</v>
      </c>
      <c r="CO833" s="16">
        <f>RecData[[#This Row],[Amb. Humidity]]</f>
        <v>79.3</v>
      </c>
      <c r="CP833" s="16">
        <f>RecData[[#This Row],[Amb. Temperature]]</f>
        <v>11.8</v>
      </c>
      <c r="CQ833" s="17">
        <f>RecData[[#This Row],[Amb. Rain Gauge]]</f>
        <v>0</v>
      </c>
      <c r="CR833" s="4" t="s">
        <v>50</v>
      </c>
      <c r="CS833" s="4" t="s">
        <v>49</v>
      </c>
      <c r="CT833" s="70">
        <v>-10.5403890609741</v>
      </c>
      <c r="CU833" s="70">
        <v>347.57943725585898</v>
      </c>
      <c r="CV833" s="70">
        <v>0.608900606632232</v>
      </c>
      <c r="CW833" s="70">
        <v>0</v>
      </c>
      <c r="CX833" s="109"/>
      <c r="CY833" s="110"/>
      <c r="CZ833" s="2" t="b">
        <f>IF($DP$1="YES",IF(RecData[[#This Row],[Power (kW)]]&gt;=$CR$3, TRUE,FALSE),TRUE)</f>
        <v>0</v>
      </c>
      <c r="DA833" s="16">
        <f>MIN(MOD(180-ABS(ABS($DA$1-RecData[Yaw Angle (°)])-180),360),MOD(180-ABS(ABS($DB$1-RecData[Yaw Angle (°)])-180),360))</f>
        <v>19.950489521828558</v>
      </c>
      <c r="DB833" s="2" t="str">
        <f>IF($DP$2="None","None",IF(RecData[[#This Row],[Relative Wind Direction]]&lt;=45,"DW",IF(RecData[[#This Row],[Relative Wind Direction]]&lt;=135,"CW","UW")))</f>
        <v>DW</v>
      </c>
      <c r="DC833" s="61">
        <f>IF($CL833-$CL830&gt;1/24,#REF!,IF(SUM($CQ830:$CQ833)&gt;$DS$1,$DS$5,DC834-1))</f>
        <v>-7</v>
      </c>
      <c r="DD833" s="61">
        <f>IF($CL834-$CL833&gt;1/24,#REF!,IF(SUM($CQ830:$CQ833)&gt;$DS$1,$DS$6,DD832-1))</f>
        <v>-4</v>
      </c>
      <c r="DE833" s="18" t="b">
        <v>0</v>
      </c>
      <c r="DF833" s="2" t="b">
        <f>IF(OR(RecData[[#This Row],[WSpd_Avg '[m/s']]]-RecData[[#This Row],[Wind Speed min]]&gt;=$DF$3,RecData[[#This Row],[Wind Speed max]]-RecData[[#This Row],[WSpd_Avg '[m/s']]]&gt;=$DF$2),TRUE,FALSE)</f>
        <v>0</v>
      </c>
      <c r="DG833" s="2" t="b">
        <f>RecData[[#This Row],[Temperature '[°C']]]&lt;=-20</f>
        <v>0</v>
      </c>
      <c r="DH833" s="18" t="b">
        <f>NOT(OR(MOD(RecData[[#This Row],[TIMESTAMP]],1)&gt;0.91632,MOD(RecData[[#This Row],[TIMESTAMP]],1)&lt;0.208681))</f>
        <v>0</v>
      </c>
      <c r="DI833" s="18" t="b">
        <f>RecData[[#This Row],[Overall (dBA)]]-RecData[[#This Row],[L90]]&gt;=$DS$4</f>
        <v>0</v>
      </c>
      <c r="DJ833" s="18" t="b">
        <f>RecData[[#This Row],[Overall (dBA)]]&gt;$DS$2</f>
        <v>0</v>
      </c>
      <c r="DK833" s="18" t="b">
        <f>RecData[[#This Row],[Overall (dBA)]]&lt;$DS$3</f>
        <v>0</v>
      </c>
      <c r="DL8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3" s="2">
        <f>IF(AND(RecData[[#This Row],[Turbines ON/OFF]] = "OFF", NOT(OR(RecData[[#This Row],[Junk?]]="YES",RecData[[#This Row],[Gust?]],RecData[[#This Row],[Rain?]:[Min SPL Threshold?]]))),1,0)</f>
        <v>1</v>
      </c>
      <c r="DN833" s="16">
        <f>RecData[[#This Row],[dBA Sum]]</f>
        <v>19.677890214928546</v>
      </c>
      <c r="DO833" s="16">
        <f>RecData[[#This Row],[LAF90.0]]</f>
        <v>19.600000000000001</v>
      </c>
      <c r="DP833" s="55" t="str">
        <f>IF(AND(RecData[[#This Row],[Useable TON Data?]],RecData[[#This Row],[Turbines ON/OFF]]="ON"),RecData[[#This Row],[dBA Sum]],"")</f>
        <v/>
      </c>
      <c r="DQ833" s="55">
        <f>IF(AND(RecData[[#This Row],[Useable Background Data?]],RecData[[#This Row],[Turbines ON/OFF]]="OFF"),RecData[[#This Row],[dBA Sum]],"")</f>
        <v>19.677890214928546</v>
      </c>
      <c r="DR833" s="3">
        <f>IF(OR(RecData[[#This Row],[Useable TON Data?]],RecData[[#This Row],[Useable Background Data?]]),ROUND(RecData[[#This Row],[WSpd_Avg '[m/s']]],0),"")</f>
        <v>0</v>
      </c>
      <c r="DS833" s="85">
        <f>(0.00002)^2*(10^(RecData[[#This Row],[Overall (dBA)]]/10))</f>
        <v>3.7140608330255409E-8</v>
      </c>
    </row>
    <row r="834" spans="1:123" ht="15" x14ac:dyDescent="0.25">
      <c r="A834" s="3" t="s">
        <v>249</v>
      </c>
      <c r="B834" s="12">
        <v>43274.02847222222</v>
      </c>
      <c r="C834" s="3"/>
      <c r="D834" s="3">
        <v>30.8</v>
      </c>
      <c r="E834" s="3"/>
      <c r="F834" s="3"/>
      <c r="G834" s="3"/>
      <c r="H834" s="3"/>
      <c r="I834" s="3"/>
      <c r="J834" s="3"/>
      <c r="K834" s="3">
        <v>20.7</v>
      </c>
      <c r="L834" s="3"/>
      <c r="M834" s="3"/>
      <c r="N834" s="3">
        <v>117.5</v>
      </c>
      <c r="O834" s="3"/>
      <c r="P834" s="3"/>
      <c r="Q834" s="3">
        <v>0.48</v>
      </c>
      <c r="R834" s="3">
        <v>0.3</v>
      </c>
      <c r="S834" s="3">
        <v>0.7</v>
      </c>
      <c r="T834" s="3">
        <v>11.8</v>
      </c>
      <c r="U834" s="3">
        <v>79.7</v>
      </c>
      <c r="V834" s="3">
        <v>967.3</v>
      </c>
      <c r="W834" s="3">
        <v>0</v>
      </c>
      <c r="X834" s="3">
        <v>19.7</v>
      </c>
      <c r="Y834" s="3">
        <v>19.5</v>
      </c>
      <c r="Z834" s="3">
        <v>19.8</v>
      </c>
      <c r="AA834" s="3">
        <v>12.7</v>
      </c>
      <c r="AB834" s="3">
        <v>10.1</v>
      </c>
      <c r="AC834" s="3">
        <v>6.5</v>
      </c>
      <c r="AD834" s="3">
        <v>7.1</v>
      </c>
      <c r="AE834" s="3">
        <v>8.6999999999999993</v>
      </c>
      <c r="AF834" s="3">
        <v>11.9</v>
      </c>
      <c r="AG834" s="3">
        <v>8.9</v>
      </c>
      <c r="AH834" s="3">
        <v>10.3</v>
      </c>
      <c r="AI834" s="3">
        <v>8.5</v>
      </c>
      <c r="AJ834" s="3">
        <v>11.9</v>
      </c>
      <c r="AK834" s="3">
        <v>13</v>
      </c>
      <c r="AL834" s="3">
        <v>10.5</v>
      </c>
      <c r="AM834" s="3">
        <v>9.5</v>
      </c>
      <c r="AN834" s="3">
        <v>8</v>
      </c>
      <c r="AO834" s="3">
        <v>7.2</v>
      </c>
      <c r="AP834" s="3">
        <v>7</v>
      </c>
      <c r="AQ834" s="3">
        <v>8.8000000000000007</v>
      </c>
      <c r="AR834" s="3">
        <v>9.3000000000000007</v>
      </c>
      <c r="AS834" s="3">
        <v>16.3</v>
      </c>
      <c r="AT834" s="3">
        <v>28.9</v>
      </c>
      <c r="AU834" s="3">
        <v>14.5</v>
      </c>
      <c r="AV834" s="3">
        <v>8.1999999999999993</v>
      </c>
      <c r="AW834" s="3">
        <v>8.6999999999999993</v>
      </c>
      <c r="AX834" s="3">
        <v>8.8000000000000007</v>
      </c>
      <c r="AY834" s="3">
        <v>9.1</v>
      </c>
      <c r="AZ834" s="3">
        <v>0</v>
      </c>
      <c r="BA834" s="3">
        <v>0</v>
      </c>
      <c r="BB834" s="3">
        <v>0</v>
      </c>
      <c r="BC834" s="3">
        <v>30.794812391765667</v>
      </c>
      <c r="BD834" s="3">
        <v>19.705187608234333</v>
      </c>
      <c r="BE834" s="3">
        <v>19.50518760823433</v>
      </c>
      <c r="BF834" s="3">
        <v>18.565187608234332</v>
      </c>
      <c r="BG834" s="3">
        <v>11.791854274900999</v>
      </c>
      <c r="BH834" s="3">
        <v>9.3318542749009978</v>
      </c>
      <c r="BI834" s="3">
        <v>6.1451876082343304</v>
      </c>
      <c r="BJ834" s="3">
        <v>7.5385209415676684</v>
      </c>
      <c r="BK834" s="3">
        <v>9.0118542749009976</v>
      </c>
      <c r="BL834" s="3">
        <v>11.785187608234331</v>
      </c>
      <c r="BM834" s="3">
        <v>8.9185209415676709</v>
      </c>
      <c r="BN834" s="3">
        <v>10.601854274901001</v>
      </c>
      <c r="BO834" s="3">
        <v>8.1685209415676709</v>
      </c>
      <c r="BP834" s="3">
        <v>11.285187608234331</v>
      </c>
      <c r="BQ834" s="3">
        <v>12.80185427490099</v>
      </c>
      <c r="BR834" s="3">
        <v>10.628520941567665</v>
      </c>
      <c r="BS834" s="3">
        <v>9.4318542749009993</v>
      </c>
      <c r="BT834" s="3">
        <v>8.1285209415676647</v>
      </c>
      <c r="BU834" s="3">
        <v>7.2951876082343361</v>
      </c>
      <c r="BV834" s="3">
        <v>6.8118542749010018</v>
      </c>
      <c r="BW834" s="3">
        <v>9.1451876082343375</v>
      </c>
      <c r="BX834" s="3">
        <v>9.5651876082343392</v>
      </c>
      <c r="BY834" s="3">
        <v>16.385187608234332</v>
      </c>
      <c r="BZ834" s="3">
        <v>29.115187608234336</v>
      </c>
      <c r="CA834" s="3">
        <v>14.815187608234325</v>
      </c>
      <c r="CB834" s="3">
        <v>7.9518542749009953</v>
      </c>
      <c r="CC834" s="3">
        <v>8.6651876082343335</v>
      </c>
      <c r="CD834" s="3">
        <v>8.0718542749010069</v>
      </c>
      <c r="CE834" s="3">
        <v>8.5651876082343321</v>
      </c>
      <c r="CF834" s="3">
        <v>-0.92147905843233247</v>
      </c>
      <c r="CG834" s="3">
        <v>-1.4548123917656639</v>
      </c>
      <c r="CH834" s="3">
        <v>-2.5314790584323319</v>
      </c>
      <c r="CI834" s="13">
        <f>[1]!dbasum(RecData[[#This Row],[20]:[2000]],RecData[[#Headers],[20]:[2000]])</f>
        <v>17.893679057057447</v>
      </c>
      <c r="CJ834" s="14">
        <v>9914</v>
      </c>
      <c r="CK834" s="15" t="s">
        <v>249</v>
      </c>
      <c r="CL834" s="15">
        <f>RecData[[#This Row],[Start Time]]</f>
        <v>43274.02847222222</v>
      </c>
      <c r="CM834" s="16">
        <f>RecData[[#This Row],[Wind Speed avg]]</f>
        <v>0.48</v>
      </c>
      <c r="CN834" s="16">
        <f>RecData[[#This Row],[Wind Dir. avg]]</f>
        <v>117.5</v>
      </c>
      <c r="CO834" s="16">
        <f>RecData[[#This Row],[Amb. Humidity]]</f>
        <v>79.7</v>
      </c>
      <c r="CP834" s="16">
        <f>RecData[[#This Row],[Amb. Temperature]]</f>
        <v>11.8</v>
      </c>
      <c r="CQ834" s="17">
        <f>RecData[[#This Row],[Amb. Rain Gauge]]</f>
        <v>0</v>
      </c>
      <c r="CR834" s="4" t="s">
        <v>50</v>
      </c>
      <c r="CS834" s="4" t="s">
        <v>49</v>
      </c>
      <c r="CT834" s="70">
        <v>-9.11602687835693</v>
      </c>
      <c r="CU834" s="70">
        <v>18.053661346435501</v>
      </c>
      <c r="CV834" s="70">
        <v>1.1323053836822501</v>
      </c>
      <c r="CW834" s="70">
        <v>0</v>
      </c>
      <c r="CX834" s="109"/>
      <c r="CY834" s="110"/>
      <c r="CZ834" s="2" t="b">
        <f>IF($DP$1="YES",IF(RecData[[#This Row],[Power (kW)]]&gt;=$CR$3, TRUE,FALSE),TRUE)</f>
        <v>0</v>
      </c>
      <c r="DA834" s="16">
        <f>MIN(MOD(180-ABS(ABS($DA$1-RecData[Yaw Angle (°)])-180),360),MOD(180-ABS(ABS($DB$1-RecData[Yaw Angle (°)])-180),360))</f>
        <v>10.523734568747955</v>
      </c>
      <c r="DB834" s="2" t="str">
        <f>IF($DP$2="None","None",IF(RecData[[#This Row],[Relative Wind Direction]]&lt;=45,"DW",IF(RecData[[#This Row],[Relative Wind Direction]]&lt;=135,"CW","UW")))</f>
        <v>DW</v>
      </c>
      <c r="DC834" s="61">
        <f>IF($CL834-$CL830&gt;1/24,#REF!,IF(SUM($CQ830:$CQ834)&gt;$DS$1,$DS$5,DC835-1))</f>
        <v>-6</v>
      </c>
      <c r="DD834" s="61">
        <f>IF($CL835-$CL834&gt;1/24,#REF!,IF(SUM($CQ830:$CQ834)&gt;$DS$1,$DS$6,DD833-1))</f>
        <v>-5</v>
      </c>
      <c r="DE834" s="18" t="b">
        <v>0</v>
      </c>
      <c r="DF834" s="2" t="b">
        <f>IF(OR(RecData[[#This Row],[WSpd_Avg '[m/s']]]-RecData[[#This Row],[Wind Speed min]]&gt;=$DF$3,RecData[[#This Row],[Wind Speed max]]-RecData[[#This Row],[WSpd_Avg '[m/s']]]&gt;=$DF$2),TRUE,FALSE)</f>
        <v>0</v>
      </c>
      <c r="DG834" s="2" t="b">
        <f>RecData[[#This Row],[Temperature '[°C']]]&lt;=-20</f>
        <v>0</v>
      </c>
      <c r="DH834" s="18" t="b">
        <f>NOT(OR(MOD(RecData[[#This Row],[TIMESTAMP]],1)&gt;0.91632,MOD(RecData[[#This Row],[TIMESTAMP]],1)&lt;0.208681))</f>
        <v>0</v>
      </c>
      <c r="DI834" s="18" t="b">
        <f>RecData[[#This Row],[Overall (dBA)]]-RecData[[#This Row],[L90]]&gt;=$DS$4</f>
        <v>0</v>
      </c>
      <c r="DJ834" s="18" t="b">
        <f>RecData[[#This Row],[Overall (dBA)]]&gt;$DS$2</f>
        <v>0</v>
      </c>
      <c r="DK834" s="18" t="b">
        <f>RecData[[#This Row],[Overall (dBA)]]&lt;$DS$3</f>
        <v>0</v>
      </c>
      <c r="DL8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4" s="2">
        <f>IF(AND(RecData[[#This Row],[Turbines ON/OFF]] = "OFF", NOT(OR(RecData[[#This Row],[Junk?]]="YES",RecData[[#This Row],[Gust?]],RecData[[#This Row],[Rain?]:[Min SPL Threshold?]]))),1,0)</f>
        <v>1</v>
      </c>
      <c r="DN834" s="16">
        <f>RecData[[#This Row],[dBA Sum]]</f>
        <v>17.893679057057447</v>
      </c>
      <c r="DO834" s="16">
        <f>RecData[[#This Row],[LAF90.0]]</f>
        <v>20.7</v>
      </c>
      <c r="DP834" s="55" t="str">
        <f>IF(AND(RecData[[#This Row],[Useable TON Data?]],RecData[[#This Row],[Turbines ON/OFF]]="ON"),RecData[[#This Row],[dBA Sum]],"")</f>
        <v/>
      </c>
      <c r="DQ834" s="55">
        <f>IF(AND(RecData[[#This Row],[Useable Background Data?]],RecData[[#This Row],[Turbines ON/OFF]]="OFF"),RecData[[#This Row],[dBA Sum]],"")</f>
        <v>17.893679057057447</v>
      </c>
      <c r="DR834" s="3">
        <f>IF(OR(RecData[[#This Row],[Useable TON Data?]],RecData[[#This Row],[Useable Background Data?]]),ROUND(RecData[[#This Row],[WSpd_Avg '[m/s']]],0),"")</f>
        <v>0</v>
      </c>
      <c r="DS834" s="85">
        <f>(0.00002)^2*(10^(RecData[[#This Row],[Overall (dBA)]]/10))</f>
        <v>2.4627929234915368E-8</v>
      </c>
    </row>
    <row r="835" spans="1:123" ht="15" x14ac:dyDescent="0.25">
      <c r="A835" s="3" t="s">
        <v>249</v>
      </c>
      <c r="B835" s="12">
        <v>43274.029166666667</v>
      </c>
      <c r="C835" s="3"/>
      <c r="D835" s="3">
        <v>27.5</v>
      </c>
      <c r="E835" s="3"/>
      <c r="F835" s="3"/>
      <c r="G835" s="3"/>
      <c r="H835" s="3"/>
      <c r="I835" s="3"/>
      <c r="J835" s="3"/>
      <c r="K835" s="3">
        <v>20.2</v>
      </c>
      <c r="L835" s="3"/>
      <c r="M835" s="3"/>
      <c r="N835" s="3">
        <v>127</v>
      </c>
      <c r="O835" s="3"/>
      <c r="P835" s="3"/>
      <c r="Q835" s="3">
        <v>0.45</v>
      </c>
      <c r="R835" s="3">
        <v>0.3</v>
      </c>
      <c r="S835" s="3">
        <v>0.7</v>
      </c>
      <c r="T835" s="3">
        <v>11.8</v>
      </c>
      <c r="U835" s="3">
        <v>79.7</v>
      </c>
      <c r="V835" s="3">
        <v>967.3</v>
      </c>
      <c r="W835" s="3">
        <v>0</v>
      </c>
      <c r="X835" s="3">
        <v>18.8</v>
      </c>
      <c r="Y835" s="3">
        <v>15.3</v>
      </c>
      <c r="Z835" s="3">
        <v>15</v>
      </c>
      <c r="AA835" s="3">
        <v>11.2</v>
      </c>
      <c r="AB835" s="3">
        <v>8.8000000000000007</v>
      </c>
      <c r="AC835" s="3">
        <v>4.5</v>
      </c>
      <c r="AD835" s="3">
        <v>7.1</v>
      </c>
      <c r="AE835" s="3">
        <v>7.1</v>
      </c>
      <c r="AF835" s="3">
        <v>12</v>
      </c>
      <c r="AG835" s="3">
        <v>16.7</v>
      </c>
      <c r="AH835" s="3">
        <v>12.8</v>
      </c>
      <c r="AI835" s="3">
        <v>9.1999999999999993</v>
      </c>
      <c r="AJ835" s="3">
        <v>13.6</v>
      </c>
      <c r="AK835" s="3">
        <v>13.8</v>
      </c>
      <c r="AL835" s="3">
        <v>11.1</v>
      </c>
      <c r="AM835" s="3">
        <v>10.7</v>
      </c>
      <c r="AN835" s="3">
        <v>9.1</v>
      </c>
      <c r="AO835" s="3">
        <v>7.8</v>
      </c>
      <c r="AP835" s="3">
        <v>7.5</v>
      </c>
      <c r="AQ835" s="3">
        <v>9.1999999999999993</v>
      </c>
      <c r="AR835" s="3">
        <v>9.6999999999999993</v>
      </c>
      <c r="AS835" s="3">
        <v>14</v>
      </c>
      <c r="AT835" s="3">
        <v>24.9</v>
      </c>
      <c r="AU835" s="3">
        <v>11.8</v>
      </c>
      <c r="AV835" s="3">
        <v>8</v>
      </c>
      <c r="AW835" s="3">
        <v>8.6</v>
      </c>
      <c r="AX835" s="3">
        <v>8.8000000000000007</v>
      </c>
      <c r="AY835" s="3">
        <v>9.1</v>
      </c>
      <c r="AZ835" s="3">
        <v>0</v>
      </c>
      <c r="BA835" s="3">
        <v>0</v>
      </c>
      <c r="BB835" s="3">
        <v>0</v>
      </c>
      <c r="BC835" s="3">
        <v>27.467998092435671</v>
      </c>
      <c r="BD835" s="3">
        <v>18.832001907564326</v>
      </c>
      <c r="BE835" s="3">
        <v>15.332001907564326</v>
      </c>
      <c r="BF835" s="3">
        <v>13.792001907564327</v>
      </c>
      <c r="BG835" s="3">
        <v>10.31866857423099</v>
      </c>
      <c r="BH835" s="3">
        <v>8.0586685742309996</v>
      </c>
      <c r="BI835" s="3">
        <v>4.1720019075643293</v>
      </c>
      <c r="BJ835" s="3">
        <v>7.5653352408976602</v>
      </c>
      <c r="BK835" s="3">
        <v>7.4386685742309879</v>
      </c>
      <c r="BL835" s="3">
        <v>11.912001907564331</v>
      </c>
      <c r="BM835" s="3">
        <v>16.745335240897667</v>
      </c>
      <c r="BN835" s="3">
        <v>13.128668574230993</v>
      </c>
      <c r="BO835" s="3">
        <v>8.8953352408976656</v>
      </c>
      <c r="BP835" s="3">
        <v>13.012001907564333</v>
      </c>
      <c r="BQ835" s="3">
        <v>13.628668574230986</v>
      </c>
      <c r="BR835" s="3">
        <v>11.255335240897665</v>
      </c>
      <c r="BS835" s="3">
        <v>10.658668574230994</v>
      </c>
      <c r="BT835" s="3">
        <v>9.255335240897665</v>
      </c>
      <c r="BU835" s="3">
        <v>7.9220019075643293</v>
      </c>
      <c r="BV835" s="3">
        <v>7.3386685742309936</v>
      </c>
      <c r="BW835" s="3">
        <v>9.572001907564335</v>
      </c>
      <c r="BX835" s="3">
        <v>9.9920019075643367</v>
      </c>
      <c r="BY835" s="3">
        <v>14.112001907564327</v>
      </c>
      <c r="BZ835" s="3">
        <v>25.142001907564328</v>
      </c>
      <c r="CA835" s="3">
        <v>12.142001907564321</v>
      </c>
      <c r="CB835" s="3">
        <v>7.7786685742309913</v>
      </c>
      <c r="CC835" s="3">
        <v>8.592001907564331</v>
      </c>
      <c r="CD835" s="3">
        <v>8.0986685742309987</v>
      </c>
      <c r="CE835" s="3">
        <v>8.592001907564331</v>
      </c>
      <c r="CF835" s="3">
        <v>-0.89466475910233711</v>
      </c>
      <c r="CG835" s="3">
        <v>-1.4279980924356686</v>
      </c>
      <c r="CH835" s="3">
        <v>-2.5046647591023365</v>
      </c>
      <c r="CI835" s="13">
        <f>[1]!dbasum(RecData[[#This Row],[20]:[2000]],RecData[[#Headers],[20]:[2000]])</f>
        <v>18.761650450559745</v>
      </c>
      <c r="CJ835" s="14">
        <v>9915</v>
      </c>
      <c r="CK835" s="15" t="s">
        <v>249</v>
      </c>
      <c r="CL835" s="15">
        <f>RecData[[#This Row],[Start Time]]</f>
        <v>43274.029166666667</v>
      </c>
      <c r="CM835" s="16">
        <f>RecData[[#This Row],[Wind Speed avg]]</f>
        <v>0.45</v>
      </c>
      <c r="CN835" s="16">
        <f>RecData[[#This Row],[Wind Dir. avg]]</f>
        <v>127</v>
      </c>
      <c r="CO835" s="16">
        <f>RecData[[#This Row],[Amb. Humidity]]</f>
        <v>79.7</v>
      </c>
      <c r="CP835" s="16">
        <f>RecData[[#This Row],[Amb. Temperature]]</f>
        <v>11.8</v>
      </c>
      <c r="CQ835" s="17">
        <f>RecData[[#This Row],[Amb. Rain Gauge]]</f>
        <v>0</v>
      </c>
      <c r="CR835" s="4" t="s">
        <v>50</v>
      </c>
      <c r="CS835" s="4" t="s">
        <v>49</v>
      </c>
      <c r="CT835" s="70">
        <v>-9.11602687835693</v>
      </c>
      <c r="CU835" s="70">
        <v>18.053661346435501</v>
      </c>
      <c r="CV835" s="70">
        <v>1.1323053836822501</v>
      </c>
      <c r="CW835" s="70">
        <v>0</v>
      </c>
      <c r="CX835" s="109"/>
      <c r="CY835" s="110"/>
      <c r="CZ835" s="2" t="b">
        <f>IF($DP$1="YES",IF(RecData[[#This Row],[Power (kW)]]&gt;=$CR$3, TRUE,FALSE),TRUE)</f>
        <v>0</v>
      </c>
      <c r="DA835" s="16">
        <f>MIN(MOD(180-ABS(ABS($DA$1-RecData[Yaw Angle (°)])-180),360),MOD(180-ABS(ABS($DB$1-RecData[Yaw Angle (°)])-180),360))</f>
        <v>10.523734568747955</v>
      </c>
      <c r="DB835" s="2" t="str">
        <f>IF($DP$2="None","None",IF(RecData[[#This Row],[Relative Wind Direction]]&lt;=45,"DW",IF(RecData[[#This Row],[Relative Wind Direction]]&lt;=135,"CW","UW")))</f>
        <v>DW</v>
      </c>
      <c r="DC835" s="61">
        <f>IF($CL835-$CL831&gt;1/24,#REF!,IF(SUM($CQ831:$CQ835)&gt;$DS$1,$DS$5,DC836-1))</f>
        <v>-5</v>
      </c>
      <c r="DD835" s="61">
        <f>IF($CL836-$CL835&gt;1/24,#REF!,IF(SUM($CQ831:$CQ835)&gt;$DS$1,$DS$6,DD834-1))</f>
        <v>-6</v>
      </c>
      <c r="DE835" s="18" t="b">
        <v>0</v>
      </c>
      <c r="DF835" s="2" t="b">
        <f>IF(OR(RecData[[#This Row],[WSpd_Avg '[m/s']]]-RecData[[#This Row],[Wind Speed min]]&gt;=$DF$3,RecData[[#This Row],[Wind Speed max]]-RecData[[#This Row],[WSpd_Avg '[m/s']]]&gt;=$DF$2),TRUE,FALSE)</f>
        <v>0</v>
      </c>
      <c r="DG835" s="2" t="b">
        <f>RecData[[#This Row],[Temperature '[°C']]]&lt;=-20</f>
        <v>0</v>
      </c>
      <c r="DH835" s="18" t="b">
        <f>NOT(OR(MOD(RecData[[#This Row],[TIMESTAMP]],1)&gt;0.91632,MOD(RecData[[#This Row],[TIMESTAMP]],1)&lt;0.208681))</f>
        <v>0</v>
      </c>
      <c r="DI835" s="18" t="b">
        <f>RecData[[#This Row],[Overall (dBA)]]-RecData[[#This Row],[L90]]&gt;=$DS$4</f>
        <v>0</v>
      </c>
      <c r="DJ835" s="18" t="b">
        <f>RecData[[#This Row],[Overall (dBA)]]&gt;$DS$2</f>
        <v>0</v>
      </c>
      <c r="DK835" s="18" t="b">
        <f>RecData[[#This Row],[Overall (dBA)]]&lt;$DS$3</f>
        <v>0</v>
      </c>
      <c r="DL8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5" s="2">
        <f>IF(AND(RecData[[#This Row],[Turbines ON/OFF]] = "OFF", NOT(OR(RecData[[#This Row],[Junk?]]="YES",RecData[[#This Row],[Gust?]],RecData[[#This Row],[Rain?]:[Min SPL Threshold?]]))),1,0)</f>
        <v>1</v>
      </c>
      <c r="DN835" s="16">
        <f>RecData[[#This Row],[dBA Sum]]</f>
        <v>18.761650450559745</v>
      </c>
      <c r="DO835" s="16">
        <f>RecData[[#This Row],[LAF90.0]]</f>
        <v>20.2</v>
      </c>
      <c r="DP835" s="55" t="str">
        <f>IF(AND(RecData[[#This Row],[Useable TON Data?]],RecData[[#This Row],[Turbines ON/OFF]]="ON"),RecData[[#This Row],[dBA Sum]],"")</f>
        <v/>
      </c>
      <c r="DQ835" s="55">
        <f>IF(AND(RecData[[#This Row],[Useable Background Data?]],RecData[[#This Row],[Turbines ON/OFF]]="OFF"),RecData[[#This Row],[dBA Sum]],"")</f>
        <v>18.761650450559745</v>
      </c>
      <c r="DR835" s="3">
        <f>IF(OR(RecData[[#This Row],[Useable TON Data?]],RecData[[#This Row],[Useable Background Data?]]),ROUND(RecData[[#This Row],[WSpd_Avg '[m/s']]],0),"")</f>
        <v>0</v>
      </c>
      <c r="DS835" s="85">
        <f>(0.00002)^2*(10^(RecData[[#This Row],[Overall (dBA)]]/10))</f>
        <v>3.00763435105581E-8</v>
      </c>
    </row>
    <row r="836" spans="1:123" ht="15" x14ac:dyDescent="0.25">
      <c r="A836" s="3" t="s">
        <v>249</v>
      </c>
      <c r="B836" s="12">
        <v>43274.029861111114</v>
      </c>
      <c r="C836" s="3"/>
      <c r="D836" s="3">
        <v>30.8</v>
      </c>
      <c r="E836" s="3"/>
      <c r="F836" s="3"/>
      <c r="G836" s="3"/>
      <c r="H836" s="3"/>
      <c r="I836" s="3"/>
      <c r="J836" s="3"/>
      <c r="K836" s="3">
        <v>20.5</v>
      </c>
      <c r="L836" s="3"/>
      <c r="M836" s="3"/>
      <c r="N836" s="3">
        <v>128.30000000000001</v>
      </c>
      <c r="O836" s="3"/>
      <c r="P836" s="3"/>
      <c r="Q836" s="3">
        <v>0.48</v>
      </c>
      <c r="R836" s="3">
        <v>0.3</v>
      </c>
      <c r="S836" s="3">
        <v>0.6</v>
      </c>
      <c r="T836" s="3">
        <v>11.8</v>
      </c>
      <c r="U836" s="3">
        <v>79.3</v>
      </c>
      <c r="V836" s="3">
        <v>967.4</v>
      </c>
      <c r="W836" s="3">
        <v>0</v>
      </c>
      <c r="X836" s="3">
        <v>25</v>
      </c>
      <c r="Y836" s="3">
        <v>22.2</v>
      </c>
      <c r="Z836" s="3">
        <v>23.6</v>
      </c>
      <c r="AA836" s="3">
        <v>21.4</v>
      </c>
      <c r="AB836" s="3">
        <v>12.9</v>
      </c>
      <c r="AC836" s="3">
        <v>9</v>
      </c>
      <c r="AD836" s="3">
        <v>8</v>
      </c>
      <c r="AE836" s="3">
        <v>8.1999999999999993</v>
      </c>
      <c r="AF836" s="3">
        <v>12.2</v>
      </c>
      <c r="AG836" s="3">
        <v>13.4</v>
      </c>
      <c r="AH836" s="3">
        <v>10.7</v>
      </c>
      <c r="AI836" s="3">
        <v>9.4</v>
      </c>
      <c r="AJ836" s="3">
        <v>15.3</v>
      </c>
      <c r="AK836" s="3">
        <v>15.7</v>
      </c>
      <c r="AL836" s="3">
        <v>11.7</v>
      </c>
      <c r="AM836" s="3">
        <v>11.6</v>
      </c>
      <c r="AN836" s="3">
        <v>9.5</v>
      </c>
      <c r="AO836" s="3">
        <v>7.7</v>
      </c>
      <c r="AP836" s="3">
        <v>7.9</v>
      </c>
      <c r="AQ836" s="3">
        <v>10.6</v>
      </c>
      <c r="AR836" s="3">
        <v>10.6</v>
      </c>
      <c r="AS836" s="3">
        <v>16.7</v>
      </c>
      <c r="AT836" s="3">
        <v>28.8</v>
      </c>
      <c r="AU836" s="3">
        <v>10.6</v>
      </c>
      <c r="AV836" s="3">
        <v>8.1</v>
      </c>
      <c r="AW836" s="3">
        <v>8.6</v>
      </c>
      <c r="AX836" s="3">
        <v>8.9</v>
      </c>
      <c r="AY836" s="3">
        <v>9.1</v>
      </c>
      <c r="AZ836" s="3">
        <v>0</v>
      </c>
      <c r="BA836" s="3">
        <v>0</v>
      </c>
      <c r="BB836" s="3">
        <v>0</v>
      </c>
      <c r="BC836" s="3">
        <v>30.759077147888174</v>
      </c>
      <c r="BD836" s="3">
        <v>25.040922852111823</v>
      </c>
      <c r="BE836" s="3">
        <v>22.240922852111826</v>
      </c>
      <c r="BF836" s="3">
        <v>22.40092285211183</v>
      </c>
      <c r="BG836" s="3">
        <v>20.527589518778488</v>
      </c>
      <c r="BH836" s="3">
        <v>12.167589518778495</v>
      </c>
      <c r="BI836" s="3">
        <v>8.6809228521118236</v>
      </c>
      <c r="BJ836" s="3">
        <v>8.4742561854451601</v>
      </c>
      <c r="BK836" s="3">
        <v>8.5475895187784907</v>
      </c>
      <c r="BL836" s="3">
        <v>12.120922852111828</v>
      </c>
      <c r="BM836" s="3">
        <v>13.454256185445164</v>
      </c>
      <c r="BN836" s="3">
        <v>11.037589518778493</v>
      </c>
      <c r="BO836" s="3">
        <v>9.1042561854451627</v>
      </c>
      <c r="BP836" s="3">
        <v>14.72092285211183</v>
      </c>
      <c r="BQ836" s="3">
        <v>15.537589518778486</v>
      </c>
      <c r="BR836" s="3">
        <v>11.864256185445161</v>
      </c>
      <c r="BS836" s="3">
        <v>11.567589518778494</v>
      </c>
      <c r="BT836" s="3">
        <v>9.6642561854451579</v>
      </c>
      <c r="BU836" s="3">
        <v>7.8309228521118293</v>
      </c>
      <c r="BV836" s="3">
        <v>7.7475895187784936</v>
      </c>
      <c r="BW836" s="3">
        <v>10.980922852111828</v>
      </c>
      <c r="BX836" s="3">
        <v>10.90092285211183</v>
      </c>
      <c r="BY836" s="3">
        <v>16.820922852111824</v>
      </c>
      <c r="BZ836" s="3">
        <v>29.050922852111828</v>
      </c>
      <c r="CA836" s="3">
        <v>10.95092285211182</v>
      </c>
      <c r="CB836" s="3">
        <v>7.8875895187784941</v>
      </c>
      <c r="CC836" s="3">
        <v>8.6009228521118253</v>
      </c>
      <c r="CD836" s="3">
        <v>8.2075895187784944</v>
      </c>
      <c r="CE836" s="3">
        <v>8.6009228521118253</v>
      </c>
      <c r="CF836" s="3">
        <v>-0.8857438145548393</v>
      </c>
      <c r="CG836" s="3">
        <v>-1.4190771478881707</v>
      </c>
      <c r="CH836" s="3">
        <v>-2.4957438145548387</v>
      </c>
      <c r="CI836" s="13">
        <f>[1]!dbasum(RecData[[#This Row],[20]:[2000]],RecData[[#Headers],[20]:[2000]])</f>
        <v>19.597466645275851</v>
      </c>
      <c r="CJ836" s="14">
        <v>9916</v>
      </c>
      <c r="CK836" s="15" t="s">
        <v>249</v>
      </c>
      <c r="CL836" s="15">
        <f>RecData[[#This Row],[Start Time]]</f>
        <v>43274.029861111114</v>
      </c>
      <c r="CM836" s="16">
        <f>RecData[[#This Row],[Wind Speed avg]]</f>
        <v>0.48</v>
      </c>
      <c r="CN836" s="16">
        <f>RecData[[#This Row],[Wind Dir. avg]]</f>
        <v>128.30000000000001</v>
      </c>
      <c r="CO836" s="16">
        <f>RecData[[#This Row],[Amb. Humidity]]</f>
        <v>79.3</v>
      </c>
      <c r="CP836" s="16">
        <f>RecData[[#This Row],[Amb. Temperature]]</f>
        <v>11.8</v>
      </c>
      <c r="CQ836" s="17">
        <f>RecData[[#This Row],[Amb. Rain Gauge]]</f>
        <v>0</v>
      </c>
      <c r="CR836" s="4" t="s">
        <v>50</v>
      </c>
      <c r="CS836" s="4" t="s">
        <v>49</v>
      </c>
      <c r="CT836" s="70">
        <v>-9.11602687835693</v>
      </c>
      <c r="CU836" s="70">
        <v>18.053661346435501</v>
      </c>
      <c r="CV836" s="70">
        <v>1.1323053836822501</v>
      </c>
      <c r="CW836" s="70">
        <v>0</v>
      </c>
      <c r="CX836" s="109"/>
      <c r="CY836" s="110"/>
      <c r="CZ836" s="2" t="b">
        <f>IF($DP$1="YES",IF(RecData[[#This Row],[Power (kW)]]&gt;=$CR$3, TRUE,FALSE),TRUE)</f>
        <v>0</v>
      </c>
      <c r="DA836" s="16">
        <f>MIN(MOD(180-ABS(ABS($DA$1-RecData[Yaw Angle (°)])-180),360),MOD(180-ABS(ABS($DB$1-RecData[Yaw Angle (°)])-180),360))</f>
        <v>10.523734568747955</v>
      </c>
      <c r="DB836" s="2" t="str">
        <f>IF($DP$2="None","None",IF(RecData[[#This Row],[Relative Wind Direction]]&lt;=45,"DW",IF(RecData[[#This Row],[Relative Wind Direction]]&lt;=135,"CW","UW")))</f>
        <v>DW</v>
      </c>
      <c r="DC836" s="61">
        <f>IF($CL836-$CL832&gt;1/24,#REF!,IF(SUM($CQ832:$CQ836)&gt;$DS$1,$DS$5,DC837-1))</f>
        <v>-4</v>
      </c>
      <c r="DD836" s="61">
        <f>IF($CL837-$CL836&gt;1/24,#REF!,IF(SUM($CQ832:$CQ836)&gt;$DS$1,$DS$6,DD835-1))</f>
        <v>-7</v>
      </c>
      <c r="DE836" s="18" t="b">
        <v>0</v>
      </c>
      <c r="DF836" s="2" t="b">
        <f>IF(OR(RecData[[#This Row],[WSpd_Avg '[m/s']]]-RecData[[#This Row],[Wind Speed min]]&gt;=$DF$3,RecData[[#This Row],[Wind Speed max]]-RecData[[#This Row],[WSpd_Avg '[m/s']]]&gt;=$DF$2),TRUE,FALSE)</f>
        <v>0</v>
      </c>
      <c r="DG836" s="2" t="b">
        <f>RecData[[#This Row],[Temperature '[°C']]]&lt;=-20</f>
        <v>0</v>
      </c>
      <c r="DH836" s="18" t="b">
        <f>NOT(OR(MOD(RecData[[#This Row],[TIMESTAMP]],1)&gt;0.91632,MOD(RecData[[#This Row],[TIMESTAMP]],1)&lt;0.208681))</f>
        <v>0</v>
      </c>
      <c r="DI836" s="18" t="b">
        <f>RecData[[#This Row],[Overall (dBA)]]-RecData[[#This Row],[L90]]&gt;=$DS$4</f>
        <v>0</v>
      </c>
      <c r="DJ836" s="18" t="b">
        <f>RecData[[#This Row],[Overall (dBA)]]&gt;$DS$2</f>
        <v>0</v>
      </c>
      <c r="DK836" s="18" t="b">
        <f>RecData[[#This Row],[Overall (dBA)]]&lt;$DS$3</f>
        <v>0</v>
      </c>
      <c r="DL8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6" s="2">
        <f>IF(AND(RecData[[#This Row],[Turbines ON/OFF]] = "OFF", NOT(OR(RecData[[#This Row],[Junk?]]="YES",RecData[[#This Row],[Gust?]],RecData[[#This Row],[Rain?]:[Min SPL Threshold?]]))),1,0)</f>
        <v>1</v>
      </c>
      <c r="DN836" s="16">
        <f>RecData[[#This Row],[dBA Sum]]</f>
        <v>19.597466645275851</v>
      </c>
      <c r="DO836" s="16">
        <f>RecData[[#This Row],[LAF90.0]]</f>
        <v>20.5</v>
      </c>
      <c r="DP836" s="55" t="str">
        <f>IF(AND(RecData[[#This Row],[Useable TON Data?]],RecData[[#This Row],[Turbines ON/OFF]]="ON"),RecData[[#This Row],[dBA Sum]],"")</f>
        <v/>
      </c>
      <c r="DQ836" s="55">
        <f>IF(AND(RecData[[#This Row],[Useable Background Data?]],RecData[[#This Row],[Turbines ON/OFF]]="OFF"),RecData[[#This Row],[dBA Sum]],"")</f>
        <v>19.597466645275851</v>
      </c>
      <c r="DR836" s="3">
        <f>IF(OR(RecData[[#This Row],[Useable TON Data?]],RecData[[#This Row],[Useable Background Data?]]),ROUND(RecData[[#This Row],[WSpd_Avg '[m/s']]],0),"")</f>
        <v>0</v>
      </c>
      <c r="DS836" s="85">
        <f>(0.00002)^2*(10^(RecData[[#This Row],[Overall (dBA)]]/10))</f>
        <v>3.6459159776634441E-8</v>
      </c>
    </row>
    <row r="837" spans="1:123" ht="15" x14ac:dyDescent="0.25">
      <c r="A837" s="3" t="s">
        <v>249</v>
      </c>
      <c r="B837" s="12">
        <v>43274.030555555553</v>
      </c>
      <c r="C837" s="3"/>
      <c r="D837" s="3">
        <v>30</v>
      </c>
      <c r="E837" s="3"/>
      <c r="F837" s="3"/>
      <c r="G837" s="3"/>
      <c r="H837" s="3"/>
      <c r="I837" s="3"/>
      <c r="J837" s="3"/>
      <c r="K837" s="3">
        <v>19.5</v>
      </c>
      <c r="L837" s="3"/>
      <c r="M837" s="3"/>
      <c r="N837" s="3">
        <v>122.8</v>
      </c>
      <c r="O837" s="3"/>
      <c r="P837" s="3"/>
      <c r="Q837" s="3">
        <v>0.49</v>
      </c>
      <c r="R837" s="3">
        <v>0.3</v>
      </c>
      <c r="S837" s="3">
        <v>0.6</v>
      </c>
      <c r="T837" s="3">
        <v>11.7</v>
      </c>
      <c r="U837" s="3">
        <v>79.7</v>
      </c>
      <c r="V837" s="3">
        <v>967.4</v>
      </c>
      <c r="W837" s="3">
        <v>0</v>
      </c>
      <c r="X837" s="3">
        <v>21.7</v>
      </c>
      <c r="Y837" s="3">
        <v>16.8</v>
      </c>
      <c r="Z837" s="3">
        <v>18.399999999999999</v>
      </c>
      <c r="AA837" s="3">
        <v>14.5</v>
      </c>
      <c r="AB837" s="3">
        <v>8.4</v>
      </c>
      <c r="AC837" s="3">
        <v>7.6</v>
      </c>
      <c r="AD837" s="3">
        <v>5.7</v>
      </c>
      <c r="AE837" s="3">
        <v>6.8</v>
      </c>
      <c r="AF837" s="3">
        <v>11.8</v>
      </c>
      <c r="AG837" s="3">
        <v>11.6</v>
      </c>
      <c r="AH837" s="3">
        <v>12.4</v>
      </c>
      <c r="AI837" s="3">
        <v>10.1</v>
      </c>
      <c r="AJ837" s="3">
        <v>10.5</v>
      </c>
      <c r="AK837" s="3">
        <v>9.8000000000000007</v>
      </c>
      <c r="AL837" s="3">
        <v>7.9</v>
      </c>
      <c r="AM837" s="3">
        <v>8.6999999999999993</v>
      </c>
      <c r="AN837" s="3">
        <v>6.9</v>
      </c>
      <c r="AO837" s="3">
        <v>6.4</v>
      </c>
      <c r="AP837" s="3">
        <v>6</v>
      </c>
      <c r="AQ837" s="3">
        <v>7.2</v>
      </c>
      <c r="AR837" s="3">
        <v>7.3</v>
      </c>
      <c r="AS837" s="3">
        <v>12.6</v>
      </c>
      <c r="AT837" s="3">
        <v>28.3</v>
      </c>
      <c r="AU837" s="3">
        <v>12.1</v>
      </c>
      <c r="AV837" s="3">
        <v>8.1</v>
      </c>
      <c r="AW837" s="3">
        <v>8.6</v>
      </c>
      <c r="AX837" s="3">
        <v>8.8000000000000007</v>
      </c>
      <c r="AY837" s="3">
        <v>9.1</v>
      </c>
      <c r="AZ837" s="3">
        <v>0</v>
      </c>
      <c r="BA837" s="3">
        <v>0</v>
      </c>
      <c r="BB837" s="3">
        <v>0</v>
      </c>
      <c r="BC837" s="3">
        <v>30.017548026071751</v>
      </c>
      <c r="BD837" s="3">
        <v>21.682451973928252</v>
      </c>
      <c r="BE837" s="3">
        <v>16.782451973928247</v>
      </c>
      <c r="BF837" s="3">
        <v>17.142451973928246</v>
      </c>
      <c r="BG837" s="3">
        <v>13.569118640594915</v>
      </c>
      <c r="BH837" s="3">
        <v>7.6091186405949216</v>
      </c>
      <c r="BI837" s="3">
        <v>7.2224519739282513</v>
      </c>
      <c r="BJ837" s="3">
        <v>6.1157853072615822</v>
      </c>
      <c r="BK837" s="3">
        <v>7.0891186405949114</v>
      </c>
      <c r="BL837" s="3">
        <v>11.662451973928249</v>
      </c>
      <c r="BM837" s="3">
        <v>11.595785307261586</v>
      </c>
      <c r="BN837" s="3">
        <v>12.679118640594915</v>
      </c>
      <c r="BO837" s="3">
        <v>9.7457853072615848</v>
      </c>
      <c r="BP837" s="3">
        <v>9.8624519739282519</v>
      </c>
      <c r="BQ837" s="3">
        <v>9.5791186405949063</v>
      </c>
      <c r="BR837" s="3">
        <v>8.0057853072615828</v>
      </c>
      <c r="BS837" s="3">
        <v>8.6091186405949145</v>
      </c>
      <c r="BT837" s="3">
        <v>7.0057853072615828</v>
      </c>
      <c r="BU837" s="3">
        <v>6.4724519739282513</v>
      </c>
      <c r="BV837" s="3">
        <v>5.7891186405949142</v>
      </c>
      <c r="BW837" s="3">
        <v>7.5224519739282556</v>
      </c>
      <c r="BX837" s="3">
        <v>7.5424519739282516</v>
      </c>
      <c r="BY837" s="3">
        <v>12.662451973928249</v>
      </c>
      <c r="BZ837" s="3">
        <v>28.492451973928254</v>
      </c>
      <c r="CA837" s="3">
        <v>12.392451973928246</v>
      </c>
      <c r="CB837" s="3">
        <v>7.8291186405949134</v>
      </c>
      <c r="CC837" s="3">
        <v>8.5424519739282516</v>
      </c>
      <c r="CD837" s="3">
        <v>8.0491186405949193</v>
      </c>
      <c r="CE837" s="3">
        <v>8.5424519739282516</v>
      </c>
      <c r="CF837" s="3">
        <v>-0.94421469273841652</v>
      </c>
      <c r="CG837" s="3">
        <v>-1.477548026071748</v>
      </c>
      <c r="CH837" s="3">
        <v>-2.5542146927384159</v>
      </c>
      <c r="CI837" s="13">
        <f>[1]!dbasum(RecData[[#This Row],[20]:[2000]],RecData[[#Headers],[20]:[2000]])</f>
        <v>16.459233830693471</v>
      </c>
      <c r="CJ837" s="14">
        <v>9917</v>
      </c>
      <c r="CK837" s="15" t="s">
        <v>249</v>
      </c>
      <c r="CL837" s="15">
        <f>RecData[[#This Row],[Start Time]]</f>
        <v>43274.030555555553</v>
      </c>
      <c r="CM837" s="16">
        <f>RecData[[#This Row],[Wind Speed avg]]</f>
        <v>0.49</v>
      </c>
      <c r="CN837" s="16">
        <f>RecData[[#This Row],[Wind Dir. avg]]</f>
        <v>122.8</v>
      </c>
      <c r="CO837" s="16">
        <f>RecData[[#This Row],[Amb. Humidity]]</f>
        <v>79.7</v>
      </c>
      <c r="CP837" s="16">
        <f>RecData[[#This Row],[Amb. Temperature]]</f>
        <v>11.7</v>
      </c>
      <c r="CQ837" s="17">
        <f>RecData[[#This Row],[Amb. Rain Gauge]]</f>
        <v>0</v>
      </c>
      <c r="CR837" s="4" t="s">
        <v>50</v>
      </c>
      <c r="CS837" s="4" t="s">
        <v>49</v>
      </c>
      <c r="CT837" s="70">
        <v>-9.11602687835693</v>
      </c>
      <c r="CU837" s="70">
        <v>18.053661346435501</v>
      </c>
      <c r="CV837" s="70">
        <v>1.1323053836822501</v>
      </c>
      <c r="CW837" s="70">
        <v>0</v>
      </c>
      <c r="CX837" s="109"/>
      <c r="CY837" s="110"/>
      <c r="CZ837" s="2" t="b">
        <f>IF($DP$1="YES",IF(RecData[[#This Row],[Power (kW)]]&gt;=$CR$3, TRUE,FALSE),TRUE)</f>
        <v>0</v>
      </c>
      <c r="DA837" s="16">
        <f>MIN(MOD(180-ABS(ABS($DA$1-RecData[Yaw Angle (°)])-180),360),MOD(180-ABS(ABS($DB$1-RecData[Yaw Angle (°)])-180),360))</f>
        <v>10.523734568747955</v>
      </c>
      <c r="DB837" s="2" t="str">
        <f>IF($DP$2="None","None",IF(RecData[[#This Row],[Relative Wind Direction]]&lt;=45,"DW",IF(RecData[[#This Row],[Relative Wind Direction]]&lt;=135,"CW","UW")))</f>
        <v>DW</v>
      </c>
      <c r="DC837" s="61">
        <f>IF($CL837-$CL833&gt;1/24,#REF!,IF(SUM($CQ833:$CQ837)&gt;$DS$1,$DS$5,DC838-1))</f>
        <v>-3</v>
      </c>
      <c r="DD837" s="61">
        <f>IF($CL838-$CL837&gt;1/24,#REF!,IF(SUM($CQ833:$CQ837)&gt;$DS$1,$DS$6,DD836-1))</f>
        <v>-8</v>
      </c>
      <c r="DE837" s="18" t="b">
        <v>0</v>
      </c>
      <c r="DF837" s="2" t="b">
        <f>IF(OR(RecData[[#This Row],[WSpd_Avg '[m/s']]]-RecData[[#This Row],[Wind Speed min]]&gt;=$DF$3,RecData[[#This Row],[Wind Speed max]]-RecData[[#This Row],[WSpd_Avg '[m/s']]]&gt;=$DF$2),TRUE,FALSE)</f>
        <v>0</v>
      </c>
      <c r="DG837" s="2" t="b">
        <f>RecData[[#This Row],[Temperature '[°C']]]&lt;=-20</f>
        <v>0</v>
      </c>
      <c r="DH837" s="18" t="b">
        <f>NOT(OR(MOD(RecData[[#This Row],[TIMESTAMP]],1)&gt;0.91632,MOD(RecData[[#This Row],[TIMESTAMP]],1)&lt;0.208681))</f>
        <v>0</v>
      </c>
      <c r="DI837" s="18" t="b">
        <f>RecData[[#This Row],[Overall (dBA)]]-RecData[[#This Row],[L90]]&gt;=$DS$4</f>
        <v>0</v>
      </c>
      <c r="DJ837" s="18" t="b">
        <f>RecData[[#This Row],[Overall (dBA)]]&gt;$DS$2</f>
        <v>0</v>
      </c>
      <c r="DK837" s="18" t="b">
        <f>RecData[[#This Row],[Overall (dBA)]]&lt;$DS$3</f>
        <v>0</v>
      </c>
      <c r="DL8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7" s="2">
        <f>IF(AND(RecData[[#This Row],[Turbines ON/OFF]] = "OFF", NOT(OR(RecData[[#This Row],[Junk?]]="YES",RecData[[#This Row],[Gust?]],RecData[[#This Row],[Rain?]:[Min SPL Threshold?]]))),1,0)</f>
        <v>1</v>
      </c>
      <c r="DN837" s="16">
        <f>RecData[[#This Row],[dBA Sum]]</f>
        <v>16.459233830693471</v>
      </c>
      <c r="DO837" s="16">
        <f>RecData[[#This Row],[LAF90.0]]</f>
        <v>19.5</v>
      </c>
      <c r="DP837" s="55" t="str">
        <f>IF(AND(RecData[[#This Row],[Useable TON Data?]],RecData[[#This Row],[Turbines ON/OFF]]="ON"),RecData[[#This Row],[dBA Sum]],"")</f>
        <v/>
      </c>
      <c r="DQ837" s="55">
        <f>IF(AND(RecData[[#This Row],[Useable Background Data?]],RecData[[#This Row],[Turbines ON/OFF]]="OFF"),RecData[[#This Row],[dBA Sum]],"")</f>
        <v>16.459233830693471</v>
      </c>
      <c r="DR837" s="3">
        <f>IF(OR(RecData[[#This Row],[Useable TON Data?]],RecData[[#This Row],[Useable Background Data?]]),ROUND(RecData[[#This Row],[WSpd_Avg '[m/s']]],0),"")</f>
        <v>0</v>
      </c>
      <c r="DS837" s="85">
        <f>(0.00002)^2*(10^(RecData[[#This Row],[Overall (dBA)]]/10))</f>
        <v>1.7700411965424233E-8</v>
      </c>
    </row>
    <row r="838" spans="1:123" ht="15" x14ac:dyDescent="0.25">
      <c r="A838" s="3" t="s">
        <v>249</v>
      </c>
      <c r="B838" s="12">
        <v>43274.03125</v>
      </c>
      <c r="C838" s="3"/>
      <c r="D838" s="3">
        <v>29.1</v>
      </c>
      <c r="E838" s="3"/>
      <c r="F838" s="3"/>
      <c r="G838" s="3"/>
      <c r="H838" s="3"/>
      <c r="I838" s="3"/>
      <c r="J838" s="3"/>
      <c r="K838" s="3">
        <v>19.2</v>
      </c>
      <c r="L838" s="3"/>
      <c r="M838" s="3"/>
      <c r="N838" s="3">
        <v>130.9</v>
      </c>
      <c r="O838" s="3"/>
      <c r="P838" s="3"/>
      <c r="Q838" s="3">
        <v>0.55000000000000004</v>
      </c>
      <c r="R838" s="3">
        <v>0.4</v>
      </c>
      <c r="S838" s="3">
        <v>0.7</v>
      </c>
      <c r="T838" s="3">
        <v>11.7</v>
      </c>
      <c r="U838" s="3">
        <v>79.8</v>
      </c>
      <c r="V838" s="3">
        <v>967.4</v>
      </c>
      <c r="W838" s="3">
        <v>0</v>
      </c>
      <c r="X838" s="3">
        <v>20.5</v>
      </c>
      <c r="Y838" s="3">
        <v>14.8</v>
      </c>
      <c r="Z838" s="3">
        <v>12.6</v>
      </c>
      <c r="AA838" s="3">
        <v>8.5</v>
      </c>
      <c r="AB838" s="3">
        <v>7.5</v>
      </c>
      <c r="AC838" s="3">
        <v>6.6</v>
      </c>
      <c r="AD838" s="3">
        <v>5.5</v>
      </c>
      <c r="AE838" s="3">
        <v>5.7</v>
      </c>
      <c r="AF838" s="3">
        <v>11</v>
      </c>
      <c r="AG838" s="3">
        <v>12.2</v>
      </c>
      <c r="AH838" s="3">
        <v>8</v>
      </c>
      <c r="AI838" s="3">
        <v>7</v>
      </c>
      <c r="AJ838" s="3">
        <v>9.3000000000000007</v>
      </c>
      <c r="AK838" s="3">
        <v>8.8000000000000007</v>
      </c>
      <c r="AL838" s="3">
        <v>6.4</v>
      </c>
      <c r="AM838" s="3">
        <v>5.6</v>
      </c>
      <c r="AN838" s="3">
        <v>5.7</v>
      </c>
      <c r="AO838" s="3">
        <v>5.7</v>
      </c>
      <c r="AP838" s="3">
        <v>5.5</v>
      </c>
      <c r="AQ838" s="3">
        <v>6.3</v>
      </c>
      <c r="AR838" s="3">
        <v>6.1</v>
      </c>
      <c r="AS838" s="3">
        <v>10.5</v>
      </c>
      <c r="AT838" s="3">
        <v>27.4</v>
      </c>
      <c r="AU838" s="3">
        <v>11.9</v>
      </c>
      <c r="AV838" s="3">
        <v>8.1</v>
      </c>
      <c r="AW838" s="3">
        <v>8.6</v>
      </c>
      <c r="AX838" s="3">
        <v>8.8000000000000007</v>
      </c>
      <c r="AY838" s="3">
        <v>9.1</v>
      </c>
      <c r="AZ838" s="3">
        <v>0</v>
      </c>
      <c r="BA838" s="3">
        <v>0</v>
      </c>
      <c r="BB838" s="3">
        <v>0</v>
      </c>
      <c r="BC838" s="3">
        <v>29.116220020997584</v>
      </c>
      <c r="BD838" s="3">
        <v>20.483779979002417</v>
      </c>
      <c r="BE838" s="3">
        <v>14.783779979002421</v>
      </c>
      <c r="BF838" s="3">
        <v>11.343779979002417</v>
      </c>
      <c r="BG838" s="3">
        <v>7.5704466456690831</v>
      </c>
      <c r="BH838" s="3">
        <v>6.7104466456690837</v>
      </c>
      <c r="BI838" s="3">
        <v>6.2237799790024191</v>
      </c>
      <c r="BJ838" s="3">
        <v>5.9171133123357471</v>
      </c>
      <c r="BK838" s="3">
        <v>5.9904466456690777</v>
      </c>
      <c r="BL838" s="3">
        <v>10.86377997900242</v>
      </c>
      <c r="BM838" s="3">
        <v>12.197113312335748</v>
      </c>
      <c r="BN838" s="3">
        <v>8.2804466456690839</v>
      </c>
      <c r="BO838" s="3">
        <v>6.6471133123357511</v>
      </c>
      <c r="BP838" s="3">
        <v>8.6637799790024168</v>
      </c>
      <c r="BQ838" s="3">
        <v>8.580446645669074</v>
      </c>
      <c r="BR838" s="3">
        <v>6.5071133123357505</v>
      </c>
      <c r="BS838" s="3">
        <v>5.5104466456690808</v>
      </c>
      <c r="BT838" s="3">
        <v>5.8071133123357548</v>
      </c>
      <c r="BU838" s="3">
        <v>5.7737799790024233</v>
      </c>
      <c r="BV838" s="3">
        <v>5.290446645669082</v>
      </c>
      <c r="BW838" s="3">
        <v>6.6237799790024177</v>
      </c>
      <c r="BX838" s="3">
        <v>6.3437799790024236</v>
      </c>
      <c r="BY838" s="3">
        <v>10.563779979002415</v>
      </c>
      <c r="BZ838" s="3">
        <v>27.593779979002424</v>
      </c>
      <c r="CA838" s="3">
        <v>12.193779979002411</v>
      </c>
      <c r="CB838" s="3">
        <v>7.8304466456690811</v>
      </c>
      <c r="CC838" s="3">
        <v>8.5437799790024123</v>
      </c>
      <c r="CD838" s="3">
        <v>8.0504466456690871</v>
      </c>
      <c r="CE838" s="3">
        <v>8.5437799790024123</v>
      </c>
      <c r="CF838" s="3">
        <v>-0.94288668766424877</v>
      </c>
      <c r="CG838" s="3">
        <v>-1.4762200209975802</v>
      </c>
      <c r="CH838" s="3">
        <v>-2.5528866876642482</v>
      </c>
      <c r="CI838" s="13">
        <f>[1]!dbasum(RecData[[#This Row],[20]:[2000]],RecData[[#Headers],[20]:[2000]])</f>
        <v>15.184252586416713</v>
      </c>
      <c r="CJ838" s="14">
        <v>9918</v>
      </c>
      <c r="CK838" s="15" t="s">
        <v>249</v>
      </c>
      <c r="CL838" s="15">
        <f>RecData[[#This Row],[Start Time]]</f>
        <v>43274.03125</v>
      </c>
      <c r="CM838" s="16">
        <f>RecData[[#This Row],[Wind Speed avg]]</f>
        <v>0.55000000000000004</v>
      </c>
      <c r="CN838" s="16">
        <f>RecData[[#This Row],[Wind Dir. avg]]</f>
        <v>130.9</v>
      </c>
      <c r="CO838" s="16">
        <f>RecData[[#This Row],[Amb. Humidity]]</f>
        <v>79.8</v>
      </c>
      <c r="CP838" s="16">
        <f>RecData[[#This Row],[Amb. Temperature]]</f>
        <v>11.7</v>
      </c>
      <c r="CQ838" s="17">
        <f>RecData[[#This Row],[Amb. Rain Gauge]]</f>
        <v>0</v>
      </c>
      <c r="CR838" s="4" t="s">
        <v>50</v>
      </c>
      <c r="CS838" s="4" t="s">
        <v>49</v>
      </c>
      <c r="CT838" s="70">
        <v>-9.11602687835693</v>
      </c>
      <c r="CU838" s="70">
        <v>18.053661346435501</v>
      </c>
      <c r="CV838" s="70">
        <v>1.1323053836822501</v>
      </c>
      <c r="CW838" s="70">
        <v>0</v>
      </c>
      <c r="CX838" s="109"/>
      <c r="CY838" s="110"/>
      <c r="CZ838" s="2" t="b">
        <f>IF($DP$1="YES",IF(RecData[[#This Row],[Power (kW)]]&gt;=$CR$3, TRUE,FALSE),TRUE)</f>
        <v>0</v>
      </c>
      <c r="DA838" s="16">
        <f>MIN(MOD(180-ABS(ABS($DA$1-RecData[Yaw Angle (°)])-180),360),MOD(180-ABS(ABS($DB$1-RecData[Yaw Angle (°)])-180),360))</f>
        <v>10.523734568747955</v>
      </c>
      <c r="DB838" s="2" t="str">
        <f>IF($DP$2="None","None",IF(RecData[[#This Row],[Relative Wind Direction]]&lt;=45,"DW",IF(RecData[[#This Row],[Relative Wind Direction]]&lt;=135,"CW","UW")))</f>
        <v>DW</v>
      </c>
      <c r="DC838" s="61">
        <f>IF($CL838-$CL834&gt;1/24,#REF!,IF(SUM($CQ834:$CQ838)&gt;$DS$1,$DS$5,DC839-1))</f>
        <v>-2</v>
      </c>
      <c r="DD838" s="61">
        <f>IF($CL839-$CL838&gt;1/24,#REF!,IF(SUM($CQ834:$CQ838)&gt;$DS$1,$DS$6,DD837-1))</f>
        <v>-9</v>
      </c>
      <c r="DE838" s="18" t="b">
        <v>0</v>
      </c>
      <c r="DF838" s="2" t="b">
        <f>IF(OR(RecData[[#This Row],[WSpd_Avg '[m/s']]]-RecData[[#This Row],[Wind Speed min]]&gt;=$DF$3,RecData[[#This Row],[Wind Speed max]]-RecData[[#This Row],[WSpd_Avg '[m/s']]]&gt;=$DF$2),TRUE,FALSE)</f>
        <v>0</v>
      </c>
      <c r="DG838" s="2" t="b">
        <f>RecData[[#This Row],[Temperature '[°C']]]&lt;=-20</f>
        <v>0</v>
      </c>
      <c r="DH838" s="18" t="b">
        <f>NOT(OR(MOD(RecData[[#This Row],[TIMESTAMP]],1)&gt;0.91632,MOD(RecData[[#This Row],[TIMESTAMP]],1)&lt;0.208681))</f>
        <v>0</v>
      </c>
      <c r="DI838" s="18" t="b">
        <f>RecData[[#This Row],[Overall (dBA)]]-RecData[[#This Row],[L90]]&gt;=$DS$4</f>
        <v>0</v>
      </c>
      <c r="DJ838" s="18" t="b">
        <f>RecData[[#This Row],[Overall (dBA)]]&gt;$DS$2</f>
        <v>0</v>
      </c>
      <c r="DK838" s="18" t="b">
        <f>RecData[[#This Row],[Overall (dBA)]]&lt;$DS$3</f>
        <v>0</v>
      </c>
      <c r="DL8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8" s="2">
        <f>IF(AND(RecData[[#This Row],[Turbines ON/OFF]] = "OFF", NOT(OR(RecData[[#This Row],[Junk?]]="YES",RecData[[#This Row],[Gust?]],RecData[[#This Row],[Rain?]:[Min SPL Threshold?]]))),1,0)</f>
        <v>1</v>
      </c>
      <c r="DN838" s="16">
        <f>RecData[[#This Row],[dBA Sum]]</f>
        <v>15.184252586416713</v>
      </c>
      <c r="DO838" s="16">
        <f>RecData[[#This Row],[LAF90.0]]</f>
        <v>19.2</v>
      </c>
      <c r="DP838" s="55" t="str">
        <f>IF(AND(RecData[[#This Row],[Useable TON Data?]],RecData[[#This Row],[Turbines ON/OFF]]="ON"),RecData[[#This Row],[dBA Sum]],"")</f>
        <v/>
      </c>
      <c r="DQ838" s="55">
        <f>IF(AND(RecData[[#This Row],[Useable Background Data?]],RecData[[#This Row],[Turbines ON/OFF]]="OFF"),RecData[[#This Row],[dBA Sum]],"")</f>
        <v>15.184252586416713</v>
      </c>
      <c r="DR838" s="3">
        <f>IF(OR(RecData[[#This Row],[Useable TON Data?]],RecData[[#This Row],[Useable Background Data?]]),ROUND(RecData[[#This Row],[WSpd_Avg '[m/s']]],0),"")</f>
        <v>1</v>
      </c>
      <c r="DS838" s="85">
        <f>(0.00002)^2*(10^(RecData[[#This Row],[Overall (dBA)]]/10))</f>
        <v>1.3197304886753647E-8</v>
      </c>
    </row>
    <row r="839" spans="1:123" ht="15" x14ac:dyDescent="0.25">
      <c r="A839" s="3" t="s">
        <v>249</v>
      </c>
      <c r="B839" s="12">
        <v>43274.031944444447</v>
      </c>
      <c r="C839" s="3"/>
      <c r="D839" s="3">
        <v>30.5</v>
      </c>
      <c r="E839" s="3"/>
      <c r="F839" s="3"/>
      <c r="G839" s="3"/>
      <c r="H839" s="3"/>
      <c r="I839" s="3"/>
      <c r="J839" s="3"/>
      <c r="K839" s="3">
        <v>20.7</v>
      </c>
      <c r="L839" s="3"/>
      <c r="M839" s="3"/>
      <c r="N839" s="3">
        <v>128.1</v>
      </c>
      <c r="O839" s="3"/>
      <c r="P839" s="3"/>
      <c r="Q839" s="3">
        <v>0.64</v>
      </c>
      <c r="R839" s="3">
        <v>0.5</v>
      </c>
      <c r="S839" s="3">
        <v>0.8</v>
      </c>
      <c r="T839" s="3">
        <v>11.7</v>
      </c>
      <c r="U839" s="3">
        <v>80.2</v>
      </c>
      <c r="V839" s="3">
        <v>967.4</v>
      </c>
      <c r="W839" s="3">
        <v>0</v>
      </c>
      <c r="X839" s="3">
        <v>18.7</v>
      </c>
      <c r="Y839" s="3">
        <v>14.3</v>
      </c>
      <c r="Z839" s="3">
        <v>14.2</v>
      </c>
      <c r="AA839" s="3">
        <v>8.6999999999999993</v>
      </c>
      <c r="AB839" s="3">
        <v>7.1</v>
      </c>
      <c r="AC839" s="3">
        <v>5.8</v>
      </c>
      <c r="AD839" s="3">
        <v>4.9000000000000004</v>
      </c>
      <c r="AE839" s="3">
        <v>5.4</v>
      </c>
      <c r="AF839" s="3">
        <v>11</v>
      </c>
      <c r="AG839" s="3">
        <v>10.8</v>
      </c>
      <c r="AH839" s="3">
        <v>8.4</v>
      </c>
      <c r="AI839" s="3">
        <v>7.3</v>
      </c>
      <c r="AJ839" s="3">
        <v>9.6</v>
      </c>
      <c r="AK839" s="3">
        <v>8.4</v>
      </c>
      <c r="AL839" s="3">
        <v>6.4</v>
      </c>
      <c r="AM839" s="3">
        <v>5.7</v>
      </c>
      <c r="AN839" s="3">
        <v>5.8</v>
      </c>
      <c r="AO839" s="3">
        <v>5.8</v>
      </c>
      <c r="AP839" s="3">
        <v>5.6</v>
      </c>
      <c r="AQ839" s="3">
        <v>6.3</v>
      </c>
      <c r="AR839" s="3">
        <v>6.4</v>
      </c>
      <c r="AS839" s="3">
        <v>14</v>
      </c>
      <c r="AT839" s="3">
        <v>28.8</v>
      </c>
      <c r="AU839" s="3">
        <v>13.1</v>
      </c>
      <c r="AV839" s="3">
        <v>8.1</v>
      </c>
      <c r="AW839" s="3">
        <v>8.6</v>
      </c>
      <c r="AX839" s="3">
        <v>8.8000000000000007</v>
      </c>
      <c r="AY839" s="3">
        <v>9.1</v>
      </c>
      <c r="AZ839" s="3">
        <v>0</v>
      </c>
      <c r="BA839" s="3">
        <v>0</v>
      </c>
      <c r="BB839" s="3">
        <v>0</v>
      </c>
      <c r="BC839" s="3">
        <v>30.478639627613195</v>
      </c>
      <c r="BD839" s="3">
        <v>18.721360372386808</v>
      </c>
      <c r="BE839" s="3">
        <v>14.321360372386803</v>
      </c>
      <c r="BF839" s="3">
        <v>12.981360372386806</v>
      </c>
      <c r="BG839" s="3">
        <v>7.8080270390534672</v>
      </c>
      <c r="BH839" s="3">
        <v>6.3480270390534734</v>
      </c>
      <c r="BI839" s="3">
        <v>5.4613603723868032</v>
      </c>
      <c r="BJ839" s="3">
        <v>5.3546937057201411</v>
      </c>
      <c r="BK839" s="3">
        <v>5.7280270390534689</v>
      </c>
      <c r="BL839" s="3">
        <v>10.901360372386808</v>
      </c>
      <c r="BM839" s="3">
        <v>10.834693705720138</v>
      </c>
      <c r="BN839" s="3">
        <v>8.7180270390534709</v>
      </c>
      <c r="BO839" s="3">
        <v>6.9846937057201437</v>
      </c>
      <c r="BP839" s="3">
        <v>9.0013603723868094</v>
      </c>
      <c r="BQ839" s="3">
        <v>8.2180270390534638</v>
      </c>
      <c r="BR839" s="3">
        <v>6.5446937057201389</v>
      </c>
      <c r="BS839" s="3">
        <v>5.6480270390534706</v>
      </c>
      <c r="BT839" s="3">
        <v>5.9446937057201374</v>
      </c>
      <c r="BU839" s="3">
        <v>5.911360372386806</v>
      </c>
      <c r="BV839" s="3">
        <v>5.4280270390534717</v>
      </c>
      <c r="BW839" s="3">
        <v>6.661360372386806</v>
      </c>
      <c r="BX839" s="3">
        <v>6.6813603723868091</v>
      </c>
      <c r="BY839" s="3">
        <v>14.101360372386804</v>
      </c>
      <c r="BZ839" s="3">
        <v>29.031360372386811</v>
      </c>
      <c r="CA839" s="3">
        <v>13.431360372386802</v>
      </c>
      <c r="CB839" s="3">
        <v>7.8680270390534695</v>
      </c>
      <c r="CC839" s="3">
        <v>8.5813603723868077</v>
      </c>
      <c r="CD839" s="3">
        <v>8.0880270390534754</v>
      </c>
      <c r="CE839" s="3">
        <v>8.5813603723868077</v>
      </c>
      <c r="CF839" s="3">
        <v>-0.90530629427986042</v>
      </c>
      <c r="CG839" s="3">
        <v>-1.4386396276131919</v>
      </c>
      <c r="CH839" s="3">
        <v>-2.5153062942798599</v>
      </c>
      <c r="CI839" s="13">
        <f>[1]!dbasum(RecData[[#This Row],[20]:[2000]],RecData[[#Headers],[20]:[2000]])</f>
        <v>15.285534285011011</v>
      </c>
      <c r="CJ839" s="14">
        <v>9919</v>
      </c>
      <c r="CK839" s="15" t="s">
        <v>249</v>
      </c>
      <c r="CL839" s="15">
        <f>RecData[[#This Row],[Start Time]]</f>
        <v>43274.031944444447</v>
      </c>
      <c r="CM839" s="16">
        <f>RecData[[#This Row],[Wind Speed avg]]</f>
        <v>0.64</v>
      </c>
      <c r="CN839" s="16">
        <f>RecData[[#This Row],[Wind Dir. avg]]</f>
        <v>128.1</v>
      </c>
      <c r="CO839" s="16">
        <f>RecData[[#This Row],[Amb. Humidity]]</f>
        <v>80.2</v>
      </c>
      <c r="CP839" s="16">
        <f>RecData[[#This Row],[Amb. Temperature]]</f>
        <v>11.7</v>
      </c>
      <c r="CQ839" s="17">
        <f>RecData[[#This Row],[Amb. Rain Gauge]]</f>
        <v>0</v>
      </c>
      <c r="CR839" s="4" t="s">
        <v>50</v>
      </c>
      <c r="CS839" s="4" t="s">
        <v>49</v>
      </c>
      <c r="CT839" s="70">
        <v>-9.11602687835693</v>
      </c>
      <c r="CU839" s="70">
        <v>18.053661346435501</v>
      </c>
      <c r="CV839" s="70">
        <v>1.1323053836822501</v>
      </c>
      <c r="CW839" s="70">
        <v>0</v>
      </c>
      <c r="CX839" s="109"/>
      <c r="CY839" s="110"/>
      <c r="CZ839" s="2" t="b">
        <f>IF($DP$1="YES",IF(RecData[[#This Row],[Power (kW)]]&gt;=$CR$3, TRUE,FALSE),TRUE)</f>
        <v>0</v>
      </c>
      <c r="DA839" s="16">
        <f>MIN(MOD(180-ABS(ABS($DA$1-RecData[Yaw Angle (°)])-180),360),MOD(180-ABS(ABS($DB$1-RecData[Yaw Angle (°)])-180),360))</f>
        <v>10.523734568747955</v>
      </c>
      <c r="DB839" s="2" t="str">
        <f>IF($DP$2="None","None",IF(RecData[[#This Row],[Relative Wind Direction]]&lt;=45,"DW",IF(RecData[[#This Row],[Relative Wind Direction]]&lt;=135,"CW","UW")))</f>
        <v>DW</v>
      </c>
      <c r="DC839" s="61">
        <v>-1</v>
      </c>
      <c r="DD839" s="61">
        <v>-1</v>
      </c>
      <c r="DE839" s="18" t="b">
        <v>0</v>
      </c>
      <c r="DF839" s="2" t="b">
        <f>IF(OR(RecData[[#This Row],[WSpd_Avg '[m/s']]]-RecData[[#This Row],[Wind Speed min]]&gt;=$DF$3,RecData[[#This Row],[Wind Speed max]]-RecData[[#This Row],[WSpd_Avg '[m/s']]]&gt;=$DF$2),TRUE,FALSE)</f>
        <v>0</v>
      </c>
      <c r="DG839" s="2" t="b">
        <f>RecData[[#This Row],[Temperature '[°C']]]&lt;=-20</f>
        <v>0</v>
      </c>
      <c r="DH839" s="18" t="b">
        <f>NOT(OR(MOD(RecData[[#This Row],[TIMESTAMP]],1)&gt;0.91632,MOD(RecData[[#This Row],[TIMESTAMP]],1)&lt;0.208681))</f>
        <v>0</v>
      </c>
      <c r="DI839" s="18" t="b">
        <f>RecData[[#This Row],[Overall (dBA)]]-RecData[[#This Row],[L90]]&gt;=$DS$4</f>
        <v>0</v>
      </c>
      <c r="DJ839" s="18" t="b">
        <f>RecData[[#This Row],[Overall (dBA)]]&gt;$DS$2</f>
        <v>0</v>
      </c>
      <c r="DK839" s="18" t="b">
        <f>RecData[[#This Row],[Overall (dBA)]]&lt;$DS$3</f>
        <v>0</v>
      </c>
      <c r="DL8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39" s="2">
        <f>IF(AND(RecData[[#This Row],[Turbines ON/OFF]] = "OFF", NOT(OR(RecData[[#This Row],[Junk?]]="YES",RecData[[#This Row],[Gust?]],RecData[[#This Row],[Rain?]:[Min SPL Threshold?]]))),1,0)</f>
        <v>1</v>
      </c>
      <c r="DN839" s="16">
        <f>RecData[[#This Row],[dBA Sum]]</f>
        <v>15.285534285011011</v>
      </c>
      <c r="DO839" s="16">
        <f>RecData[[#This Row],[LAF90.0]]</f>
        <v>20.7</v>
      </c>
      <c r="DP839" s="55" t="str">
        <f>IF(AND(RecData[[#This Row],[Useable TON Data?]],RecData[[#This Row],[Turbines ON/OFF]]="ON"),RecData[[#This Row],[dBA Sum]],"")</f>
        <v/>
      </c>
      <c r="DQ839" s="55">
        <f>IF(AND(RecData[[#This Row],[Useable Background Data?]],RecData[[#This Row],[Turbines ON/OFF]]="OFF"),RecData[[#This Row],[dBA Sum]],"")</f>
        <v>15.285534285011011</v>
      </c>
      <c r="DR839" s="3">
        <f>IF(OR(RecData[[#This Row],[Useable TON Data?]],RecData[[#This Row],[Useable Background Data?]]),ROUND(RecData[[#This Row],[WSpd_Avg '[m/s']]],0),"")</f>
        <v>1</v>
      </c>
      <c r="DS839" s="85">
        <f>(0.00002)^2*(10^(RecData[[#This Row],[Overall (dBA)]]/10))</f>
        <v>1.3508695732787981E-8</v>
      </c>
    </row>
    <row r="840" spans="1:123" ht="15" x14ac:dyDescent="0.25">
      <c r="A840" s="3" t="s">
        <v>249</v>
      </c>
      <c r="B840" s="12">
        <v>43274.032638888886</v>
      </c>
      <c r="C840" s="3"/>
      <c r="D840" s="3">
        <v>28.4</v>
      </c>
      <c r="E840" s="3"/>
      <c r="F840" s="3"/>
      <c r="G840" s="3"/>
      <c r="H840" s="3"/>
      <c r="I840" s="3"/>
      <c r="J840" s="3"/>
      <c r="K840" s="3">
        <v>19.8</v>
      </c>
      <c r="L840" s="3"/>
      <c r="M840" s="3"/>
      <c r="N840" s="3">
        <v>122.8</v>
      </c>
      <c r="O840" s="3"/>
      <c r="P840" s="3"/>
      <c r="Q840" s="3">
        <v>0.62</v>
      </c>
      <c r="R840" s="3">
        <v>0.5</v>
      </c>
      <c r="S840" s="3">
        <v>0.8</v>
      </c>
      <c r="T840" s="3">
        <v>11.7</v>
      </c>
      <c r="U840" s="3">
        <v>80.400000000000006</v>
      </c>
      <c r="V840" s="3">
        <v>967.4</v>
      </c>
      <c r="W840" s="3">
        <v>0</v>
      </c>
      <c r="X840" s="3">
        <v>18</v>
      </c>
      <c r="Y840" s="3">
        <v>15.6</v>
      </c>
      <c r="Z840" s="3">
        <v>14.7</v>
      </c>
      <c r="AA840" s="3">
        <v>10.1</v>
      </c>
      <c r="AB840" s="3">
        <v>7.5</v>
      </c>
      <c r="AC840" s="3">
        <v>6.3</v>
      </c>
      <c r="AD840" s="3">
        <v>5.2</v>
      </c>
      <c r="AE840" s="3">
        <v>5.7</v>
      </c>
      <c r="AF840" s="3">
        <v>12.3</v>
      </c>
      <c r="AG840" s="3">
        <v>10</v>
      </c>
      <c r="AH840" s="3">
        <v>9.1</v>
      </c>
      <c r="AI840" s="3">
        <v>7.7</v>
      </c>
      <c r="AJ840" s="3">
        <v>9.8000000000000007</v>
      </c>
      <c r="AK840" s="3">
        <v>10.199999999999999</v>
      </c>
      <c r="AL840" s="3">
        <v>7</v>
      </c>
      <c r="AM840" s="3">
        <v>6.1</v>
      </c>
      <c r="AN840" s="3">
        <v>5.8</v>
      </c>
      <c r="AO840" s="3">
        <v>5.9</v>
      </c>
      <c r="AP840" s="3">
        <v>5.8</v>
      </c>
      <c r="AQ840" s="3">
        <v>6.5</v>
      </c>
      <c r="AR840" s="3">
        <v>6.4</v>
      </c>
      <c r="AS840" s="3">
        <v>17</v>
      </c>
      <c r="AT840" s="3">
        <v>26.2</v>
      </c>
      <c r="AU840" s="3">
        <v>11.3</v>
      </c>
      <c r="AV840" s="3">
        <v>8.1999999999999993</v>
      </c>
      <c r="AW840" s="3">
        <v>8.6999999999999993</v>
      </c>
      <c r="AX840" s="3">
        <v>8.9</v>
      </c>
      <c r="AY840" s="3">
        <v>9.1</v>
      </c>
      <c r="AZ840" s="3">
        <v>0</v>
      </c>
      <c r="BA840" s="3">
        <v>0</v>
      </c>
      <c r="BB840" s="3">
        <v>0</v>
      </c>
      <c r="BC840" s="3">
        <v>28.414448699550121</v>
      </c>
      <c r="BD840" s="3">
        <v>17.985551300449877</v>
      </c>
      <c r="BE840" s="3">
        <v>15.585551300449879</v>
      </c>
      <c r="BF840" s="3">
        <v>13.445551300449878</v>
      </c>
      <c r="BG840" s="3">
        <v>9.1722179671165378</v>
      </c>
      <c r="BH840" s="3">
        <v>6.7122179671165441</v>
      </c>
      <c r="BI840" s="3">
        <v>5.9255513004498752</v>
      </c>
      <c r="BJ840" s="3">
        <v>5.6188846337832103</v>
      </c>
      <c r="BK840" s="3">
        <v>5.9922179671165381</v>
      </c>
      <c r="BL840" s="3">
        <v>12.165551300449877</v>
      </c>
      <c r="BM840" s="3">
        <v>9.9988846337832129</v>
      </c>
      <c r="BN840" s="3">
        <v>9.3822179671165458</v>
      </c>
      <c r="BO840" s="3">
        <v>7.3488846337832143</v>
      </c>
      <c r="BP840" s="3">
        <v>9.1655513004498772</v>
      </c>
      <c r="BQ840" s="3">
        <v>9.982217967116533</v>
      </c>
      <c r="BR840" s="3">
        <v>7.1088846337832123</v>
      </c>
      <c r="BS840" s="3">
        <v>6.0122179671165412</v>
      </c>
      <c r="BT840" s="3">
        <v>5.9088846337832095</v>
      </c>
      <c r="BU840" s="3">
        <v>5.9755513004498795</v>
      </c>
      <c r="BV840" s="3">
        <v>5.5922179671165466</v>
      </c>
      <c r="BW840" s="3">
        <v>6.8255513004498809</v>
      </c>
      <c r="BX840" s="3">
        <v>6.6455513004498812</v>
      </c>
      <c r="BY840" s="3">
        <v>17.065551300449876</v>
      </c>
      <c r="BZ840" s="3">
        <v>26.395551300449881</v>
      </c>
      <c r="CA840" s="3">
        <v>11.59555130044987</v>
      </c>
      <c r="CB840" s="3">
        <v>7.9322179671165429</v>
      </c>
      <c r="CC840" s="3">
        <v>8.6455513004498741</v>
      </c>
      <c r="CD840" s="3">
        <v>8.1522179671165489</v>
      </c>
      <c r="CE840" s="3">
        <v>8.5455513004498727</v>
      </c>
      <c r="CF840" s="3">
        <v>-0.94111536621678837</v>
      </c>
      <c r="CG840" s="3">
        <v>-1.4744486995501198</v>
      </c>
      <c r="CH840" s="3">
        <v>-2.5511153662167878</v>
      </c>
      <c r="CI840" s="13">
        <f>[1]!dbasum(RecData[[#This Row],[20]:[2000]],RecData[[#Headers],[20]:[2000]])</f>
        <v>15.559660066938514</v>
      </c>
      <c r="CJ840" s="14">
        <v>9920</v>
      </c>
      <c r="CK840" s="15" t="s">
        <v>249</v>
      </c>
      <c r="CL840" s="15">
        <f>RecData[[#This Row],[Start Time]]</f>
        <v>43274.032638888886</v>
      </c>
      <c r="CM840" s="16">
        <f>RecData[[#This Row],[Wind Speed avg]]</f>
        <v>0.62</v>
      </c>
      <c r="CN840" s="16">
        <f>RecData[[#This Row],[Wind Dir. avg]]</f>
        <v>122.8</v>
      </c>
      <c r="CO840" s="16">
        <f>RecData[[#This Row],[Amb. Humidity]]</f>
        <v>80.400000000000006</v>
      </c>
      <c r="CP840" s="16">
        <f>RecData[[#This Row],[Amb. Temperature]]</f>
        <v>11.7</v>
      </c>
      <c r="CQ840" s="17">
        <f>RecData[[#This Row],[Amb. Rain Gauge]]</f>
        <v>0</v>
      </c>
      <c r="CR840" s="4" t="s">
        <v>50</v>
      </c>
      <c r="CS840" s="4" t="s">
        <v>49</v>
      </c>
      <c r="CT840" s="70">
        <v>-9.11602687835693</v>
      </c>
      <c r="CU840" s="70">
        <v>18.053661346435501</v>
      </c>
      <c r="CV840" s="70">
        <v>1.1323053836822501</v>
      </c>
      <c r="CW840" s="70">
        <v>0</v>
      </c>
      <c r="CX840" s="109"/>
      <c r="CY840" s="110"/>
      <c r="CZ840" s="2" t="b">
        <f>IF($DP$1="YES",IF(RecData[[#This Row],[Power (kW)]]&gt;=$CR$3, TRUE,FALSE),TRUE)</f>
        <v>0</v>
      </c>
      <c r="DA840" s="16">
        <f>MIN(MOD(180-ABS(ABS($DA$1-RecData[Yaw Angle (°)])-180),360),MOD(180-ABS(ABS($DB$1-RecData[Yaw Angle (°)])-180),360))</f>
        <v>10.523734568747955</v>
      </c>
      <c r="DB840" s="2" t="str">
        <f>IF($DP$2="None","None",IF(RecData[[#This Row],[Relative Wind Direction]]&lt;=45,"DW",IF(RecData[[#This Row],[Relative Wind Direction]]&lt;=135,"CW","UW")))</f>
        <v>DW</v>
      </c>
      <c r="DC840" s="61">
        <f>IF($CL840-$CL839&gt;1/24,#REF!,IF(SUM($CQ839:$CQ840)&gt;$DS$1,$DS$5,DC841-1))</f>
        <v>-9</v>
      </c>
      <c r="DD840" s="61">
        <f>IF($CL841-$CL840&gt;1/24,#REF!,IF(SUM($CQ839:$CQ840)&gt;$DS$1,$DS$6,DD839-1))</f>
        <v>-2</v>
      </c>
      <c r="DE840" s="18" t="b">
        <v>0</v>
      </c>
      <c r="DF840" s="2" t="b">
        <f>IF(OR(RecData[[#This Row],[WSpd_Avg '[m/s']]]-RecData[[#This Row],[Wind Speed min]]&gt;=$DF$3,RecData[[#This Row],[Wind Speed max]]-RecData[[#This Row],[WSpd_Avg '[m/s']]]&gt;=$DF$2),TRUE,FALSE)</f>
        <v>0</v>
      </c>
      <c r="DG840" s="2" t="b">
        <f>RecData[[#This Row],[Temperature '[°C']]]&lt;=-20</f>
        <v>0</v>
      </c>
      <c r="DH840" s="18" t="b">
        <f>NOT(OR(MOD(RecData[[#This Row],[TIMESTAMP]],1)&gt;0.91632,MOD(RecData[[#This Row],[TIMESTAMP]],1)&lt;0.208681))</f>
        <v>0</v>
      </c>
      <c r="DI840" s="18" t="b">
        <f>RecData[[#This Row],[Overall (dBA)]]-RecData[[#This Row],[L90]]&gt;=$DS$4</f>
        <v>0</v>
      </c>
      <c r="DJ840" s="18" t="b">
        <f>RecData[[#This Row],[Overall (dBA)]]&gt;$DS$2</f>
        <v>0</v>
      </c>
      <c r="DK840" s="18" t="b">
        <f>RecData[[#This Row],[Overall (dBA)]]&lt;$DS$3</f>
        <v>0</v>
      </c>
      <c r="DL8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0" s="2">
        <f>IF(AND(RecData[[#This Row],[Turbines ON/OFF]] = "OFF", NOT(OR(RecData[[#This Row],[Junk?]]="YES",RecData[[#This Row],[Gust?]],RecData[[#This Row],[Rain?]:[Min SPL Threshold?]]))),1,0)</f>
        <v>1</v>
      </c>
      <c r="DN840" s="16">
        <f>RecData[[#This Row],[dBA Sum]]</f>
        <v>15.559660066938514</v>
      </c>
      <c r="DO840" s="16">
        <f>RecData[[#This Row],[LAF90.0]]</f>
        <v>19.8</v>
      </c>
      <c r="DP840" s="55" t="str">
        <f>IF(AND(RecData[[#This Row],[Useable TON Data?]],RecData[[#This Row],[Turbines ON/OFF]]="ON"),RecData[[#This Row],[dBA Sum]],"")</f>
        <v/>
      </c>
      <c r="DQ840" s="55">
        <f>IF(AND(RecData[[#This Row],[Useable Background Data?]],RecData[[#This Row],[Turbines ON/OFF]]="OFF"),RecData[[#This Row],[dBA Sum]],"")</f>
        <v>15.559660066938514</v>
      </c>
      <c r="DR840" s="3">
        <f>IF(OR(RecData[[#This Row],[Useable TON Data?]],RecData[[#This Row],[Useable Background Data?]]),ROUND(RecData[[#This Row],[WSpd_Avg '[m/s']]],0),"")</f>
        <v>1</v>
      </c>
      <c r="DS840" s="85">
        <f>(0.00002)^2*(10^(RecData[[#This Row],[Overall (dBA)]]/10))</f>
        <v>1.4388847111403591E-8</v>
      </c>
    </row>
    <row r="841" spans="1:123" ht="15" x14ac:dyDescent="0.25">
      <c r="A841" s="3" t="s">
        <v>249</v>
      </c>
      <c r="B841" s="12">
        <v>43274.033333333333</v>
      </c>
      <c r="C841" s="3"/>
      <c r="D841" s="3">
        <v>28.4</v>
      </c>
      <c r="E841" s="3"/>
      <c r="F841" s="3"/>
      <c r="G841" s="3"/>
      <c r="H841" s="3"/>
      <c r="I841" s="3"/>
      <c r="J841" s="3"/>
      <c r="K841" s="3">
        <v>19.600000000000001</v>
      </c>
      <c r="L841" s="3"/>
      <c r="M841" s="3"/>
      <c r="N841" s="3">
        <v>126.4</v>
      </c>
      <c r="O841" s="3"/>
      <c r="P841" s="3"/>
      <c r="Q841" s="3">
        <v>0.62</v>
      </c>
      <c r="R841" s="3">
        <v>0.5</v>
      </c>
      <c r="S841" s="3">
        <v>0.7</v>
      </c>
      <c r="T841" s="3">
        <v>11.6</v>
      </c>
      <c r="U841" s="3">
        <v>80.599999999999994</v>
      </c>
      <c r="V841" s="3">
        <v>967.4</v>
      </c>
      <c r="W841" s="3">
        <v>0</v>
      </c>
      <c r="X841" s="3">
        <v>17.899999999999999</v>
      </c>
      <c r="Y841" s="3">
        <v>14.5</v>
      </c>
      <c r="Z841" s="3">
        <v>17.100000000000001</v>
      </c>
      <c r="AA841" s="3">
        <v>8.6999999999999993</v>
      </c>
      <c r="AB841" s="3">
        <v>7.2</v>
      </c>
      <c r="AC841" s="3">
        <v>5.7</v>
      </c>
      <c r="AD841" s="3">
        <v>4.7</v>
      </c>
      <c r="AE841" s="3">
        <v>5.8</v>
      </c>
      <c r="AF841" s="3">
        <v>11.6</v>
      </c>
      <c r="AG841" s="3">
        <v>12.3</v>
      </c>
      <c r="AH841" s="3">
        <v>10</v>
      </c>
      <c r="AI841" s="3">
        <v>8.9</v>
      </c>
      <c r="AJ841" s="3">
        <v>10.4</v>
      </c>
      <c r="AK841" s="3">
        <v>9.8000000000000007</v>
      </c>
      <c r="AL841" s="3">
        <v>6.8</v>
      </c>
      <c r="AM841" s="3">
        <v>5.9</v>
      </c>
      <c r="AN841" s="3">
        <v>6.1</v>
      </c>
      <c r="AO841" s="3">
        <v>6.2</v>
      </c>
      <c r="AP841" s="3">
        <v>5.7</v>
      </c>
      <c r="AQ841" s="3">
        <v>6.1</v>
      </c>
      <c r="AR841" s="3">
        <v>6.3</v>
      </c>
      <c r="AS841" s="3">
        <v>11.6</v>
      </c>
      <c r="AT841" s="3">
        <v>26.6</v>
      </c>
      <c r="AU841" s="3">
        <v>10.1</v>
      </c>
      <c r="AV841" s="3">
        <v>8.1</v>
      </c>
      <c r="AW841" s="3">
        <v>8.6</v>
      </c>
      <c r="AX841" s="3">
        <v>8.8000000000000007</v>
      </c>
      <c r="AY841" s="3">
        <v>9.1</v>
      </c>
      <c r="AZ841" s="3">
        <v>0</v>
      </c>
      <c r="BA841" s="3">
        <v>0</v>
      </c>
      <c r="BB841" s="3">
        <v>0</v>
      </c>
      <c r="BC841" s="3">
        <v>28.420347784731813</v>
      </c>
      <c r="BD841" s="3">
        <v>17.879652215268184</v>
      </c>
      <c r="BE841" s="3">
        <v>14.479652215268185</v>
      </c>
      <c r="BF841" s="3">
        <v>15.839652215268185</v>
      </c>
      <c r="BG841" s="3">
        <v>7.766318881934847</v>
      </c>
      <c r="BH841" s="3">
        <v>6.4063188819348547</v>
      </c>
      <c r="BI841" s="3">
        <v>5.3196522152681887</v>
      </c>
      <c r="BJ841" s="3">
        <v>5.1129855486015181</v>
      </c>
      <c r="BK841" s="3">
        <v>6.0863188819348473</v>
      </c>
      <c r="BL841" s="3">
        <v>11.459652215268182</v>
      </c>
      <c r="BM841" s="3">
        <v>12.292985548601525</v>
      </c>
      <c r="BN841" s="3">
        <v>10.276318881934852</v>
      </c>
      <c r="BO841" s="3">
        <v>8.5429855486015249</v>
      </c>
      <c r="BP841" s="3">
        <v>9.7596522152681864</v>
      </c>
      <c r="BQ841" s="3">
        <v>9.5763188819348422</v>
      </c>
      <c r="BR841" s="3">
        <v>6.9029855486015173</v>
      </c>
      <c r="BS841" s="3">
        <v>5.8063188819348532</v>
      </c>
      <c r="BT841" s="3">
        <v>6.2029855486015215</v>
      </c>
      <c r="BU841" s="3">
        <v>6.2696522152681915</v>
      </c>
      <c r="BV841" s="3">
        <v>5.486318881934853</v>
      </c>
      <c r="BW841" s="3">
        <v>6.4196522152681901</v>
      </c>
      <c r="BX841" s="3">
        <v>6.5396522152681875</v>
      </c>
      <c r="BY841" s="3">
        <v>11.659652215268185</v>
      </c>
      <c r="BZ841" s="3">
        <v>26.789652215268195</v>
      </c>
      <c r="CA841" s="3">
        <v>10.389652215268175</v>
      </c>
      <c r="CB841" s="3">
        <v>7.8263188819348493</v>
      </c>
      <c r="CC841" s="3">
        <v>8.5396522152681804</v>
      </c>
      <c r="CD841" s="3">
        <v>8.0463188819348552</v>
      </c>
      <c r="CE841" s="3">
        <v>8.5396522152681804</v>
      </c>
      <c r="CF841" s="3">
        <v>-0.94701445139848062</v>
      </c>
      <c r="CG841" s="3">
        <v>-1.4803477847318121</v>
      </c>
      <c r="CH841" s="3">
        <v>-2.55701445139848</v>
      </c>
      <c r="CI841" s="13">
        <f>[1]!dbasum(RecData[[#This Row],[20]:[2000]],RecData[[#Headers],[20]:[2000]])</f>
        <v>15.573770177600322</v>
      </c>
      <c r="CJ841" s="14">
        <v>9921</v>
      </c>
      <c r="CK841" s="15" t="s">
        <v>249</v>
      </c>
      <c r="CL841" s="15">
        <f>RecData[[#This Row],[Start Time]]</f>
        <v>43274.033333333333</v>
      </c>
      <c r="CM841" s="16">
        <f>RecData[[#This Row],[Wind Speed avg]]</f>
        <v>0.62</v>
      </c>
      <c r="CN841" s="16">
        <f>RecData[[#This Row],[Wind Dir. avg]]</f>
        <v>126.4</v>
      </c>
      <c r="CO841" s="16">
        <f>RecData[[#This Row],[Amb. Humidity]]</f>
        <v>80.599999999999994</v>
      </c>
      <c r="CP841" s="16">
        <f>RecData[[#This Row],[Amb. Temperature]]</f>
        <v>11.6</v>
      </c>
      <c r="CQ841" s="17">
        <f>RecData[[#This Row],[Amb. Rain Gauge]]</f>
        <v>0</v>
      </c>
      <c r="CR841" s="4" t="s">
        <v>50</v>
      </c>
      <c r="CS841" s="4" t="s">
        <v>49</v>
      </c>
      <c r="CT841" s="70">
        <v>-9.11602687835693</v>
      </c>
      <c r="CU841" s="70">
        <v>18.053661346435501</v>
      </c>
      <c r="CV841" s="70">
        <v>1.1323053836822501</v>
      </c>
      <c r="CW841" s="70">
        <v>0</v>
      </c>
      <c r="CX841" s="109"/>
      <c r="CY841" s="110"/>
      <c r="CZ841" s="2" t="b">
        <f>IF($DP$1="YES",IF(RecData[[#This Row],[Power (kW)]]&gt;=$CR$3, TRUE,FALSE),TRUE)</f>
        <v>0</v>
      </c>
      <c r="DA841" s="16">
        <f>MIN(MOD(180-ABS(ABS($DA$1-RecData[Yaw Angle (°)])-180),360),MOD(180-ABS(ABS($DB$1-RecData[Yaw Angle (°)])-180),360))</f>
        <v>10.523734568747955</v>
      </c>
      <c r="DB841" s="2" t="str">
        <f>IF($DP$2="None","None",IF(RecData[[#This Row],[Relative Wind Direction]]&lt;=45,"DW",IF(RecData[[#This Row],[Relative Wind Direction]]&lt;=135,"CW","UW")))</f>
        <v>DW</v>
      </c>
      <c r="DC841" s="61">
        <f>IF($CL841-$CL839&gt;1/24,#REF!,IF(SUM($CQ839:$CQ841)&gt;$DS$1,$DS$5,DC842-1))</f>
        <v>-8</v>
      </c>
      <c r="DD841" s="61">
        <f>IF($CL842-$CL841&gt;1/24,#REF!,IF(SUM($CQ839:$CQ841)&gt;$DS$1,$DS$6,DD840-1))</f>
        <v>-3</v>
      </c>
      <c r="DE841" s="18" t="b">
        <v>0</v>
      </c>
      <c r="DF841" s="2" t="b">
        <f>IF(OR(RecData[[#This Row],[WSpd_Avg '[m/s']]]-RecData[[#This Row],[Wind Speed min]]&gt;=$DF$3,RecData[[#This Row],[Wind Speed max]]-RecData[[#This Row],[WSpd_Avg '[m/s']]]&gt;=$DF$2),TRUE,FALSE)</f>
        <v>0</v>
      </c>
      <c r="DG841" s="2" t="b">
        <f>RecData[[#This Row],[Temperature '[°C']]]&lt;=-20</f>
        <v>0</v>
      </c>
      <c r="DH841" s="18" t="b">
        <f>NOT(OR(MOD(RecData[[#This Row],[TIMESTAMP]],1)&gt;0.91632,MOD(RecData[[#This Row],[TIMESTAMP]],1)&lt;0.208681))</f>
        <v>0</v>
      </c>
      <c r="DI841" s="18" t="b">
        <f>RecData[[#This Row],[Overall (dBA)]]-RecData[[#This Row],[L90]]&gt;=$DS$4</f>
        <v>0</v>
      </c>
      <c r="DJ841" s="18" t="b">
        <f>RecData[[#This Row],[Overall (dBA)]]&gt;$DS$2</f>
        <v>0</v>
      </c>
      <c r="DK841" s="18" t="b">
        <f>RecData[[#This Row],[Overall (dBA)]]&lt;$DS$3</f>
        <v>0</v>
      </c>
      <c r="DL8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1" s="2">
        <f>IF(AND(RecData[[#This Row],[Turbines ON/OFF]] = "OFF", NOT(OR(RecData[[#This Row],[Junk?]]="YES",RecData[[#This Row],[Gust?]],RecData[[#This Row],[Rain?]:[Min SPL Threshold?]]))),1,0)</f>
        <v>1</v>
      </c>
      <c r="DN841" s="16">
        <f>RecData[[#This Row],[dBA Sum]]</f>
        <v>15.573770177600322</v>
      </c>
      <c r="DO841" s="16">
        <f>RecData[[#This Row],[LAF90.0]]</f>
        <v>19.600000000000001</v>
      </c>
      <c r="DP841" s="55" t="str">
        <f>IF(AND(RecData[[#This Row],[Useable TON Data?]],RecData[[#This Row],[Turbines ON/OFF]]="ON"),RecData[[#This Row],[dBA Sum]],"")</f>
        <v/>
      </c>
      <c r="DQ841" s="55">
        <f>IF(AND(RecData[[#This Row],[Useable Background Data?]],RecData[[#This Row],[Turbines ON/OFF]]="OFF"),RecData[[#This Row],[dBA Sum]],"")</f>
        <v>15.573770177600322</v>
      </c>
      <c r="DR841" s="3">
        <f>IF(OR(RecData[[#This Row],[Useable TON Data?]],RecData[[#This Row],[Useable Background Data?]]),ROUND(RecData[[#This Row],[WSpd_Avg '[m/s']]],0),"")</f>
        <v>1</v>
      </c>
      <c r="DS841" s="85">
        <f>(0.00002)^2*(10^(RecData[[#This Row],[Overall (dBA)]]/10))</f>
        <v>1.4435672113241227E-8</v>
      </c>
    </row>
    <row r="842" spans="1:123" ht="15" x14ac:dyDescent="0.25">
      <c r="A842" s="3" t="s">
        <v>249</v>
      </c>
      <c r="B842" s="12">
        <v>43274.03402777778</v>
      </c>
      <c r="C842" s="3"/>
      <c r="D842" s="3">
        <v>31.1</v>
      </c>
      <c r="E842" s="3"/>
      <c r="F842" s="3"/>
      <c r="G842" s="3"/>
      <c r="H842" s="3"/>
      <c r="I842" s="3"/>
      <c r="J842" s="3"/>
      <c r="K842" s="3">
        <v>19.2</v>
      </c>
      <c r="L842" s="3"/>
      <c r="M842" s="3"/>
      <c r="N842" s="3">
        <v>142</v>
      </c>
      <c r="O842" s="3"/>
      <c r="P842" s="3"/>
      <c r="Q842" s="3">
        <v>0.56999999999999995</v>
      </c>
      <c r="R842" s="3">
        <v>0.4</v>
      </c>
      <c r="S842" s="3">
        <v>0.7</v>
      </c>
      <c r="T842" s="3">
        <v>11.6</v>
      </c>
      <c r="U842" s="3">
        <v>79.400000000000006</v>
      </c>
      <c r="V842" s="3">
        <v>967.4</v>
      </c>
      <c r="W842" s="3">
        <v>0</v>
      </c>
      <c r="X842" s="3">
        <v>18.3</v>
      </c>
      <c r="Y842" s="3">
        <v>14.1</v>
      </c>
      <c r="Z842" s="3">
        <v>15.1</v>
      </c>
      <c r="AA842" s="3">
        <v>9.5</v>
      </c>
      <c r="AB842" s="3">
        <v>7.3</v>
      </c>
      <c r="AC842" s="3">
        <v>6.3</v>
      </c>
      <c r="AD842" s="3">
        <v>4.7</v>
      </c>
      <c r="AE842" s="3">
        <v>5.9</v>
      </c>
      <c r="AF842" s="3">
        <v>11.3</v>
      </c>
      <c r="AG842" s="3">
        <v>12.5</v>
      </c>
      <c r="AH842" s="3">
        <v>10.3</v>
      </c>
      <c r="AI842" s="3">
        <v>8</v>
      </c>
      <c r="AJ842" s="3">
        <v>10.3</v>
      </c>
      <c r="AK842" s="3">
        <v>9.3000000000000007</v>
      </c>
      <c r="AL842" s="3">
        <v>6.9</v>
      </c>
      <c r="AM842" s="3">
        <v>6.1</v>
      </c>
      <c r="AN842" s="3">
        <v>6.2</v>
      </c>
      <c r="AO842" s="3">
        <v>5.9</v>
      </c>
      <c r="AP842" s="3">
        <v>5.9</v>
      </c>
      <c r="AQ842" s="3">
        <v>6.5</v>
      </c>
      <c r="AR842" s="3">
        <v>6.2</v>
      </c>
      <c r="AS842" s="3">
        <v>14.4</v>
      </c>
      <c r="AT842" s="3">
        <v>29.5</v>
      </c>
      <c r="AU842" s="3">
        <v>11.7</v>
      </c>
      <c r="AV842" s="3">
        <v>8.1</v>
      </c>
      <c r="AW842" s="3">
        <v>8.6</v>
      </c>
      <c r="AX842" s="3">
        <v>8.9</v>
      </c>
      <c r="AY842" s="3">
        <v>9.1</v>
      </c>
      <c r="AZ842" s="3">
        <v>0</v>
      </c>
      <c r="BA842" s="3">
        <v>0</v>
      </c>
      <c r="BB842" s="3">
        <v>0</v>
      </c>
      <c r="BC842" s="3">
        <v>31.107436657570474</v>
      </c>
      <c r="BD842" s="3">
        <v>18.292563342429531</v>
      </c>
      <c r="BE842" s="3">
        <v>14.092563342429528</v>
      </c>
      <c r="BF842" s="3">
        <v>13.852563342429526</v>
      </c>
      <c r="BG842" s="3">
        <v>8.579230009096193</v>
      </c>
      <c r="BH842" s="3">
        <v>6.5192300090961979</v>
      </c>
      <c r="BI842" s="3">
        <v>5.9325633424295248</v>
      </c>
      <c r="BJ842" s="3">
        <v>5.1258966757628599</v>
      </c>
      <c r="BK842" s="3">
        <v>6.1992300090961905</v>
      </c>
      <c r="BL842" s="3">
        <v>11.172563342429527</v>
      </c>
      <c r="BM842" s="3">
        <v>12.505896675762862</v>
      </c>
      <c r="BN842" s="3">
        <v>10.589230009096198</v>
      </c>
      <c r="BO842" s="3">
        <v>7.655896675762861</v>
      </c>
      <c r="BP842" s="3">
        <v>9.6725633424295268</v>
      </c>
      <c r="BQ842" s="3">
        <v>9.0892300090961839</v>
      </c>
      <c r="BR842" s="3">
        <v>7.0158966757628605</v>
      </c>
      <c r="BS842" s="3">
        <v>6.0192300090961908</v>
      </c>
      <c r="BT842" s="3">
        <v>6.3158966757628647</v>
      </c>
      <c r="BU842" s="3">
        <v>5.982563342429529</v>
      </c>
      <c r="BV842" s="3">
        <v>5.6992300090961976</v>
      </c>
      <c r="BW842" s="3">
        <v>6.8325633424295305</v>
      </c>
      <c r="BX842" s="3">
        <v>6.452563342429535</v>
      </c>
      <c r="BY842" s="3">
        <v>14.472563342429524</v>
      </c>
      <c r="BZ842" s="3">
        <v>29.702563342429528</v>
      </c>
      <c r="CA842" s="3">
        <v>12.002563342429518</v>
      </c>
      <c r="CB842" s="3">
        <v>7.8392300090961911</v>
      </c>
      <c r="CC842" s="3">
        <v>8.5525633424295222</v>
      </c>
      <c r="CD842" s="3">
        <v>8.1592300090961984</v>
      </c>
      <c r="CE842" s="3">
        <v>8.5525633424295222</v>
      </c>
      <c r="CF842" s="3">
        <v>-0.93410332423713882</v>
      </c>
      <c r="CG842" s="3">
        <v>-1.4674366575704703</v>
      </c>
      <c r="CH842" s="3">
        <v>-2.5441033242371383</v>
      </c>
      <c r="CI842" s="13">
        <f>[1]!dbasum(RecData[[#This Row],[20]:[2000]],RecData[[#Headers],[20]:[2000]])</f>
        <v>15.595951654546647</v>
      </c>
      <c r="CJ842" s="14">
        <v>9922</v>
      </c>
      <c r="CK842" s="15" t="s">
        <v>249</v>
      </c>
      <c r="CL842" s="15">
        <f>RecData[[#This Row],[Start Time]]</f>
        <v>43274.03402777778</v>
      </c>
      <c r="CM842" s="16">
        <f>RecData[[#This Row],[Wind Speed avg]]</f>
        <v>0.56999999999999995</v>
      </c>
      <c r="CN842" s="16">
        <f>RecData[[#This Row],[Wind Dir. avg]]</f>
        <v>142</v>
      </c>
      <c r="CO842" s="16">
        <f>RecData[[#This Row],[Amb. Humidity]]</f>
        <v>79.400000000000006</v>
      </c>
      <c r="CP842" s="16">
        <f>RecData[[#This Row],[Amb. Temperature]]</f>
        <v>11.6</v>
      </c>
      <c r="CQ842" s="17">
        <f>RecData[[#This Row],[Amb. Rain Gauge]]</f>
        <v>0</v>
      </c>
      <c r="CR842" s="4" t="s">
        <v>50</v>
      </c>
      <c r="CS842" s="4" t="s">
        <v>49</v>
      </c>
      <c r="CT842" s="70">
        <v>-9.11602687835693</v>
      </c>
      <c r="CU842" s="70">
        <v>18.053661346435501</v>
      </c>
      <c r="CV842" s="70">
        <v>1.1323053836822501</v>
      </c>
      <c r="CW842" s="70">
        <v>0</v>
      </c>
      <c r="CX842" s="109"/>
      <c r="CY842" s="110"/>
      <c r="CZ842" s="2" t="b">
        <f>IF($DP$1="YES",IF(RecData[[#This Row],[Power (kW)]]&gt;=$CR$3, TRUE,FALSE),TRUE)</f>
        <v>0</v>
      </c>
      <c r="DA842" s="16">
        <f>MIN(MOD(180-ABS(ABS($DA$1-RecData[Yaw Angle (°)])-180),360),MOD(180-ABS(ABS($DB$1-RecData[Yaw Angle (°)])-180),360))</f>
        <v>10.523734568747955</v>
      </c>
      <c r="DB842" s="2" t="str">
        <f>IF($DP$2="None","None",IF(RecData[[#This Row],[Relative Wind Direction]]&lt;=45,"DW",IF(RecData[[#This Row],[Relative Wind Direction]]&lt;=135,"CW","UW")))</f>
        <v>DW</v>
      </c>
      <c r="DC842" s="61">
        <f>IF($CL842-$CL839&gt;1/24,#REF!,IF(SUM($CQ839:$CQ842)&gt;$DS$1,$DS$5,DC843-1))</f>
        <v>-7</v>
      </c>
      <c r="DD842" s="61">
        <f>IF($CL843-$CL842&gt;1/24,#REF!,IF(SUM($CQ839:$CQ842)&gt;$DS$1,$DS$6,DD841-1))</f>
        <v>-4</v>
      </c>
      <c r="DE842" s="18" t="b">
        <v>0</v>
      </c>
      <c r="DF842" s="2" t="b">
        <f>IF(OR(RecData[[#This Row],[WSpd_Avg '[m/s']]]-RecData[[#This Row],[Wind Speed min]]&gt;=$DF$3,RecData[[#This Row],[Wind Speed max]]-RecData[[#This Row],[WSpd_Avg '[m/s']]]&gt;=$DF$2),TRUE,FALSE)</f>
        <v>0</v>
      </c>
      <c r="DG842" s="2" t="b">
        <f>RecData[[#This Row],[Temperature '[°C']]]&lt;=-20</f>
        <v>0</v>
      </c>
      <c r="DH842" s="18" t="b">
        <f>NOT(OR(MOD(RecData[[#This Row],[TIMESTAMP]],1)&gt;0.91632,MOD(RecData[[#This Row],[TIMESTAMP]],1)&lt;0.208681))</f>
        <v>0</v>
      </c>
      <c r="DI842" s="18" t="b">
        <f>RecData[[#This Row],[Overall (dBA)]]-RecData[[#This Row],[L90]]&gt;=$DS$4</f>
        <v>0</v>
      </c>
      <c r="DJ842" s="18" t="b">
        <f>RecData[[#This Row],[Overall (dBA)]]&gt;$DS$2</f>
        <v>0</v>
      </c>
      <c r="DK842" s="18" t="b">
        <f>RecData[[#This Row],[Overall (dBA)]]&lt;$DS$3</f>
        <v>0</v>
      </c>
      <c r="DL8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2" s="2">
        <f>IF(AND(RecData[[#This Row],[Turbines ON/OFF]] = "OFF", NOT(OR(RecData[[#This Row],[Junk?]]="YES",RecData[[#This Row],[Gust?]],RecData[[#This Row],[Rain?]:[Min SPL Threshold?]]))),1,0)</f>
        <v>1</v>
      </c>
      <c r="DN842" s="16">
        <f>RecData[[#This Row],[dBA Sum]]</f>
        <v>15.595951654546647</v>
      </c>
      <c r="DO842" s="16">
        <f>RecData[[#This Row],[LAF90.0]]</f>
        <v>19.2</v>
      </c>
      <c r="DP842" s="55" t="str">
        <f>IF(AND(RecData[[#This Row],[Useable TON Data?]],RecData[[#This Row],[Turbines ON/OFF]]="ON"),RecData[[#This Row],[dBA Sum]],"")</f>
        <v/>
      </c>
      <c r="DQ842" s="55">
        <f>IF(AND(RecData[[#This Row],[Useable Background Data?]],RecData[[#This Row],[Turbines ON/OFF]]="OFF"),RecData[[#This Row],[dBA Sum]],"")</f>
        <v>15.595951654546647</v>
      </c>
      <c r="DR842" s="3">
        <f>IF(OR(RecData[[#This Row],[Useable TON Data?]],RecData[[#This Row],[Useable Background Data?]]),ROUND(RecData[[#This Row],[WSpd_Avg '[m/s']]],0),"")</f>
        <v>1</v>
      </c>
      <c r="DS842" s="85">
        <f>(0.00002)^2*(10^(RecData[[#This Row],[Overall (dBA)]]/10))</f>
        <v>1.4509590538093592E-8</v>
      </c>
    </row>
    <row r="843" spans="1:123" ht="15" x14ac:dyDescent="0.25">
      <c r="A843" s="3" t="s">
        <v>249</v>
      </c>
      <c r="B843" s="12">
        <v>43274.034722222219</v>
      </c>
      <c r="C843" s="3"/>
      <c r="D843" s="3">
        <v>28.7</v>
      </c>
      <c r="E843" s="3"/>
      <c r="F843" s="3"/>
      <c r="G843" s="3"/>
      <c r="H843" s="3"/>
      <c r="I843" s="3"/>
      <c r="J843" s="3"/>
      <c r="K843" s="3">
        <v>18.899999999999999</v>
      </c>
      <c r="L843" s="3"/>
      <c r="M843" s="3"/>
      <c r="N843" s="3">
        <v>151.30000000000001</v>
      </c>
      <c r="O843" s="3"/>
      <c r="P843" s="3"/>
      <c r="Q843" s="3">
        <v>0.51</v>
      </c>
      <c r="R843" s="3">
        <v>0.4</v>
      </c>
      <c r="S843" s="3">
        <v>0.6</v>
      </c>
      <c r="T843" s="3">
        <v>11.6</v>
      </c>
      <c r="U843" s="3">
        <v>79.3</v>
      </c>
      <c r="V843" s="3">
        <v>967.4</v>
      </c>
      <c r="W843" s="3">
        <v>0</v>
      </c>
      <c r="X843" s="3">
        <v>19.600000000000001</v>
      </c>
      <c r="Y843" s="3">
        <v>15.9</v>
      </c>
      <c r="Z843" s="3">
        <v>16.8</v>
      </c>
      <c r="AA843" s="3">
        <v>9.1999999999999993</v>
      </c>
      <c r="AB843" s="3">
        <v>6.6</v>
      </c>
      <c r="AC843" s="3">
        <v>6.8</v>
      </c>
      <c r="AD843" s="3">
        <v>5.0999999999999996</v>
      </c>
      <c r="AE843" s="3">
        <v>5.8</v>
      </c>
      <c r="AF843" s="3">
        <v>11.4</v>
      </c>
      <c r="AG843" s="3">
        <v>8.8000000000000007</v>
      </c>
      <c r="AH843" s="3">
        <v>8</v>
      </c>
      <c r="AI843" s="3">
        <v>7.5</v>
      </c>
      <c r="AJ843" s="3">
        <v>8.6</v>
      </c>
      <c r="AK843" s="3">
        <v>8.1</v>
      </c>
      <c r="AL843" s="3">
        <v>6.3</v>
      </c>
      <c r="AM843" s="3">
        <v>5.6</v>
      </c>
      <c r="AN843" s="3">
        <v>6</v>
      </c>
      <c r="AO843" s="3">
        <v>6</v>
      </c>
      <c r="AP843" s="3">
        <v>5.7</v>
      </c>
      <c r="AQ843" s="3">
        <v>6</v>
      </c>
      <c r="AR843" s="3">
        <v>6</v>
      </c>
      <c r="AS843" s="3">
        <v>14.2</v>
      </c>
      <c r="AT843" s="3">
        <v>26.9</v>
      </c>
      <c r="AU843" s="3">
        <v>8.4</v>
      </c>
      <c r="AV843" s="3">
        <v>8</v>
      </c>
      <c r="AW843" s="3">
        <v>8.6</v>
      </c>
      <c r="AX843" s="3">
        <v>8.8000000000000007</v>
      </c>
      <c r="AY843" s="3">
        <v>9.1</v>
      </c>
      <c r="AZ843" s="3">
        <v>0</v>
      </c>
      <c r="BA843" s="3">
        <v>0</v>
      </c>
      <c r="BB843" s="3">
        <v>0</v>
      </c>
      <c r="BC843" s="3">
        <v>28.725392985690839</v>
      </c>
      <c r="BD843" s="3">
        <v>19.574607014309159</v>
      </c>
      <c r="BE843" s="3">
        <v>15.874607014309163</v>
      </c>
      <c r="BF843" s="3">
        <v>15.534607014309159</v>
      </c>
      <c r="BG843" s="3">
        <v>8.261273680975826</v>
      </c>
      <c r="BH843" s="3">
        <v>5.8012736809758323</v>
      </c>
      <c r="BI843" s="3">
        <v>6.414607014309162</v>
      </c>
      <c r="BJ843" s="3">
        <v>5.5079403476424957</v>
      </c>
      <c r="BK843" s="3">
        <v>6.0812736809758192</v>
      </c>
      <c r="BL843" s="3">
        <v>11.254607014309165</v>
      </c>
      <c r="BM843" s="3">
        <v>8.7879403476424969</v>
      </c>
      <c r="BN843" s="3">
        <v>8.2712736809758312</v>
      </c>
      <c r="BO843" s="3">
        <v>7.1379403476424983</v>
      </c>
      <c r="BP843" s="3">
        <v>7.9546070143091612</v>
      </c>
      <c r="BQ843" s="3">
        <v>7.8712736809758184</v>
      </c>
      <c r="BR843" s="3">
        <v>6.3979403476424963</v>
      </c>
      <c r="BS843" s="3">
        <v>5.501273680975828</v>
      </c>
      <c r="BT843" s="3">
        <v>6.0979403476424991</v>
      </c>
      <c r="BU843" s="3">
        <v>6.0646070143091677</v>
      </c>
      <c r="BV843" s="3">
        <v>5.4812736809758249</v>
      </c>
      <c r="BW843" s="3">
        <v>6.3146070143091677</v>
      </c>
      <c r="BX843" s="3">
        <v>6.2346070143091694</v>
      </c>
      <c r="BY843" s="3">
        <v>14.254607014309158</v>
      </c>
      <c r="BZ843" s="3">
        <v>27.084607014309164</v>
      </c>
      <c r="CA843" s="3">
        <v>8.684607014309158</v>
      </c>
      <c r="CB843" s="3">
        <v>7.7212736809758269</v>
      </c>
      <c r="CC843" s="3">
        <v>8.5346070143091595</v>
      </c>
      <c r="CD843" s="3">
        <v>8.0412736809758343</v>
      </c>
      <c r="CE843" s="3">
        <v>8.5346070143091595</v>
      </c>
      <c r="CF843" s="3">
        <v>-0.95205965235750512</v>
      </c>
      <c r="CG843" s="3">
        <v>-1.4853929856908366</v>
      </c>
      <c r="CH843" s="3">
        <v>-2.5620596523575045</v>
      </c>
      <c r="CI843" s="13">
        <f>[1]!dbasum(RecData[[#This Row],[20]:[2000]],RecData[[#Headers],[20]:[2000]])</f>
        <v>15.068743918321818</v>
      </c>
      <c r="CJ843" s="14">
        <v>9923</v>
      </c>
      <c r="CK843" s="15" t="s">
        <v>249</v>
      </c>
      <c r="CL843" s="15">
        <f>RecData[[#This Row],[Start Time]]</f>
        <v>43274.034722222219</v>
      </c>
      <c r="CM843" s="16">
        <f>RecData[[#This Row],[Wind Speed avg]]</f>
        <v>0.51</v>
      </c>
      <c r="CN843" s="16">
        <f>RecData[[#This Row],[Wind Dir. avg]]</f>
        <v>151.30000000000001</v>
      </c>
      <c r="CO843" s="16">
        <f>RecData[[#This Row],[Amb. Humidity]]</f>
        <v>79.3</v>
      </c>
      <c r="CP843" s="16">
        <f>RecData[[#This Row],[Amb. Temperature]]</f>
        <v>11.6</v>
      </c>
      <c r="CQ843" s="17">
        <f>RecData[[#This Row],[Amb. Rain Gauge]]</f>
        <v>0</v>
      </c>
      <c r="CR843" s="4" t="s">
        <v>50</v>
      </c>
      <c r="CS843" s="4" t="s">
        <v>49</v>
      </c>
      <c r="CT843" s="70">
        <v>-9.11602687835693</v>
      </c>
      <c r="CU843" s="70">
        <v>18.053661346435501</v>
      </c>
      <c r="CV843" s="70">
        <v>1.1323053836822501</v>
      </c>
      <c r="CW843" s="70">
        <v>0</v>
      </c>
      <c r="CX843" s="109"/>
      <c r="CY843" s="110"/>
      <c r="CZ843" s="2" t="b">
        <f>IF($DP$1="YES",IF(RecData[[#This Row],[Power (kW)]]&gt;=$CR$3, TRUE,FALSE),TRUE)</f>
        <v>0</v>
      </c>
      <c r="DA843" s="16">
        <f>MIN(MOD(180-ABS(ABS($DA$1-RecData[Yaw Angle (°)])-180),360),MOD(180-ABS(ABS($DB$1-RecData[Yaw Angle (°)])-180),360))</f>
        <v>10.523734568747955</v>
      </c>
      <c r="DB843" s="2" t="str">
        <f>IF($DP$2="None","None",IF(RecData[[#This Row],[Relative Wind Direction]]&lt;=45,"DW",IF(RecData[[#This Row],[Relative Wind Direction]]&lt;=135,"CW","UW")))</f>
        <v>DW</v>
      </c>
      <c r="DC843" s="61">
        <f>IF($CL843-$CL839&gt;1/24,#REF!,IF(SUM($CQ839:$CQ843)&gt;$DS$1,$DS$5,DC844-1))</f>
        <v>-6</v>
      </c>
      <c r="DD843" s="61">
        <f>IF($CL844-$CL843&gt;1/24,#REF!,IF(SUM($CQ839:$CQ843)&gt;$DS$1,$DS$6,DD842-1))</f>
        <v>-5</v>
      </c>
      <c r="DE843" s="18" t="b">
        <v>0</v>
      </c>
      <c r="DF843" s="2" t="b">
        <f>IF(OR(RecData[[#This Row],[WSpd_Avg '[m/s']]]-RecData[[#This Row],[Wind Speed min]]&gt;=$DF$3,RecData[[#This Row],[Wind Speed max]]-RecData[[#This Row],[WSpd_Avg '[m/s']]]&gt;=$DF$2),TRUE,FALSE)</f>
        <v>0</v>
      </c>
      <c r="DG843" s="2" t="b">
        <f>RecData[[#This Row],[Temperature '[°C']]]&lt;=-20</f>
        <v>0</v>
      </c>
      <c r="DH843" s="18" t="b">
        <f>NOT(OR(MOD(RecData[[#This Row],[TIMESTAMP]],1)&gt;0.91632,MOD(RecData[[#This Row],[TIMESTAMP]],1)&lt;0.208681))</f>
        <v>0</v>
      </c>
      <c r="DI843" s="18" t="b">
        <f>RecData[[#This Row],[Overall (dBA)]]-RecData[[#This Row],[L90]]&gt;=$DS$4</f>
        <v>0</v>
      </c>
      <c r="DJ843" s="18" t="b">
        <f>RecData[[#This Row],[Overall (dBA)]]&gt;$DS$2</f>
        <v>0</v>
      </c>
      <c r="DK843" s="18" t="b">
        <f>RecData[[#This Row],[Overall (dBA)]]&lt;$DS$3</f>
        <v>0</v>
      </c>
      <c r="DL8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3" s="2">
        <f>IF(AND(RecData[[#This Row],[Turbines ON/OFF]] = "OFF", NOT(OR(RecData[[#This Row],[Junk?]]="YES",RecData[[#This Row],[Gust?]],RecData[[#This Row],[Rain?]:[Min SPL Threshold?]]))),1,0)</f>
        <v>1</v>
      </c>
      <c r="DN843" s="16">
        <f>RecData[[#This Row],[dBA Sum]]</f>
        <v>15.068743918321818</v>
      </c>
      <c r="DO843" s="16">
        <f>RecData[[#This Row],[LAF90.0]]</f>
        <v>18.899999999999999</v>
      </c>
      <c r="DP843" s="55" t="str">
        <f>IF(AND(RecData[[#This Row],[Useable TON Data?]],RecData[[#This Row],[Turbines ON/OFF]]="ON"),RecData[[#This Row],[dBA Sum]],"")</f>
        <v/>
      </c>
      <c r="DQ843" s="55">
        <f>IF(AND(RecData[[#This Row],[Useable Background Data?]],RecData[[#This Row],[Turbines ON/OFF]]="OFF"),RecData[[#This Row],[dBA Sum]],"")</f>
        <v>15.068743918321818</v>
      </c>
      <c r="DR843" s="3">
        <f>IF(OR(RecData[[#This Row],[Useable TON Data?]],RecData[[#This Row],[Useable Background Data?]]),ROUND(RecData[[#This Row],[WSpd_Avg '[m/s']]],0),"")</f>
        <v>1</v>
      </c>
      <c r="DS843" s="85">
        <f>(0.00002)^2*(10^(RecData[[#This Row],[Overall (dBA)]]/10))</f>
        <v>1.285092482762829E-8</v>
      </c>
    </row>
    <row r="844" spans="1:123" ht="15" x14ac:dyDescent="0.25">
      <c r="A844" s="3" t="s">
        <v>249</v>
      </c>
      <c r="B844" s="12">
        <v>43274.035416666666</v>
      </c>
      <c r="C844" s="3"/>
      <c r="D844" s="3">
        <v>30.3</v>
      </c>
      <c r="E844" s="3"/>
      <c r="F844" s="3"/>
      <c r="G844" s="3"/>
      <c r="H844" s="3"/>
      <c r="I844" s="3"/>
      <c r="J844" s="3"/>
      <c r="K844" s="3">
        <v>19.8</v>
      </c>
      <c r="L844" s="3"/>
      <c r="M844" s="3"/>
      <c r="N844" s="3">
        <v>151.6</v>
      </c>
      <c r="O844" s="3"/>
      <c r="P844" s="3"/>
      <c r="Q844" s="3">
        <v>0.43</v>
      </c>
      <c r="R844" s="3">
        <v>0.3</v>
      </c>
      <c r="S844" s="3">
        <v>0.5</v>
      </c>
      <c r="T844" s="3">
        <v>11.6</v>
      </c>
      <c r="U844" s="3">
        <v>79.400000000000006</v>
      </c>
      <c r="V844" s="3">
        <v>967.4</v>
      </c>
      <c r="W844" s="3">
        <v>0</v>
      </c>
      <c r="X844" s="3">
        <v>22.3</v>
      </c>
      <c r="Y844" s="3">
        <v>16.600000000000001</v>
      </c>
      <c r="Z844" s="3">
        <v>16.899999999999999</v>
      </c>
      <c r="AA844" s="3">
        <v>14.4</v>
      </c>
      <c r="AB844" s="3">
        <v>8.9</v>
      </c>
      <c r="AC844" s="3">
        <v>6.7</v>
      </c>
      <c r="AD844" s="3">
        <v>9.8000000000000007</v>
      </c>
      <c r="AE844" s="3">
        <v>8.8000000000000007</v>
      </c>
      <c r="AF844" s="3">
        <v>12.5</v>
      </c>
      <c r="AG844" s="3">
        <v>12.7</v>
      </c>
      <c r="AH844" s="3">
        <v>16.399999999999999</v>
      </c>
      <c r="AI844" s="3">
        <v>12.4</v>
      </c>
      <c r="AJ844" s="3">
        <v>11.9</v>
      </c>
      <c r="AK844" s="3">
        <v>13.8</v>
      </c>
      <c r="AL844" s="3">
        <v>12</v>
      </c>
      <c r="AM844" s="3">
        <v>19.7</v>
      </c>
      <c r="AN844" s="3">
        <v>14.9</v>
      </c>
      <c r="AO844" s="3">
        <v>16.600000000000001</v>
      </c>
      <c r="AP844" s="3">
        <v>13.4</v>
      </c>
      <c r="AQ844" s="3">
        <v>6.7</v>
      </c>
      <c r="AR844" s="3">
        <v>6.7</v>
      </c>
      <c r="AS844" s="3">
        <v>9.6999999999999993</v>
      </c>
      <c r="AT844" s="3">
        <v>27.9</v>
      </c>
      <c r="AU844" s="3">
        <v>11.4</v>
      </c>
      <c r="AV844" s="3">
        <v>8.1</v>
      </c>
      <c r="AW844" s="3">
        <v>8.6999999999999993</v>
      </c>
      <c r="AX844" s="3">
        <v>8.9</v>
      </c>
      <c r="AY844" s="3">
        <v>9.1</v>
      </c>
      <c r="AZ844" s="3">
        <v>0</v>
      </c>
      <c r="BA844" s="3">
        <v>0</v>
      </c>
      <c r="BB844" s="3">
        <v>0</v>
      </c>
      <c r="BC844" s="3">
        <v>30.260772856886192</v>
      </c>
      <c r="BD844" s="3">
        <v>22.33922714311381</v>
      </c>
      <c r="BE844" s="3">
        <v>16.639227143113814</v>
      </c>
      <c r="BF844" s="3">
        <v>15.699227143113809</v>
      </c>
      <c r="BG844" s="3">
        <v>13.52589380978047</v>
      </c>
      <c r="BH844" s="3">
        <v>8.1658938097804779</v>
      </c>
      <c r="BI844" s="3">
        <v>6.379227143113809</v>
      </c>
      <c r="BJ844" s="3">
        <v>10.27256047644714</v>
      </c>
      <c r="BK844" s="3">
        <v>9.1458938097804747</v>
      </c>
      <c r="BL844" s="3">
        <v>12.419227143113808</v>
      </c>
      <c r="BM844" s="3">
        <v>12.752560476447144</v>
      </c>
      <c r="BN844" s="3">
        <v>16.735893809780478</v>
      </c>
      <c r="BO844" s="3">
        <v>12.102560476447145</v>
      </c>
      <c r="BP844" s="3">
        <v>11.319227143113807</v>
      </c>
      <c r="BQ844" s="3">
        <v>13.63589380978047</v>
      </c>
      <c r="BR844" s="3">
        <v>12.16256047644714</v>
      </c>
      <c r="BS844" s="3">
        <v>19.665893809780471</v>
      </c>
      <c r="BT844" s="3">
        <v>15.062560476447146</v>
      </c>
      <c r="BU844" s="3">
        <v>16.729227143113818</v>
      </c>
      <c r="BV844" s="3">
        <v>13.245893809780476</v>
      </c>
      <c r="BW844" s="3">
        <v>7.0792271431138118</v>
      </c>
      <c r="BX844" s="3">
        <v>6.9992271431138136</v>
      </c>
      <c r="BY844" s="3">
        <v>9.8192271431138067</v>
      </c>
      <c r="BZ844" s="3">
        <v>28.149227143113812</v>
      </c>
      <c r="CA844" s="3">
        <v>11.749227143113799</v>
      </c>
      <c r="CB844" s="3">
        <v>7.8858938097804767</v>
      </c>
      <c r="CC844" s="3">
        <v>8.6992271431138093</v>
      </c>
      <c r="CD844" s="3">
        <v>8.205893809780477</v>
      </c>
      <c r="CE844" s="3">
        <v>8.5992271431138079</v>
      </c>
      <c r="CF844" s="3">
        <v>-0.88743952355285671</v>
      </c>
      <c r="CG844" s="3">
        <v>-1.4207728568861882</v>
      </c>
      <c r="CH844" s="3">
        <v>-2.4974395235528561</v>
      </c>
      <c r="CI844" s="13">
        <f>[1]!dbasum(RecData[[#This Row],[20]:[2000]],RecData[[#Headers],[20]:[2000]])</f>
        <v>22.931889195023402</v>
      </c>
      <c r="CJ844" s="14">
        <v>9924</v>
      </c>
      <c r="CK844" s="15" t="s">
        <v>249</v>
      </c>
      <c r="CL844" s="15">
        <f>RecData[[#This Row],[Start Time]]</f>
        <v>43274.035416666666</v>
      </c>
      <c r="CM844" s="16">
        <f>RecData[[#This Row],[Wind Speed avg]]</f>
        <v>0.43</v>
      </c>
      <c r="CN844" s="16">
        <f>RecData[[#This Row],[Wind Dir. avg]]</f>
        <v>151.6</v>
      </c>
      <c r="CO844" s="16">
        <f>RecData[[#This Row],[Amb. Humidity]]</f>
        <v>79.400000000000006</v>
      </c>
      <c r="CP844" s="16">
        <f>RecData[[#This Row],[Amb. Temperature]]</f>
        <v>11.6</v>
      </c>
      <c r="CQ844" s="17">
        <f>RecData[[#This Row],[Amb. Rain Gauge]]</f>
        <v>0</v>
      </c>
      <c r="CR844" s="4" t="s">
        <v>50</v>
      </c>
      <c r="CS844" s="4" t="s">
        <v>49</v>
      </c>
      <c r="CT844" s="70">
        <v>-9.1487293243408203</v>
      </c>
      <c r="CU844" s="70">
        <v>35.863548278808501</v>
      </c>
      <c r="CV844" s="70">
        <v>1.3439089059829701</v>
      </c>
      <c r="CW844" s="70">
        <v>0</v>
      </c>
      <c r="CX844" s="109"/>
      <c r="CY844" s="110"/>
      <c r="CZ844" s="2" t="b">
        <f>IF($DP$1="YES",IF(RecData[[#This Row],[Power (kW)]]&gt;=$CR$3, TRUE,FALSE),TRUE)</f>
        <v>0</v>
      </c>
      <c r="DA844" s="16">
        <f>MIN(MOD(180-ABS(ABS($DA$1-RecData[Yaw Angle (°)])-180),360),MOD(180-ABS(ABS($DB$1-RecData[Yaw Angle (°)])-180),360))</f>
        <v>28.333621501120945</v>
      </c>
      <c r="DB844" s="2" t="str">
        <f>IF($DP$2="None","None",IF(RecData[[#This Row],[Relative Wind Direction]]&lt;=45,"DW",IF(RecData[[#This Row],[Relative Wind Direction]]&lt;=135,"CW","UW")))</f>
        <v>DW</v>
      </c>
      <c r="DC844" s="61">
        <f>IF($CL844-$CL840&gt;1/24,#REF!,IF(SUM($CQ840:$CQ844)&gt;$DS$1,$DS$5,DC845-1))</f>
        <v>-5</v>
      </c>
      <c r="DD844" s="61">
        <f>IF($CL845-$CL844&gt;1/24,#REF!,IF(SUM($CQ840:$CQ844)&gt;$DS$1,$DS$6,DD843-1))</f>
        <v>-6</v>
      </c>
      <c r="DE844" s="18" t="b">
        <v>0</v>
      </c>
      <c r="DF844" s="2" t="b">
        <f>IF(OR(RecData[[#This Row],[WSpd_Avg '[m/s']]]-RecData[[#This Row],[Wind Speed min]]&gt;=$DF$3,RecData[[#This Row],[Wind Speed max]]-RecData[[#This Row],[WSpd_Avg '[m/s']]]&gt;=$DF$2),TRUE,FALSE)</f>
        <v>0</v>
      </c>
      <c r="DG844" s="2" t="b">
        <f>RecData[[#This Row],[Temperature '[°C']]]&lt;=-20</f>
        <v>0</v>
      </c>
      <c r="DH844" s="18" t="b">
        <f>NOT(OR(MOD(RecData[[#This Row],[TIMESTAMP]],1)&gt;0.91632,MOD(RecData[[#This Row],[TIMESTAMP]],1)&lt;0.208681))</f>
        <v>0</v>
      </c>
      <c r="DI844" s="18" t="b">
        <f>RecData[[#This Row],[Overall (dBA)]]-RecData[[#This Row],[L90]]&gt;=$DS$4</f>
        <v>0</v>
      </c>
      <c r="DJ844" s="18" t="b">
        <f>RecData[[#This Row],[Overall (dBA)]]&gt;$DS$2</f>
        <v>0</v>
      </c>
      <c r="DK844" s="18" t="b">
        <f>RecData[[#This Row],[Overall (dBA)]]&lt;$DS$3</f>
        <v>0</v>
      </c>
      <c r="DL8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4" s="2">
        <f>IF(AND(RecData[[#This Row],[Turbines ON/OFF]] = "OFF", NOT(OR(RecData[[#This Row],[Junk?]]="YES",RecData[[#This Row],[Gust?]],RecData[[#This Row],[Rain?]:[Min SPL Threshold?]]))),1,0)</f>
        <v>1</v>
      </c>
      <c r="DN844" s="16">
        <f>RecData[[#This Row],[dBA Sum]]</f>
        <v>22.931889195023402</v>
      </c>
      <c r="DO844" s="16">
        <f>RecData[[#This Row],[LAF90.0]]</f>
        <v>19.8</v>
      </c>
      <c r="DP844" s="55" t="str">
        <f>IF(AND(RecData[[#This Row],[Useable TON Data?]],RecData[[#This Row],[Turbines ON/OFF]]="ON"),RecData[[#This Row],[dBA Sum]],"")</f>
        <v/>
      </c>
      <c r="DQ844" s="55">
        <f>IF(AND(RecData[[#This Row],[Useable Background Data?]],RecData[[#This Row],[Turbines ON/OFF]]="OFF"),RecData[[#This Row],[dBA Sum]],"")</f>
        <v>22.931889195023402</v>
      </c>
      <c r="DR844" s="3">
        <f>IF(OR(RecData[[#This Row],[Useable TON Data?]],RecData[[#This Row],[Useable Background Data?]]),ROUND(RecData[[#This Row],[WSpd_Avg '[m/s']]],0),"")</f>
        <v>0</v>
      </c>
      <c r="DS844" s="85">
        <f>(0.00002)^2*(10^(RecData[[#This Row],[Overall (dBA)]]/10))</f>
        <v>7.8568581227439261E-8</v>
      </c>
    </row>
    <row r="845" spans="1:123" ht="15" x14ac:dyDescent="0.25">
      <c r="A845" s="3" t="s">
        <v>249</v>
      </c>
      <c r="B845" s="12">
        <v>43274.036111111112</v>
      </c>
      <c r="C845" s="3"/>
      <c r="D845" s="3">
        <v>29.4</v>
      </c>
      <c r="E845" s="3"/>
      <c r="F845" s="3"/>
      <c r="G845" s="3"/>
      <c r="H845" s="3"/>
      <c r="I845" s="3"/>
      <c r="J845" s="3"/>
      <c r="K845" s="3">
        <v>19.5</v>
      </c>
      <c r="L845" s="3"/>
      <c r="M845" s="3"/>
      <c r="N845" s="3">
        <v>160.9</v>
      </c>
      <c r="O845" s="3"/>
      <c r="P845" s="3"/>
      <c r="Q845" s="3">
        <v>0.3</v>
      </c>
      <c r="R845" s="3">
        <v>0.2</v>
      </c>
      <c r="S845" s="3">
        <v>0.4</v>
      </c>
      <c r="T845" s="3">
        <v>11.6</v>
      </c>
      <c r="U845" s="3">
        <v>80.2</v>
      </c>
      <c r="V845" s="3">
        <v>967.4</v>
      </c>
      <c r="W845" s="3">
        <v>0</v>
      </c>
      <c r="X845" s="3">
        <v>22.3</v>
      </c>
      <c r="Y845" s="3">
        <v>17.600000000000001</v>
      </c>
      <c r="Z845" s="3">
        <v>18.5</v>
      </c>
      <c r="AA845" s="3">
        <v>14.5</v>
      </c>
      <c r="AB845" s="3">
        <v>8</v>
      </c>
      <c r="AC845" s="3">
        <v>7.4</v>
      </c>
      <c r="AD845" s="3">
        <v>6.5</v>
      </c>
      <c r="AE845" s="3">
        <v>7.4</v>
      </c>
      <c r="AF845" s="3">
        <v>10.8</v>
      </c>
      <c r="AG845" s="3">
        <v>12</v>
      </c>
      <c r="AH845" s="3">
        <v>11.5</v>
      </c>
      <c r="AI845" s="3">
        <v>9.3000000000000007</v>
      </c>
      <c r="AJ845" s="3">
        <v>10.1</v>
      </c>
      <c r="AK845" s="3">
        <v>8.8000000000000007</v>
      </c>
      <c r="AL845" s="3">
        <v>7.4</v>
      </c>
      <c r="AM845" s="3">
        <v>8.6</v>
      </c>
      <c r="AN845" s="3">
        <v>10.199999999999999</v>
      </c>
      <c r="AO845" s="3">
        <v>8.6999999999999993</v>
      </c>
      <c r="AP845" s="3">
        <v>6.6</v>
      </c>
      <c r="AQ845" s="3">
        <v>6.2</v>
      </c>
      <c r="AR845" s="3">
        <v>6.2</v>
      </c>
      <c r="AS845" s="3">
        <v>12.7</v>
      </c>
      <c r="AT845" s="3">
        <v>27.7</v>
      </c>
      <c r="AU845" s="3">
        <v>8.9</v>
      </c>
      <c r="AV845" s="3">
        <v>8.1999999999999993</v>
      </c>
      <c r="AW845" s="3">
        <v>8.6999999999999993</v>
      </c>
      <c r="AX845" s="3">
        <v>8.9</v>
      </c>
      <c r="AY845" s="3">
        <v>9.1</v>
      </c>
      <c r="AZ845" s="3">
        <v>0</v>
      </c>
      <c r="BA845" s="3">
        <v>0</v>
      </c>
      <c r="BB845" s="3">
        <v>0</v>
      </c>
      <c r="BC845" s="3">
        <v>29.460716464513141</v>
      </c>
      <c r="BD845" s="3">
        <v>22.239283535486862</v>
      </c>
      <c r="BE845" s="3">
        <v>17.539283535486859</v>
      </c>
      <c r="BF845" s="3">
        <v>17.199283535486856</v>
      </c>
      <c r="BG845" s="3">
        <v>13.525950202153524</v>
      </c>
      <c r="BH845" s="3">
        <v>7.1659502021535246</v>
      </c>
      <c r="BI845" s="3">
        <v>6.9792835354868572</v>
      </c>
      <c r="BJ845" s="3">
        <v>6.8726168688201881</v>
      </c>
      <c r="BK845" s="3">
        <v>7.6459502021535215</v>
      </c>
      <c r="BL845" s="3">
        <v>10.619283535486858</v>
      </c>
      <c r="BM845" s="3">
        <v>11.952616868820193</v>
      </c>
      <c r="BN845" s="3">
        <v>11.735950202153525</v>
      </c>
      <c r="BO845" s="3">
        <v>8.9026168688201963</v>
      </c>
      <c r="BP845" s="3">
        <v>9.4192835354868549</v>
      </c>
      <c r="BQ845" s="3">
        <v>8.535950202153515</v>
      </c>
      <c r="BR845" s="3">
        <v>7.4626168688201915</v>
      </c>
      <c r="BS845" s="3">
        <v>8.4659502021535218</v>
      </c>
      <c r="BT845" s="3">
        <v>10.262616868820189</v>
      </c>
      <c r="BU845" s="3">
        <v>8.7292835354868572</v>
      </c>
      <c r="BV845" s="3">
        <v>6.3459502021535243</v>
      </c>
      <c r="BW845" s="3">
        <v>6.4792835354868643</v>
      </c>
      <c r="BX845" s="3">
        <v>6.399283535486866</v>
      </c>
      <c r="BY845" s="3">
        <v>12.719283535486852</v>
      </c>
      <c r="BZ845" s="3">
        <v>27.849283535486862</v>
      </c>
      <c r="CA845" s="3">
        <v>9.1492835354868518</v>
      </c>
      <c r="CB845" s="3">
        <v>7.8859502021535235</v>
      </c>
      <c r="CC845" s="3">
        <v>8.5992835354868546</v>
      </c>
      <c r="CD845" s="3">
        <v>8.1059502021535295</v>
      </c>
      <c r="CE845" s="3">
        <v>8.4992835354868532</v>
      </c>
      <c r="CF845" s="3">
        <v>-0.9873831311798078</v>
      </c>
      <c r="CG845" s="3">
        <v>-1.5207164645131392</v>
      </c>
      <c r="CH845" s="3">
        <v>-2.5973831311798072</v>
      </c>
      <c r="CI845" s="13">
        <f>[1]!dbasum(RecData[[#This Row],[20]:[2000]],RecData[[#Headers],[20]:[2000]])</f>
        <v>16.757965398262179</v>
      </c>
      <c r="CJ845" s="14">
        <v>9925</v>
      </c>
      <c r="CK845" s="15" t="s">
        <v>249</v>
      </c>
      <c r="CL845" s="15">
        <f>RecData[[#This Row],[Start Time]]</f>
        <v>43274.036111111112</v>
      </c>
      <c r="CM845" s="16">
        <f>RecData[[#This Row],[Wind Speed avg]]</f>
        <v>0.3</v>
      </c>
      <c r="CN845" s="16">
        <f>RecData[[#This Row],[Wind Dir. avg]]</f>
        <v>160.9</v>
      </c>
      <c r="CO845" s="16">
        <f>RecData[[#This Row],[Amb. Humidity]]</f>
        <v>80.2</v>
      </c>
      <c r="CP845" s="16">
        <f>RecData[[#This Row],[Amb. Temperature]]</f>
        <v>11.6</v>
      </c>
      <c r="CQ845" s="17">
        <f>RecData[[#This Row],[Amb. Rain Gauge]]</f>
        <v>0</v>
      </c>
      <c r="CR845" s="4" t="s">
        <v>50</v>
      </c>
      <c r="CS845" s="4" t="s">
        <v>49</v>
      </c>
      <c r="CT845" s="70">
        <v>-9.1487293243408203</v>
      </c>
      <c r="CU845" s="70">
        <v>35.863548278808501</v>
      </c>
      <c r="CV845" s="70">
        <v>1.3439089059829701</v>
      </c>
      <c r="CW845" s="70">
        <v>0</v>
      </c>
      <c r="CX845" s="109"/>
      <c r="CY845" s="110"/>
      <c r="CZ845" s="2" t="b">
        <f>IF($DP$1="YES",IF(RecData[[#This Row],[Power (kW)]]&gt;=$CR$3, TRUE,FALSE),TRUE)</f>
        <v>0</v>
      </c>
      <c r="DA845" s="16">
        <f>MIN(MOD(180-ABS(ABS($DA$1-RecData[Yaw Angle (°)])-180),360),MOD(180-ABS(ABS($DB$1-RecData[Yaw Angle (°)])-180),360))</f>
        <v>28.333621501120945</v>
      </c>
      <c r="DB845" s="2" t="str">
        <f>IF($DP$2="None","None",IF(RecData[[#This Row],[Relative Wind Direction]]&lt;=45,"DW",IF(RecData[[#This Row],[Relative Wind Direction]]&lt;=135,"CW","UW")))</f>
        <v>DW</v>
      </c>
      <c r="DC845" s="61">
        <f>IF($CL845-$CL841&gt;1/24,#REF!,IF(SUM($CQ841:$CQ845)&gt;$DS$1,$DS$5,DC846-1))</f>
        <v>-4</v>
      </c>
      <c r="DD845" s="61">
        <f>IF($CL846-$CL845&gt;1/24,#REF!,IF(SUM($CQ841:$CQ845)&gt;$DS$1,$DS$6,DD844-1))</f>
        <v>-7</v>
      </c>
      <c r="DE845" s="18" t="b">
        <v>0</v>
      </c>
      <c r="DF845" s="2" t="b">
        <f>IF(OR(RecData[[#This Row],[WSpd_Avg '[m/s']]]-RecData[[#This Row],[Wind Speed min]]&gt;=$DF$3,RecData[[#This Row],[Wind Speed max]]-RecData[[#This Row],[WSpd_Avg '[m/s']]]&gt;=$DF$2),TRUE,FALSE)</f>
        <v>0</v>
      </c>
      <c r="DG845" s="2" t="b">
        <f>RecData[[#This Row],[Temperature '[°C']]]&lt;=-20</f>
        <v>0</v>
      </c>
      <c r="DH845" s="18" t="b">
        <f>NOT(OR(MOD(RecData[[#This Row],[TIMESTAMP]],1)&gt;0.91632,MOD(RecData[[#This Row],[TIMESTAMP]],1)&lt;0.208681))</f>
        <v>0</v>
      </c>
      <c r="DI845" s="18" t="b">
        <f>RecData[[#This Row],[Overall (dBA)]]-RecData[[#This Row],[L90]]&gt;=$DS$4</f>
        <v>0</v>
      </c>
      <c r="DJ845" s="18" t="b">
        <f>RecData[[#This Row],[Overall (dBA)]]&gt;$DS$2</f>
        <v>0</v>
      </c>
      <c r="DK845" s="18" t="b">
        <f>RecData[[#This Row],[Overall (dBA)]]&lt;$DS$3</f>
        <v>0</v>
      </c>
      <c r="DL8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5" s="2">
        <f>IF(AND(RecData[[#This Row],[Turbines ON/OFF]] = "OFF", NOT(OR(RecData[[#This Row],[Junk?]]="YES",RecData[[#This Row],[Gust?]],RecData[[#This Row],[Rain?]:[Min SPL Threshold?]]))),1,0)</f>
        <v>1</v>
      </c>
      <c r="DN845" s="16">
        <f>RecData[[#This Row],[dBA Sum]]</f>
        <v>16.757965398262179</v>
      </c>
      <c r="DO845" s="16">
        <f>RecData[[#This Row],[LAF90.0]]</f>
        <v>19.5</v>
      </c>
      <c r="DP845" s="55" t="str">
        <f>IF(AND(RecData[[#This Row],[Useable TON Data?]],RecData[[#This Row],[Turbines ON/OFF]]="ON"),RecData[[#This Row],[dBA Sum]],"")</f>
        <v/>
      </c>
      <c r="DQ845" s="55">
        <f>IF(AND(RecData[[#This Row],[Useable Background Data?]],RecData[[#This Row],[Turbines ON/OFF]]="OFF"),RecData[[#This Row],[dBA Sum]],"")</f>
        <v>16.757965398262179</v>
      </c>
      <c r="DR845" s="3">
        <f>IF(OR(RecData[[#This Row],[Useable TON Data?]],RecData[[#This Row],[Useable Background Data?]]),ROUND(RecData[[#This Row],[WSpd_Avg '[m/s']]],0),"")</f>
        <v>0</v>
      </c>
      <c r="DS845" s="85">
        <f>(0.00002)^2*(10^(RecData[[#This Row],[Overall (dBA)]]/10))</f>
        <v>1.8960794493616494E-8</v>
      </c>
    </row>
    <row r="846" spans="1:123" ht="15" x14ac:dyDescent="0.25">
      <c r="A846" s="3" t="s">
        <v>249</v>
      </c>
      <c r="B846" s="12">
        <v>43274.036805555559</v>
      </c>
      <c r="C846" s="3"/>
      <c r="D846" s="3">
        <v>23.7</v>
      </c>
      <c r="E846" s="3"/>
      <c r="F846" s="3"/>
      <c r="G846" s="3"/>
      <c r="H846" s="3"/>
      <c r="I846" s="3"/>
      <c r="J846" s="3"/>
      <c r="K846" s="3">
        <v>19.5</v>
      </c>
      <c r="L846" s="3"/>
      <c r="M846" s="3"/>
      <c r="N846" s="3">
        <v>154</v>
      </c>
      <c r="O846" s="3"/>
      <c r="P846" s="3"/>
      <c r="Q846" s="3">
        <v>0.39</v>
      </c>
      <c r="R846" s="3">
        <v>0.3</v>
      </c>
      <c r="S846" s="3">
        <v>0.5</v>
      </c>
      <c r="T846" s="3">
        <v>11.6</v>
      </c>
      <c r="U846" s="3">
        <v>80.2</v>
      </c>
      <c r="V846" s="3">
        <v>967.4</v>
      </c>
      <c r="W846" s="3">
        <v>0</v>
      </c>
      <c r="X846" s="3">
        <v>23</v>
      </c>
      <c r="Y846" s="3">
        <v>24.5</v>
      </c>
      <c r="Z846" s="3">
        <v>26.3</v>
      </c>
      <c r="AA846" s="3">
        <v>20.399999999999999</v>
      </c>
      <c r="AB846" s="3">
        <v>10.199999999999999</v>
      </c>
      <c r="AC846" s="3">
        <v>8.1</v>
      </c>
      <c r="AD846" s="3">
        <v>7.5</v>
      </c>
      <c r="AE846" s="3">
        <v>7.8</v>
      </c>
      <c r="AF846" s="3">
        <v>10.7</v>
      </c>
      <c r="AG846" s="3">
        <v>14.7</v>
      </c>
      <c r="AH846" s="3">
        <v>12.8</v>
      </c>
      <c r="AI846" s="3">
        <v>9.6</v>
      </c>
      <c r="AJ846" s="3">
        <v>10.9</v>
      </c>
      <c r="AK846" s="3">
        <v>9.3000000000000007</v>
      </c>
      <c r="AL846" s="3">
        <v>7.5</v>
      </c>
      <c r="AM846" s="3">
        <v>9.5</v>
      </c>
      <c r="AN846" s="3">
        <v>7.9</v>
      </c>
      <c r="AO846" s="3">
        <v>8.4</v>
      </c>
      <c r="AP846" s="3">
        <v>7.1</v>
      </c>
      <c r="AQ846" s="3">
        <v>6.6</v>
      </c>
      <c r="AR846" s="3">
        <v>6.8</v>
      </c>
      <c r="AS846" s="3">
        <v>13.9</v>
      </c>
      <c r="AT846" s="3">
        <v>19.3</v>
      </c>
      <c r="AU846" s="3">
        <v>9.5</v>
      </c>
      <c r="AV846" s="3">
        <v>8.6</v>
      </c>
      <c r="AW846" s="3">
        <v>9</v>
      </c>
      <c r="AX846" s="3">
        <v>9</v>
      </c>
      <c r="AY846" s="3">
        <v>9.1999999999999993</v>
      </c>
      <c r="AZ846" s="3">
        <v>0</v>
      </c>
      <c r="BA846" s="3">
        <v>0</v>
      </c>
      <c r="BB846" s="3">
        <v>0</v>
      </c>
      <c r="BC846" s="3">
        <v>23.643529691691828</v>
      </c>
      <c r="BD846" s="3">
        <v>23.056470308308175</v>
      </c>
      <c r="BE846" s="3">
        <v>24.556470308308175</v>
      </c>
      <c r="BF846" s="3">
        <v>25.116470308308177</v>
      </c>
      <c r="BG846" s="3">
        <v>19.543136974974832</v>
      </c>
      <c r="BH846" s="3">
        <v>9.4831369749748369</v>
      </c>
      <c r="BI846" s="3">
        <v>7.7964703083081695</v>
      </c>
      <c r="BJ846" s="3">
        <v>7.9898036416415046</v>
      </c>
      <c r="BK846" s="3">
        <v>8.163136974974833</v>
      </c>
      <c r="BL846" s="3">
        <v>10.636470308308173</v>
      </c>
      <c r="BM846" s="3">
        <v>14.769803641641506</v>
      </c>
      <c r="BN846" s="3">
        <v>13.153136974974839</v>
      </c>
      <c r="BO846" s="3">
        <v>9.31980364164151</v>
      </c>
      <c r="BP846" s="3">
        <v>10.336470308308176</v>
      </c>
      <c r="BQ846" s="3">
        <v>9.1531369749748315</v>
      </c>
      <c r="BR846" s="3">
        <v>7.6798036416415059</v>
      </c>
      <c r="BS846" s="3">
        <v>9.4831369749748369</v>
      </c>
      <c r="BT846" s="3">
        <v>8.079803641641508</v>
      </c>
      <c r="BU846" s="3">
        <v>8.5464703083081766</v>
      </c>
      <c r="BV846" s="3">
        <v>6.9631369749748373</v>
      </c>
      <c r="BW846" s="3">
        <v>6.9964703083081723</v>
      </c>
      <c r="BX846" s="3">
        <v>7.1164703083081768</v>
      </c>
      <c r="BY846" s="3">
        <v>14.036470308308171</v>
      </c>
      <c r="BZ846" s="3">
        <v>19.56647030830818</v>
      </c>
      <c r="CA846" s="3">
        <v>9.8664703083081626</v>
      </c>
      <c r="CB846" s="3">
        <v>8.4031369749748386</v>
      </c>
      <c r="CC846" s="3">
        <v>9.0164703083081683</v>
      </c>
      <c r="CD846" s="3">
        <v>8.3231369749748403</v>
      </c>
      <c r="CE846" s="3">
        <v>8.7164703083081712</v>
      </c>
      <c r="CF846" s="3">
        <v>-0.87019635835849485</v>
      </c>
      <c r="CG846" s="3">
        <v>-1.4035296916918263</v>
      </c>
      <c r="CH846" s="3">
        <v>-2.4801963583584943</v>
      </c>
      <c r="CI846" s="13">
        <f>[1]!dbasum(RecData[[#This Row],[20]:[2000]],RecData[[#Headers],[20]:[2000]])</f>
        <v>16.952335105172061</v>
      </c>
      <c r="CJ846" s="14">
        <v>9926</v>
      </c>
      <c r="CK846" s="15" t="s">
        <v>249</v>
      </c>
      <c r="CL846" s="15">
        <f>RecData[[#This Row],[Start Time]]</f>
        <v>43274.036805555559</v>
      </c>
      <c r="CM846" s="16">
        <f>RecData[[#This Row],[Wind Speed avg]]</f>
        <v>0.39</v>
      </c>
      <c r="CN846" s="16">
        <f>RecData[[#This Row],[Wind Dir. avg]]</f>
        <v>154</v>
      </c>
      <c r="CO846" s="16">
        <f>RecData[[#This Row],[Amb. Humidity]]</f>
        <v>80.2</v>
      </c>
      <c r="CP846" s="16">
        <f>RecData[[#This Row],[Amb. Temperature]]</f>
        <v>11.6</v>
      </c>
      <c r="CQ846" s="17">
        <f>RecData[[#This Row],[Amb. Rain Gauge]]</f>
        <v>0</v>
      </c>
      <c r="CR846" s="4" t="s">
        <v>50</v>
      </c>
      <c r="CS846" s="4" t="s">
        <v>49</v>
      </c>
      <c r="CT846" s="70">
        <v>-9.1487293243408203</v>
      </c>
      <c r="CU846" s="70">
        <v>35.863548278808501</v>
      </c>
      <c r="CV846" s="70">
        <v>1.3439089059829701</v>
      </c>
      <c r="CW846" s="70">
        <v>0</v>
      </c>
      <c r="CX846" s="109"/>
      <c r="CY846" s="110"/>
      <c r="CZ846" s="2" t="b">
        <f>IF($DP$1="YES",IF(RecData[[#This Row],[Power (kW)]]&gt;=$CR$3, TRUE,FALSE),TRUE)</f>
        <v>0</v>
      </c>
      <c r="DA846" s="16">
        <f>MIN(MOD(180-ABS(ABS($DA$1-RecData[Yaw Angle (°)])-180),360),MOD(180-ABS(ABS($DB$1-RecData[Yaw Angle (°)])-180),360))</f>
        <v>28.333621501120945</v>
      </c>
      <c r="DB846" s="2" t="str">
        <f>IF($DP$2="None","None",IF(RecData[[#This Row],[Relative Wind Direction]]&lt;=45,"DW",IF(RecData[[#This Row],[Relative Wind Direction]]&lt;=135,"CW","UW")))</f>
        <v>DW</v>
      </c>
      <c r="DC846" s="61">
        <f>IF($CL846-$CL842&gt;1/24,#REF!,IF(SUM($CQ842:$CQ846)&gt;$DS$1,$DS$5,DC847-1))</f>
        <v>-3</v>
      </c>
      <c r="DD846" s="61">
        <f>IF($CL847-$CL846&gt;1/24,#REF!,IF(SUM($CQ842:$CQ846)&gt;$DS$1,$DS$6,DD845-1))</f>
        <v>-8</v>
      </c>
      <c r="DE846" s="18" t="b">
        <v>0</v>
      </c>
      <c r="DF846" s="2" t="b">
        <f>IF(OR(RecData[[#This Row],[WSpd_Avg '[m/s']]]-RecData[[#This Row],[Wind Speed min]]&gt;=$DF$3,RecData[[#This Row],[Wind Speed max]]-RecData[[#This Row],[WSpd_Avg '[m/s']]]&gt;=$DF$2),TRUE,FALSE)</f>
        <v>0</v>
      </c>
      <c r="DG846" s="2" t="b">
        <f>RecData[[#This Row],[Temperature '[°C']]]&lt;=-20</f>
        <v>0</v>
      </c>
      <c r="DH846" s="18" t="b">
        <f>NOT(OR(MOD(RecData[[#This Row],[TIMESTAMP]],1)&gt;0.91632,MOD(RecData[[#This Row],[TIMESTAMP]],1)&lt;0.208681))</f>
        <v>0</v>
      </c>
      <c r="DI846" s="18" t="b">
        <f>RecData[[#This Row],[Overall (dBA)]]-RecData[[#This Row],[L90]]&gt;=$DS$4</f>
        <v>0</v>
      </c>
      <c r="DJ846" s="18" t="b">
        <f>RecData[[#This Row],[Overall (dBA)]]&gt;$DS$2</f>
        <v>0</v>
      </c>
      <c r="DK846" s="18" t="b">
        <f>RecData[[#This Row],[Overall (dBA)]]&lt;$DS$3</f>
        <v>0</v>
      </c>
      <c r="DL8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6" s="2">
        <f>IF(AND(RecData[[#This Row],[Turbines ON/OFF]] = "OFF", NOT(OR(RecData[[#This Row],[Junk?]]="YES",RecData[[#This Row],[Gust?]],RecData[[#This Row],[Rain?]:[Min SPL Threshold?]]))),1,0)</f>
        <v>1</v>
      </c>
      <c r="DN846" s="16">
        <f>RecData[[#This Row],[dBA Sum]]</f>
        <v>16.952335105172061</v>
      </c>
      <c r="DO846" s="16">
        <f>RecData[[#This Row],[LAF90.0]]</f>
        <v>19.5</v>
      </c>
      <c r="DP846" s="55" t="str">
        <f>IF(AND(RecData[[#This Row],[Useable TON Data?]],RecData[[#This Row],[Turbines ON/OFF]]="ON"),RecData[[#This Row],[dBA Sum]],"")</f>
        <v/>
      </c>
      <c r="DQ846" s="55">
        <f>IF(AND(RecData[[#This Row],[Useable Background Data?]],RecData[[#This Row],[Turbines ON/OFF]]="OFF"),RecData[[#This Row],[dBA Sum]],"")</f>
        <v>16.952335105172061</v>
      </c>
      <c r="DR846" s="3">
        <f>IF(OR(RecData[[#This Row],[Useable TON Data?]],RecData[[#This Row],[Useable Background Data?]]),ROUND(RecData[[#This Row],[WSpd_Avg '[m/s']]],0),"")</f>
        <v>0</v>
      </c>
      <c r="DS846" s="85">
        <f>(0.00002)^2*(10^(RecData[[#This Row],[Overall (dBA)]]/10))</f>
        <v>1.9828666200829935E-8</v>
      </c>
    </row>
    <row r="847" spans="1:123" ht="15" x14ac:dyDescent="0.25">
      <c r="A847" s="3" t="s">
        <v>249</v>
      </c>
      <c r="B847" s="12">
        <v>43274.037499999999</v>
      </c>
      <c r="C847" s="3"/>
      <c r="D847" s="3">
        <v>22.4</v>
      </c>
      <c r="E847" s="3"/>
      <c r="F847" s="3"/>
      <c r="G847" s="3"/>
      <c r="H847" s="3"/>
      <c r="I847" s="3"/>
      <c r="J847" s="3"/>
      <c r="K847" s="3">
        <v>19.2</v>
      </c>
      <c r="L847" s="3"/>
      <c r="M847" s="3"/>
      <c r="N847" s="3">
        <v>157.1</v>
      </c>
      <c r="O847" s="3"/>
      <c r="P847" s="3"/>
      <c r="Q847" s="3">
        <v>0.44</v>
      </c>
      <c r="R847" s="3">
        <v>0.2</v>
      </c>
      <c r="S847" s="3">
        <v>0.6</v>
      </c>
      <c r="T847" s="3">
        <v>11.7</v>
      </c>
      <c r="U847" s="3">
        <v>80.7</v>
      </c>
      <c r="V847" s="3">
        <v>967.4</v>
      </c>
      <c r="W847" s="3">
        <v>0</v>
      </c>
      <c r="X847" s="3">
        <v>15.4</v>
      </c>
      <c r="Y847" s="3">
        <v>12.9</v>
      </c>
      <c r="Z847" s="3">
        <v>15.1</v>
      </c>
      <c r="AA847" s="3">
        <v>10.5</v>
      </c>
      <c r="AB847" s="3">
        <v>7.8</v>
      </c>
      <c r="AC847" s="3">
        <v>5.4</v>
      </c>
      <c r="AD847" s="3">
        <v>6.8</v>
      </c>
      <c r="AE847" s="3">
        <v>6.9</v>
      </c>
      <c r="AF847" s="3">
        <v>10.7</v>
      </c>
      <c r="AG847" s="3">
        <v>12.9</v>
      </c>
      <c r="AH847" s="3">
        <v>10.9</v>
      </c>
      <c r="AI847" s="3">
        <v>8.4</v>
      </c>
      <c r="AJ847" s="3">
        <v>11.3</v>
      </c>
      <c r="AK847" s="3">
        <v>9.4</v>
      </c>
      <c r="AL847" s="3">
        <v>7.4</v>
      </c>
      <c r="AM847" s="3">
        <v>6.9</v>
      </c>
      <c r="AN847" s="3">
        <v>7</v>
      </c>
      <c r="AO847" s="3">
        <v>6.6</v>
      </c>
      <c r="AP847" s="3">
        <v>6.4</v>
      </c>
      <c r="AQ847" s="3">
        <v>6.8</v>
      </c>
      <c r="AR847" s="3">
        <v>7</v>
      </c>
      <c r="AS847" s="3">
        <v>12.4</v>
      </c>
      <c r="AT847" s="3">
        <v>17.2</v>
      </c>
      <c r="AU847" s="3">
        <v>8.1</v>
      </c>
      <c r="AV847" s="3">
        <v>9.1</v>
      </c>
      <c r="AW847" s="3">
        <v>9</v>
      </c>
      <c r="AX847" s="3">
        <v>8.9</v>
      </c>
      <c r="AY847" s="3">
        <v>9.1999999999999993</v>
      </c>
      <c r="AZ847" s="3">
        <v>0</v>
      </c>
      <c r="BA847" s="3">
        <v>0</v>
      </c>
      <c r="BB847" s="3">
        <v>0</v>
      </c>
      <c r="BC847" s="3">
        <v>22.284693129210751</v>
      </c>
      <c r="BD847" s="3">
        <v>15.515306870789246</v>
      </c>
      <c r="BE847" s="3">
        <v>13.015306870789246</v>
      </c>
      <c r="BF847" s="3">
        <v>13.975306870789247</v>
      </c>
      <c r="BG847" s="3">
        <v>9.7019735374559133</v>
      </c>
      <c r="BH847" s="3">
        <v>7.1419735374559181</v>
      </c>
      <c r="BI847" s="3">
        <v>5.1553068707892464</v>
      </c>
      <c r="BJ847" s="3">
        <v>7.3486402041225816</v>
      </c>
      <c r="BK847" s="3">
        <v>7.3219735374559107</v>
      </c>
      <c r="BL847" s="3">
        <v>10.695306870789246</v>
      </c>
      <c r="BM847" s="3">
        <v>13.028640204122581</v>
      </c>
      <c r="BN847" s="3">
        <v>11.311973537455913</v>
      </c>
      <c r="BO847" s="3">
        <v>8.1786402041225834</v>
      </c>
      <c r="BP847" s="3">
        <v>10.795306870789247</v>
      </c>
      <c r="BQ847" s="3">
        <v>9.3119735374559056</v>
      </c>
      <c r="BR847" s="3">
        <v>7.6386402041225807</v>
      </c>
      <c r="BS847" s="3">
        <v>6.9419735374559153</v>
      </c>
      <c r="BT847" s="3">
        <v>7.2386402041225821</v>
      </c>
      <c r="BU847" s="3">
        <v>6.8053068707892521</v>
      </c>
      <c r="BV847" s="3">
        <v>6.3219735374559143</v>
      </c>
      <c r="BW847" s="3">
        <v>7.2553068707892514</v>
      </c>
      <c r="BX847" s="3">
        <v>7.3753068707892524</v>
      </c>
      <c r="BY847" s="3">
        <v>12.595306870789244</v>
      </c>
      <c r="BZ847" s="3">
        <v>17.525306870789251</v>
      </c>
      <c r="CA847" s="3">
        <v>8.5253068707892403</v>
      </c>
      <c r="CB847" s="3">
        <v>8.9619735374559113</v>
      </c>
      <c r="CC847" s="3">
        <v>9.0753068707892481</v>
      </c>
      <c r="CD847" s="3">
        <v>8.2819735374559187</v>
      </c>
      <c r="CE847" s="3">
        <v>8.7753068707892439</v>
      </c>
      <c r="CF847" s="3">
        <v>-0.81135979587741858</v>
      </c>
      <c r="CG847" s="3">
        <v>-1.34469312921075</v>
      </c>
      <c r="CH847" s="3">
        <v>-2.421359795877418</v>
      </c>
      <c r="CI847" s="13">
        <f>[1]!dbasum(RecData[[#This Row],[20]:[2000]],RecData[[#Headers],[20]:[2000]])</f>
        <v>16.301992386654305</v>
      </c>
      <c r="CJ847" s="14">
        <v>9927</v>
      </c>
      <c r="CK847" s="15" t="s">
        <v>249</v>
      </c>
      <c r="CL847" s="15">
        <f>RecData[[#This Row],[Start Time]]</f>
        <v>43274.037499999999</v>
      </c>
      <c r="CM847" s="16">
        <f>RecData[[#This Row],[Wind Speed avg]]</f>
        <v>0.44</v>
      </c>
      <c r="CN847" s="16">
        <f>RecData[[#This Row],[Wind Dir. avg]]</f>
        <v>157.1</v>
      </c>
      <c r="CO847" s="16">
        <f>RecData[[#This Row],[Amb. Humidity]]</f>
        <v>80.7</v>
      </c>
      <c r="CP847" s="16">
        <f>RecData[[#This Row],[Amb. Temperature]]</f>
        <v>11.7</v>
      </c>
      <c r="CQ847" s="17">
        <f>RecData[[#This Row],[Amb. Rain Gauge]]</f>
        <v>0</v>
      </c>
      <c r="CR847" s="4" t="s">
        <v>50</v>
      </c>
      <c r="CS847" s="4" t="s">
        <v>49</v>
      </c>
      <c r="CT847" s="70">
        <v>-9.1487293243408203</v>
      </c>
      <c r="CU847" s="70">
        <v>35.863548278808501</v>
      </c>
      <c r="CV847" s="70">
        <v>1.3439089059829701</v>
      </c>
      <c r="CW847" s="70">
        <v>0</v>
      </c>
      <c r="CX847" s="109"/>
      <c r="CY847" s="110"/>
      <c r="CZ847" s="2" t="b">
        <f>IF($DP$1="YES",IF(RecData[[#This Row],[Power (kW)]]&gt;=$CR$3, TRUE,FALSE),TRUE)</f>
        <v>0</v>
      </c>
      <c r="DA847" s="16">
        <f>MIN(MOD(180-ABS(ABS($DA$1-RecData[Yaw Angle (°)])-180),360),MOD(180-ABS(ABS($DB$1-RecData[Yaw Angle (°)])-180),360))</f>
        <v>28.333621501120945</v>
      </c>
      <c r="DB847" s="2" t="str">
        <f>IF($DP$2="None","None",IF(RecData[[#This Row],[Relative Wind Direction]]&lt;=45,"DW",IF(RecData[[#This Row],[Relative Wind Direction]]&lt;=135,"CW","UW")))</f>
        <v>DW</v>
      </c>
      <c r="DC847" s="61">
        <f>IF($CL847-$CL843&gt;1/24,#REF!,IF(SUM($CQ843:$CQ847)&gt;$DS$1,$DS$5,DC848-1))</f>
        <v>-2</v>
      </c>
      <c r="DD847" s="61">
        <f>IF($CL848-$CL847&gt;1/24,#REF!,IF(SUM($CQ843:$CQ847)&gt;$DS$1,$DS$6,DD846-1))</f>
        <v>-9</v>
      </c>
      <c r="DE847" s="18" t="b">
        <v>0</v>
      </c>
      <c r="DF847" s="2" t="b">
        <f>IF(OR(RecData[[#This Row],[WSpd_Avg '[m/s']]]-RecData[[#This Row],[Wind Speed min]]&gt;=$DF$3,RecData[[#This Row],[Wind Speed max]]-RecData[[#This Row],[WSpd_Avg '[m/s']]]&gt;=$DF$2),TRUE,FALSE)</f>
        <v>0</v>
      </c>
      <c r="DG847" s="2" t="b">
        <f>RecData[[#This Row],[Temperature '[°C']]]&lt;=-20</f>
        <v>0</v>
      </c>
      <c r="DH847" s="18" t="b">
        <f>NOT(OR(MOD(RecData[[#This Row],[TIMESTAMP]],1)&gt;0.91632,MOD(RecData[[#This Row],[TIMESTAMP]],1)&lt;0.208681))</f>
        <v>0</v>
      </c>
      <c r="DI847" s="18" t="b">
        <f>RecData[[#This Row],[Overall (dBA)]]-RecData[[#This Row],[L90]]&gt;=$DS$4</f>
        <v>0</v>
      </c>
      <c r="DJ847" s="18" t="b">
        <f>RecData[[#This Row],[Overall (dBA)]]&gt;$DS$2</f>
        <v>0</v>
      </c>
      <c r="DK847" s="18" t="b">
        <f>RecData[[#This Row],[Overall (dBA)]]&lt;$DS$3</f>
        <v>0</v>
      </c>
      <c r="DL8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7" s="2">
        <f>IF(AND(RecData[[#This Row],[Turbines ON/OFF]] = "OFF", NOT(OR(RecData[[#This Row],[Junk?]]="YES",RecData[[#This Row],[Gust?]],RecData[[#This Row],[Rain?]:[Min SPL Threshold?]]))),1,0)</f>
        <v>1</v>
      </c>
      <c r="DN847" s="16">
        <f>RecData[[#This Row],[dBA Sum]]</f>
        <v>16.301992386654305</v>
      </c>
      <c r="DO847" s="16">
        <f>RecData[[#This Row],[LAF90.0]]</f>
        <v>19.2</v>
      </c>
      <c r="DP847" s="55" t="str">
        <f>IF(AND(RecData[[#This Row],[Useable TON Data?]],RecData[[#This Row],[Turbines ON/OFF]]="ON"),RecData[[#This Row],[dBA Sum]],"")</f>
        <v/>
      </c>
      <c r="DQ847" s="55">
        <f>IF(AND(RecData[[#This Row],[Useable Background Data?]],RecData[[#This Row],[Turbines ON/OFF]]="OFF"),RecData[[#This Row],[dBA Sum]],"")</f>
        <v>16.301992386654305</v>
      </c>
      <c r="DR847" s="3">
        <f>IF(OR(RecData[[#This Row],[Useable TON Data?]],RecData[[#This Row],[Useable Background Data?]]),ROUND(RecData[[#This Row],[WSpd_Avg '[m/s']]],0),"")</f>
        <v>0</v>
      </c>
      <c r="DS847" s="85">
        <f>(0.00002)^2*(10^(RecData[[#This Row],[Overall (dBA)]]/10))</f>
        <v>1.7071010520664096E-8</v>
      </c>
    </row>
    <row r="848" spans="1:123" ht="15" x14ac:dyDescent="0.25">
      <c r="A848" s="3" t="s">
        <v>249</v>
      </c>
      <c r="B848" s="12">
        <v>43274.038194444445</v>
      </c>
      <c r="C848" s="3"/>
      <c r="D848" s="3">
        <v>25.8</v>
      </c>
      <c r="E848" s="3"/>
      <c r="F848" s="3"/>
      <c r="G848" s="3"/>
      <c r="H848" s="3"/>
      <c r="I848" s="3"/>
      <c r="J848" s="3"/>
      <c r="K848" s="3">
        <v>19.2</v>
      </c>
      <c r="L848" s="3"/>
      <c r="M848" s="3"/>
      <c r="N848" s="3">
        <v>159.6</v>
      </c>
      <c r="O848" s="3"/>
      <c r="P848" s="3"/>
      <c r="Q848" s="3">
        <v>0.57999999999999996</v>
      </c>
      <c r="R848" s="3">
        <v>0.3</v>
      </c>
      <c r="S848" s="3">
        <v>0.7</v>
      </c>
      <c r="T848" s="3">
        <v>11.7</v>
      </c>
      <c r="U848" s="3">
        <v>79.599999999999994</v>
      </c>
      <c r="V848" s="3">
        <v>967.4</v>
      </c>
      <c r="W848" s="3">
        <v>0</v>
      </c>
      <c r="X848" s="3">
        <v>18.7</v>
      </c>
      <c r="Y848" s="3">
        <v>13.6</v>
      </c>
      <c r="Z848" s="3">
        <v>14.8</v>
      </c>
      <c r="AA848" s="3">
        <v>10.4</v>
      </c>
      <c r="AB848" s="3">
        <v>8.1999999999999993</v>
      </c>
      <c r="AC848" s="3">
        <v>5.5</v>
      </c>
      <c r="AD848" s="3">
        <v>7</v>
      </c>
      <c r="AE848" s="3">
        <v>7.2</v>
      </c>
      <c r="AF848" s="3">
        <v>10.8</v>
      </c>
      <c r="AG848" s="3">
        <v>6.5</v>
      </c>
      <c r="AH848" s="3">
        <v>8.6</v>
      </c>
      <c r="AI848" s="3">
        <v>8.3000000000000007</v>
      </c>
      <c r="AJ848" s="3">
        <v>12.7</v>
      </c>
      <c r="AK848" s="3">
        <v>10.199999999999999</v>
      </c>
      <c r="AL848" s="3">
        <v>7.6</v>
      </c>
      <c r="AM848" s="3">
        <v>6.5</v>
      </c>
      <c r="AN848" s="3">
        <v>6.7</v>
      </c>
      <c r="AO848" s="3">
        <v>6.6</v>
      </c>
      <c r="AP848" s="3">
        <v>6.7</v>
      </c>
      <c r="AQ848" s="3">
        <v>7.3</v>
      </c>
      <c r="AR848" s="3">
        <v>7.1</v>
      </c>
      <c r="AS848" s="3">
        <v>13.3</v>
      </c>
      <c r="AT848" s="3">
        <v>23.1</v>
      </c>
      <c r="AU848" s="3">
        <v>10.4</v>
      </c>
      <c r="AV848" s="3">
        <v>9.1</v>
      </c>
      <c r="AW848" s="3">
        <v>9</v>
      </c>
      <c r="AX848" s="3">
        <v>9</v>
      </c>
      <c r="AY848" s="3">
        <v>9.1999999999999993</v>
      </c>
      <c r="AZ848" s="3">
        <v>0</v>
      </c>
      <c r="BA848" s="3">
        <v>0</v>
      </c>
      <c r="BB848" s="3">
        <v>0</v>
      </c>
      <c r="BC848" s="3">
        <v>25.815816413803883</v>
      </c>
      <c r="BD848" s="3">
        <v>18.684183586196117</v>
      </c>
      <c r="BE848" s="3">
        <v>13.584183586196115</v>
      </c>
      <c r="BF848" s="3">
        <v>13.544183586196116</v>
      </c>
      <c r="BG848" s="3">
        <v>9.4708502528627783</v>
      </c>
      <c r="BH848" s="3">
        <v>7.4108502528627831</v>
      </c>
      <c r="BI848" s="3">
        <v>5.1241835861961178</v>
      </c>
      <c r="BJ848" s="3">
        <v>7.4175169195294508</v>
      </c>
      <c r="BK848" s="3">
        <v>7.4908502528627814</v>
      </c>
      <c r="BL848" s="3">
        <v>10.664183586196121</v>
      </c>
      <c r="BM848" s="3">
        <v>6.4975169195294491</v>
      </c>
      <c r="BN848" s="3">
        <v>8.880850252862782</v>
      </c>
      <c r="BO848" s="3">
        <v>7.9475169195294519</v>
      </c>
      <c r="BP848" s="3">
        <v>12.064183586196119</v>
      </c>
      <c r="BQ848" s="3">
        <v>9.9808502528627763</v>
      </c>
      <c r="BR848" s="3">
        <v>7.70751691952945</v>
      </c>
      <c r="BS848" s="3">
        <v>6.4108502528627831</v>
      </c>
      <c r="BT848" s="3">
        <v>6.8075169195294514</v>
      </c>
      <c r="BU848" s="3">
        <v>6.6741835861961185</v>
      </c>
      <c r="BV848" s="3">
        <v>6.4908502528627885</v>
      </c>
      <c r="BW848" s="3">
        <v>7.6241835861961214</v>
      </c>
      <c r="BX848" s="3">
        <v>7.3441835861961202</v>
      </c>
      <c r="BY848" s="3">
        <v>13.364183586196116</v>
      </c>
      <c r="BZ848" s="3">
        <v>23.294183586196123</v>
      </c>
      <c r="CA848" s="3">
        <v>10.694183586196107</v>
      </c>
      <c r="CB848" s="3">
        <v>8.8308502528627777</v>
      </c>
      <c r="CC848" s="3">
        <v>8.9441835861961145</v>
      </c>
      <c r="CD848" s="3">
        <v>8.2508502528627865</v>
      </c>
      <c r="CE848" s="3">
        <v>8.6441835861961174</v>
      </c>
      <c r="CF848" s="3">
        <v>-0.94248308047054863</v>
      </c>
      <c r="CG848" s="3">
        <v>-1.4758164138038801</v>
      </c>
      <c r="CH848" s="3">
        <v>-2.5524830804705481</v>
      </c>
      <c r="CI848" s="13">
        <f>[1]!dbasum(RecData[[#This Row],[20]:[2000]],RecData[[#Headers],[20]:[2000]])</f>
        <v>16.296581960841774</v>
      </c>
      <c r="CJ848" s="14">
        <v>9928</v>
      </c>
      <c r="CK848" s="15" t="s">
        <v>249</v>
      </c>
      <c r="CL848" s="15">
        <f>RecData[[#This Row],[Start Time]]</f>
        <v>43274.038194444445</v>
      </c>
      <c r="CM848" s="16">
        <f>RecData[[#This Row],[Wind Speed avg]]</f>
        <v>0.57999999999999996</v>
      </c>
      <c r="CN848" s="16">
        <f>RecData[[#This Row],[Wind Dir. avg]]</f>
        <v>159.6</v>
      </c>
      <c r="CO848" s="16">
        <f>RecData[[#This Row],[Amb. Humidity]]</f>
        <v>79.599999999999994</v>
      </c>
      <c r="CP848" s="16">
        <f>RecData[[#This Row],[Amb. Temperature]]</f>
        <v>11.7</v>
      </c>
      <c r="CQ848" s="17">
        <f>RecData[[#This Row],[Amb. Rain Gauge]]</f>
        <v>0</v>
      </c>
      <c r="CR848" s="4" t="s">
        <v>50</v>
      </c>
      <c r="CS848" s="4" t="s">
        <v>49</v>
      </c>
      <c r="CT848" s="70">
        <v>-9.1487293243408203</v>
      </c>
      <c r="CU848" s="70">
        <v>35.863548278808501</v>
      </c>
      <c r="CV848" s="70">
        <v>1.3439089059829701</v>
      </c>
      <c r="CW848" s="70">
        <v>0</v>
      </c>
      <c r="CX848" s="109"/>
      <c r="CY848" s="110"/>
      <c r="CZ848" s="2" t="b">
        <f>IF($DP$1="YES",IF(RecData[[#This Row],[Power (kW)]]&gt;=$CR$3, TRUE,FALSE),TRUE)</f>
        <v>0</v>
      </c>
      <c r="DA848" s="16">
        <f>MIN(MOD(180-ABS(ABS($DA$1-RecData[Yaw Angle (°)])-180),360),MOD(180-ABS(ABS($DB$1-RecData[Yaw Angle (°)])-180),360))</f>
        <v>28.333621501120945</v>
      </c>
      <c r="DB848" s="2" t="str">
        <f>IF($DP$2="None","None",IF(RecData[[#This Row],[Relative Wind Direction]]&lt;=45,"DW",IF(RecData[[#This Row],[Relative Wind Direction]]&lt;=135,"CW","UW")))</f>
        <v>DW</v>
      </c>
      <c r="DC848" s="61">
        <v>-1</v>
      </c>
      <c r="DD848" s="61">
        <v>-1</v>
      </c>
      <c r="DE848" s="18" t="b">
        <v>0</v>
      </c>
      <c r="DF848" s="2" t="b">
        <f>IF(OR(RecData[[#This Row],[WSpd_Avg '[m/s']]]-RecData[[#This Row],[Wind Speed min]]&gt;=$DF$3,RecData[[#This Row],[Wind Speed max]]-RecData[[#This Row],[WSpd_Avg '[m/s']]]&gt;=$DF$2),TRUE,FALSE)</f>
        <v>0</v>
      </c>
      <c r="DG848" s="2" t="b">
        <f>RecData[[#This Row],[Temperature '[°C']]]&lt;=-20</f>
        <v>0</v>
      </c>
      <c r="DH848" s="18" t="b">
        <f>NOT(OR(MOD(RecData[[#This Row],[TIMESTAMP]],1)&gt;0.91632,MOD(RecData[[#This Row],[TIMESTAMP]],1)&lt;0.208681))</f>
        <v>0</v>
      </c>
      <c r="DI848" s="18" t="b">
        <f>RecData[[#This Row],[Overall (dBA)]]-RecData[[#This Row],[L90]]&gt;=$DS$4</f>
        <v>0</v>
      </c>
      <c r="DJ848" s="18" t="b">
        <f>RecData[[#This Row],[Overall (dBA)]]&gt;$DS$2</f>
        <v>0</v>
      </c>
      <c r="DK848" s="18" t="b">
        <f>RecData[[#This Row],[Overall (dBA)]]&lt;$DS$3</f>
        <v>0</v>
      </c>
      <c r="DL8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8" s="2">
        <f>IF(AND(RecData[[#This Row],[Turbines ON/OFF]] = "OFF", NOT(OR(RecData[[#This Row],[Junk?]]="YES",RecData[[#This Row],[Gust?]],RecData[[#This Row],[Rain?]:[Min SPL Threshold?]]))),1,0)</f>
        <v>1</v>
      </c>
      <c r="DN848" s="16">
        <f>RecData[[#This Row],[dBA Sum]]</f>
        <v>16.296581960841774</v>
      </c>
      <c r="DO848" s="16">
        <f>RecData[[#This Row],[LAF90.0]]</f>
        <v>19.2</v>
      </c>
      <c r="DP848" s="55" t="str">
        <f>IF(AND(RecData[[#This Row],[Useable TON Data?]],RecData[[#This Row],[Turbines ON/OFF]]="ON"),RecData[[#This Row],[dBA Sum]],"")</f>
        <v/>
      </c>
      <c r="DQ848" s="55">
        <f>IF(AND(RecData[[#This Row],[Useable Background Data?]],RecData[[#This Row],[Turbines ON/OFF]]="OFF"),RecData[[#This Row],[dBA Sum]],"")</f>
        <v>16.296581960841774</v>
      </c>
      <c r="DR848" s="3">
        <f>IF(OR(RecData[[#This Row],[Useable TON Data?]],RecData[[#This Row],[Useable Background Data?]]),ROUND(RecData[[#This Row],[WSpd_Avg '[m/s']]],0),"")</f>
        <v>1</v>
      </c>
      <c r="DS848" s="85">
        <f>(0.00002)^2*(10^(RecData[[#This Row],[Overall (dBA)]]/10))</f>
        <v>1.7049756755784244E-8</v>
      </c>
    </row>
    <row r="849" spans="1:123" ht="15" x14ac:dyDescent="0.25">
      <c r="A849" s="3" t="s">
        <v>249</v>
      </c>
      <c r="B849" s="12">
        <v>43274.038888888892</v>
      </c>
      <c r="C849" s="3"/>
      <c r="D849" s="3">
        <v>28.1</v>
      </c>
      <c r="E849" s="3"/>
      <c r="F849" s="3"/>
      <c r="G849" s="3"/>
      <c r="H849" s="3"/>
      <c r="I849" s="3"/>
      <c r="J849" s="3"/>
      <c r="K849" s="3">
        <v>19.5</v>
      </c>
      <c r="L849" s="3"/>
      <c r="M849" s="3"/>
      <c r="N849" s="3">
        <v>157.19999999999999</v>
      </c>
      <c r="O849" s="3"/>
      <c r="P849" s="3"/>
      <c r="Q849" s="3">
        <v>0.51</v>
      </c>
      <c r="R849" s="3">
        <v>0.2</v>
      </c>
      <c r="S849" s="3">
        <v>0.7</v>
      </c>
      <c r="T849" s="3">
        <v>11.7</v>
      </c>
      <c r="U849" s="3">
        <v>79.2</v>
      </c>
      <c r="V849" s="3">
        <v>967.4</v>
      </c>
      <c r="W849" s="3">
        <v>0</v>
      </c>
      <c r="X849" s="3">
        <v>20.6</v>
      </c>
      <c r="Y849" s="3">
        <v>17.100000000000001</v>
      </c>
      <c r="Z849" s="3">
        <v>18.8</v>
      </c>
      <c r="AA849" s="3">
        <v>16</v>
      </c>
      <c r="AB849" s="3">
        <v>9</v>
      </c>
      <c r="AC849" s="3">
        <v>6.4</v>
      </c>
      <c r="AD849" s="3">
        <v>8.1999999999999993</v>
      </c>
      <c r="AE849" s="3">
        <v>8</v>
      </c>
      <c r="AF849" s="3">
        <v>10</v>
      </c>
      <c r="AG849" s="3">
        <v>9.6999999999999993</v>
      </c>
      <c r="AH849" s="3">
        <v>9.3000000000000007</v>
      </c>
      <c r="AI849" s="3">
        <v>8.4</v>
      </c>
      <c r="AJ849" s="3">
        <v>13.4</v>
      </c>
      <c r="AK849" s="3">
        <v>11.8</v>
      </c>
      <c r="AL849" s="3">
        <v>8.6</v>
      </c>
      <c r="AM849" s="3">
        <v>7.4</v>
      </c>
      <c r="AN849" s="3">
        <v>7.3</v>
      </c>
      <c r="AO849" s="3">
        <v>6.8</v>
      </c>
      <c r="AP849" s="3">
        <v>6.7</v>
      </c>
      <c r="AQ849" s="3">
        <v>7.3</v>
      </c>
      <c r="AR849" s="3">
        <v>7.4</v>
      </c>
      <c r="AS849" s="3">
        <v>12</v>
      </c>
      <c r="AT849" s="3">
        <v>26.1</v>
      </c>
      <c r="AU849" s="3">
        <v>10.6</v>
      </c>
      <c r="AV849" s="3">
        <v>8.1999999999999993</v>
      </c>
      <c r="AW849" s="3">
        <v>8.6999999999999993</v>
      </c>
      <c r="AX849" s="3">
        <v>8.9</v>
      </c>
      <c r="AY849" s="3">
        <v>9.1</v>
      </c>
      <c r="AZ849" s="3">
        <v>0</v>
      </c>
      <c r="BA849" s="3">
        <v>0</v>
      </c>
      <c r="BB849" s="3">
        <v>0</v>
      </c>
      <c r="BC849" s="3">
        <v>28.097653714399758</v>
      </c>
      <c r="BD849" s="3">
        <v>20.602346285600245</v>
      </c>
      <c r="BE849" s="3">
        <v>17.102346285600245</v>
      </c>
      <c r="BF849" s="3">
        <v>17.562346285600245</v>
      </c>
      <c r="BG849" s="3">
        <v>15.089012952266909</v>
      </c>
      <c r="BH849" s="3">
        <v>8.2290129522669098</v>
      </c>
      <c r="BI849" s="3">
        <v>6.0423462856002423</v>
      </c>
      <c r="BJ849" s="3">
        <v>8.6356796189335761</v>
      </c>
      <c r="BK849" s="3">
        <v>8.3090129522669081</v>
      </c>
      <c r="BL849" s="3">
        <v>9.8823462856002457</v>
      </c>
      <c r="BM849" s="3">
        <v>9.7156796189335743</v>
      </c>
      <c r="BN849" s="3">
        <v>9.5990129522669143</v>
      </c>
      <c r="BO849" s="3">
        <v>8.0656796189335829</v>
      </c>
      <c r="BP849" s="3">
        <v>12.782346285600244</v>
      </c>
      <c r="BQ849" s="3">
        <v>11.5990129522669</v>
      </c>
      <c r="BR849" s="3">
        <v>8.7256796189335795</v>
      </c>
      <c r="BS849" s="3">
        <v>7.3290129522669112</v>
      </c>
      <c r="BT849" s="3">
        <v>7.4256796189335752</v>
      </c>
      <c r="BU849" s="3">
        <v>6.8923462856002438</v>
      </c>
      <c r="BV849" s="3">
        <v>6.5090129522669109</v>
      </c>
      <c r="BW849" s="3">
        <v>7.6423462856002438</v>
      </c>
      <c r="BX849" s="3">
        <v>7.6623462856002469</v>
      </c>
      <c r="BY849" s="3">
        <v>12.082346285600241</v>
      </c>
      <c r="BZ849" s="3">
        <v>26.312346285600253</v>
      </c>
      <c r="CA849" s="3">
        <v>10.912346285600233</v>
      </c>
      <c r="CB849" s="3">
        <v>7.9490129522669086</v>
      </c>
      <c r="CC849" s="3">
        <v>8.6623462856002398</v>
      </c>
      <c r="CD849" s="3">
        <v>8.1690129522669146</v>
      </c>
      <c r="CE849" s="3">
        <v>8.5623462856002384</v>
      </c>
      <c r="CF849" s="3">
        <v>-0.92432038106642267</v>
      </c>
      <c r="CG849" s="3">
        <v>-1.4576537143997541</v>
      </c>
      <c r="CH849" s="3">
        <v>-2.5343203810664221</v>
      </c>
      <c r="CI849" s="13">
        <f>[1]!dbasum(RecData[[#This Row],[20]:[2000]],RecData[[#Headers],[20]:[2000]])</f>
        <v>16.808340084918498</v>
      </c>
      <c r="CJ849" s="14">
        <v>9929</v>
      </c>
      <c r="CK849" s="15" t="s">
        <v>249</v>
      </c>
      <c r="CL849" s="15">
        <f>RecData[[#This Row],[Start Time]]</f>
        <v>43274.038888888892</v>
      </c>
      <c r="CM849" s="16">
        <f>RecData[[#This Row],[Wind Speed avg]]</f>
        <v>0.51</v>
      </c>
      <c r="CN849" s="16">
        <f>RecData[[#This Row],[Wind Dir. avg]]</f>
        <v>157.19999999999999</v>
      </c>
      <c r="CO849" s="16">
        <f>RecData[[#This Row],[Amb. Humidity]]</f>
        <v>79.2</v>
      </c>
      <c r="CP849" s="16">
        <f>RecData[[#This Row],[Amb. Temperature]]</f>
        <v>11.7</v>
      </c>
      <c r="CQ849" s="17">
        <f>RecData[[#This Row],[Amb. Rain Gauge]]</f>
        <v>0</v>
      </c>
      <c r="CR849" s="4" t="s">
        <v>50</v>
      </c>
      <c r="CS849" s="4" t="s">
        <v>49</v>
      </c>
      <c r="CT849" s="70">
        <v>-9.1487293243408203</v>
      </c>
      <c r="CU849" s="70">
        <v>35.863548278808501</v>
      </c>
      <c r="CV849" s="70">
        <v>1.3439089059829701</v>
      </c>
      <c r="CW849" s="70">
        <v>0</v>
      </c>
      <c r="CX849" s="109"/>
      <c r="CY849" s="110"/>
      <c r="CZ849" s="2" t="b">
        <f>IF($DP$1="YES",IF(RecData[[#This Row],[Power (kW)]]&gt;=$CR$3, TRUE,FALSE),TRUE)</f>
        <v>0</v>
      </c>
      <c r="DA849" s="16">
        <f>MIN(MOD(180-ABS(ABS($DA$1-RecData[Yaw Angle (°)])-180),360),MOD(180-ABS(ABS($DB$1-RecData[Yaw Angle (°)])-180),360))</f>
        <v>28.333621501120945</v>
      </c>
      <c r="DB849" s="2" t="str">
        <f>IF($DP$2="None","None",IF(RecData[[#This Row],[Relative Wind Direction]]&lt;=45,"DW",IF(RecData[[#This Row],[Relative Wind Direction]]&lt;=135,"CW","UW")))</f>
        <v>DW</v>
      </c>
      <c r="DC849" s="61">
        <f>IF($CL849-$CL848&gt;1/24,#REF!,IF(SUM($CQ848:$CQ849)&gt;$DS$1,$DS$5,DC850-1))</f>
        <v>-9</v>
      </c>
      <c r="DD849" s="61">
        <f>IF($CL850-$CL849&gt;1/24,#REF!,IF(SUM($CQ848:$CQ849)&gt;$DS$1,$DS$6,DD848-1))</f>
        <v>-2</v>
      </c>
      <c r="DE849" s="18" t="b">
        <v>0</v>
      </c>
      <c r="DF849" s="2" t="b">
        <f>IF(OR(RecData[[#This Row],[WSpd_Avg '[m/s']]]-RecData[[#This Row],[Wind Speed min]]&gt;=$DF$3,RecData[[#This Row],[Wind Speed max]]-RecData[[#This Row],[WSpd_Avg '[m/s']]]&gt;=$DF$2),TRUE,FALSE)</f>
        <v>0</v>
      </c>
      <c r="DG849" s="2" t="b">
        <f>RecData[[#This Row],[Temperature '[°C']]]&lt;=-20</f>
        <v>0</v>
      </c>
      <c r="DH849" s="18" t="b">
        <f>NOT(OR(MOD(RecData[[#This Row],[TIMESTAMP]],1)&gt;0.91632,MOD(RecData[[#This Row],[TIMESTAMP]],1)&lt;0.208681))</f>
        <v>0</v>
      </c>
      <c r="DI849" s="18" t="b">
        <f>RecData[[#This Row],[Overall (dBA)]]-RecData[[#This Row],[L90]]&gt;=$DS$4</f>
        <v>0</v>
      </c>
      <c r="DJ849" s="18" t="b">
        <f>RecData[[#This Row],[Overall (dBA)]]&gt;$DS$2</f>
        <v>0</v>
      </c>
      <c r="DK849" s="18" t="b">
        <f>RecData[[#This Row],[Overall (dBA)]]&lt;$DS$3</f>
        <v>0</v>
      </c>
      <c r="DL8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49" s="2">
        <f>IF(AND(RecData[[#This Row],[Turbines ON/OFF]] = "OFF", NOT(OR(RecData[[#This Row],[Junk?]]="YES",RecData[[#This Row],[Gust?]],RecData[[#This Row],[Rain?]:[Min SPL Threshold?]]))),1,0)</f>
        <v>1</v>
      </c>
      <c r="DN849" s="16">
        <f>RecData[[#This Row],[dBA Sum]]</f>
        <v>16.808340084918498</v>
      </c>
      <c r="DO849" s="16">
        <f>RecData[[#This Row],[LAF90.0]]</f>
        <v>19.5</v>
      </c>
      <c r="DP849" s="55" t="str">
        <f>IF(AND(RecData[[#This Row],[Useable TON Data?]],RecData[[#This Row],[Turbines ON/OFF]]="ON"),RecData[[#This Row],[dBA Sum]],"")</f>
        <v/>
      </c>
      <c r="DQ849" s="55">
        <f>IF(AND(RecData[[#This Row],[Useable Background Data?]],RecData[[#This Row],[Turbines ON/OFF]]="OFF"),RecData[[#This Row],[dBA Sum]],"")</f>
        <v>16.808340084918498</v>
      </c>
      <c r="DR849" s="3">
        <f>IF(OR(RecData[[#This Row],[Useable TON Data?]],RecData[[#This Row],[Useable Background Data?]]),ROUND(RecData[[#This Row],[WSpd_Avg '[m/s']]],0),"")</f>
        <v>1</v>
      </c>
      <c r="DS849" s="85">
        <f>(0.00002)^2*(10^(RecData[[#This Row],[Overall (dBA)]]/10))</f>
        <v>1.9182004998270634E-8</v>
      </c>
    </row>
    <row r="850" spans="1:123" ht="15" x14ac:dyDescent="0.25">
      <c r="A850" s="3" t="s">
        <v>249</v>
      </c>
      <c r="B850" s="12">
        <v>43274.039583333331</v>
      </c>
      <c r="C850" s="3"/>
      <c r="D850" s="3">
        <v>28.5</v>
      </c>
      <c r="E850" s="3"/>
      <c r="F850" s="3"/>
      <c r="G850" s="3"/>
      <c r="H850" s="3"/>
      <c r="I850" s="3"/>
      <c r="J850" s="3"/>
      <c r="K850" s="3">
        <v>19.399999999999999</v>
      </c>
      <c r="L850" s="3"/>
      <c r="M850" s="3"/>
      <c r="N850" s="3">
        <v>156.30000000000001</v>
      </c>
      <c r="O850" s="3"/>
      <c r="P850" s="3"/>
      <c r="Q850" s="3">
        <v>0.61</v>
      </c>
      <c r="R850" s="3">
        <v>0.3</v>
      </c>
      <c r="S850" s="3">
        <v>0.8</v>
      </c>
      <c r="T850" s="3">
        <v>11.7</v>
      </c>
      <c r="U850" s="3">
        <v>79.2</v>
      </c>
      <c r="V850" s="3">
        <v>967.4</v>
      </c>
      <c r="W850" s="3">
        <v>0</v>
      </c>
      <c r="X850" s="3">
        <v>20.2</v>
      </c>
      <c r="Y850" s="3">
        <v>15.8</v>
      </c>
      <c r="Z850" s="3">
        <v>18.899999999999999</v>
      </c>
      <c r="AA850" s="3">
        <v>12.7</v>
      </c>
      <c r="AB850" s="3">
        <v>7.3</v>
      </c>
      <c r="AC850" s="3">
        <v>6.5</v>
      </c>
      <c r="AD850" s="3">
        <v>8.1</v>
      </c>
      <c r="AE850" s="3">
        <v>7.8</v>
      </c>
      <c r="AF850" s="3">
        <v>8</v>
      </c>
      <c r="AG850" s="3">
        <v>9.5</v>
      </c>
      <c r="AH850" s="3">
        <v>8.6</v>
      </c>
      <c r="AI850" s="3">
        <v>7.8</v>
      </c>
      <c r="AJ850" s="3">
        <v>13</v>
      </c>
      <c r="AK850" s="3">
        <v>10.8</v>
      </c>
      <c r="AL850" s="3">
        <v>8.6</v>
      </c>
      <c r="AM850" s="3">
        <v>7.4</v>
      </c>
      <c r="AN850" s="3">
        <v>7.2</v>
      </c>
      <c r="AO850" s="3">
        <v>6.7</v>
      </c>
      <c r="AP850" s="3">
        <v>6.1</v>
      </c>
      <c r="AQ850" s="3">
        <v>7.1</v>
      </c>
      <c r="AR850" s="3">
        <v>7.6</v>
      </c>
      <c r="AS850" s="3">
        <v>12.3</v>
      </c>
      <c r="AT850" s="3">
        <v>26.6</v>
      </c>
      <c r="AU850" s="3">
        <v>9.9</v>
      </c>
      <c r="AV850" s="3">
        <v>8.1999999999999993</v>
      </c>
      <c r="AW850" s="3">
        <v>8.6999999999999993</v>
      </c>
      <c r="AX850" s="3">
        <v>8.9</v>
      </c>
      <c r="AY850" s="3">
        <v>9.1</v>
      </c>
      <c r="AZ850" s="3">
        <v>0</v>
      </c>
      <c r="BA850" s="3">
        <v>0</v>
      </c>
      <c r="BB850" s="3">
        <v>0</v>
      </c>
      <c r="BC850" s="3">
        <v>28.497390790343932</v>
      </c>
      <c r="BD850" s="3">
        <v>20.202609209656071</v>
      </c>
      <c r="BE850" s="3">
        <v>15.802609209656065</v>
      </c>
      <c r="BF850" s="3">
        <v>17.662609209656065</v>
      </c>
      <c r="BG850" s="3">
        <v>11.78927587632273</v>
      </c>
      <c r="BH850" s="3">
        <v>6.529275876322739</v>
      </c>
      <c r="BI850" s="3">
        <v>6.1426092096560687</v>
      </c>
      <c r="BJ850" s="3">
        <v>8.5359425429893996</v>
      </c>
      <c r="BK850" s="3">
        <v>8.1092758763227302</v>
      </c>
      <c r="BL850" s="3">
        <v>7.8826092096560707</v>
      </c>
      <c r="BM850" s="3">
        <v>9.5159425429894036</v>
      </c>
      <c r="BN850" s="3">
        <v>8.8992758763227364</v>
      </c>
      <c r="BO850" s="3">
        <v>7.4659425429894064</v>
      </c>
      <c r="BP850" s="3">
        <v>12.382609209656071</v>
      </c>
      <c r="BQ850" s="3">
        <v>10.599275876322725</v>
      </c>
      <c r="BR850" s="3">
        <v>8.7259425429894044</v>
      </c>
      <c r="BS850" s="3">
        <v>7.3292758763227361</v>
      </c>
      <c r="BT850" s="3">
        <v>7.3259425429894058</v>
      </c>
      <c r="BU850" s="3">
        <v>6.7926092096560744</v>
      </c>
      <c r="BV850" s="3">
        <v>5.9092758763227344</v>
      </c>
      <c r="BW850" s="3">
        <v>7.442609209656073</v>
      </c>
      <c r="BX850" s="3">
        <v>7.8626092096560747</v>
      </c>
      <c r="BY850" s="3">
        <v>12.382609209656064</v>
      </c>
      <c r="BZ850" s="3">
        <v>26.81260920965607</v>
      </c>
      <c r="CA850" s="3">
        <v>10.212609209656062</v>
      </c>
      <c r="CB850" s="3">
        <v>7.9492758763227336</v>
      </c>
      <c r="CC850" s="3">
        <v>8.6626092096560647</v>
      </c>
      <c r="CD850" s="3">
        <v>8.1692758763227395</v>
      </c>
      <c r="CE850" s="3">
        <v>8.5626092096560704</v>
      </c>
      <c r="CF850" s="3">
        <v>-0.92405745701059772</v>
      </c>
      <c r="CG850" s="3">
        <v>-1.4573907903439292</v>
      </c>
      <c r="CH850" s="3">
        <v>-2.5340574570105971</v>
      </c>
      <c r="CI850" s="13">
        <f>[1]!dbasum(RecData[[#This Row],[20]:[2000]],RecData[[#Headers],[20]:[2000]])</f>
        <v>16.572848985834174</v>
      </c>
      <c r="CJ850" s="14">
        <v>9930</v>
      </c>
      <c r="CK850" s="15" t="s">
        <v>249</v>
      </c>
      <c r="CL850" s="15">
        <f>RecData[[#This Row],[Start Time]]</f>
        <v>43274.039583333331</v>
      </c>
      <c r="CM850" s="16">
        <f>RecData[[#This Row],[Wind Speed avg]]</f>
        <v>0.61</v>
      </c>
      <c r="CN850" s="16">
        <f>RecData[[#This Row],[Wind Dir. avg]]</f>
        <v>156.30000000000001</v>
      </c>
      <c r="CO850" s="16">
        <f>RecData[[#This Row],[Amb. Humidity]]</f>
        <v>79.2</v>
      </c>
      <c r="CP850" s="16">
        <f>RecData[[#This Row],[Amb. Temperature]]</f>
        <v>11.7</v>
      </c>
      <c r="CQ850" s="17">
        <f>RecData[[#This Row],[Amb. Rain Gauge]]</f>
        <v>0</v>
      </c>
      <c r="CR850" s="4" t="s">
        <v>50</v>
      </c>
      <c r="CS850" s="4" t="s">
        <v>49</v>
      </c>
      <c r="CT850" s="70">
        <v>-9.1487293243408203</v>
      </c>
      <c r="CU850" s="70">
        <v>35.863548278808501</v>
      </c>
      <c r="CV850" s="70">
        <v>1.3439089059829701</v>
      </c>
      <c r="CW850" s="70">
        <v>0</v>
      </c>
      <c r="CX850" s="109"/>
      <c r="CY850" s="110"/>
      <c r="CZ850" s="2" t="b">
        <f>IF($DP$1="YES",IF(RecData[[#This Row],[Power (kW)]]&gt;=$CR$3, TRUE,FALSE),TRUE)</f>
        <v>0</v>
      </c>
      <c r="DA850" s="16">
        <f>MIN(MOD(180-ABS(ABS($DA$1-RecData[Yaw Angle (°)])-180),360),MOD(180-ABS(ABS($DB$1-RecData[Yaw Angle (°)])-180),360))</f>
        <v>28.333621501120945</v>
      </c>
      <c r="DB850" s="2" t="str">
        <f>IF($DP$2="None","None",IF(RecData[[#This Row],[Relative Wind Direction]]&lt;=45,"DW",IF(RecData[[#This Row],[Relative Wind Direction]]&lt;=135,"CW","UW")))</f>
        <v>DW</v>
      </c>
      <c r="DC850" s="61">
        <f>IF($CL850-$CL848&gt;1/24,#REF!,IF(SUM($CQ848:$CQ850)&gt;$DS$1,$DS$5,DC851-1))</f>
        <v>-8</v>
      </c>
      <c r="DD850" s="61">
        <f>IF($CL851-$CL850&gt;1/24,#REF!,IF(SUM($CQ848:$CQ850)&gt;$DS$1,$DS$6,DD849-1))</f>
        <v>-3</v>
      </c>
      <c r="DE850" s="18" t="b">
        <v>0</v>
      </c>
      <c r="DF850" s="2" t="b">
        <f>IF(OR(RecData[[#This Row],[WSpd_Avg '[m/s']]]-RecData[[#This Row],[Wind Speed min]]&gt;=$DF$3,RecData[[#This Row],[Wind Speed max]]-RecData[[#This Row],[WSpd_Avg '[m/s']]]&gt;=$DF$2),TRUE,FALSE)</f>
        <v>0</v>
      </c>
      <c r="DG850" s="2" t="b">
        <f>RecData[[#This Row],[Temperature '[°C']]]&lt;=-20</f>
        <v>0</v>
      </c>
      <c r="DH850" s="18" t="b">
        <f>NOT(OR(MOD(RecData[[#This Row],[TIMESTAMP]],1)&gt;0.91632,MOD(RecData[[#This Row],[TIMESTAMP]],1)&lt;0.208681))</f>
        <v>0</v>
      </c>
      <c r="DI850" s="18" t="b">
        <f>RecData[[#This Row],[Overall (dBA)]]-RecData[[#This Row],[L90]]&gt;=$DS$4</f>
        <v>0</v>
      </c>
      <c r="DJ850" s="18" t="b">
        <f>RecData[[#This Row],[Overall (dBA)]]&gt;$DS$2</f>
        <v>0</v>
      </c>
      <c r="DK850" s="18" t="b">
        <f>RecData[[#This Row],[Overall (dBA)]]&lt;$DS$3</f>
        <v>0</v>
      </c>
      <c r="DL8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0" s="2">
        <f>IF(AND(RecData[[#This Row],[Turbines ON/OFF]] = "OFF", NOT(OR(RecData[[#This Row],[Junk?]]="YES",RecData[[#This Row],[Gust?]],RecData[[#This Row],[Rain?]:[Min SPL Threshold?]]))),1,0)</f>
        <v>1</v>
      </c>
      <c r="DN850" s="16">
        <f>RecData[[#This Row],[dBA Sum]]</f>
        <v>16.572848985834174</v>
      </c>
      <c r="DO850" s="16">
        <f>RecData[[#This Row],[LAF90.0]]</f>
        <v>19.399999999999999</v>
      </c>
      <c r="DP850" s="55" t="str">
        <f>IF(AND(RecData[[#This Row],[Useable TON Data?]],RecData[[#This Row],[Turbines ON/OFF]]="ON"),RecData[[#This Row],[dBA Sum]],"")</f>
        <v/>
      </c>
      <c r="DQ850" s="55">
        <f>IF(AND(RecData[[#This Row],[Useable Background Data?]],RecData[[#This Row],[Turbines ON/OFF]]="OFF"),RecData[[#This Row],[dBA Sum]],"")</f>
        <v>16.572848985834174</v>
      </c>
      <c r="DR850" s="3">
        <f>IF(OR(RecData[[#This Row],[Useable TON Data?]],RecData[[#This Row],[Useable Background Data?]]),ROUND(RecData[[#This Row],[WSpd_Avg '[m/s']]],0),"")</f>
        <v>1</v>
      </c>
      <c r="DS850" s="85">
        <f>(0.00002)^2*(10^(RecData[[#This Row],[Overall (dBA)]]/10))</f>
        <v>1.8169580060541294E-8</v>
      </c>
    </row>
    <row r="851" spans="1:123" ht="15" x14ac:dyDescent="0.25">
      <c r="A851" s="3" t="s">
        <v>249</v>
      </c>
      <c r="B851" s="12">
        <v>43274.040277777778</v>
      </c>
      <c r="C851" s="3"/>
      <c r="D851" s="3">
        <v>27.6</v>
      </c>
      <c r="E851" s="3"/>
      <c r="F851" s="3"/>
      <c r="G851" s="3"/>
      <c r="H851" s="3"/>
      <c r="I851" s="3"/>
      <c r="J851" s="3"/>
      <c r="K851" s="3">
        <v>19.3</v>
      </c>
      <c r="L851" s="3"/>
      <c r="M851" s="3"/>
      <c r="N851" s="3">
        <v>141.80000000000001</v>
      </c>
      <c r="O851" s="3"/>
      <c r="P851" s="3"/>
      <c r="Q851" s="3">
        <v>0.6</v>
      </c>
      <c r="R851" s="3">
        <v>0.2</v>
      </c>
      <c r="S851" s="3">
        <v>0.8</v>
      </c>
      <c r="T851" s="3">
        <v>11.8</v>
      </c>
      <c r="U851" s="3">
        <v>79.3</v>
      </c>
      <c r="V851" s="3">
        <v>967.4</v>
      </c>
      <c r="W851" s="3">
        <v>0</v>
      </c>
      <c r="X851" s="3">
        <v>22</v>
      </c>
      <c r="Y851" s="3">
        <v>16.5</v>
      </c>
      <c r="Z851" s="3">
        <v>18.3</v>
      </c>
      <c r="AA851" s="3">
        <v>16.5</v>
      </c>
      <c r="AB851" s="3">
        <v>8</v>
      </c>
      <c r="AC851" s="3">
        <v>7.9</v>
      </c>
      <c r="AD851" s="3">
        <v>7.8</v>
      </c>
      <c r="AE851" s="3">
        <v>7.3</v>
      </c>
      <c r="AF851" s="3">
        <v>8.1999999999999993</v>
      </c>
      <c r="AG851" s="3">
        <v>9.4</v>
      </c>
      <c r="AH851" s="3">
        <v>9.1</v>
      </c>
      <c r="AI851" s="3">
        <v>7.9</v>
      </c>
      <c r="AJ851" s="3">
        <v>10.199999999999999</v>
      </c>
      <c r="AK851" s="3">
        <v>10.7</v>
      </c>
      <c r="AL851" s="3">
        <v>8</v>
      </c>
      <c r="AM851" s="3">
        <v>7.3</v>
      </c>
      <c r="AN851" s="3">
        <v>6.9</v>
      </c>
      <c r="AO851" s="3">
        <v>6.6</v>
      </c>
      <c r="AP851" s="3">
        <v>6</v>
      </c>
      <c r="AQ851" s="3">
        <v>6.7</v>
      </c>
      <c r="AR851" s="3">
        <v>7.1</v>
      </c>
      <c r="AS851" s="3">
        <v>11.6</v>
      </c>
      <c r="AT851" s="3">
        <v>25.7</v>
      </c>
      <c r="AU851" s="3">
        <v>9.9</v>
      </c>
      <c r="AV851" s="3">
        <v>8.1999999999999993</v>
      </c>
      <c r="AW851" s="3">
        <v>8.6999999999999993</v>
      </c>
      <c r="AX851" s="3">
        <v>8.9</v>
      </c>
      <c r="AY851" s="3">
        <v>9.1999999999999993</v>
      </c>
      <c r="AZ851" s="3">
        <v>0</v>
      </c>
      <c r="BA851" s="3">
        <v>0</v>
      </c>
      <c r="BB851" s="3">
        <v>0</v>
      </c>
      <c r="BC851" s="3">
        <v>27.686805951016993</v>
      </c>
      <c r="BD851" s="3">
        <v>21.913194048983009</v>
      </c>
      <c r="BE851" s="3">
        <v>16.413194048983009</v>
      </c>
      <c r="BF851" s="3">
        <v>16.973194048983011</v>
      </c>
      <c r="BG851" s="3">
        <v>15.499860715649675</v>
      </c>
      <c r="BH851" s="3">
        <v>7.1398607156496752</v>
      </c>
      <c r="BI851" s="3">
        <v>7.4531940489830077</v>
      </c>
      <c r="BJ851" s="3">
        <v>8.1465273823163429</v>
      </c>
      <c r="BK851" s="3">
        <v>7.5198607156496706</v>
      </c>
      <c r="BL851" s="3">
        <v>7.9931940489830069</v>
      </c>
      <c r="BM851" s="3">
        <v>9.3265273823163426</v>
      </c>
      <c r="BN851" s="3">
        <v>9.3098607156496769</v>
      </c>
      <c r="BO851" s="3">
        <v>7.4765273823163483</v>
      </c>
      <c r="BP851" s="3">
        <v>9.4931940489830069</v>
      </c>
      <c r="BQ851" s="3">
        <v>10.409860715649664</v>
      </c>
      <c r="BR851" s="3">
        <v>8.0365273823163434</v>
      </c>
      <c r="BS851" s="3">
        <v>7.1398607156496752</v>
      </c>
      <c r="BT851" s="3">
        <v>6.936527382316342</v>
      </c>
      <c r="BU851" s="3">
        <v>6.6031940489830134</v>
      </c>
      <c r="BV851" s="3">
        <v>5.7198607156496735</v>
      </c>
      <c r="BW851" s="3">
        <v>6.9531940489830149</v>
      </c>
      <c r="BX851" s="3">
        <v>7.2731940489830151</v>
      </c>
      <c r="BY851" s="3">
        <v>11.593194048983008</v>
      </c>
      <c r="BZ851" s="3">
        <v>25.823194048983012</v>
      </c>
      <c r="CA851" s="3">
        <v>10.123194048983002</v>
      </c>
      <c r="CB851" s="3">
        <v>7.859860715649674</v>
      </c>
      <c r="CC851" s="3">
        <v>8.5731940489830052</v>
      </c>
      <c r="CD851" s="3">
        <v>8.07986071564968</v>
      </c>
      <c r="CE851" s="3">
        <v>8.5731940489830052</v>
      </c>
      <c r="CF851" s="3">
        <v>-1.0134726176836573</v>
      </c>
      <c r="CG851" s="3">
        <v>-1.5468059510169887</v>
      </c>
      <c r="CH851" s="3">
        <v>-2.6234726176836567</v>
      </c>
      <c r="CI851" s="13">
        <f>[1]!dbasum(RecData[[#This Row],[20]:[2000]],RecData[[#Headers],[20]:[2000]])</f>
        <v>16.050842535830611</v>
      </c>
      <c r="CJ851" s="14">
        <v>9931</v>
      </c>
      <c r="CK851" s="15" t="s">
        <v>249</v>
      </c>
      <c r="CL851" s="15">
        <f>RecData[[#This Row],[Start Time]]</f>
        <v>43274.040277777778</v>
      </c>
      <c r="CM851" s="16">
        <f>RecData[[#This Row],[Wind Speed avg]]</f>
        <v>0.6</v>
      </c>
      <c r="CN851" s="16">
        <f>RecData[[#This Row],[Wind Dir. avg]]</f>
        <v>141.80000000000001</v>
      </c>
      <c r="CO851" s="16">
        <f>RecData[[#This Row],[Amb. Humidity]]</f>
        <v>79.3</v>
      </c>
      <c r="CP851" s="16">
        <f>RecData[[#This Row],[Amb. Temperature]]</f>
        <v>11.8</v>
      </c>
      <c r="CQ851" s="17">
        <f>RecData[[#This Row],[Amb. Rain Gauge]]</f>
        <v>0</v>
      </c>
      <c r="CR851" s="4" t="s">
        <v>50</v>
      </c>
      <c r="CS851" s="4" t="s">
        <v>49</v>
      </c>
      <c r="CT851" s="70">
        <v>-9.1487293243408203</v>
      </c>
      <c r="CU851" s="70">
        <v>35.863548278808501</v>
      </c>
      <c r="CV851" s="70">
        <v>1.3439089059829701</v>
      </c>
      <c r="CW851" s="70">
        <v>0</v>
      </c>
      <c r="CX851" s="109"/>
      <c r="CY851" s="110"/>
      <c r="CZ851" s="2" t="b">
        <f>IF($DP$1="YES",IF(RecData[[#This Row],[Power (kW)]]&gt;=$CR$3, TRUE,FALSE),TRUE)</f>
        <v>0</v>
      </c>
      <c r="DA851" s="16">
        <f>MIN(MOD(180-ABS(ABS($DA$1-RecData[Yaw Angle (°)])-180),360),MOD(180-ABS(ABS($DB$1-RecData[Yaw Angle (°)])-180),360))</f>
        <v>28.333621501120945</v>
      </c>
      <c r="DB851" s="2" t="str">
        <f>IF($DP$2="None","None",IF(RecData[[#This Row],[Relative Wind Direction]]&lt;=45,"DW",IF(RecData[[#This Row],[Relative Wind Direction]]&lt;=135,"CW","UW")))</f>
        <v>DW</v>
      </c>
      <c r="DC851" s="61">
        <f>IF($CL851-$CL848&gt;1/24,#REF!,IF(SUM($CQ848:$CQ851)&gt;$DS$1,$DS$5,DC852-1))</f>
        <v>-7</v>
      </c>
      <c r="DD851" s="61">
        <f>IF($CL852-$CL851&gt;1/24,#REF!,IF(SUM($CQ848:$CQ851)&gt;$DS$1,$DS$6,DD850-1))</f>
        <v>-4</v>
      </c>
      <c r="DE851" s="18" t="b">
        <v>0</v>
      </c>
      <c r="DF851" s="2" t="b">
        <f>IF(OR(RecData[[#This Row],[WSpd_Avg '[m/s']]]-RecData[[#This Row],[Wind Speed min]]&gt;=$DF$3,RecData[[#This Row],[Wind Speed max]]-RecData[[#This Row],[WSpd_Avg '[m/s']]]&gt;=$DF$2),TRUE,FALSE)</f>
        <v>0</v>
      </c>
      <c r="DG851" s="2" t="b">
        <f>RecData[[#This Row],[Temperature '[°C']]]&lt;=-20</f>
        <v>0</v>
      </c>
      <c r="DH851" s="18" t="b">
        <f>NOT(OR(MOD(RecData[[#This Row],[TIMESTAMP]],1)&gt;0.91632,MOD(RecData[[#This Row],[TIMESTAMP]],1)&lt;0.208681))</f>
        <v>0</v>
      </c>
      <c r="DI851" s="18" t="b">
        <f>RecData[[#This Row],[Overall (dBA)]]-RecData[[#This Row],[L90]]&gt;=$DS$4</f>
        <v>0</v>
      </c>
      <c r="DJ851" s="18" t="b">
        <f>RecData[[#This Row],[Overall (dBA)]]&gt;$DS$2</f>
        <v>0</v>
      </c>
      <c r="DK851" s="18" t="b">
        <f>RecData[[#This Row],[Overall (dBA)]]&lt;$DS$3</f>
        <v>0</v>
      </c>
      <c r="DL8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1" s="2">
        <f>IF(AND(RecData[[#This Row],[Turbines ON/OFF]] = "OFF", NOT(OR(RecData[[#This Row],[Junk?]]="YES",RecData[[#This Row],[Gust?]],RecData[[#This Row],[Rain?]:[Min SPL Threshold?]]))),1,0)</f>
        <v>1</v>
      </c>
      <c r="DN851" s="16">
        <f>RecData[[#This Row],[dBA Sum]]</f>
        <v>16.050842535830611</v>
      </c>
      <c r="DO851" s="16">
        <f>RecData[[#This Row],[LAF90.0]]</f>
        <v>19.3</v>
      </c>
      <c r="DP851" s="55" t="str">
        <f>IF(AND(RecData[[#This Row],[Useable TON Data?]],RecData[[#This Row],[Turbines ON/OFF]]="ON"),RecData[[#This Row],[dBA Sum]],"")</f>
        <v/>
      </c>
      <c r="DQ851" s="55">
        <f>IF(AND(RecData[[#This Row],[Useable Background Data?]],RecData[[#This Row],[Turbines ON/OFF]]="OFF"),RecData[[#This Row],[dBA Sum]],"")</f>
        <v>16.050842535830611</v>
      </c>
      <c r="DR851" s="3">
        <f>IF(OR(RecData[[#This Row],[Useable TON Data?]],RecData[[#This Row],[Useable Background Data?]]),ROUND(RecData[[#This Row],[WSpd_Avg '[m/s']]],0),"")</f>
        <v>1</v>
      </c>
      <c r="DS851" s="85">
        <f>(0.00002)^2*(10^(RecData[[#This Row],[Overall (dBA)]]/10))</f>
        <v>1.6111806777184486E-8</v>
      </c>
    </row>
    <row r="852" spans="1:123" ht="15" x14ac:dyDescent="0.25">
      <c r="A852" s="3" t="s">
        <v>249</v>
      </c>
      <c r="B852" s="12">
        <v>43274.040972222225</v>
      </c>
      <c r="C852" s="3"/>
      <c r="D852" s="3">
        <v>28.9</v>
      </c>
      <c r="E852" s="3"/>
      <c r="F852" s="3"/>
      <c r="G852" s="3"/>
      <c r="H852" s="3"/>
      <c r="I852" s="3"/>
      <c r="J852" s="3"/>
      <c r="K852" s="3">
        <v>20.2</v>
      </c>
      <c r="L852" s="3"/>
      <c r="M852" s="3"/>
      <c r="N852" s="3">
        <v>138.9</v>
      </c>
      <c r="O852" s="3"/>
      <c r="P852" s="3"/>
      <c r="Q852" s="3">
        <v>0.62</v>
      </c>
      <c r="R852" s="3">
        <v>0.5</v>
      </c>
      <c r="S852" s="3">
        <v>0.8</v>
      </c>
      <c r="T852" s="3">
        <v>11.8</v>
      </c>
      <c r="U852" s="3">
        <v>79.5</v>
      </c>
      <c r="V852" s="3">
        <v>967.4</v>
      </c>
      <c r="W852" s="3">
        <v>0</v>
      </c>
      <c r="X852" s="3">
        <v>21</v>
      </c>
      <c r="Y852" s="3">
        <v>14.6</v>
      </c>
      <c r="Z852" s="3">
        <v>16.399999999999999</v>
      </c>
      <c r="AA852" s="3">
        <v>10.1</v>
      </c>
      <c r="AB852" s="3">
        <v>8.1</v>
      </c>
      <c r="AC852" s="3">
        <v>7.2</v>
      </c>
      <c r="AD852" s="3">
        <v>7.7</v>
      </c>
      <c r="AE852" s="3">
        <v>7.4</v>
      </c>
      <c r="AF852" s="3">
        <v>7.8</v>
      </c>
      <c r="AG852" s="3">
        <v>8.8000000000000007</v>
      </c>
      <c r="AH852" s="3">
        <v>8.3000000000000007</v>
      </c>
      <c r="AI852" s="3">
        <v>7.8</v>
      </c>
      <c r="AJ852" s="3">
        <v>10</v>
      </c>
      <c r="AK852" s="3">
        <v>9.1999999999999993</v>
      </c>
      <c r="AL852" s="3">
        <v>7.4</v>
      </c>
      <c r="AM852" s="3">
        <v>6.6</v>
      </c>
      <c r="AN852" s="3">
        <v>6.8</v>
      </c>
      <c r="AO852" s="3">
        <v>6.6</v>
      </c>
      <c r="AP852" s="3">
        <v>6.1</v>
      </c>
      <c r="AQ852" s="3">
        <v>6.5</v>
      </c>
      <c r="AR852" s="3">
        <v>6.5</v>
      </c>
      <c r="AS852" s="3">
        <v>12.5</v>
      </c>
      <c r="AT852" s="3">
        <v>27.1</v>
      </c>
      <c r="AU852" s="3">
        <v>12.3</v>
      </c>
      <c r="AV852" s="3">
        <v>8.5</v>
      </c>
      <c r="AW852" s="3">
        <v>9</v>
      </c>
      <c r="AX852" s="3">
        <v>9</v>
      </c>
      <c r="AY852" s="3">
        <v>9.1999999999999993</v>
      </c>
      <c r="AZ852" s="3">
        <v>0</v>
      </c>
      <c r="BA852" s="3">
        <v>0</v>
      </c>
      <c r="BB852" s="3">
        <v>0</v>
      </c>
      <c r="BC852" s="3">
        <v>28.945468003522087</v>
      </c>
      <c r="BD852" s="3">
        <v>20.954531996477911</v>
      </c>
      <c r="BE852" s="3">
        <v>14.554531996477913</v>
      </c>
      <c r="BF852" s="3">
        <v>15.114531996477908</v>
      </c>
      <c r="BG852" s="3">
        <v>9.1411986631445714</v>
      </c>
      <c r="BH852" s="3">
        <v>7.2811986631445791</v>
      </c>
      <c r="BI852" s="3">
        <v>6.7945319964779145</v>
      </c>
      <c r="BJ852" s="3">
        <v>8.087865329811244</v>
      </c>
      <c r="BK852" s="3">
        <v>7.6611986631445745</v>
      </c>
      <c r="BL852" s="3">
        <v>7.6345319964779108</v>
      </c>
      <c r="BM852" s="3">
        <v>8.7678653298112508</v>
      </c>
      <c r="BN852" s="3">
        <v>8.5511986631445822</v>
      </c>
      <c r="BO852" s="3">
        <v>7.4178653298112494</v>
      </c>
      <c r="BP852" s="3">
        <v>9.3345319964779137</v>
      </c>
      <c r="BQ852" s="3">
        <v>8.9511986631445666</v>
      </c>
      <c r="BR852" s="3">
        <v>7.4778653298112445</v>
      </c>
      <c r="BS852" s="3">
        <v>6.4811986631445748</v>
      </c>
      <c r="BT852" s="3">
        <v>6.8778653298112431</v>
      </c>
      <c r="BU852" s="3">
        <v>6.6445319964779159</v>
      </c>
      <c r="BV852" s="3">
        <v>5.8611986631445774</v>
      </c>
      <c r="BW852" s="3">
        <v>6.7945319964779145</v>
      </c>
      <c r="BX852" s="3">
        <v>6.7145319964779162</v>
      </c>
      <c r="BY852" s="3">
        <v>12.534531996477909</v>
      </c>
      <c r="BZ852" s="3">
        <v>27.26453199647792</v>
      </c>
      <c r="CA852" s="3">
        <v>12.564531996477903</v>
      </c>
      <c r="CB852" s="3">
        <v>8.2011986631445737</v>
      </c>
      <c r="CC852" s="3">
        <v>8.9145319964779119</v>
      </c>
      <c r="CD852" s="3">
        <v>8.2211986631445839</v>
      </c>
      <c r="CE852" s="3">
        <v>8.6145319964779077</v>
      </c>
      <c r="CF852" s="3">
        <v>-0.97213467018875477</v>
      </c>
      <c r="CG852" s="3">
        <v>-1.5054680035220862</v>
      </c>
      <c r="CH852" s="3">
        <v>-2.5821346701887542</v>
      </c>
      <c r="CI852" s="13">
        <f>[1]!dbasum(RecData[[#This Row],[20]:[2000]],RecData[[#Headers],[20]:[2000]])</f>
        <v>15.705026986047431</v>
      </c>
      <c r="CJ852" s="14">
        <v>9932</v>
      </c>
      <c r="CK852" s="15" t="s">
        <v>249</v>
      </c>
      <c r="CL852" s="15">
        <f>RecData[[#This Row],[Start Time]]</f>
        <v>43274.040972222225</v>
      </c>
      <c r="CM852" s="16">
        <f>RecData[[#This Row],[Wind Speed avg]]</f>
        <v>0.62</v>
      </c>
      <c r="CN852" s="16">
        <f>RecData[[#This Row],[Wind Dir. avg]]</f>
        <v>138.9</v>
      </c>
      <c r="CO852" s="16">
        <f>RecData[[#This Row],[Amb. Humidity]]</f>
        <v>79.5</v>
      </c>
      <c r="CP852" s="16">
        <f>RecData[[#This Row],[Amb. Temperature]]</f>
        <v>11.8</v>
      </c>
      <c r="CQ852" s="17">
        <f>RecData[[#This Row],[Amb. Rain Gauge]]</f>
        <v>0</v>
      </c>
      <c r="CR852" s="4" t="s">
        <v>50</v>
      </c>
      <c r="CS852" s="4" t="s">
        <v>49</v>
      </c>
      <c r="CT852" s="70">
        <v>-9.1487293243408203</v>
      </c>
      <c r="CU852" s="70">
        <v>35.863548278808501</v>
      </c>
      <c r="CV852" s="70">
        <v>1.3439089059829701</v>
      </c>
      <c r="CW852" s="70">
        <v>0</v>
      </c>
      <c r="CX852" s="109"/>
      <c r="CY852" s="110"/>
      <c r="CZ852" s="2" t="b">
        <f>IF($DP$1="YES",IF(RecData[[#This Row],[Power (kW)]]&gt;=$CR$3, TRUE,FALSE),TRUE)</f>
        <v>0</v>
      </c>
      <c r="DA852" s="16">
        <f>MIN(MOD(180-ABS(ABS($DA$1-RecData[Yaw Angle (°)])-180),360),MOD(180-ABS(ABS($DB$1-RecData[Yaw Angle (°)])-180),360))</f>
        <v>28.333621501120945</v>
      </c>
      <c r="DB852" s="2" t="str">
        <f>IF($DP$2="None","None",IF(RecData[[#This Row],[Relative Wind Direction]]&lt;=45,"DW",IF(RecData[[#This Row],[Relative Wind Direction]]&lt;=135,"CW","UW")))</f>
        <v>DW</v>
      </c>
      <c r="DC852" s="61">
        <f>IF($CL852-$CL848&gt;1/24,#REF!,IF(SUM($CQ848:$CQ852)&gt;$DS$1,$DS$5,DC853-1))</f>
        <v>-6</v>
      </c>
      <c r="DD852" s="61">
        <f>IF($CL853-$CL852&gt;1/24,#REF!,IF(SUM($CQ848:$CQ852)&gt;$DS$1,$DS$6,DD851-1))</f>
        <v>-5</v>
      </c>
      <c r="DE852" s="18" t="b">
        <v>0</v>
      </c>
      <c r="DF852" s="2" t="b">
        <f>IF(OR(RecData[[#This Row],[WSpd_Avg '[m/s']]]-RecData[[#This Row],[Wind Speed min]]&gt;=$DF$3,RecData[[#This Row],[Wind Speed max]]-RecData[[#This Row],[WSpd_Avg '[m/s']]]&gt;=$DF$2),TRUE,FALSE)</f>
        <v>0</v>
      </c>
      <c r="DG852" s="2" t="b">
        <f>RecData[[#This Row],[Temperature '[°C']]]&lt;=-20</f>
        <v>0</v>
      </c>
      <c r="DH852" s="18" t="b">
        <f>NOT(OR(MOD(RecData[[#This Row],[TIMESTAMP]],1)&gt;0.91632,MOD(RecData[[#This Row],[TIMESTAMP]],1)&lt;0.208681))</f>
        <v>0</v>
      </c>
      <c r="DI852" s="18" t="b">
        <f>RecData[[#This Row],[Overall (dBA)]]-RecData[[#This Row],[L90]]&gt;=$DS$4</f>
        <v>0</v>
      </c>
      <c r="DJ852" s="18" t="b">
        <f>RecData[[#This Row],[Overall (dBA)]]&gt;$DS$2</f>
        <v>0</v>
      </c>
      <c r="DK852" s="18" t="b">
        <f>RecData[[#This Row],[Overall (dBA)]]&lt;$DS$3</f>
        <v>0</v>
      </c>
      <c r="DL8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2" s="2">
        <f>IF(AND(RecData[[#This Row],[Turbines ON/OFF]] = "OFF", NOT(OR(RecData[[#This Row],[Junk?]]="YES",RecData[[#This Row],[Gust?]],RecData[[#This Row],[Rain?]:[Min SPL Threshold?]]))),1,0)</f>
        <v>1</v>
      </c>
      <c r="DN852" s="16">
        <f>RecData[[#This Row],[dBA Sum]]</f>
        <v>15.705026986047431</v>
      </c>
      <c r="DO852" s="16">
        <f>RecData[[#This Row],[LAF90.0]]</f>
        <v>20.2</v>
      </c>
      <c r="DP852" s="55" t="str">
        <f>IF(AND(RecData[[#This Row],[Useable TON Data?]],RecData[[#This Row],[Turbines ON/OFF]]="ON"),RecData[[#This Row],[dBA Sum]],"")</f>
        <v/>
      </c>
      <c r="DQ852" s="55">
        <f>IF(AND(RecData[[#This Row],[Useable Background Data?]],RecData[[#This Row],[Turbines ON/OFF]]="OFF"),RecData[[#This Row],[dBA Sum]],"")</f>
        <v>15.705026986047431</v>
      </c>
      <c r="DR852" s="3">
        <f>IF(OR(RecData[[#This Row],[Useable TON Data?]],RecData[[#This Row],[Useable Background Data?]]),ROUND(RecData[[#This Row],[WSpd_Avg '[m/s']]],0),"")</f>
        <v>1</v>
      </c>
      <c r="DS852" s="85">
        <f>(0.00002)^2*(10^(RecData[[#This Row],[Overall (dBA)]]/10))</f>
        <v>1.4878621298477824E-8</v>
      </c>
    </row>
    <row r="853" spans="1:123" ht="15" x14ac:dyDescent="0.25">
      <c r="A853" s="3" t="s">
        <v>249</v>
      </c>
      <c r="B853" s="12">
        <v>43274.041666666672</v>
      </c>
      <c r="C853" s="3"/>
      <c r="D853" s="3">
        <v>30.7</v>
      </c>
      <c r="E853" s="3"/>
      <c r="F853" s="3"/>
      <c r="G853" s="3"/>
      <c r="H853" s="3"/>
      <c r="I853" s="3"/>
      <c r="J853" s="3"/>
      <c r="K853" s="3">
        <v>21.2</v>
      </c>
      <c r="L853" s="3"/>
      <c r="M853" s="3"/>
      <c r="N853" s="3">
        <v>121.5</v>
      </c>
      <c r="O853" s="3"/>
      <c r="P853" s="3"/>
      <c r="Q853" s="3">
        <v>0.56000000000000005</v>
      </c>
      <c r="R853" s="3">
        <v>0.3</v>
      </c>
      <c r="S853" s="3">
        <v>0.8</v>
      </c>
      <c r="T853" s="3">
        <v>11.8</v>
      </c>
      <c r="U853" s="3">
        <v>80.8</v>
      </c>
      <c r="V853" s="3">
        <v>967.4</v>
      </c>
      <c r="W853" s="3">
        <v>0</v>
      </c>
      <c r="X853" s="3">
        <v>17</v>
      </c>
      <c r="Y853" s="3">
        <v>13.4</v>
      </c>
      <c r="Z853" s="3">
        <v>12.3</v>
      </c>
      <c r="AA853" s="3">
        <v>9.3000000000000007</v>
      </c>
      <c r="AB853" s="3">
        <v>8.1</v>
      </c>
      <c r="AC853" s="3">
        <v>6.6</v>
      </c>
      <c r="AD853" s="3">
        <v>8.8000000000000007</v>
      </c>
      <c r="AE853" s="3">
        <v>8.3000000000000007</v>
      </c>
      <c r="AF853" s="3">
        <v>8.1</v>
      </c>
      <c r="AG853" s="3">
        <v>16.399999999999999</v>
      </c>
      <c r="AH853" s="3">
        <v>12.5</v>
      </c>
      <c r="AI853" s="3">
        <v>8</v>
      </c>
      <c r="AJ853" s="3">
        <v>10.5</v>
      </c>
      <c r="AK853" s="3">
        <v>9.4</v>
      </c>
      <c r="AL853" s="3">
        <v>7.4</v>
      </c>
      <c r="AM853" s="3">
        <v>7.2</v>
      </c>
      <c r="AN853" s="3">
        <v>7</v>
      </c>
      <c r="AO853" s="3">
        <v>6.7</v>
      </c>
      <c r="AP853" s="3">
        <v>6.4</v>
      </c>
      <c r="AQ853" s="3">
        <v>6.9</v>
      </c>
      <c r="AR853" s="3">
        <v>6.8</v>
      </c>
      <c r="AS853" s="3">
        <v>14.2</v>
      </c>
      <c r="AT853" s="3">
        <v>29</v>
      </c>
      <c r="AU853" s="3">
        <v>12</v>
      </c>
      <c r="AV853" s="3">
        <v>9.9</v>
      </c>
      <c r="AW853" s="3">
        <v>9.4</v>
      </c>
      <c r="AX853" s="3">
        <v>9.1</v>
      </c>
      <c r="AY853" s="3">
        <v>9.3000000000000007</v>
      </c>
      <c r="AZ853" s="3">
        <v>0</v>
      </c>
      <c r="BA853" s="3">
        <v>0</v>
      </c>
      <c r="BB853" s="3">
        <v>0</v>
      </c>
      <c r="BC853" s="3">
        <v>30.698167486101674</v>
      </c>
      <c r="BD853" s="3">
        <v>17.001832513898329</v>
      </c>
      <c r="BE853" s="3">
        <v>13.401832513898327</v>
      </c>
      <c r="BF853" s="3">
        <v>11.061832513898324</v>
      </c>
      <c r="BG853" s="3">
        <v>8.3884991805649918</v>
      </c>
      <c r="BH853" s="3">
        <v>7.3284991805649966</v>
      </c>
      <c r="BI853" s="3">
        <v>6.2418325138983235</v>
      </c>
      <c r="BJ853" s="3">
        <v>9.2351658472316558</v>
      </c>
      <c r="BK853" s="3">
        <v>8.6084991805649906</v>
      </c>
      <c r="BL853" s="3">
        <v>7.9818325138983255</v>
      </c>
      <c r="BM853" s="3">
        <v>16.415165847231656</v>
      </c>
      <c r="BN853" s="3">
        <v>12.798499180564995</v>
      </c>
      <c r="BO853" s="3">
        <v>7.6651658472316626</v>
      </c>
      <c r="BP853" s="3">
        <v>9.8818325138983241</v>
      </c>
      <c r="BQ853" s="3">
        <v>9.1984991805649869</v>
      </c>
      <c r="BR853" s="3">
        <v>7.525165847231662</v>
      </c>
      <c r="BS853" s="3">
        <v>7.1284991805649938</v>
      </c>
      <c r="BT853" s="3">
        <v>7.1251658472316635</v>
      </c>
      <c r="BU853" s="3">
        <v>6.7918325138983278</v>
      </c>
      <c r="BV853" s="3">
        <v>6.2084991805649921</v>
      </c>
      <c r="BW853" s="3">
        <v>7.2418325138983306</v>
      </c>
      <c r="BX853" s="3">
        <v>7.0618325138983309</v>
      </c>
      <c r="BY853" s="3">
        <v>14.281832513898323</v>
      </c>
      <c r="BZ853" s="3">
        <v>29.211832513898329</v>
      </c>
      <c r="CA853" s="3">
        <v>12.311832513898317</v>
      </c>
      <c r="CB853" s="3">
        <v>9.6484991805649898</v>
      </c>
      <c r="CC853" s="3">
        <v>9.361832513898328</v>
      </c>
      <c r="CD853" s="3">
        <v>8.3684991805649958</v>
      </c>
      <c r="CE853" s="3">
        <v>8.7618325138983266</v>
      </c>
      <c r="CF853" s="3">
        <v>-0.9248341527683408</v>
      </c>
      <c r="CG853" s="3">
        <v>-1.4581674861016722</v>
      </c>
      <c r="CH853" s="3">
        <v>-2.5348341527683402</v>
      </c>
      <c r="CI853" s="13">
        <f>[1]!dbasum(RecData[[#This Row],[20]:[2000]],RecData[[#Headers],[20]:[2000]])</f>
        <v>16.313405844447594</v>
      </c>
      <c r="CJ853" s="14">
        <v>9933</v>
      </c>
      <c r="CK853" s="15" t="s">
        <v>249</v>
      </c>
      <c r="CL853" s="15">
        <f>RecData[[#This Row],[Start Time]]</f>
        <v>43274.041666666672</v>
      </c>
      <c r="CM853" s="16">
        <f>RecData[[#This Row],[Wind Speed avg]]</f>
        <v>0.56000000000000005</v>
      </c>
      <c r="CN853" s="16">
        <f>RecData[[#This Row],[Wind Dir. avg]]</f>
        <v>121.5</v>
      </c>
      <c r="CO853" s="16">
        <f>RecData[[#This Row],[Amb. Humidity]]</f>
        <v>80.8</v>
      </c>
      <c r="CP853" s="16">
        <f>RecData[[#This Row],[Amb. Temperature]]</f>
        <v>11.8</v>
      </c>
      <c r="CQ853" s="17">
        <f>RecData[[#This Row],[Amb. Rain Gauge]]</f>
        <v>0</v>
      </c>
      <c r="CR853" s="4" t="s">
        <v>50</v>
      </c>
      <c r="CS853" s="4" t="s">
        <v>49</v>
      </c>
      <c r="CT853" s="70">
        <v>-9.1487293243408203</v>
      </c>
      <c r="CU853" s="70">
        <v>35.863548278808501</v>
      </c>
      <c r="CV853" s="70">
        <v>1.3439089059829701</v>
      </c>
      <c r="CW853" s="70">
        <v>0</v>
      </c>
      <c r="CX853" s="109"/>
      <c r="CY853" s="110"/>
      <c r="CZ853" s="2" t="b">
        <f>IF($DP$1="YES",IF(RecData[[#This Row],[Power (kW)]]&gt;=$CR$3, TRUE,FALSE),TRUE)</f>
        <v>0</v>
      </c>
      <c r="DA853" s="16">
        <f>MIN(MOD(180-ABS(ABS($DA$1-RecData[Yaw Angle (°)])-180),360),MOD(180-ABS(ABS($DB$1-RecData[Yaw Angle (°)])-180),360))</f>
        <v>28.333621501120945</v>
      </c>
      <c r="DB853" s="2" t="str">
        <f>IF($DP$2="None","None",IF(RecData[[#This Row],[Relative Wind Direction]]&lt;=45,"DW",IF(RecData[[#This Row],[Relative Wind Direction]]&lt;=135,"CW","UW")))</f>
        <v>DW</v>
      </c>
      <c r="DC853" s="61">
        <f>IF($CL853-$CL849&gt;1/24,#REF!,IF(SUM($CQ849:$CQ853)&gt;$DS$1,$DS$5,DC854-1))</f>
        <v>-5</v>
      </c>
      <c r="DD853" s="61">
        <f>IF($CL854-$CL853&gt;1/24,#REF!,IF(SUM($CQ849:$CQ853)&gt;$DS$1,$DS$6,DD852-1))</f>
        <v>-6</v>
      </c>
      <c r="DE853" s="18" t="b">
        <v>0</v>
      </c>
      <c r="DF853" s="2" t="b">
        <f>IF(OR(RecData[[#This Row],[WSpd_Avg '[m/s']]]-RecData[[#This Row],[Wind Speed min]]&gt;=$DF$3,RecData[[#This Row],[Wind Speed max]]-RecData[[#This Row],[WSpd_Avg '[m/s']]]&gt;=$DF$2),TRUE,FALSE)</f>
        <v>0</v>
      </c>
      <c r="DG853" s="2" t="b">
        <f>RecData[[#This Row],[Temperature '[°C']]]&lt;=-20</f>
        <v>0</v>
      </c>
      <c r="DH853" s="18" t="b">
        <f>NOT(OR(MOD(RecData[[#This Row],[TIMESTAMP]],1)&gt;0.91632,MOD(RecData[[#This Row],[TIMESTAMP]],1)&lt;0.208681))</f>
        <v>0</v>
      </c>
      <c r="DI853" s="18" t="b">
        <f>RecData[[#This Row],[Overall (dBA)]]-RecData[[#This Row],[L90]]&gt;=$DS$4</f>
        <v>0</v>
      </c>
      <c r="DJ853" s="18" t="b">
        <f>RecData[[#This Row],[Overall (dBA)]]&gt;$DS$2</f>
        <v>0</v>
      </c>
      <c r="DK853" s="18" t="b">
        <f>RecData[[#This Row],[Overall (dBA)]]&lt;$DS$3</f>
        <v>0</v>
      </c>
      <c r="DL8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3" s="2">
        <f>IF(AND(RecData[[#This Row],[Turbines ON/OFF]] = "OFF", NOT(OR(RecData[[#This Row],[Junk?]]="YES",RecData[[#This Row],[Gust?]],RecData[[#This Row],[Rain?]:[Min SPL Threshold?]]))),1,0)</f>
        <v>1</v>
      </c>
      <c r="DN853" s="16">
        <f>RecData[[#This Row],[dBA Sum]]</f>
        <v>16.313405844447594</v>
      </c>
      <c r="DO853" s="16">
        <f>RecData[[#This Row],[LAF90.0]]</f>
        <v>21.2</v>
      </c>
      <c r="DP853" s="55" t="str">
        <f>IF(AND(RecData[[#This Row],[Useable TON Data?]],RecData[[#This Row],[Turbines ON/OFF]]="ON"),RecData[[#This Row],[dBA Sum]],"")</f>
        <v/>
      </c>
      <c r="DQ853" s="55">
        <f>IF(AND(RecData[[#This Row],[Useable Background Data?]],RecData[[#This Row],[Turbines ON/OFF]]="OFF"),RecData[[#This Row],[dBA Sum]],"")</f>
        <v>16.313405844447594</v>
      </c>
      <c r="DR853" s="3">
        <f>IF(OR(RecData[[#This Row],[Useable TON Data?]],RecData[[#This Row],[Useable Background Data?]]),ROUND(RecData[[#This Row],[WSpd_Avg '[m/s']]],0),"")</f>
        <v>1</v>
      </c>
      <c r="DS853" s="85">
        <f>(0.00002)^2*(10^(RecData[[#This Row],[Overall (dBA)]]/10))</f>
        <v>1.7115932920986528E-8</v>
      </c>
    </row>
    <row r="854" spans="1:123" ht="15" x14ac:dyDescent="0.25">
      <c r="A854" s="3" t="s">
        <v>249</v>
      </c>
      <c r="B854" s="12">
        <v>43274.042361111118</v>
      </c>
      <c r="C854" s="3"/>
      <c r="D854" s="3">
        <v>28.9</v>
      </c>
      <c r="E854" s="3"/>
      <c r="F854" s="3"/>
      <c r="G854" s="3"/>
      <c r="H854" s="3"/>
      <c r="I854" s="3"/>
      <c r="J854" s="3"/>
      <c r="K854" s="3">
        <v>20.2</v>
      </c>
      <c r="L854" s="3"/>
      <c r="M854" s="3"/>
      <c r="N854" s="3">
        <v>110.6</v>
      </c>
      <c r="O854" s="3"/>
      <c r="P854" s="3"/>
      <c r="Q854" s="3">
        <v>0.36</v>
      </c>
      <c r="R854" s="3">
        <v>0.2</v>
      </c>
      <c r="S854" s="3">
        <v>0.4</v>
      </c>
      <c r="T854" s="3">
        <v>11.7</v>
      </c>
      <c r="U854" s="3">
        <v>81.3</v>
      </c>
      <c r="V854" s="3">
        <v>967.4</v>
      </c>
      <c r="W854" s="3">
        <v>0</v>
      </c>
      <c r="X854" s="3">
        <v>17.3</v>
      </c>
      <c r="Y854" s="3">
        <v>14.4</v>
      </c>
      <c r="Z854" s="3">
        <v>13.5</v>
      </c>
      <c r="AA854" s="3">
        <v>11.9</v>
      </c>
      <c r="AB854" s="3">
        <v>9.4</v>
      </c>
      <c r="AC854" s="3">
        <v>6.3</v>
      </c>
      <c r="AD854" s="3">
        <v>8.3000000000000007</v>
      </c>
      <c r="AE854" s="3">
        <v>8.3000000000000007</v>
      </c>
      <c r="AF854" s="3">
        <v>9</v>
      </c>
      <c r="AG854" s="3">
        <v>10.8</v>
      </c>
      <c r="AH854" s="3">
        <v>8.3000000000000007</v>
      </c>
      <c r="AI854" s="3">
        <v>7.6</v>
      </c>
      <c r="AJ854" s="3">
        <v>9.9</v>
      </c>
      <c r="AK854" s="3">
        <v>9.6999999999999993</v>
      </c>
      <c r="AL854" s="3">
        <v>7.7</v>
      </c>
      <c r="AM854" s="3">
        <v>7</v>
      </c>
      <c r="AN854" s="3">
        <v>7.6</v>
      </c>
      <c r="AO854" s="3">
        <v>6.9</v>
      </c>
      <c r="AP854" s="3">
        <v>6.5</v>
      </c>
      <c r="AQ854" s="3">
        <v>6.8</v>
      </c>
      <c r="AR854" s="3">
        <v>7.1</v>
      </c>
      <c r="AS854" s="3">
        <v>14.1</v>
      </c>
      <c r="AT854" s="3">
        <v>27</v>
      </c>
      <c r="AU854" s="3">
        <v>8.9</v>
      </c>
      <c r="AV854" s="3">
        <v>8.6999999999999993</v>
      </c>
      <c r="AW854" s="3">
        <v>9.1</v>
      </c>
      <c r="AX854" s="3">
        <v>9.1</v>
      </c>
      <c r="AY854" s="3">
        <v>9.3000000000000007</v>
      </c>
      <c r="AZ854" s="3">
        <v>0</v>
      </c>
      <c r="BA854" s="3">
        <v>0</v>
      </c>
      <c r="BB854" s="3">
        <v>0</v>
      </c>
      <c r="BC854" s="3">
        <v>28.880665204712919</v>
      </c>
      <c r="BD854" s="3">
        <v>17.319334795287084</v>
      </c>
      <c r="BE854" s="3">
        <v>14.419334795287078</v>
      </c>
      <c r="BF854" s="3">
        <v>12.279334795287077</v>
      </c>
      <c r="BG854" s="3">
        <v>11.006001461953744</v>
      </c>
      <c r="BH854" s="3">
        <v>8.6460014619537517</v>
      </c>
      <c r="BI854" s="3">
        <v>5.9593347952870772</v>
      </c>
      <c r="BJ854" s="3">
        <v>8.7526681286204138</v>
      </c>
      <c r="BK854" s="3">
        <v>8.6260014619537415</v>
      </c>
      <c r="BL854" s="3">
        <v>8.899334795287082</v>
      </c>
      <c r="BM854" s="3">
        <v>10.832668128620419</v>
      </c>
      <c r="BN854" s="3">
        <v>8.6160014619537506</v>
      </c>
      <c r="BO854" s="3">
        <v>7.2826681286204149</v>
      </c>
      <c r="BP854" s="3">
        <v>9.2993347952870806</v>
      </c>
      <c r="BQ854" s="3">
        <v>9.516001461953735</v>
      </c>
      <c r="BR854" s="3">
        <v>7.8426681286204172</v>
      </c>
      <c r="BS854" s="3">
        <v>6.9460014619537489</v>
      </c>
      <c r="BT854" s="3">
        <v>7.7426681286204158</v>
      </c>
      <c r="BU854" s="3">
        <v>7.0093347952870815</v>
      </c>
      <c r="BV854" s="3">
        <v>6.3260014619537444</v>
      </c>
      <c r="BW854" s="3">
        <v>7.1593347952870801</v>
      </c>
      <c r="BX854" s="3">
        <v>7.379334795287086</v>
      </c>
      <c r="BY854" s="3">
        <v>14.199334795287079</v>
      </c>
      <c r="BZ854" s="3">
        <v>27.22933479528708</v>
      </c>
      <c r="CA854" s="3">
        <v>9.2293347952870732</v>
      </c>
      <c r="CB854" s="3">
        <v>8.4660014619537449</v>
      </c>
      <c r="CC854" s="3">
        <v>9.0793347952870747</v>
      </c>
      <c r="CD854" s="3">
        <v>8.3860014619537466</v>
      </c>
      <c r="CE854" s="3">
        <v>8.7793347952870775</v>
      </c>
      <c r="CF854" s="3">
        <v>-0.90733187137958637</v>
      </c>
      <c r="CG854" s="3">
        <v>-1.4406652047129178</v>
      </c>
      <c r="CH854" s="3">
        <v>-2.5173318713795858</v>
      </c>
      <c r="CI854" s="13">
        <f>[1]!dbasum(RecData[[#This Row],[20]:[2000]],RecData[[#Headers],[20]:[2000]])</f>
        <v>16.203006955605282</v>
      </c>
      <c r="CJ854" s="14">
        <v>9934</v>
      </c>
      <c r="CK854" s="15" t="s">
        <v>249</v>
      </c>
      <c r="CL854" s="15">
        <f>RecData[[#This Row],[Start Time]]</f>
        <v>43274.042361111118</v>
      </c>
      <c r="CM854" s="16">
        <f>RecData[[#This Row],[Wind Speed avg]]</f>
        <v>0.36</v>
      </c>
      <c r="CN854" s="16">
        <f>RecData[[#This Row],[Wind Dir. avg]]</f>
        <v>110.6</v>
      </c>
      <c r="CO854" s="16">
        <f>RecData[[#This Row],[Amb. Humidity]]</f>
        <v>81.3</v>
      </c>
      <c r="CP854" s="16">
        <f>RecData[[#This Row],[Amb. Temperature]]</f>
        <v>11.7</v>
      </c>
      <c r="CQ854" s="17">
        <f>RecData[[#This Row],[Amb. Rain Gauge]]</f>
        <v>0</v>
      </c>
      <c r="CR854" s="4" t="s">
        <v>50</v>
      </c>
      <c r="CS854" s="4" t="s">
        <v>49</v>
      </c>
      <c r="CT854" s="70">
        <v>-9.1878013610839808</v>
      </c>
      <c r="CU854" s="70">
        <v>41.788558959960902</v>
      </c>
      <c r="CV854" s="70">
        <v>1.4082068204879701</v>
      </c>
      <c r="CW854" s="70">
        <v>0</v>
      </c>
      <c r="CX854" s="109"/>
      <c r="CY854" s="110"/>
      <c r="CZ854" s="2" t="b">
        <f>IF($DP$1="YES",IF(RecData[[#This Row],[Power (kW)]]&gt;=$CR$3, TRUE,FALSE),TRUE)</f>
        <v>0</v>
      </c>
      <c r="DA854" s="16">
        <f>MIN(MOD(180-ABS(ABS($DA$1-RecData[Yaw Angle (°)])-180),360),MOD(180-ABS(ABS($DB$1-RecData[Yaw Angle (°)])-180),360))</f>
        <v>34.258632182273345</v>
      </c>
      <c r="DB854" s="2" t="str">
        <f>IF($DP$2="None","None",IF(RecData[[#This Row],[Relative Wind Direction]]&lt;=45,"DW",IF(RecData[[#This Row],[Relative Wind Direction]]&lt;=135,"CW","UW")))</f>
        <v>DW</v>
      </c>
      <c r="DC854" s="61">
        <f>IF($CL854-$CL850&gt;1/24,#REF!,IF(SUM($CQ850:$CQ854)&gt;$DS$1,$DS$5,DC855-1))</f>
        <v>-4</v>
      </c>
      <c r="DD854" s="61">
        <f>IF($CL855-$CL854&gt;1/24,#REF!,IF(SUM($CQ850:$CQ854)&gt;$DS$1,$DS$6,DD853-1))</f>
        <v>-7</v>
      </c>
      <c r="DE854" s="18" t="b">
        <v>0</v>
      </c>
      <c r="DF854" s="2" t="b">
        <f>IF(OR(RecData[[#This Row],[WSpd_Avg '[m/s']]]-RecData[[#This Row],[Wind Speed min]]&gt;=$DF$3,RecData[[#This Row],[Wind Speed max]]-RecData[[#This Row],[WSpd_Avg '[m/s']]]&gt;=$DF$2),TRUE,FALSE)</f>
        <v>0</v>
      </c>
      <c r="DG854" s="2" t="b">
        <f>RecData[[#This Row],[Temperature '[°C']]]&lt;=-20</f>
        <v>0</v>
      </c>
      <c r="DH854" s="18" t="b">
        <f>NOT(OR(MOD(RecData[[#This Row],[TIMESTAMP]],1)&gt;0.91632,MOD(RecData[[#This Row],[TIMESTAMP]],1)&lt;0.208681))</f>
        <v>0</v>
      </c>
      <c r="DI854" s="18" t="b">
        <f>RecData[[#This Row],[Overall (dBA)]]-RecData[[#This Row],[L90]]&gt;=$DS$4</f>
        <v>0</v>
      </c>
      <c r="DJ854" s="18" t="b">
        <f>RecData[[#This Row],[Overall (dBA)]]&gt;$DS$2</f>
        <v>0</v>
      </c>
      <c r="DK854" s="18" t="b">
        <f>RecData[[#This Row],[Overall (dBA)]]&lt;$DS$3</f>
        <v>0</v>
      </c>
      <c r="DL8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4" s="2">
        <f>IF(AND(RecData[[#This Row],[Turbines ON/OFF]] = "OFF", NOT(OR(RecData[[#This Row],[Junk?]]="YES",RecData[[#This Row],[Gust?]],RecData[[#This Row],[Rain?]:[Min SPL Threshold?]]))),1,0)</f>
        <v>1</v>
      </c>
      <c r="DN854" s="16">
        <f>RecData[[#This Row],[dBA Sum]]</f>
        <v>16.203006955605282</v>
      </c>
      <c r="DO854" s="16">
        <f>RecData[[#This Row],[LAF90.0]]</f>
        <v>20.2</v>
      </c>
      <c r="DP854" s="55" t="str">
        <f>IF(AND(RecData[[#This Row],[Useable TON Data?]],RecData[[#This Row],[Turbines ON/OFF]]="ON"),RecData[[#This Row],[dBA Sum]],"")</f>
        <v/>
      </c>
      <c r="DQ854" s="55">
        <f>IF(AND(RecData[[#This Row],[Useable Background Data?]],RecData[[#This Row],[Turbines ON/OFF]]="OFF"),RecData[[#This Row],[dBA Sum]],"")</f>
        <v>16.203006955605282</v>
      </c>
      <c r="DR854" s="3">
        <f>IF(OR(RecData[[#This Row],[Useable TON Data?]],RecData[[#This Row],[Useable Background Data?]]),ROUND(RecData[[#This Row],[WSpd_Avg '[m/s']]],0),"")</f>
        <v>0</v>
      </c>
      <c r="DS854" s="85">
        <f>(0.00002)^2*(10^(RecData[[#This Row],[Overall (dBA)]]/10))</f>
        <v>1.6686324569409245E-8</v>
      </c>
    </row>
    <row r="855" spans="1:123" ht="15" x14ac:dyDescent="0.25">
      <c r="A855" s="3" t="s">
        <v>249</v>
      </c>
      <c r="B855" s="12">
        <v>43274.043055555558</v>
      </c>
      <c r="C855" s="3"/>
      <c r="D855" s="3">
        <v>30.7</v>
      </c>
      <c r="E855" s="3"/>
      <c r="F855" s="3"/>
      <c r="G855" s="3"/>
      <c r="H855" s="3"/>
      <c r="I855" s="3"/>
      <c r="J855" s="3"/>
      <c r="K855" s="3">
        <v>19.899999999999999</v>
      </c>
      <c r="L855" s="3"/>
      <c r="M855" s="3"/>
      <c r="N855" s="3">
        <v>111.5</v>
      </c>
      <c r="O855" s="3"/>
      <c r="P855" s="3"/>
      <c r="Q855" s="3">
        <v>0.33</v>
      </c>
      <c r="R855" s="3">
        <v>0.2</v>
      </c>
      <c r="S855" s="3">
        <v>0.6</v>
      </c>
      <c r="T855" s="3">
        <v>11.7</v>
      </c>
      <c r="U855" s="3">
        <v>80.8</v>
      </c>
      <c r="V855" s="3">
        <v>967.4</v>
      </c>
      <c r="W855" s="3">
        <v>0</v>
      </c>
      <c r="X855" s="3">
        <v>20.9</v>
      </c>
      <c r="Y855" s="3">
        <v>20.5</v>
      </c>
      <c r="Z855" s="3">
        <v>19.8</v>
      </c>
      <c r="AA855" s="3">
        <v>16.100000000000001</v>
      </c>
      <c r="AB855" s="3">
        <v>10.9</v>
      </c>
      <c r="AC855" s="3">
        <v>6.6</v>
      </c>
      <c r="AD855" s="3">
        <v>8.8000000000000007</v>
      </c>
      <c r="AE855" s="3">
        <v>8.3000000000000007</v>
      </c>
      <c r="AF855" s="3">
        <v>10.1</v>
      </c>
      <c r="AG855" s="3">
        <v>15.8</v>
      </c>
      <c r="AH855" s="3">
        <v>11.8</v>
      </c>
      <c r="AI855" s="3">
        <v>8</v>
      </c>
      <c r="AJ855" s="3">
        <v>11</v>
      </c>
      <c r="AK855" s="3">
        <v>10.4</v>
      </c>
      <c r="AL855" s="3">
        <v>7.5</v>
      </c>
      <c r="AM855" s="3">
        <v>7.4</v>
      </c>
      <c r="AN855" s="3">
        <v>6.9</v>
      </c>
      <c r="AO855" s="3">
        <v>6.7</v>
      </c>
      <c r="AP855" s="3">
        <v>6.3</v>
      </c>
      <c r="AQ855" s="3">
        <v>6.7</v>
      </c>
      <c r="AR855" s="3">
        <v>6.8</v>
      </c>
      <c r="AS855" s="3">
        <v>15.2</v>
      </c>
      <c r="AT855" s="3">
        <v>29.1</v>
      </c>
      <c r="AU855" s="3">
        <v>10.6</v>
      </c>
      <c r="AV855" s="3">
        <v>8.5</v>
      </c>
      <c r="AW855" s="3">
        <v>9</v>
      </c>
      <c r="AX855" s="3">
        <v>9</v>
      </c>
      <c r="AY855" s="3">
        <v>9.1999999999999993</v>
      </c>
      <c r="AZ855" s="3">
        <v>0</v>
      </c>
      <c r="BA855" s="3">
        <v>0</v>
      </c>
      <c r="BB855" s="3">
        <v>0</v>
      </c>
      <c r="BC855" s="3">
        <v>30.787508392634308</v>
      </c>
      <c r="BD855" s="3">
        <v>20.812491607365686</v>
      </c>
      <c r="BE855" s="3">
        <v>20.412491607365695</v>
      </c>
      <c r="BF855" s="3">
        <v>18.472491607365697</v>
      </c>
      <c r="BG855" s="3">
        <v>15.099158274032355</v>
      </c>
      <c r="BH855" s="3">
        <v>10.03915827403236</v>
      </c>
      <c r="BI855" s="3">
        <v>6.1524916073656897</v>
      </c>
      <c r="BJ855" s="3">
        <v>9.145824940699022</v>
      </c>
      <c r="BK855" s="3">
        <v>8.5191582740323568</v>
      </c>
      <c r="BL855" s="3">
        <v>9.8924916073656917</v>
      </c>
      <c r="BM855" s="3">
        <v>15.725824940699027</v>
      </c>
      <c r="BN855" s="3">
        <v>12.009158274032359</v>
      </c>
      <c r="BO855" s="3">
        <v>7.5758249406990288</v>
      </c>
      <c r="BP855" s="3">
        <v>10.29249160736569</v>
      </c>
      <c r="BQ855" s="3">
        <v>10.109158274032353</v>
      </c>
      <c r="BR855" s="3">
        <v>7.5358249406990296</v>
      </c>
      <c r="BS855" s="3">
        <v>7.2391582740323557</v>
      </c>
      <c r="BT855" s="3">
        <v>6.9358249406990282</v>
      </c>
      <c r="BU855" s="3">
        <v>6.7024916073656939</v>
      </c>
      <c r="BV855" s="3">
        <v>6.0191582740323568</v>
      </c>
      <c r="BW855" s="3">
        <v>6.9524916073656939</v>
      </c>
      <c r="BX855" s="3">
        <v>6.9724916073656971</v>
      </c>
      <c r="BY855" s="3">
        <v>15.192491607365689</v>
      </c>
      <c r="BZ855" s="3">
        <v>29.222491607365697</v>
      </c>
      <c r="CA855" s="3">
        <v>10.822491607365684</v>
      </c>
      <c r="CB855" s="3">
        <v>8.1591582740323574</v>
      </c>
      <c r="CC855" s="3">
        <v>8.8724916073656885</v>
      </c>
      <c r="CD855" s="3">
        <v>8.1791582740323605</v>
      </c>
      <c r="CE855" s="3">
        <v>8.5724916073656914</v>
      </c>
      <c r="CF855" s="3">
        <v>-1.0141750593009746</v>
      </c>
      <c r="CG855" s="3">
        <v>-1.5475083926343061</v>
      </c>
      <c r="CH855" s="3">
        <v>-2.6241750593009741</v>
      </c>
      <c r="CI855" s="13">
        <f>[1]!dbasum(RecData[[#This Row],[20]:[2000]],RecData[[#Headers],[20]:[2000]])</f>
        <v>16.254241583299752</v>
      </c>
      <c r="CJ855" s="14">
        <v>9935</v>
      </c>
      <c r="CK855" s="15" t="s">
        <v>249</v>
      </c>
      <c r="CL855" s="15">
        <f>RecData[[#This Row],[Start Time]]</f>
        <v>43274.043055555558</v>
      </c>
      <c r="CM855" s="16">
        <f>RecData[[#This Row],[Wind Speed avg]]</f>
        <v>0.33</v>
      </c>
      <c r="CN855" s="16">
        <f>RecData[[#This Row],[Wind Dir. avg]]</f>
        <v>111.5</v>
      </c>
      <c r="CO855" s="16">
        <f>RecData[[#This Row],[Amb. Humidity]]</f>
        <v>80.8</v>
      </c>
      <c r="CP855" s="16">
        <f>RecData[[#This Row],[Amb. Temperature]]</f>
        <v>11.7</v>
      </c>
      <c r="CQ855" s="17">
        <f>RecData[[#This Row],[Amb. Rain Gauge]]</f>
        <v>0</v>
      </c>
      <c r="CR855" s="4" t="s">
        <v>50</v>
      </c>
      <c r="CS855" s="4" t="s">
        <v>49</v>
      </c>
      <c r="CT855" s="70">
        <v>-9.1878013610839808</v>
      </c>
      <c r="CU855" s="70">
        <v>41.788558959960902</v>
      </c>
      <c r="CV855" s="70">
        <v>1.4082068204879701</v>
      </c>
      <c r="CW855" s="70">
        <v>0</v>
      </c>
      <c r="CX855" s="4"/>
      <c r="CY855" s="69"/>
      <c r="CZ855" s="2" t="b">
        <f>IF($DP$1="YES",IF(RecData[[#This Row],[Power (kW)]]&gt;=$CR$3, TRUE,FALSE),TRUE)</f>
        <v>0</v>
      </c>
      <c r="DA855" s="16">
        <f>MIN(MOD(180-ABS(ABS($DA$1-RecData[Yaw Angle (°)])-180),360),MOD(180-ABS(ABS($DB$1-RecData[Yaw Angle (°)])-180),360))</f>
        <v>34.258632182273345</v>
      </c>
      <c r="DB855" s="2" t="str">
        <f>IF($DP$2="None","None",IF(RecData[[#This Row],[Relative Wind Direction]]&lt;=45,"DW",IF(RecData[[#This Row],[Relative Wind Direction]]&lt;=135,"CW","UW")))</f>
        <v>DW</v>
      </c>
      <c r="DC855" s="61">
        <f>IF($CL855-$CL851&gt;1/24,#REF!,IF(SUM($CQ851:$CQ855)&gt;$DS$1,$DS$5,DC856-1))</f>
        <v>-3</v>
      </c>
      <c r="DD855" s="61">
        <f>IF($CL856-$CL855&gt;1/24,#REF!,IF(SUM($CQ851:$CQ855)&gt;$DS$1,$DS$6,DD854-1))</f>
        <v>-8</v>
      </c>
      <c r="DE855" s="18" t="b">
        <v>0</v>
      </c>
      <c r="DF855" s="2" t="b">
        <f>IF(OR(RecData[[#This Row],[WSpd_Avg '[m/s']]]-RecData[[#This Row],[Wind Speed min]]&gt;=$DF$3,RecData[[#This Row],[Wind Speed max]]-RecData[[#This Row],[WSpd_Avg '[m/s']]]&gt;=$DF$2),TRUE,FALSE)</f>
        <v>0</v>
      </c>
      <c r="DG855" s="2" t="b">
        <f>RecData[[#This Row],[Temperature '[°C']]]&lt;=-20</f>
        <v>0</v>
      </c>
      <c r="DH855" s="18" t="b">
        <f>NOT(OR(MOD(RecData[[#This Row],[TIMESTAMP]],1)&gt;0.91632,MOD(RecData[[#This Row],[TIMESTAMP]],1)&lt;0.208681))</f>
        <v>0</v>
      </c>
      <c r="DI855" s="18" t="b">
        <f>RecData[[#This Row],[Overall (dBA)]]-RecData[[#This Row],[L90]]&gt;=$DS$4</f>
        <v>0</v>
      </c>
      <c r="DJ855" s="18" t="b">
        <f>RecData[[#This Row],[Overall (dBA)]]&gt;$DS$2</f>
        <v>0</v>
      </c>
      <c r="DK855" s="18" t="b">
        <f>RecData[[#This Row],[Overall (dBA)]]&lt;$DS$3</f>
        <v>0</v>
      </c>
      <c r="DL8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5" s="2">
        <f>IF(AND(RecData[[#This Row],[Turbines ON/OFF]] = "OFF", NOT(OR(RecData[[#This Row],[Junk?]]="YES",RecData[[#This Row],[Gust?]],RecData[[#This Row],[Rain?]:[Min SPL Threshold?]]))),1,0)</f>
        <v>1</v>
      </c>
      <c r="DN855" s="16">
        <f>RecData[[#This Row],[dBA Sum]]</f>
        <v>16.254241583299752</v>
      </c>
      <c r="DO855" s="16">
        <f>RecData[[#This Row],[LAF90.0]]</f>
        <v>19.899999999999999</v>
      </c>
      <c r="DP855" s="55" t="str">
        <f>IF(AND(RecData[[#This Row],[Useable TON Data?]],RecData[[#This Row],[Turbines ON/OFF]]="ON"),RecData[[#This Row],[dBA Sum]],"")</f>
        <v/>
      </c>
      <c r="DQ855" s="55">
        <f>IF(AND(RecData[[#This Row],[Useable Background Data?]],RecData[[#This Row],[Turbines ON/OFF]]="OFF"),RecData[[#This Row],[dBA Sum]],"")</f>
        <v>16.254241583299752</v>
      </c>
      <c r="DR855" s="3">
        <f>IF(OR(RecData[[#This Row],[Useable TON Data?]],RecData[[#This Row],[Useable Background Data?]]),ROUND(RecData[[#This Row],[WSpd_Avg '[m/s']]],0),"")</f>
        <v>0</v>
      </c>
      <c r="DS855" s="85">
        <f>(0.00002)^2*(10^(RecData[[#This Row],[Overall (dBA)]]/10))</f>
        <v>1.6884342359808628E-8</v>
      </c>
    </row>
    <row r="856" spans="1:123" ht="15" x14ac:dyDescent="0.25">
      <c r="A856" s="3" t="s">
        <v>249</v>
      </c>
      <c r="B856" s="12">
        <v>43274.043750000004</v>
      </c>
      <c r="C856" s="3"/>
      <c r="D856" s="3">
        <v>28.9</v>
      </c>
      <c r="E856" s="3"/>
      <c r="F856" s="3"/>
      <c r="G856" s="3"/>
      <c r="H856" s="3"/>
      <c r="I856" s="3"/>
      <c r="J856" s="3"/>
      <c r="K856" s="3">
        <v>19.600000000000001</v>
      </c>
      <c r="L856" s="3"/>
      <c r="M856" s="3"/>
      <c r="N856" s="3">
        <v>121.2</v>
      </c>
      <c r="O856" s="3"/>
      <c r="P856" s="3"/>
      <c r="Q856" s="3">
        <v>0.3</v>
      </c>
      <c r="R856" s="3">
        <v>0.1</v>
      </c>
      <c r="S856" s="3">
        <v>0.5</v>
      </c>
      <c r="T856" s="3">
        <v>11.7</v>
      </c>
      <c r="U856" s="3">
        <v>81.2</v>
      </c>
      <c r="V856" s="3">
        <v>967.4</v>
      </c>
      <c r="W856" s="3">
        <v>0</v>
      </c>
      <c r="X856" s="3">
        <v>17.5</v>
      </c>
      <c r="Y856" s="3">
        <v>15.3</v>
      </c>
      <c r="Z856" s="3">
        <v>15.7</v>
      </c>
      <c r="AA856" s="3">
        <v>12</v>
      </c>
      <c r="AB856" s="3">
        <v>9.3000000000000007</v>
      </c>
      <c r="AC856" s="3">
        <v>8.3000000000000007</v>
      </c>
      <c r="AD856" s="3">
        <v>9.1</v>
      </c>
      <c r="AE856" s="3">
        <v>8.1999999999999993</v>
      </c>
      <c r="AF856" s="3">
        <v>10.1</v>
      </c>
      <c r="AG856" s="3">
        <v>16.3</v>
      </c>
      <c r="AH856" s="3">
        <v>13</v>
      </c>
      <c r="AI856" s="3">
        <v>8</v>
      </c>
      <c r="AJ856" s="3">
        <v>10.7</v>
      </c>
      <c r="AK856" s="3">
        <v>9.6</v>
      </c>
      <c r="AL856" s="3">
        <v>7.8</v>
      </c>
      <c r="AM856" s="3">
        <v>7.5</v>
      </c>
      <c r="AN856" s="3">
        <v>7.7</v>
      </c>
      <c r="AO856" s="3">
        <v>7.3</v>
      </c>
      <c r="AP856" s="3">
        <v>7.4</v>
      </c>
      <c r="AQ856" s="3">
        <v>7.9</v>
      </c>
      <c r="AR856" s="3">
        <v>8</v>
      </c>
      <c r="AS856" s="3">
        <v>11.6</v>
      </c>
      <c r="AT856" s="3">
        <v>27</v>
      </c>
      <c r="AU856" s="3">
        <v>10.7</v>
      </c>
      <c r="AV856" s="3">
        <v>10.199999999999999</v>
      </c>
      <c r="AW856" s="3">
        <v>10.7</v>
      </c>
      <c r="AX856" s="3">
        <v>10</v>
      </c>
      <c r="AY856" s="3">
        <v>10</v>
      </c>
      <c r="AZ856" s="3">
        <v>0</v>
      </c>
      <c r="BA856" s="3">
        <v>0</v>
      </c>
      <c r="BB856" s="3">
        <v>0</v>
      </c>
      <c r="BC856" s="3">
        <v>28.923849057672719</v>
      </c>
      <c r="BD856" s="3">
        <v>17.47615094232728</v>
      </c>
      <c r="BE856" s="3">
        <v>15.276150942327284</v>
      </c>
      <c r="BF856" s="3">
        <v>14.436150942327281</v>
      </c>
      <c r="BG856" s="3">
        <v>11.062817608993946</v>
      </c>
      <c r="BH856" s="3">
        <v>8.5028176089939507</v>
      </c>
      <c r="BI856" s="3">
        <v>7.9161509423272847</v>
      </c>
      <c r="BJ856" s="3">
        <v>9.5094842756606113</v>
      </c>
      <c r="BK856" s="3">
        <v>8.4828176089939404</v>
      </c>
      <c r="BL856" s="3">
        <v>9.9561509423272767</v>
      </c>
      <c r="BM856" s="3">
        <v>16.28948427566062</v>
      </c>
      <c r="BN856" s="3">
        <v>13.272817608993947</v>
      </c>
      <c r="BO856" s="3">
        <v>7.6394842756606138</v>
      </c>
      <c r="BP856" s="3">
        <v>10.056150942327278</v>
      </c>
      <c r="BQ856" s="3">
        <v>9.3728176089939339</v>
      </c>
      <c r="BR856" s="3">
        <v>7.8994842756606118</v>
      </c>
      <c r="BS856" s="3">
        <v>7.4028176089939492</v>
      </c>
      <c r="BT856" s="3">
        <v>7.7994842756606175</v>
      </c>
      <c r="BU856" s="3">
        <v>7.3661509423272804</v>
      </c>
      <c r="BV856" s="3">
        <v>7.1828176089939504</v>
      </c>
      <c r="BW856" s="3">
        <v>8.2161509423272818</v>
      </c>
      <c r="BX856" s="3">
        <v>8.236150942327285</v>
      </c>
      <c r="BY856" s="3">
        <v>11.65615094232728</v>
      </c>
      <c r="BZ856" s="3">
        <v>27.186150942327281</v>
      </c>
      <c r="CA856" s="3">
        <v>10.986150942327271</v>
      </c>
      <c r="CB856" s="3">
        <v>9.9228176089939453</v>
      </c>
      <c r="CC856" s="3">
        <v>10.636150942327276</v>
      </c>
      <c r="CD856" s="3">
        <v>9.2428176089939527</v>
      </c>
      <c r="CE856" s="3">
        <v>9.4361509423272807</v>
      </c>
      <c r="CF856" s="3">
        <v>-0.95051572433938603</v>
      </c>
      <c r="CG856" s="3">
        <v>-1.4838490576727175</v>
      </c>
      <c r="CH856" s="3">
        <v>-2.5605157243393855</v>
      </c>
      <c r="CI856" s="13">
        <f>[1]!dbasum(RecData[[#This Row],[20]:[2000]],RecData[[#Headers],[20]:[2000]])</f>
        <v>16.990458874451992</v>
      </c>
      <c r="CJ856" s="14">
        <v>9936</v>
      </c>
      <c r="CK856" s="15" t="s">
        <v>249</v>
      </c>
      <c r="CL856" s="15">
        <f>RecData[[#This Row],[Start Time]]</f>
        <v>43274.043750000004</v>
      </c>
      <c r="CM856" s="16">
        <f>RecData[[#This Row],[Wind Speed avg]]</f>
        <v>0.3</v>
      </c>
      <c r="CN856" s="16">
        <f>RecData[[#This Row],[Wind Dir. avg]]</f>
        <v>121.2</v>
      </c>
      <c r="CO856" s="16">
        <f>RecData[[#This Row],[Amb. Humidity]]</f>
        <v>81.2</v>
      </c>
      <c r="CP856" s="16">
        <f>RecData[[#This Row],[Amb. Temperature]]</f>
        <v>11.7</v>
      </c>
      <c r="CQ856" s="17">
        <f>RecData[[#This Row],[Amb. Rain Gauge]]</f>
        <v>0</v>
      </c>
      <c r="CR856" s="4" t="s">
        <v>50</v>
      </c>
      <c r="CS856" s="4" t="s">
        <v>49</v>
      </c>
      <c r="CT856" s="70">
        <v>-9.1878013610839808</v>
      </c>
      <c r="CU856" s="70">
        <v>41.788558959960902</v>
      </c>
      <c r="CV856" s="70">
        <v>1.4082068204879701</v>
      </c>
      <c r="CW856" s="70">
        <v>0</v>
      </c>
      <c r="CX856" s="109"/>
      <c r="CY856" s="110"/>
      <c r="CZ856" s="2" t="b">
        <f>IF($DP$1="YES",IF(RecData[[#This Row],[Power (kW)]]&gt;=$CR$3, TRUE,FALSE),TRUE)</f>
        <v>0</v>
      </c>
      <c r="DA856" s="16">
        <f>MIN(MOD(180-ABS(ABS($DA$1-RecData[Yaw Angle (°)])-180),360),MOD(180-ABS(ABS($DB$1-RecData[Yaw Angle (°)])-180),360))</f>
        <v>34.258632182273345</v>
      </c>
      <c r="DB856" s="2" t="str">
        <f>IF($DP$2="None","None",IF(RecData[[#This Row],[Relative Wind Direction]]&lt;=45,"DW",IF(RecData[[#This Row],[Relative Wind Direction]]&lt;=135,"CW","UW")))</f>
        <v>DW</v>
      </c>
      <c r="DC856" s="61">
        <f>IF($CL856-$CL852&gt;1/24,#REF!,IF(SUM($CQ852:$CQ856)&gt;$DS$1,$DS$5,DC857-1))</f>
        <v>-2</v>
      </c>
      <c r="DD856" s="61">
        <f>IF($CL857-$CL856&gt;1/24,#REF!,IF(SUM($CQ852:$CQ856)&gt;$DS$1,$DS$6,DD855-1))</f>
        <v>-9</v>
      </c>
      <c r="DE856" s="18" t="b">
        <v>0</v>
      </c>
      <c r="DF856" s="2" t="b">
        <f>IF(OR(RecData[[#This Row],[WSpd_Avg '[m/s']]]-RecData[[#This Row],[Wind Speed min]]&gt;=$DF$3,RecData[[#This Row],[Wind Speed max]]-RecData[[#This Row],[WSpd_Avg '[m/s']]]&gt;=$DF$2),TRUE,FALSE)</f>
        <v>0</v>
      </c>
      <c r="DG856" s="2" t="b">
        <f>RecData[[#This Row],[Temperature '[°C']]]&lt;=-20</f>
        <v>0</v>
      </c>
      <c r="DH856" s="18" t="b">
        <f>NOT(OR(MOD(RecData[[#This Row],[TIMESTAMP]],1)&gt;0.91632,MOD(RecData[[#This Row],[TIMESTAMP]],1)&lt;0.208681))</f>
        <v>0</v>
      </c>
      <c r="DI856" s="18" t="b">
        <f>RecData[[#This Row],[Overall (dBA)]]-RecData[[#This Row],[L90]]&gt;=$DS$4</f>
        <v>0</v>
      </c>
      <c r="DJ856" s="18" t="b">
        <f>RecData[[#This Row],[Overall (dBA)]]&gt;$DS$2</f>
        <v>0</v>
      </c>
      <c r="DK856" s="18" t="b">
        <f>RecData[[#This Row],[Overall (dBA)]]&lt;$DS$3</f>
        <v>0</v>
      </c>
      <c r="DL8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6" s="2">
        <f>IF(AND(RecData[[#This Row],[Turbines ON/OFF]] = "OFF", NOT(OR(RecData[[#This Row],[Junk?]]="YES",RecData[[#This Row],[Gust?]],RecData[[#This Row],[Rain?]:[Min SPL Threshold?]]))),1,0)</f>
        <v>1</v>
      </c>
      <c r="DN856" s="16">
        <f>RecData[[#This Row],[dBA Sum]]</f>
        <v>16.990458874451992</v>
      </c>
      <c r="DO856" s="16">
        <f>RecData[[#This Row],[LAF90.0]]</f>
        <v>19.600000000000001</v>
      </c>
      <c r="DP856" s="55" t="str">
        <f>IF(AND(RecData[[#This Row],[Useable TON Data?]],RecData[[#This Row],[Turbines ON/OFF]]="ON"),RecData[[#This Row],[dBA Sum]],"")</f>
        <v/>
      </c>
      <c r="DQ856" s="55">
        <f>IF(AND(RecData[[#This Row],[Useable Background Data?]],RecData[[#This Row],[Turbines ON/OFF]]="OFF"),RecData[[#This Row],[dBA Sum]],"")</f>
        <v>16.990458874451992</v>
      </c>
      <c r="DR856" s="3">
        <f>IF(OR(RecData[[#This Row],[Useable TON Data?]],RecData[[#This Row],[Useable Background Data?]]),ROUND(RecData[[#This Row],[WSpd_Avg '[m/s']]],0),"")</f>
        <v>0</v>
      </c>
      <c r="DS856" s="85">
        <f>(0.00002)^2*(10^(RecData[[#This Row],[Overall (dBA)]]/10))</f>
        <v>2.0003494851634324E-8</v>
      </c>
    </row>
    <row r="857" spans="1:123" ht="15" x14ac:dyDescent="0.25">
      <c r="A857" s="3" t="s">
        <v>249</v>
      </c>
      <c r="B857" s="12">
        <v>43274.044444444451</v>
      </c>
      <c r="C857" s="3"/>
      <c r="D857" s="3">
        <v>30.2</v>
      </c>
      <c r="E857" s="3"/>
      <c r="F857" s="3"/>
      <c r="G857" s="3"/>
      <c r="H857" s="3"/>
      <c r="I857" s="3"/>
      <c r="J857" s="3"/>
      <c r="K857" s="3">
        <v>19.8</v>
      </c>
      <c r="L857" s="3"/>
      <c r="M857" s="3"/>
      <c r="N857" s="3">
        <v>123.7</v>
      </c>
      <c r="O857" s="3"/>
      <c r="P857" s="3"/>
      <c r="Q857" s="3">
        <v>0.48</v>
      </c>
      <c r="R857" s="3">
        <v>0.3</v>
      </c>
      <c r="S857" s="3">
        <v>0.7</v>
      </c>
      <c r="T857" s="3">
        <v>11.6</v>
      </c>
      <c r="U857" s="3">
        <v>81.599999999999994</v>
      </c>
      <c r="V857" s="3">
        <v>967.4</v>
      </c>
      <c r="W857" s="3">
        <v>0</v>
      </c>
      <c r="X857" s="3">
        <v>22.5</v>
      </c>
      <c r="Y857" s="3">
        <v>19.899999999999999</v>
      </c>
      <c r="Z857" s="3">
        <v>21.4</v>
      </c>
      <c r="AA857" s="3">
        <v>17.3</v>
      </c>
      <c r="AB857" s="3">
        <v>10.3</v>
      </c>
      <c r="AC857" s="3">
        <v>7.2</v>
      </c>
      <c r="AD857" s="3">
        <v>8.5</v>
      </c>
      <c r="AE857" s="3">
        <v>9.3000000000000007</v>
      </c>
      <c r="AF857" s="3">
        <v>9.9</v>
      </c>
      <c r="AG857" s="3">
        <v>11.4</v>
      </c>
      <c r="AH857" s="3">
        <v>9.3000000000000007</v>
      </c>
      <c r="AI857" s="3">
        <v>8.1</v>
      </c>
      <c r="AJ857" s="3">
        <v>10.1</v>
      </c>
      <c r="AK857" s="3">
        <v>10.199999999999999</v>
      </c>
      <c r="AL857" s="3">
        <v>7.7</v>
      </c>
      <c r="AM857" s="3">
        <v>7.9</v>
      </c>
      <c r="AN857" s="3">
        <v>8.4</v>
      </c>
      <c r="AO857" s="3">
        <v>7.7</v>
      </c>
      <c r="AP857" s="3">
        <v>7</v>
      </c>
      <c r="AQ857" s="3">
        <v>6.5</v>
      </c>
      <c r="AR857" s="3">
        <v>6.5</v>
      </c>
      <c r="AS857" s="3">
        <v>11.9</v>
      </c>
      <c r="AT857" s="3">
        <v>28.5</v>
      </c>
      <c r="AU857" s="3">
        <v>10.9</v>
      </c>
      <c r="AV857" s="3">
        <v>9.1</v>
      </c>
      <c r="AW857" s="3">
        <v>9</v>
      </c>
      <c r="AX857" s="3">
        <v>9.1</v>
      </c>
      <c r="AY857" s="3">
        <v>9.1999999999999993</v>
      </c>
      <c r="AZ857" s="3">
        <v>0</v>
      </c>
      <c r="BA857" s="3">
        <v>0</v>
      </c>
      <c r="BB857" s="3">
        <v>0</v>
      </c>
      <c r="BC857" s="3">
        <v>30.173135195540848</v>
      </c>
      <c r="BD857" s="3">
        <v>22.526864804459155</v>
      </c>
      <c r="BE857" s="3">
        <v>19.926864804459147</v>
      </c>
      <c r="BF857" s="3">
        <v>20.186864804459152</v>
      </c>
      <c r="BG857" s="3">
        <v>16.413531471125811</v>
      </c>
      <c r="BH857" s="3">
        <v>9.5535314711258188</v>
      </c>
      <c r="BI857" s="3">
        <v>6.8668648044591514</v>
      </c>
      <c r="BJ857" s="3">
        <v>8.9601981377924851</v>
      </c>
      <c r="BK857" s="3">
        <v>9.6335314711258171</v>
      </c>
      <c r="BL857" s="3">
        <v>9.8068648044591562</v>
      </c>
      <c r="BM857" s="3">
        <v>11.440198137792489</v>
      </c>
      <c r="BN857" s="3">
        <v>9.6235314711258191</v>
      </c>
      <c r="BO857" s="3">
        <v>7.7901981377924905</v>
      </c>
      <c r="BP857" s="3">
        <v>9.5068648044591519</v>
      </c>
      <c r="BQ857" s="3">
        <v>10.023531471125811</v>
      </c>
      <c r="BR857" s="3">
        <v>7.8501981377924857</v>
      </c>
      <c r="BS857" s="3">
        <v>7.853531471125816</v>
      </c>
      <c r="BT857" s="3">
        <v>8.5501981377924885</v>
      </c>
      <c r="BU857" s="3">
        <v>7.8168648044591542</v>
      </c>
      <c r="BV857" s="3">
        <v>6.8335314711258199</v>
      </c>
      <c r="BW857" s="3">
        <v>6.8668648044591585</v>
      </c>
      <c r="BX857" s="3">
        <v>6.7868648044591602</v>
      </c>
      <c r="BY857" s="3">
        <v>12.006864804459152</v>
      </c>
      <c r="BZ857" s="3">
        <v>28.736864804459156</v>
      </c>
      <c r="CA857" s="3">
        <v>11.236864804459149</v>
      </c>
      <c r="CB857" s="3">
        <v>8.8735314711258191</v>
      </c>
      <c r="CC857" s="3">
        <v>8.9868648044591488</v>
      </c>
      <c r="CD857" s="3">
        <v>8.3935314711258222</v>
      </c>
      <c r="CE857" s="3">
        <v>8.6868648044591517</v>
      </c>
      <c r="CF857" s="3">
        <v>-0.89980186220751435</v>
      </c>
      <c r="CG857" s="3">
        <v>-1.4331351955408458</v>
      </c>
      <c r="CH857" s="3">
        <v>-2.5098018622075138</v>
      </c>
      <c r="CI857" s="13">
        <f>[1]!dbasum(RecData[[#This Row],[20]:[2000]],RecData[[#Headers],[20]:[2000]])</f>
        <v>16.498041586019916</v>
      </c>
      <c r="CJ857" s="14">
        <v>9937</v>
      </c>
      <c r="CK857" s="15" t="s">
        <v>249</v>
      </c>
      <c r="CL857" s="15">
        <f>RecData[[#This Row],[Start Time]]</f>
        <v>43274.044444444451</v>
      </c>
      <c r="CM857" s="16">
        <f>RecData[[#This Row],[Wind Speed avg]]</f>
        <v>0.48</v>
      </c>
      <c r="CN857" s="16">
        <f>RecData[[#This Row],[Wind Dir. avg]]</f>
        <v>123.7</v>
      </c>
      <c r="CO857" s="16">
        <f>RecData[[#This Row],[Amb. Humidity]]</f>
        <v>81.599999999999994</v>
      </c>
      <c r="CP857" s="16">
        <f>RecData[[#This Row],[Amb. Temperature]]</f>
        <v>11.6</v>
      </c>
      <c r="CQ857" s="17">
        <f>RecData[[#This Row],[Amb. Rain Gauge]]</f>
        <v>0</v>
      </c>
      <c r="CR857" s="4" t="s">
        <v>50</v>
      </c>
      <c r="CS857" s="4" t="s">
        <v>49</v>
      </c>
      <c r="CT857" s="70">
        <v>-9.1878013610839808</v>
      </c>
      <c r="CU857" s="70">
        <v>41.788558959960902</v>
      </c>
      <c r="CV857" s="70">
        <v>1.4082068204879701</v>
      </c>
      <c r="CW857" s="70">
        <v>0</v>
      </c>
      <c r="CX857" s="109"/>
      <c r="CY857" s="110"/>
      <c r="CZ857" s="2" t="b">
        <f>IF($DP$1="YES",IF(RecData[[#This Row],[Power (kW)]]&gt;=$CR$3, TRUE,FALSE),TRUE)</f>
        <v>0</v>
      </c>
      <c r="DA857" s="16">
        <f>MIN(MOD(180-ABS(ABS($DA$1-RecData[Yaw Angle (°)])-180),360),MOD(180-ABS(ABS($DB$1-RecData[Yaw Angle (°)])-180),360))</f>
        <v>34.258632182273345</v>
      </c>
      <c r="DB857" s="2" t="str">
        <f>IF($DP$2="None","None",IF(RecData[[#This Row],[Relative Wind Direction]]&lt;=45,"DW",IF(RecData[[#This Row],[Relative Wind Direction]]&lt;=135,"CW","UW")))</f>
        <v>DW</v>
      </c>
      <c r="DC857" s="61">
        <v>-1</v>
      </c>
      <c r="DD857" s="61">
        <v>-1</v>
      </c>
      <c r="DE857" s="18" t="b">
        <v>0</v>
      </c>
      <c r="DF857" s="2" t="b">
        <f>IF(OR(RecData[[#This Row],[WSpd_Avg '[m/s']]]-RecData[[#This Row],[Wind Speed min]]&gt;=$DF$3,RecData[[#This Row],[Wind Speed max]]-RecData[[#This Row],[WSpd_Avg '[m/s']]]&gt;=$DF$2),TRUE,FALSE)</f>
        <v>0</v>
      </c>
      <c r="DG857" s="2" t="b">
        <f>RecData[[#This Row],[Temperature '[°C']]]&lt;=-20</f>
        <v>0</v>
      </c>
      <c r="DH857" s="18" t="b">
        <f>NOT(OR(MOD(RecData[[#This Row],[TIMESTAMP]],1)&gt;0.91632,MOD(RecData[[#This Row],[TIMESTAMP]],1)&lt;0.208681))</f>
        <v>0</v>
      </c>
      <c r="DI857" s="18" t="b">
        <f>RecData[[#This Row],[Overall (dBA)]]-RecData[[#This Row],[L90]]&gt;=$DS$4</f>
        <v>0</v>
      </c>
      <c r="DJ857" s="18" t="b">
        <f>RecData[[#This Row],[Overall (dBA)]]&gt;$DS$2</f>
        <v>0</v>
      </c>
      <c r="DK857" s="18" t="b">
        <f>RecData[[#This Row],[Overall (dBA)]]&lt;$DS$3</f>
        <v>0</v>
      </c>
      <c r="DL8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7" s="2">
        <f>IF(AND(RecData[[#This Row],[Turbines ON/OFF]] = "OFF", NOT(OR(RecData[[#This Row],[Junk?]]="YES",RecData[[#This Row],[Gust?]],RecData[[#This Row],[Rain?]:[Min SPL Threshold?]]))),1,0)</f>
        <v>1</v>
      </c>
      <c r="DN857" s="16">
        <f>RecData[[#This Row],[dBA Sum]]</f>
        <v>16.498041586019916</v>
      </c>
      <c r="DO857" s="16">
        <f>RecData[[#This Row],[LAF90.0]]</f>
        <v>19.8</v>
      </c>
      <c r="DP857" s="55" t="str">
        <f>IF(AND(RecData[[#This Row],[Useable TON Data?]],RecData[[#This Row],[Turbines ON/OFF]]="ON"),RecData[[#This Row],[dBA Sum]],"")</f>
        <v/>
      </c>
      <c r="DQ857" s="55">
        <f>IF(AND(RecData[[#This Row],[Useable Background Data?]],RecData[[#This Row],[Turbines ON/OFF]]="OFF"),RecData[[#This Row],[dBA Sum]],"")</f>
        <v>16.498041586019916</v>
      </c>
      <c r="DR857" s="3">
        <f>IF(OR(RecData[[#This Row],[Useable TON Data?]],RecData[[#This Row],[Useable Background Data?]]),ROUND(RecData[[#This Row],[WSpd_Avg '[m/s']]],0),"")</f>
        <v>0</v>
      </c>
      <c r="DS857" s="85">
        <f>(0.00002)^2*(10^(RecData[[#This Row],[Overall (dBA)]]/10))</f>
        <v>1.7859288375941198E-8</v>
      </c>
    </row>
    <row r="858" spans="1:123" ht="15" x14ac:dyDescent="0.25">
      <c r="A858" s="3" t="s">
        <v>249</v>
      </c>
      <c r="B858" s="12">
        <v>43274.045138888891</v>
      </c>
      <c r="C858" s="3"/>
      <c r="D858" s="3">
        <v>30.9</v>
      </c>
      <c r="E858" s="3"/>
      <c r="F858" s="3"/>
      <c r="G858" s="3"/>
      <c r="H858" s="3"/>
      <c r="I858" s="3"/>
      <c r="J858" s="3"/>
      <c r="K858" s="3">
        <v>19.8</v>
      </c>
      <c r="L858" s="3"/>
      <c r="M858" s="3"/>
      <c r="N858" s="3">
        <v>126.9</v>
      </c>
      <c r="O858" s="3"/>
      <c r="P858" s="3"/>
      <c r="Q858" s="3">
        <v>0.67</v>
      </c>
      <c r="R858" s="3">
        <v>0.5</v>
      </c>
      <c r="S858" s="3">
        <v>0.8</v>
      </c>
      <c r="T858" s="3">
        <v>11.6</v>
      </c>
      <c r="U858" s="3">
        <v>81.599999999999994</v>
      </c>
      <c r="V858" s="3">
        <v>967.4</v>
      </c>
      <c r="W858" s="3">
        <v>0</v>
      </c>
      <c r="X858" s="3">
        <v>23</v>
      </c>
      <c r="Y858" s="3">
        <v>17.899999999999999</v>
      </c>
      <c r="Z858" s="3">
        <v>17.100000000000001</v>
      </c>
      <c r="AA858" s="3">
        <v>11</v>
      </c>
      <c r="AB858" s="3">
        <v>7.5</v>
      </c>
      <c r="AC858" s="3">
        <v>7</v>
      </c>
      <c r="AD858" s="3">
        <v>10.1</v>
      </c>
      <c r="AE858" s="3">
        <v>9.3000000000000007</v>
      </c>
      <c r="AF858" s="3">
        <v>11</v>
      </c>
      <c r="AG858" s="3">
        <v>12.2</v>
      </c>
      <c r="AH858" s="3">
        <v>8.9</v>
      </c>
      <c r="AI858" s="3">
        <v>7.8</v>
      </c>
      <c r="AJ858" s="3">
        <v>9.6999999999999993</v>
      </c>
      <c r="AK858" s="3">
        <v>9</v>
      </c>
      <c r="AL858" s="3">
        <v>7.4</v>
      </c>
      <c r="AM858" s="3">
        <v>6.4</v>
      </c>
      <c r="AN858" s="3">
        <v>6.4</v>
      </c>
      <c r="AO858" s="3">
        <v>6.6</v>
      </c>
      <c r="AP858" s="3">
        <v>6.2</v>
      </c>
      <c r="AQ858" s="3">
        <v>6.2</v>
      </c>
      <c r="AR858" s="3">
        <v>6.3</v>
      </c>
      <c r="AS858" s="3">
        <v>15.2</v>
      </c>
      <c r="AT858" s="3">
        <v>29.3</v>
      </c>
      <c r="AU858" s="3">
        <v>9.6</v>
      </c>
      <c r="AV858" s="3">
        <v>8.6</v>
      </c>
      <c r="AW858" s="3">
        <v>8.9</v>
      </c>
      <c r="AX858" s="3">
        <v>9</v>
      </c>
      <c r="AY858" s="3">
        <v>9.1</v>
      </c>
      <c r="AZ858" s="3">
        <v>0</v>
      </c>
      <c r="BA858" s="3">
        <v>0</v>
      </c>
      <c r="BB858" s="3">
        <v>0</v>
      </c>
      <c r="BC858" s="3">
        <v>30.934819226371243</v>
      </c>
      <c r="BD858" s="3">
        <v>22.965180773628756</v>
      </c>
      <c r="BE858" s="3">
        <v>17.865180773628754</v>
      </c>
      <c r="BF858" s="3">
        <v>15.825180773628755</v>
      </c>
      <c r="BG858" s="3">
        <v>10.051847440295422</v>
      </c>
      <c r="BH858" s="3">
        <v>6.6918474402954224</v>
      </c>
      <c r="BI858" s="3">
        <v>6.6051807736287564</v>
      </c>
      <c r="BJ858" s="3">
        <v>10.498514106962087</v>
      </c>
      <c r="BK858" s="3">
        <v>9.5718474402954179</v>
      </c>
      <c r="BL858" s="3">
        <v>10.845180773628758</v>
      </c>
      <c r="BM858" s="3">
        <v>12.178514106962087</v>
      </c>
      <c r="BN858" s="3">
        <v>9.1618474402954213</v>
      </c>
      <c r="BO858" s="3">
        <v>7.4285141069620941</v>
      </c>
      <c r="BP858" s="3">
        <v>9.0451807736287542</v>
      </c>
      <c r="BQ858" s="3">
        <v>8.7618474402954156</v>
      </c>
      <c r="BR858" s="3">
        <v>7.4885141069620893</v>
      </c>
      <c r="BS858" s="3">
        <v>6.2918474402954239</v>
      </c>
      <c r="BT858" s="3">
        <v>6.4885141069620893</v>
      </c>
      <c r="BU858" s="3">
        <v>6.6551807736287607</v>
      </c>
      <c r="BV858" s="3">
        <v>5.9718474402954236</v>
      </c>
      <c r="BW858" s="3">
        <v>6.5051807736287621</v>
      </c>
      <c r="BX858" s="3">
        <v>6.5251807736287581</v>
      </c>
      <c r="BY858" s="3">
        <v>15.24518077362875</v>
      </c>
      <c r="BZ858" s="3">
        <v>29.475180773628761</v>
      </c>
      <c r="CA858" s="3">
        <v>9.8751807736287454</v>
      </c>
      <c r="CB858" s="3">
        <v>8.3118474402954199</v>
      </c>
      <c r="CC858" s="3">
        <v>8.8251807736287553</v>
      </c>
      <c r="CD858" s="3">
        <v>8.2318474402954287</v>
      </c>
      <c r="CE858" s="3">
        <v>8.525180773628751</v>
      </c>
      <c r="CF858" s="3">
        <v>-0.96148589303790999</v>
      </c>
      <c r="CG858" s="3">
        <v>-1.4948192263712414</v>
      </c>
      <c r="CH858" s="3">
        <v>-2.5714858930379094</v>
      </c>
      <c r="CI858" s="13">
        <f>[1]!dbasum(RecData[[#This Row],[20]:[2000]],RecData[[#Headers],[20]:[2000]])</f>
        <v>15.64823702379503</v>
      </c>
      <c r="CJ858" s="14">
        <v>9938</v>
      </c>
      <c r="CK858" s="15" t="s">
        <v>249</v>
      </c>
      <c r="CL858" s="15">
        <f>RecData[[#This Row],[Start Time]]</f>
        <v>43274.045138888891</v>
      </c>
      <c r="CM858" s="16">
        <f>RecData[[#This Row],[Wind Speed avg]]</f>
        <v>0.67</v>
      </c>
      <c r="CN858" s="16">
        <f>RecData[[#This Row],[Wind Dir. avg]]</f>
        <v>126.9</v>
      </c>
      <c r="CO858" s="16">
        <f>RecData[[#This Row],[Amb. Humidity]]</f>
        <v>81.599999999999994</v>
      </c>
      <c r="CP858" s="16">
        <f>RecData[[#This Row],[Amb. Temperature]]</f>
        <v>11.6</v>
      </c>
      <c r="CQ858" s="17">
        <f>RecData[[#This Row],[Amb. Rain Gauge]]</f>
        <v>0</v>
      </c>
      <c r="CR858" s="4" t="s">
        <v>50</v>
      </c>
      <c r="CS858" s="4" t="s">
        <v>49</v>
      </c>
      <c r="CT858" s="70">
        <v>-9.1878013610839808</v>
      </c>
      <c r="CU858" s="70">
        <v>41.788558959960902</v>
      </c>
      <c r="CV858" s="70">
        <v>1.4082068204879701</v>
      </c>
      <c r="CW858" s="70">
        <v>0</v>
      </c>
      <c r="CX858" s="109"/>
      <c r="CY858" s="110"/>
      <c r="CZ858" s="2" t="b">
        <f>IF($DP$1="YES",IF(RecData[[#This Row],[Power (kW)]]&gt;=$CR$3, TRUE,FALSE),TRUE)</f>
        <v>0</v>
      </c>
      <c r="DA858" s="16">
        <f>MIN(MOD(180-ABS(ABS($DA$1-RecData[Yaw Angle (°)])-180),360),MOD(180-ABS(ABS($DB$1-RecData[Yaw Angle (°)])-180),360))</f>
        <v>34.258632182273345</v>
      </c>
      <c r="DB858" s="2" t="str">
        <f>IF($DP$2="None","None",IF(RecData[[#This Row],[Relative Wind Direction]]&lt;=45,"DW",IF(RecData[[#This Row],[Relative Wind Direction]]&lt;=135,"CW","UW")))</f>
        <v>DW</v>
      </c>
      <c r="DC858" s="61">
        <f>IF($CL858-$CL857&gt;1/24,#REF!,IF(SUM($CQ857:$CQ858)&gt;$DS$1,$DS$5,DC859-1))</f>
        <v>-9</v>
      </c>
      <c r="DD858" s="61">
        <f>IF($CL859-$CL858&gt;1/24,#REF!,IF(SUM($CQ857:$CQ858)&gt;$DS$1,$DS$6,DD857-1))</f>
        <v>-2</v>
      </c>
      <c r="DE858" s="18" t="b">
        <v>0</v>
      </c>
      <c r="DF858" s="2" t="b">
        <f>IF(OR(RecData[[#This Row],[WSpd_Avg '[m/s']]]-RecData[[#This Row],[Wind Speed min]]&gt;=$DF$3,RecData[[#This Row],[Wind Speed max]]-RecData[[#This Row],[WSpd_Avg '[m/s']]]&gt;=$DF$2),TRUE,FALSE)</f>
        <v>0</v>
      </c>
      <c r="DG858" s="2" t="b">
        <f>RecData[[#This Row],[Temperature '[°C']]]&lt;=-20</f>
        <v>0</v>
      </c>
      <c r="DH858" s="18" t="b">
        <f>NOT(OR(MOD(RecData[[#This Row],[TIMESTAMP]],1)&gt;0.91632,MOD(RecData[[#This Row],[TIMESTAMP]],1)&lt;0.208681))</f>
        <v>0</v>
      </c>
      <c r="DI858" s="18" t="b">
        <f>RecData[[#This Row],[Overall (dBA)]]-RecData[[#This Row],[L90]]&gt;=$DS$4</f>
        <v>0</v>
      </c>
      <c r="DJ858" s="18" t="b">
        <f>RecData[[#This Row],[Overall (dBA)]]&gt;$DS$2</f>
        <v>0</v>
      </c>
      <c r="DK858" s="18" t="b">
        <f>RecData[[#This Row],[Overall (dBA)]]&lt;$DS$3</f>
        <v>0</v>
      </c>
      <c r="DL8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8" s="2">
        <f>IF(AND(RecData[[#This Row],[Turbines ON/OFF]] = "OFF", NOT(OR(RecData[[#This Row],[Junk?]]="YES",RecData[[#This Row],[Gust?]],RecData[[#This Row],[Rain?]:[Min SPL Threshold?]]))),1,0)</f>
        <v>1</v>
      </c>
      <c r="DN858" s="16">
        <f>RecData[[#This Row],[dBA Sum]]</f>
        <v>15.64823702379503</v>
      </c>
      <c r="DO858" s="16">
        <f>RecData[[#This Row],[LAF90.0]]</f>
        <v>19.8</v>
      </c>
      <c r="DP858" s="55" t="str">
        <f>IF(AND(RecData[[#This Row],[Useable TON Data?]],RecData[[#This Row],[Turbines ON/OFF]]="ON"),RecData[[#This Row],[dBA Sum]],"")</f>
        <v/>
      </c>
      <c r="DQ858" s="55">
        <f>IF(AND(RecData[[#This Row],[Useable Background Data?]],RecData[[#This Row],[Turbines ON/OFF]]="OFF"),RecData[[#This Row],[dBA Sum]],"")</f>
        <v>15.64823702379503</v>
      </c>
      <c r="DR858" s="3">
        <f>IF(OR(RecData[[#This Row],[Useable TON Data?]],RecData[[#This Row],[Useable Background Data?]]),ROUND(RecData[[#This Row],[WSpd_Avg '[m/s']]],0),"")</f>
        <v>1</v>
      </c>
      <c r="DS858" s="85">
        <f>(0.00002)^2*(10^(RecData[[#This Row],[Overall (dBA)]]/10))</f>
        <v>1.4685329443138673E-8</v>
      </c>
    </row>
    <row r="859" spans="1:123" ht="15" x14ac:dyDescent="0.25">
      <c r="A859" s="3" t="s">
        <v>249</v>
      </c>
      <c r="B859" s="12">
        <v>43274.045833333337</v>
      </c>
      <c r="C859" s="3"/>
      <c r="D859" s="3">
        <v>31</v>
      </c>
      <c r="E859" s="3"/>
      <c r="F859" s="3"/>
      <c r="G859" s="3"/>
      <c r="H859" s="3"/>
      <c r="I859" s="3"/>
      <c r="J859" s="3"/>
      <c r="K859" s="3">
        <v>20.5</v>
      </c>
      <c r="L859" s="3"/>
      <c r="M859" s="3"/>
      <c r="N859" s="3">
        <v>142.4</v>
      </c>
      <c r="O859" s="3"/>
      <c r="P859" s="3"/>
      <c r="Q859" s="3">
        <v>0.64</v>
      </c>
      <c r="R859" s="3">
        <v>0.5</v>
      </c>
      <c r="S859" s="3">
        <v>0.7</v>
      </c>
      <c r="T859" s="3">
        <v>11.5</v>
      </c>
      <c r="U859" s="3">
        <v>81.8</v>
      </c>
      <c r="V859" s="3">
        <v>967.4</v>
      </c>
      <c r="W859" s="3">
        <v>0</v>
      </c>
      <c r="X859" s="3">
        <v>22.6</v>
      </c>
      <c r="Y859" s="3">
        <v>16.2</v>
      </c>
      <c r="Z859" s="3">
        <v>17.899999999999999</v>
      </c>
      <c r="AA859" s="3">
        <v>14</v>
      </c>
      <c r="AB859" s="3">
        <v>9</v>
      </c>
      <c r="AC859" s="3">
        <v>9.9</v>
      </c>
      <c r="AD859" s="3">
        <v>10.199999999999999</v>
      </c>
      <c r="AE859" s="3">
        <v>10.7</v>
      </c>
      <c r="AF859" s="3">
        <v>13.6</v>
      </c>
      <c r="AG859" s="3">
        <v>13.9</v>
      </c>
      <c r="AH859" s="3">
        <v>12.9</v>
      </c>
      <c r="AI859" s="3">
        <v>9.9</v>
      </c>
      <c r="AJ859" s="3">
        <v>10.7</v>
      </c>
      <c r="AK859" s="3">
        <v>13.4</v>
      </c>
      <c r="AL859" s="3">
        <v>10.5</v>
      </c>
      <c r="AM859" s="3">
        <v>14.6</v>
      </c>
      <c r="AN859" s="3">
        <v>13.2</v>
      </c>
      <c r="AO859" s="3">
        <v>14.9</v>
      </c>
      <c r="AP859" s="3">
        <v>12.9</v>
      </c>
      <c r="AQ859" s="3">
        <v>6.6</v>
      </c>
      <c r="AR859" s="3">
        <v>6.4</v>
      </c>
      <c r="AS859" s="3">
        <v>12.7</v>
      </c>
      <c r="AT859" s="3">
        <v>29.2</v>
      </c>
      <c r="AU859" s="3">
        <v>10</v>
      </c>
      <c r="AV859" s="3">
        <v>8.1999999999999993</v>
      </c>
      <c r="AW859" s="3">
        <v>8.6999999999999993</v>
      </c>
      <c r="AX859" s="3">
        <v>8.9</v>
      </c>
      <c r="AY859" s="3">
        <v>9.1</v>
      </c>
      <c r="AZ859" s="3">
        <v>0</v>
      </c>
      <c r="BA859" s="3">
        <v>0</v>
      </c>
      <c r="BB859" s="3">
        <v>0</v>
      </c>
      <c r="BC859" s="3">
        <v>31.069044196293341</v>
      </c>
      <c r="BD859" s="3">
        <v>22.530955803706661</v>
      </c>
      <c r="BE859" s="3">
        <v>16.130955803706662</v>
      </c>
      <c r="BF859" s="3">
        <v>16.590955803706656</v>
      </c>
      <c r="BG859" s="3">
        <v>13.017622470373325</v>
      </c>
      <c r="BH859" s="3">
        <v>8.157622470373326</v>
      </c>
      <c r="BI859" s="3">
        <v>9.4709558037066586</v>
      </c>
      <c r="BJ859" s="3">
        <v>10.564289137039992</v>
      </c>
      <c r="BK859" s="3">
        <v>10.93762247037332</v>
      </c>
      <c r="BL859" s="3">
        <v>13.410955803706663</v>
      </c>
      <c r="BM859" s="3">
        <v>13.844289137039993</v>
      </c>
      <c r="BN859" s="3">
        <v>13.127622470373325</v>
      </c>
      <c r="BO859" s="3">
        <v>9.494289137039992</v>
      </c>
      <c r="BP859" s="3">
        <v>10.010955803706658</v>
      </c>
      <c r="BQ859" s="3">
        <v>13.127622470373318</v>
      </c>
      <c r="BR859" s="3">
        <v>10.554289137039994</v>
      </c>
      <c r="BS859" s="3">
        <v>14.45762247037333</v>
      </c>
      <c r="BT859" s="3">
        <v>13.254289137039997</v>
      </c>
      <c r="BU859" s="3">
        <v>14.920955803706661</v>
      </c>
      <c r="BV859" s="3">
        <v>12.637622470373323</v>
      </c>
      <c r="BW859" s="3">
        <v>6.8709558037066643</v>
      </c>
      <c r="BX859" s="3">
        <v>6.5909558037066631</v>
      </c>
      <c r="BY859" s="3">
        <v>12.710955803706661</v>
      </c>
      <c r="BZ859" s="3">
        <v>29.340955803706663</v>
      </c>
      <c r="CA859" s="3">
        <v>10.240955803706655</v>
      </c>
      <c r="CB859" s="3">
        <v>7.8776224703733249</v>
      </c>
      <c r="CC859" s="3">
        <v>8.590955803706656</v>
      </c>
      <c r="CD859" s="3">
        <v>8.0976224703733308</v>
      </c>
      <c r="CE859" s="3">
        <v>8.4909558037066617</v>
      </c>
      <c r="CF859" s="3">
        <v>-0.99571086296000644</v>
      </c>
      <c r="CG859" s="3">
        <v>-1.5290441962933379</v>
      </c>
      <c r="CH859" s="3">
        <v>-2.6057108629600059</v>
      </c>
      <c r="CI859" s="13">
        <f>[1]!dbasum(RecData[[#This Row],[20]:[2000]],RecData[[#Headers],[20]:[2000]])</f>
        <v>20.750233299003821</v>
      </c>
      <c r="CJ859" s="14">
        <v>9939</v>
      </c>
      <c r="CK859" s="15" t="s">
        <v>249</v>
      </c>
      <c r="CL859" s="15">
        <f>RecData[[#This Row],[Start Time]]</f>
        <v>43274.045833333337</v>
      </c>
      <c r="CM859" s="16">
        <f>RecData[[#This Row],[Wind Speed avg]]</f>
        <v>0.64</v>
      </c>
      <c r="CN859" s="16">
        <f>RecData[[#This Row],[Wind Dir. avg]]</f>
        <v>142.4</v>
      </c>
      <c r="CO859" s="16">
        <f>RecData[[#This Row],[Amb. Humidity]]</f>
        <v>81.8</v>
      </c>
      <c r="CP859" s="16">
        <f>RecData[[#This Row],[Amb. Temperature]]</f>
        <v>11.5</v>
      </c>
      <c r="CQ859" s="17">
        <f>RecData[[#This Row],[Amb. Rain Gauge]]</f>
        <v>0</v>
      </c>
      <c r="CR859" s="4" t="s">
        <v>50</v>
      </c>
      <c r="CS859" s="4" t="s">
        <v>49</v>
      </c>
      <c r="CT859" s="70">
        <v>-9.1878013610839808</v>
      </c>
      <c r="CU859" s="70">
        <v>41.788558959960902</v>
      </c>
      <c r="CV859" s="70">
        <v>1.4082068204879701</v>
      </c>
      <c r="CW859" s="70">
        <v>0</v>
      </c>
      <c r="CX859" s="109"/>
      <c r="CY859" s="110"/>
      <c r="CZ859" s="2" t="b">
        <f>IF($DP$1="YES",IF(RecData[[#This Row],[Power (kW)]]&gt;=$CR$3, TRUE,FALSE),TRUE)</f>
        <v>0</v>
      </c>
      <c r="DA859" s="16">
        <f>MIN(MOD(180-ABS(ABS($DA$1-RecData[Yaw Angle (°)])-180),360),MOD(180-ABS(ABS($DB$1-RecData[Yaw Angle (°)])-180),360))</f>
        <v>34.258632182273345</v>
      </c>
      <c r="DB859" s="2" t="str">
        <f>IF($DP$2="None","None",IF(RecData[[#This Row],[Relative Wind Direction]]&lt;=45,"DW",IF(RecData[[#This Row],[Relative Wind Direction]]&lt;=135,"CW","UW")))</f>
        <v>DW</v>
      </c>
      <c r="DC859" s="61">
        <f>IF($CL859-$CL857&gt;1/24,#REF!,IF(SUM($CQ857:$CQ859)&gt;$DS$1,$DS$5,DC860-1))</f>
        <v>-8</v>
      </c>
      <c r="DD859" s="61">
        <f>IF($CL860-$CL859&gt;1/24,#REF!,IF(SUM($CQ857:$CQ859)&gt;$DS$1,$DS$6,DD858-1))</f>
        <v>-3</v>
      </c>
      <c r="DE859" s="18" t="b">
        <v>0</v>
      </c>
      <c r="DF859" s="2" t="b">
        <f>IF(OR(RecData[[#This Row],[WSpd_Avg '[m/s']]]-RecData[[#This Row],[Wind Speed min]]&gt;=$DF$3,RecData[[#This Row],[Wind Speed max]]-RecData[[#This Row],[WSpd_Avg '[m/s']]]&gt;=$DF$2),TRUE,FALSE)</f>
        <v>0</v>
      </c>
      <c r="DG859" s="2" t="b">
        <f>RecData[[#This Row],[Temperature '[°C']]]&lt;=-20</f>
        <v>0</v>
      </c>
      <c r="DH859" s="18" t="b">
        <f>NOT(OR(MOD(RecData[[#This Row],[TIMESTAMP]],1)&gt;0.91632,MOD(RecData[[#This Row],[TIMESTAMP]],1)&lt;0.208681))</f>
        <v>0</v>
      </c>
      <c r="DI859" s="18" t="b">
        <f>RecData[[#This Row],[Overall (dBA)]]-RecData[[#This Row],[L90]]&gt;=$DS$4</f>
        <v>0</v>
      </c>
      <c r="DJ859" s="18" t="b">
        <f>RecData[[#This Row],[Overall (dBA)]]&gt;$DS$2</f>
        <v>0</v>
      </c>
      <c r="DK859" s="18" t="b">
        <f>RecData[[#This Row],[Overall (dBA)]]&lt;$DS$3</f>
        <v>0</v>
      </c>
      <c r="DL8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59" s="2">
        <f>IF(AND(RecData[[#This Row],[Turbines ON/OFF]] = "OFF", NOT(OR(RecData[[#This Row],[Junk?]]="YES",RecData[[#This Row],[Gust?]],RecData[[#This Row],[Rain?]:[Min SPL Threshold?]]))),1,0)</f>
        <v>1</v>
      </c>
      <c r="DN859" s="16">
        <f>RecData[[#This Row],[dBA Sum]]</f>
        <v>20.750233299003821</v>
      </c>
      <c r="DO859" s="16">
        <f>RecData[[#This Row],[LAF90.0]]</f>
        <v>20.5</v>
      </c>
      <c r="DP859" s="55" t="str">
        <f>IF(AND(RecData[[#This Row],[Useable TON Data?]],RecData[[#This Row],[Turbines ON/OFF]]="ON"),RecData[[#This Row],[dBA Sum]],"")</f>
        <v/>
      </c>
      <c r="DQ859" s="55">
        <f>IF(AND(RecData[[#This Row],[Useable Background Data?]],RecData[[#This Row],[Turbines ON/OFF]]="OFF"),RecData[[#This Row],[dBA Sum]],"")</f>
        <v>20.750233299003821</v>
      </c>
      <c r="DR859" s="3">
        <f>IF(OR(RecData[[#This Row],[Useable TON Data?]],RecData[[#This Row],[Useable Background Data?]]),ROUND(RecData[[#This Row],[WSpd_Avg '[m/s']]],0),"")</f>
        <v>1</v>
      </c>
      <c r="DS859" s="85">
        <f>(0.00002)^2*(10^(RecData[[#This Row],[Overall (dBA)]]/10))</f>
        <v>4.7542642975965559E-8</v>
      </c>
    </row>
    <row r="860" spans="1:123" ht="15" x14ac:dyDescent="0.25">
      <c r="A860" s="3" t="s">
        <v>249</v>
      </c>
      <c r="B860" s="12">
        <v>43274.046527777784</v>
      </c>
      <c r="C860" s="3"/>
      <c r="D860" s="3">
        <v>29.2</v>
      </c>
      <c r="E860" s="3"/>
      <c r="F860" s="3"/>
      <c r="G860" s="3"/>
      <c r="H860" s="3"/>
      <c r="I860" s="3"/>
      <c r="J860" s="3"/>
      <c r="K860" s="3">
        <v>19.399999999999999</v>
      </c>
      <c r="L860" s="3"/>
      <c r="M860" s="3"/>
      <c r="N860" s="3">
        <v>145.19999999999999</v>
      </c>
      <c r="O860" s="3"/>
      <c r="P860" s="3"/>
      <c r="Q860" s="3">
        <v>0.6</v>
      </c>
      <c r="R860" s="3">
        <v>0.5</v>
      </c>
      <c r="S860" s="3">
        <v>0.7</v>
      </c>
      <c r="T860" s="3">
        <v>11.5</v>
      </c>
      <c r="U860" s="3">
        <v>82</v>
      </c>
      <c r="V860" s="3">
        <v>967.4</v>
      </c>
      <c r="W860" s="3">
        <v>0</v>
      </c>
      <c r="X860" s="3">
        <v>19.600000000000001</v>
      </c>
      <c r="Y860" s="3">
        <v>18.899999999999999</v>
      </c>
      <c r="Z860" s="3">
        <v>17.8</v>
      </c>
      <c r="AA860" s="3">
        <v>11.9</v>
      </c>
      <c r="AB860" s="3">
        <v>9.6</v>
      </c>
      <c r="AC860" s="3">
        <v>7.4</v>
      </c>
      <c r="AD860" s="3">
        <v>8.3000000000000007</v>
      </c>
      <c r="AE860" s="3">
        <v>8.6999999999999993</v>
      </c>
      <c r="AF860" s="3">
        <v>13.5</v>
      </c>
      <c r="AG860" s="3">
        <v>7.4</v>
      </c>
      <c r="AH860" s="3">
        <v>7.4</v>
      </c>
      <c r="AI860" s="3">
        <v>7.9</v>
      </c>
      <c r="AJ860" s="3">
        <v>9.1</v>
      </c>
      <c r="AK860" s="3">
        <v>9.1</v>
      </c>
      <c r="AL860" s="3">
        <v>7.1</v>
      </c>
      <c r="AM860" s="3">
        <v>6.6</v>
      </c>
      <c r="AN860" s="3">
        <v>7.1</v>
      </c>
      <c r="AO860" s="3">
        <v>6.4</v>
      </c>
      <c r="AP860" s="3">
        <v>6</v>
      </c>
      <c r="AQ860" s="3">
        <v>6.1</v>
      </c>
      <c r="AR860" s="3">
        <v>6</v>
      </c>
      <c r="AS860" s="3">
        <v>13</v>
      </c>
      <c r="AT860" s="3">
        <v>27.5</v>
      </c>
      <c r="AU860" s="3">
        <v>10.9</v>
      </c>
      <c r="AV860" s="3">
        <v>8.1999999999999993</v>
      </c>
      <c r="AW860" s="3">
        <v>8.6999999999999993</v>
      </c>
      <c r="AX860" s="3">
        <v>8.9</v>
      </c>
      <c r="AY860" s="3">
        <v>9.1</v>
      </c>
      <c r="AZ860" s="3">
        <v>0</v>
      </c>
      <c r="BA860" s="3">
        <v>0</v>
      </c>
      <c r="BB860" s="3">
        <v>0</v>
      </c>
      <c r="BC860" s="3">
        <v>29.262504044787562</v>
      </c>
      <c r="BD860" s="3">
        <v>19.537495955212435</v>
      </c>
      <c r="BE860" s="3">
        <v>18.837495955212432</v>
      </c>
      <c r="BF860" s="3">
        <v>16.497495955212443</v>
      </c>
      <c r="BG860" s="3">
        <v>10.924162621879105</v>
      </c>
      <c r="BH860" s="3">
        <v>8.7641626218791089</v>
      </c>
      <c r="BI860" s="3">
        <v>6.97749595521244</v>
      </c>
      <c r="BJ860" s="3">
        <v>8.6708292885457681</v>
      </c>
      <c r="BK860" s="3">
        <v>8.9441626218791015</v>
      </c>
      <c r="BL860" s="3">
        <v>13.317495955212436</v>
      </c>
      <c r="BM860" s="3">
        <v>7.3508292885457749</v>
      </c>
      <c r="BN860" s="3">
        <v>7.6341626218791063</v>
      </c>
      <c r="BO860" s="3">
        <v>7.5008292885457735</v>
      </c>
      <c r="BP860" s="3">
        <v>8.4174959552124378</v>
      </c>
      <c r="BQ860" s="3">
        <v>8.834162621879095</v>
      </c>
      <c r="BR860" s="3">
        <v>7.1608292885457701</v>
      </c>
      <c r="BS860" s="3">
        <v>6.4641626218791046</v>
      </c>
      <c r="BT860" s="3">
        <v>7.1608292885457701</v>
      </c>
      <c r="BU860" s="3">
        <v>6.4274959552124429</v>
      </c>
      <c r="BV860" s="3">
        <v>5.7441626218791058</v>
      </c>
      <c r="BW860" s="3">
        <v>6.3774959552124386</v>
      </c>
      <c r="BX860" s="3">
        <v>6.197495955212446</v>
      </c>
      <c r="BY860" s="3">
        <v>13.017495955212439</v>
      </c>
      <c r="BZ860" s="3">
        <v>27.647495955212442</v>
      </c>
      <c r="CA860" s="3">
        <v>11.147495955212435</v>
      </c>
      <c r="CB860" s="3">
        <v>7.8841626218790992</v>
      </c>
      <c r="CC860" s="3">
        <v>8.5974959552124375</v>
      </c>
      <c r="CD860" s="3">
        <v>8.1041626218791123</v>
      </c>
      <c r="CE860" s="3">
        <v>8.4974959552124361</v>
      </c>
      <c r="CF860" s="3">
        <v>-0.98917071145422852</v>
      </c>
      <c r="CG860" s="3">
        <v>-1.52250404478756</v>
      </c>
      <c r="CH860" s="3">
        <v>-2.599170711454228</v>
      </c>
      <c r="CI860" s="13">
        <f>[1]!dbasum(RecData[[#This Row],[20]:[2000]],RecData[[#Headers],[20]:[2000]])</f>
        <v>15.499776500394686</v>
      </c>
      <c r="CJ860" s="14">
        <v>9940</v>
      </c>
      <c r="CK860" s="15" t="s">
        <v>249</v>
      </c>
      <c r="CL860" s="15">
        <f>RecData[[#This Row],[Start Time]]</f>
        <v>43274.046527777784</v>
      </c>
      <c r="CM860" s="16">
        <f>RecData[[#This Row],[Wind Speed avg]]</f>
        <v>0.6</v>
      </c>
      <c r="CN860" s="16">
        <f>RecData[[#This Row],[Wind Dir. avg]]</f>
        <v>145.19999999999999</v>
      </c>
      <c r="CO860" s="16">
        <f>RecData[[#This Row],[Amb. Humidity]]</f>
        <v>82</v>
      </c>
      <c r="CP860" s="16">
        <f>RecData[[#This Row],[Amb. Temperature]]</f>
        <v>11.5</v>
      </c>
      <c r="CQ860" s="17">
        <f>RecData[[#This Row],[Amb. Rain Gauge]]</f>
        <v>0</v>
      </c>
      <c r="CR860" s="4" t="s">
        <v>50</v>
      </c>
      <c r="CS860" s="4" t="s">
        <v>49</v>
      </c>
      <c r="CT860" s="70">
        <v>-9.1878013610839808</v>
      </c>
      <c r="CU860" s="70">
        <v>41.788558959960902</v>
      </c>
      <c r="CV860" s="70">
        <v>1.4082068204879701</v>
      </c>
      <c r="CW860" s="70">
        <v>0</v>
      </c>
      <c r="CX860" s="109"/>
      <c r="CY860" s="110"/>
      <c r="CZ860" s="2" t="b">
        <f>IF($DP$1="YES",IF(RecData[[#This Row],[Power (kW)]]&gt;=$CR$3, TRUE,FALSE),TRUE)</f>
        <v>0</v>
      </c>
      <c r="DA860" s="16">
        <f>MIN(MOD(180-ABS(ABS($DA$1-RecData[Yaw Angle (°)])-180),360),MOD(180-ABS(ABS($DB$1-RecData[Yaw Angle (°)])-180),360))</f>
        <v>34.258632182273345</v>
      </c>
      <c r="DB860" s="2" t="str">
        <f>IF($DP$2="None","None",IF(RecData[[#This Row],[Relative Wind Direction]]&lt;=45,"DW",IF(RecData[[#This Row],[Relative Wind Direction]]&lt;=135,"CW","UW")))</f>
        <v>DW</v>
      </c>
      <c r="DC860" s="61">
        <f>IF($CL860-$CL857&gt;1/24,#REF!,IF(SUM($CQ857:$CQ860)&gt;$DS$1,$DS$5,DC861-1))</f>
        <v>-7</v>
      </c>
      <c r="DD860" s="61">
        <f>IF($CL861-$CL860&gt;1/24,#REF!,IF(SUM($CQ857:$CQ860)&gt;$DS$1,$DS$6,DD859-1))</f>
        <v>-4</v>
      </c>
      <c r="DE860" s="18" t="b">
        <v>0</v>
      </c>
      <c r="DF860" s="2" t="b">
        <f>IF(OR(RecData[[#This Row],[WSpd_Avg '[m/s']]]-RecData[[#This Row],[Wind Speed min]]&gt;=$DF$3,RecData[[#This Row],[Wind Speed max]]-RecData[[#This Row],[WSpd_Avg '[m/s']]]&gt;=$DF$2),TRUE,FALSE)</f>
        <v>0</v>
      </c>
      <c r="DG860" s="2" t="b">
        <f>RecData[[#This Row],[Temperature '[°C']]]&lt;=-20</f>
        <v>0</v>
      </c>
      <c r="DH860" s="18" t="b">
        <f>NOT(OR(MOD(RecData[[#This Row],[TIMESTAMP]],1)&gt;0.91632,MOD(RecData[[#This Row],[TIMESTAMP]],1)&lt;0.208681))</f>
        <v>0</v>
      </c>
      <c r="DI860" s="18" t="b">
        <f>RecData[[#This Row],[Overall (dBA)]]-RecData[[#This Row],[L90]]&gt;=$DS$4</f>
        <v>0</v>
      </c>
      <c r="DJ860" s="18" t="b">
        <f>RecData[[#This Row],[Overall (dBA)]]&gt;$DS$2</f>
        <v>0</v>
      </c>
      <c r="DK860" s="18" t="b">
        <f>RecData[[#This Row],[Overall (dBA)]]&lt;$DS$3</f>
        <v>0</v>
      </c>
      <c r="DL8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0" s="2">
        <f>IF(AND(RecData[[#This Row],[Turbines ON/OFF]] = "OFF", NOT(OR(RecData[[#This Row],[Junk?]]="YES",RecData[[#This Row],[Gust?]],RecData[[#This Row],[Rain?]:[Min SPL Threshold?]]))),1,0)</f>
        <v>1</v>
      </c>
      <c r="DN860" s="16">
        <f>RecData[[#This Row],[dBA Sum]]</f>
        <v>15.499776500394686</v>
      </c>
      <c r="DO860" s="16">
        <f>RecData[[#This Row],[LAF90.0]]</f>
        <v>19.399999999999999</v>
      </c>
      <c r="DP860" s="55" t="str">
        <f>IF(AND(RecData[[#This Row],[Useable TON Data?]],RecData[[#This Row],[Turbines ON/OFF]]="ON"),RecData[[#This Row],[dBA Sum]],"")</f>
        <v/>
      </c>
      <c r="DQ860" s="55">
        <f>IF(AND(RecData[[#This Row],[Useable Background Data?]],RecData[[#This Row],[Turbines ON/OFF]]="OFF"),RecData[[#This Row],[dBA Sum]],"")</f>
        <v>15.499776500394686</v>
      </c>
      <c r="DR860" s="3">
        <f>IF(OR(RecData[[#This Row],[Useable TON Data?]],RecData[[#This Row],[Useable Background Data?]]),ROUND(RecData[[#This Row],[WSpd_Avg '[m/s']]],0),"")</f>
        <v>1</v>
      </c>
      <c r="DS860" s="85">
        <f>(0.00002)^2*(10^(RecData[[#This Row],[Overall (dBA)]]/10))</f>
        <v>1.4191805202135694E-8</v>
      </c>
    </row>
    <row r="861" spans="1:123" ht="15" x14ac:dyDescent="0.25">
      <c r="A861" s="3" t="s">
        <v>249</v>
      </c>
      <c r="B861" s="12">
        <v>43274.047222222231</v>
      </c>
      <c r="C861" s="3"/>
      <c r="D861" s="3">
        <v>29.8</v>
      </c>
      <c r="E861" s="3"/>
      <c r="F861" s="3"/>
      <c r="G861" s="3"/>
      <c r="H861" s="3"/>
      <c r="I861" s="3"/>
      <c r="J861" s="3"/>
      <c r="K861" s="3">
        <v>21</v>
      </c>
      <c r="L861" s="3"/>
      <c r="M861" s="3"/>
      <c r="N861" s="3">
        <v>135.30000000000001</v>
      </c>
      <c r="O861" s="3"/>
      <c r="P861" s="3"/>
      <c r="Q861" s="3">
        <v>0.56999999999999995</v>
      </c>
      <c r="R861" s="3">
        <v>0.3</v>
      </c>
      <c r="S861" s="3">
        <v>0.8</v>
      </c>
      <c r="T861" s="3">
        <v>11.5</v>
      </c>
      <c r="U861" s="3">
        <v>82.2</v>
      </c>
      <c r="V861" s="3">
        <v>967.4</v>
      </c>
      <c r="W861" s="3">
        <v>0</v>
      </c>
      <c r="X861" s="3">
        <v>26.3</v>
      </c>
      <c r="Y861" s="3">
        <v>26</v>
      </c>
      <c r="Z861" s="3">
        <v>26.5</v>
      </c>
      <c r="AA861" s="3">
        <v>18.7</v>
      </c>
      <c r="AB861" s="3">
        <v>12.2</v>
      </c>
      <c r="AC861" s="3">
        <v>7.5</v>
      </c>
      <c r="AD861" s="3">
        <v>8.6</v>
      </c>
      <c r="AE861" s="3">
        <v>9.4</v>
      </c>
      <c r="AF861" s="3">
        <v>14.1</v>
      </c>
      <c r="AG861" s="3">
        <v>9.6999999999999993</v>
      </c>
      <c r="AH861" s="3">
        <v>8.3000000000000007</v>
      </c>
      <c r="AI861" s="3">
        <v>8.1999999999999993</v>
      </c>
      <c r="AJ861" s="3">
        <v>9.9</v>
      </c>
      <c r="AK861" s="3">
        <v>8.9</v>
      </c>
      <c r="AL861" s="3">
        <v>6.7</v>
      </c>
      <c r="AM861" s="3">
        <v>6.4</v>
      </c>
      <c r="AN861" s="3">
        <v>6.6</v>
      </c>
      <c r="AO861" s="3">
        <v>6.2</v>
      </c>
      <c r="AP861" s="3">
        <v>6</v>
      </c>
      <c r="AQ861" s="3">
        <v>6.3</v>
      </c>
      <c r="AR861" s="3">
        <v>6.5</v>
      </c>
      <c r="AS861" s="3">
        <v>14.6</v>
      </c>
      <c r="AT861" s="3">
        <v>28</v>
      </c>
      <c r="AU861" s="3">
        <v>8.4</v>
      </c>
      <c r="AV861" s="3">
        <v>8.3000000000000007</v>
      </c>
      <c r="AW861" s="3">
        <v>8.8000000000000007</v>
      </c>
      <c r="AX861" s="3">
        <v>8.9</v>
      </c>
      <c r="AY861" s="3">
        <v>9.1999999999999993</v>
      </c>
      <c r="AZ861" s="3">
        <v>0</v>
      </c>
      <c r="BA861" s="3">
        <v>0</v>
      </c>
      <c r="BB861" s="3">
        <v>0</v>
      </c>
      <c r="BC861" s="3">
        <v>29.733554073851597</v>
      </c>
      <c r="BD861" s="3">
        <v>26.366445926148405</v>
      </c>
      <c r="BE861" s="3">
        <v>26.066445926148401</v>
      </c>
      <c r="BF861" s="3">
        <v>25.326445926148406</v>
      </c>
      <c r="BG861" s="3">
        <v>17.853112592815062</v>
      </c>
      <c r="BH861" s="3">
        <v>11.49311259281507</v>
      </c>
      <c r="BI861" s="3">
        <v>7.2064459261484011</v>
      </c>
      <c r="BJ861" s="3">
        <v>9.0997792594817319</v>
      </c>
      <c r="BK861" s="3">
        <v>9.7731125928150639</v>
      </c>
      <c r="BL861" s="3">
        <v>14.046445926148404</v>
      </c>
      <c r="BM861" s="3">
        <v>9.7797792594817388</v>
      </c>
      <c r="BN861" s="3">
        <v>8.6631125928150716</v>
      </c>
      <c r="BO861" s="3">
        <v>7.9297792594817373</v>
      </c>
      <c r="BP861" s="3">
        <v>9.3464459261484016</v>
      </c>
      <c r="BQ861" s="3">
        <v>8.7631125928150588</v>
      </c>
      <c r="BR861" s="3">
        <v>6.8897792594817382</v>
      </c>
      <c r="BS861" s="3">
        <v>6.3931125928150685</v>
      </c>
      <c r="BT861" s="3">
        <v>6.7897792594817368</v>
      </c>
      <c r="BU861" s="3">
        <v>6.3564459261484068</v>
      </c>
      <c r="BV861" s="3">
        <v>5.8731125928150725</v>
      </c>
      <c r="BW861" s="3">
        <v>6.7064459261484082</v>
      </c>
      <c r="BX861" s="3">
        <v>6.8264459261484056</v>
      </c>
      <c r="BY861" s="3">
        <v>14.7464459261484</v>
      </c>
      <c r="BZ861" s="3">
        <v>28.276445926148408</v>
      </c>
      <c r="CA861" s="3">
        <v>8.7764459261483942</v>
      </c>
      <c r="CB861" s="3">
        <v>8.1131125928150674</v>
      </c>
      <c r="CC861" s="3">
        <v>8.8264459261484056</v>
      </c>
      <c r="CD861" s="3">
        <v>8.2331125928150719</v>
      </c>
      <c r="CE861" s="3">
        <v>8.7264459261484042</v>
      </c>
      <c r="CF861" s="3">
        <v>-0.86022074051826181</v>
      </c>
      <c r="CG861" s="3">
        <v>-1.3935540738515932</v>
      </c>
      <c r="CH861" s="3">
        <v>-2.4702207405182612</v>
      </c>
      <c r="CI861" s="13">
        <f>[1]!dbasum(RecData[[#This Row],[20]:[2000]],RecData[[#Headers],[20]:[2000]])</f>
        <v>15.702899231590566</v>
      </c>
      <c r="CJ861" s="14">
        <v>9941</v>
      </c>
      <c r="CK861" s="15" t="s">
        <v>249</v>
      </c>
      <c r="CL861" s="15">
        <f>RecData[[#This Row],[Start Time]]</f>
        <v>43274.047222222231</v>
      </c>
      <c r="CM861" s="16">
        <f>RecData[[#This Row],[Wind Speed avg]]</f>
        <v>0.56999999999999995</v>
      </c>
      <c r="CN861" s="16">
        <f>RecData[[#This Row],[Wind Dir. avg]]</f>
        <v>135.30000000000001</v>
      </c>
      <c r="CO861" s="16">
        <f>RecData[[#This Row],[Amb. Humidity]]</f>
        <v>82.2</v>
      </c>
      <c r="CP861" s="16">
        <f>RecData[[#This Row],[Amb. Temperature]]</f>
        <v>11.5</v>
      </c>
      <c r="CQ861" s="17">
        <f>RecData[[#This Row],[Amb. Rain Gauge]]</f>
        <v>0</v>
      </c>
      <c r="CR861" s="4" t="s">
        <v>50</v>
      </c>
      <c r="CS861" s="4" t="s">
        <v>49</v>
      </c>
      <c r="CT861" s="70">
        <v>-9.1878013610839808</v>
      </c>
      <c r="CU861" s="70">
        <v>41.788558959960902</v>
      </c>
      <c r="CV861" s="70">
        <v>1.4082068204879701</v>
      </c>
      <c r="CW861" s="70">
        <v>0</v>
      </c>
      <c r="CX861" s="109"/>
      <c r="CY861" s="110"/>
      <c r="CZ861" s="2" t="b">
        <f>IF($DP$1="YES",IF(RecData[[#This Row],[Power (kW)]]&gt;=$CR$3, TRUE,FALSE),TRUE)</f>
        <v>0</v>
      </c>
      <c r="DA861" s="16">
        <f>MIN(MOD(180-ABS(ABS($DA$1-RecData[Yaw Angle (°)])-180),360),MOD(180-ABS(ABS($DB$1-RecData[Yaw Angle (°)])-180),360))</f>
        <v>34.258632182273345</v>
      </c>
      <c r="DB861" s="2" t="str">
        <f>IF($DP$2="None","None",IF(RecData[[#This Row],[Relative Wind Direction]]&lt;=45,"DW",IF(RecData[[#This Row],[Relative Wind Direction]]&lt;=135,"CW","UW")))</f>
        <v>DW</v>
      </c>
      <c r="DC861" s="61">
        <f>IF($CL861-$CL857&gt;1/24,#REF!,IF(SUM($CQ857:$CQ861)&gt;$DS$1,$DS$5,DC862-1))</f>
        <v>-6</v>
      </c>
      <c r="DD861" s="61">
        <f>IF($CL862-$CL861&gt;1/24,#REF!,IF(SUM($CQ857:$CQ861)&gt;$DS$1,$DS$6,DD860-1))</f>
        <v>-5</v>
      </c>
      <c r="DE861" s="18" t="b">
        <v>0</v>
      </c>
      <c r="DF861" s="2" t="b">
        <f>IF(OR(RecData[[#This Row],[WSpd_Avg '[m/s']]]-RecData[[#This Row],[Wind Speed min]]&gt;=$DF$3,RecData[[#This Row],[Wind Speed max]]-RecData[[#This Row],[WSpd_Avg '[m/s']]]&gt;=$DF$2),TRUE,FALSE)</f>
        <v>0</v>
      </c>
      <c r="DG861" s="2" t="b">
        <f>RecData[[#This Row],[Temperature '[°C']]]&lt;=-20</f>
        <v>0</v>
      </c>
      <c r="DH861" s="18" t="b">
        <f>NOT(OR(MOD(RecData[[#This Row],[TIMESTAMP]],1)&gt;0.91632,MOD(RecData[[#This Row],[TIMESTAMP]],1)&lt;0.208681))</f>
        <v>0</v>
      </c>
      <c r="DI861" s="18" t="b">
        <f>RecData[[#This Row],[Overall (dBA)]]-RecData[[#This Row],[L90]]&gt;=$DS$4</f>
        <v>0</v>
      </c>
      <c r="DJ861" s="18" t="b">
        <f>RecData[[#This Row],[Overall (dBA)]]&gt;$DS$2</f>
        <v>0</v>
      </c>
      <c r="DK861" s="18" t="b">
        <f>RecData[[#This Row],[Overall (dBA)]]&lt;$DS$3</f>
        <v>0</v>
      </c>
      <c r="DL8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1" s="2">
        <f>IF(AND(RecData[[#This Row],[Turbines ON/OFF]] = "OFF", NOT(OR(RecData[[#This Row],[Junk?]]="YES",RecData[[#This Row],[Gust?]],RecData[[#This Row],[Rain?]:[Min SPL Threshold?]]))),1,0)</f>
        <v>1</v>
      </c>
      <c r="DN861" s="16">
        <f>RecData[[#This Row],[dBA Sum]]</f>
        <v>15.702899231590566</v>
      </c>
      <c r="DO861" s="16">
        <f>RecData[[#This Row],[LAF90.0]]</f>
        <v>21</v>
      </c>
      <c r="DP861" s="55" t="str">
        <f>IF(AND(RecData[[#This Row],[Useable TON Data?]],RecData[[#This Row],[Turbines ON/OFF]]="ON"),RecData[[#This Row],[dBA Sum]],"")</f>
        <v/>
      </c>
      <c r="DQ861" s="55">
        <f>IF(AND(RecData[[#This Row],[Useable Background Data?]],RecData[[#This Row],[Turbines ON/OFF]]="OFF"),RecData[[#This Row],[dBA Sum]],"")</f>
        <v>15.702899231590566</v>
      </c>
      <c r="DR861" s="3">
        <f>IF(OR(RecData[[#This Row],[Useable TON Data?]],RecData[[#This Row],[Useable Background Data?]]),ROUND(RecData[[#This Row],[WSpd_Avg '[m/s']]],0),"")</f>
        <v>1</v>
      </c>
      <c r="DS861" s="85">
        <f>(0.00002)^2*(10^(RecData[[#This Row],[Overall (dBA)]]/10))</f>
        <v>1.487133354784004E-8</v>
      </c>
    </row>
    <row r="862" spans="1:123" ht="15" x14ac:dyDescent="0.25">
      <c r="A862" s="3" t="s">
        <v>249</v>
      </c>
      <c r="B862" s="12">
        <v>43274.04791666667</v>
      </c>
      <c r="C862" s="3"/>
      <c r="D862" s="3">
        <v>29.3</v>
      </c>
      <c r="E862" s="3"/>
      <c r="F862" s="3"/>
      <c r="G862" s="3"/>
      <c r="H862" s="3"/>
      <c r="I862" s="3"/>
      <c r="J862" s="3"/>
      <c r="K862" s="3">
        <v>19.8</v>
      </c>
      <c r="L862" s="3"/>
      <c r="M862" s="3"/>
      <c r="N862" s="3">
        <v>141.9</v>
      </c>
      <c r="O862" s="3"/>
      <c r="P862" s="3"/>
      <c r="Q862" s="3">
        <v>0.54</v>
      </c>
      <c r="R862" s="3">
        <v>0.4</v>
      </c>
      <c r="S862" s="3">
        <v>0.6</v>
      </c>
      <c r="T862" s="3">
        <v>11.5</v>
      </c>
      <c r="U862" s="3">
        <v>82.1</v>
      </c>
      <c r="V862" s="3">
        <v>967.4</v>
      </c>
      <c r="W862" s="3">
        <v>0</v>
      </c>
      <c r="X862" s="3">
        <v>20.9</v>
      </c>
      <c r="Y862" s="3">
        <v>20.2</v>
      </c>
      <c r="Z862" s="3">
        <v>19.899999999999999</v>
      </c>
      <c r="AA862" s="3">
        <v>11.2</v>
      </c>
      <c r="AB862" s="3">
        <v>8</v>
      </c>
      <c r="AC862" s="3">
        <v>5.9</v>
      </c>
      <c r="AD862" s="3">
        <v>8.8000000000000007</v>
      </c>
      <c r="AE862" s="3">
        <v>8.8000000000000007</v>
      </c>
      <c r="AF862" s="3">
        <v>13.8</v>
      </c>
      <c r="AG862" s="3">
        <v>6.5</v>
      </c>
      <c r="AH862" s="3">
        <v>7.6</v>
      </c>
      <c r="AI862" s="3">
        <v>7.1</v>
      </c>
      <c r="AJ862" s="3">
        <v>8.4</v>
      </c>
      <c r="AK862" s="3">
        <v>8.4</v>
      </c>
      <c r="AL862" s="3">
        <v>6.6</v>
      </c>
      <c r="AM862" s="3">
        <v>6</v>
      </c>
      <c r="AN862" s="3">
        <v>6.4</v>
      </c>
      <c r="AO862" s="3">
        <v>5.9</v>
      </c>
      <c r="AP862" s="3">
        <v>5.6</v>
      </c>
      <c r="AQ862" s="3">
        <v>5.9</v>
      </c>
      <c r="AR862" s="3">
        <v>6.1</v>
      </c>
      <c r="AS862" s="3">
        <v>12.7</v>
      </c>
      <c r="AT862" s="3">
        <v>27.6</v>
      </c>
      <c r="AU862" s="3">
        <v>10.5</v>
      </c>
      <c r="AV862" s="3">
        <v>8.1</v>
      </c>
      <c r="AW862" s="3">
        <v>8.6999999999999993</v>
      </c>
      <c r="AX862" s="3">
        <v>8.9</v>
      </c>
      <c r="AY862" s="3">
        <v>9.1</v>
      </c>
      <c r="AZ862" s="3">
        <v>0</v>
      </c>
      <c r="BA862" s="3">
        <v>0</v>
      </c>
      <c r="BB862" s="3">
        <v>0</v>
      </c>
      <c r="BC862" s="3">
        <v>29.318265954867119</v>
      </c>
      <c r="BD862" s="3">
        <v>20.881734045132884</v>
      </c>
      <c r="BE862" s="3">
        <v>20.181734045132881</v>
      </c>
      <c r="BF862" s="3">
        <v>18.641734045132882</v>
      </c>
      <c r="BG862" s="3">
        <v>10.268400711799547</v>
      </c>
      <c r="BH862" s="3">
        <v>7.2084007117995519</v>
      </c>
      <c r="BI862" s="3">
        <v>5.5217340451328845</v>
      </c>
      <c r="BJ862" s="3">
        <v>9.2150673784662125</v>
      </c>
      <c r="BK862" s="3">
        <v>9.0884007117995473</v>
      </c>
      <c r="BL862" s="3">
        <v>13.661734045132885</v>
      </c>
      <c r="BM862" s="3">
        <v>6.4950673784662136</v>
      </c>
      <c r="BN862" s="3">
        <v>7.8784007117995465</v>
      </c>
      <c r="BO862" s="3">
        <v>6.7450673784662207</v>
      </c>
      <c r="BP862" s="3">
        <v>7.7617340451328793</v>
      </c>
      <c r="BQ862" s="3">
        <v>8.1784007117995365</v>
      </c>
      <c r="BR862" s="3">
        <v>6.7050673784662145</v>
      </c>
      <c r="BS862" s="3">
        <v>5.9084007117995476</v>
      </c>
      <c r="BT862" s="3">
        <v>6.5050673784662187</v>
      </c>
      <c r="BU862" s="3">
        <v>5.9717340451328873</v>
      </c>
      <c r="BV862" s="3">
        <v>5.3884007117995516</v>
      </c>
      <c r="BW862" s="3">
        <v>6.2217340451328873</v>
      </c>
      <c r="BX862" s="3">
        <v>6.3417340451328847</v>
      </c>
      <c r="BY862" s="3">
        <v>12.761734045132879</v>
      </c>
      <c r="BZ862" s="3">
        <v>27.791734045132888</v>
      </c>
      <c r="CA862" s="3">
        <v>10.791734045132873</v>
      </c>
      <c r="CB862" s="3">
        <v>7.8284007117995493</v>
      </c>
      <c r="CC862" s="3">
        <v>8.6417340451328819</v>
      </c>
      <c r="CD862" s="3">
        <v>8.1484007117995496</v>
      </c>
      <c r="CE862" s="3">
        <v>8.5417340451328805</v>
      </c>
      <c r="CF862" s="3">
        <v>-0.9449326215337841</v>
      </c>
      <c r="CG862" s="3">
        <v>-1.4782659548671155</v>
      </c>
      <c r="CH862" s="3">
        <v>-2.5549326215337835</v>
      </c>
      <c r="CI862" s="13">
        <f>[1]!dbasum(RecData[[#This Row],[20]:[2000]],RecData[[#Headers],[20]:[2000]])</f>
        <v>15.164962441915348</v>
      </c>
      <c r="CJ862" s="14">
        <v>9942</v>
      </c>
      <c r="CK862" s="15" t="s">
        <v>249</v>
      </c>
      <c r="CL862" s="15">
        <f>RecData[[#This Row],[Start Time]]</f>
        <v>43274.04791666667</v>
      </c>
      <c r="CM862" s="16">
        <f>RecData[[#This Row],[Wind Speed avg]]</f>
        <v>0.54</v>
      </c>
      <c r="CN862" s="16">
        <f>RecData[[#This Row],[Wind Dir. avg]]</f>
        <v>141.9</v>
      </c>
      <c r="CO862" s="16">
        <f>RecData[[#This Row],[Amb. Humidity]]</f>
        <v>82.1</v>
      </c>
      <c r="CP862" s="16">
        <f>RecData[[#This Row],[Amb. Temperature]]</f>
        <v>11.5</v>
      </c>
      <c r="CQ862" s="17">
        <f>RecData[[#This Row],[Amb. Rain Gauge]]</f>
        <v>0</v>
      </c>
      <c r="CR862" s="4" t="s">
        <v>50</v>
      </c>
      <c r="CS862" s="4" t="s">
        <v>49</v>
      </c>
      <c r="CT862" s="70">
        <v>-9.1878013610839808</v>
      </c>
      <c r="CU862" s="70">
        <v>41.788558959960902</v>
      </c>
      <c r="CV862" s="70">
        <v>1.4082068204879701</v>
      </c>
      <c r="CW862" s="70">
        <v>0</v>
      </c>
      <c r="CX862" s="109"/>
      <c r="CY862" s="110"/>
      <c r="CZ862" s="2" t="b">
        <f>IF($DP$1="YES",IF(RecData[[#This Row],[Power (kW)]]&gt;=$CR$3, TRUE,FALSE),TRUE)</f>
        <v>0</v>
      </c>
      <c r="DA862" s="16">
        <f>MIN(MOD(180-ABS(ABS($DA$1-RecData[Yaw Angle (°)])-180),360),MOD(180-ABS(ABS($DB$1-RecData[Yaw Angle (°)])-180),360))</f>
        <v>34.258632182273345</v>
      </c>
      <c r="DB862" s="2" t="str">
        <f>IF($DP$2="None","None",IF(RecData[[#This Row],[Relative Wind Direction]]&lt;=45,"DW",IF(RecData[[#This Row],[Relative Wind Direction]]&lt;=135,"CW","UW")))</f>
        <v>DW</v>
      </c>
      <c r="DC862" s="61">
        <f>IF($CL862-$CL858&gt;1/24,#REF!,IF(SUM($CQ858:$CQ862)&gt;$DS$1,$DS$5,DC863-1))</f>
        <v>-5</v>
      </c>
      <c r="DD862" s="61">
        <f>IF($CL863-$CL862&gt;1/24,#REF!,IF(SUM($CQ858:$CQ862)&gt;$DS$1,$DS$6,DD861-1))</f>
        <v>-6</v>
      </c>
      <c r="DE862" s="18" t="b">
        <v>0</v>
      </c>
      <c r="DF862" s="2" t="b">
        <f>IF(OR(RecData[[#This Row],[WSpd_Avg '[m/s']]]-RecData[[#This Row],[Wind Speed min]]&gt;=$DF$3,RecData[[#This Row],[Wind Speed max]]-RecData[[#This Row],[WSpd_Avg '[m/s']]]&gt;=$DF$2),TRUE,FALSE)</f>
        <v>0</v>
      </c>
      <c r="DG862" s="2" t="b">
        <f>RecData[[#This Row],[Temperature '[°C']]]&lt;=-20</f>
        <v>0</v>
      </c>
      <c r="DH862" s="18" t="b">
        <f>NOT(OR(MOD(RecData[[#This Row],[TIMESTAMP]],1)&gt;0.91632,MOD(RecData[[#This Row],[TIMESTAMP]],1)&lt;0.208681))</f>
        <v>0</v>
      </c>
      <c r="DI862" s="18" t="b">
        <f>RecData[[#This Row],[Overall (dBA)]]-RecData[[#This Row],[L90]]&gt;=$DS$4</f>
        <v>0</v>
      </c>
      <c r="DJ862" s="18" t="b">
        <f>RecData[[#This Row],[Overall (dBA)]]&gt;$DS$2</f>
        <v>0</v>
      </c>
      <c r="DK862" s="18" t="b">
        <f>RecData[[#This Row],[Overall (dBA)]]&lt;$DS$3</f>
        <v>0</v>
      </c>
      <c r="DL8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2" s="2">
        <f>IF(AND(RecData[[#This Row],[Turbines ON/OFF]] = "OFF", NOT(OR(RecData[[#This Row],[Junk?]]="YES",RecData[[#This Row],[Gust?]],RecData[[#This Row],[Rain?]:[Min SPL Threshold?]]))),1,0)</f>
        <v>1</v>
      </c>
      <c r="DN862" s="16">
        <f>RecData[[#This Row],[dBA Sum]]</f>
        <v>15.164962441915348</v>
      </c>
      <c r="DO862" s="16">
        <f>RecData[[#This Row],[LAF90.0]]</f>
        <v>19.8</v>
      </c>
      <c r="DP862" s="55" t="str">
        <f>IF(AND(RecData[[#This Row],[Useable TON Data?]],RecData[[#This Row],[Turbines ON/OFF]]="ON"),RecData[[#This Row],[dBA Sum]],"")</f>
        <v/>
      </c>
      <c r="DQ862" s="55">
        <f>IF(AND(RecData[[#This Row],[Useable Background Data?]],RecData[[#This Row],[Turbines ON/OFF]]="OFF"),RecData[[#This Row],[dBA Sum]],"")</f>
        <v>15.164962441915348</v>
      </c>
      <c r="DR862" s="3">
        <f>IF(OR(RecData[[#This Row],[Useable TON Data?]],RecData[[#This Row],[Useable Background Data?]]),ROUND(RecData[[#This Row],[WSpd_Avg '[m/s']]],0),"")</f>
        <v>1</v>
      </c>
      <c r="DS862" s="85">
        <f>(0.00002)^2*(10^(RecData[[#This Row],[Overall (dBA)]]/10))</f>
        <v>1.3138816146248254E-8</v>
      </c>
    </row>
    <row r="863" spans="1:123" ht="15" x14ac:dyDescent="0.25">
      <c r="A863" s="3" t="s">
        <v>249</v>
      </c>
      <c r="B863" s="12">
        <v>43274.048611111117</v>
      </c>
      <c r="C863" s="3"/>
      <c r="D863" s="3">
        <v>30.6</v>
      </c>
      <c r="E863" s="3"/>
      <c r="F863" s="3"/>
      <c r="G863" s="3"/>
      <c r="H863" s="3"/>
      <c r="I863" s="3"/>
      <c r="J863" s="3"/>
      <c r="K863" s="3">
        <v>20.5</v>
      </c>
      <c r="L863" s="3"/>
      <c r="M863" s="3"/>
      <c r="N863" s="3">
        <v>129.5</v>
      </c>
      <c r="O863" s="3"/>
      <c r="P863" s="3"/>
      <c r="Q863" s="3">
        <v>0.56999999999999995</v>
      </c>
      <c r="R863" s="3">
        <v>0.4</v>
      </c>
      <c r="S863" s="3">
        <v>0.7</v>
      </c>
      <c r="T863" s="3">
        <v>11.4</v>
      </c>
      <c r="U863" s="3">
        <v>82.3</v>
      </c>
      <c r="V863" s="3">
        <v>967.4</v>
      </c>
      <c r="W863" s="3">
        <v>0</v>
      </c>
      <c r="X863" s="3">
        <v>19.600000000000001</v>
      </c>
      <c r="Y863" s="3">
        <v>17</v>
      </c>
      <c r="Z863" s="3">
        <v>16.600000000000001</v>
      </c>
      <c r="AA863" s="3">
        <v>9.9</v>
      </c>
      <c r="AB863" s="3">
        <v>9.1999999999999993</v>
      </c>
      <c r="AC863" s="3">
        <v>5.4</v>
      </c>
      <c r="AD863" s="3">
        <v>7.9</v>
      </c>
      <c r="AE863" s="3">
        <v>8.9</v>
      </c>
      <c r="AF863" s="3">
        <v>12.4</v>
      </c>
      <c r="AG863" s="3">
        <v>6.2</v>
      </c>
      <c r="AH863" s="3">
        <v>8.3000000000000007</v>
      </c>
      <c r="AI863" s="3">
        <v>7.1</v>
      </c>
      <c r="AJ863" s="3">
        <v>8.4</v>
      </c>
      <c r="AK863" s="3">
        <v>8.6</v>
      </c>
      <c r="AL863" s="3">
        <v>6.8</v>
      </c>
      <c r="AM863" s="3">
        <v>6.1</v>
      </c>
      <c r="AN863" s="3">
        <v>6.2</v>
      </c>
      <c r="AO863" s="3">
        <v>5.9</v>
      </c>
      <c r="AP863" s="3">
        <v>5.6</v>
      </c>
      <c r="AQ863" s="3">
        <v>6.1</v>
      </c>
      <c r="AR863" s="3">
        <v>6</v>
      </c>
      <c r="AS863" s="3">
        <v>14.3</v>
      </c>
      <c r="AT863" s="3">
        <v>29</v>
      </c>
      <c r="AU863" s="3">
        <v>8.3000000000000007</v>
      </c>
      <c r="AV863" s="3">
        <v>8.1</v>
      </c>
      <c r="AW863" s="3">
        <v>8.6</v>
      </c>
      <c r="AX863" s="3">
        <v>8.9</v>
      </c>
      <c r="AY863" s="3">
        <v>9.1</v>
      </c>
      <c r="AZ863" s="3">
        <v>0</v>
      </c>
      <c r="BA863" s="3">
        <v>0</v>
      </c>
      <c r="BB863" s="3">
        <v>0</v>
      </c>
      <c r="BC863" s="3">
        <v>30.601701536699487</v>
      </c>
      <c r="BD863" s="3">
        <v>19.598298463300516</v>
      </c>
      <c r="BE863" s="3">
        <v>16.998298463300515</v>
      </c>
      <c r="BF863" s="3">
        <v>15.358298463300514</v>
      </c>
      <c r="BG863" s="3">
        <v>8.9849651299671791</v>
      </c>
      <c r="BH863" s="3">
        <v>8.4249651299671839</v>
      </c>
      <c r="BI863" s="3">
        <v>5.0382984633005137</v>
      </c>
      <c r="BJ863" s="3">
        <v>8.3316317966338502</v>
      </c>
      <c r="BK863" s="3">
        <v>9.204965129967178</v>
      </c>
      <c r="BL863" s="3">
        <v>12.278298463300516</v>
      </c>
      <c r="BM863" s="3">
        <v>6.2116317966338528</v>
      </c>
      <c r="BN863" s="3">
        <v>8.5949651299671856</v>
      </c>
      <c r="BO863" s="3">
        <v>6.7616317966338499</v>
      </c>
      <c r="BP863" s="3">
        <v>7.7782984633005157</v>
      </c>
      <c r="BQ863" s="3">
        <v>8.3949651299671686</v>
      </c>
      <c r="BR863" s="3">
        <v>6.9216317966338465</v>
      </c>
      <c r="BS863" s="3">
        <v>6.0249651299671783</v>
      </c>
      <c r="BT863" s="3">
        <v>6.3216317966338522</v>
      </c>
      <c r="BU863" s="3">
        <v>5.9882984633005165</v>
      </c>
      <c r="BV863" s="3">
        <v>5.4049651299671808</v>
      </c>
      <c r="BW863" s="3">
        <v>6.4382984633005194</v>
      </c>
      <c r="BX863" s="3">
        <v>6.2582984633005196</v>
      </c>
      <c r="BY863" s="3">
        <v>14.378298463300517</v>
      </c>
      <c r="BZ863" s="3">
        <v>29.208298463300515</v>
      </c>
      <c r="CA863" s="3">
        <v>8.6082984633005069</v>
      </c>
      <c r="CB863" s="3">
        <v>7.8449651299671785</v>
      </c>
      <c r="CC863" s="3">
        <v>8.5582984633005097</v>
      </c>
      <c r="CD863" s="3">
        <v>8.1649651299671859</v>
      </c>
      <c r="CE863" s="3">
        <v>8.5582984633005097</v>
      </c>
      <c r="CF863" s="3">
        <v>-0.92836820336615133</v>
      </c>
      <c r="CG863" s="3">
        <v>-1.4617015366994828</v>
      </c>
      <c r="CH863" s="3">
        <v>-2.5383682033661508</v>
      </c>
      <c r="CI863" s="13">
        <f>[1]!dbasum(RecData[[#This Row],[20]:[2000]],RecData[[#Headers],[20]:[2000]])</f>
        <v>15.197906625556936</v>
      </c>
      <c r="CJ863" s="14">
        <v>9943</v>
      </c>
      <c r="CK863" s="15" t="s">
        <v>249</v>
      </c>
      <c r="CL863" s="15">
        <f>RecData[[#This Row],[Start Time]]</f>
        <v>43274.048611111117</v>
      </c>
      <c r="CM863" s="16">
        <f>RecData[[#This Row],[Wind Speed avg]]</f>
        <v>0.56999999999999995</v>
      </c>
      <c r="CN863" s="16">
        <f>RecData[[#This Row],[Wind Dir. avg]]</f>
        <v>129.5</v>
      </c>
      <c r="CO863" s="16">
        <f>RecData[[#This Row],[Amb. Humidity]]</f>
        <v>82.3</v>
      </c>
      <c r="CP863" s="16">
        <f>RecData[[#This Row],[Amb. Temperature]]</f>
        <v>11.4</v>
      </c>
      <c r="CQ863" s="17">
        <f>RecData[[#This Row],[Amb. Rain Gauge]]</f>
        <v>0</v>
      </c>
      <c r="CR863" s="4" t="s">
        <v>50</v>
      </c>
      <c r="CS863" s="4" t="s">
        <v>49</v>
      </c>
      <c r="CT863" s="70">
        <v>-9.1878013610839808</v>
      </c>
      <c r="CU863" s="70">
        <v>41.788558959960902</v>
      </c>
      <c r="CV863" s="70">
        <v>1.4082068204879701</v>
      </c>
      <c r="CW863" s="70">
        <v>0</v>
      </c>
      <c r="CX863" s="109"/>
      <c r="CY863" s="110"/>
      <c r="CZ863" s="2" t="b">
        <f>IF($DP$1="YES",IF(RecData[[#This Row],[Power (kW)]]&gt;=$CR$3, TRUE,FALSE),TRUE)</f>
        <v>0</v>
      </c>
      <c r="DA863" s="16">
        <f>MIN(MOD(180-ABS(ABS($DA$1-RecData[Yaw Angle (°)])-180),360),MOD(180-ABS(ABS($DB$1-RecData[Yaw Angle (°)])-180),360))</f>
        <v>34.258632182273345</v>
      </c>
      <c r="DB863" s="2" t="str">
        <f>IF($DP$2="None","None",IF(RecData[[#This Row],[Relative Wind Direction]]&lt;=45,"DW",IF(RecData[[#This Row],[Relative Wind Direction]]&lt;=135,"CW","UW")))</f>
        <v>DW</v>
      </c>
      <c r="DC863" s="61">
        <f>IF($CL863-$CL859&gt;1/24,#REF!,IF(SUM($CQ859:$CQ863)&gt;$DS$1,$DS$5,DC864-1))</f>
        <v>-4</v>
      </c>
      <c r="DD863" s="61">
        <f>IF($CL864-$CL863&gt;1/24,#REF!,IF(SUM($CQ859:$CQ863)&gt;$DS$1,$DS$6,DD862-1))</f>
        <v>-7</v>
      </c>
      <c r="DE863" s="18" t="b">
        <v>0</v>
      </c>
      <c r="DF863" s="2" t="b">
        <f>IF(OR(RecData[[#This Row],[WSpd_Avg '[m/s']]]-RecData[[#This Row],[Wind Speed min]]&gt;=$DF$3,RecData[[#This Row],[Wind Speed max]]-RecData[[#This Row],[WSpd_Avg '[m/s']]]&gt;=$DF$2),TRUE,FALSE)</f>
        <v>0</v>
      </c>
      <c r="DG863" s="2" t="b">
        <f>RecData[[#This Row],[Temperature '[°C']]]&lt;=-20</f>
        <v>0</v>
      </c>
      <c r="DH863" s="18" t="b">
        <f>NOT(OR(MOD(RecData[[#This Row],[TIMESTAMP]],1)&gt;0.91632,MOD(RecData[[#This Row],[TIMESTAMP]],1)&lt;0.208681))</f>
        <v>0</v>
      </c>
      <c r="DI863" s="18" t="b">
        <f>RecData[[#This Row],[Overall (dBA)]]-RecData[[#This Row],[L90]]&gt;=$DS$4</f>
        <v>0</v>
      </c>
      <c r="DJ863" s="18" t="b">
        <f>RecData[[#This Row],[Overall (dBA)]]&gt;$DS$2</f>
        <v>0</v>
      </c>
      <c r="DK863" s="18" t="b">
        <f>RecData[[#This Row],[Overall (dBA)]]&lt;$DS$3</f>
        <v>0</v>
      </c>
      <c r="DL8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3" s="2">
        <f>IF(AND(RecData[[#This Row],[Turbines ON/OFF]] = "OFF", NOT(OR(RecData[[#This Row],[Junk?]]="YES",RecData[[#This Row],[Gust?]],RecData[[#This Row],[Rain?]:[Min SPL Threshold?]]))),1,0)</f>
        <v>1</v>
      </c>
      <c r="DN863" s="16">
        <f>RecData[[#This Row],[dBA Sum]]</f>
        <v>15.197906625556936</v>
      </c>
      <c r="DO863" s="16">
        <f>RecData[[#This Row],[LAF90.0]]</f>
        <v>20.5</v>
      </c>
      <c r="DP863" s="55" t="str">
        <f>IF(AND(RecData[[#This Row],[Useable TON Data?]],RecData[[#This Row],[Turbines ON/OFF]]="ON"),RecData[[#This Row],[dBA Sum]],"")</f>
        <v/>
      </c>
      <c r="DQ863" s="55">
        <f>IF(AND(RecData[[#This Row],[Useable Background Data?]],RecData[[#This Row],[Turbines ON/OFF]]="OFF"),RecData[[#This Row],[dBA Sum]],"")</f>
        <v>15.197906625556936</v>
      </c>
      <c r="DR863" s="3">
        <f>IF(OR(RecData[[#This Row],[Useable TON Data?]],RecData[[#This Row],[Useable Background Data?]]),ROUND(RecData[[#This Row],[WSpd_Avg '[m/s']]],0),"")</f>
        <v>1</v>
      </c>
      <c r="DS863" s="85">
        <f>(0.00002)^2*(10^(RecData[[#This Row],[Overall (dBA)]]/10))</f>
        <v>1.3238861960878562E-8</v>
      </c>
    </row>
    <row r="864" spans="1:123" ht="15" x14ac:dyDescent="0.25">
      <c r="A864" s="3" t="s">
        <v>249</v>
      </c>
      <c r="B864" s="12">
        <v>43274.049305555563</v>
      </c>
      <c r="C864" s="3"/>
      <c r="D864" s="3">
        <v>29.7</v>
      </c>
      <c r="E864" s="3"/>
      <c r="F864" s="3"/>
      <c r="G864" s="3"/>
      <c r="H864" s="3"/>
      <c r="I864" s="3"/>
      <c r="J864" s="3"/>
      <c r="K864" s="3">
        <v>19</v>
      </c>
      <c r="L864" s="3"/>
      <c r="M864" s="3"/>
      <c r="N864" s="3">
        <v>124</v>
      </c>
      <c r="O864" s="3"/>
      <c r="P864" s="3"/>
      <c r="Q864" s="3">
        <v>0.44</v>
      </c>
      <c r="R864" s="3">
        <v>0.3</v>
      </c>
      <c r="S864" s="3">
        <v>0.6</v>
      </c>
      <c r="T864" s="3">
        <v>11.4</v>
      </c>
      <c r="U864" s="3">
        <v>82.9</v>
      </c>
      <c r="V864" s="3">
        <v>967.4</v>
      </c>
      <c r="W864" s="3">
        <v>0</v>
      </c>
      <c r="X864" s="3">
        <v>18.7</v>
      </c>
      <c r="Y864" s="3">
        <v>14.5</v>
      </c>
      <c r="Z864" s="3">
        <v>16.399999999999999</v>
      </c>
      <c r="AA864" s="3">
        <v>10</v>
      </c>
      <c r="AB864" s="3">
        <v>12.1</v>
      </c>
      <c r="AC864" s="3">
        <v>6</v>
      </c>
      <c r="AD864" s="3">
        <v>7.7</v>
      </c>
      <c r="AE864" s="3">
        <v>10.7</v>
      </c>
      <c r="AF864" s="3">
        <v>10.6</v>
      </c>
      <c r="AG864" s="3">
        <v>6.7</v>
      </c>
      <c r="AH864" s="3">
        <v>9.4</v>
      </c>
      <c r="AI864" s="3">
        <v>8</v>
      </c>
      <c r="AJ864" s="3">
        <v>9.5</v>
      </c>
      <c r="AK864" s="3">
        <v>8.6999999999999993</v>
      </c>
      <c r="AL864" s="3">
        <v>6.8</v>
      </c>
      <c r="AM864" s="3">
        <v>6</v>
      </c>
      <c r="AN864" s="3">
        <v>6.2</v>
      </c>
      <c r="AO864" s="3">
        <v>6.1</v>
      </c>
      <c r="AP864" s="3">
        <v>6.3</v>
      </c>
      <c r="AQ864" s="3">
        <v>6</v>
      </c>
      <c r="AR864" s="3">
        <v>6.1</v>
      </c>
      <c r="AS864" s="3">
        <v>12.8</v>
      </c>
      <c r="AT864" s="3">
        <v>28.1</v>
      </c>
      <c r="AU864" s="3">
        <v>10.5</v>
      </c>
      <c r="AV864" s="3">
        <v>8.1</v>
      </c>
      <c r="AW864" s="3">
        <v>8.6999999999999993</v>
      </c>
      <c r="AX864" s="3">
        <v>8.8000000000000007</v>
      </c>
      <c r="AY864" s="3">
        <v>9.1</v>
      </c>
      <c r="AZ864" s="3">
        <v>0</v>
      </c>
      <c r="BA864" s="3">
        <v>0</v>
      </c>
      <c r="BB864" s="3">
        <v>0</v>
      </c>
      <c r="BC864" s="3">
        <v>29.774438110218728</v>
      </c>
      <c r="BD864" s="3">
        <v>18.62556188978127</v>
      </c>
      <c r="BE864" s="3">
        <v>14.425561889781275</v>
      </c>
      <c r="BF864" s="3">
        <v>15.085561889781271</v>
      </c>
      <c r="BG864" s="3">
        <v>9.0122285564479334</v>
      </c>
      <c r="BH864" s="3">
        <v>11.252228556447943</v>
      </c>
      <c r="BI864" s="3">
        <v>5.5655618897812751</v>
      </c>
      <c r="BJ864" s="3">
        <v>8.0588952231146003</v>
      </c>
      <c r="BK864" s="3">
        <v>10.932228556447935</v>
      </c>
      <c r="BL864" s="3">
        <v>10.405561889781271</v>
      </c>
      <c r="BM864" s="3">
        <v>6.6388952231146057</v>
      </c>
      <c r="BN864" s="3">
        <v>9.62222855644794</v>
      </c>
      <c r="BO864" s="3">
        <v>7.5888952231146085</v>
      </c>
      <c r="BP864" s="3">
        <v>8.80556188978127</v>
      </c>
      <c r="BQ864" s="3">
        <v>8.42222855644793</v>
      </c>
      <c r="BR864" s="3">
        <v>6.8488952231146065</v>
      </c>
      <c r="BS864" s="3">
        <v>5.8522285564479368</v>
      </c>
      <c r="BT864" s="3">
        <v>6.2488952231146051</v>
      </c>
      <c r="BU864" s="3">
        <v>6.1155618897812722</v>
      </c>
      <c r="BV864" s="3">
        <v>6.0322285564479365</v>
      </c>
      <c r="BW864" s="3">
        <v>6.2655618897812779</v>
      </c>
      <c r="BX864" s="3">
        <v>6.2855618897812739</v>
      </c>
      <c r="BY864" s="3">
        <v>12.80556188978127</v>
      </c>
      <c r="BZ864" s="3">
        <v>28.235561889781277</v>
      </c>
      <c r="CA864" s="3">
        <v>10.735561889781263</v>
      </c>
      <c r="CB864" s="3">
        <v>7.7722285564479385</v>
      </c>
      <c r="CC864" s="3">
        <v>8.5855618897812711</v>
      </c>
      <c r="CD864" s="3">
        <v>7.9922285564479445</v>
      </c>
      <c r="CE864" s="3">
        <v>8.4855618897812697</v>
      </c>
      <c r="CF864" s="3">
        <v>-1.0011047768853949</v>
      </c>
      <c r="CG864" s="3">
        <v>-1.5344381102187263</v>
      </c>
      <c r="CH864" s="3">
        <v>-2.6111047768853943</v>
      </c>
      <c r="CI864" s="13">
        <f>[1]!dbasum(RecData[[#This Row],[20]:[2000]],RecData[[#Headers],[20]:[2000]])</f>
        <v>15.319506359948715</v>
      </c>
      <c r="CJ864" s="14">
        <v>9944</v>
      </c>
      <c r="CK864" s="15" t="s">
        <v>249</v>
      </c>
      <c r="CL864" s="15">
        <f>RecData[[#This Row],[Start Time]]</f>
        <v>43274.049305555563</v>
      </c>
      <c r="CM864" s="16">
        <f>RecData[[#This Row],[Wind Speed avg]]</f>
        <v>0.44</v>
      </c>
      <c r="CN864" s="16">
        <f>RecData[[#This Row],[Wind Dir. avg]]</f>
        <v>124</v>
      </c>
      <c r="CO864" s="16">
        <f>RecData[[#This Row],[Amb. Humidity]]</f>
        <v>82.9</v>
      </c>
      <c r="CP864" s="16">
        <f>RecData[[#This Row],[Amb. Temperature]]</f>
        <v>11.4</v>
      </c>
      <c r="CQ864" s="17">
        <f>RecData[[#This Row],[Amb. Rain Gauge]]</f>
        <v>0</v>
      </c>
      <c r="CR864" s="4" t="s">
        <v>50</v>
      </c>
      <c r="CS864" s="4" t="s">
        <v>49</v>
      </c>
      <c r="CT864" s="70">
        <v>-9.2872171401977504</v>
      </c>
      <c r="CU864" s="70">
        <v>57.302665710449197</v>
      </c>
      <c r="CV864" s="70">
        <v>1.8960642814636199</v>
      </c>
      <c r="CW864" s="70">
        <v>0</v>
      </c>
      <c r="CX864" s="109"/>
      <c r="CY864" s="110"/>
      <c r="CZ864" s="2" t="b">
        <f>IF($DP$1="YES",IF(RecData[[#This Row],[Power (kW)]]&gt;=$CR$3, TRUE,FALSE),TRUE)</f>
        <v>0</v>
      </c>
      <c r="DA864" s="16">
        <f>MIN(MOD(180-ABS(ABS($DA$1-RecData[Yaw Angle (°)])-180),360),MOD(180-ABS(ABS($DB$1-RecData[Yaw Angle (°)])-180),360))</f>
        <v>49.772738932761655</v>
      </c>
      <c r="DB864" s="2" t="str">
        <f>IF($DP$2="None","None",IF(RecData[[#This Row],[Relative Wind Direction]]&lt;=45,"DW",IF(RecData[[#This Row],[Relative Wind Direction]]&lt;=135,"CW","UW")))</f>
        <v>CW</v>
      </c>
      <c r="DC864" s="61">
        <f>IF($CL864-$CL860&gt;1/24,#REF!,IF(SUM($CQ860:$CQ864)&gt;$DS$1,$DS$5,DC865-1))</f>
        <v>-3</v>
      </c>
      <c r="DD864" s="61">
        <f>IF($CL865-$CL864&gt;1/24,#REF!,IF(SUM($CQ860:$CQ864)&gt;$DS$1,$DS$6,DD863-1))</f>
        <v>-8</v>
      </c>
      <c r="DE864" s="18" t="b">
        <v>0</v>
      </c>
      <c r="DF864" s="2" t="b">
        <f>IF(OR(RecData[[#This Row],[WSpd_Avg '[m/s']]]-RecData[[#This Row],[Wind Speed min]]&gt;=$DF$3,RecData[[#This Row],[Wind Speed max]]-RecData[[#This Row],[WSpd_Avg '[m/s']]]&gt;=$DF$2),TRUE,FALSE)</f>
        <v>0</v>
      </c>
      <c r="DG864" s="2" t="b">
        <f>RecData[[#This Row],[Temperature '[°C']]]&lt;=-20</f>
        <v>0</v>
      </c>
      <c r="DH864" s="18" t="b">
        <f>NOT(OR(MOD(RecData[[#This Row],[TIMESTAMP]],1)&gt;0.91632,MOD(RecData[[#This Row],[TIMESTAMP]],1)&lt;0.208681))</f>
        <v>0</v>
      </c>
      <c r="DI864" s="18" t="b">
        <f>RecData[[#This Row],[Overall (dBA)]]-RecData[[#This Row],[L90]]&gt;=$DS$4</f>
        <v>0</v>
      </c>
      <c r="DJ864" s="18" t="b">
        <f>RecData[[#This Row],[Overall (dBA)]]&gt;$DS$2</f>
        <v>0</v>
      </c>
      <c r="DK864" s="18" t="b">
        <f>RecData[[#This Row],[Overall (dBA)]]&lt;$DS$3</f>
        <v>0</v>
      </c>
      <c r="DL8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4" s="2">
        <f>IF(AND(RecData[[#This Row],[Turbines ON/OFF]] = "OFF", NOT(OR(RecData[[#This Row],[Junk?]]="YES",RecData[[#This Row],[Gust?]],RecData[[#This Row],[Rain?]:[Min SPL Threshold?]]))),1,0)</f>
        <v>1</v>
      </c>
      <c r="DN864" s="16">
        <f>RecData[[#This Row],[dBA Sum]]</f>
        <v>15.319506359948715</v>
      </c>
      <c r="DO864" s="16">
        <f>RecData[[#This Row],[LAF90.0]]</f>
        <v>19</v>
      </c>
      <c r="DP864" s="55" t="str">
        <f>IF(AND(RecData[[#This Row],[Useable TON Data?]],RecData[[#This Row],[Turbines ON/OFF]]="ON"),RecData[[#This Row],[dBA Sum]],"")</f>
        <v/>
      </c>
      <c r="DQ864" s="55">
        <f>IF(AND(RecData[[#This Row],[Useable Background Data?]],RecData[[#This Row],[Turbines ON/OFF]]="OFF"),RecData[[#This Row],[dBA Sum]],"")</f>
        <v>15.319506359948715</v>
      </c>
      <c r="DR864" s="3">
        <f>IF(OR(RecData[[#This Row],[Useable TON Data?]],RecData[[#This Row],[Useable Background Data?]]),ROUND(RecData[[#This Row],[WSpd_Avg '[m/s']]],0),"")</f>
        <v>0</v>
      </c>
      <c r="DS864" s="85">
        <f>(0.00002)^2*(10^(RecData[[#This Row],[Overall (dBA)]]/10))</f>
        <v>1.3614779978539882E-8</v>
      </c>
    </row>
    <row r="865" spans="1:123" ht="15" x14ac:dyDescent="0.25">
      <c r="A865" s="3" t="s">
        <v>249</v>
      </c>
      <c r="B865" s="12">
        <v>43274.05</v>
      </c>
      <c r="C865" s="3"/>
      <c r="D865" s="3">
        <v>32</v>
      </c>
      <c r="E865" s="3"/>
      <c r="F865" s="3"/>
      <c r="G865" s="3"/>
      <c r="H865" s="3"/>
      <c r="I865" s="3"/>
      <c r="J865" s="3"/>
      <c r="K865" s="3">
        <v>21.2</v>
      </c>
      <c r="L865" s="3"/>
      <c r="M865" s="3"/>
      <c r="N865" s="3">
        <v>122.8</v>
      </c>
      <c r="O865" s="3"/>
      <c r="P865" s="3"/>
      <c r="Q865" s="3">
        <v>0.54</v>
      </c>
      <c r="R865" s="3">
        <v>0.3</v>
      </c>
      <c r="S865" s="3">
        <v>0.7</v>
      </c>
      <c r="T865" s="3">
        <v>11.4</v>
      </c>
      <c r="U865" s="3">
        <v>82.8</v>
      </c>
      <c r="V865" s="3">
        <v>967.4</v>
      </c>
      <c r="W865" s="3">
        <v>0</v>
      </c>
      <c r="X865" s="3">
        <v>19.5</v>
      </c>
      <c r="Y865" s="3">
        <v>14.7</v>
      </c>
      <c r="Z865" s="3">
        <v>17.7</v>
      </c>
      <c r="AA865" s="3">
        <v>9.5</v>
      </c>
      <c r="AB865" s="3">
        <v>8</v>
      </c>
      <c r="AC865" s="3">
        <v>6.4</v>
      </c>
      <c r="AD865" s="3">
        <v>7.2</v>
      </c>
      <c r="AE865" s="3">
        <v>7.3</v>
      </c>
      <c r="AF865" s="3">
        <v>10.3</v>
      </c>
      <c r="AG865" s="3">
        <v>6.1</v>
      </c>
      <c r="AH865" s="3">
        <v>7.9</v>
      </c>
      <c r="AI865" s="3">
        <v>8.6999999999999993</v>
      </c>
      <c r="AJ865" s="3">
        <v>8.6999999999999993</v>
      </c>
      <c r="AK865" s="3">
        <v>8.9</v>
      </c>
      <c r="AL865" s="3">
        <v>6.5</v>
      </c>
      <c r="AM865" s="3">
        <v>5.8</v>
      </c>
      <c r="AN865" s="3">
        <v>6.3</v>
      </c>
      <c r="AO865" s="3">
        <v>6.2</v>
      </c>
      <c r="AP865" s="3">
        <v>5.9</v>
      </c>
      <c r="AQ865" s="3">
        <v>6</v>
      </c>
      <c r="AR865" s="3">
        <v>5.9</v>
      </c>
      <c r="AS865" s="3">
        <v>16.5</v>
      </c>
      <c r="AT865" s="3">
        <v>30.5</v>
      </c>
      <c r="AU865" s="3">
        <v>10.3</v>
      </c>
      <c r="AV865" s="3">
        <v>8.1999999999999993</v>
      </c>
      <c r="AW865" s="3">
        <v>8.6</v>
      </c>
      <c r="AX865" s="3">
        <v>8.9</v>
      </c>
      <c r="AY865" s="3">
        <v>9.1</v>
      </c>
      <c r="AZ865" s="3">
        <v>0</v>
      </c>
      <c r="BA865" s="3">
        <v>0</v>
      </c>
      <c r="BB865" s="3">
        <v>0</v>
      </c>
      <c r="BC865" s="3">
        <v>32.067309717288751</v>
      </c>
      <c r="BD865" s="3">
        <v>19.432690282711249</v>
      </c>
      <c r="BE865" s="3">
        <v>14.632690282711252</v>
      </c>
      <c r="BF865" s="3">
        <v>16.39269028271125</v>
      </c>
      <c r="BG865" s="3">
        <v>8.5193569493779151</v>
      </c>
      <c r="BH865" s="3">
        <v>7.1593569493779157</v>
      </c>
      <c r="BI865" s="3">
        <v>5.9726902827112482</v>
      </c>
      <c r="BJ865" s="3">
        <v>7.566023616044582</v>
      </c>
      <c r="BK865" s="3">
        <v>7.5393569493779111</v>
      </c>
      <c r="BL865" s="3">
        <v>10.112690282711249</v>
      </c>
      <c r="BM865" s="3">
        <v>6.0460236160445859</v>
      </c>
      <c r="BN865" s="3">
        <v>8.1293569493779145</v>
      </c>
      <c r="BO865" s="3">
        <v>8.2960236160445859</v>
      </c>
      <c r="BP865" s="3">
        <v>8.0126902827112474</v>
      </c>
      <c r="BQ865" s="3">
        <v>8.6293569493779074</v>
      </c>
      <c r="BR865" s="3">
        <v>6.5560236160445839</v>
      </c>
      <c r="BS865" s="3">
        <v>5.6593569493779157</v>
      </c>
      <c r="BT865" s="3">
        <v>6.3560236160445811</v>
      </c>
      <c r="BU865" s="3">
        <v>6.2226902827112553</v>
      </c>
      <c r="BV865" s="3">
        <v>5.6393569493779196</v>
      </c>
      <c r="BW865" s="3">
        <v>6.2726902827112525</v>
      </c>
      <c r="BX865" s="3">
        <v>6.0926902827112528</v>
      </c>
      <c r="BY865" s="3">
        <v>16.512690282711247</v>
      </c>
      <c r="BZ865" s="3">
        <v>30.642690282711257</v>
      </c>
      <c r="CA865" s="3">
        <v>10.542690282711241</v>
      </c>
      <c r="CB865" s="3">
        <v>7.8793569493779145</v>
      </c>
      <c r="CC865" s="3">
        <v>8.4926902827112514</v>
      </c>
      <c r="CD865" s="3">
        <v>8.0993569493779205</v>
      </c>
      <c r="CE865" s="3">
        <v>8.4926902827112514</v>
      </c>
      <c r="CF865" s="3">
        <v>-0.99397638395541676</v>
      </c>
      <c r="CG865" s="3">
        <v>-1.5273097172887482</v>
      </c>
      <c r="CH865" s="3">
        <v>-2.6039763839554162</v>
      </c>
      <c r="CI865" s="13">
        <f>[1]!dbasum(RecData[[#This Row],[20]:[2000]],RecData[[#Headers],[20]:[2000]])</f>
        <v>15.179893581684183</v>
      </c>
      <c r="CJ865" s="14">
        <v>9945</v>
      </c>
      <c r="CK865" s="15" t="s">
        <v>249</v>
      </c>
      <c r="CL865" s="15">
        <f>RecData[[#This Row],[Start Time]]</f>
        <v>43274.05</v>
      </c>
      <c r="CM865" s="16">
        <f>RecData[[#This Row],[Wind Speed avg]]</f>
        <v>0.54</v>
      </c>
      <c r="CN865" s="16">
        <f>RecData[[#This Row],[Wind Dir. avg]]</f>
        <v>122.8</v>
      </c>
      <c r="CO865" s="16">
        <f>RecData[[#This Row],[Amb. Humidity]]</f>
        <v>82.8</v>
      </c>
      <c r="CP865" s="16">
        <f>RecData[[#This Row],[Amb. Temperature]]</f>
        <v>11.4</v>
      </c>
      <c r="CQ865" s="17">
        <f>RecData[[#This Row],[Amb. Rain Gauge]]</f>
        <v>0</v>
      </c>
      <c r="CR865" s="4" t="s">
        <v>50</v>
      </c>
      <c r="CS865" s="4" t="s">
        <v>49</v>
      </c>
      <c r="CT865" s="70">
        <v>-9.2872171401977504</v>
      </c>
      <c r="CU865" s="70">
        <v>57.302665710449197</v>
      </c>
      <c r="CV865" s="70">
        <v>1.8960642814636199</v>
      </c>
      <c r="CW865" s="70">
        <v>0</v>
      </c>
      <c r="CX865" s="109"/>
      <c r="CY865" s="110"/>
      <c r="CZ865" s="2" t="b">
        <f>IF($DP$1="YES",IF(RecData[[#This Row],[Power (kW)]]&gt;=$CR$3, TRUE,FALSE),TRUE)</f>
        <v>0</v>
      </c>
      <c r="DA865" s="16">
        <f>MIN(MOD(180-ABS(ABS($DA$1-RecData[Yaw Angle (°)])-180),360),MOD(180-ABS(ABS($DB$1-RecData[Yaw Angle (°)])-180),360))</f>
        <v>49.772738932761655</v>
      </c>
      <c r="DB865" s="2" t="str">
        <f>IF($DP$2="None","None",IF(RecData[[#This Row],[Relative Wind Direction]]&lt;=45,"DW",IF(RecData[[#This Row],[Relative Wind Direction]]&lt;=135,"CW","UW")))</f>
        <v>CW</v>
      </c>
      <c r="DC865" s="61">
        <f>IF($CL865-$CL861&gt;1/24,#REF!,IF(SUM($CQ861:$CQ865)&gt;$DS$1,$DS$5,DC866-1))</f>
        <v>-2</v>
      </c>
      <c r="DD865" s="61">
        <f>IF($CL866-$CL865&gt;1/24,#REF!,IF(SUM($CQ861:$CQ865)&gt;$DS$1,$DS$6,DD864-1))</f>
        <v>-9</v>
      </c>
      <c r="DE865" s="18" t="b">
        <v>0</v>
      </c>
      <c r="DF865" s="2" t="b">
        <f>IF(OR(RecData[[#This Row],[WSpd_Avg '[m/s']]]-RecData[[#This Row],[Wind Speed min]]&gt;=$DF$3,RecData[[#This Row],[Wind Speed max]]-RecData[[#This Row],[WSpd_Avg '[m/s']]]&gt;=$DF$2),TRUE,FALSE)</f>
        <v>0</v>
      </c>
      <c r="DG865" s="2" t="b">
        <f>RecData[[#This Row],[Temperature '[°C']]]&lt;=-20</f>
        <v>0</v>
      </c>
      <c r="DH865" s="18" t="b">
        <f>NOT(OR(MOD(RecData[[#This Row],[TIMESTAMP]],1)&gt;0.91632,MOD(RecData[[#This Row],[TIMESTAMP]],1)&lt;0.208681))</f>
        <v>0</v>
      </c>
      <c r="DI865" s="18" t="b">
        <f>RecData[[#This Row],[Overall (dBA)]]-RecData[[#This Row],[L90]]&gt;=$DS$4</f>
        <v>0</v>
      </c>
      <c r="DJ865" s="18" t="b">
        <f>RecData[[#This Row],[Overall (dBA)]]&gt;$DS$2</f>
        <v>0</v>
      </c>
      <c r="DK865" s="18" t="b">
        <f>RecData[[#This Row],[Overall (dBA)]]&lt;$DS$3</f>
        <v>0</v>
      </c>
      <c r="DL8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5" s="2">
        <f>IF(AND(RecData[[#This Row],[Turbines ON/OFF]] = "OFF", NOT(OR(RecData[[#This Row],[Junk?]]="YES",RecData[[#This Row],[Gust?]],RecData[[#This Row],[Rain?]:[Min SPL Threshold?]]))),1,0)</f>
        <v>1</v>
      </c>
      <c r="DN865" s="16">
        <f>RecData[[#This Row],[dBA Sum]]</f>
        <v>15.179893581684183</v>
      </c>
      <c r="DO865" s="16">
        <f>RecData[[#This Row],[LAF90.0]]</f>
        <v>21.2</v>
      </c>
      <c r="DP865" s="55" t="str">
        <f>IF(AND(RecData[[#This Row],[Useable TON Data?]],RecData[[#This Row],[Turbines ON/OFF]]="ON"),RecData[[#This Row],[dBA Sum]],"")</f>
        <v/>
      </c>
      <c r="DQ865" s="55">
        <f>IF(AND(RecData[[#This Row],[Useable Background Data?]],RecData[[#This Row],[Turbines ON/OFF]]="OFF"),RecData[[#This Row],[dBA Sum]],"")</f>
        <v>15.179893581684183</v>
      </c>
      <c r="DR865" s="3">
        <f>IF(OR(RecData[[#This Row],[Useable TON Data?]],RecData[[#This Row],[Useable Background Data?]]),ROUND(RecData[[#This Row],[WSpd_Avg '[m/s']]],0),"")</f>
        <v>1</v>
      </c>
      <c r="DS865" s="85">
        <f>(0.00002)^2*(10^(RecData[[#This Row],[Overall (dBA)]]/10))</f>
        <v>1.3184065424456176E-8</v>
      </c>
    </row>
    <row r="866" spans="1:123" ht="15" x14ac:dyDescent="0.25">
      <c r="A866" s="3" t="s">
        <v>249</v>
      </c>
      <c r="B866" s="12">
        <v>43274.05069444445</v>
      </c>
      <c r="C866" s="3"/>
      <c r="D866" s="3">
        <v>29.2</v>
      </c>
      <c r="E866" s="3"/>
      <c r="F866" s="3"/>
      <c r="G866" s="3"/>
      <c r="H866" s="3"/>
      <c r="I866" s="3"/>
      <c r="J866" s="3"/>
      <c r="K866" s="3">
        <v>19.2</v>
      </c>
      <c r="L866" s="3"/>
      <c r="M866" s="3"/>
      <c r="N866" s="3">
        <v>120.8</v>
      </c>
      <c r="O866" s="3"/>
      <c r="P866" s="3"/>
      <c r="Q866" s="3">
        <v>0.48</v>
      </c>
      <c r="R866" s="3">
        <v>0.4</v>
      </c>
      <c r="S866" s="3">
        <v>0.7</v>
      </c>
      <c r="T866" s="3">
        <v>11.4</v>
      </c>
      <c r="U866" s="3">
        <v>83.3</v>
      </c>
      <c r="V866" s="3">
        <v>967.4</v>
      </c>
      <c r="W866" s="3">
        <v>0</v>
      </c>
      <c r="X866" s="3">
        <v>23.1</v>
      </c>
      <c r="Y866" s="3">
        <v>24</v>
      </c>
      <c r="Z866" s="3">
        <v>25</v>
      </c>
      <c r="AA866" s="3">
        <v>17.5</v>
      </c>
      <c r="AB866" s="3">
        <v>11.9</v>
      </c>
      <c r="AC866" s="3">
        <v>7.8</v>
      </c>
      <c r="AD866" s="3">
        <v>8.8000000000000007</v>
      </c>
      <c r="AE866" s="3">
        <v>8.6999999999999993</v>
      </c>
      <c r="AF866" s="3">
        <v>12.6</v>
      </c>
      <c r="AG866" s="3">
        <v>9.1999999999999993</v>
      </c>
      <c r="AH866" s="3">
        <v>8.6999999999999993</v>
      </c>
      <c r="AI866" s="3">
        <v>8.1</v>
      </c>
      <c r="AJ866" s="3">
        <v>8.8000000000000007</v>
      </c>
      <c r="AK866" s="3">
        <v>9.9</v>
      </c>
      <c r="AL866" s="3">
        <v>6.8</v>
      </c>
      <c r="AM866" s="3">
        <v>6.7</v>
      </c>
      <c r="AN866" s="3">
        <v>6.6</v>
      </c>
      <c r="AO866" s="3">
        <v>7</v>
      </c>
      <c r="AP866" s="3">
        <v>6.7</v>
      </c>
      <c r="AQ866" s="3">
        <v>5.9</v>
      </c>
      <c r="AR866" s="3">
        <v>6</v>
      </c>
      <c r="AS866" s="3">
        <v>14.2</v>
      </c>
      <c r="AT866" s="3">
        <v>27.4</v>
      </c>
      <c r="AU866" s="3">
        <v>9</v>
      </c>
      <c r="AV866" s="3">
        <v>8.1</v>
      </c>
      <c r="AW866" s="3">
        <v>8.6999999999999993</v>
      </c>
      <c r="AX866" s="3">
        <v>8.9</v>
      </c>
      <c r="AY866" s="3">
        <v>9.1</v>
      </c>
      <c r="AZ866" s="3">
        <v>0</v>
      </c>
      <c r="BA866" s="3">
        <v>0</v>
      </c>
      <c r="BB866" s="3">
        <v>0</v>
      </c>
      <c r="BC866" s="3">
        <v>29.197173353578222</v>
      </c>
      <c r="BD866" s="3">
        <v>23.102826646421775</v>
      </c>
      <c r="BE866" s="3">
        <v>24.002826646421781</v>
      </c>
      <c r="BF866" s="3">
        <v>23.762826646421779</v>
      </c>
      <c r="BG866" s="3">
        <v>16.58949331308844</v>
      </c>
      <c r="BH866" s="3">
        <v>11.129493313088446</v>
      </c>
      <c r="BI866" s="3">
        <v>7.4428266464217785</v>
      </c>
      <c r="BJ866" s="3">
        <v>9.2361599797551079</v>
      </c>
      <c r="BK866" s="3">
        <v>9.0094933130884414</v>
      </c>
      <c r="BL866" s="3">
        <v>12.482826646421778</v>
      </c>
      <c r="BM866" s="3">
        <v>9.2161599797551119</v>
      </c>
      <c r="BN866" s="3">
        <v>8.9994933130884434</v>
      </c>
      <c r="BO866" s="3">
        <v>7.7661599797551162</v>
      </c>
      <c r="BP866" s="3">
        <v>8.1828266464217805</v>
      </c>
      <c r="BQ866" s="3">
        <v>9.6994933130884391</v>
      </c>
      <c r="BR866" s="3">
        <v>6.9261599797551128</v>
      </c>
      <c r="BS866" s="3">
        <v>6.6294933130884459</v>
      </c>
      <c r="BT866" s="3">
        <v>6.7261599797551099</v>
      </c>
      <c r="BU866" s="3">
        <v>7.0928266464217842</v>
      </c>
      <c r="BV866" s="3">
        <v>6.5094933130884414</v>
      </c>
      <c r="BW866" s="3">
        <v>6.2428266464217828</v>
      </c>
      <c r="BX866" s="3">
        <v>6.2628266464217859</v>
      </c>
      <c r="BY866" s="3">
        <v>14.282826646421775</v>
      </c>
      <c r="BZ866" s="3">
        <v>27.61282664642178</v>
      </c>
      <c r="CA866" s="3">
        <v>9.3128266464217688</v>
      </c>
      <c r="CB866" s="3">
        <v>7.8494933130884448</v>
      </c>
      <c r="CC866" s="3">
        <v>8.6628266464217774</v>
      </c>
      <c r="CD866" s="3">
        <v>8.1694933130884522</v>
      </c>
      <c r="CE866" s="3">
        <v>8.5628266464217759</v>
      </c>
      <c r="CF866" s="3">
        <v>-0.92384002024488865</v>
      </c>
      <c r="CG866" s="3">
        <v>-1.4571733535782201</v>
      </c>
      <c r="CH866" s="3">
        <v>-2.5338400202448881</v>
      </c>
      <c r="CI866" s="13">
        <f>[1]!dbasum(RecData[[#This Row],[20]:[2000]],RecData[[#Headers],[20]:[2000]])</f>
        <v>15.719966615255904</v>
      </c>
      <c r="CJ866" s="14">
        <v>9946</v>
      </c>
      <c r="CK866" s="15" t="s">
        <v>249</v>
      </c>
      <c r="CL866" s="15">
        <f>RecData[[#This Row],[Start Time]]</f>
        <v>43274.05069444445</v>
      </c>
      <c r="CM866" s="16">
        <f>RecData[[#This Row],[Wind Speed avg]]</f>
        <v>0.48</v>
      </c>
      <c r="CN866" s="16">
        <f>RecData[[#This Row],[Wind Dir. avg]]</f>
        <v>120.8</v>
      </c>
      <c r="CO866" s="16">
        <f>RecData[[#This Row],[Amb. Humidity]]</f>
        <v>83.3</v>
      </c>
      <c r="CP866" s="16">
        <f>RecData[[#This Row],[Amb. Temperature]]</f>
        <v>11.4</v>
      </c>
      <c r="CQ866" s="17">
        <f>RecData[[#This Row],[Amb. Rain Gauge]]</f>
        <v>0</v>
      </c>
      <c r="CR866" s="4" t="s">
        <v>50</v>
      </c>
      <c r="CS866" s="4" t="s">
        <v>49</v>
      </c>
      <c r="CT866" s="70">
        <v>-9.2872171401977504</v>
      </c>
      <c r="CU866" s="70">
        <v>57.302665710449197</v>
      </c>
      <c r="CV866" s="70">
        <v>1.8960642814636199</v>
      </c>
      <c r="CW866" s="70">
        <v>0</v>
      </c>
      <c r="CX866" s="109"/>
      <c r="CY866" s="110"/>
      <c r="CZ866" s="2" t="b">
        <f>IF($DP$1="YES",IF(RecData[[#This Row],[Power (kW)]]&gt;=$CR$3, TRUE,FALSE),TRUE)</f>
        <v>0</v>
      </c>
      <c r="DA866" s="16">
        <f>MIN(MOD(180-ABS(ABS($DA$1-RecData[Yaw Angle (°)])-180),360),MOD(180-ABS(ABS($DB$1-RecData[Yaw Angle (°)])-180),360))</f>
        <v>49.772738932761655</v>
      </c>
      <c r="DB866" s="2" t="str">
        <f>IF($DP$2="None","None",IF(RecData[[#This Row],[Relative Wind Direction]]&lt;=45,"DW",IF(RecData[[#This Row],[Relative Wind Direction]]&lt;=135,"CW","UW")))</f>
        <v>CW</v>
      </c>
      <c r="DC866" s="61">
        <v>-1</v>
      </c>
      <c r="DD866" s="61">
        <v>-1</v>
      </c>
      <c r="DE866" s="18" t="b">
        <v>0</v>
      </c>
      <c r="DF866" s="2" t="b">
        <f>IF(OR(RecData[[#This Row],[WSpd_Avg '[m/s']]]-RecData[[#This Row],[Wind Speed min]]&gt;=$DF$3,RecData[[#This Row],[Wind Speed max]]-RecData[[#This Row],[WSpd_Avg '[m/s']]]&gt;=$DF$2),TRUE,FALSE)</f>
        <v>0</v>
      </c>
      <c r="DG866" s="2" t="b">
        <f>RecData[[#This Row],[Temperature '[°C']]]&lt;=-20</f>
        <v>0</v>
      </c>
      <c r="DH866" s="18" t="b">
        <f>NOT(OR(MOD(RecData[[#This Row],[TIMESTAMP]],1)&gt;0.91632,MOD(RecData[[#This Row],[TIMESTAMP]],1)&lt;0.208681))</f>
        <v>0</v>
      </c>
      <c r="DI866" s="18" t="b">
        <f>RecData[[#This Row],[Overall (dBA)]]-RecData[[#This Row],[L90]]&gt;=$DS$4</f>
        <v>0</v>
      </c>
      <c r="DJ866" s="18" t="b">
        <f>RecData[[#This Row],[Overall (dBA)]]&gt;$DS$2</f>
        <v>0</v>
      </c>
      <c r="DK866" s="18" t="b">
        <f>RecData[[#This Row],[Overall (dBA)]]&lt;$DS$3</f>
        <v>0</v>
      </c>
      <c r="DL8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6" s="2">
        <f>IF(AND(RecData[[#This Row],[Turbines ON/OFF]] = "OFF", NOT(OR(RecData[[#This Row],[Junk?]]="YES",RecData[[#This Row],[Gust?]],RecData[[#This Row],[Rain?]:[Min SPL Threshold?]]))),1,0)</f>
        <v>1</v>
      </c>
      <c r="DN866" s="16">
        <f>RecData[[#This Row],[dBA Sum]]</f>
        <v>15.719966615255904</v>
      </c>
      <c r="DO866" s="16">
        <f>RecData[[#This Row],[LAF90.0]]</f>
        <v>19.2</v>
      </c>
      <c r="DP866" s="55" t="str">
        <f>IF(AND(RecData[[#This Row],[Useable TON Data?]],RecData[[#This Row],[Turbines ON/OFF]]="ON"),RecData[[#This Row],[dBA Sum]],"")</f>
        <v/>
      </c>
      <c r="DQ866" s="55">
        <f>IF(AND(RecData[[#This Row],[Useable Background Data?]],RecData[[#This Row],[Turbines ON/OFF]]="OFF"),RecData[[#This Row],[dBA Sum]],"")</f>
        <v>15.719966615255904</v>
      </c>
      <c r="DR866" s="3">
        <f>IF(OR(RecData[[#This Row],[Useable TON Data?]],RecData[[#This Row],[Useable Background Data?]]),ROUND(RecData[[#This Row],[WSpd_Avg '[m/s']]],0),"")</f>
        <v>0</v>
      </c>
      <c r="DS866" s="85">
        <f>(0.00002)^2*(10^(RecData[[#This Row],[Overall (dBA)]]/10))</f>
        <v>1.4929891543498794E-8</v>
      </c>
    </row>
    <row r="867" spans="1:123" ht="15" x14ac:dyDescent="0.25">
      <c r="A867" s="3" t="s">
        <v>249</v>
      </c>
      <c r="B867" s="12">
        <v>43274.051388888896</v>
      </c>
      <c r="C867" s="3"/>
      <c r="D867" s="3">
        <v>29.8</v>
      </c>
      <c r="E867" s="3"/>
      <c r="F867" s="3"/>
      <c r="G867" s="3"/>
      <c r="H867" s="3"/>
      <c r="I867" s="3"/>
      <c r="J867" s="3"/>
      <c r="K867" s="3">
        <v>20.6</v>
      </c>
      <c r="L867" s="3"/>
      <c r="M867" s="3"/>
      <c r="N867" s="3">
        <v>126</v>
      </c>
      <c r="O867" s="3"/>
      <c r="P867" s="3"/>
      <c r="Q867" s="3">
        <v>0.52</v>
      </c>
      <c r="R867" s="3">
        <v>0.2</v>
      </c>
      <c r="S867" s="3">
        <v>0.7</v>
      </c>
      <c r="T867" s="3">
        <v>11.3</v>
      </c>
      <c r="U867" s="3">
        <v>83.6</v>
      </c>
      <c r="V867" s="3">
        <v>967.4</v>
      </c>
      <c r="W867" s="3">
        <v>0</v>
      </c>
      <c r="X867" s="3">
        <v>20.7</v>
      </c>
      <c r="Y867" s="3">
        <v>16.899999999999999</v>
      </c>
      <c r="Z867" s="3">
        <v>18.3</v>
      </c>
      <c r="AA867" s="3">
        <v>12.4</v>
      </c>
      <c r="AB867" s="3">
        <v>8.4</v>
      </c>
      <c r="AC867" s="3">
        <v>6.3</v>
      </c>
      <c r="AD867" s="3">
        <v>9.5</v>
      </c>
      <c r="AE867" s="3">
        <v>8.1999999999999993</v>
      </c>
      <c r="AF867" s="3">
        <v>13</v>
      </c>
      <c r="AG867" s="3">
        <v>13.7</v>
      </c>
      <c r="AH867" s="3">
        <v>14.4</v>
      </c>
      <c r="AI867" s="3">
        <v>12.3</v>
      </c>
      <c r="AJ867" s="3">
        <v>10.199999999999999</v>
      </c>
      <c r="AK867" s="3">
        <v>14.9</v>
      </c>
      <c r="AL867" s="3">
        <v>10.8</v>
      </c>
      <c r="AM867" s="3">
        <v>16</v>
      </c>
      <c r="AN867" s="3">
        <v>11.9</v>
      </c>
      <c r="AO867" s="3">
        <v>16.8</v>
      </c>
      <c r="AP867" s="3">
        <v>14.6</v>
      </c>
      <c r="AQ867" s="3">
        <v>6.9</v>
      </c>
      <c r="AR867" s="3">
        <v>6.7</v>
      </c>
      <c r="AS867" s="3">
        <v>14.4</v>
      </c>
      <c r="AT867" s="3">
        <v>27.4</v>
      </c>
      <c r="AU867" s="3">
        <v>8.6</v>
      </c>
      <c r="AV867" s="3">
        <v>8.1999999999999993</v>
      </c>
      <c r="AW867" s="3">
        <v>8.8000000000000007</v>
      </c>
      <c r="AX867" s="3">
        <v>8.9</v>
      </c>
      <c r="AY867" s="3">
        <v>9.1999999999999993</v>
      </c>
      <c r="AZ867" s="3">
        <v>0</v>
      </c>
      <c r="BA867" s="3">
        <v>0</v>
      </c>
      <c r="BB867" s="3">
        <v>0</v>
      </c>
      <c r="BC867" s="3">
        <v>29.784392217783221</v>
      </c>
      <c r="BD867" s="3">
        <v>20.715607782216779</v>
      </c>
      <c r="BE867" s="3">
        <v>16.915607782216782</v>
      </c>
      <c r="BF867" s="3">
        <v>17.075607782216778</v>
      </c>
      <c r="BG867" s="3">
        <v>11.502274448883441</v>
      </c>
      <c r="BH867" s="3">
        <v>7.6422744488834482</v>
      </c>
      <c r="BI867" s="3">
        <v>5.9556077822167808</v>
      </c>
      <c r="BJ867" s="3">
        <v>9.9489411155501131</v>
      </c>
      <c r="BK867" s="3">
        <v>8.5222744488834437</v>
      </c>
      <c r="BL867" s="3">
        <v>12.895607782216779</v>
      </c>
      <c r="BM867" s="3">
        <v>13.728941115550114</v>
      </c>
      <c r="BN867" s="3">
        <v>14.712274448883448</v>
      </c>
      <c r="BO867" s="3">
        <v>11.978941115550114</v>
      </c>
      <c r="BP867" s="3">
        <v>9.5956077822167813</v>
      </c>
      <c r="BQ867" s="3">
        <v>14.712274448883434</v>
      </c>
      <c r="BR867" s="3">
        <v>10.938941115550115</v>
      </c>
      <c r="BS867" s="3">
        <v>15.942274448883445</v>
      </c>
      <c r="BT867" s="3">
        <v>12.038941115550116</v>
      </c>
      <c r="BU867" s="3">
        <v>16.905607782216784</v>
      </c>
      <c r="BV867" s="3">
        <v>14.422274448883442</v>
      </c>
      <c r="BW867" s="3">
        <v>7.255607782216785</v>
      </c>
      <c r="BX867" s="3">
        <v>6.9756077822167839</v>
      </c>
      <c r="BY867" s="3">
        <v>14.49560778221678</v>
      </c>
      <c r="BZ867" s="3">
        <v>27.625607782216782</v>
      </c>
      <c r="CA867" s="3">
        <v>8.9256077822167725</v>
      </c>
      <c r="CB867" s="3">
        <v>7.9622744488834414</v>
      </c>
      <c r="CC867" s="3">
        <v>8.7756077822167811</v>
      </c>
      <c r="CD867" s="3">
        <v>8.1822744488834473</v>
      </c>
      <c r="CE867" s="3">
        <v>8.6756077822167796</v>
      </c>
      <c r="CF867" s="3">
        <v>-0.91105888444988636</v>
      </c>
      <c r="CG867" s="3">
        <v>-1.4443922177832178</v>
      </c>
      <c r="CH867" s="3">
        <v>-2.5210588844498858</v>
      </c>
      <c r="CI867" s="13">
        <f>[1]!dbasum(RecData[[#This Row],[20]:[2000]],RecData[[#Headers],[20]:[2000]])</f>
        <v>21.943146432627888</v>
      </c>
      <c r="CJ867" s="14">
        <v>9947</v>
      </c>
      <c r="CK867" s="15" t="s">
        <v>249</v>
      </c>
      <c r="CL867" s="15">
        <f>RecData[[#This Row],[Start Time]]</f>
        <v>43274.051388888896</v>
      </c>
      <c r="CM867" s="16">
        <f>RecData[[#This Row],[Wind Speed avg]]</f>
        <v>0.52</v>
      </c>
      <c r="CN867" s="16">
        <f>RecData[[#This Row],[Wind Dir. avg]]</f>
        <v>126</v>
      </c>
      <c r="CO867" s="16">
        <f>RecData[[#This Row],[Amb. Humidity]]</f>
        <v>83.6</v>
      </c>
      <c r="CP867" s="16">
        <f>RecData[[#This Row],[Amb. Temperature]]</f>
        <v>11.3</v>
      </c>
      <c r="CQ867" s="17">
        <f>RecData[[#This Row],[Amb. Rain Gauge]]</f>
        <v>0</v>
      </c>
      <c r="CR867" s="4" t="s">
        <v>50</v>
      </c>
      <c r="CS867" s="4" t="s">
        <v>49</v>
      </c>
      <c r="CT867" s="70">
        <v>-9.2872171401977504</v>
      </c>
      <c r="CU867" s="70">
        <v>57.302665710449197</v>
      </c>
      <c r="CV867" s="70">
        <v>1.8960642814636199</v>
      </c>
      <c r="CW867" s="70">
        <v>0</v>
      </c>
      <c r="CX867" s="109"/>
      <c r="CY867" s="110"/>
      <c r="CZ867" s="2" t="b">
        <f>IF($DP$1="YES",IF(RecData[[#This Row],[Power (kW)]]&gt;=$CR$3, TRUE,FALSE),TRUE)</f>
        <v>0</v>
      </c>
      <c r="DA867" s="16">
        <f>MIN(MOD(180-ABS(ABS($DA$1-RecData[Yaw Angle (°)])-180),360),MOD(180-ABS(ABS($DB$1-RecData[Yaw Angle (°)])-180),360))</f>
        <v>49.772738932761655</v>
      </c>
      <c r="DB867" s="2" t="str">
        <f>IF($DP$2="None","None",IF(RecData[[#This Row],[Relative Wind Direction]]&lt;=45,"DW",IF(RecData[[#This Row],[Relative Wind Direction]]&lt;=135,"CW","UW")))</f>
        <v>CW</v>
      </c>
      <c r="DC867" s="61">
        <f>IF($CL867-$CL866&gt;1/24,#REF!,IF(SUM($CQ866:$CQ867)&gt;$DS$1,$DS$5,DC868-1))</f>
        <v>-9</v>
      </c>
      <c r="DD867" s="61">
        <f>IF($CL868-$CL867&gt;1/24,#REF!,IF(SUM($CQ866:$CQ867)&gt;$DS$1,$DS$6,DD866-1))</f>
        <v>-2</v>
      </c>
      <c r="DE867" s="18" t="b">
        <v>0</v>
      </c>
      <c r="DF867" s="2" t="b">
        <f>IF(OR(RecData[[#This Row],[WSpd_Avg '[m/s']]]-RecData[[#This Row],[Wind Speed min]]&gt;=$DF$3,RecData[[#This Row],[Wind Speed max]]-RecData[[#This Row],[WSpd_Avg '[m/s']]]&gt;=$DF$2),TRUE,FALSE)</f>
        <v>0</v>
      </c>
      <c r="DG867" s="2" t="b">
        <f>RecData[[#This Row],[Temperature '[°C']]]&lt;=-20</f>
        <v>0</v>
      </c>
      <c r="DH867" s="18" t="b">
        <f>NOT(OR(MOD(RecData[[#This Row],[TIMESTAMP]],1)&gt;0.91632,MOD(RecData[[#This Row],[TIMESTAMP]],1)&lt;0.208681))</f>
        <v>0</v>
      </c>
      <c r="DI867" s="18" t="b">
        <f>RecData[[#This Row],[Overall (dBA)]]-RecData[[#This Row],[L90]]&gt;=$DS$4</f>
        <v>0</v>
      </c>
      <c r="DJ867" s="18" t="b">
        <f>RecData[[#This Row],[Overall (dBA)]]&gt;$DS$2</f>
        <v>0</v>
      </c>
      <c r="DK867" s="18" t="b">
        <f>RecData[[#This Row],[Overall (dBA)]]&lt;$DS$3</f>
        <v>0</v>
      </c>
      <c r="DL8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7" s="2">
        <f>IF(AND(RecData[[#This Row],[Turbines ON/OFF]] = "OFF", NOT(OR(RecData[[#This Row],[Junk?]]="YES",RecData[[#This Row],[Gust?]],RecData[[#This Row],[Rain?]:[Min SPL Threshold?]]))),1,0)</f>
        <v>1</v>
      </c>
      <c r="DN867" s="16">
        <f>RecData[[#This Row],[dBA Sum]]</f>
        <v>21.943146432627888</v>
      </c>
      <c r="DO867" s="16">
        <f>RecData[[#This Row],[LAF90.0]]</f>
        <v>20.6</v>
      </c>
      <c r="DP867" s="55" t="str">
        <f>IF(AND(RecData[[#This Row],[Useable TON Data?]],RecData[[#This Row],[Turbines ON/OFF]]="ON"),RecData[[#This Row],[dBA Sum]],"")</f>
        <v/>
      </c>
      <c r="DQ867" s="55">
        <f>IF(AND(RecData[[#This Row],[Useable Background Data?]],RecData[[#This Row],[Turbines ON/OFF]]="OFF"),RecData[[#This Row],[dBA Sum]],"")</f>
        <v>21.943146432627888</v>
      </c>
      <c r="DR867" s="3">
        <f>IF(OR(RecData[[#This Row],[Useable TON Data?]],RecData[[#This Row],[Useable Background Data?]]),ROUND(RecData[[#This Row],[WSpd_Avg '[m/s']]],0),"")</f>
        <v>1</v>
      </c>
      <c r="DS867" s="85">
        <f>(0.00002)^2*(10^(RecData[[#This Row],[Overall (dBA)]]/10))</f>
        <v>6.2571221693117564E-8</v>
      </c>
    </row>
    <row r="868" spans="1:123" ht="15" x14ac:dyDescent="0.25">
      <c r="A868" s="3" t="s">
        <v>249</v>
      </c>
      <c r="B868" s="12">
        <v>43274.052083333336</v>
      </c>
      <c r="C868" s="3"/>
      <c r="D868" s="3">
        <v>28.5</v>
      </c>
      <c r="E868" s="3"/>
      <c r="F868" s="3"/>
      <c r="G868" s="3"/>
      <c r="H868" s="3"/>
      <c r="I868" s="3"/>
      <c r="J868" s="3"/>
      <c r="K868" s="3">
        <v>19.899999999999999</v>
      </c>
      <c r="L868" s="3"/>
      <c r="M868" s="3"/>
      <c r="N868" s="3">
        <v>132.4</v>
      </c>
      <c r="O868" s="3"/>
      <c r="P868" s="3"/>
      <c r="Q868" s="3">
        <v>0.6</v>
      </c>
      <c r="R868" s="3">
        <v>0.5</v>
      </c>
      <c r="S868" s="3">
        <v>0.7</v>
      </c>
      <c r="T868" s="3">
        <v>11.3</v>
      </c>
      <c r="U868" s="3">
        <v>83.6</v>
      </c>
      <c r="V868" s="3">
        <v>967.4</v>
      </c>
      <c r="W868" s="3">
        <v>0</v>
      </c>
      <c r="X868" s="3">
        <v>26</v>
      </c>
      <c r="Y868" s="3">
        <v>28.2</v>
      </c>
      <c r="Z868" s="3">
        <v>26.9</v>
      </c>
      <c r="AA868" s="3">
        <v>20.6</v>
      </c>
      <c r="AB868" s="3">
        <v>12.4</v>
      </c>
      <c r="AC868" s="3">
        <v>6.7</v>
      </c>
      <c r="AD868" s="3">
        <v>8.5</v>
      </c>
      <c r="AE868" s="3">
        <v>8.4</v>
      </c>
      <c r="AF868" s="3">
        <v>12.8</v>
      </c>
      <c r="AG868" s="3">
        <v>11.5</v>
      </c>
      <c r="AH868" s="3">
        <v>8.8000000000000007</v>
      </c>
      <c r="AI868" s="3">
        <v>8.6</v>
      </c>
      <c r="AJ868" s="3">
        <v>9.9</v>
      </c>
      <c r="AK868" s="3">
        <v>10.7</v>
      </c>
      <c r="AL868" s="3">
        <v>8.4</v>
      </c>
      <c r="AM868" s="3">
        <v>9.5</v>
      </c>
      <c r="AN868" s="3">
        <v>9.6999999999999993</v>
      </c>
      <c r="AO868" s="3">
        <v>7</v>
      </c>
      <c r="AP868" s="3">
        <v>6</v>
      </c>
      <c r="AQ868" s="3">
        <v>6.4</v>
      </c>
      <c r="AR868" s="3">
        <v>6.1</v>
      </c>
      <c r="AS868" s="3">
        <v>12.9</v>
      </c>
      <c r="AT868" s="3">
        <v>26.6</v>
      </c>
      <c r="AU868" s="3">
        <v>9.6</v>
      </c>
      <c r="AV868" s="3">
        <v>8.1</v>
      </c>
      <c r="AW868" s="3">
        <v>8.6</v>
      </c>
      <c r="AX868" s="3">
        <v>8.9</v>
      </c>
      <c r="AY868" s="3">
        <v>9.1</v>
      </c>
      <c r="AZ868" s="3">
        <v>0</v>
      </c>
      <c r="BA868" s="3">
        <v>0</v>
      </c>
      <c r="BB868" s="3">
        <v>0</v>
      </c>
      <c r="BC868" s="3">
        <v>28.517602225074764</v>
      </c>
      <c r="BD868" s="3">
        <v>25.982397774925236</v>
      </c>
      <c r="BE868" s="3">
        <v>28.182397774925239</v>
      </c>
      <c r="BF868" s="3">
        <v>25.642397774925232</v>
      </c>
      <c r="BG868" s="3">
        <v>19.669064441591903</v>
      </c>
      <c r="BH868" s="3">
        <v>11.609064441591901</v>
      </c>
      <c r="BI868" s="3">
        <v>6.3223977749252391</v>
      </c>
      <c r="BJ868" s="3">
        <v>8.9157311082585657</v>
      </c>
      <c r="BK868" s="3">
        <v>8.6890644415918992</v>
      </c>
      <c r="BL868" s="3">
        <v>12.662397774925235</v>
      </c>
      <c r="BM868" s="3">
        <v>11.495731108258571</v>
      </c>
      <c r="BN868" s="3">
        <v>9.0790644415918997</v>
      </c>
      <c r="BO868" s="3">
        <v>8.2457311082585711</v>
      </c>
      <c r="BP868" s="3">
        <v>9.2623977749252369</v>
      </c>
      <c r="BQ868" s="3">
        <v>10.479064441591891</v>
      </c>
      <c r="BR868" s="3">
        <v>8.5057311082585692</v>
      </c>
      <c r="BS868" s="3">
        <v>9.4090644415919051</v>
      </c>
      <c r="BT868" s="3">
        <v>9.8057311082585734</v>
      </c>
      <c r="BU868" s="3">
        <v>7.0723977749252391</v>
      </c>
      <c r="BV868" s="3">
        <v>5.7890644415919006</v>
      </c>
      <c r="BW868" s="3">
        <v>6.7223977749252377</v>
      </c>
      <c r="BX868" s="3">
        <v>6.3423977749252423</v>
      </c>
      <c r="BY868" s="3">
        <v>12.962397774925233</v>
      </c>
      <c r="BZ868" s="3">
        <v>26.792397774925238</v>
      </c>
      <c r="CA868" s="3">
        <v>9.8923977749252323</v>
      </c>
      <c r="CB868" s="3">
        <v>7.8290644415918997</v>
      </c>
      <c r="CC868" s="3">
        <v>8.542397774925238</v>
      </c>
      <c r="CD868" s="3">
        <v>8.1490644415919071</v>
      </c>
      <c r="CE868" s="3">
        <v>8.542397774925238</v>
      </c>
      <c r="CF868" s="3">
        <v>-0.94426889174143014</v>
      </c>
      <c r="CG868" s="3">
        <v>-1.4776022250747616</v>
      </c>
      <c r="CH868" s="3">
        <v>-2.5542688917414296</v>
      </c>
      <c r="CI868" s="13">
        <f>[1]!dbasum(RecData[[#This Row],[20]:[2000]],RecData[[#Headers],[20]:[2000]])</f>
        <v>16.665482739980316</v>
      </c>
      <c r="CJ868" s="14">
        <v>9948</v>
      </c>
      <c r="CK868" s="15" t="s">
        <v>249</v>
      </c>
      <c r="CL868" s="15">
        <f>RecData[[#This Row],[Start Time]]</f>
        <v>43274.052083333336</v>
      </c>
      <c r="CM868" s="16">
        <f>RecData[[#This Row],[Wind Speed avg]]</f>
        <v>0.6</v>
      </c>
      <c r="CN868" s="16">
        <f>RecData[[#This Row],[Wind Dir. avg]]</f>
        <v>132.4</v>
      </c>
      <c r="CO868" s="16">
        <f>RecData[[#This Row],[Amb. Humidity]]</f>
        <v>83.6</v>
      </c>
      <c r="CP868" s="16">
        <f>RecData[[#This Row],[Amb. Temperature]]</f>
        <v>11.3</v>
      </c>
      <c r="CQ868" s="17">
        <f>RecData[[#This Row],[Amb. Rain Gauge]]</f>
        <v>0</v>
      </c>
      <c r="CR868" s="4" t="s">
        <v>50</v>
      </c>
      <c r="CS868" s="4" t="s">
        <v>49</v>
      </c>
      <c r="CT868" s="70">
        <v>-9.2872171401977504</v>
      </c>
      <c r="CU868" s="70">
        <v>57.302665710449197</v>
      </c>
      <c r="CV868" s="70">
        <v>1.8960642814636199</v>
      </c>
      <c r="CW868" s="70">
        <v>0</v>
      </c>
      <c r="CX868" s="109"/>
      <c r="CY868" s="110"/>
      <c r="CZ868" s="2" t="b">
        <f>IF($DP$1="YES",IF(RecData[[#This Row],[Power (kW)]]&gt;=$CR$3, TRUE,FALSE),TRUE)</f>
        <v>0</v>
      </c>
      <c r="DA868" s="16">
        <f>MIN(MOD(180-ABS(ABS($DA$1-RecData[Yaw Angle (°)])-180),360),MOD(180-ABS(ABS($DB$1-RecData[Yaw Angle (°)])-180),360))</f>
        <v>49.772738932761655</v>
      </c>
      <c r="DB868" s="2" t="str">
        <f>IF($DP$2="None","None",IF(RecData[[#This Row],[Relative Wind Direction]]&lt;=45,"DW",IF(RecData[[#This Row],[Relative Wind Direction]]&lt;=135,"CW","UW")))</f>
        <v>CW</v>
      </c>
      <c r="DC868" s="61">
        <f>IF($CL868-$CL866&gt;1/24,#REF!,IF(SUM($CQ866:$CQ868)&gt;$DS$1,$DS$5,DC869-1))</f>
        <v>-8</v>
      </c>
      <c r="DD868" s="61">
        <f>IF($CL869-$CL868&gt;1/24,#REF!,IF(SUM($CQ866:$CQ868)&gt;$DS$1,$DS$6,DD867-1))</f>
        <v>-3</v>
      </c>
      <c r="DE868" s="18" t="b">
        <v>0</v>
      </c>
      <c r="DF868" s="2" t="b">
        <f>IF(OR(RecData[[#This Row],[WSpd_Avg '[m/s']]]-RecData[[#This Row],[Wind Speed min]]&gt;=$DF$3,RecData[[#This Row],[Wind Speed max]]-RecData[[#This Row],[WSpd_Avg '[m/s']]]&gt;=$DF$2),TRUE,FALSE)</f>
        <v>0</v>
      </c>
      <c r="DG868" s="2" t="b">
        <f>RecData[[#This Row],[Temperature '[°C']]]&lt;=-20</f>
        <v>0</v>
      </c>
      <c r="DH868" s="18" t="b">
        <f>NOT(OR(MOD(RecData[[#This Row],[TIMESTAMP]],1)&gt;0.91632,MOD(RecData[[#This Row],[TIMESTAMP]],1)&lt;0.208681))</f>
        <v>0</v>
      </c>
      <c r="DI868" s="18" t="b">
        <f>RecData[[#This Row],[Overall (dBA)]]-RecData[[#This Row],[L90]]&gt;=$DS$4</f>
        <v>0</v>
      </c>
      <c r="DJ868" s="18" t="b">
        <f>RecData[[#This Row],[Overall (dBA)]]&gt;$DS$2</f>
        <v>0</v>
      </c>
      <c r="DK868" s="18" t="b">
        <f>RecData[[#This Row],[Overall (dBA)]]&lt;$DS$3</f>
        <v>0</v>
      </c>
      <c r="DL8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8" s="2">
        <f>IF(AND(RecData[[#This Row],[Turbines ON/OFF]] = "OFF", NOT(OR(RecData[[#This Row],[Junk?]]="YES",RecData[[#This Row],[Gust?]],RecData[[#This Row],[Rain?]:[Min SPL Threshold?]]))),1,0)</f>
        <v>1</v>
      </c>
      <c r="DN868" s="16">
        <f>RecData[[#This Row],[dBA Sum]]</f>
        <v>16.665482739980316</v>
      </c>
      <c r="DO868" s="16">
        <f>RecData[[#This Row],[LAF90.0]]</f>
        <v>19.899999999999999</v>
      </c>
      <c r="DP868" s="55" t="str">
        <f>IF(AND(RecData[[#This Row],[Useable TON Data?]],RecData[[#This Row],[Turbines ON/OFF]]="ON"),RecData[[#This Row],[dBA Sum]],"")</f>
        <v/>
      </c>
      <c r="DQ868" s="55">
        <f>IF(AND(RecData[[#This Row],[Useable Background Data?]],RecData[[#This Row],[Turbines ON/OFF]]="OFF"),RecData[[#This Row],[dBA Sum]],"")</f>
        <v>16.665482739980316</v>
      </c>
      <c r="DR868" s="3">
        <f>IF(OR(RecData[[#This Row],[Useable TON Data?]],RecData[[#This Row],[Useable Background Data?]]),ROUND(RecData[[#This Row],[WSpd_Avg '[m/s']]],0),"")</f>
        <v>1</v>
      </c>
      <c r="DS868" s="85">
        <f>(0.00002)^2*(10^(RecData[[#This Row],[Overall (dBA)]]/10))</f>
        <v>1.856129466511322E-8</v>
      </c>
    </row>
    <row r="869" spans="1:123" ht="15" x14ac:dyDescent="0.25">
      <c r="A869" s="3" t="s">
        <v>249</v>
      </c>
      <c r="B869" s="12">
        <v>43274.052777777782</v>
      </c>
      <c r="C869" s="3"/>
      <c r="D869" s="3">
        <v>29.8</v>
      </c>
      <c r="E869" s="3"/>
      <c r="F869" s="3"/>
      <c r="G869" s="3"/>
      <c r="H869" s="3"/>
      <c r="I869" s="3"/>
      <c r="J869" s="3"/>
      <c r="K869" s="3">
        <v>20.399999999999999</v>
      </c>
      <c r="L869" s="3"/>
      <c r="M869" s="3"/>
      <c r="N869" s="3">
        <v>127.1</v>
      </c>
      <c r="O869" s="3"/>
      <c r="P869" s="3"/>
      <c r="Q869" s="3">
        <v>0.44</v>
      </c>
      <c r="R869" s="3">
        <v>0.2</v>
      </c>
      <c r="S869" s="3">
        <v>0.6</v>
      </c>
      <c r="T869" s="3">
        <v>11.3</v>
      </c>
      <c r="U869" s="3">
        <v>83.9</v>
      </c>
      <c r="V869" s="3">
        <v>967.3</v>
      </c>
      <c r="W869" s="3">
        <v>0</v>
      </c>
      <c r="X869" s="3">
        <v>19.2</v>
      </c>
      <c r="Y869" s="3">
        <v>20.3</v>
      </c>
      <c r="Z869" s="3">
        <v>21.3</v>
      </c>
      <c r="AA869" s="3">
        <v>11</v>
      </c>
      <c r="AB869" s="3">
        <v>8.1</v>
      </c>
      <c r="AC869" s="3">
        <v>6.2</v>
      </c>
      <c r="AD869" s="3">
        <v>11.1</v>
      </c>
      <c r="AE869" s="3">
        <v>10.1</v>
      </c>
      <c r="AF869" s="3">
        <v>14</v>
      </c>
      <c r="AG869" s="3">
        <v>8.6999999999999993</v>
      </c>
      <c r="AH869" s="3">
        <v>9.6</v>
      </c>
      <c r="AI869" s="3">
        <v>8.1</v>
      </c>
      <c r="AJ869" s="3">
        <v>9.1</v>
      </c>
      <c r="AK869" s="3">
        <v>9.3000000000000007</v>
      </c>
      <c r="AL869" s="3">
        <v>7.3</v>
      </c>
      <c r="AM869" s="3">
        <v>8.3000000000000007</v>
      </c>
      <c r="AN869" s="3">
        <v>8.6999999999999993</v>
      </c>
      <c r="AO869" s="3">
        <v>6.4</v>
      </c>
      <c r="AP869" s="3">
        <v>5.8</v>
      </c>
      <c r="AQ869" s="3">
        <v>6.4</v>
      </c>
      <c r="AR869" s="3">
        <v>6.4</v>
      </c>
      <c r="AS869" s="3">
        <v>14.3</v>
      </c>
      <c r="AT869" s="3">
        <v>28.1</v>
      </c>
      <c r="AU869" s="3">
        <v>9.6</v>
      </c>
      <c r="AV869" s="3">
        <v>8.1999999999999993</v>
      </c>
      <c r="AW869" s="3">
        <v>8.6999999999999993</v>
      </c>
      <c r="AX869" s="3">
        <v>8.9</v>
      </c>
      <c r="AY869" s="3">
        <v>9.1999999999999993</v>
      </c>
      <c r="AZ869" s="3">
        <v>0</v>
      </c>
      <c r="BA869" s="3">
        <v>0</v>
      </c>
      <c r="BB869" s="3">
        <v>0</v>
      </c>
      <c r="BC869" s="3">
        <v>29.840009937075756</v>
      </c>
      <c r="BD869" s="3">
        <v>19.159990062924244</v>
      </c>
      <c r="BE869" s="3">
        <v>20.259990062924246</v>
      </c>
      <c r="BF869" s="3">
        <v>20.019990062924244</v>
      </c>
      <c r="BG869" s="3">
        <v>10.046656729590907</v>
      </c>
      <c r="BH869" s="3">
        <v>7.2866567295909164</v>
      </c>
      <c r="BI869" s="3">
        <v>5.7999900629242447</v>
      </c>
      <c r="BJ869" s="3">
        <v>11.493323396257573</v>
      </c>
      <c r="BK869" s="3">
        <v>10.366656729590908</v>
      </c>
      <c r="BL869" s="3">
        <v>13.839990062924244</v>
      </c>
      <c r="BM869" s="3">
        <v>8.6733233962575795</v>
      </c>
      <c r="BN869" s="3">
        <v>9.8566567295909095</v>
      </c>
      <c r="BO869" s="3">
        <v>7.7233233962575838</v>
      </c>
      <c r="BP869" s="3">
        <v>8.4399900629242453</v>
      </c>
      <c r="BQ869" s="3">
        <v>9.0566567295909053</v>
      </c>
      <c r="BR869" s="3">
        <v>7.3833233962575804</v>
      </c>
      <c r="BS869" s="3">
        <v>8.1866567295909149</v>
      </c>
      <c r="BT869" s="3">
        <v>8.783323396257579</v>
      </c>
      <c r="BU869" s="3">
        <v>6.4499900629242504</v>
      </c>
      <c r="BV869" s="3">
        <v>5.5666567295909104</v>
      </c>
      <c r="BW869" s="3">
        <v>6.6999900629242504</v>
      </c>
      <c r="BX869" s="3">
        <v>6.6199900629242521</v>
      </c>
      <c r="BY869" s="3">
        <v>14.339990062924244</v>
      </c>
      <c r="BZ869" s="3">
        <v>28.269990062924251</v>
      </c>
      <c r="CA869" s="3">
        <v>9.8699900629242379</v>
      </c>
      <c r="CB869" s="3">
        <v>7.9066567295909067</v>
      </c>
      <c r="CC869" s="3">
        <v>8.619990062924245</v>
      </c>
      <c r="CD869" s="3">
        <v>8.1266567295909127</v>
      </c>
      <c r="CE869" s="3">
        <v>8.619990062924245</v>
      </c>
      <c r="CF869" s="3">
        <v>-0.96667660374242104</v>
      </c>
      <c r="CG869" s="3">
        <v>-1.5000099370757525</v>
      </c>
      <c r="CH869" s="3">
        <v>-2.5766766037424205</v>
      </c>
      <c r="CI869" s="13">
        <f>[1]!dbasum(RecData[[#This Row],[20]:[2000]],RecData[[#Headers],[20]:[2000]])</f>
        <v>16.077156564581824</v>
      </c>
      <c r="CJ869" s="14">
        <v>9949</v>
      </c>
      <c r="CK869" s="15" t="s">
        <v>249</v>
      </c>
      <c r="CL869" s="15">
        <f>RecData[[#This Row],[Start Time]]</f>
        <v>43274.052777777782</v>
      </c>
      <c r="CM869" s="16">
        <f>RecData[[#This Row],[Wind Speed avg]]</f>
        <v>0.44</v>
      </c>
      <c r="CN869" s="16">
        <f>RecData[[#This Row],[Wind Dir. avg]]</f>
        <v>127.1</v>
      </c>
      <c r="CO869" s="16">
        <f>RecData[[#This Row],[Amb. Humidity]]</f>
        <v>83.9</v>
      </c>
      <c r="CP869" s="16">
        <f>RecData[[#This Row],[Amb. Temperature]]</f>
        <v>11.3</v>
      </c>
      <c r="CQ869" s="17">
        <f>RecData[[#This Row],[Amb. Rain Gauge]]</f>
        <v>0</v>
      </c>
      <c r="CR869" s="4" t="s">
        <v>50</v>
      </c>
      <c r="CS869" s="4" t="s">
        <v>49</v>
      </c>
      <c r="CT869" s="70">
        <v>-9.2872171401977504</v>
      </c>
      <c r="CU869" s="70">
        <v>57.302665710449197</v>
      </c>
      <c r="CV869" s="70">
        <v>1.8960642814636199</v>
      </c>
      <c r="CW869" s="70">
        <v>0</v>
      </c>
      <c r="CX869" s="109"/>
      <c r="CY869" s="110"/>
      <c r="CZ869" s="2" t="b">
        <f>IF($DP$1="YES",IF(RecData[[#This Row],[Power (kW)]]&gt;=$CR$3, TRUE,FALSE),TRUE)</f>
        <v>0</v>
      </c>
      <c r="DA869" s="16">
        <f>MIN(MOD(180-ABS(ABS($DA$1-RecData[Yaw Angle (°)])-180),360),MOD(180-ABS(ABS($DB$1-RecData[Yaw Angle (°)])-180),360))</f>
        <v>49.772738932761655</v>
      </c>
      <c r="DB869" s="2" t="str">
        <f>IF($DP$2="None","None",IF(RecData[[#This Row],[Relative Wind Direction]]&lt;=45,"DW",IF(RecData[[#This Row],[Relative Wind Direction]]&lt;=135,"CW","UW")))</f>
        <v>CW</v>
      </c>
      <c r="DC869" s="61">
        <f>IF($CL869-$CL866&gt;1/24,#REF!,IF(SUM($CQ866:$CQ869)&gt;$DS$1,$DS$5,DC870-1))</f>
        <v>-7</v>
      </c>
      <c r="DD869" s="61">
        <f>IF($CL870-$CL869&gt;1/24,#REF!,IF(SUM($CQ866:$CQ869)&gt;$DS$1,$DS$6,DD868-1))</f>
        <v>-4</v>
      </c>
      <c r="DE869" s="18" t="b">
        <v>0</v>
      </c>
      <c r="DF869" s="2" t="b">
        <f>IF(OR(RecData[[#This Row],[WSpd_Avg '[m/s']]]-RecData[[#This Row],[Wind Speed min]]&gt;=$DF$3,RecData[[#This Row],[Wind Speed max]]-RecData[[#This Row],[WSpd_Avg '[m/s']]]&gt;=$DF$2),TRUE,FALSE)</f>
        <v>0</v>
      </c>
      <c r="DG869" s="2" t="b">
        <f>RecData[[#This Row],[Temperature '[°C']]]&lt;=-20</f>
        <v>0</v>
      </c>
      <c r="DH869" s="18" t="b">
        <f>NOT(OR(MOD(RecData[[#This Row],[TIMESTAMP]],1)&gt;0.91632,MOD(RecData[[#This Row],[TIMESTAMP]],1)&lt;0.208681))</f>
        <v>0</v>
      </c>
      <c r="DI869" s="18" t="b">
        <f>RecData[[#This Row],[Overall (dBA)]]-RecData[[#This Row],[L90]]&gt;=$DS$4</f>
        <v>0</v>
      </c>
      <c r="DJ869" s="18" t="b">
        <f>RecData[[#This Row],[Overall (dBA)]]&gt;$DS$2</f>
        <v>0</v>
      </c>
      <c r="DK869" s="18" t="b">
        <f>RecData[[#This Row],[Overall (dBA)]]&lt;$DS$3</f>
        <v>0</v>
      </c>
      <c r="DL8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69" s="2">
        <f>IF(AND(RecData[[#This Row],[Turbines ON/OFF]] = "OFF", NOT(OR(RecData[[#This Row],[Junk?]]="YES",RecData[[#This Row],[Gust?]],RecData[[#This Row],[Rain?]:[Min SPL Threshold?]]))),1,0)</f>
        <v>1</v>
      </c>
      <c r="DN869" s="16">
        <f>RecData[[#This Row],[dBA Sum]]</f>
        <v>16.077156564581824</v>
      </c>
      <c r="DO869" s="16">
        <f>RecData[[#This Row],[LAF90.0]]</f>
        <v>20.399999999999999</v>
      </c>
      <c r="DP869" s="55" t="str">
        <f>IF(AND(RecData[[#This Row],[Useable TON Data?]],RecData[[#This Row],[Turbines ON/OFF]]="ON"),RecData[[#This Row],[dBA Sum]],"")</f>
        <v/>
      </c>
      <c r="DQ869" s="55">
        <f>IF(AND(RecData[[#This Row],[Useable Background Data?]],RecData[[#This Row],[Turbines ON/OFF]]="OFF"),RecData[[#This Row],[dBA Sum]],"")</f>
        <v>16.077156564581824</v>
      </c>
      <c r="DR869" s="3">
        <f>IF(OR(RecData[[#This Row],[Useable TON Data?]],RecData[[#This Row],[Useable Background Data?]]),ROUND(RecData[[#This Row],[WSpd_Avg '[m/s']]],0),"")</f>
        <v>0</v>
      </c>
      <c r="DS869" s="85">
        <f>(0.00002)^2*(10^(RecData[[#This Row],[Overall (dBA)]]/10))</f>
        <v>1.6209725027433864E-8</v>
      </c>
    </row>
    <row r="870" spans="1:123" ht="15" x14ac:dyDescent="0.25">
      <c r="A870" s="3" t="s">
        <v>249</v>
      </c>
      <c r="B870" s="12">
        <v>43274.053472222229</v>
      </c>
      <c r="C870" s="3"/>
      <c r="D870" s="3">
        <v>27.7</v>
      </c>
      <c r="E870" s="3"/>
      <c r="F870" s="3"/>
      <c r="G870" s="3"/>
      <c r="H870" s="3"/>
      <c r="I870" s="3"/>
      <c r="J870" s="3"/>
      <c r="K870" s="3">
        <v>19.899999999999999</v>
      </c>
      <c r="L870" s="3"/>
      <c r="M870" s="3"/>
      <c r="N870" s="3">
        <v>147.80000000000001</v>
      </c>
      <c r="O870" s="3"/>
      <c r="P870" s="3"/>
      <c r="Q870" s="3">
        <v>0.47</v>
      </c>
      <c r="R870" s="3">
        <v>0.3</v>
      </c>
      <c r="S870" s="3">
        <v>0.6</v>
      </c>
      <c r="T870" s="3">
        <v>11.3</v>
      </c>
      <c r="U870" s="3">
        <v>83.7</v>
      </c>
      <c r="V870" s="3">
        <v>967.3</v>
      </c>
      <c r="W870" s="3">
        <v>0</v>
      </c>
      <c r="X870" s="3">
        <v>24.2</v>
      </c>
      <c r="Y870" s="3">
        <v>29.6</v>
      </c>
      <c r="Z870" s="3">
        <v>27.7</v>
      </c>
      <c r="AA870" s="3">
        <v>22.4</v>
      </c>
      <c r="AB870" s="3">
        <v>10.3</v>
      </c>
      <c r="AC870" s="3">
        <v>6.6</v>
      </c>
      <c r="AD870" s="3">
        <v>11.8</v>
      </c>
      <c r="AE870" s="3">
        <v>11.2</v>
      </c>
      <c r="AF870" s="3">
        <v>13.5</v>
      </c>
      <c r="AG870" s="3">
        <v>11</v>
      </c>
      <c r="AH870" s="3">
        <v>12.6</v>
      </c>
      <c r="AI870" s="3">
        <v>11.6</v>
      </c>
      <c r="AJ870" s="3">
        <v>9.6999999999999993</v>
      </c>
      <c r="AK870" s="3">
        <v>9.5</v>
      </c>
      <c r="AL870" s="3">
        <v>7.8</v>
      </c>
      <c r="AM870" s="3">
        <v>7.9</v>
      </c>
      <c r="AN870" s="3">
        <v>6.6</v>
      </c>
      <c r="AO870" s="3">
        <v>6.5</v>
      </c>
      <c r="AP870" s="3">
        <v>5.9</v>
      </c>
      <c r="AQ870" s="3">
        <v>6.6</v>
      </c>
      <c r="AR870" s="3">
        <v>6.5</v>
      </c>
      <c r="AS870" s="3">
        <v>13.3</v>
      </c>
      <c r="AT870" s="3">
        <v>25.7</v>
      </c>
      <c r="AU870" s="3">
        <v>9.1999999999999993</v>
      </c>
      <c r="AV870" s="3">
        <v>8.1</v>
      </c>
      <c r="AW870" s="3">
        <v>8.6</v>
      </c>
      <c r="AX870" s="3">
        <v>8.8000000000000007</v>
      </c>
      <c r="AY870" s="3">
        <v>9.1</v>
      </c>
      <c r="AZ870" s="3">
        <v>0</v>
      </c>
      <c r="BA870" s="3">
        <v>0</v>
      </c>
      <c r="BB870" s="3">
        <v>0</v>
      </c>
      <c r="BC870" s="3">
        <v>27.741033461634821</v>
      </c>
      <c r="BD870" s="3">
        <v>24.158966538365178</v>
      </c>
      <c r="BE870" s="3">
        <v>29.558966538365176</v>
      </c>
      <c r="BF870" s="3">
        <v>26.418966538365176</v>
      </c>
      <c r="BG870" s="3">
        <v>21.445633205031839</v>
      </c>
      <c r="BH870" s="3">
        <v>9.4856332050318457</v>
      </c>
      <c r="BI870" s="3">
        <v>6.1989665383651769</v>
      </c>
      <c r="BJ870" s="3">
        <v>12.192299871698509</v>
      </c>
      <c r="BK870" s="3">
        <v>11.465633205031843</v>
      </c>
      <c r="BL870" s="3">
        <v>13.338966538365177</v>
      </c>
      <c r="BM870" s="3">
        <v>10.972299871698517</v>
      </c>
      <c r="BN870" s="3">
        <v>12.855633205031843</v>
      </c>
      <c r="BO870" s="3">
        <v>11.222299871698517</v>
      </c>
      <c r="BP870" s="3">
        <v>9.0389665383651803</v>
      </c>
      <c r="BQ870" s="3">
        <v>9.2556332050318346</v>
      </c>
      <c r="BR870" s="3">
        <v>7.882299871698514</v>
      </c>
      <c r="BS870" s="3">
        <v>7.7856332050318429</v>
      </c>
      <c r="BT870" s="3">
        <v>6.6822998716985111</v>
      </c>
      <c r="BU870" s="3">
        <v>6.5489665383651854</v>
      </c>
      <c r="BV870" s="3">
        <v>5.6656332050318454</v>
      </c>
      <c r="BW870" s="3">
        <v>6.8989665383651797</v>
      </c>
      <c r="BX870" s="3">
        <v>6.7189665383651871</v>
      </c>
      <c r="BY870" s="3">
        <v>13.338966538365177</v>
      </c>
      <c r="BZ870" s="3">
        <v>25.868966538365179</v>
      </c>
      <c r="CA870" s="3">
        <v>9.4689665383651729</v>
      </c>
      <c r="CB870" s="3">
        <v>7.805633205031846</v>
      </c>
      <c r="CC870" s="3">
        <v>8.5189665383651771</v>
      </c>
      <c r="CD870" s="3">
        <v>8.025633205031852</v>
      </c>
      <c r="CE870" s="3">
        <v>8.5189665383651771</v>
      </c>
      <c r="CF870" s="3">
        <v>-0.96770012830148744</v>
      </c>
      <c r="CG870" s="3">
        <v>-1.5010334616348189</v>
      </c>
      <c r="CH870" s="3">
        <v>-2.5777001283014869</v>
      </c>
      <c r="CI870" s="13">
        <f>[1]!dbasum(RecData[[#This Row],[20]:[2000]],RecData[[#Headers],[20]:[2000]])</f>
        <v>16.143329426368954</v>
      </c>
      <c r="CJ870" s="14">
        <v>9950</v>
      </c>
      <c r="CK870" s="15" t="s">
        <v>249</v>
      </c>
      <c r="CL870" s="15">
        <f>RecData[[#This Row],[Start Time]]</f>
        <v>43274.053472222229</v>
      </c>
      <c r="CM870" s="16">
        <f>RecData[[#This Row],[Wind Speed avg]]</f>
        <v>0.47</v>
      </c>
      <c r="CN870" s="16">
        <f>RecData[[#This Row],[Wind Dir. avg]]</f>
        <v>147.80000000000001</v>
      </c>
      <c r="CO870" s="16">
        <f>RecData[[#This Row],[Amb. Humidity]]</f>
        <v>83.7</v>
      </c>
      <c r="CP870" s="16">
        <f>RecData[[#This Row],[Amb. Temperature]]</f>
        <v>11.3</v>
      </c>
      <c r="CQ870" s="17">
        <f>RecData[[#This Row],[Amb. Rain Gauge]]</f>
        <v>0</v>
      </c>
      <c r="CR870" s="4" t="s">
        <v>50</v>
      </c>
      <c r="CS870" s="4" t="s">
        <v>49</v>
      </c>
      <c r="CT870" s="70">
        <v>-9.2872171401977504</v>
      </c>
      <c r="CU870" s="70">
        <v>57.302665710449197</v>
      </c>
      <c r="CV870" s="70">
        <v>1.8960642814636199</v>
      </c>
      <c r="CW870" s="70">
        <v>0</v>
      </c>
      <c r="CX870" s="109"/>
      <c r="CY870" s="110"/>
      <c r="CZ870" s="2" t="b">
        <f>IF($DP$1="YES",IF(RecData[[#This Row],[Power (kW)]]&gt;=$CR$3, TRUE,FALSE),TRUE)</f>
        <v>0</v>
      </c>
      <c r="DA870" s="16">
        <f>MIN(MOD(180-ABS(ABS($DA$1-RecData[Yaw Angle (°)])-180),360),MOD(180-ABS(ABS($DB$1-RecData[Yaw Angle (°)])-180),360))</f>
        <v>49.772738932761655</v>
      </c>
      <c r="DB870" s="2" t="str">
        <f>IF($DP$2="None","None",IF(RecData[[#This Row],[Relative Wind Direction]]&lt;=45,"DW",IF(RecData[[#This Row],[Relative Wind Direction]]&lt;=135,"CW","UW")))</f>
        <v>CW</v>
      </c>
      <c r="DC870" s="61">
        <f>IF($CL870-$CL866&gt;1/24,#REF!,IF(SUM($CQ866:$CQ870)&gt;$DS$1,$DS$5,DC871-1))</f>
        <v>-6</v>
      </c>
      <c r="DD870" s="61">
        <f>IF($CL871-$CL870&gt;1/24,#REF!,IF(SUM($CQ866:$CQ870)&gt;$DS$1,$DS$6,DD869-1))</f>
        <v>-5</v>
      </c>
      <c r="DE870" s="18" t="b">
        <v>0</v>
      </c>
      <c r="DF870" s="2" t="b">
        <f>IF(OR(RecData[[#This Row],[WSpd_Avg '[m/s']]]-RecData[[#This Row],[Wind Speed min]]&gt;=$DF$3,RecData[[#This Row],[Wind Speed max]]-RecData[[#This Row],[WSpd_Avg '[m/s']]]&gt;=$DF$2),TRUE,FALSE)</f>
        <v>0</v>
      </c>
      <c r="DG870" s="2" t="b">
        <f>RecData[[#This Row],[Temperature '[°C']]]&lt;=-20</f>
        <v>0</v>
      </c>
      <c r="DH870" s="18" t="b">
        <f>NOT(OR(MOD(RecData[[#This Row],[TIMESTAMP]],1)&gt;0.91632,MOD(RecData[[#This Row],[TIMESTAMP]],1)&lt;0.208681))</f>
        <v>0</v>
      </c>
      <c r="DI870" s="18" t="b">
        <f>RecData[[#This Row],[Overall (dBA)]]-RecData[[#This Row],[L90]]&gt;=$DS$4</f>
        <v>0</v>
      </c>
      <c r="DJ870" s="18" t="b">
        <f>RecData[[#This Row],[Overall (dBA)]]&gt;$DS$2</f>
        <v>0</v>
      </c>
      <c r="DK870" s="18" t="b">
        <f>RecData[[#This Row],[Overall (dBA)]]&lt;$DS$3</f>
        <v>0</v>
      </c>
      <c r="DL8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0" s="2">
        <f>IF(AND(RecData[[#This Row],[Turbines ON/OFF]] = "OFF", NOT(OR(RecData[[#This Row],[Junk?]]="YES",RecData[[#This Row],[Gust?]],RecData[[#This Row],[Rain?]:[Min SPL Threshold?]]))),1,0)</f>
        <v>1</v>
      </c>
      <c r="DN870" s="16">
        <f>RecData[[#This Row],[dBA Sum]]</f>
        <v>16.143329426368954</v>
      </c>
      <c r="DO870" s="16">
        <f>RecData[[#This Row],[LAF90.0]]</f>
        <v>19.899999999999999</v>
      </c>
      <c r="DP870" s="55" t="str">
        <f>IF(AND(RecData[[#This Row],[Useable TON Data?]],RecData[[#This Row],[Turbines ON/OFF]]="ON"),RecData[[#This Row],[dBA Sum]],"")</f>
        <v/>
      </c>
      <c r="DQ870" s="55">
        <f>IF(AND(RecData[[#This Row],[Useable Background Data?]],RecData[[#This Row],[Turbines ON/OFF]]="OFF"),RecData[[#This Row],[dBA Sum]],"")</f>
        <v>16.143329426368954</v>
      </c>
      <c r="DR870" s="3">
        <f>IF(OR(RecData[[#This Row],[Useable TON Data?]],RecData[[#This Row],[Useable Background Data?]]),ROUND(RecData[[#This Row],[WSpd_Avg '[m/s']]],0),"")</f>
        <v>0</v>
      </c>
      <c r="DS870" s="85">
        <f>(0.00002)^2*(10^(RecData[[#This Row],[Overall (dBA)]]/10))</f>
        <v>1.6458601646143335E-8</v>
      </c>
    </row>
    <row r="871" spans="1:123" ht="15" x14ac:dyDescent="0.25">
      <c r="A871" s="3" t="s">
        <v>249</v>
      </c>
      <c r="B871" s="12">
        <v>43274.054166666669</v>
      </c>
      <c r="C871" s="3"/>
      <c r="D871" s="3">
        <v>29.5</v>
      </c>
      <c r="E871" s="3"/>
      <c r="F871" s="3"/>
      <c r="G871" s="3"/>
      <c r="H871" s="3"/>
      <c r="I871" s="3"/>
      <c r="J871" s="3"/>
      <c r="K871" s="3">
        <v>20.100000000000001</v>
      </c>
      <c r="L871" s="3"/>
      <c r="M871" s="3"/>
      <c r="N871" s="3">
        <v>153.69999999999999</v>
      </c>
      <c r="O871" s="3"/>
      <c r="P871" s="3"/>
      <c r="Q871" s="3">
        <v>0.45</v>
      </c>
      <c r="R871" s="3">
        <v>0.3</v>
      </c>
      <c r="S871" s="3">
        <v>0.6</v>
      </c>
      <c r="T871" s="3">
        <v>11.3</v>
      </c>
      <c r="U871" s="3">
        <v>84.2</v>
      </c>
      <c r="V871" s="3">
        <v>967.3</v>
      </c>
      <c r="W871" s="3">
        <v>0</v>
      </c>
      <c r="X871" s="3">
        <v>22.8</v>
      </c>
      <c r="Y871" s="3">
        <v>25.8</v>
      </c>
      <c r="Z871" s="3">
        <v>27.3</v>
      </c>
      <c r="AA871" s="3">
        <v>16.5</v>
      </c>
      <c r="AB871" s="3">
        <v>13</v>
      </c>
      <c r="AC871" s="3">
        <v>6.7</v>
      </c>
      <c r="AD871" s="3">
        <v>12.4</v>
      </c>
      <c r="AE871" s="3">
        <v>11.3</v>
      </c>
      <c r="AF871" s="3">
        <v>12.4</v>
      </c>
      <c r="AG871" s="3">
        <v>9.1999999999999993</v>
      </c>
      <c r="AH871" s="3">
        <v>9.1</v>
      </c>
      <c r="AI871" s="3">
        <v>8.1</v>
      </c>
      <c r="AJ871" s="3">
        <v>9.8000000000000007</v>
      </c>
      <c r="AK871" s="3">
        <v>8.9</v>
      </c>
      <c r="AL871" s="3">
        <v>7.6</v>
      </c>
      <c r="AM871" s="3">
        <v>9.4</v>
      </c>
      <c r="AN871" s="3">
        <v>10.6</v>
      </c>
      <c r="AO871" s="3">
        <v>6.9</v>
      </c>
      <c r="AP871" s="3">
        <v>6</v>
      </c>
      <c r="AQ871" s="3">
        <v>6.5</v>
      </c>
      <c r="AR871" s="3">
        <v>6.4</v>
      </c>
      <c r="AS871" s="3">
        <v>12.2</v>
      </c>
      <c r="AT871" s="3">
        <v>27.8</v>
      </c>
      <c r="AU871" s="3">
        <v>10.199999999999999</v>
      </c>
      <c r="AV871" s="3">
        <v>8.1999999999999993</v>
      </c>
      <c r="AW871" s="3">
        <v>8.6999999999999993</v>
      </c>
      <c r="AX871" s="3">
        <v>8.9</v>
      </c>
      <c r="AY871" s="3">
        <v>9.1</v>
      </c>
      <c r="AZ871" s="3">
        <v>0</v>
      </c>
      <c r="BA871" s="3">
        <v>0</v>
      </c>
      <c r="BB871" s="3">
        <v>0</v>
      </c>
      <c r="BC871" s="3">
        <v>29.544745855283644</v>
      </c>
      <c r="BD871" s="3">
        <v>22.755254144716353</v>
      </c>
      <c r="BE871" s="3">
        <v>25.755254144716353</v>
      </c>
      <c r="BF871" s="3">
        <v>26.015254144716359</v>
      </c>
      <c r="BG871" s="3">
        <v>15.541920811383022</v>
      </c>
      <c r="BH871" s="3">
        <v>12.181920811383023</v>
      </c>
      <c r="BI871" s="3">
        <v>6.2952541447163597</v>
      </c>
      <c r="BJ871" s="3">
        <v>12.788587478049685</v>
      </c>
      <c r="BK871" s="3">
        <v>11.561920811383018</v>
      </c>
      <c r="BL871" s="3">
        <v>12.235254144716357</v>
      </c>
      <c r="BM871" s="3">
        <v>9.1685874780496945</v>
      </c>
      <c r="BN871" s="3">
        <v>9.3519208113830246</v>
      </c>
      <c r="BO871" s="3">
        <v>7.7185874780496917</v>
      </c>
      <c r="BP871" s="3">
        <v>9.135254144716356</v>
      </c>
      <c r="BQ871" s="3">
        <v>8.6519208113830146</v>
      </c>
      <c r="BR871" s="3">
        <v>7.6785874780496925</v>
      </c>
      <c r="BS871" s="3">
        <v>9.2819208113830243</v>
      </c>
      <c r="BT871" s="3">
        <v>10.678587478049693</v>
      </c>
      <c r="BU871" s="3">
        <v>6.9452541447163583</v>
      </c>
      <c r="BV871" s="3">
        <v>5.7619208113830211</v>
      </c>
      <c r="BW871" s="3">
        <v>6.7952541447163597</v>
      </c>
      <c r="BX871" s="3">
        <v>6.61525414471636</v>
      </c>
      <c r="BY871" s="3">
        <v>12.235254144716357</v>
      </c>
      <c r="BZ871" s="3">
        <v>27.965254144716361</v>
      </c>
      <c r="CA871" s="3">
        <v>10.465254144716347</v>
      </c>
      <c r="CB871" s="3">
        <v>7.9019208113830217</v>
      </c>
      <c r="CC871" s="3">
        <v>8.6152541447163529</v>
      </c>
      <c r="CD871" s="3">
        <v>8.1219208113830277</v>
      </c>
      <c r="CE871" s="3">
        <v>8.5152541447163586</v>
      </c>
      <c r="CF871" s="3">
        <v>-0.97141252195030958</v>
      </c>
      <c r="CG871" s="3">
        <v>-1.504745855283641</v>
      </c>
      <c r="CH871" s="3">
        <v>-2.581412521950309</v>
      </c>
      <c r="CI871" s="13">
        <f>[1]!dbasum(RecData[[#This Row],[20]:[2000]],RecData[[#Headers],[20]:[2000]])</f>
        <v>16.640795871191859</v>
      </c>
      <c r="CJ871" s="14">
        <v>9951</v>
      </c>
      <c r="CK871" s="15" t="s">
        <v>249</v>
      </c>
      <c r="CL871" s="15">
        <f>RecData[[#This Row],[Start Time]]</f>
        <v>43274.054166666669</v>
      </c>
      <c r="CM871" s="16">
        <f>RecData[[#This Row],[Wind Speed avg]]</f>
        <v>0.45</v>
      </c>
      <c r="CN871" s="16">
        <f>RecData[[#This Row],[Wind Dir. avg]]</f>
        <v>153.69999999999999</v>
      </c>
      <c r="CO871" s="16">
        <f>RecData[[#This Row],[Amb. Humidity]]</f>
        <v>84.2</v>
      </c>
      <c r="CP871" s="16">
        <f>RecData[[#This Row],[Amb. Temperature]]</f>
        <v>11.3</v>
      </c>
      <c r="CQ871" s="17">
        <f>RecData[[#This Row],[Amb. Rain Gauge]]</f>
        <v>0</v>
      </c>
      <c r="CR871" s="4" t="s">
        <v>50</v>
      </c>
      <c r="CS871" s="4" t="s">
        <v>49</v>
      </c>
      <c r="CT871" s="70">
        <v>-9.2872171401977504</v>
      </c>
      <c r="CU871" s="70">
        <v>57.302665710449197</v>
      </c>
      <c r="CV871" s="70">
        <v>1.8960642814636199</v>
      </c>
      <c r="CW871" s="70">
        <v>0</v>
      </c>
      <c r="CX871" s="109"/>
      <c r="CY871" s="110"/>
      <c r="CZ871" s="2" t="b">
        <f>IF($DP$1="YES",IF(RecData[[#This Row],[Power (kW)]]&gt;=$CR$3, TRUE,FALSE),TRUE)</f>
        <v>0</v>
      </c>
      <c r="DA871" s="16">
        <f>MIN(MOD(180-ABS(ABS($DA$1-RecData[Yaw Angle (°)])-180),360),MOD(180-ABS(ABS($DB$1-RecData[Yaw Angle (°)])-180),360))</f>
        <v>49.772738932761655</v>
      </c>
      <c r="DB871" s="2" t="str">
        <f>IF($DP$2="None","None",IF(RecData[[#This Row],[Relative Wind Direction]]&lt;=45,"DW",IF(RecData[[#This Row],[Relative Wind Direction]]&lt;=135,"CW","UW")))</f>
        <v>CW</v>
      </c>
      <c r="DC871" s="61">
        <f>IF($CL871-$CL867&gt;1/24,#REF!,IF(SUM($CQ867:$CQ871)&gt;$DS$1,$DS$5,DC872-1))</f>
        <v>-5</v>
      </c>
      <c r="DD871" s="61">
        <f>IF($CL872-$CL871&gt;1/24,#REF!,IF(SUM($CQ867:$CQ871)&gt;$DS$1,$DS$6,DD870-1))</f>
        <v>-6</v>
      </c>
      <c r="DE871" s="18" t="b">
        <v>0</v>
      </c>
      <c r="DF871" s="2" t="b">
        <f>IF(OR(RecData[[#This Row],[WSpd_Avg '[m/s']]]-RecData[[#This Row],[Wind Speed min]]&gt;=$DF$3,RecData[[#This Row],[Wind Speed max]]-RecData[[#This Row],[WSpd_Avg '[m/s']]]&gt;=$DF$2),TRUE,FALSE)</f>
        <v>0</v>
      </c>
      <c r="DG871" s="2" t="b">
        <f>RecData[[#This Row],[Temperature '[°C']]]&lt;=-20</f>
        <v>0</v>
      </c>
      <c r="DH871" s="18" t="b">
        <f>NOT(OR(MOD(RecData[[#This Row],[TIMESTAMP]],1)&gt;0.91632,MOD(RecData[[#This Row],[TIMESTAMP]],1)&lt;0.208681))</f>
        <v>0</v>
      </c>
      <c r="DI871" s="18" t="b">
        <f>RecData[[#This Row],[Overall (dBA)]]-RecData[[#This Row],[L90]]&gt;=$DS$4</f>
        <v>0</v>
      </c>
      <c r="DJ871" s="18" t="b">
        <f>RecData[[#This Row],[Overall (dBA)]]&gt;$DS$2</f>
        <v>0</v>
      </c>
      <c r="DK871" s="18" t="b">
        <f>RecData[[#This Row],[Overall (dBA)]]&lt;$DS$3</f>
        <v>0</v>
      </c>
      <c r="DL8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1" s="2">
        <f>IF(AND(RecData[[#This Row],[Turbines ON/OFF]] = "OFF", NOT(OR(RecData[[#This Row],[Junk?]]="YES",RecData[[#This Row],[Gust?]],RecData[[#This Row],[Rain?]:[Min SPL Threshold?]]))),1,0)</f>
        <v>1</v>
      </c>
      <c r="DN871" s="16">
        <f>RecData[[#This Row],[dBA Sum]]</f>
        <v>16.640795871191859</v>
      </c>
      <c r="DO871" s="16">
        <f>RecData[[#This Row],[LAF90.0]]</f>
        <v>20.100000000000001</v>
      </c>
      <c r="DP871" s="55" t="str">
        <f>IF(AND(RecData[[#This Row],[Useable TON Data?]],RecData[[#This Row],[Turbines ON/OFF]]="ON"),RecData[[#This Row],[dBA Sum]],"")</f>
        <v/>
      </c>
      <c r="DQ871" s="55">
        <f>IF(AND(RecData[[#This Row],[Useable Background Data?]],RecData[[#This Row],[Turbines ON/OFF]]="OFF"),RecData[[#This Row],[dBA Sum]],"")</f>
        <v>16.640795871191859</v>
      </c>
      <c r="DR871" s="3">
        <f>IF(OR(RecData[[#This Row],[Useable TON Data?]],RecData[[#This Row],[Useable Background Data?]]),ROUND(RecData[[#This Row],[WSpd_Avg '[m/s']]],0),"")</f>
        <v>0</v>
      </c>
      <c r="DS871" s="85">
        <f>(0.00002)^2*(10^(RecData[[#This Row],[Overall (dBA)]]/10))</f>
        <v>1.8456084862926492E-8</v>
      </c>
    </row>
    <row r="872" spans="1:123" ht="15" x14ac:dyDescent="0.25">
      <c r="A872" s="3" t="s">
        <v>249</v>
      </c>
      <c r="B872" s="12">
        <v>43274.054861111115</v>
      </c>
      <c r="C872" s="3"/>
      <c r="D872" s="3">
        <v>29.5</v>
      </c>
      <c r="E872" s="3"/>
      <c r="F872" s="3"/>
      <c r="G872" s="3"/>
      <c r="H872" s="3"/>
      <c r="I872" s="3"/>
      <c r="J872" s="3"/>
      <c r="K872" s="3">
        <v>19.7</v>
      </c>
      <c r="L872" s="3"/>
      <c r="M872" s="3"/>
      <c r="N872" s="3">
        <v>165.3</v>
      </c>
      <c r="O872" s="3"/>
      <c r="P872" s="3"/>
      <c r="Q872" s="3">
        <v>0.47</v>
      </c>
      <c r="R872" s="3">
        <v>0.4</v>
      </c>
      <c r="S872" s="3">
        <v>0.6</v>
      </c>
      <c r="T872" s="3">
        <v>11.3</v>
      </c>
      <c r="U872" s="3">
        <v>84.9</v>
      </c>
      <c r="V872" s="3">
        <v>967.3</v>
      </c>
      <c r="W872" s="3">
        <v>0</v>
      </c>
      <c r="X872" s="3">
        <v>24.7</v>
      </c>
      <c r="Y872" s="3">
        <v>27.2</v>
      </c>
      <c r="Z872" s="3">
        <v>28.3</v>
      </c>
      <c r="AA872" s="3">
        <v>22.6</v>
      </c>
      <c r="AB872" s="3">
        <v>13.8</v>
      </c>
      <c r="AC872" s="3">
        <v>7.1</v>
      </c>
      <c r="AD872" s="3">
        <v>11.1</v>
      </c>
      <c r="AE872" s="3">
        <v>10.3</v>
      </c>
      <c r="AF872" s="3">
        <v>11.6</v>
      </c>
      <c r="AG872" s="3">
        <v>8.6999999999999993</v>
      </c>
      <c r="AH872" s="3">
        <v>9.4</v>
      </c>
      <c r="AI872" s="3">
        <v>8.6</v>
      </c>
      <c r="AJ872" s="3">
        <v>10.199999999999999</v>
      </c>
      <c r="AK872" s="3">
        <v>11</v>
      </c>
      <c r="AL872" s="3">
        <v>9.4</v>
      </c>
      <c r="AM872" s="3">
        <v>9.6</v>
      </c>
      <c r="AN872" s="3">
        <v>7.9</v>
      </c>
      <c r="AO872" s="3">
        <v>7.3</v>
      </c>
      <c r="AP872" s="3">
        <v>6.6</v>
      </c>
      <c r="AQ872" s="3">
        <v>6.9</v>
      </c>
      <c r="AR872" s="3">
        <v>6.8</v>
      </c>
      <c r="AS872" s="3">
        <v>14.6</v>
      </c>
      <c r="AT872" s="3">
        <v>27.6</v>
      </c>
      <c r="AU872" s="3">
        <v>10.6</v>
      </c>
      <c r="AV872" s="3">
        <v>8.1999999999999993</v>
      </c>
      <c r="AW872" s="3">
        <v>8.6</v>
      </c>
      <c r="AX872" s="3">
        <v>8.8000000000000007</v>
      </c>
      <c r="AY872" s="3">
        <v>9.1</v>
      </c>
      <c r="AZ872" s="3">
        <v>0</v>
      </c>
      <c r="BA872" s="3">
        <v>0</v>
      </c>
      <c r="BB872" s="3">
        <v>0</v>
      </c>
      <c r="BC872" s="3">
        <v>29.461794040640719</v>
      </c>
      <c r="BD872" s="3">
        <v>24.738205959359284</v>
      </c>
      <c r="BE872" s="3">
        <v>27.238205959359284</v>
      </c>
      <c r="BF872" s="3">
        <v>27.098205959359284</v>
      </c>
      <c r="BG872" s="3">
        <v>21.724872626025949</v>
      </c>
      <c r="BH872" s="3">
        <v>13.064872626025952</v>
      </c>
      <c r="BI872" s="3">
        <v>6.7782059593592834</v>
      </c>
      <c r="BJ872" s="3">
        <v>11.571539292692613</v>
      </c>
      <c r="BK872" s="3">
        <v>10.644872626025943</v>
      </c>
      <c r="BL872" s="3">
        <v>11.518205959359285</v>
      </c>
      <c r="BM872" s="3">
        <v>8.7515392926926197</v>
      </c>
      <c r="BN872" s="3">
        <v>9.7348726260259468</v>
      </c>
      <c r="BO872" s="3">
        <v>8.3015392926926168</v>
      </c>
      <c r="BP872" s="3">
        <v>9.6182059593592797</v>
      </c>
      <c r="BQ872" s="3">
        <v>10.834872626025941</v>
      </c>
      <c r="BR872" s="3">
        <v>9.5615392926926148</v>
      </c>
      <c r="BS872" s="3">
        <v>9.5648726260259522</v>
      </c>
      <c r="BT872" s="3">
        <v>8.0615392926926148</v>
      </c>
      <c r="BU872" s="3">
        <v>7.428205959359282</v>
      </c>
      <c r="BV872" s="3">
        <v>6.4448726260259477</v>
      </c>
      <c r="BW872" s="3">
        <v>7.2782059593592834</v>
      </c>
      <c r="BX872" s="3">
        <v>7.0982059593592837</v>
      </c>
      <c r="BY872" s="3">
        <v>14.718205959359281</v>
      </c>
      <c r="BZ872" s="3">
        <v>27.848205959359284</v>
      </c>
      <c r="CA872" s="3">
        <v>10.948205959359278</v>
      </c>
      <c r="CB872" s="3">
        <v>7.9848726260259468</v>
      </c>
      <c r="CC872" s="3">
        <v>8.5982059593592837</v>
      </c>
      <c r="CD872" s="3">
        <v>8.1048726260259514</v>
      </c>
      <c r="CE872" s="3">
        <v>8.5982059593592837</v>
      </c>
      <c r="CF872" s="3">
        <v>-0.88846070730738447</v>
      </c>
      <c r="CG872" s="3">
        <v>-1.4217940406407159</v>
      </c>
      <c r="CH872" s="3">
        <v>-2.4984607073073839</v>
      </c>
      <c r="CI872" s="13">
        <f>[1]!dbasum(RecData[[#This Row],[20]:[2000]],RecData[[#Headers],[20]:[2000]])</f>
        <v>16.833025531817295</v>
      </c>
      <c r="CJ872" s="14">
        <v>9952</v>
      </c>
      <c r="CK872" s="15" t="s">
        <v>249</v>
      </c>
      <c r="CL872" s="15">
        <f>RecData[[#This Row],[Start Time]]</f>
        <v>43274.054861111115</v>
      </c>
      <c r="CM872" s="16">
        <f>RecData[[#This Row],[Wind Speed avg]]</f>
        <v>0.47</v>
      </c>
      <c r="CN872" s="16">
        <f>RecData[[#This Row],[Wind Dir. avg]]</f>
        <v>165.3</v>
      </c>
      <c r="CO872" s="16">
        <f>RecData[[#This Row],[Amb. Humidity]]</f>
        <v>84.9</v>
      </c>
      <c r="CP872" s="16">
        <f>RecData[[#This Row],[Amb. Temperature]]</f>
        <v>11.3</v>
      </c>
      <c r="CQ872" s="17">
        <f>RecData[[#This Row],[Amb. Rain Gauge]]</f>
        <v>0</v>
      </c>
      <c r="CR872" s="4" t="s">
        <v>50</v>
      </c>
      <c r="CS872" s="4" t="s">
        <v>49</v>
      </c>
      <c r="CT872" s="70">
        <v>-9.2872171401977504</v>
      </c>
      <c r="CU872" s="70">
        <v>57.302665710449197</v>
      </c>
      <c r="CV872" s="70">
        <v>1.8960642814636199</v>
      </c>
      <c r="CW872" s="70">
        <v>0</v>
      </c>
      <c r="CX872" s="109"/>
      <c r="CY872" s="110"/>
      <c r="CZ872" s="2" t="b">
        <f>IF($DP$1="YES",IF(RecData[[#This Row],[Power (kW)]]&gt;=$CR$3, TRUE,FALSE),TRUE)</f>
        <v>0</v>
      </c>
      <c r="DA872" s="16">
        <f>MIN(MOD(180-ABS(ABS($DA$1-RecData[Yaw Angle (°)])-180),360),MOD(180-ABS(ABS($DB$1-RecData[Yaw Angle (°)])-180),360))</f>
        <v>49.772738932761655</v>
      </c>
      <c r="DB872" s="2" t="str">
        <f>IF($DP$2="None","None",IF(RecData[[#This Row],[Relative Wind Direction]]&lt;=45,"DW",IF(RecData[[#This Row],[Relative Wind Direction]]&lt;=135,"CW","UW")))</f>
        <v>CW</v>
      </c>
      <c r="DC872" s="61">
        <f>IF($CL872-$CL868&gt;1/24,#REF!,IF(SUM($CQ868:$CQ872)&gt;$DS$1,$DS$5,DC873-1))</f>
        <v>-4</v>
      </c>
      <c r="DD872" s="61">
        <f>IF($CL873-$CL872&gt;1/24,#REF!,IF(SUM($CQ868:$CQ872)&gt;$DS$1,$DS$6,DD871-1))</f>
        <v>-7</v>
      </c>
      <c r="DE872" s="18" t="b">
        <v>0</v>
      </c>
      <c r="DF872" s="2" t="b">
        <f>IF(OR(RecData[[#This Row],[WSpd_Avg '[m/s']]]-RecData[[#This Row],[Wind Speed min]]&gt;=$DF$3,RecData[[#This Row],[Wind Speed max]]-RecData[[#This Row],[WSpd_Avg '[m/s']]]&gt;=$DF$2),TRUE,FALSE)</f>
        <v>0</v>
      </c>
      <c r="DG872" s="2" t="b">
        <f>RecData[[#This Row],[Temperature '[°C']]]&lt;=-20</f>
        <v>0</v>
      </c>
      <c r="DH872" s="18" t="b">
        <f>NOT(OR(MOD(RecData[[#This Row],[TIMESTAMP]],1)&gt;0.91632,MOD(RecData[[#This Row],[TIMESTAMP]],1)&lt;0.208681))</f>
        <v>0</v>
      </c>
      <c r="DI872" s="18" t="b">
        <f>RecData[[#This Row],[Overall (dBA)]]-RecData[[#This Row],[L90]]&gt;=$DS$4</f>
        <v>0</v>
      </c>
      <c r="DJ872" s="18" t="b">
        <f>RecData[[#This Row],[Overall (dBA)]]&gt;$DS$2</f>
        <v>0</v>
      </c>
      <c r="DK872" s="18" t="b">
        <f>RecData[[#This Row],[Overall (dBA)]]&lt;$DS$3</f>
        <v>0</v>
      </c>
      <c r="DL8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2" s="2">
        <f>IF(AND(RecData[[#This Row],[Turbines ON/OFF]] = "OFF", NOT(OR(RecData[[#This Row],[Junk?]]="YES",RecData[[#This Row],[Gust?]],RecData[[#This Row],[Rain?]:[Min SPL Threshold?]]))),1,0)</f>
        <v>1</v>
      </c>
      <c r="DN872" s="16">
        <f>RecData[[#This Row],[dBA Sum]]</f>
        <v>16.833025531817295</v>
      </c>
      <c r="DO872" s="16">
        <f>RecData[[#This Row],[LAF90.0]]</f>
        <v>19.7</v>
      </c>
      <c r="DP872" s="55" t="str">
        <f>IF(AND(RecData[[#This Row],[Useable TON Data?]],RecData[[#This Row],[Turbines ON/OFF]]="ON"),RecData[[#This Row],[dBA Sum]],"")</f>
        <v/>
      </c>
      <c r="DQ872" s="55">
        <f>IF(AND(RecData[[#This Row],[Useable Background Data?]],RecData[[#This Row],[Turbines ON/OFF]]="OFF"),RecData[[#This Row],[dBA Sum]],"")</f>
        <v>16.833025531817295</v>
      </c>
      <c r="DR872" s="3">
        <f>IF(OR(RecData[[#This Row],[Useable TON Data?]],RecData[[#This Row],[Useable Background Data?]]),ROUND(RecData[[#This Row],[WSpd_Avg '[m/s']]],0),"")</f>
        <v>0</v>
      </c>
      <c r="DS872" s="85">
        <f>(0.00002)^2*(10^(RecData[[#This Row],[Overall (dBA)]]/10))</f>
        <v>1.929134662718114E-8</v>
      </c>
    </row>
    <row r="873" spans="1:123" ht="15" x14ac:dyDescent="0.25">
      <c r="A873" s="3" t="s">
        <v>249</v>
      </c>
      <c r="B873" s="12">
        <v>43274.055555555562</v>
      </c>
      <c r="C873" s="3"/>
      <c r="D873" s="3">
        <v>22</v>
      </c>
      <c r="E873" s="3"/>
      <c r="F873" s="3"/>
      <c r="G873" s="3"/>
      <c r="H873" s="3"/>
      <c r="I873" s="3"/>
      <c r="J873" s="3"/>
      <c r="K873" s="3">
        <v>19.100000000000001</v>
      </c>
      <c r="L873" s="3"/>
      <c r="M873" s="3"/>
      <c r="N873" s="3">
        <v>152.80000000000001</v>
      </c>
      <c r="O873" s="3"/>
      <c r="P873" s="3"/>
      <c r="Q873" s="3">
        <v>0.49</v>
      </c>
      <c r="R873" s="3">
        <v>0.2</v>
      </c>
      <c r="S873" s="3">
        <v>0.6</v>
      </c>
      <c r="T873" s="3">
        <v>11.3</v>
      </c>
      <c r="U873" s="3">
        <v>85.3</v>
      </c>
      <c r="V873" s="3">
        <v>967.3</v>
      </c>
      <c r="W873" s="3">
        <v>0</v>
      </c>
      <c r="X873" s="3">
        <v>21.5</v>
      </c>
      <c r="Y873" s="3">
        <v>17.7</v>
      </c>
      <c r="Z873" s="3">
        <v>16.3</v>
      </c>
      <c r="AA873" s="3">
        <v>11.4</v>
      </c>
      <c r="AB873" s="3">
        <v>9.4</v>
      </c>
      <c r="AC873" s="3">
        <v>9.1999999999999993</v>
      </c>
      <c r="AD873" s="3">
        <v>11.1</v>
      </c>
      <c r="AE873" s="3">
        <v>9.8000000000000007</v>
      </c>
      <c r="AF873" s="3">
        <v>10.199999999999999</v>
      </c>
      <c r="AG873" s="3">
        <v>11.8</v>
      </c>
      <c r="AH873" s="3">
        <v>8.6999999999999993</v>
      </c>
      <c r="AI873" s="3">
        <v>8.1999999999999993</v>
      </c>
      <c r="AJ873" s="3">
        <v>10.7</v>
      </c>
      <c r="AK873" s="3">
        <v>10.4</v>
      </c>
      <c r="AL873" s="3">
        <v>7.7</v>
      </c>
      <c r="AM873" s="3">
        <v>7.1</v>
      </c>
      <c r="AN873" s="3">
        <v>6.7</v>
      </c>
      <c r="AO873" s="3">
        <v>7.4</v>
      </c>
      <c r="AP873" s="3">
        <v>5.9</v>
      </c>
      <c r="AQ873" s="3">
        <v>6.3</v>
      </c>
      <c r="AR873" s="3">
        <v>6.3</v>
      </c>
      <c r="AS873" s="3">
        <v>11</v>
      </c>
      <c r="AT873" s="3">
        <v>16.8</v>
      </c>
      <c r="AU873" s="3">
        <v>8.6</v>
      </c>
      <c r="AV873" s="3">
        <v>8</v>
      </c>
      <c r="AW873" s="3">
        <v>8.6999999999999993</v>
      </c>
      <c r="AX873" s="3">
        <v>9</v>
      </c>
      <c r="AY873" s="3">
        <v>9.1999999999999993</v>
      </c>
      <c r="AZ873" s="3">
        <v>0</v>
      </c>
      <c r="BA873" s="3">
        <v>0</v>
      </c>
      <c r="BB873" s="3">
        <v>0</v>
      </c>
      <c r="BC873" s="3">
        <v>21.872063820091199</v>
      </c>
      <c r="BD873" s="3">
        <v>21.627936179908801</v>
      </c>
      <c r="BE873" s="3">
        <v>17.827936179908804</v>
      </c>
      <c r="BF873" s="3">
        <v>15.187936179908803</v>
      </c>
      <c r="BG873" s="3">
        <v>10.614602846575465</v>
      </c>
      <c r="BH873" s="3">
        <v>8.7546028465754695</v>
      </c>
      <c r="BI873" s="3">
        <v>8.9679361799088007</v>
      </c>
      <c r="BJ873" s="3">
        <v>11.661269513242132</v>
      </c>
      <c r="BK873" s="3">
        <v>10.234602846575463</v>
      </c>
      <c r="BL873" s="3">
        <v>10.207936179908799</v>
      </c>
      <c r="BM873" s="3">
        <v>11.941269513242133</v>
      </c>
      <c r="BN873" s="3">
        <v>9.1246028465754669</v>
      </c>
      <c r="BO873" s="3">
        <v>7.9912695132421376</v>
      </c>
      <c r="BP873" s="3">
        <v>10.207936179908799</v>
      </c>
      <c r="BQ873" s="3">
        <v>10.324602846575459</v>
      </c>
      <c r="BR873" s="3">
        <v>7.9512695132421349</v>
      </c>
      <c r="BS873" s="3">
        <v>7.1546028465754681</v>
      </c>
      <c r="BT873" s="3">
        <v>6.9512695132421349</v>
      </c>
      <c r="BU873" s="3">
        <v>7.6179361799088028</v>
      </c>
      <c r="BV873" s="3">
        <v>5.8346028465754678</v>
      </c>
      <c r="BW873" s="3">
        <v>6.7679361799088049</v>
      </c>
      <c r="BX873" s="3">
        <v>6.6879361799088066</v>
      </c>
      <c r="BY873" s="3">
        <v>11.207936179908799</v>
      </c>
      <c r="BZ873" s="3">
        <v>17.137936179908806</v>
      </c>
      <c r="CA873" s="3">
        <v>9.0379361799087938</v>
      </c>
      <c r="CB873" s="3">
        <v>7.8746028465754669</v>
      </c>
      <c r="CC873" s="3">
        <v>8.7879361799087974</v>
      </c>
      <c r="CD873" s="3">
        <v>8.3946028465754736</v>
      </c>
      <c r="CE873" s="3">
        <v>8.7879361799087974</v>
      </c>
      <c r="CF873" s="3">
        <v>-0.79873048675786507</v>
      </c>
      <c r="CG873" s="3">
        <v>-1.3320638200911965</v>
      </c>
      <c r="CH873" s="3">
        <v>-2.4087304867578645</v>
      </c>
      <c r="CI873" s="13">
        <f>[1]!dbasum(RecData[[#This Row],[20]:[2000]],RecData[[#Headers],[20]:[2000]])</f>
        <v>16.159056916638836</v>
      </c>
      <c r="CJ873" s="14">
        <v>9953</v>
      </c>
      <c r="CK873" s="15" t="s">
        <v>249</v>
      </c>
      <c r="CL873" s="15">
        <f>RecData[[#This Row],[Start Time]]</f>
        <v>43274.055555555562</v>
      </c>
      <c r="CM873" s="16">
        <f>RecData[[#This Row],[Wind Speed avg]]</f>
        <v>0.49</v>
      </c>
      <c r="CN873" s="16">
        <f>RecData[[#This Row],[Wind Dir. avg]]</f>
        <v>152.80000000000001</v>
      </c>
      <c r="CO873" s="16">
        <f>RecData[[#This Row],[Amb. Humidity]]</f>
        <v>85.3</v>
      </c>
      <c r="CP873" s="16">
        <f>RecData[[#This Row],[Amb. Temperature]]</f>
        <v>11.3</v>
      </c>
      <c r="CQ873" s="17">
        <f>RecData[[#This Row],[Amb. Rain Gauge]]</f>
        <v>0</v>
      </c>
      <c r="CR873" s="4" t="s">
        <v>50</v>
      </c>
      <c r="CS873" s="4" t="s">
        <v>49</v>
      </c>
      <c r="CT873" s="70">
        <v>-9.2872171401977504</v>
      </c>
      <c r="CU873" s="70">
        <v>57.302665710449197</v>
      </c>
      <c r="CV873" s="70">
        <v>1.8960642814636199</v>
      </c>
      <c r="CW873" s="70">
        <v>0</v>
      </c>
      <c r="CX873" s="109"/>
      <c r="CY873" s="110"/>
      <c r="CZ873" s="2" t="b">
        <f>IF($DP$1="YES",IF(RecData[[#This Row],[Power (kW)]]&gt;=$CR$3, TRUE,FALSE),TRUE)</f>
        <v>0</v>
      </c>
      <c r="DA873" s="16">
        <f>MIN(MOD(180-ABS(ABS($DA$1-RecData[Yaw Angle (°)])-180),360),MOD(180-ABS(ABS($DB$1-RecData[Yaw Angle (°)])-180),360))</f>
        <v>49.772738932761655</v>
      </c>
      <c r="DB873" s="2" t="str">
        <f>IF($DP$2="None","None",IF(RecData[[#This Row],[Relative Wind Direction]]&lt;=45,"DW",IF(RecData[[#This Row],[Relative Wind Direction]]&lt;=135,"CW","UW")))</f>
        <v>CW</v>
      </c>
      <c r="DC873" s="61">
        <f>IF($CL873-$CL869&gt;1/24,#REF!,IF(SUM($CQ869:$CQ873)&gt;$DS$1,$DS$5,DC874-1))</f>
        <v>-3</v>
      </c>
      <c r="DD873" s="61">
        <f>IF($CL874-$CL873&gt;1/24,#REF!,IF(SUM($CQ869:$CQ873)&gt;$DS$1,$DS$6,DD872-1))</f>
        <v>-8</v>
      </c>
      <c r="DE873" s="18" t="b">
        <v>0</v>
      </c>
      <c r="DF873" s="2" t="b">
        <f>IF(OR(RecData[[#This Row],[WSpd_Avg '[m/s']]]-RecData[[#This Row],[Wind Speed min]]&gt;=$DF$3,RecData[[#This Row],[Wind Speed max]]-RecData[[#This Row],[WSpd_Avg '[m/s']]]&gt;=$DF$2),TRUE,FALSE)</f>
        <v>0</v>
      </c>
      <c r="DG873" s="2" t="b">
        <f>RecData[[#This Row],[Temperature '[°C']]]&lt;=-20</f>
        <v>0</v>
      </c>
      <c r="DH873" s="18" t="b">
        <f>NOT(OR(MOD(RecData[[#This Row],[TIMESTAMP]],1)&gt;0.91632,MOD(RecData[[#This Row],[TIMESTAMP]],1)&lt;0.208681))</f>
        <v>0</v>
      </c>
      <c r="DI873" s="18" t="b">
        <f>RecData[[#This Row],[Overall (dBA)]]-RecData[[#This Row],[L90]]&gt;=$DS$4</f>
        <v>0</v>
      </c>
      <c r="DJ873" s="18" t="b">
        <f>RecData[[#This Row],[Overall (dBA)]]&gt;$DS$2</f>
        <v>0</v>
      </c>
      <c r="DK873" s="18" t="b">
        <f>RecData[[#This Row],[Overall (dBA)]]&lt;$DS$3</f>
        <v>0</v>
      </c>
      <c r="DL8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3" s="2">
        <f>IF(AND(RecData[[#This Row],[Turbines ON/OFF]] = "OFF", NOT(OR(RecData[[#This Row],[Junk?]]="YES",RecData[[#This Row],[Gust?]],RecData[[#This Row],[Rain?]:[Min SPL Threshold?]]))),1,0)</f>
        <v>1</v>
      </c>
      <c r="DN873" s="16">
        <f>RecData[[#This Row],[dBA Sum]]</f>
        <v>16.159056916638836</v>
      </c>
      <c r="DO873" s="16">
        <f>RecData[[#This Row],[LAF90.0]]</f>
        <v>19.100000000000001</v>
      </c>
      <c r="DP873" s="55" t="str">
        <f>IF(AND(RecData[[#This Row],[Useable TON Data?]],RecData[[#This Row],[Turbines ON/OFF]]="ON"),RecData[[#This Row],[dBA Sum]],"")</f>
        <v/>
      </c>
      <c r="DQ873" s="55">
        <f>IF(AND(RecData[[#This Row],[Useable Background Data?]],RecData[[#This Row],[Turbines ON/OFF]]="OFF"),RecData[[#This Row],[dBA Sum]],"")</f>
        <v>16.159056916638836</v>
      </c>
      <c r="DR873" s="3">
        <f>IF(OR(RecData[[#This Row],[Useable TON Data?]],RecData[[#This Row],[Useable Background Data?]]),ROUND(RecData[[#This Row],[WSpd_Avg '[m/s']]],0),"")</f>
        <v>0</v>
      </c>
      <c r="DS873" s="85">
        <f>(0.00002)^2*(10^(RecData[[#This Row],[Overall (dBA)]]/10))</f>
        <v>1.6518312689472834E-8</v>
      </c>
    </row>
    <row r="874" spans="1:123" ht="15" x14ac:dyDescent="0.25">
      <c r="A874" s="3" t="s">
        <v>249</v>
      </c>
      <c r="B874" s="12">
        <v>43274.056250000001</v>
      </c>
      <c r="C874" s="3"/>
      <c r="D874" s="3">
        <v>23.9</v>
      </c>
      <c r="E874" s="3"/>
      <c r="F874" s="3"/>
      <c r="G874" s="3"/>
      <c r="H874" s="3"/>
      <c r="I874" s="3"/>
      <c r="J874" s="3"/>
      <c r="K874" s="3">
        <v>19.100000000000001</v>
      </c>
      <c r="L874" s="3"/>
      <c r="M874" s="3"/>
      <c r="N874" s="3">
        <v>147.80000000000001</v>
      </c>
      <c r="O874" s="3"/>
      <c r="P874" s="3"/>
      <c r="Q874" s="3">
        <v>0.51</v>
      </c>
      <c r="R874" s="3">
        <v>0.3</v>
      </c>
      <c r="S874" s="3">
        <v>0.6</v>
      </c>
      <c r="T874" s="3">
        <v>11.3</v>
      </c>
      <c r="U874" s="3">
        <v>84.8</v>
      </c>
      <c r="V874" s="3">
        <v>967.3</v>
      </c>
      <c r="W874" s="3">
        <v>0</v>
      </c>
      <c r="X874" s="3">
        <v>24.2</v>
      </c>
      <c r="Y874" s="3">
        <v>28</v>
      </c>
      <c r="Z874" s="3">
        <v>29.2</v>
      </c>
      <c r="AA874" s="3">
        <v>18.899999999999999</v>
      </c>
      <c r="AB874" s="3">
        <v>13.6</v>
      </c>
      <c r="AC874" s="3">
        <v>8.8000000000000007</v>
      </c>
      <c r="AD874" s="3">
        <v>11.1</v>
      </c>
      <c r="AE874" s="3">
        <v>10.3</v>
      </c>
      <c r="AF874" s="3">
        <v>11.4</v>
      </c>
      <c r="AG874" s="3">
        <v>9.5</v>
      </c>
      <c r="AH874" s="3">
        <v>9</v>
      </c>
      <c r="AI874" s="3">
        <v>8</v>
      </c>
      <c r="AJ874" s="3">
        <v>10.5</v>
      </c>
      <c r="AK874" s="3">
        <v>10.8</v>
      </c>
      <c r="AL874" s="3">
        <v>8.5</v>
      </c>
      <c r="AM874" s="3">
        <v>9.6</v>
      </c>
      <c r="AN874" s="3">
        <v>9.1999999999999993</v>
      </c>
      <c r="AO874" s="3">
        <v>7.8</v>
      </c>
      <c r="AP874" s="3">
        <v>6.8</v>
      </c>
      <c r="AQ874" s="3">
        <v>6.5</v>
      </c>
      <c r="AR874" s="3">
        <v>6.6</v>
      </c>
      <c r="AS874" s="3">
        <v>13.5</v>
      </c>
      <c r="AT874" s="3">
        <v>19.8</v>
      </c>
      <c r="AU874" s="3">
        <v>9.9</v>
      </c>
      <c r="AV874" s="3">
        <v>8.5</v>
      </c>
      <c r="AW874" s="3">
        <v>9.3000000000000007</v>
      </c>
      <c r="AX874" s="3">
        <v>8.9</v>
      </c>
      <c r="AY874" s="3">
        <v>9.1</v>
      </c>
      <c r="AZ874" s="3">
        <v>0</v>
      </c>
      <c r="BA874" s="3">
        <v>0</v>
      </c>
      <c r="BB874" s="3">
        <v>0</v>
      </c>
      <c r="BC874" s="3">
        <v>23.859062672448946</v>
      </c>
      <c r="BD874" s="3">
        <v>24.240937327551048</v>
      </c>
      <c r="BE874" s="3">
        <v>28.040937327551053</v>
      </c>
      <c r="BF874" s="3">
        <v>28.000937327551053</v>
      </c>
      <c r="BG874" s="3">
        <v>18.02760399421771</v>
      </c>
      <c r="BH874" s="3">
        <v>12.86760399421772</v>
      </c>
      <c r="BI874" s="3">
        <v>8.4809373275510573</v>
      </c>
      <c r="BJ874" s="3">
        <v>11.574270660884384</v>
      </c>
      <c r="BK874" s="3">
        <v>10.647603994217715</v>
      </c>
      <c r="BL874" s="3">
        <v>11.320937327551054</v>
      </c>
      <c r="BM874" s="3">
        <v>9.5542706608843879</v>
      </c>
      <c r="BN874" s="3">
        <v>9.3376039942177194</v>
      </c>
      <c r="BO874" s="3">
        <v>7.7042706608843901</v>
      </c>
      <c r="BP874" s="3">
        <v>9.9209373275510551</v>
      </c>
      <c r="BQ874" s="3">
        <v>10.637603994217709</v>
      </c>
      <c r="BR874" s="3">
        <v>8.6642706608843874</v>
      </c>
      <c r="BS874" s="3">
        <v>9.5676039942177162</v>
      </c>
      <c r="BT874" s="3">
        <v>9.3642706608843831</v>
      </c>
      <c r="BU874" s="3">
        <v>7.9309373275510566</v>
      </c>
      <c r="BV874" s="3">
        <v>6.6476039942177216</v>
      </c>
      <c r="BW874" s="3">
        <v>6.8809373275510559</v>
      </c>
      <c r="BX874" s="3">
        <v>6.900937327551059</v>
      </c>
      <c r="BY874" s="3">
        <v>13.620937327551051</v>
      </c>
      <c r="BZ874" s="3">
        <v>20.050937327551058</v>
      </c>
      <c r="CA874" s="3">
        <v>10.250937327551046</v>
      </c>
      <c r="CB874" s="3">
        <v>8.2876039942177151</v>
      </c>
      <c r="CC874" s="3">
        <v>9.3009373275510505</v>
      </c>
      <c r="CD874" s="3">
        <v>8.2076039942177239</v>
      </c>
      <c r="CE874" s="3">
        <v>8.6009373275510477</v>
      </c>
      <c r="CF874" s="3">
        <v>-0.88572933911561336</v>
      </c>
      <c r="CG874" s="3">
        <v>-1.4190626724489448</v>
      </c>
      <c r="CH874" s="3">
        <v>-2.4957293391156128</v>
      </c>
      <c r="CI874" s="13">
        <f>[1]!dbasum(RecData[[#This Row],[20]:[2000]],RecData[[#Headers],[20]:[2000]])</f>
        <v>16.915714162214584</v>
      </c>
      <c r="CJ874" s="14">
        <v>9954</v>
      </c>
      <c r="CK874" s="15" t="s">
        <v>249</v>
      </c>
      <c r="CL874" s="15">
        <f>RecData[[#This Row],[Start Time]]</f>
        <v>43274.056250000001</v>
      </c>
      <c r="CM874" s="16">
        <f>RecData[[#This Row],[Wind Speed avg]]</f>
        <v>0.51</v>
      </c>
      <c r="CN874" s="16">
        <f>RecData[[#This Row],[Wind Dir. avg]]</f>
        <v>147.80000000000001</v>
      </c>
      <c r="CO874" s="16">
        <f>RecData[[#This Row],[Amb. Humidity]]</f>
        <v>84.8</v>
      </c>
      <c r="CP874" s="16">
        <f>RecData[[#This Row],[Amb. Temperature]]</f>
        <v>11.3</v>
      </c>
      <c r="CQ874" s="17">
        <f>RecData[[#This Row],[Amb. Rain Gauge]]</f>
        <v>0</v>
      </c>
      <c r="CR874" s="4" t="s">
        <v>50</v>
      </c>
      <c r="CS874" s="4" t="s">
        <v>49</v>
      </c>
      <c r="CT874" s="70">
        <v>-8.7180976867675692</v>
      </c>
      <c r="CU874" s="70">
        <v>61.000514984130803</v>
      </c>
      <c r="CV874" s="70">
        <v>2.5195827484130802</v>
      </c>
      <c r="CW874" s="70">
        <v>0</v>
      </c>
      <c r="CX874" s="109"/>
      <c r="CY874" s="110"/>
      <c r="CZ874" s="2" t="b">
        <f>IF($DP$1="YES",IF(RecData[[#This Row],[Power (kW)]]&gt;=$CR$3, TRUE,FALSE),TRUE)</f>
        <v>0</v>
      </c>
      <c r="DA874" s="16">
        <f>MIN(MOD(180-ABS(ABS($DA$1-RecData[Yaw Angle (°)])-180),360),MOD(180-ABS(ABS($DB$1-RecData[Yaw Angle (°)])-180),360))</f>
        <v>53.470588206443253</v>
      </c>
      <c r="DB874" s="2" t="str">
        <f>IF($DP$2="None","None",IF(RecData[[#This Row],[Relative Wind Direction]]&lt;=45,"DW",IF(RecData[[#This Row],[Relative Wind Direction]]&lt;=135,"CW","UW")))</f>
        <v>CW</v>
      </c>
      <c r="DC874" s="61">
        <f>IF($CL874-$CL870&gt;1/24,#REF!,IF(SUM($CQ870:$CQ874)&gt;$DS$1,$DS$5,DC875-1))</f>
        <v>-2</v>
      </c>
      <c r="DD874" s="61">
        <f>IF($CL875-$CL874&gt;1/24,#REF!,IF(SUM($CQ870:$CQ874)&gt;$DS$1,$DS$6,DD873-1))</f>
        <v>-9</v>
      </c>
      <c r="DE874" s="18" t="b">
        <v>0</v>
      </c>
      <c r="DF874" s="2" t="b">
        <f>IF(OR(RecData[[#This Row],[WSpd_Avg '[m/s']]]-RecData[[#This Row],[Wind Speed min]]&gt;=$DF$3,RecData[[#This Row],[Wind Speed max]]-RecData[[#This Row],[WSpd_Avg '[m/s']]]&gt;=$DF$2),TRUE,FALSE)</f>
        <v>0</v>
      </c>
      <c r="DG874" s="2" t="b">
        <f>RecData[[#This Row],[Temperature '[°C']]]&lt;=-20</f>
        <v>0</v>
      </c>
      <c r="DH874" s="18" t="b">
        <f>NOT(OR(MOD(RecData[[#This Row],[TIMESTAMP]],1)&gt;0.91632,MOD(RecData[[#This Row],[TIMESTAMP]],1)&lt;0.208681))</f>
        <v>0</v>
      </c>
      <c r="DI874" s="18" t="b">
        <f>RecData[[#This Row],[Overall (dBA)]]-RecData[[#This Row],[L90]]&gt;=$DS$4</f>
        <v>0</v>
      </c>
      <c r="DJ874" s="18" t="b">
        <f>RecData[[#This Row],[Overall (dBA)]]&gt;$DS$2</f>
        <v>0</v>
      </c>
      <c r="DK874" s="18" t="b">
        <f>RecData[[#This Row],[Overall (dBA)]]&lt;$DS$3</f>
        <v>0</v>
      </c>
      <c r="DL8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4" s="2">
        <f>IF(AND(RecData[[#This Row],[Turbines ON/OFF]] = "OFF", NOT(OR(RecData[[#This Row],[Junk?]]="YES",RecData[[#This Row],[Gust?]],RecData[[#This Row],[Rain?]:[Min SPL Threshold?]]))),1,0)</f>
        <v>1</v>
      </c>
      <c r="DN874" s="16">
        <f>RecData[[#This Row],[dBA Sum]]</f>
        <v>16.915714162214584</v>
      </c>
      <c r="DO874" s="16">
        <f>RecData[[#This Row],[LAF90.0]]</f>
        <v>19.100000000000001</v>
      </c>
      <c r="DP874" s="55" t="str">
        <f>IF(AND(RecData[[#This Row],[Useable TON Data?]],RecData[[#This Row],[Turbines ON/OFF]]="ON"),RecData[[#This Row],[dBA Sum]],"")</f>
        <v/>
      </c>
      <c r="DQ874" s="55">
        <f>IF(AND(RecData[[#This Row],[Useable Background Data?]],RecData[[#This Row],[Turbines ON/OFF]]="OFF"),RecData[[#This Row],[dBA Sum]],"")</f>
        <v>16.915714162214584</v>
      </c>
      <c r="DR874" s="3">
        <f>IF(OR(RecData[[#This Row],[Useable TON Data?]],RecData[[#This Row],[Useable Background Data?]]),ROUND(RecData[[#This Row],[WSpd_Avg '[m/s']]],0),"")</f>
        <v>1</v>
      </c>
      <c r="DS874" s="85">
        <f>(0.00002)^2*(10^(RecData[[#This Row],[Overall (dBA)]]/10))</f>
        <v>1.966216822697232E-8</v>
      </c>
    </row>
    <row r="875" spans="1:123" ht="15" x14ac:dyDescent="0.25">
      <c r="A875" s="3" t="s">
        <v>249</v>
      </c>
      <c r="B875" s="12">
        <v>43274.056944444448</v>
      </c>
      <c r="C875" s="3"/>
      <c r="D875" s="3">
        <v>27</v>
      </c>
      <c r="E875" s="3"/>
      <c r="F875" s="3"/>
      <c r="G875" s="3"/>
      <c r="H875" s="3"/>
      <c r="I875" s="3"/>
      <c r="J875" s="3"/>
      <c r="K875" s="3">
        <v>19.3</v>
      </c>
      <c r="L875" s="3"/>
      <c r="M875" s="3"/>
      <c r="N875" s="3">
        <v>131.80000000000001</v>
      </c>
      <c r="O875" s="3"/>
      <c r="P875" s="3"/>
      <c r="Q875" s="3">
        <v>0.39</v>
      </c>
      <c r="R875" s="3">
        <v>0.2</v>
      </c>
      <c r="S875" s="3">
        <v>0.6</v>
      </c>
      <c r="T875" s="3">
        <v>11.3</v>
      </c>
      <c r="U875" s="3">
        <v>84.8</v>
      </c>
      <c r="V875" s="3">
        <v>967.3</v>
      </c>
      <c r="W875" s="3">
        <v>0</v>
      </c>
      <c r="X875" s="3">
        <v>22.5</v>
      </c>
      <c r="Y875" s="3">
        <v>23.5</v>
      </c>
      <c r="Z875" s="3">
        <v>23.1</v>
      </c>
      <c r="AA875" s="3">
        <v>17.7</v>
      </c>
      <c r="AB875" s="3">
        <v>11.4</v>
      </c>
      <c r="AC875" s="3">
        <v>7.9</v>
      </c>
      <c r="AD875" s="3">
        <v>11.4</v>
      </c>
      <c r="AE875" s="3">
        <v>10.5</v>
      </c>
      <c r="AF875" s="3">
        <v>11.8</v>
      </c>
      <c r="AG875" s="3">
        <v>12.5</v>
      </c>
      <c r="AH875" s="3">
        <v>10.6</v>
      </c>
      <c r="AI875" s="3">
        <v>7.7</v>
      </c>
      <c r="AJ875" s="3">
        <v>10.199999999999999</v>
      </c>
      <c r="AK875" s="3">
        <v>10.1</v>
      </c>
      <c r="AL875" s="3">
        <v>7.9</v>
      </c>
      <c r="AM875" s="3">
        <v>8.3000000000000007</v>
      </c>
      <c r="AN875" s="3">
        <v>7.9</v>
      </c>
      <c r="AO875" s="3">
        <v>6.7</v>
      </c>
      <c r="AP875" s="3">
        <v>6.1</v>
      </c>
      <c r="AQ875" s="3">
        <v>6.4</v>
      </c>
      <c r="AR875" s="3">
        <v>6.7</v>
      </c>
      <c r="AS875" s="3">
        <v>13.1</v>
      </c>
      <c r="AT875" s="3">
        <v>24.8</v>
      </c>
      <c r="AU875" s="3">
        <v>9.3000000000000007</v>
      </c>
      <c r="AV875" s="3">
        <v>8.1999999999999993</v>
      </c>
      <c r="AW875" s="3">
        <v>8.6</v>
      </c>
      <c r="AX875" s="3">
        <v>8.8000000000000007</v>
      </c>
      <c r="AY875" s="3">
        <v>9.1</v>
      </c>
      <c r="AZ875" s="3">
        <v>0</v>
      </c>
      <c r="BA875" s="3">
        <v>0</v>
      </c>
      <c r="BB875" s="3">
        <v>0</v>
      </c>
      <c r="BC875" s="3">
        <v>27.016240202853851</v>
      </c>
      <c r="BD875" s="3">
        <v>22.483759797146149</v>
      </c>
      <c r="BE875" s="3">
        <v>23.483759797146149</v>
      </c>
      <c r="BF875" s="3">
        <v>21.843759797146149</v>
      </c>
      <c r="BG875" s="3">
        <v>16.770426463812811</v>
      </c>
      <c r="BH875" s="3">
        <v>10.610426463812814</v>
      </c>
      <c r="BI875" s="3">
        <v>7.5237597971461483</v>
      </c>
      <c r="BJ875" s="3">
        <v>11.817093130479478</v>
      </c>
      <c r="BK875" s="3">
        <v>10.790426463812814</v>
      </c>
      <c r="BL875" s="3">
        <v>11.663759797146149</v>
      </c>
      <c r="BM875" s="3">
        <v>12.497093130479485</v>
      </c>
      <c r="BN875" s="3">
        <v>10.880426463812817</v>
      </c>
      <c r="BO875" s="3">
        <v>7.347093130479486</v>
      </c>
      <c r="BP875" s="3">
        <v>9.5637597971461474</v>
      </c>
      <c r="BQ875" s="3">
        <v>9.8804264638128103</v>
      </c>
      <c r="BR875" s="3">
        <v>8.0070931304794826</v>
      </c>
      <c r="BS875" s="3">
        <v>8.2104264638128157</v>
      </c>
      <c r="BT875" s="3">
        <v>8.0070931304794826</v>
      </c>
      <c r="BU875" s="3">
        <v>6.7737597971461554</v>
      </c>
      <c r="BV875" s="3">
        <v>5.8904264638128154</v>
      </c>
      <c r="BW875" s="3">
        <v>6.7237597971461511</v>
      </c>
      <c r="BX875" s="3">
        <v>6.9437597971461571</v>
      </c>
      <c r="BY875" s="3">
        <v>13.163759797146149</v>
      </c>
      <c r="BZ875" s="3">
        <v>24.993759797146154</v>
      </c>
      <c r="CA875" s="3">
        <v>9.5937597971461415</v>
      </c>
      <c r="CB875" s="3">
        <v>7.9304264638128146</v>
      </c>
      <c r="CC875" s="3">
        <v>8.5437597971461514</v>
      </c>
      <c r="CD875" s="3">
        <v>8.0504264638128191</v>
      </c>
      <c r="CE875" s="3">
        <v>8.5437597971461514</v>
      </c>
      <c r="CF875" s="3">
        <v>-0.94290686952051672</v>
      </c>
      <c r="CG875" s="3">
        <v>-1.4762402028538482</v>
      </c>
      <c r="CH875" s="3">
        <v>-2.5529068695205162</v>
      </c>
      <c r="CI875" s="13">
        <f>[1]!dbasum(RecData[[#This Row],[20]:[2000]],RecData[[#Headers],[20]:[2000]])</f>
        <v>16.288563702562318</v>
      </c>
      <c r="CJ875" s="14">
        <v>9955</v>
      </c>
      <c r="CK875" s="15" t="s">
        <v>249</v>
      </c>
      <c r="CL875" s="15">
        <f>RecData[[#This Row],[Start Time]]</f>
        <v>43274.056944444448</v>
      </c>
      <c r="CM875" s="16">
        <f>RecData[[#This Row],[Wind Speed avg]]</f>
        <v>0.39</v>
      </c>
      <c r="CN875" s="16">
        <f>RecData[[#This Row],[Wind Dir. avg]]</f>
        <v>131.80000000000001</v>
      </c>
      <c r="CO875" s="16">
        <f>RecData[[#This Row],[Amb. Humidity]]</f>
        <v>84.8</v>
      </c>
      <c r="CP875" s="16">
        <f>RecData[[#This Row],[Amb. Temperature]]</f>
        <v>11.3</v>
      </c>
      <c r="CQ875" s="17">
        <f>RecData[[#This Row],[Amb. Rain Gauge]]</f>
        <v>0</v>
      </c>
      <c r="CR875" s="4" t="s">
        <v>50</v>
      </c>
      <c r="CS875" s="4" t="s">
        <v>49</v>
      </c>
      <c r="CT875" s="70">
        <v>-8.7180976867675692</v>
      </c>
      <c r="CU875" s="70">
        <v>61.000514984130803</v>
      </c>
      <c r="CV875" s="70">
        <v>2.5195827484130802</v>
      </c>
      <c r="CW875" s="70">
        <v>0</v>
      </c>
      <c r="CX875" s="109"/>
      <c r="CY875" s="110"/>
      <c r="CZ875" s="2" t="b">
        <f>IF($DP$1="YES",IF(RecData[[#This Row],[Power (kW)]]&gt;=$CR$3, TRUE,FALSE),TRUE)</f>
        <v>0</v>
      </c>
      <c r="DA875" s="16">
        <f>MIN(MOD(180-ABS(ABS($DA$1-RecData[Yaw Angle (°)])-180),360),MOD(180-ABS(ABS($DB$1-RecData[Yaw Angle (°)])-180),360))</f>
        <v>53.470588206443253</v>
      </c>
      <c r="DB875" s="2" t="str">
        <f>IF($DP$2="None","None",IF(RecData[[#This Row],[Relative Wind Direction]]&lt;=45,"DW",IF(RecData[[#This Row],[Relative Wind Direction]]&lt;=135,"CW","UW")))</f>
        <v>CW</v>
      </c>
      <c r="DC875" s="61">
        <v>-1</v>
      </c>
      <c r="DD875" s="61">
        <v>-1</v>
      </c>
      <c r="DE875" s="18" t="b">
        <v>0</v>
      </c>
      <c r="DF875" s="2" t="b">
        <f>IF(OR(RecData[[#This Row],[WSpd_Avg '[m/s']]]-RecData[[#This Row],[Wind Speed min]]&gt;=$DF$3,RecData[[#This Row],[Wind Speed max]]-RecData[[#This Row],[WSpd_Avg '[m/s']]]&gt;=$DF$2),TRUE,FALSE)</f>
        <v>0</v>
      </c>
      <c r="DG875" s="2" t="b">
        <f>RecData[[#This Row],[Temperature '[°C']]]&lt;=-20</f>
        <v>0</v>
      </c>
      <c r="DH875" s="18" t="b">
        <f>NOT(OR(MOD(RecData[[#This Row],[TIMESTAMP]],1)&gt;0.91632,MOD(RecData[[#This Row],[TIMESTAMP]],1)&lt;0.208681))</f>
        <v>0</v>
      </c>
      <c r="DI875" s="18" t="b">
        <f>RecData[[#This Row],[Overall (dBA)]]-RecData[[#This Row],[L90]]&gt;=$DS$4</f>
        <v>0</v>
      </c>
      <c r="DJ875" s="18" t="b">
        <f>RecData[[#This Row],[Overall (dBA)]]&gt;$DS$2</f>
        <v>0</v>
      </c>
      <c r="DK875" s="18" t="b">
        <f>RecData[[#This Row],[Overall (dBA)]]&lt;$DS$3</f>
        <v>0</v>
      </c>
      <c r="DL8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5" s="2">
        <f>IF(AND(RecData[[#This Row],[Turbines ON/OFF]] = "OFF", NOT(OR(RecData[[#This Row],[Junk?]]="YES",RecData[[#This Row],[Gust?]],RecData[[#This Row],[Rain?]:[Min SPL Threshold?]]))),1,0)</f>
        <v>1</v>
      </c>
      <c r="DN875" s="16">
        <f>RecData[[#This Row],[dBA Sum]]</f>
        <v>16.288563702562318</v>
      </c>
      <c r="DO875" s="16">
        <f>RecData[[#This Row],[LAF90.0]]</f>
        <v>19.3</v>
      </c>
      <c r="DP875" s="55" t="str">
        <f>IF(AND(RecData[[#This Row],[Useable TON Data?]],RecData[[#This Row],[Turbines ON/OFF]]="ON"),RecData[[#This Row],[dBA Sum]],"")</f>
        <v/>
      </c>
      <c r="DQ875" s="55">
        <f>IF(AND(RecData[[#This Row],[Useable Background Data?]],RecData[[#This Row],[Turbines ON/OFF]]="OFF"),RecData[[#This Row],[dBA Sum]],"")</f>
        <v>16.288563702562318</v>
      </c>
      <c r="DR875" s="3">
        <f>IF(OR(RecData[[#This Row],[Useable TON Data?]],RecData[[#This Row],[Useable Background Data?]]),ROUND(RecData[[#This Row],[WSpd_Avg '[m/s']]],0),"")</f>
        <v>0</v>
      </c>
      <c r="DS875" s="85">
        <f>(0.00002)^2*(10^(RecData[[#This Row],[Overall (dBA)]]/10))</f>
        <v>1.7018307304949962E-8</v>
      </c>
    </row>
    <row r="876" spans="1:123" ht="15" x14ac:dyDescent="0.25">
      <c r="A876" s="3" t="s">
        <v>249</v>
      </c>
      <c r="B876" s="12">
        <v>43274.057638888895</v>
      </c>
      <c r="C876" s="3"/>
      <c r="D876" s="3">
        <v>30.4</v>
      </c>
      <c r="E876" s="3"/>
      <c r="F876" s="3"/>
      <c r="G876" s="3"/>
      <c r="H876" s="3"/>
      <c r="I876" s="3"/>
      <c r="J876" s="3"/>
      <c r="K876" s="3">
        <v>19.899999999999999</v>
      </c>
      <c r="L876" s="3"/>
      <c r="M876" s="3"/>
      <c r="N876" s="3">
        <v>112.1</v>
      </c>
      <c r="O876" s="3"/>
      <c r="P876" s="3"/>
      <c r="Q876" s="3">
        <v>0.18</v>
      </c>
      <c r="R876" s="3">
        <v>0.1</v>
      </c>
      <c r="S876" s="3">
        <v>0.4</v>
      </c>
      <c r="T876" s="3">
        <v>11.2</v>
      </c>
      <c r="U876" s="3">
        <v>84.8</v>
      </c>
      <c r="V876" s="3">
        <v>967.3</v>
      </c>
      <c r="W876" s="3">
        <v>0</v>
      </c>
      <c r="X876" s="3">
        <v>20.9</v>
      </c>
      <c r="Y876" s="3">
        <v>19.8</v>
      </c>
      <c r="Z876" s="3">
        <v>22.4</v>
      </c>
      <c r="AA876" s="3">
        <v>14</v>
      </c>
      <c r="AB876" s="3">
        <v>11.2</v>
      </c>
      <c r="AC876" s="3">
        <v>6.1</v>
      </c>
      <c r="AD876" s="3">
        <v>10.1</v>
      </c>
      <c r="AE876" s="3">
        <v>9.6</v>
      </c>
      <c r="AF876" s="3">
        <v>10.5</v>
      </c>
      <c r="AG876" s="3">
        <v>14.8</v>
      </c>
      <c r="AH876" s="3">
        <v>11.5</v>
      </c>
      <c r="AI876" s="3">
        <v>9</v>
      </c>
      <c r="AJ876" s="3">
        <v>11.3</v>
      </c>
      <c r="AK876" s="3">
        <v>11.1</v>
      </c>
      <c r="AL876" s="3">
        <v>8.5</v>
      </c>
      <c r="AM876" s="3">
        <v>8.5</v>
      </c>
      <c r="AN876" s="3">
        <v>8.9</v>
      </c>
      <c r="AO876" s="3">
        <v>6.7</v>
      </c>
      <c r="AP876" s="3">
        <v>6</v>
      </c>
      <c r="AQ876" s="3">
        <v>6.9</v>
      </c>
      <c r="AR876" s="3">
        <v>7.2</v>
      </c>
      <c r="AS876" s="3">
        <v>11.8</v>
      </c>
      <c r="AT876" s="3">
        <v>28.8</v>
      </c>
      <c r="AU876" s="3">
        <v>11.1</v>
      </c>
      <c r="AV876" s="3">
        <v>8.3000000000000007</v>
      </c>
      <c r="AW876" s="3">
        <v>8.6999999999999993</v>
      </c>
      <c r="AX876" s="3">
        <v>8.9</v>
      </c>
      <c r="AY876" s="3">
        <v>9.1</v>
      </c>
      <c r="AZ876" s="3">
        <v>0</v>
      </c>
      <c r="BA876" s="3">
        <v>0</v>
      </c>
      <c r="BB876" s="3">
        <v>0</v>
      </c>
      <c r="BC876" s="3">
        <v>30.450147753844558</v>
      </c>
      <c r="BD876" s="3">
        <v>20.849852246155439</v>
      </c>
      <c r="BE876" s="3">
        <v>19.749852246155445</v>
      </c>
      <c r="BF876" s="3">
        <v>21.109852246155445</v>
      </c>
      <c r="BG876" s="3">
        <v>13.036518912822107</v>
      </c>
      <c r="BH876" s="3">
        <v>10.37651891282211</v>
      </c>
      <c r="BI876" s="3">
        <v>5.6898522461554428</v>
      </c>
      <c r="BJ876" s="3">
        <v>10.483185579488772</v>
      </c>
      <c r="BK876" s="3">
        <v>9.8565189128221</v>
      </c>
      <c r="BL876" s="3">
        <v>10.329852246155443</v>
      </c>
      <c r="BM876" s="3">
        <v>14.763185579488781</v>
      </c>
      <c r="BN876" s="3">
        <v>11.746518912822108</v>
      </c>
      <c r="BO876" s="3">
        <v>8.6131855794887748</v>
      </c>
      <c r="BP876" s="3">
        <v>10.629852246155441</v>
      </c>
      <c r="BQ876" s="3">
        <v>10.846518912822095</v>
      </c>
      <c r="BR876" s="3">
        <v>8.5731855794887757</v>
      </c>
      <c r="BS876" s="3">
        <v>8.3765189128221103</v>
      </c>
      <c r="BT876" s="3">
        <v>8.9731855794887743</v>
      </c>
      <c r="BU876" s="3">
        <v>6.7398522461554471</v>
      </c>
      <c r="BV876" s="3">
        <v>5.7565189128221057</v>
      </c>
      <c r="BW876" s="3">
        <v>7.1898522461554428</v>
      </c>
      <c r="BX876" s="3">
        <v>7.4098522461554488</v>
      </c>
      <c r="BY876" s="3">
        <v>11.829852246155443</v>
      </c>
      <c r="BZ876" s="3">
        <v>28.959852246155446</v>
      </c>
      <c r="CA876" s="3">
        <v>11.35985224615543</v>
      </c>
      <c r="CB876" s="3">
        <v>7.9965189128221077</v>
      </c>
      <c r="CC876" s="3">
        <v>8.6098522461554374</v>
      </c>
      <c r="CD876" s="3">
        <v>8.1165189128221122</v>
      </c>
      <c r="CE876" s="3">
        <v>8.509852246155436</v>
      </c>
      <c r="CF876" s="3">
        <v>-0.97681442051122502</v>
      </c>
      <c r="CG876" s="3">
        <v>-1.5101477538445565</v>
      </c>
      <c r="CH876" s="3">
        <v>-2.5868144205112245</v>
      </c>
      <c r="CI876" s="13">
        <f>[1]!dbasum(RecData[[#This Row],[20]:[2000]],RecData[[#Headers],[20]:[2000]])</f>
        <v>16.803882337747471</v>
      </c>
      <c r="CJ876" s="14">
        <v>9956</v>
      </c>
      <c r="CK876" s="15" t="s">
        <v>249</v>
      </c>
      <c r="CL876" s="15">
        <f>RecData[[#This Row],[Start Time]]</f>
        <v>43274.057638888895</v>
      </c>
      <c r="CM876" s="16">
        <f>RecData[[#This Row],[Wind Speed avg]]</f>
        <v>0.18</v>
      </c>
      <c r="CN876" s="16">
        <f>RecData[[#This Row],[Wind Dir. avg]]</f>
        <v>112.1</v>
      </c>
      <c r="CO876" s="16">
        <f>RecData[[#This Row],[Amb. Humidity]]</f>
        <v>84.8</v>
      </c>
      <c r="CP876" s="16">
        <f>RecData[[#This Row],[Amb. Temperature]]</f>
        <v>11.2</v>
      </c>
      <c r="CQ876" s="17">
        <f>RecData[[#This Row],[Amb. Rain Gauge]]</f>
        <v>0</v>
      </c>
      <c r="CR876" s="4" t="s">
        <v>50</v>
      </c>
      <c r="CS876" s="4" t="s">
        <v>49</v>
      </c>
      <c r="CT876" s="70">
        <v>-8.7180976867675692</v>
      </c>
      <c r="CU876" s="70">
        <v>61.000514984130803</v>
      </c>
      <c r="CV876" s="70">
        <v>2.5195827484130802</v>
      </c>
      <c r="CW876" s="70">
        <v>0</v>
      </c>
      <c r="CX876" s="109"/>
      <c r="CY876" s="110"/>
      <c r="CZ876" s="2" t="b">
        <f>IF($DP$1="YES",IF(RecData[[#This Row],[Power (kW)]]&gt;=$CR$3, TRUE,FALSE),TRUE)</f>
        <v>0</v>
      </c>
      <c r="DA876" s="16">
        <f>MIN(MOD(180-ABS(ABS($DA$1-RecData[Yaw Angle (°)])-180),360),MOD(180-ABS(ABS($DB$1-RecData[Yaw Angle (°)])-180),360))</f>
        <v>53.470588206443253</v>
      </c>
      <c r="DB876" s="2" t="str">
        <f>IF($DP$2="None","None",IF(RecData[[#This Row],[Relative Wind Direction]]&lt;=45,"DW",IF(RecData[[#This Row],[Relative Wind Direction]]&lt;=135,"CW","UW")))</f>
        <v>CW</v>
      </c>
      <c r="DC876" s="61">
        <f>IF($CL876-$CL875&gt;1/24,#REF!,IF(SUM($CQ875:$CQ876)&gt;$DS$1,$DS$5,DC877-1))</f>
        <v>-9</v>
      </c>
      <c r="DD876" s="61">
        <f>IF($CL877-$CL876&gt;1/24,#REF!,IF(SUM($CQ875:$CQ876)&gt;$DS$1,$DS$6,DD875-1))</f>
        <v>-2</v>
      </c>
      <c r="DE876" s="18" t="b">
        <v>0</v>
      </c>
      <c r="DF876" s="2" t="b">
        <f>IF(OR(RecData[[#This Row],[WSpd_Avg '[m/s']]]-RecData[[#This Row],[Wind Speed min]]&gt;=$DF$3,RecData[[#This Row],[Wind Speed max]]-RecData[[#This Row],[WSpd_Avg '[m/s']]]&gt;=$DF$2),TRUE,FALSE)</f>
        <v>0</v>
      </c>
      <c r="DG876" s="2" t="b">
        <f>RecData[[#This Row],[Temperature '[°C']]]&lt;=-20</f>
        <v>0</v>
      </c>
      <c r="DH876" s="18" t="b">
        <f>NOT(OR(MOD(RecData[[#This Row],[TIMESTAMP]],1)&gt;0.91632,MOD(RecData[[#This Row],[TIMESTAMP]],1)&lt;0.208681))</f>
        <v>0</v>
      </c>
      <c r="DI876" s="18" t="b">
        <f>RecData[[#This Row],[Overall (dBA)]]-RecData[[#This Row],[L90]]&gt;=$DS$4</f>
        <v>0</v>
      </c>
      <c r="DJ876" s="18" t="b">
        <f>RecData[[#This Row],[Overall (dBA)]]&gt;$DS$2</f>
        <v>0</v>
      </c>
      <c r="DK876" s="18" t="b">
        <f>RecData[[#This Row],[Overall (dBA)]]&lt;$DS$3</f>
        <v>0</v>
      </c>
      <c r="DL8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6" s="2">
        <f>IF(AND(RecData[[#This Row],[Turbines ON/OFF]] = "OFF", NOT(OR(RecData[[#This Row],[Junk?]]="YES",RecData[[#This Row],[Gust?]],RecData[[#This Row],[Rain?]:[Min SPL Threshold?]]))),1,0)</f>
        <v>1</v>
      </c>
      <c r="DN876" s="16">
        <f>RecData[[#This Row],[dBA Sum]]</f>
        <v>16.803882337747471</v>
      </c>
      <c r="DO876" s="16">
        <f>RecData[[#This Row],[LAF90.0]]</f>
        <v>19.899999999999999</v>
      </c>
      <c r="DP876" s="55" t="str">
        <f>IF(AND(RecData[[#This Row],[Useable TON Data?]],RecData[[#This Row],[Turbines ON/OFF]]="ON"),RecData[[#This Row],[dBA Sum]],"")</f>
        <v/>
      </c>
      <c r="DQ876" s="55">
        <f>IF(AND(RecData[[#This Row],[Useable Background Data?]],RecData[[#This Row],[Turbines ON/OFF]]="OFF"),RecData[[#This Row],[dBA Sum]],"")</f>
        <v>16.803882337747471</v>
      </c>
      <c r="DR876" s="3">
        <f>IF(OR(RecData[[#This Row],[Useable TON Data?]],RecData[[#This Row],[Useable Background Data?]]),ROUND(RecData[[#This Row],[WSpd_Avg '[m/s']]],0),"")</f>
        <v>0</v>
      </c>
      <c r="DS876" s="85">
        <f>(0.00002)^2*(10^(RecData[[#This Row],[Overall (dBA)]]/10))</f>
        <v>1.9162326033271515E-8</v>
      </c>
    </row>
    <row r="877" spans="1:123" ht="15" x14ac:dyDescent="0.25">
      <c r="A877" s="3" t="s">
        <v>249</v>
      </c>
      <c r="B877" s="12">
        <v>43274.058333333342</v>
      </c>
      <c r="C877" s="3"/>
      <c r="D877" s="3">
        <v>30.6</v>
      </c>
      <c r="E877" s="3"/>
      <c r="F877" s="3"/>
      <c r="G877" s="3"/>
      <c r="H877" s="3"/>
      <c r="I877" s="3"/>
      <c r="J877" s="3"/>
      <c r="K877" s="3">
        <v>19.7</v>
      </c>
      <c r="L877" s="3"/>
      <c r="M877" s="3"/>
      <c r="N877" s="3">
        <v>88.2</v>
      </c>
      <c r="O877" s="3"/>
      <c r="P877" s="3"/>
      <c r="Q877" s="3">
        <v>0.17</v>
      </c>
      <c r="R877" s="3">
        <v>0.1</v>
      </c>
      <c r="S877" s="3">
        <v>0.2</v>
      </c>
      <c r="T877" s="3">
        <v>11.2</v>
      </c>
      <c r="U877" s="3">
        <v>84.8</v>
      </c>
      <c r="V877" s="3">
        <v>967.3</v>
      </c>
      <c r="W877" s="3">
        <v>0</v>
      </c>
      <c r="X877" s="3">
        <v>24.9</v>
      </c>
      <c r="Y877" s="3">
        <v>27.2</v>
      </c>
      <c r="Z877" s="3">
        <v>28.3</v>
      </c>
      <c r="AA877" s="3">
        <v>19.5</v>
      </c>
      <c r="AB877" s="3">
        <v>13</v>
      </c>
      <c r="AC877" s="3">
        <v>6</v>
      </c>
      <c r="AD877" s="3">
        <v>10.7</v>
      </c>
      <c r="AE877" s="3">
        <v>9.8000000000000007</v>
      </c>
      <c r="AF877" s="3">
        <v>10.9</v>
      </c>
      <c r="AG877" s="3">
        <v>11.3</v>
      </c>
      <c r="AH877" s="3">
        <v>9.6</v>
      </c>
      <c r="AI877" s="3">
        <v>8.5</v>
      </c>
      <c r="AJ877" s="3">
        <v>11.1</v>
      </c>
      <c r="AK877" s="3">
        <v>10.6</v>
      </c>
      <c r="AL877" s="3">
        <v>8.8000000000000007</v>
      </c>
      <c r="AM877" s="3">
        <v>8.6999999999999993</v>
      </c>
      <c r="AN877" s="3">
        <v>7.5</v>
      </c>
      <c r="AO877" s="3">
        <v>6.7</v>
      </c>
      <c r="AP877" s="3">
        <v>6.5</v>
      </c>
      <c r="AQ877" s="3">
        <v>6.6</v>
      </c>
      <c r="AR877" s="3">
        <v>7.1</v>
      </c>
      <c r="AS877" s="3">
        <v>9.6999999999999993</v>
      </c>
      <c r="AT877" s="3">
        <v>29.1</v>
      </c>
      <c r="AU877" s="3">
        <v>10.9</v>
      </c>
      <c r="AV877" s="3">
        <v>8.3000000000000007</v>
      </c>
      <c r="AW877" s="3">
        <v>8.6999999999999993</v>
      </c>
      <c r="AX877" s="3">
        <v>8.8000000000000007</v>
      </c>
      <c r="AY877" s="3">
        <v>9.1</v>
      </c>
      <c r="AZ877" s="3">
        <v>0</v>
      </c>
      <c r="BA877" s="3">
        <v>0</v>
      </c>
      <c r="BB877" s="3">
        <v>0</v>
      </c>
      <c r="BC877" s="3">
        <v>30.677954787479258</v>
      </c>
      <c r="BD877" s="3">
        <v>24.822045212520742</v>
      </c>
      <c r="BE877" s="3">
        <v>27.122045212520739</v>
      </c>
      <c r="BF877" s="3">
        <v>26.982045212520745</v>
      </c>
      <c r="BG877" s="3">
        <v>18.508711879187409</v>
      </c>
      <c r="BH877" s="3">
        <v>12.14871187918741</v>
      </c>
      <c r="BI877" s="3">
        <v>5.5620452125207436</v>
      </c>
      <c r="BJ877" s="3">
        <v>11.055378545854076</v>
      </c>
      <c r="BK877" s="3">
        <v>10.028711879187405</v>
      </c>
      <c r="BL877" s="3">
        <v>10.702045212520744</v>
      </c>
      <c r="BM877" s="3">
        <v>11.235378545854083</v>
      </c>
      <c r="BN877" s="3">
        <v>9.8187118791874113</v>
      </c>
      <c r="BO877" s="3">
        <v>8.085378545854077</v>
      </c>
      <c r="BP877" s="3">
        <v>10.40204521252074</v>
      </c>
      <c r="BQ877" s="3">
        <v>10.318711879187397</v>
      </c>
      <c r="BR877" s="3">
        <v>8.8453785458540821</v>
      </c>
      <c r="BS877" s="3">
        <v>8.5487118791874082</v>
      </c>
      <c r="BT877" s="3">
        <v>7.5453785458540779</v>
      </c>
      <c r="BU877" s="3">
        <v>6.7120452125207493</v>
      </c>
      <c r="BV877" s="3">
        <v>6.2287118791874079</v>
      </c>
      <c r="BW877" s="3">
        <v>6.8620452125207478</v>
      </c>
      <c r="BX877" s="3">
        <v>7.2820452125207495</v>
      </c>
      <c r="BY877" s="3">
        <v>9.702045212520737</v>
      </c>
      <c r="BZ877" s="3">
        <v>29.232045212520752</v>
      </c>
      <c r="CA877" s="3">
        <v>11.132045212520737</v>
      </c>
      <c r="CB877" s="3">
        <v>7.9687118791874099</v>
      </c>
      <c r="CC877" s="3">
        <v>8.5820452125207396</v>
      </c>
      <c r="CD877" s="3">
        <v>7.988711879187413</v>
      </c>
      <c r="CE877" s="3">
        <v>8.4820452125207382</v>
      </c>
      <c r="CF877" s="3">
        <v>-1.0046214541459229</v>
      </c>
      <c r="CG877" s="3">
        <v>-1.5379547874792543</v>
      </c>
      <c r="CH877" s="3">
        <v>-2.6146214541459223</v>
      </c>
      <c r="CI877" s="13">
        <f>[1]!dbasum(RecData[[#This Row],[20]:[2000]],RecData[[#Headers],[20]:[2000]])</f>
        <v>16.476179115423516</v>
      </c>
      <c r="CJ877" s="14">
        <v>9957</v>
      </c>
      <c r="CK877" s="15" t="s">
        <v>249</v>
      </c>
      <c r="CL877" s="15">
        <f>RecData[[#This Row],[Start Time]]</f>
        <v>43274.058333333342</v>
      </c>
      <c r="CM877" s="16">
        <f>RecData[[#This Row],[Wind Speed avg]]</f>
        <v>0.17</v>
      </c>
      <c r="CN877" s="16">
        <f>RecData[[#This Row],[Wind Dir. avg]]</f>
        <v>88.2</v>
      </c>
      <c r="CO877" s="16">
        <f>RecData[[#This Row],[Amb. Humidity]]</f>
        <v>84.8</v>
      </c>
      <c r="CP877" s="16">
        <f>RecData[[#This Row],[Amb. Temperature]]</f>
        <v>11.2</v>
      </c>
      <c r="CQ877" s="17">
        <f>RecData[[#This Row],[Amb. Rain Gauge]]</f>
        <v>0</v>
      </c>
      <c r="CR877" s="4" t="s">
        <v>50</v>
      </c>
      <c r="CS877" s="4" t="s">
        <v>49</v>
      </c>
      <c r="CT877" s="70">
        <v>-8.7180976867675692</v>
      </c>
      <c r="CU877" s="70">
        <v>61.000514984130803</v>
      </c>
      <c r="CV877" s="70">
        <v>2.5195827484130802</v>
      </c>
      <c r="CW877" s="70">
        <v>0</v>
      </c>
      <c r="CX877" s="109"/>
      <c r="CY877" s="110"/>
      <c r="CZ877" s="2" t="b">
        <f>IF($DP$1="YES",IF(RecData[[#This Row],[Power (kW)]]&gt;=$CR$3, TRUE,FALSE),TRUE)</f>
        <v>0</v>
      </c>
      <c r="DA877" s="16">
        <f>MIN(MOD(180-ABS(ABS($DA$1-RecData[Yaw Angle (°)])-180),360),MOD(180-ABS(ABS($DB$1-RecData[Yaw Angle (°)])-180),360))</f>
        <v>53.470588206443253</v>
      </c>
      <c r="DB877" s="2" t="str">
        <f>IF($DP$2="None","None",IF(RecData[[#This Row],[Relative Wind Direction]]&lt;=45,"DW",IF(RecData[[#This Row],[Relative Wind Direction]]&lt;=135,"CW","UW")))</f>
        <v>CW</v>
      </c>
      <c r="DC877" s="61">
        <f>IF($CL877-$CL875&gt;1/24,#REF!,IF(SUM($CQ875:$CQ877)&gt;$DS$1,$DS$5,DC878-1))</f>
        <v>-8</v>
      </c>
      <c r="DD877" s="61">
        <f>IF($CL878-$CL877&gt;1/24,#REF!,IF(SUM($CQ875:$CQ877)&gt;$DS$1,$DS$6,DD876-1))</f>
        <v>-3</v>
      </c>
      <c r="DE877" s="18" t="b">
        <v>0</v>
      </c>
      <c r="DF877" s="2" t="b">
        <f>IF(OR(RecData[[#This Row],[WSpd_Avg '[m/s']]]-RecData[[#This Row],[Wind Speed min]]&gt;=$DF$3,RecData[[#This Row],[Wind Speed max]]-RecData[[#This Row],[WSpd_Avg '[m/s']]]&gt;=$DF$2),TRUE,FALSE)</f>
        <v>0</v>
      </c>
      <c r="DG877" s="2" t="b">
        <f>RecData[[#This Row],[Temperature '[°C']]]&lt;=-20</f>
        <v>0</v>
      </c>
      <c r="DH877" s="18" t="b">
        <f>NOT(OR(MOD(RecData[[#This Row],[TIMESTAMP]],1)&gt;0.91632,MOD(RecData[[#This Row],[TIMESTAMP]],1)&lt;0.208681))</f>
        <v>0</v>
      </c>
      <c r="DI877" s="18" t="b">
        <f>RecData[[#This Row],[Overall (dBA)]]-RecData[[#This Row],[L90]]&gt;=$DS$4</f>
        <v>0</v>
      </c>
      <c r="DJ877" s="18" t="b">
        <f>RecData[[#This Row],[Overall (dBA)]]&gt;$DS$2</f>
        <v>0</v>
      </c>
      <c r="DK877" s="18" t="b">
        <f>RecData[[#This Row],[Overall (dBA)]]&lt;$DS$3</f>
        <v>0</v>
      </c>
      <c r="DL8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7" s="2">
        <f>IF(AND(RecData[[#This Row],[Turbines ON/OFF]] = "OFF", NOT(OR(RecData[[#This Row],[Junk?]]="YES",RecData[[#This Row],[Gust?]],RecData[[#This Row],[Rain?]:[Min SPL Threshold?]]))),1,0)</f>
        <v>1</v>
      </c>
      <c r="DN877" s="16">
        <f>RecData[[#This Row],[dBA Sum]]</f>
        <v>16.476179115423516</v>
      </c>
      <c r="DO877" s="16">
        <f>RecData[[#This Row],[LAF90.0]]</f>
        <v>19.7</v>
      </c>
      <c r="DP877" s="55" t="str">
        <f>IF(AND(RecData[[#This Row],[Useable TON Data?]],RecData[[#This Row],[Turbines ON/OFF]]="ON"),RecData[[#This Row],[dBA Sum]],"")</f>
        <v/>
      </c>
      <c r="DQ877" s="55">
        <f>IF(AND(RecData[[#This Row],[Useable Background Data?]],RecData[[#This Row],[Turbines ON/OFF]]="OFF"),RecData[[#This Row],[dBA Sum]],"")</f>
        <v>16.476179115423516</v>
      </c>
      <c r="DR877" s="3">
        <f>IF(OR(RecData[[#This Row],[Useable TON Data?]],RecData[[#This Row],[Useable Background Data?]]),ROUND(RecData[[#This Row],[WSpd_Avg '[m/s']]],0),"")</f>
        <v>0</v>
      </c>
      <c r="DS877" s="85">
        <f>(0.00002)^2*(10^(RecData[[#This Row],[Overall (dBA)]]/10))</f>
        <v>1.7769610273107981E-8</v>
      </c>
    </row>
    <row r="878" spans="1:123" ht="15" x14ac:dyDescent="0.25">
      <c r="A878" s="3" t="s">
        <v>249</v>
      </c>
      <c r="B878" s="12">
        <v>43274.059027777781</v>
      </c>
      <c r="C878" s="3"/>
      <c r="D878" s="3">
        <v>28.4</v>
      </c>
      <c r="E878" s="3"/>
      <c r="F878" s="3"/>
      <c r="G878" s="3"/>
      <c r="H878" s="3"/>
      <c r="I878" s="3"/>
      <c r="J878" s="3"/>
      <c r="K878" s="3">
        <v>19.399999999999999</v>
      </c>
      <c r="L878" s="3"/>
      <c r="M878" s="3"/>
      <c r="N878" s="3">
        <v>121.9</v>
      </c>
      <c r="O878" s="3"/>
      <c r="P878" s="3"/>
      <c r="Q878" s="3">
        <v>0.22</v>
      </c>
      <c r="R878" s="3">
        <v>0.1</v>
      </c>
      <c r="S878" s="3">
        <v>0.5</v>
      </c>
      <c r="T878" s="3">
        <v>11.2</v>
      </c>
      <c r="U878" s="3">
        <v>84.7</v>
      </c>
      <c r="V878" s="3">
        <v>967.2</v>
      </c>
      <c r="W878" s="3">
        <v>0</v>
      </c>
      <c r="X878" s="3">
        <v>21.2</v>
      </c>
      <c r="Y878" s="3">
        <v>22.3</v>
      </c>
      <c r="Z878" s="3">
        <v>21.2</v>
      </c>
      <c r="AA878" s="3">
        <v>16.2</v>
      </c>
      <c r="AB878" s="3">
        <v>11.4</v>
      </c>
      <c r="AC878" s="3">
        <v>6.3</v>
      </c>
      <c r="AD878" s="3">
        <v>10.4</v>
      </c>
      <c r="AE878" s="3">
        <v>9.6999999999999993</v>
      </c>
      <c r="AF878" s="3">
        <v>11.5</v>
      </c>
      <c r="AG878" s="3">
        <v>10.4</v>
      </c>
      <c r="AH878" s="3">
        <v>9.1999999999999993</v>
      </c>
      <c r="AI878" s="3">
        <v>8.1999999999999993</v>
      </c>
      <c r="AJ878" s="3">
        <v>10.6</v>
      </c>
      <c r="AK878" s="3">
        <v>11</v>
      </c>
      <c r="AL878" s="3">
        <v>8.1999999999999993</v>
      </c>
      <c r="AM878" s="3">
        <v>7.8</v>
      </c>
      <c r="AN878" s="3">
        <v>7.6</v>
      </c>
      <c r="AO878" s="3">
        <v>7</v>
      </c>
      <c r="AP878" s="3">
        <v>6.1</v>
      </c>
      <c r="AQ878" s="3">
        <v>6.5</v>
      </c>
      <c r="AR878" s="3">
        <v>6.9</v>
      </c>
      <c r="AS878" s="3">
        <v>8.5</v>
      </c>
      <c r="AT878" s="3">
        <v>26.6</v>
      </c>
      <c r="AU878" s="3">
        <v>10.7</v>
      </c>
      <c r="AV878" s="3">
        <v>8.1999999999999993</v>
      </c>
      <c r="AW878" s="3">
        <v>8.6999999999999993</v>
      </c>
      <c r="AX878" s="3">
        <v>8.9</v>
      </c>
      <c r="AY878" s="3">
        <v>9.1</v>
      </c>
      <c r="AZ878" s="3">
        <v>0</v>
      </c>
      <c r="BA878" s="3">
        <v>0</v>
      </c>
      <c r="BB878" s="3">
        <v>0</v>
      </c>
      <c r="BC878" s="3">
        <v>28.416500373919696</v>
      </c>
      <c r="BD878" s="3">
        <v>21.183499626080298</v>
      </c>
      <c r="BE878" s="3">
        <v>22.283499626080307</v>
      </c>
      <c r="BF878" s="3">
        <v>19.943499626080303</v>
      </c>
      <c r="BG878" s="3">
        <v>15.270166292746964</v>
      </c>
      <c r="BH878" s="3">
        <v>10.610166292746975</v>
      </c>
      <c r="BI878" s="3">
        <v>5.9234996260803001</v>
      </c>
      <c r="BJ878" s="3">
        <v>10.816832959413638</v>
      </c>
      <c r="BK878" s="3">
        <v>9.990166292746963</v>
      </c>
      <c r="BL878" s="3">
        <v>11.363499626080305</v>
      </c>
      <c r="BM878" s="3">
        <v>10.396832959413636</v>
      </c>
      <c r="BN878" s="3">
        <v>9.480166292746965</v>
      </c>
      <c r="BO878" s="3">
        <v>7.8468329594136392</v>
      </c>
      <c r="BP878" s="3">
        <v>9.9634996260802993</v>
      </c>
      <c r="BQ878" s="3">
        <v>10.780166292746962</v>
      </c>
      <c r="BR878" s="3">
        <v>8.306832959413633</v>
      </c>
      <c r="BS878" s="3">
        <v>7.710166292746969</v>
      </c>
      <c r="BT878" s="3">
        <v>7.7068329594136387</v>
      </c>
      <c r="BU878" s="3">
        <v>7.0734996260803058</v>
      </c>
      <c r="BV878" s="3">
        <v>5.8901662927469687</v>
      </c>
      <c r="BW878" s="3">
        <v>6.8234996260803058</v>
      </c>
      <c r="BX878" s="3">
        <v>7.1434996260803061</v>
      </c>
      <c r="BY878" s="3">
        <v>8.5634996260803007</v>
      </c>
      <c r="BZ878" s="3">
        <v>26.793499626080312</v>
      </c>
      <c r="CA878" s="3">
        <v>10.993499626080293</v>
      </c>
      <c r="CB878" s="3">
        <v>7.9301662927469678</v>
      </c>
      <c r="CC878" s="3">
        <v>8.643499626080299</v>
      </c>
      <c r="CD878" s="3">
        <v>8.1501662927469738</v>
      </c>
      <c r="CE878" s="3">
        <v>8.5434996260802976</v>
      </c>
      <c r="CF878" s="3">
        <v>-0.94316704058636347</v>
      </c>
      <c r="CG878" s="3">
        <v>-1.4765003739196949</v>
      </c>
      <c r="CH878" s="3">
        <v>-2.5531670405863629</v>
      </c>
      <c r="CI878" s="13">
        <f>[1]!dbasum(RecData[[#This Row],[20]:[2000]],RecData[[#Headers],[20]:[2000]])</f>
        <v>16.341540528115193</v>
      </c>
      <c r="CJ878" s="14">
        <v>9958</v>
      </c>
      <c r="CK878" s="15" t="s">
        <v>249</v>
      </c>
      <c r="CL878" s="15">
        <f>RecData[[#This Row],[Start Time]]</f>
        <v>43274.059027777781</v>
      </c>
      <c r="CM878" s="16">
        <f>RecData[[#This Row],[Wind Speed avg]]</f>
        <v>0.22</v>
      </c>
      <c r="CN878" s="16">
        <f>RecData[[#This Row],[Wind Dir. avg]]</f>
        <v>121.9</v>
      </c>
      <c r="CO878" s="16">
        <f>RecData[[#This Row],[Amb. Humidity]]</f>
        <v>84.7</v>
      </c>
      <c r="CP878" s="16">
        <f>RecData[[#This Row],[Amb. Temperature]]</f>
        <v>11.2</v>
      </c>
      <c r="CQ878" s="17">
        <f>RecData[[#This Row],[Amb. Rain Gauge]]</f>
        <v>0</v>
      </c>
      <c r="CR878" s="4" t="s">
        <v>50</v>
      </c>
      <c r="CS878" s="4" t="s">
        <v>49</v>
      </c>
      <c r="CT878" s="70">
        <v>-8.7180976867675692</v>
      </c>
      <c r="CU878" s="70">
        <v>61.000514984130803</v>
      </c>
      <c r="CV878" s="70">
        <v>2.5195827484130802</v>
      </c>
      <c r="CW878" s="70">
        <v>0</v>
      </c>
      <c r="CX878" s="109"/>
      <c r="CY878" s="110"/>
      <c r="CZ878" s="2" t="b">
        <f>IF($DP$1="YES",IF(RecData[[#This Row],[Power (kW)]]&gt;=$CR$3, TRUE,FALSE),TRUE)</f>
        <v>0</v>
      </c>
      <c r="DA878" s="16">
        <f>MIN(MOD(180-ABS(ABS($DA$1-RecData[Yaw Angle (°)])-180),360),MOD(180-ABS(ABS($DB$1-RecData[Yaw Angle (°)])-180),360))</f>
        <v>53.470588206443253</v>
      </c>
      <c r="DB878" s="2" t="str">
        <f>IF($DP$2="None","None",IF(RecData[[#This Row],[Relative Wind Direction]]&lt;=45,"DW",IF(RecData[[#This Row],[Relative Wind Direction]]&lt;=135,"CW","UW")))</f>
        <v>CW</v>
      </c>
      <c r="DC878" s="61">
        <f>IF($CL878-$CL875&gt;1/24,#REF!,IF(SUM($CQ875:$CQ878)&gt;$DS$1,$DS$5,DC879-1))</f>
        <v>-7</v>
      </c>
      <c r="DD878" s="61">
        <f>IF($CL879-$CL878&gt;1/24,#REF!,IF(SUM($CQ875:$CQ878)&gt;$DS$1,$DS$6,DD877-1))</f>
        <v>-4</v>
      </c>
      <c r="DE878" s="18" t="b">
        <v>0</v>
      </c>
      <c r="DF878" s="2" t="b">
        <f>IF(OR(RecData[[#This Row],[WSpd_Avg '[m/s']]]-RecData[[#This Row],[Wind Speed min]]&gt;=$DF$3,RecData[[#This Row],[Wind Speed max]]-RecData[[#This Row],[WSpd_Avg '[m/s']]]&gt;=$DF$2),TRUE,FALSE)</f>
        <v>0</v>
      </c>
      <c r="DG878" s="2" t="b">
        <f>RecData[[#This Row],[Temperature '[°C']]]&lt;=-20</f>
        <v>0</v>
      </c>
      <c r="DH878" s="18" t="b">
        <f>NOT(OR(MOD(RecData[[#This Row],[TIMESTAMP]],1)&gt;0.91632,MOD(RecData[[#This Row],[TIMESTAMP]],1)&lt;0.208681))</f>
        <v>0</v>
      </c>
      <c r="DI878" s="18" t="b">
        <f>RecData[[#This Row],[Overall (dBA)]]-RecData[[#This Row],[L90]]&gt;=$DS$4</f>
        <v>0</v>
      </c>
      <c r="DJ878" s="18" t="b">
        <f>RecData[[#This Row],[Overall (dBA)]]&gt;$DS$2</f>
        <v>0</v>
      </c>
      <c r="DK878" s="18" t="b">
        <f>RecData[[#This Row],[Overall (dBA)]]&lt;$DS$3</f>
        <v>0</v>
      </c>
      <c r="DL8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8" s="2">
        <f>IF(AND(RecData[[#This Row],[Turbines ON/OFF]] = "OFF", NOT(OR(RecData[[#This Row],[Junk?]]="YES",RecData[[#This Row],[Gust?]],RecData[[#This Row],[Rain?]:[Min SPL Threshold?]]))),1,0)</f>
        <v>1</v>
      </c>
      <c r="DN878" s="16">
        <f>RecData[[#This Row],[dBA Sum]]</f>
        <v>16.341540528115193</v>
      </c>
      <c r="DO878" s="16">
        <f>RecData[[#This Row],[LAF90.0]]</f>
        <v>19.399999999999999</v>
      </c>
      <c r="DP878" s="55" t="str">
        <f>IF(AND(RecData[[#This Row],[Useable TON Data?]],RecData[[#This Row],[Turbines ON/OFF]]="ON"),RecData[[#This Row],[dBA Sum]],"")</f>
        <v/>
      </c>
      <c r="DQ878" s="55">
        <f>IF(AND(RecData[[#This Row],[Useable Background Data?]],RecData[[#This Row],[Turbines ON/OFF]]="OFF"),RecData[[#This Row],[dBA Sum]],"")</f>
        <v>16.341540528115193</v>
      </c>
      <c r="DR878" s="3">
        <f>IF(OR(RecData[[#This Row],[Useable TON Data?]],RecData[[#This Row],[Useable Background Data?]]),ROUND(RecData[[#This Row],[WSpd_Avg '[m/s']]],0),"")</f>
        <v>0</v>
      </c>
      <c r="DS878" s="85">
        <f>(0.00002)^2*(10^(RecData[[#This Row],[Overall (dBA)]]/10))</f>
        <v>1.7227174154156981E-8</v>
      </c>
    </row>
    <row r="879" spans="1:123" ht="15" x14ac:dyDescent="0.25">
      <c r="A879" s="3" t="s">
        <v>249</v>
      </c>
      <c r="B879" s="12">
        <v>43274.059722222228</v>
      </c>
      <c r="C879" s="3"/>
      <c r="D879" s="3">
        <v>28.8</v>
      </c>
      <c r="E879" s="3"/>
      <c r="F879" s="3"/>
      <c r="G879" s="3"/>
      <c r="H879" s="3"/>
      <c r="I879" s="3"/>
      <c r="J879" s="3"/>
      <c r="K879" s="3">
        <v>19.600000000000001</v>
      </c>
      <c r="L879" s="3"/>
      <c r="M879" s="3"/>
      <c r="N879" s="3">
        <v>118.2</v>
      </c>
      <c r="O879" s="3"/>
      <c r="P879" s="3"/>
      <c r="Q879" s="3">
        <v>0.47</v>
      </c>
      <c r="R879" s="3">
        <v>0.3</v>
      </c>
      <c r="S879" s="3">
        <v>0.7</v>
      </c>
      <c r="T879" s="3">
        <v>11.2</v>
      </c>
      <c r="U879" s="3">
        <v>84.7</v>
      </c>
      <c r="V879" s="3">
        <v>967.2</v>
      </c>
      <c r="W879" s="3">
        <v>0</v>
      </c>
      <c r="X879" s="3">
        <v>21.1</v>
      </c>
      <c r="Y879" s="3">
        <v>24.2</v>
      </c>
      <c r="Z879" s="3">
        <v>25.4</v>
      </c>
      <c r="AA879" s="3">
        <v>16.100000000000001</v>
      </c>
      <c r="AB879" s="3">
        <v>13.8</v>
      </c>
      <c r="AC879" s="3">
        <v>7.4</v>
      </c>
      <c r="AD879" s="3">
        <v>9.8000000000000007</v>
      </c>
      <c r="AE879" s="3">
        <v>9.1</v>
      </c>
      <c r="AF879" s="3">
        <v>14.7</v>
      </c>
      <c r="AG879" s="3">
        <v>12.6</v>
      </c>
      <c r="AH879" s="3">
        <v>10.1</v>
      </c>
      <c r="AI879" s="3">
        <v>8.3000000000000007</v>
      </c>
      <c r="AJ879" s="3">
        <v>11</v>
      </c>
      <c r="AK879" s="3">
        <v>9.4</v>
      </c>
      <c r="AL879" s="3">
        <v>7.8</v>
      </c>
      <c r="AM879" s="3">
        <v>7.4</v>
      </c>
      <c r="AN879" s="3">
        <v>7.4</v>
      </c>
      <c r="AO879" s="3">
        <v>6.5</v>
      </c>
      <c r="AP879" s="3">
        <v>6</v>
      </c>
      <c r="AQ879" s="3">
        <v>6.6</v>
      </c>
      <c r="AR879" s="3">
        <v>6.5</v>
      </c>
      <c r="AS879" s="3">
        <v>9</v>
      </c>
      <c r="AT879" s="3">
        <v>27.1</v>
      </c>
      <c r="AU879" s="3">
        <v>9.6999999999999993</v>
      </c>
      <c r="AV879" s="3">
        <v>8.1999999999999993</v>
      </c>
      <c r="AW879" s="3">
        <v>8.6999999999999993</v>
      </c>
      <c r="AX879" s="3">
        <v>8.8000000000000007</v>
      </c>
      <c r="AY879" s="3">
        <v>9.1</v>
      </c>
      <c r="AZ879" s="3">
        <v>0</v>
      </c>
      <c r="BA879" s="3">
        <v>0</v>
      </c>
      <c r="BB879" s="3">
        <v>0</v>
      </c>
      <c r="BC879" s="3">
        <v>28.830305613010573</v>
      </c>
      <c r="BD879" s="3">
        <v>21.069694386989433</v>
      </c>
      <c r="BE879" s="3">
        <v>24.169694386989427</v>
      </c>
      <c r="BF879" s="3">
        <v>24.129694386989428</v>
      </c>
      <c r="BG879" s="3">
        <v>15.156361053656092</v>
      </c>
      <c r="BH879" s="3">
        <v>12.996361053656095</v>
      </c>
      <c r="BI879" s="3">
        <v>7.0096943869894304</v>
      </c>
      <c r="BJ879" s="3">
        <v>10.203027720322758</v>
      </c>
      <c r="BK879" s="3">
        <v>9.3763610536560904</v>
      </c>
      <c r="BL879" s="3">
        <v>14.54969438698943</v>
      </c>
      <c r="BM879" s="3">
        <v>12.583027720322761</v>
      </c>
      <c r="BN879" s="3">
        <v>10.366361053656092</v>
      </c>
      <c r="BO879" s="3">
        <v>7.9330277203227624</v>
      </c>
      <c r="BP879" s="3">
        <v>10.349694386989427</v>
      </c>
      <c r="BQ879" s="3">
        <v>9.1663610536560824</v>
      </c>
      <c r="BR879" s="3">
        <v>7.8930277203227632</v>
      </c>
      <c r="BS879" s="3">
        <v>7.2963610536560921</v>
      </c>
      <c r="BT879" s="3">
        <v>7.4930277203227647</v>
      </c>
      <c r="BU879" s="3">
        <v>6.5596943869894275</v>
      </c>
      <c r="BV879" s="3">
        <v>5.7763610536560961</v>
      </c>
      <c r="BW879" s="3">
        <v>6.9096943869894289</v>
      </c>
      <c r="BX879" s="3">
        <v>6.7296943869894292</v>
      </c>
      <c r="BY879" s="3">
        <v>9.0496943869894224</v>
      </c>
      <c r="BZ879" s="3">
        <v>27.279694386989433</v>
      </c>
      <c r="CA879" s="3">
        <v>9.9796943869894221</v>
      </c>
      <c r="CB879" s="3">
        <v>7.9163610536560896</v>
      </c>
      <c r="CC879" s="3">
        <v>8.6296943869894278</v>
      </c>
      <c r="CD879" s="3">
        <v>8.0363610536561012</v>
      </c>
      <c r="CE879" s="3">
        <v>8.5296943869894264</v>
      </c>
      <c r="CF879" s="3">
        <v>-0.95697227967723819</v>
      </c>
      <c r="CG879" s="3">
        <v>-1.4903056130105696</v>
      </c>
      <c r="CH879" s="3">
        <v>-2.5669722796772376</v>
      </c>
      <c r="CI879" s="13">
        <f>[1]!dbasum(RecData[[#This Row],[20]:[2000]],RecData[[#Headers],[20]:[2000]])</f>
        <v>16.113010024573487</v>
      </c>
      <c r="CJ879" s="14">
        <v>9959</v>
      </c>
      <c r="CK879" s="15" t="s">
        <v>249</v>
      </c>
      <c r="CL879" s="15">
        <f>RecData[[#This Row],[Start Time]]</f>
        <v>43274.059722222228</v>
      </c>
      <c r="CM879" s="16">
        <f>RecData[[#This Row],[Wind Speed avg]]</f>
        <v>0.47</v>
      </c>
      <c r="CN879" s="16">
        <f>RecData[[#This Row],[Wind Dir. avg]]</f>
        <v>118.2</v>
      </c>
      <c r="CO879" s="16">
        <f>RecData[[#This Row],[Amb. Humidity]]</f>
        <v>84.7</v>
      </c>
      <c r="CP879" s="16">
        <f>RecData[[#This Row],[Amb. Temperature]]</f>
        <v>11.2</v>
      </c>
      <c r="CQ879" s="17">
        <f>RecData[[#This Row],[Amb. Rain Gauge]]</f>
        <v>0</v>
      </c>
      <c r="CR879" s="4" t="s">
        <v>50</v>
      </c>
      <c r="CS879" s="4" t="s">
        <v>49</v>
      </c>
      <c r="CT879" s="70">
        <v>-8.7180976867675692</v>
      </c>
      <c r="CU879" s="70">
        <v>61.000514984130803</v>
      </c>
      <c r="CV879" s="70">
        <v>2.5195827484130802</v>
      </c>
      <c r="CW879" s="70">
        <v>0</v>
      </c>
      <c r="CX879" s="109"/>
      <c r="CY879" s="110"/>
      <c r="CZ879" s="2" t="b">
        <f>IF($DP$1="YES",IF(RecData[[#This Row],[Power (kW)]]&gt;=$CR$3, TRUE,FALSE),TRUE)</f>
        <v>0</v>
      </c>
      <c r="DA879" s="16">
        <f>MIN(MOD(180-ABS(ABS($DA$1-RecData[Yaw Angle (°)])-180),360),MOD(180-ABS(ABS($DB$1-RecData[Yaw Angle (°)])-180),360))</f>
        <v>53.470588206443253</v>
      </c>
      <c r="DB879" s="2" t="str">
        <f>IF($DP$2="None","None",IF(RecData[[#This Row],[Relative Wind Direction]]&lt;=45,"DW",IF(RecData[[#This Row],[Relative Wind Direction]]&lt;=135,"CW","UW")))</f>
        <v>CW</v>
      </c>
      <c r="DC879" s="61">
        <f>IF($CL879-$CL875&gt;1/24,#REF!,IF(SUM($CQ875:$CQ879)&gt;$DS$1,$DS$5,DC880-1))</f>
        <v>-6</v>
      </c>
      <c r="DD879" s="61">
        <f>IF($CL880-$CL879&gt;1/24,#REF!,IF(SUM($CQ875:$CQ879)&gt;$DS$1,$DS$6,DD878-1))</f>
        <v>-5</v>
      </c>
      <c r="DE879" s="18" t="b">
        <v>0</v>
      </c>
      <c r="DF879" s="2" t="b">
        <f>IF(OR(RecData[[#This Row],[WSpd_Avg '[m/s']]]-RecData[[#This Row],[Wind Speed min]]&gt;=$DF$3,RecData[[#This Row],[Wind Speed max]]-RecData[[#This Row],[WSpd_Avg '[m/s']]]&gt;=$DF$2),TRUE,FALSE)</f>
        <v>0</v>
      </c>
      <c r="DG879" s="2" t="b">
        <f>RecData[[#This Row],[Temperature '[°C']]]&lt;=-20</f>
        <v>0</v>
      </c>
      <c r="DH879" s="18" t="b">
        <f>NOT(OR(MOD(RecData[[#This Row],[TIMESTAMP]],1)&gt;0.91632,MOD(RecData[[#This Row],[TIMESTAMP]],1)&lt;0.208681))</f>
        <v>0</v>
      </c>
      <c r="DI879" s="18" t="b">
        <f>RecData[[#This Row],[Overall (dBA)]]-RecData[[#This Row],[L90]]&gt;=$DS$4</f>
        <v>0</v>
      </c>
      <c r="DJ879" s="18" t="b">
        <f>RecData[[#This Row],[Overall (dBA)]]&gt;$DS$2</f>
        <v>0</v>
      </c>
      <c r="DK879" s="18" t="b">
        <f>RecData[[#This Row],[Overall (dBA)]]&lt;$DS$3</f>
        <v>0</v>
      </c>
      <c r="DL8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79" s="2">
        <f>IF(AND(RecData[[#This Row],[Turbines ON/OFF]] = "OFF", NOT(OR(RecData[[#This Row],[Junk?]]="YES",RecData[[#This Row],[Gust?]],RecData[[#This Row],[Rain?]:[Min SPL Threshold?]]))),1,0)</f>
        <v>1</v>
      </c>
      <c r="DN879" s="16">
        <f>RecData[[#This Row],[dBA Sum]]</f>
        <v>16.113010024573487</v>
      </c>
      <c r="DO879" s="16">
        <f>RecData[[#This Row],[LAF90.0]]</f>
        <v>19.600000000000001</v>
      </c>
      <c r="DP879" s="55" t="str">
        <f>IF(AND(RecData[[#This Row],[Useable TON Data?]],RecData[[#This Row],[Turbines ON/OFF]]="ON"),RecData[[#This Row],[dBA Sum]],"")</f>
        <v/>
      </c>
      <c r="DQ879" s="55">
        <f>IF(AND(RecData[[#This Row],[Useable Background Data?]],RecData[[#This Row],[Turbines ON/OFF]]="OFF"),RecData[[#This Row],[dBA Sum]],"")</f>
        <v>16.113010024573487</v>
      </c>
      <c r="DR879" s="3">
        <f>IF(OR(RecData[[#This Row],[Useable TON Data?]],RecData[[#This Row],[Useable Background Data?]]),ROUND(RecData[[#This Row],[WSpd_Avg '[m/s']]],0),"")</f>
        <v>0</v>
      </c>
      <c r="DS879" s="85">
        <f>(0.00002)^2*(10^(RecData[[#This Row],[Overall (dBA)]]/10))</f>
        <v>1.6344099358667994E-8</v>
      </c>
    </row>
    <row r="880" spans="1:123" ht="15" x14ac:dyDescent="0.25">
      <c r="A880" s="3" t="s">
        <v>249</v>
      </c>
      <c r="B880" s="12">
        <v>43274.060416666674</v>
      </c>
      <c r="C880" s="3"/>
      <c r="D880" s="3">
        <v>26.2</v>
      </c>
      <c r="E880" s="3"/>
      <c r="F880" s="3"/>
      <c r="G880" s="3"/>
      <c r="H880" s="3"/>
      <c r="I880" s="3"/>
      <c r="J880" s="3"/>
      <c r="K880" s="3">
        <v>19</v>
      </c>
      <c r="L880" s="3"/>
      <c r="M880" s="3"/>
      <c r="N880" s="3">
        <v>143.5</v>
      </c>
      <c r="O880" s="3"/>
      <c r="P880" s="3"/>
      <c r="Q880" s="3">
        <v>0.64</v>
      </c>
      <c r="R880" s="3">
        <v>0.5</v>
      </c>
      <c r="S880" s="3">
        <v>0.7</v>
      </c>
      <c r="T880" s="3">
        <v>11.2</v>
      </c>
      <c r="U880" s="3">
        <v>84.6</v>
      </c>
      <c r="V880" s="3">
        <v>967.2</v>
      </c>
      <c r="W880" s="3">
        <v>0</v>
      </c>
      <c r="X880" s="3">
        <v>19.899999999999999</v>
      </c>
      <c r="Y880" s="3">
        <v>21.1</v>
      </c>
      <c r="Z880" s="3">
        <v>21</v>
      </c>
      <c r="AA880" s="3">
        <v>16.399999999999999</v>
      </c>
      <c r="AB880" s="3">
        <v>12.2</v>
      </c>
      <c r="AC880" s="3">
        <v>6.2</v>
      </c>
      <c r="AD880" s="3">
        <v>9.9</v>
      </c>
      <c r="AE880" s="3">
        <v>9.3000000000000007</v>
      </c>
      <c r="AF880" s="3">
        <v>12.7</v>
      </c>
      <c r="AG880" s="3">
        <v>12</v>
      </c>
      <c r="AH880" s="3">
        <v>8.8000000000000007</v>
      </c>
      <c r="AI880" s="3">
        <v>7.5</v>
      </c>
      <c r="AJ880" s="3">
        <v>11</v>
      </c>
      <c r="AK880" s="3">
        <v>11.2</v>
      </c>
      <c r="AL880" s="3">
        <v>8.3000000000000007</v>
      </c>
      <c r="AM880" s="3">
        <v>7.7</v>
      </c>
      <c r="AN880" s="3">
        <v>8.1999999999999993</v>
      </c>
      <c r="AO880" s="3">
        <v>6.4</v>
      </c>
      <c r="AP880" s="3">
        <v>5.9</v>
      </c>
      <c r="AQ880" s="3">
        <v>6.6</v>
      </c>
      <c r="AR880" s="3">
        <v>6.8</v>
      </c>
      <c r="AS880" s="3">
        <v>7.8</v>
      </c>
      <c r="AT880" s="3">
        <v>24</v>
      </c>
      <c r="AU880" s="3">
        <v>9.9</v>
      </c>
      <c r="AV880" s="3">
        <v>8.1</v>
      </c>
      <c r="AW880" s="3">
        <v>8.6</v>
      </c>
      <c r="AX880" s="3">
        <v>8.8000000000000007</v>
      </c>
      <c r="AY880" s="3">
        <v>9.1</v>
      </c>
      <c r="AZ880" s="3">
        <v>0</v>
      </c>
      <c r="BA880" s="3">
        <v>0</v>
      </c>
      <c r="BB880" s="3">
        <v>0</v>
      </c>
      <c r="BC880" s="3">
        <v>26.224510943539585</v>
      </c>
      <c r="BD880" s="3">
        <v>19.87548905646041</v>
      </c>
      <c r="BE880" s="3">
        <v>21.075489056460412</v>
      </c>
      <c r="BF880" s="3">
        <v>19.735489056460416</v>
      </c>
      <c r="BG880" s="3">
        <v>15.462155723127076</v>
      </c>
      <c r="BH880" s="3">
        <v>11.40215572312708</v>
      </c>
      <c r="BI880" s="3">
        <v>5.8154890564604145</v>
      </c>
      <c r="BJ880" s="3">
        <v>10.308822389793747</v>
      </c>
      <c r="BK880" s="3">
        <v>9.5821557231270802</v>
      </c>
      <c r="BL880" s="3">
        <v>12.555489056460416</v>
      </c>
      <c r="BM880" s="3">
        <v>11.988822389793754</v>
      </c>
      <c r="BN880" s="3">
        <v>9.0721557231270822</v>
      </c>
      <c r="BO880" s="3">
        <v>7.1388223897937522</v>
      </c>
      <c r="BP880" s="3">
        <v>10.355489056460414</v>
      </c>
      <c r="BQ880" s="3">
        <v>10.972155723127074</v>
      </c>
      <c r="BR880" s="3">
        <v>8.3988223897937502</v>
      </c>
      <c r="BS880" s="3">
        <v>7.6021557231270833</v>
      </c>
      <c r="BT880" s="3">
        <v>8.2988223897937488</v>
      </c>
      <c r="BU880" s="3">
        <v>6.4654890564604202</v>
      </c>
      <c r="BV880" s="3">
        <v>5.6821557231270816</v>
      </c>
      <c r="BW880" s="3">
        <v>6.9154890564604159</v>
      </c>
      <c r="BX880" s="3">
        <v>7.0354890564604204</v>
      </c>
      <c r="BY880" s="3">
        <v>7.8554890564604136</v>
      </c>
      <c r="BZ880" s="3">
        <v>24.185489056460419</v>
      </c>
      <c r="CA880" s="3">
        <v>10.185489056460412</v>
      </c>
      <c r="CB880" s="3">
        <v>7.8221557231270822</v>
      </c>
      <c r="CC880" s="3">
        <v>8.5354890564604133</v>
      </c>
      <c r="CD880" s="3">
        <v>8.0421557231270882</v>
      </c>
      <c r="CE880" s="3">
        <v>8.5354890564604133</v>
      </c>
      <c r="CF880" s="3">
        <v>-0.95117761020625125</v>
      </c>
      <c r="CG880" s="3">
        <v>-1.4845109435395827</v>
      </c>
      <c r="CH880" s="3">
        <v>-2.5611776102062507</v>
      </c>
      <c r="CI880" s="13">
        <f>[1]!dbasum(RecData[[#This Row],[20]:[2000]],RecData[[#Headers],[20]:[2000]])</f>
        <v>16.370627028050631</v>
      </c>
      <c r="CJ880" s="14">
        <v>9960</v>
      </c>
      <c r="CK880" s="15" t="s">
        <v>249</v>
      </c>
      <c r="CL880" s="15">
        <f>RecData[[#This Row],[Start Time]]</f>
        <v>43274.060416666674</v>
      </c>
      <c r="CM880" s="16">
        <f>RecData[[#This Row],[Wind Speed avg]]</f>
        <v>0.64</v>
      </c>
      <c r="CN880" s="16">
        <f>RecData[[#This Row],[Wind Dir. avg]]</f>
        <v>143.5</v>
      </c>
      <c r="CO880" s="16">
        <f>RecData[[#This Row],[Amb. Humidity]]</f>
        <v>84.6</v>
      </c>
      <c r="CP880" s="16">
        <f>RecData[[#This Row],[Amb. Temperature]]</f>
        <v>11.2</v>
      </c>
      <c r="CQ880" s="17">
        <f>RecData[[#This Row],[Amb. Rain Gauge]]</f>
        <v>0</v>
      </c>
      <c r="CR880" s="4" t="s">
        <v>50</v>
      </c>
      <c r="CS880" s="4" t="s">
        <v>49</v>
      </c>
      <c r="CT880" s="70">
        <v>-8.7180976867675692</v>
      </c>
      <c r="CU880" s="70">
        <v>61.000514984130803</v>
      </c>
      <c r="CV880" s="70">
        <v>2.5195827484130802</v>
      </c>
      <c r="CW880" s="70">
        <v>0</v>
      </c>
      <c r="CX880" s="109"/>
      <c r="CY880" s="110"/>
      <c r="CZ880" s="2" t="b">
        <f>IF($DP$1="YES",IF(RecData[[#This Row],[Power (kW)]]&gt;=$CR$3, TRUE,FALSE),TRUE)</f>
        <v>0</v>
      </c>
      <c r="DA880" s="16">
        <f>MIN(MOD(180-ABS(ABS($DA$1-RecData[Yaw Angle (°)])-180),360),MOD(180-ABS(ABS($DB$1-RecData[Yaw Angle (°)])-180),360))</f>
        <v>53.470588206443253</v>
      </c>
      <c r="DB880" s="2" t="str">
        <f>IF($DP$2="None","None",IF(RecData[[#This Row],[Relative Wind Direction]]&lt;=45,"DW",IF(RecData[[#This Row],[Relative Wind Direction]]&lt;=135,"CW","UW")))</f>
        <v>CW</v>
      </c>
      <c r="DC880" s="61">
        <f>IF($CL880-$CL876&gt;1/24,#REF!,IF(SUM($CQ876:$CQ880)&gt;$DS$1,$DS$5,DC881-1))</f>
        <v>-5</v>
      </c>
      <c r="DD880" s="61">
        <f>IF($CL881-$CL880&gt;1/24,#REF!,IF(SUM($CQ876:$CQ880)&gt;$DS$1,$DS$6,DD879-1))</f>
        <v>-6</v>
      </c>
      <c r="DE880" s="18" t="b">
        <v>0</v>
      </c>
      <c r="DF880" s="2" t="b">
        <f>IF(OR(RecData[[#This Row],[WSpd_Avg '[m/s']]]-RecData[[#This Row],[Wind Speed min]]&gt;=$DF$3,RecData[[#This Row],[Wind Speed max]]-RecData[[#This Row],[WSpd_Avg '[m/s']]]&gt;=$DF$2),TRUE,FALSE)</f>
        <v>0</v>
      </c>
      <c r="DG880" s="2" t="b">
        <f>RecData[[#This Row],[Temperature '[°C']]]&lt;=-20</f>
        <v>0</v>
      </c>
      <c r="DH880" s="18" t="b">
        <f>NOT(OR(MOD(RecData[[#This Row],[TIMESTAMP]],1)&gt;0.91632,MOD(RecData[[#This Row],[TIMESTAMP]],1)&lt;0.208681))</f>
        <v>0</v>
      </c>
      <c r="DI880" s="18" t="b">
        <f>RecData[[#This Row],[Overall (dBA)]]-RecData[[#This Row],[L90]]&gt;=$DS$4</f>
        <v>0</v>
      </c>
      <c r="DJ880" s="18" t="b">
        <f>RecData[[#This Row],[Overall (dBA)]]&gt;$DS$2</f>
        <v>0</v>
      </c>
      <c r="DK880" s="18" t="b">
        <f>RecData[[#This Row],[Overall (dBA)]]&lt;$DS$3</f>
        <v>0</v>
      </c>
      <c r="DL8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0" s="2">
        <f>IF(AND(RecData[[#This Row],[Turbines ON/OFF]] = "OFF", NOT(OR(RecData[[#This Row],[Junk?]]="YES",RecData[[#This Row],[Gust?]],RecData[[#This Row],[Rain?]:[Min SPL Threshold?]]))),1,0)</f>
        <v>1</v>
      </c>
      <c r="DN880" s="16">
        <f>RecData[[#This Row],[dBA Sum]]</f>
        <v>16.370627028050631</v>
      </c>
      <c r="DO880" s="16">
        <f>RecData[[#This Row],[LAF90.0]]</f>
        <v>19</v>
      </c>
      <c r="DP880" s="55" t="str">
        <f>IF(AND(RecData[[#This Row],[Useable TON Data?]],RecData[[#This Row],[Turbines ON/OFF]]="ON"),RecData[[#This Row],[dBA Sum]],"")</f>
        <v/>
      </c>
      <c r="DQ880" s="55">
        <f>IF(AND(RecData[[#This Row],[Useable Background Data?]],RecData[[#This Row],[Turbines ON/OFF]]="OFF"),RecData[[#This Row],[dBA Sum]],"")</f>
        <v>16.370627028050631</v>
      </c>
      <c r="DR880" s="3">
        <f>IF(OR(RecData[[#This Row],[Useable TON Data?]],RecData[[#This Row],[Useable Background Data?]]),ROUND(RecData[[#This Row],[WSpd_Avg '[m/s']]],0),"")</f>
        <v>1</v>
      </c>
      <c r="DS880" s="85">
        <f>(0.00002)^2*(10^(RecData[[#This Row],[Overall (dBA)]]/10))</f>
        <v>1.7342938903023101E-8</v>
      </c>
    </row>
    <row r="881" spans="1:123" ht="15" x14ac:dyDescent="0.25">
      <c r="A881" s="3" t="s">
        <v>249</v>
      </c>
      <c r="B881" s="12">
        <v>43274.061111111114</v>
      </c>
      <c r="C881" s="3"/>
      <c r="D881" s="3">
        <v>20.9</v>
      </c>
      <c r="E881" s="3"/>
      <c r="F881" s="3"/>
      <c r="G881" s="3"/>
      <c r="H881" s="3"/>
      <c r="I881" s="3"/>
      <c r="J881" s="3"/>
      <c r="K881" s="3">
        <v>19.100000000000001</v>
      </c>
      <c r="L881" s="3"/>
      <c r="M881" s="3"/>
      <c r="N881" s="3">
        <v>153.80000000000001</v>
      </c>
      <c r="O881" s="3"/>
      <c r="P881" s="3"/>
      <c r="Q881" s="3">
        <v>0.57999999999999996</v>
      </c>
      <c r="R881" s="3">
        <v>0.5</v>
      </c>
      <c r="S881" s="3">
        <v>0.7</v>
      </c>
      <c r="T881" s="3">
        <v>11.2</v>
      </c>
      <c r="U881" s="3">
        <v>84.3</v>
      </c>
      <c r="V881" s="3">
        <v>967.2</v>
      </c>
      <c r="W881" s="3">
        <v>0</v>
      </c>
      <c r="X881" s="3">
        <v>18.3</v>
      </c>
      <c r="Y881" s="3">
        <v>15.6</v>
      </c>
      <c r="Z881" s="3">
        <v>17.899999999999999</v>
      </c>
      <c r="AA881" s="3">
        <v>12.7</v>
      </c>
      <c r="AB881" s="3">
        <v>10.9</v>
      </c>
      <c r="AC881" s="3">
        <v>6.1</v>
      </c>
      <c r="AD881" s="3">
        <v>10.4</v>
      </c>
      <c r="AE881" s="3">
        <v>9.6999999999999993</v>
      </c>
      <c r="AF881" s="3">
        <v>12</v>
      </c>
      <c r="AG881" s="3">
        <v>10.8</v>
      </c>
      <c r="AH881" s="3">
        <v>8.1999999999999993</v>
      </c>
      <c r="AI881" s="3">
        <v>8</v>
      </c>
      <c r="AJ881" s="3">
        <v>10.6</v>
      </c>
      <c r="AK881" s="3">
        <v>10.199999999999999</v>
      </c>
      <c r="AL881" s="3">
        <v>8.1</v>
      </c>
      <c r="AM881" s="3">
        <v>7</v>
      </c>
      <c r="AN881" s="3">
        <v>6.9</v>
      </c>
      <c r="AO881" s="3">
        <v>6.6</v>
      </c>
      <c r="AP881" s="3">
        <v>6.1</v>
      </c>
      <c r="AQ881" s="3">
        <v>6.3</v>
      </c>
      <c r="AR881" s="3">
        <v>6.4</v>
      </c>
      <c r="AS881" s="3">
        <v>6.3</v>
      </c>
      <c r="AT881" s="3">
        <v>13.3</v>
      </c>
      <c r="AU881" s="3">
        <v>12.3</v>
      </c>
      <c r="AV881" s="3">
        <v>8.1</v>
      </c>
      <c r="AW881" s="3">
        <v>8.6</v>
      </c>
      <c r="AX881" s="3">
        <v>8.9</v>
      </c>
      <c r="AY881" s="3">
        <v>9.1</v>
      </c>
      <c r="AZ881" s="3">
        <v>0</v>
      </c>
      <c r="BA881" s="3">
        <v>0</v>
      </c>
      <c r="BB881" s="3">
        <v>0</v>
      </c>
      <c r="BC881" s="3">
        <v>20.762258616371088</v>
      </c>
      <c r="BD881" s="3">
        <v>18.437741383628914</v>
      </c>
      <c r="BE881" s="3">
        <v>15.737741383628912</v>
      </c>
      <c r="BF881" s="3">
        <v>16.797741383628914</v>
      </c>
      <c r="BG881" s="3">
        <v>11.924408050295572</v>
      </c>
      <c r="BH881" s="3">
        <v>10.264408050295579</v>
      </c>
      <c r="BI881" s="3">
        <v>5.8777413836289121</v>
      </c>
      <c r="BJ881" s="3">
        <v>10.971074716962242</v>
      </c>
      <c r="BK881" s="3">
        <v>10.144408050295571</v>
      </c>
      <c r="BL881" s="3">
        <v>12.017741383628913</v>
      </c>
      <c r="BM881" s="3">
        <v>10.951074716962246</v>
      </c>
      <c r="BN881" s="3">
        <v>8.6344080502955762</v>
      </c>
      <c r="BO881" s="3">
        <v>7.8010747169622476</v>
      </c>
      <c r="BP881" s="3">
        <v>10.117741383628911</v>
      </c>
      <c r="BQ881" s="3">
        <v>10.134408050295566</v>
      </c>
      <c r="BR881" s="3">
        <v>8.3610747169622464</v>
      </c>
      <c r="BS881" s="3">
        <v>7.0644080502955759</v>
      </c>
      <c r="BT881" s="3">
        <v>7.1610747169622435</v>
      </c>
      <c r="BU881" s="3">
        <v>6.8277413836289149</v>
      </c>
      <c r="BV881" s="3">
        <v>6.0444080502955764</v>
      </c>
      <c r="BW881" s="3">
        <v>6.7777413836289142</v>
      </c>
      <c r="BX881" s="3">
        <v>6.7977413836289138</v>
      </c>
      <c r="BY881" s="3">
        <v>6.5177413836289091</v>
      </c>
      <c r="BZ881" s="3">
        <v>13.647741383628915</v>
      </c>
      <c r="CA881" s="3">
        <v>12.747741383628902</v>
      </c>
      <c r="CB881" s="3">
        <v>7.9844080502955741</v>
      </c>
      <c r="CC881" s="3">
        <v>8.6977413836289088</v>
      </c>
      <c r="CD881" s="3">
        <v>8.3044080502955815</v>
      </c>
      <c r="CE881" s="3">
        <v>8.6977413836289088</v>
      </c>
      <c r="CF881" s="3">
        <v>-0.78892528303775578</v>
      </c>
      <c r="CG881" s="3">
        <v>-1.3222586163710872</v>
      </c>
      <c r="CH881" s="3">
        <v>-2.3989252830377552</v>
      </c>
      <c r="CI881" s="13">
        <f>[1]!dbasum(RecData[[#This Row],[20]:[2000]],RecData[[#Headers],[20]:[2000]])</f>
        <v>16.106684158105057</v>
      </c>
      <c r="CJ881" s="14">
        <v>9961</v>
      </c>
      <c r="CK881" s="15" t="s">
        <v>249</v>
      </c>
      <c r="CL881" s="15">
        <f>RecData[[#This Row],[Start Time]]</f>
        <v>43274.061111111114</v>
      </c>
      <c r="CM881" s="16">
        <f>RecData[[#This Row],[Wind Speed avg]]</f>
        <v>0.57999999999999996</v>
      </c>
      <c r="CN881" s="16">
        <f>RecData[[#This Row],[Wind Dir. avg]]</f>
        <v>153.80000000000001</v>
      </c>
      <c r="CO881" s="16">
        <f>RecData[[#This Row],[Amb. Humidity]]</f>
        <v>84.3</v>
      </c>
      <c r="CP881" s="16">
        <f>RecData[[#This Row],[Amb. Temperature]]</f>
        <v>11.2</v>
      </c>
      <c r="CQ881" s="17">
        <f>RecData[[#This Row],[Amb. Rain Gauge]]</f>
        <v>0</v>
      </c>
      <c r="CR881" s="4" t="s">
        <v>50</v>
      </c>
      <c r="CS881" s="4" t="s">
        <v>49</v>
      </c>
      <c r="CT881" s="70">
        <v>-8.7180976867675692</v>
      </c>
      <c r="CU881" s="70">
        <v>61.000514984130803</v>
      </c>
      <c r="CV881" s="70">
        <v>2.5195827484130802</v>
      </c>
      <c r="CW881" s="70">
        <v>0</v>
      </c>
      <c r="CX881" s="109"/>
      <c r="CY881" s="110"/>
      <c r="CZ881" s="2" t="b">
        <f>IF($DP$1="YES",IF(RecData[[#This Row],[Power (kW)]]&gt;=$CR$3, TRUE,FALSE),TRUE)</f>
        <v>0</v>
      </c>
      <c r="DA881" s="16">
        <f>MIN(MOD(180-ABS(ABS($DA$1-RecData[Yaw Angle (°)])-180),360),MOD(180-ABS(ABS($DB$1-RecData[Yaw Angle (°)])-180),360))</f>
        <v>53.470588206443253</v>
      </c>
      <c r="DB881" s="2" t="str">
        <f>IF($DP$2="None","None",IF(RecData[[#This Row],[Relative Wind Direction]]&lt;=45,"DW",IF(RecData[[#This Row],[Relative Wind Direction]]&lt;=135,"CW","UW")))</f>
        <v>CW</v>
      </c>
      <c r="DC881" s="61">
        <f>IF($CL881-$CL877&gt;1/24,#REF!,IF(SUM($CQ877:$CQ881)&gt;$DS$1,$DS$5,DC882-1))</f>
        <v>-4</v>
      </c>
      <c r="DD881" s="61">
        <f>IF($CL882-$CL881&gt;1/24,#REF!,IF(SUM($CQ877:$CQ881)&gt;$DS$1,$DS$6,DD880-1))</f>
        <v>-7</v>
      </c>
      <c r="DE881" s="18" t="b">
        <v>0</v>
      </c>
      <c r="DF881" s="2" t="b">
        <f>IF(OR(RecData[[#This Row],[WSpd_Avg '[m/s']]]-RecData[[#This Row],[Wind Speed min]]&gt;=$DF$3,RecData[[#This Row],[Wind Speed max]]-RecData[[#This Row],[WSpd_Avg '[m/s']]]&gt;=$DF$2),TRUE,FALSE)</f>
        <v>0</v>
      </c>
      <c r="DG881" s="2" t="b">
        <f>RecData[[#This Row],[Temperature '[°C']]]&lt;=-20</f>
        <v>0</v>
      </c>
      <c r="DH881" s="18" t="b">
        <f>NOT(OR(MOD(RecData[[#This Row],[TIMESTAMP]],1)&gt;0.91632,MOD(RecData[[#This Row],[TIMESTAMP]],1)&lt;0.208681))</f>
        <v>0</v>
      </c>
      <c r="DI881" s="18" t="b">
        <f>RecData[[#This Row],[Overall (dBA)]]-RecData[[#This Row],[L90]]&gt;=$DS$4</f>
        <v>0</v>
      </c>
      <c r="DJ881" s="18" t="b">
        <f>RecData[[#This Row],[Overall (dBA)]]&gt;$DS$2</f>
        <v>0</v>
      </c>
      <c r="DK881" s="18" t="b">
        <f>RecData[[#This Row],[Overall (dBA)]]&lt;$DS$3</f>
        <v>0</v>
      </c>
      <c r="DL8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1" s="2">
        <f>IF(AND(RecData[[#This Row],[Turbines ON/OFF]] = "OFF", NOT(OR(RecData[[#This Row],[Junk?]]="YES",RecData[[#This Row],[Gust?]],RecData[[#This Row],[Rain?]:[Min SPL Threshold?]]))),1,0)</f>
        <v>1</v>
      </c>
      <c r="DN881" s="16">
        <f>RecData[[#This Row],[dBA Sum]]</f>
        <v>16.106684158105057</v>
      </c>
      <c r="DO881" s="16">
        <f>RecData[[#This Row],[LAF90.0]]</f>
        <v>19.100000000000001</v>
      </c>
      <c r="DP881" s="55" t="str">
        <f>IF(AND(RecData[[#This Row],[Useable TON Data?]],RecData[[#This Row],[Turbines ON/OFF]]="ON"),RecData[[#This Row],[dBA Sum]],"")</f>
        <v/>
      </c>
      <c r="DQ881" s="55">
        <f>IF(AND(RecData[[#This Row],[Useable Background Data?]],RecData[[#This Row],[Turbines ON/OFF]]="OFF"),RecData[[#This Row],[dBA Sum]],"")</f>
        <v>16.106684158105057</v>
      </c>
      <c r="DR881" s="3">
        <f>IF(OR(RecData[[#This Row],[Useable TON Data?]],RecData[[#This Row],[Useable Background Data?]]),ROUND(RecData[[#This Row],[WSpd_Avg '[m/s']]],0),"")</f>
        <v>1</v>
      </c>
      <c r="DS881" s="85">
        <f>(0.00002)^2*(10^(RecData[[#This Row],[Overall (dBA)]]/10))</f>
        <v>1.6320310125239704E-8</v>
      </c>
    </row>
    <row r="882" spans="1:123" ht="15" x14ac:dyDescent="0.25">
      <c r="A882" s="3" t="s">
        <v>249</v>
      </c>
      <c r="B882" s="12">
        <v>43274.061805555561</v>
      </c>
      <c r="C882" s="3"/>
      <c r="D882" s="3">
        <v>33</v>
      </c>
      <c r="E882" s="3"/>
      <c r="F882" s="3"/>
      <c r="G882" s="3"/>
      <c r="H882" s="3"/>
      <c r="I882" s="3"/>
      <c r="J882" s="3"/>
      <c r="K882" s="3">
        <v>19.899999999999999</v>
      </c>
      <c r="L882" s="3"/>
      <c r="M882" s="3"/>
      <c r="N882" s="3">
        <v>151.19999999999999</v>
      </c>
      <c r="O882" s="3"/>
      <c r="P882" s="3"/>
      <c r="Q882" s="3">
        <v>0.55000000000000004</v>
      </c>
      <c r="R882" s="3">
        <v>0.2</v>
      </c>
      <c r="S882" s="3">
        <v>0.7</v>
      </c>
      <c r="T882" s="3">
        <v>11.2</v>
      </c>
      <c r="U882" s="3">
        <v>84.1</v>
      </c>
      <c r="V882" s="3">
        <v>967.3</v>
      </c>
      <c r="W882" s="3">
        <v>0</v>
      </c>
      <c r="X882" s="3">
        <v>22.1</v>
      </c>
      <c r="Y882" s="3">
        <v>21.7</v>
      </c>
      <c r="Z882" s="3">
        <v>21.8</v>
      </c>
      <c r="AA882" s="3">
        <v>19</v>
      </c>
      <c r="AB882" s="3">
        <v>12.3</v>
      </c>
      <c r="AC882" s="3">
        <v>7.1</v>
      </c>
      <c r="AD882" s="3">
        <v>10.7</v>
      </c>
      <c r="AE882" s="3">
        <v>10.3</v>
      </c>
      <c r="AF882" s="3">
        <v>11.7</v>
      </c>
      <c r="AG882" s="3">
        <v>11.3</v>
      </c>
      <c r="AH882" s="3">
        <v>10.199999999999999</v>
      </c>
      <c r="AI882" s="3">
        <v>8.9</v>
      </c>
      <c r="AJ882" s="3">
        <v>11.1</v>
      </c>
      <c r="AK882" s="3">
        <v>10.199999999999999</v>
      </c>
      <c r="AL882" s="3">
        <v>8.3000000000000007</v>
      </c>
      <c r="AM882" s="3">
        <v>7.5</v>
      </c>
      <c r="AN882" s="3">
        <v>7.1</v>
      </c>
      <c r="AO882" s="3">
        <v>6.7</v>
      </c>
      <c r="AP882" s="3">
        <v>6.3</v>
      </c>
      <c r="AQ882" s="3">
        <v>6.9</v>
      </c>
      <c r="AR882" s="3">
        <v>7.2</v>
      </c>
      <c r="AS882" s="3">
        <v>11.5</v>
      </c>
      <c r="AT882" s="3">
        <v>31.6</v>
      </c>
      <c r="AU882" s="3">
        <v>11.5</v>
      </c>
      <c r="AV882" s="3">
        <v>8.6</v>
      </c>
      <c r="AW882" s="3">
        <v>9</v>
      </c>
      <c r="AX882" s="3">
        <v>8.9</v>
      </c>
      <c r="AY882" s="3">
        <v>9.1</v>
      </c>
      <c r="AZ882" s="3">
        <v>0</v>
      </c>
      <c r="BA882" s="3">
        <v>0</v>
      </c>
      <c r="BB882" s="3">
        <v>0</v>
      </c>
      <c r="BC882" s="3">
        <v>33.033187002190381</v>
      </c>
      <c r="BD882" s="3">
        <v>22.06681299780962</v>
      </c>
      <c r="BE882" s="3">
        <v>21.666812997809622</v>
      </c>
      <c r="BF882" s="3">
        <v>20.526812997809621</v>
      </c>
      <c r="BG882" s="3">
        <v>18.053479664476278</v>
      </c>
      <c r="BH882" s="3">
        <v>11.49347966447629</v>
      </c>
      <c r="BI882" s="3">
        <v>6.7068129978096209</v>
      </c>
      <c r="BJ882" s="3">
        <v>11.100146331142952</v>
      </c>
      <c r="BK882" s="3">
        <v>10.573479664476281</v>
      </c>
      <c r="BL882" s="3">
        <v>11.546812997809617</v>
      </c>
      <c r="BM882" s="3">
        <v>11.280146331142952</v>
      </c>
      <c r="BN882" s="3">
        <v>10.463479664476289</v>
      </c>
      <c r="BO882" s="3">
        <v>8.5301463311429515</v>
      </c>
      <c r="BP882" s="3">
        <v>10.446812997809623</v>
      </c>
      <c r="BQ882" s="3">
        <v>9.9634796644762744</v>
      </c>
      <c r="BR882" s="3">
        <v>8.3901463311429509</v>
      </c>
      <c r="BS882" s="3">
        <v>7.3934796644762883</v>
      </c>
      <c r="BT882" s="3">
        <v>7.1901463311429552</v>
      </c>
      <c r="BU882" s="3">
        <v>6.7568129978096252</v>
      </c>
      <c r="BV882" s="3">
        <v>6.0734796644762881</v>
      </c>
      <c r="BW882" s="3">
        <v>7.2068129978096209</v>
      </c>
      <c r="BX882" s="3">
        <v>7.4268129978096269</v>
      </c>
      <c r="BY882" s="3">
        <v>11.546812997809617</v>
      </c>
      <c r="BZ882" s="3">
        <v>31.776812997809621</v>
      </c>
      <c r="CA882" s="3">
        <v>11.776812997809614</v>
      </c>
      <c r="CB882" s="3">
        <v>8.3134796644762829</v>
      </c>
      <c r="CC882" s="3">
        <v>8.9268129978096198</v>
      </c>
      <c r="CD882" s="3">
        <v>8.1334796644762903</v>
      </c>
      <c r="CE882" s="3">
        <v>8.5268129978096212</v>
      </c>
      <c r="CF882" s="3">
        <v>-0.95985366885705048</v>
      </c>
      <c r="CG882" s="3">
        <v>-1.4931870021903784</v>
      </c>
      <c r="CH882" s="3">
        <v>-2.5698536688570464</v>
      </c>
      <c r="CI882" s="13">
        <f>[1]!dbasum(RecData[[#This Row],[20]:[2000]],RecData[[#Headers],[20]:[2000]])</f>
        <v>16.35763991025097</v>
      </c>
      <c r="CJ882" s="14">
        <v>9962</v>
      </c>
      <c r="CK882" s="15" t="s">
        <v>249</v>
      </c>
      <c r="CL882" s="15">
        <f>RecData[[#This Row],[Start Time]]</f>
        <v>43274.061805555561</v>
      </c>
      <c r="CM882" s="16">
        <f>RecData[[#This Row],[Wind Speed avg]]</f>
        <v>0.55000000000000004</v>
      </c>
      <c r="CN882" s="16">
        <f>RecData[[#This Row],[Wind Dir. avg]]</f>
        <v>151.19999999999999</v>
      </c>
      <c r="CO882" s="16">
        <f>RecData[[#This Row],[Amb. Humidity]]</f>
        <v>84.1</v>
      </c>
      <c r="CP882" s="16">
        <f>RecData[[#This Row],[Amb. Temperature]]</f>
        <v>11.2</v>
      </c>
      <c r="CQ882" s="17">
        <f>RecData[[#This Row],[Amb. Rain Gauge]]</f>
        <v>0</v>
      </c>
      <c r="CR882" s="4" t="s">
        <v>50</v>
      </c>
      <c r="CS882" s="4" t="s">
        <v>49</v>
      </c>
      <c r="CT882" s="70">
        <v>-8.7180976867675692</v>
      </c>
      <c r="CU882" s="70">
        <v>61.000514984130803</v>
      </c>
      <c r="CV882" s="70">
        <v>2.5195827484130802</v>
      </c>
      <c r="CW882" s="70">
        <v>0</v>
      </c>
      <c r="CX882" s="109"/>
      <c r="CY882" s="110"/>
      <c r="CZ882" s="2" t="b">
        <f>IF($DP$1="YES",IF(RecData[[#This Row],[Power (kW)]]&gt;=$CR$3, TRUE,FALSE),TRUE)</f>
        <v>0</v>
      </c>
      <c r="DA882" s="16">
        <f>MIN(MOD(180-ABS(ABS($DA$1-RecData[Yaw Angle (°)])-180),360),MOD(180-ABS(ABS($DB$1-RecData[Yaw Angle (°)])-180),360))</f>
        <v>53.470588206443253</v>
      </c>
      <c r="DB882" s="2" t="str">
        <f>IF($DP$2="None","None",IF(RecData[[#This Row],[Relative Wind Direction]]&lt;=45,"DW",IF(RecData[[#This Row],[Relative Wind Direction]]&lt;=135,"CW","UW")))</f>
        <v>CW</v>
      </c>
      <c r="DC882" s="61">
        <f>IF($CL882-$CL878&gt;1/24,#REF!,IF(SUM($CQ878:$CQ882)&gt;$DS$1,$DS$5,DC883-1))</f>
        <v>-3</v>
      </c>
      <c r="DD882" s="61">
        <f>IF($CL883-$CL882&gt;1/24,#REF!,IF(SUM($CQ878:$CQ882)&gt;$DS$1,$DS$6,DD881-1))</f>
        <v>-8</v>
      </c>
      <c r="DE882" s="18" t="b">
        <v>0</v>
      </c>
      <c r="DF882" s="2" t="b">
        <f>IF(OR(RecData[[#This Row],[WSpd_Avg '[m/s']]]-RecData[[#This Row],[Wind Speed min]]&gt;=$DF$3,RecData[[#This Row],[Wind Speed max]]-RecData[[#This Row],[WSpd_Avg '[m/s']]]&gt;=$DF$2),TRUE,FALSE)</f>
        <v>0</v>
      </c>
      <c r="DG882" s="2" t="b">
        <f>RecData[[#This Row],[Temperature '[°C']]]&lt;=-20</f>
        <v>0</v>
      </c>
      <c r="DH882" s="18" t="b">
        <f>NOT(OR(MOD(RecData[[#This Row],[TIMESTAMP]],1)&gt;0.91632,MOD(RecData[[#This Row],[TIMESTAMP]],1)&lt;0.208681))</f>
        <v>0</v>
      </c>
      <c r="DI882" s="18" t="b">
        <f>RecData[[#This Row],[Overall (dBA)]]-RecData[[#This Row],[L90]]&gt;=$DS$4</f>
        <v>0</v>
      </c>
      <c r="DJ882" s="18" t="b">
        <f>RecData[[#This Row],[Overall (dBA)]]&gt;$DS$2</f>
        <v>0</v>
      </c>
      <c r="DK882" s="18" t="b">
        <f>RecData[[#This Row],[Overall (dBA)]]&lt;$DS$3</f>
        <v>0</v>
      </c>
      <c r="DL8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2" s="2">
        <f>IF(AND(RecData[[#This Row],[Turbines ON/OFF]] = "OFF", NOT(OR(RecData[[#This Row],[Junk?]]="YES",RecData[[#This Row],[Gust?]],RecData[[#This Row],[Rain?]:[Min SPL Threshold?]]))),1,0)</f>
        <v>1</v>
      </c>
      <c r="DN882" s="16">
        <f>RecData[[#This Row],[dBA Sum]]</f>
        <v>16.35763991025097</v>
      </c>
      <c r="DO882" s="16">
        <f>RecData[[#This Row],[LAF90.0]]</f>
        <v>19.899999999999999</v>
      </c>
      <c r="DP882" s="55" t="str">
        <f>IF(AND(RecData[[#This Row],[Useable TON Data?]],RecData[[#This Row],[Turbines ON/OFF]]="ON"),RecData[[#This Row],[dBA Sum]],"")</f>
        <v/>
      </c>
      <c r="DQ882" s="55">
        <f>IF(AND(RecData[[#This Row],[Useable Background Data?]],RecData[[#This Row],[Turbines ON/OFF]]="OFF"),RecData[[#This Row],[dBA Sum]],"")</f>
        <v>16.35763991025097</v>
      </c>
      <c r="DR882" s="3">
        <f>IF(OR(RecData[[#This Row],[Useable TON Data?]],RecData[[#This Row],[Useable Background Data?]]),ROUND(RecData[[#This Row],[WSpd_Avg '[m/s']]],0),"")</f>
        <v>1</v>
      </c>
      <c r="DS882" s="85">
        <f>(0.00002)^2*(10^(RecData[[#This Row],[Overall (dBA)]]/10))</f>
        <v>1.7291154142932388E-8</v>
      </c>
    </row>
    <row r="883" spans="1:123" ht="15" x14ac:dyDescent="0.25">
      <c r="A883" s="3" t="s">
        <v>249</v>
      </c>
      <c r="B883" s="12">
        <v>43274.062500000007</v>
      </c>
      <c r="C883" s="3"/>
      <c r="D883" s="3">
        <v>31</v>
      </c>
      <c r="E883" s="3"/>
      <c r="F883" s="3"/>
      <c r="G883" s="3"/>
      <c r="H883" s="3"/>
      <c r="I883" s="3"/>
      <c r="J883" s="3"/>
      <c r="K883" s="3">
        <v>19.100000000000001</v>
      </c>
      <c r="L883" s="3"/>
      <c r="M883" s="3"/>
      <c r="N883" s="3">
        <v>145.19999999999999</v>
      </c>
      <c r="O883" s="3"/>
      <c r="P883" s="3"/>
      <c r="Q883" s="3">
        <v>0.54</v>
      </c>
      <c r="R883" s="3">
        <v>0.3</v>
      </c>
      <c r="S883" s="3">
        <v>0.7</v>
      </c>
      <c r="T883" s="3">
        <v>11.2</v>
      </c>
      <c r="U883" s="3">
        <v>84.7</v>
      </c>
      <c r="V883" s="3">
        <v>967.3</v>
      </c>
      <c r="W883" s="3">
        <v>0</v>
      </c>
      <c r="X883" s="3">
        <v>18.3</v>
      </c>
      <c r="Y883" s="3">
        <v>14.9</v>
      </c>
      <c r="Z883" s="3">
        <v>15.7</v>
      </c>
      <c r="AA883" s="3">
        <v>14.1</v>
      </c>
      <c r="AB883" s="3">
        <v>13.1</v>
      </c>
      <c r="AC883" s="3">
        <v>5.8</v>
      </c>
      <c r="AD883" s="3">
        <v>10.7</v>
      </c>
      <c r="AE883" s="3">
        <v>10.8</v>
      </c>
      <c r="AF883" s="3">
        <v>13.7</v>
      </c>
      <c r="AG883" s="3">
        <v>10.3</v>
      </c>
      <c r="AH883" s="3">
        <v>9.3000000000000007</v>
      </c>
      <c r="AI883" s="3">
        <v>8.6</v>
      </c>
      <c r="AJ883" s="3">
        <v>11</v>
      </c>
      <c r="AK883" s="3">
        <v>11</v>
      </c>
      <c r="AL883" s="3">
        <v>8.3000000000000007</v>
      </c>
      <c r="AM883" s="3">
        <v>7.2</v>
      </c>
      <c r="AN883" s="3">
        <v>7.1</v>
      </c>
      <c r="AO883" s="3">
        <v>6.8</v>
      </c>
      <c r="AP883" s="3">
        <v>6.2</v>
      </c>
      <c r="AQ883" s="3">
        <v>6.5</v>
      </c>
      <c r="AR883" s="3">
        <v>6.7</v>
      </c>
      <c r="AS883" s="3">
        <v>9.6999999999999993</v>
      </c>
      <c r="AT883" s="3">
        <v>29.5</v>
      </c>
      <c r="AU883" s="3">
        <v>11.4</v>
      </c>
      <c r="AV883" s="3">
        <v>8.5</v>
      </c>
      <c r="AW883" s="3">
        <v>8.8000000000000007</v>
      </c>
      <c r="AX883" s="3">
        <v>8.9</v>
      </c>
      <c r="AY883" s="3">
        <v>9.1999999999999993</v>
      </c>
      <c r="AZ883" s="3">
        <v>0</v>
      </c>
      <c r="BA883" s="3">
        <v>0</v>
      </c>
      <c r="BB883" s="3">
        <v>0</v>
      </c>
      <c r="BC883" s="3">
        <v>31.045192717421358</v>
      </c>
      <c r="BD883" s="3">
        <v>18.254807282578639</v>
      </c>
      <c r="BE883" s="3">
        <v>14.854807282578641</v>
      </c>
      <c r="BF883" s="3">
        <v>14.414807282578643</v>
      </c>
      <c r="BG883" s="3">
        <v>13.141473949245309</v>
      </c>
      <c r="BH883" s="3">
        <v>12.28147394924531</v>
      </c>
      <c r="BI883" s="3">
        <v>5.3948072825786397</v>
      </c>
      <c r="BJ883" s="3">
        <v>11.088140615911975</v>
      </c>
      <c r="BK883" s="3">
        <v>11.061473949245304</v>
      </c>
      <c r="BL883" s="3">
        <v>13.53480728257864</v>
      </c>
      <c r="BM883" s="3">
        <v>10.268140615911975</v>
      </c>
      <c r="BN883" s="3">
        <v>9.551473949245306</v>
      </c>
      <c r="BO883" s="3">
        <v>8.2181406159119774</v>
      </c>
      <c r="BP883" s="3">
        <v>10.334807282578645</v>
      </c>
      <c r="BQ883" s="3">
        <v>10.751473949245302</v>
      </c>
      <c r="BR883" s="3">
        <v>8.378140615911974</v>
      </c>
      <c r="BS883" s="3">
        <v>7.0814739492453072</v>
      </c>
      <c r="BT883" s="3">
        <v>7.1781406159119783</v>
      </c>
      <c r="BU883" s="3">
        <v>6.8448072825786426</v>
      </c>
      <c r="BV883" s="3">
        <v>5.9614739492453097</v>
      </c>
      <c r="BW883" s="3">
        <v>6.7948072825786454</v>
      </c>
      <c r="BX883" s="3">
        <v>6.91480728257865</v>
      </c>
      <c r="BY883" s="3">
        <v>9.7348072825786431</v>
      </c>
      <c r="BZ883" s="3">
        <v>29.66480728257865</v>
      </c>
      <c r="CA883" s="3">
        <v>11.664807282578636</v>
      </c>
      <c r="CB883" s="3">
        <v>8.2014739492453046</v>
      </c>
      <c r="CC883" s="3">
        <v>8.71480728257864</v>
      </c>
      <c r="CD883" s="3">
        <v>8.1214739492453134</v>
      </c>
      <c r="CE883" s="3">
        <v>8.6148072825786386</v>
      </c>
      <c r="CF883" s="3">
        <v>-0.97185938408802386</v>
      </c>
      <c r="CG883" s="3">
        <v>-1.5051927174213553</v>
      </c>
      <c r="CH883" s="3">
        <v>-2.5818593840880233</v>
      </c>
      <c r="CI883" s="13">
        <f>[1]!dbasum(RecData[[#This Row],[20]:[2000]],RecData[[#Headers],[20]:[2000]])</f>
        <v>16.22655826300678</v>
      </c>
      <c r="CJ883" s="14">
        <v>9963</v>
      </c>
      <c r="CK883" s="15" t="s">
        <v>249</v>
      </c>
      <c r="CL883" s="15">
        <f>RecData[[#This Row],[Start Time]]</f>
        <v>43274.062500000007</v>
      </c>
      <c r="CM883" s="16">
        <f>RecData[[#This Row],[Wind Speed avg]]</f>
        <v>0.54</v>
      </c>
      <c r="CN883" s="16">
        <f>RecData[[#This Row],[Wind Dir. avg]]</f>
        <v>145.19999999999999</v>
      </c>
      <c r="CO883" s="16">
        <f>RecData[[#This Row],[Amb. Humidity]]</f>
        <v>84.7</v>
      </c>
      <c r="CP883" s="16">
        <f>RecData[[#This Row],[Amb. Temperature]]</f>
        <v>11.2</v>
      </c>
      <c r="CQ883" s="17">
        <f>RecData[[#This Row],[Amb. Rain Gauge]]</f>
        <v>0</v>
      </c>
      <c r="CR883" s="4" t="s">
        <v>50</v>
      </c>
      <c r="CS883" s="4" t="s">
        <v>49</v>
      </c>
      <c r="CT883" s="70">
        <v>-8.7180976867675692</v>
      </c>
      <c r="CU883" s="70">
        <v>61.000514984130803</v>
      </c>
      <c r="CV883" s="70">
        <v>2.5195827484130802</v>
      </c>
      <c r="CW883" s="70">
        <v>0</v>
      </c>
      <c r="CX883" s="109"/>
      <c r="CY883" s="110"/>
      <c r="CZ883" s="2" t="b">
        <f>IF($DP$1="YES",IF(RecData[[#This Row],[Power (kW)]]&gt;=$CR$3, TRUE,FALSE),TRUE)</f>
        <v>0</v>
      </c>
      <c r="DA883" s="16">
        <f>MIN(MOD(180-ABS(ABS($DA$1-RecData[Yaw Angle (°)])-180),360),MOD(180-ABS(ABS($DB$1-RecData[Yaw Angle (°)])-180),360))</f>
        <v>53.470588206443253</v>
      </c>
      <c r="DB883" s="2" t="str">
        <f>IF($DP$2="None","None",IF(RecData[[#This Row],[Relative Wind Direction]]&lt;=45,"DW",IF(RecData[[#This Row],[Relative Wind Direction]]&lt;=135,"CW","UW")))</f>
        <v>CW</v>
      </c>
      <c r="DC883" s="61">
        <f>IF($CL883-$CL879&gt;1/24,#REF!,IF(SUM($CQ879:$CQ883)&gt;$DS$1,$DS$5,DC884-1))</f>
        <v>-2</v>
      </c>
      <c r="DD883" s="61">
        <f>IF($CL884-$CL883&gt;1/24,#REF!,IF(SUM($CQ879:$CQ883)&gt;$DS$1,$DS$6,DD882-1))</f>
        <v>-9</v>
      </c>
      <c r="DE883" s="18" t="b">
        <v>0</v>
      </c>
      <c r="DF883" s="2" t="b">
        <f>IF(OR(RecData[[#This Row],[WSpd_Avg '[m/s']]]-RecData[[#This Row],[Wind Speed min]]&gt;=$DF$3,RecData[[#This Row],[Wind Speed max]]-RecData[[#This Row],[WSpd_Avg '[m/s']]]&gt;=$DF$2),TRUE,FALSE)</f>
        <v>0</v>
      </c>
      <c r="DG883" s="2" t="b">
        <f>RecData[[#This Row],[Temperature '[°C']]]&lt;=-20</f>
        <v>0</v>
      </c>
      <c r="DH883" s="18" t="b">
        <f>NOT(OR(MOD(RecData[[#This Row],[TIMESTAMP]],1)&gt;0.91632,MOD(RecData[[#This Row],[TIMESTAMP]],1)&lt;0.208681))</f>
        <v>0</v>
      </c>
      <c r="DI883" s="18" t="b">
        <f>RecData[[#This Row],[Overall (dBA)]]-RecData[[#This Row],[L90]]&gt;=$DS$4</f>
        <v>0</v>
      </c>
      <c r="DJ883" s="18" t="b">
        <f>RecData[[#This Row],[Overall (dBA)]]&gt;$DS$2</f>
        <v>0</v>
      </c>
      <c r="DK883" s="18" t="b">
        <f>RecData[[#This Row],[Overall (dBA)]]&lt;$DS$3</f>
        <v>0</v>
      </c>
      <c r="DL8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3" s="2">
        <f>IF(AND(RecData[[#This Row],[Turbines ON/OFF]] = "OFF", NOT(OR(RecData[[#This Row],[Junk?]]="YES",RecData[[#This Row],[Gust?]],RecData[[#This Row],[Rain?]:[Min SPL Threshold?]]))),1,0)</f>
        <v>1</v>
      </c>
      <c r="DN883" s="16">
        <f>RecData[[#This Row],[dBA Sum]]</f>
        <v>16.22655826300678</v>
      </c>
      <c r="DO883" s="16">
        <f>RecData[[#This Row],[LAF90.0]]</f>
        <v>19.100000000000001</v>
      </c>
      <c r="DP883" s="55" t="str">
        <f>IF(AND(RecData[[#This Row],[Useable TON Data?]],RecData[[#This Row],[Turbines ON/OFF]]="ON"),RecData[[#This Row],[dBA Sum]],"")</f>
        <v/>
      </c>
      <c r="DQ883" s="55">
        <f>IF(AND(RecData[[#This Row],[Useable Background Data?]],RecData[[#This Row],[Turbines ON/OFF]]="OFF"),RecData[[#This Row],[dBA Sum]],"")</f>
        <v>16.22655826300678</v>
      </c>
      <c r="DR883" s="3">
        <f>IF(OR(RecData[[#This Row],[Useable TON Data?]],RecData[[#This Row],[Useable Background Data?]]),ROUND(RecData[[#This Row],[WSpd_Avg '[m/s']]],0),"")</f>
        <v>1</v>
      </c>
      <c r="DS883" s="85">
        <f>(0.00002)^2*(10^(RecData[[#This Row],[Overall (dBA)]]/10))</f>
        <v>1.6777058451798272E-8</v>
      </c>
    </row>
    <row r="884" spans="1:123" ht="15" x14ac:dyDescent="0.25">
      <c r="A884" s="3" t="s">
        <v>249</v>
      </c>
      <c r="B884" s="12">
        <v>43274.063194444447</v>
      </c>
      <c r="C884" s="3"/>
      <c r="D884" s="3">
        <v>30.7</v>
      </c>
      <c r="E884" s="3"/>
      <c r="F884" s="3"/>
      <c r="G884" s="3"/>
      <c r="H884" s="3"/>
      <c r="I884" s="3"/>
      <c r="J884" s="3"/>
      <c r="K884" s="3">
        <v>19</v>
      </c>
      <c r="L884" s="3"/>
      <c r="M884" s="3"/>
      <c r="N884" s="3">
        <v>141.5</v>
      </c>
      <c r="O884" s="3"/>
      <c r="P884" s="3"/>
      <c r="Q884" s="3">
        <v>0.56999999999999995</v>
      </c>
      <c r="R884" s="3">
        <v>0.5</v>
      </c>
      <c r="S884" s="3">
        <v>0.7</v>
      </c>
      <c r="T884" s="3">
        <v>11.2</v>
      </c>
      <c r="U884" s="3">
        <v>83.8</v>
      </c>
      <c r="V884" s="3">
        <v>967.3</v>
      </c>
      <c r="W884" s="3">
        <v>0</v>
      </c>
      <c r="X884" s="3">
        <v>17.600000000000001</v>
      </c>
      <c r="Y884" s="3">
        <v>14.4</v>
      </c>
      <c r="Z884" s="3">
        <v>17</v>
      </c>
      <c r="AA884" s="3">
        <v>13.7</v>
      </c>
      <c r="AB884" s="3">
        <v>12.2</v>
      </c>
      <c r="AC884" s="3">
        <v>4.9000000000000004</v>
      </c>
      <c r="AD884" s="3">
        <v>9.9</v>
      </c>
      <c r="AE884" s="3">
        <v>8.9</v>
      </c>
      <c r="AF884" s="3">
        <v>11.3</v>
      </c>
      <c r="AG884" s="3">
        <v>9.9</v>
      </c>
      <c r="AH884" s="3">
        <v>7.8</v>
      </c>
      <c r="AI884" s="3">
        <v>7.5</v>
      </c>
      <c r="AJ884" s="3">
        <v>10.5</v>
      </c>
      <c r="AK884" s="3">
        <v>10.199999999999999</v>
      </c>
      <c r="AL884" s="3">
        <v>7.6</v>
      </c>
      <c r="AM884" s="3">
        <v>6.6</v>
      </c>
      <c r="AN884" s="3">
        <v>6.5</v>
      </c>
      <c r="AO884" s="3">
        <v>6.5</v>
      </c>
      <c r="AP884" s="3">
        <v>6</v>
      </c>
      <c r="AQ884" s="3">
        <v>6.2</v>
      </c>
      <c r="AR884" s="3">
        <v>6.7</v>
      </c>
      <c r="AS884" s="3">
        <v>9.9</v>
      </c>
      <c r="AT884" s="3">
        <v>29.2</v>
      </c>
      <c r="AU884" s="3">
        <v>10.7</v>
      </c>
      <c r="AV884" s="3">
        <v>8.4</v>
      </c>
      <c r="AW884" s="3">
        <v>8.8000000000000007</v>
      </c>
      <c r="AX884" s="3">
        <v>8.9</v>
      </c>
      <c r="AY884" s="3">
        <v>9.1</v>
      </c>
      <c r="AZ884" s="3">
        <v>0</v>
      </c>
      <c r="BA884" s="3">
        <v>0</v>
      </c>
      <c r="BB884" s="3">
        <v>0</v>
      </c>
      <c r="BC884" s="3">
        <v>30.745632207769141</v>
      </c>
      <c r="BD884" s="3">
        <v>17.554367792230856</v>
      </c>
      <c r="BE884" s="3">
        <v>14.35436779223086</v>
      </c>
      <c r="BF884" s="3">
        <v>15.71436779223086</v>
      </c>
      <c r="BG884" s="3">
        <v>12.741034458897524</v>
      </c>
      <c r="BH884" s="3">
        <v>11.381034458897524</v>
      </c>
      <c r="BI884" s="3">
        <v>4.4943677922308609</v>
      </c>
      <c r="BJ884" s="3">
        <v>10.28770112556419</v>
      </c>
      <c r="BK884" s="3">
        <v>9.1610344588975252</v>
      </c>
      <c r="BL884" s="3">
        <v>11.134367792230861</v>
      </c>
      <c r="BM884" s="3">
        <v>9.8677011255641958</v>
      </c>
      <c r="BN884" s="3">
        <v>8.0510344588975258</v>
      </c>
      <c r="BO884" s="3">
        <v>7.1177011255641958</v>
      </c>
      <c r="BP884" s="3">
        <v>9.8343677922308572</v>
      </c>
      <c r="BQ884" s="3">
        <v>9.9510344588975173</v>
      </c>
      <c r="BR884" s="3">
        <v>7.6777011255641909</v>
      </c>
      <c r="BS884" s="3">
        <v>6.4810344588975255</v>
      </c>
      <c r="BT884" s="3">
        <v>6.5777011255641966</v>
      </c>
      <c r="BU884" s="3">
        <v>6.5443677922308652</v>
      </c>
      <c r="BV884" s="3">
        <v>5.7610344588975266</v>
      </c>
      <c r="BW884" s="3">
        <v>6.4943677922308609</v>
      </c>
      <c r="BX884" s="3">
        <v>6.9143677922308626</v>
      </c>
      <c r="BY884" s="3">
        <v>9.9343677922308586</v>
      </c>
      <c r="BZ884" s="3">
        <v>29.364367792230858</v>
      </c>
      <c r="CA884" s="3">
        <v>10.964367792230853</v>
      </c>
      <c r="CB884" s="3">
        <v>8.1010344588975229</v>
      </c>
      <c r="CC884" s="3">
        <v>8.7143677922308598</v>
      </c>
      <c r="CD884" s="3">
        <v>8.1210344588975332</v>
      </c>
      <c r="CE884" s="3">
        <v>8.5143677922308569</v>
      </c>
      <c r="CF884" s="3">
        <v>-0.97229887443580765</v>
      </c>
      <c r="CG884" s="3">
        <v>-1.5056322077691391</v>
      </c>
      <c r="CH884" s="3">
        <v>-2.5822988744358071</v>
      </c>
      <c r="CI884" s="13">
        <f>[1]!dbasum(RecData[[#This Row],[20]:[2000]],RecData[[#Headers],[20]:[2000]])</f>
        <v>15.781806340730016</v>
      </c>
      <c r="CJ884" s="14">
        <v>9964</v>
      </c>
      <c r="CK884" s="15" t="s">
        <v>249</v>
      </c>
      <c r="CL884" s="15">
        <f>RecData[[#This Row],[Start Time]]</f>
        <v>43274.063194444447</v>
      </c>
      <c r="CM884" s="16">
        <f>RecData[[#This Row],[Wind Speed avg]]</f>
        <v>0.56999999999999995</v>
      </c>
      <c r="CN884" s="16">
        <f>RecData[[#This Row],[Wind Dir. avg]]</f>
        <v>141.5</v>
      </c>
      <c r="CO884" s="16">
        <f>RecData[[#This Row],[Amb. Humidity]]</f>
        <v>83.8</v>
      </c>
      <c r="CP884" s="16">
        <f>RecData[[#This Row],[Amb. Temperature]]</f>
        <v>11.2</v>
      </c>
      <c r="CQ884" s="17">
        <f>RecData[[#This Row],[Amb. Rain Gauge]]</f>
        <v>0</v>
      </c>
      <c r="CR884" s="4" t="s">
        <v>50</v>
      </c>
      <c r="CS884" s="4" t="s">
        <v>49</v>
      </c>
      <c r="CT884" s="70">
        <v>-8.9324264526367099</v>
      </c>
      <c r="CU884" s="70">
        <v>63.861454010009702</v>
      </c>
      <c r="CV884" s="70">
        <v>2.6919903755187899</v>
      </c>
      <c r="CW884" s="70">
        <v>0</v>
      </c>
      <c r="CX884" s="109"/>
      <c r="CY884" s="110"/>
      <c r="CZ884" s="2" t="b">
        <f>IF($DP$1="YES",IF(RecData[[#This Row],[Power (kW)]]&gt;=$CR$3, TRUE,FALSE),TRUE)</f>
        <v>0</v>
      </c>
      <c r="DA884" s="16">
        <f>MIN(MOD(180-ABS(ABS($DA$1-RecData[Yaw Angle (°)])-180),360),MOD(180-ABS(ABS($DB$1-RecData[Yaw Angle (°)])-180),360))</f>
        <v>56.331527232322145</v>
      </c>
      <c r="DB884" s="2" t="str">
        <f>IF($DP$2="None","None",IF(RecData[[#This Row],[Relative Wind Direction]]&lt;=45,"DW",IF(RecData[[#This Row],[Relative Wind Direction]]&lt;=135,"CW","UW")))</f>
        <v>CW</v>
      </c>
      <c r="DC884" s="61">
        <v>-1</v>
      </c>
      <c r="DD884" s="61">
        <v>-1</v>
      </c>
      <c r="DE884" s="18" t="b">
        <v>0</v>
      </c>
      <c r="DF884" s="2" t="b">
        <f>IF(OR(RecData[[#This Row],[WSpd_Avg '[m/s']]]-RecData[[#This Row],[Wind Speed min]]&gt;=$DF$3,RecData[[#This Row],[Wind Speed max]]-RecData[[#This Row],[WSpd_Avg '[m/s']]]&gt;=$DF$2),TRUE,FALSE)</f>
        <v>0</v>
      </c>
      <c r="DG884" s="2" t="b">
        <f>RecData[[#This Row],[Temperature '[°C']]]&lt;=-20</f>
        <v>0</v>
      </c>
      <c r="DH884" s="18" t="b">
        <f>NOT(OR(MOD(RecData[[#This Row],[TIMESTAMP]],1)&gt;0.91632,MOD(RecData[[#This Row],[TIMESTAMP]],1)&lt;0.208681))</f>
        <v>0</v>
      </c>
      <c r="DI884" s="18" t="b">
        <f>RecData[[#This Row],[Overall (dBA)]]-RecData[[#This Row],[L90]]&gt;=$DS$4</f>
        <v>0</v>
      </c>
      <c r="DJ884" s="18" t="b">
        <f>RecData[[#This Row],[Overall (dBA)]]&gt;$DS$2</f>
        <v>0</v>
      </c>
      <c r="DK884" s="18" t="b">
        <f>RecData[[#This Row],[Overall (dBA)]]&lt;$DS$3</f>
        <v>0</v>
      </c>
      <c r="DL8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4" s="2">
        <f>IF(AND(RecData[[#This Row],[Turbines ON/OFF]] = "OFF", NOT(OR(RecData[[#This Row],[Junk?]]="YES",RecData[[#This Row],[Gust?]],RecData[[#This Row],[Rain?]:[Min SPL Threshold?]]))),1,0)</f>
        <v>1</v>
      </c>
      <c r="DN884" s="16">
        <f>RecData[[#This Row],[dBA Sum]]</f>
        <v>15.781806340730016</v>
      </c>
      <c r="DO884" s="16">
        <f>RecData[[#This Row],[LAF90.0]]</f>
        <v>19</v>
      </c>
      <c r="DP884" s="55" t="str">
        <f>IF(AND(RecData[[#This Row],[Useable TON Data?]],RecData[[#This Row],[Turbines ON/OFF]]="ON"),RecData[[#This Row],[dBA Sum]],"")</f>
        <v/>
      </c>
      <c r="DQ884" s="55">
        <f>IF(AND(RecData[[#This Row],[Useable Background Data?]],RecData[[#This Row],[Turbines ON/OFF]]="OFF"),RecData[[#This Row],[dBA Sum]],"")</f>
        <v>15.781806340730016</v>
      </c>
      <c r="DR884" s="3">
        <f>IF(OR(RecData[[#This Row],[Useable TON Data?]],RecData[[#This Row],[Useable Background Data?]]),ROUND(RecData[[#This Row],[WSpd_Avg '[m/s']]],0),"")</f>
        <v>1</v>
      </c>
      <c r="DS884" s="85">
        <f>(0.00002)^2*(10^(RecData[[#This Row],[Overall (dBA)]]/10))</f>
        <v>1.5144000852413502E-8</v>
      </c>
    </row>
    <row r="885" spans="1:123" ht="15" x14ac:dyDescent="0.25">
      <c r="A885" s="3" t="s">
        <v>249</v>
      </c>
      <c r="B885" s="12">
        <v>43274.063888888893</v>
      </c>
      <c r="C885" s="3"/>
      <c r="D885" s="3">
        <v>32.299999999999997</v>
      </c>
      <c r="E885" s="3"/>
      <c r="F885" s="3"/>
      <c r="G885" s="3"/>
      <c r="H885" s="3"/>
      <c r="I885" s="3"/>
      <c r="J885" s="3"/>
      <c r="K885" s="3">
        <v>19.399999999999999</v>
      </c>
      <c r="L885" s="3"/>
      <c r="M885" s="3"/>
      <c r="N885" s="3">
        <v>135.30000000000001</v>
      </c>
      <c r="O885" s="3"/>
      <c r="P885" s="3"/>
      <c r="Q885" s="3">
        <v>0.56999999999999995</v>
      </c>
      <c r="R885" s="3">
        <v>0.4</v>
      </c>
      <c r="S885" s="3">
        <v>0.7</v>
      </c>
      <c r="T885" s="3">
        <v>11.2</v>
      </c>
      <c r="U885" s="3">
        <v>83.2</v>
      </c>
      <c r="V885" s="3">
        <v>967.3</v>
      </c>
      <c r="W885" s="3">
        <v>0</v>
      </c>
      <c r="X885" s="3">
        <v>19.399999999999999</v>
      </c>
      <c r="Y885" s="3">
        <v>14.9</v>
      </c>
      <c r="Z885" s="3">
        <v>16.8</v>
      </c>
      <c r="AA885" s="3">
        <v>11.7</v>
      </c>
      <c r="AB885" s="3">
        <v>10.3</v>
      </c>
      <c r="AC885" s="3">
        <v>6.2</v>
      </c>
      <c r="AD885" s="3">
        <v>9</v>
      </c>
      <c r="AE885" s="3">
        <v>8.8000000000000007</v>
      </c>
      <c r="AF885" s="3">
        <v>12</v>
      </c>
      <c r="AG885" s="3">
        <v>9.5</v>
      </c>
      <c r="AH885" s="3">
        <v>7.7</v>
      </c>
      <c r="AI885" s="3">
        <v>7.2</v>
      </c>
      <c r="AJ885" s="3">
        <v>10.7</v>
      </c>
      <c r="AK885" s="3">
        <v>10.1</v>
      </c>
      <c r="AL885" s="3">
        <v>7.8</v>
      </c>
      <c r="AM885" s="3">
        <v>6.7</v>
      </c>
      <c r="AN885" s="3">
        <v>6.3</v>
      </c>
      <c r="AO885" s="3">
        <v>6.2</v>
      </c>
      <c r="AP885" s="3">
        <v>6</v>
      </c>
      <c r="AQ885" s="3">
        <v>6.2</v>
      </c>
      <c r="AR885" s="3">
        <v>6.4</v>
      </c>
      <c r="AS885" s="3">
        <v>10.4</v>
      </c>
      <c r="AT885" s="3">
        <v>30.9</v>
      </c>
      <c r="AU885" s="3">
        <v>12.2</v>
      </c>
      <c r="AV885" s="3">
        <v>8.5</v>
      </c>
      <c r="AW885" s="3">
        <v>8.8000000000000007</v>
      </c>
      <c r="AX885" s="3">
        <v>8.9</v>
      </c>
      <c r="AY885" s="3">
        <v>9.1</v>
      </c>
      <c r="AZ885" s="3">
        <v>0</v>
      </c>
      <c r="BA885" s="3">
        <v>0</v>
      </c>
      <c r="BB885" s="3">
        <v>0</v>
      </c>
      <c r="BC885" s="3">
        <v>32.353929765642192</v>
      </c>
      <c r="BD885" s="3">
        <v>19.346070234357803</v>
      </c>
      <c r="BE885" s="3">
        <v>14.846070234357803</v>
      </c>
      <c r="BF885" s="3">
        <v>15.506070234357807</v>
      </c>
      <c r="BG885" s="3">
        <v>10.732736901024467</v>
      </c>
      <c r="BH885" s="3">
        <v>9.4727369010244757</v>
      </c>
      <c r="BI885" s="3">
        <v>5.7860702343578083</v>
      </c>
      <c r="BJ885" s="3">
        <v>9.3794035676911349</v>
      </c>
      <c r="BK885" s="3">
        <v>9.0527369010244669</v>
      </c>
      <c r="BL885" s="3">
        <v>11.826070234357807</v>
      </c>
      <c r="BM885" s="3">
        <v>9.4594035676911403</v>
      </c>
      <c r="BN885" s="3">
        <v>7.9427369010244746</v>
      </c>
      <c r="BO885" s="3">
        <v>6.8094035676911417</v>
      </c>
      <c r="BP885" s="3">
        <v>10.026070234357803</v>
      </c>
      <c r="BQ885" s="3">
        <v>9.8427369010244661</v>
      </c>
      <c r="BR885" s="3">
        <v>7.8694035676911369</v>
      </c>
      <c r="BS885" s="3">
        <v>6.5727369010244701</v>
      </c>
      <c r="BT885" s="3">
        <v>6.3694035676911369</v>
      </c>
      <c r="BU885" s="3">
        <v>6.2360702343578112</v>
      </c>
      <c r="BV885" s="3">
        <v>5.7527369010244698</v>
      </c>
      <c r="BW885" s="3">
        <v>6.4860702343578112</v>
      </c>
      <c r="BX885" s="3">
        <v>6.6060702343578086</v>
      </c>
      <c r="BY885" s="3">
        <v>10.426070234357802</v>
      </c>
      <c r="BZ885" s="3">
        <v>31.056070234357804</v>
      </c>
      <c r="CA885" s="3">
        <v>12.456070234357796</v>
      </c>
      <c r="CB885" s="3">
        <v>8.1927369010244675</v>
      </c>
      <c r="CC885" s="3">
        <v>8.7060702343578029</v>
      </c>
      <c r="CD885" s="3">
        <v>8.1127369010244763</v>
      </c>
      <c r="CE885" s="3">
        <v>8.5060702343578072</v>
      </c>
      <c r="CF885" s="3">
        <v>-0.98059643230886095</v>
      </c>
      <c r="CG885" s="3">
        <v>-1.5139297656421924</v>
      </c>
      <c r="CH885" s="3">
        <v>-2.5905964323088604</v>
      </c>
      <c r="CI885" s="13">
        <f>[1]!dbasum(RecData[[#This Row],[20]:[2000]],RecData[[#Headers],[20]:[2000]])</f>
        <v>15.687145419532127</v>
      </c>
      <c r="CJ885" s="14">
        <v>9965</v>
      </c>
      <c r="CK885" s="15" t="s">
        <v>249</v>
      </c>
      <c r="CL885" s="15">
        <f>RecData[[#This Row],[Start Time]]</f>
        <v>43274.063888888893</v>
      </c>
      <c r="CM885" s="16">
        <f>RecData[[#This Row],[Wind Speed avg]]</f>
        <v>0.56999999999999995</v>
      </c>
      <c r="CN885" s="16">
        <f>RecData[[#This Row],[Wind Dir. avg]]</f>
        <v>135.30000000000001</v>
      </c>
      <c r="CO885" s="16">
        <f>RecData[[#This Row],[Amb. Humidity]]</f>
        <v>83.2</v>
      </c>
      <c r="CP885" s="16">
        <f>RecData[[#This Row],[Amb. Temperature]]</f>
        <v>11.2</v>
      </c>
      <c r="CQ885" s="17">
        <f>RecData[[#This Row],[Amb. Rain Gauge]]</f>
        <v>0</v>
      </c>
      <c r="CR885" s="4" t="s">
        <v>50</v>
      </c>
      <c r="CS885" s="4" t="s">
        <v>49</v>
      </c>
      <c r="CT885" s="70">
        <v>-8.9324264526367099</v>
      </c>
      <c r="CU885" s="70">
        <v>63.861454010009702</v>
      </c>
      <c r="CV885" s="70">
        <v>2.6919903755187899</v>
      </c>
      <c r="CW885" s="70">
        <v>0</v>
      </c>
      <c r="CX885" s="109"/>
      <c r="CY885" s="110"/>
      <c r="CZ885" s="2" t="b">
        <f>IF($DP$1="YES",IF(RecData[[#This Row],[Power (kW)]]&gt;=$CR$3, TRUE,FALSE),TRUE)</f>
        <v>0</v>
      </c>
      <c r="DA885" s="16">
        <f>MIN(MOD(180-ABS(ABS($DA$1-RecData[Yaw Angle (°)])-180),360),MOD(180-ABS(ABS($DB$1-RecData[Yaw Angle (°)])-180),360))</f>
        <v>56.331527232322145</v>
      </c>
      <c r="DB885" s="2" t="str">
        <f>IF($DP$2="None","None",IF(RecData[[#This Row],[Relative Wind Direction]]&lt;=45,"DW",IF(RecData[[#This Row],[Relative Wind Direction]]&lt;=135,"CW","UW")))</f>
        <v>CW</v>
      </c>
      <c r="DC885" s="61">
        <f>IF($CL885-$CL884&gt;1/24,#REF!,IF(SUM($CQ884:$CQ885)&gt;$DS$1,$DS$5,DC886-1))</f>
        <v>-9</v>
      </c>
      <c r="DD885" s="61">
        <f>IF($CL886-$CL885&gt;1/24,#REF!,IF(SUM($CQ884:$CQ885)&gt;$DS$1,$DS$6,DD884-1))</f>
        <v>-2</v>
      </c>
      <c r="DE885" s="18" t="b">
        <v>0</v>
      </c>
      <c r="DF885" s="2" t="b">
        <f>IF(OR(RecData[[#This Row],[WSpd_Avg '[m/s']]]-RecData[[#This Row],[Wind Speed min]]&gt;=$DF$3,RecData[[#This Row],[Wind Speed max]]-RecData[[#This Row],[WSpd_Avg '[m/s']]]&gt;=$DF$2),TRUE,FALSE)</f>
        <v>0</v>
      </c>
      <c r="DG885" s="2" t="b">
        <f>RecData[[#This Row],[Temperature '[°C']]]&lt;=-20</f>
        <v>0</v>
      </c>
      <c r="DH885" s="18" t="b">
        <f>NOT(OR(MOD(RecData[[#This Row],[TIMESTAMP]],1)&gt;0.91632,MOD(RecData[[#This Row],[TIMESTAMP]],1)&lt;0.208681))</f>
        <v>0</v>
      </c>
      <c r="DI885" s="18" t="b">
        <f>RecData[[#This Row],[Overall (dBA)]]-RecData[[#This Row],[L90]]&gt;=$DS$4</f>
        <v>0</v>
      </c>
      <c r="DJ885" s="18" t="b">
        <f>RecData[[#This Row],[Overall (dBA)]]&gt;$DS$2</f>
        <v>0</v>
      </c>
      <c r="DK885" s="18" t="b">
        <f>RecData[[#This Row],[Overall (dBA)]]&lt;$DS$3</f>
        <v>0</v>
      </c>
      <c r="DL8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5" s="2">
        <f>IF(AND(RecData[[#This Row],[Turbines ON/OFF]] = "OFF", NOT(OR(RecData[[#This Row],[Junk?]]="YES",RecData[[#This Row],[Gust?]],RecData[[#This Row],[Rain?]:[Min SPL Threshold?]]))),1,0)</f>
        <v>1</v>
      </c>
      <c r="DN885" s="16">
        <f>RecData[[#This Row],[dBA Sum]]</f>
        <v>15.687145419532127</v>
      </c>
      <c r="DO885" s="16">
        <f>RecData[[#This Row],[LAF90.0]]</f>
        <v>19.399999999999999</v>
      </c>
      <c r="DP885" s="55" t="str">
        <f>IF(AND(RecData[[#This Row],[Useable TON Data?]],RecData[[#This Row],[Turbines ON/OFF]]="ON"),RecData[[#This Row],[dBA Sum]],"")</f>
        <v/>
      </c>
      <c r="DQ885" s="55">
        <f>IF(AND(RecData[[#This Row],[Useable Background Data?]],RecData[[#This Row],[Turbines ON/OFF]]="OFF"),RecData[[#This Row],[dBA Sum]],"")</f>
        <v>15.687145419532127</v>
      </c>
      <c r="DR885" s="3">
        <f>IF(OR(RecData[[#This Row],[Useable TON Data?]],RecData[[#This Row],[Useable Background Data?]]),ROUND(RecData[[#This Row],[WSpd_Avg '[m/s']]],0),"")</f>
        <v>1</v>
      </c>
      <c r="DS885" s="85">
        <f>(0.00002)^2*(10^(RecData[[#This Row],[Overall (dBA)]]/10))</f>
        <v>1.48174862628568E-8</v>
      </c>
    </row>
    <row r="886" spans="1:123" ht="15" x14ac:dyDescent="0.25">
      <c r="A886" s="3" t="s">
        <v>249</v>
      </c>
      <c r="B886" s="12">
        <v>43274.06458333334</v>
      </c>
      <c r="C886" s="3"/>
      <c r="D886" s="3">
        <v>22.7</v>
      </c>
      <c r="E886" s="3"/>
      <c r="F886" s="3"/>
      <c r="G886" s="3"/>
      <c r="H886" s="3"/>
      <c r="I886" s="3"/>
      <c r="J886" s="3"/>
      <c r="K886" s="3">
        <v>18.8</v>
      </c>
      <c r="L886" s="3"/>
      <c r="M886" s="3"/>
      <c r="N886" s="3">
        <v>116.3</v>
      </c>
      <c r="O886" s="3"/>
      <c r="P886" s="3"/>
      <c r="Q886" s="3">
        <v>0.4</v>
      </c>
      <c r="R886" s="3">
        <v>0.2</v>
      </c>
      <c r="S886" s="3">
        <v>0.6</v>
      </c>
      <c r="T886" s="3">
        <v>11.2</v>
      </c>
      <c r="U886" s="3">
        <v>83.8</v>
      </c>
      <c r="V886" s="3">
        <v>967.3</v>
      </c>
      <c r="W886" s="3">
        <v>0</v>
      </c>
      <c r="X886" s="3">
        <v>20</v>
      </c>
      <c r="Y886" s="3">
        <v>15.3</v>
      </c>
      <c r="Z886" s="3">
        <v>15.7</v>
      </c>
      <c r="AA886" s="3">
        <v>10.9</v>
      </c>
      <c r="AB886" s="3">
        <v>9.3000000000000007</v>
      </c>
      <c r="AC886" s="3">
        <v>11.2</v>
      </c>
      <c r="AD886" s="3">
        <v>10.7</v>
      </c>
      <c r="AE886" s="3">
        <v>9.4</v>
      </c>
      <c r="AF886" s="3">
        <v>12.1</v>
      </c>
      <c r="AG886" s="3">
        <v>10.8</v>
      </c>
      <c r="AH886" s="3">
        <v>8.6</v>
      </c>
      <c r="AI886" s="3">
        <v>7.8</v>
      </c>
      <c r="AJ886" s="3">
        <v>10.9</v>
      </c>
      <c r="AK886" s="3">
        <v>10.5</v>
      </c>
      <c r="AL886" s="3">
        <v>7.6</v>
      </c>
      <c r="AM886" s="3">
        <v>6.4</v>
      </c>
      <c r="AN886" s="3">
        <v>6.3</v>
      </c>
      <c r="AO886" s="3">
        <v>6.2</v>
      </c>
      <c r="AP886" s="3">
        <v>5.9</v>
      </c>
      <c r="AQ886" s="3">
        <v>6.3</v>
      </c>
      <c r="AR886" s="3">
        <v>6.3</v>
      </c>
      <c r="AS886" s="3">
        <v>7.5</v>
      </c>
      <c r="AT886" s="3">
        <v>18.8</v>
      </c>
      <c r="AU886" s="3">
        <v>10.7</v>
      </c>
      <c r="AV886" s="3">
        <v>8</v>
      </c>
      <c r="AW886" s="3">
        <v>8.6</v>
      </c>
      <c r="AX886" s="3">
        <v>8.8000000000000007</v>
      </c>
      <c r="AY886" s="3">
        <v>9.1</v>
      </c>
      <c r="AZ886" s="3">
        <v>0</v>
      </c>
      <c r="BA886" s="3">
        <v>0</v>
      </c>
      <c r="BB886" s="3">
        <v>0</v>
      </c>
      <c r="BC886" s="3">
        <v>22.657449564041965</v>
      </c>
      <c r="BD886" s="3">
        <v>20.042550435958038</v>
      </c>
      <c r="BE886" s="3">
        <v>15.342550435958035</v>
      </c>
      <c r="BF886" s="3">
        <v>14.502550435958032</v>
      </c>
      <c r="BG886" s="3">
        <v>10.029217102624703</v>
      </c>
      <c r="BH886" s="3">
        <v>8.5692171026247017</v>
      </c>
      <c r="BI886" s="3">
        <v>10.882550435958034</v>
      </c>
      <c r="BJ886" s="3">
        <v>11.175883769291364</v>
      </c>
      <c r="BK886" s="3">
        <v>9.7492171026247014</v>
      </c>
      <c r="BL886" s="3">
        <v>12.022550435958035</v>
      </c>
      <c r="BM886" s="3">
        <v>10.855883769291371</v>
      </c>
      <c r="BN886" s="3">
        <v>8.9392171026246992</v>
      </c>
      <c r="BO886" s="3">
        <v>7.5058837692913691</v>
      </c>
      <c r="BP886" s="3">
        <v>10.322550435958039</v>
      </c>
      <c r="BQ886" s="3">
        <v>10.339217102624691</v>
      </c>
      <c r="BR886" s="3">
        <v>7.7658837692913671</v>
      </c>
      <c r="BS886" s="3">
        <v>6.3692171026247024</v>
      </c>
      <c r="BT886" s="3">
        <v>6.46588376929137</v>
      </c>
      <c r="BU886" s="3">
        <v>6.3325504359580371</v>
      </c>
      <c r="BV886" s="3">
        <v>5.7492171026247014</v>
      </c>
      <c r="BW886" s="3">
        <v>6.6825504359580385</v>
      </c>
      <c r="BX886" s="3">
        <v>6.6025504359580403</v>
      </c>
      <c r="BY886" s="3">
        <v>7.6225504359580327</v>
      </c>
      <c r="BZ886" s="3">
        <v>19.052550435958043</v>
      </c>
      <c r="CA886" s="3">
        <v>11.052550435958029</v>
      </c>
      <c r="CB886" s="3">
        <v>7.7892171026247006</v>
      </c>
      <c r="CC886" s="3">
        <v>8.6025504359580331</v>
      </c>
      <c r="CD886" s="3">
        <v>8.109217102624708</v>
      </c>
      <c r="CE886" s="3">
        <v>8.6025504359580331</v>
      </c>
      <c r="CF886" s="3">
        <v>-0.88411623070863143</v>
      </c>
      <c r="CG886" s="3">
        <v>-1.4174495640419629</v>
      </c>
      <c r="CH886" s="3">
        <v>-2.4941162307086309</v>
      </c>
      <c r="CI886" s="13">
        <f>[1]!dbasum(RecData[[#This Row],[20]:[2000]],RecData[[#Headers],[20]:[2000]])</f>
        <v>15.830897759707383</v>
      </c>
      <c r="CJ886" s="14">
        <v>9966</v>
      </c>
      <c r="CK886" s="15" t="s">
        <v>249</v>
      </c>
      <c r="CL886" s="15">
        <f>RecData[[#This Row],[Start Time]]</f>
        <v>43274.06458333334</v>
      </c>
      <c r="CM886" s="16">
        <f>RecData[[#This Row],[Wind Speed avg]]</f>
        <v>0.4</v>
      </c>
      <c r="CN886" s="16">
        <f>RecData[[#This Row],[Wind Dir. avg]]</f>
        <v>116.3</v>
      </c>
      <c r="CO886" s="16">
        <f>RecData[[#This Row],[Amb. Humidity]]</f>
        <v>83.8</v>
      </c>
      <c r="CP886" s="16">
        <f>RecData[[#This Row],[Amb. Temperature]]</f>
        <v>11.2</v>
      </c>
      <c r="CQ886" s="17">
        <f>RecData[[#This Row],[Amb. Rain Gauge]]</f>
        <v>0</v>
      </c>
      <c r="CR886" s="4" t="s">
        <v>50</v>
      </c>
      <c r="CS886" s="4" t="s">
        <v>49</v>
      </c>
      <c r="CT886" s="70">
        <v>-8.9324264526367099</v>
      </c>
      <c r="CU886" s="70">
        <v>63.861454010009702</v>
      </c>
      <c r="CV886" s="70">
        <v>2.6919903755187899</v>
      </c>
      <c r="CW886" s="70">
        <v>0</v>
      </c>
      <c r="CX886" s="109"/>
      <c r="CY886" s="110"/>
      <c r="CZ886" s="2" t="b">
        <f>IF($DP$1="YES",IF(RecData[[#This Row],[Power (kW)]]&gt;=$CR$3, TRUE,FALSE),TRUE)</f>
        <v>0</v>
      </c>
      <c r="DA886" s="16">
        <f>MIN(MOD(180-ABS(ABS($DA$1-RecData[Yaw Angle (°)])-180),360),MOD(180-ABS(ABS($DB$1-RecData[Yaw Angle (°)])-180),360))</f>
        <v>56.331527232322145</v>
      </c>
      <c r="DB886" s="2" t="str">
        <f>IF($DP$2="None","None",IF(RecData[[#This Row],[Relative Wind Direction]]&lt;=45,"DW",IF(RecData[[#This Row],[Relative Wind Direction]]&lt;=135,"CW","UW")))</f>
        <v>CW</v>
      </c>
      <c r="DC886" s="61">
        <f>IF($CL886-$CL884&gt;1/24,#REF!,IF(SUM($CQ884:$CQ886)&gt;$DS$1,$DS$5,DC887-1))</f>
        <v>-8</v>
      </c>
      <c r="DD886" s="61">
        <f>IF($CL887-$CL886&gt;1/24,#REF!,IF(SUM($CQ884:$CQ886)&gt;$DS$1,$DS$6,DD885-1))</f>
        <v>-3</v>
      </c>
      <c r="DE886" s="18" t="b">
        <v>0</v>
      </c>
      <c r="DF886" s="2" t="b">
        <f>IF(OR(RecData[[#This Row],[WSpd_Avg '[m/s']]]-RecData[[#This Row],[Wind Speed min]]&gt;=$DF$3,RecData[[#This Row],[Wind Speed max]]-RecData[[#This Row],[WSpd_Avg '[m/s']]]&gt;=$DF$2),TRUE,FALSE)</f>
        <v>0</v>
      </c>
      <c r="DG886" s="2" t="b">
        <f>RecData[[#This Row],[Temperature '[°C']]]&lt;=-20</f>
        <v>0</v>
      </c>
      <c r="DH886" s="18" t="b">
        <f>NOT(OR(MOD(RecData[[#This Row],[TIMESTAMP]],1)&gt;0.91632,MOD(RecData[[#This Row],[TIMESTAMP]],1)&lt;0.208681))</f>
        <v>0</v>
      </c>
      <c r="DI886" s="18" t="b">
        <f>RecData[[#This Row],[Overall (dBA)]]-RecData[[#This Row],[L90]]&gt;=$DS$4</f>
        <v>0</v>
      </c>
      <c r="DJ886" s="18" t="b">
        <f>RecData[[#This Row],[Overall (dBA)]]&gt;$DS$2</f>
        <v>0</v>
      </c>
      <c r="DK886" s="18" t="b">
        <f>RecData[[#This Row],[Overall (dBA)]]&lt;$DS$3</f>
        <v>0</v>
      </c>
      <c r="DL8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6" s="2">
        <f>IF(AND(RecData[[#This Row],[Turbines ON/OFF]] = "OFF", NOT(OR(RecData[[#This Row],[Junk?]]="YES",RecData[[#This Row],[Gust?]],RecData[[#This Row],[Rain?]:[Min SPL Threshold?]]))),1,0)</f>
        <v>1</v>
      </c>
      <c r="DN886" s="16">
        <f>RecData[[#This Row],[dBA Sum]]</f>
        <v>15.830897759707383</v>
      </c>
      <c r="DO886" s="16">
        <f>RecData[[#This Row],[LAF90.0]]</f>
        <v>18.8</v>
      </c>
      <c r="DP886" s="55" t="str">
        <f>IF(AND(RecData[[#This Row],[Useable TON Data?]],RecData[[#This Row],[Turbines ON/OFF]]="ON"),RecData[[#This Row],[dBA Sum]],"")</f>
        <v/>
      </c>
      <c r="DQ886" s="55">
        <f>IF(AND(RecData[[#This Row],[Useable Background Data?]],RecData[[#This Row],[Turbines ON/OFF]]="OFF"),RecData[[#This Row],[dBA Sum]],"")</f>
        <v>15.830897759707383</v>
      </c>
      <c r="DR886" s="3">
        <f>IF(OR(RecData[[#This Row],[Useable TON Data?]],RecData[[#This Row],[Useable Background Data?]]),ROUND(RecData[[#This Row],[WSpd_Avg '[m/s']]],0),"")</f>
        <v>0</v>
      </c>
      <c r="DS886" s="85">
        <f>(0.00002)^2*(10^(RecData[[#This Row],[Overall (dBA)]]/10))</f>
        <v>1.5316155512290247E-8</v>
      </c>
    </row>
    <row r="887" spans="1:123" ht="15" x14ac:dyDescent="0.25">
      <c r="A887" s="3" t="s">
        <v>249</v>
      </c>
      <c r="B887" s="12">
        <v>43274.06527777778</v>
      </c>
      <c r="C887" s="3"/>
      <c r="D887" s="3">
        <v>29</v>
      </c>
      <c r="E887" s="3"/>
      <c r="F887" s="3"/>
      <c r="G887" s="3"/>
      <c r="H887" s="3"/>
      <c r="I887" s="3"/>
      <c r="J887" s="3"/>
      <c r="K887" s="3">
        <v>19</v>
      </c>
      <c r="L887" s="3"/>
      <c r="M887" s="3"/>
      <c r="N887" s="3">
        <v>122.8</v>
      </c>
      <c r="O887" s="3"/>
      <c r="P887" s="3"/>
      <c r="Q887" s="3">
        <v>0.71</v>
      </c>
      <c r="R887" s="3">
        <v>0.5</v>
      </c>
      <c r="S887" s="3">
        <v>0.9</v>
      </c>
      <c r="T887" s="3">
        <v>11.2</v>
      </c>
      <c r="U887" s="3">
        <v>83.6</v>
      </c>
      <c r="V887" s="3">
        <v>967.3</v>
      </c>
      <c r="W887" s="3">
        <v>0</v>
      </c>
      <c r="X887" s="3">
        <v>23.3</v>
      </c>
      <c r="Y887" s="3">
        <v>24.9</v>
      </c>
      <c r="Z887" s="3">
        <v>24.5</v>
      </c>
      <c r="AA887" s="3">
        <v>13</v>
      </c>
      <c r="AB887" s="3">
        <v>11.6</v>
      </c>
      <c r="AC887" s="3">
        <v>7</v>
      </c>
      <c r="AD887" s="3">
        <v>10.6</v>
      </c>
      <c r="AE887" s="3">
        <v>10</v>
      </c>
      <c r="AF887" s="3">
        <v>12.9</v>
      </c>
      <c r="AG887" s="3">
        <v>10.8</v>
      </c>
      <c r="AH887" s="3">
        <v>7.6</v>
      </c>
      <c r="AI887" s="3">
        <v>7.9</v>
      </c>
      <c r="AJ887" s="3">
        <v>10.1</v>
      </c>
      <c r="AK887" s="3">
        <v>10.6</v>
      </c>
      <c r="AL887" s="3">
        <v>7.5</v>
      </c>
      <c r="AM887" s="3">
        <v>7</v>
      </c>
      <c r="AN887" s="3">
        <v>6.7</v>
      </c>
      <c r="AO887" s="3">
        <v>6.6</v>
      </c>
      <c r="AP887" s="3">
        <v>6.2</v>
      </c>
      <c r="AQ887" s="3">
        <v>6.5</v>
      </c>
      <c r="AR887" s="3">
        <v>6.5</v>
      </c>
      <c r="AS887" s="3">
        <v>8.8000000000000007</v>
      </c>
      <c r="AT887" s="3">
        <v>27.3</v>
      </c>
      <c r="AU887" s="3">
        <v>9.5</v>
      </c>
      <c r="AV887" s="3">
        <v>8.4</v>
      </c>
      <c r="AW887" s="3">
        <v>8.8000000000000007</v>
      </c>
      <c r="AX887" s="3">
        <v>8.9</v>
      </c>
      <c r="AY887" s="3">
        <v>9.1</v>
      </c>
      <c r="AZ887" s="3">
        <v>0</v>
      </c>
      <c r="BA887" s="3">
        <v>0</v>
      </c>
      <c r="BB887" s="3">
        <v>0</v>
      </c>
      <c r="BC887" s="3">
        <v>28.997314510727094</v>
      </c>
      <c r="BD887" s="3">
        <v>23.302685489272903</v>
      </c>
      <c r="BE887" s="3">
        <v>24.902685489272905</v>
      </c>
      <c r="BF887" s="3">
        <v>23.262685489272911</v>
      </c>
      <c r="BG887" s="3">
        <v>12.089352155939572</v>
      </c>
      <c r="BH887" s="3">
        <v>10.829352155939574</v>
      </c>
      <c r="BI887" s="3">
        <v>6.6426854892729068</v>
      </c>
      <c r="BJ887" s="3">
        <v>11.036018822606238</v>
      </c>
      <c r="BK887" s="3">
        <v>10.309352155939571</v>
      </c>
      <c r="BL887" s="3">
        <v>12.782685489272907</v>
      </c>
      <c r="BM887" s="3">
        <v>10.816018822606239</v>
      </c>
      <c r="BN887" s="3">
        <v>7.8993521559395745</v>
      </c>
      <c r="BO887" s="3">
        <v>7.5660188226062459</v>
      </c>
      <c r="BP887" s="3">
        <v>9.4826854892729102</v>
      </c>
      <c r="BQ887" s="3">
        <v>10.399352155939567</v>
      </c>
      <c r="BR887" s="3">
        <v>7.6260188226062411</v>
      </c>
      <c r="BS887" s="3">
        <v>6.9293521559395757</v>
      </c>
      <c r="BT887" s="3">
        <v>6.8260188226062439</v>
      </c>
      <c r="BU887" s="3">
        <v>6.6926854892729111</v>
      </c>
      <c r="BV887" s="3">
        <v>6.0093521559395739</v>
      </c>
      <c r="BW887" s="3">
        <v>6.8426854892729096</v>
      </c>
      <c r="BX887" s="3">
        <v>6.7626854892729114</v>
      </c>
      <c r="BY887" s="3">
        <v>8.8826854892729017</v>
      </c>
      <c r="BZ887" s="3">
        <v>27.512685489272911</v>
      </c>
      <c r="CA887" s="3">
        <v>9.8126854892729014</v>
      </c>
      <c r="CB887" s="3">
        <v>8.1493521559395674</v>
      </c>
      <c r="CC887" s="3">
        <v>8.7626854892729042</v>
      </c>
      <c r="CD887" s="3">
        <v>8.1693521559395776</v>
      </c>
      <c r="CE887" s="3">
        <v>8.5626854892729085</v>
      </c>
      <c r="CF887" s="3">
        <v>-0.92398117739375962</v>
      </c>
      <c r="CG887" s="3">
        <v>-1.4573145107270911</v>
      </c>
      <c r="CH887" s="3">
        <v>-2.5339811773937591</v>
      </c>
      <c r="CI887" s="13">
        <f>[1]!dbasum(RecData[[#This Row],[20]:[2000]],RecData[[#Headers],[20]:[2000]])</f>
        <v>15.976948264695993</v>
      </c>
      <c r="CJ887" s="14">
        <v>9967</v>
      </c>
      <c r="CK887" s="15" t="s">
        <v>249</v>
      </c>
      <c r="CL887" s="15">
        <f>RecData[[#This Row],[Start Time]]</f>
        <v>43274.06527777778</v>
      </c>
      <c r="CM887" s="16">
        <f>RecData[[#This Row],[Wind Speed avg]]</f>
        <v>0.71</v>
      </c>
      <c r="CN887" s="16">
        <f>RecData[[#This Row],[Wind Dir. avg]]</f>
        <v>122.8</v>
      </c>
      <c r="CO887" s="16">
        <f>RecData[[#This Row],[Amb. Humidity]]</f>
        <v>83.6</v>
      </c>
      <c r="CP887" s="16">
        <f>RecData[[#This Row],[Amb. Temperature]]</f>
        <v>11.2</v>
      </c>
      <c r="CQ887" s="17">
        <f>RecData[[#This Row],[Amb. Rain Gauge]]</f>
        <v>0</v>
      </c>
      <c r="CR887" s="4" t="s">
        <v>50</v>
      </c>
      <c r="CS887" s="4" t="s">
        <v>49</v>
      </c>
      <c r="CT887" s="70">
        <v>-8.9324264526367099</v>
      </c>
      <c r="CU887" s="70">
        <v>63.861454010009702</v>
      </c>
      <c r="CV887" s="70">
        <v>2.6919903755187899</v>
      </c>
      <c r="CW887" s="70">
        <v>0</v>
      </c>
      <c r="CX887" s="109"/>
      <c r="CY887" s="110"/>
      <c r="CZ887" s="2" t="b">
        <f>IF($DP$1="YES",IF(RecData[[#This Row],[Power (kW)]]&gt;=$CR$3, TRUE,FALSE),TRUE)</f>
        <v>0</v>
      </c>
      <c r="DA887" s="16">
        <f>MIN(MOD(180-ABS(ABS($DA$1-RecData[Yaw Angle (°)])-180),360),MOD(180-ABS(ABS($DB$1-RecData[Yaw Angle (°)])-180),360))</f>
        <v>56.331527232322145</v>
      </c>
      <c r="DB887" s="2" t="str">
        <f>IF($DP$2="None","None",IF(RecData[[#This Row],[Relative Wind Direction]]&lt;=45,"DW",IF(RecData[[#This Row],[Relative Wind Direction]]&lt;=135,"CW","UW")))</f>
        <v>CW</v>
      </c>
      <c r="DC887" s="61">
        <f>IF($CL887-$CL884&gt;1/24,#REF!,IF(SUM($CQ884:$CQ887)&gt;$DS$1,$DS$5,DC888-1))</f>
        <v>-7</v>
      </c>
      <c r="DD887" s="61">
        <f>IF($CL888-$CL887&gt;1/24,#REF!,IF(SUM($CQ884:$CQ887)&gt;$DS$1,$DS$6,DD886-1))</f>
        <v>-4</v>
      </c>
      <c r="DE887" s="18" t="b">
        <v>0</v>
      </c>
      <c r="DF887" s="2" t="b">
        <f>IF(OR(RecData[[#This Row],[WSpd_Avg '[m/s']]]-RecData[[#This Row],[Wind Speed min]]&gt;=$DF$3,RecData[[#This Row],[Wind Speed max]]-RecData[[#This Row],[WSpd_Avg '[m/s']]]&gt;=$DF$2),TRUE,FALSE)</f>
        <v>0</v>
      </c>
      <c r="DG887" s="2" t="b">
        <f>RecData[[#This Row],[Temperature '[°C']]]&lt;=-20</f>
        <v>0</v>
      </c>
      <c r="DH887" s="18" t="b">
        <f>NOT(OR(MOD(RecData[[#This Row],[TIMESTAMP]],1)&gt;0.91632,MOD(RecData[[#This Row],[TIMESTAMP]],1)&lt;0.208681))</f>
        <v>0</v>
      </c>
      <c r="DI887" s="18" t="b">
        <f>RecData[[#This Row],[Overall (dBA)]]-RecData[[#This Row],[L90]]&gt;=$DS$4</f>
        <v>0</v>
      </c>
      <c r="DJ887" s="18" t="b">
        <f>RecData[[#This Row],[Overall (dBA)]]&gt;$DS$2</f>
        <v>0</v>
      </c>
      <c r="DK887" s="18" t="b">
        <f>RecData[[#This Row],[Overall (dBA)]]&lt;$DS$3</f>
        <v>0</v>
      </c>
      <c r="DL8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7" s="2">
        <f>IF(AND(RecData[[#This Row],[Turbines ON/OFF]] = "OFF", NOT(OR(RecData[[#This Row],[Junk?]]="YES",RecData[[#This Row],[Gust?]],RecData[[#This Row],[Rain?]:[Min SPL Threshold?]]))),1,0)</f>
        <v>1</v>
      </c>
      <c r="DN887" s="16">
        <f>RecData[[#This Row],[dBA Sum]]</f>
        <v>15.976948264695993</v>
      </c>
      <c r="DO887" s="16">
        <f>RecData[[#This Row],[LAF90.0]]</f>
        <v>19</v>
      </c>
      <c r="DP887" s="55" t="str">
        <f>IF(AND(RecData[[#This Row],[Useable TON Data?]],RecData[[#This Row],[Turbines ON/OFF]]="ON"),RecData[[#This Row],[dBA Sum]],"")</f>
        <v/>
      </c>
      <c r="DQ887" s="55">
        <f>IF(AND(RecData[[#This Row],[Useable Background Data?]],RecData[[#This Row],[Turbines ON/OFF]]="OFF"),RecData[[#This Row],[dBA Sum]],"")</f>
        <v>15.976948264695993</v>
      </c>
      <c r="DR887" s="3">
        <f>IF(OR(RecData[[#This Row],[Useable TON Data?]],RecData[[#This Row],[Useable Background Data?]]),ROUND(RecData[[#This Row],[WSpd_Avg '[m/s']]],0),"")</f>
        <v>1</v>
      </c>
      <c r="DS887" s="85">
        <f>(0.00002)^2*(10^(RecData[[#This Row],[Overall (dBA)]]/10))</f>
        <v>1.5839986889588657E-8</v>
      </c>
    </row>
    <row r="888" spans="1:123" ht="15" x14ac:dyDescent="0.25">
      <c r="A888" s="3" t="s">
        <v>249</v>
      </c>
      <c r="B888" s="12">
        <v>43274.065972222226</v>
      </c>
      <c r="C888" s="3"/>
      <c r="D888" s="3">
        <v>28.3</v>
      </c>
      <c r="E888" s="3"/>
      <c r="F888" s="3"/>
      <c r="G888" s="3"/>
      <c r="H888" s="3"/>
      <c r="I888" s="3"/>
      <c r="J888" s="3"/>
      <c r="K888" s="3">
        <v>18.899999999999999</v>
      </c>
      <c r="L888" s="3"/>
      <c r="M888" s="3"/>
      <c r="N888" s="3">
        <v>132.5</v>
      </c>
      <c r="O888" s="3"/>
      <c r="P888" s="3"/>
      <c r="Q888" s="3">
        <v>0.61</v>
      </c>
      <c r="R888" s="3">
        <v>0.5</v>
      </c>
      <c r="S888" s="3">
        <v>0.7</v>
      </c>
      <c r="T888" s="3">
        <v>11.2</v>
      </c>
      <c r="U888" s="3">
        <v>82.6</v>
      </c>
      <c r="V888" s="3">
        <v>967.3</v>
      </c>
      <c r="W888" s="3">
        <v>0</v>
      </c>
      <c r="X888" s="3">
        <v>16.8</v>
      </c>
      <c r="Y888" s="3">
        <v>17.899999999999999</v>
      </c>
      <c r="Z888" s="3">
        <v>17.7</v>
      </c>
      <c r="AA888" s="3">
        <v>11.2</v>
      </c>
      <c r="AB888" s="3">
        <v>11</v>
      </c>
      <c r="AC888" s="3">
        <v>10.4</v>
      </c>
      <c r="AD888" s="3">
        <v>10</v>
      </c>
      <c r="AE888" s="3">
        <v>10.9</v>
      </c>
      <c r="AF888" s="3">
        <v>13.8</v>
      </c>
      <c r="AG888" s="3">
        <v>12.8</v>
      </c>
      <c r="AH888" s="3">
        <v>8.6</v>
      </c>
      <c r="AI888" s="3">
        <v>8.6</v>
      </c>
      <c r="AJ888" s="3">
        <v>10.4</v>
      </c>
      <c r="AK888" s="3">
        <v>9.9</v>
      </c>
      <c r="AL888" s="3">
        <v>7.5</v>
      </c>
      <c r="AM888" s="3">
        <v>6.5</v>
      </c>
      <c r="AN888" s="3">
        <v>6.4</v>
      </c>
      <c r="AO888" s="3">
        <v>6.2</v>
      </c>
      <c r="AP888" s="3">
        <v>5.9</v>
      </c>
      <c r="AQ888" s="3">
        <v>6.2</v>
      </c>
      <c r="AR888" s="3">
        <v>6.3</v>
      </c>
      <c r="AS888" s="3">
        <v>7.9</v>
      </c>
      <c r="AT888" s="3">
        <v>26.6</v>
      </c>
      <c r="AU888" s="3">
        <v>11.1</v>
      </c>
      <c r="AV888" s="3">
        <v>8.1999999999999993</v>
      </c>
      <c r="AW888" s="3">
        <v>8.6</v>
      </c>
      <c r="AX888" s="3">
        <v>8.9</v>
      </c>
      <c r="AY888" s="3">
        <v>9.1</v>
      </c>
      <c r="AZ888" s="3">
        <v>0</v>
      </c>
      <c r="BA888" s="3">
        <v>0</v>
      </c>
      <c r="BB888" s="3">
        <v>0</v>
      </c>
      <c r="BC888" s="3">
        <v>28.383452933843323</v>
      </c>
      <c r="BD888" s="3">
        <v>16.716547066156679</v>
      </c>
      <c r="BE888" s="3">
        <v>17.81654706615668</v>
      </c>
      <c r="BF888" s="3">
        <v>16.376547066156682</v>
      </c>
      <c r="BG888" s="3">
        <v>10.203213732823343</v>
      </c>
      <c r="BH888" s="3">
        <v>10.143213732823348</v>
      </c>
      <c r="BI888" s="3">
        <v>9.9565470661566806</v>
      </c>
      <c r="BJ888" s="3">
        <v>10.349880399490011</v>
      </c>
      <c r="BK888" s="3">
        <v>11.123213732823338</v>
      </c>
      <c r="BL888" s="3">
        <v>13.596547066156681</v>
      </c>
      <c r="BM888" s="3">
        <v>12.729880399490014</v>
      </c>
      <c r="BN888" s="3">
        <v>8.8132137328233426</v>
      </c>
      <c r="BO888" s="3">
        <v>8.1798803994900098</v>
      </c>
      <c r="BP888" s="3">
        <v>9.6965470661566755</v>
      </c>
      <c r="BQ888" s="3">
        <v>9.6132137328233327</v>
      </c>
      <c r="BR888" s="3">
        <v>7.5398803994900092</v>
      </c>
      <c r="BS888" s="3">
        <v>6.3432137328233438</v>
      </c>
      <c r="BT888" s="3">
        <v>6.4398803994900149</v>
      </c>
      <c r="BU888" s="3">
        <v>6.2065470661566806</v>
      </c>
      <c r="BV888" s="3">
        <v>5.6232137328233449</v>
      </c>
      <c r="BW888" s="3">
        <v>6.4565470661566806</v>
      </c>
      <c r="BX888" s="3">
        <v>6.4765470661566837</v>
      </c>
      <c r="BY888" s="3">
        <v>7.8965470661566783</v>
      </c>
      <c r="BZ888" s="3">
        <v>26.726547066156684</v>
      </c>
      <c r="CA888" s="3">
        <v>11.326547066156671</v>
      </c>
      <c r="CB888" s="3">
        <v>7.8632137328233398</v>
      </c>
      <c r="CC888" s="3">
        <v>8.4765470661566766</v>
      </c>
      <c r="CD888" s="3">
        <v>8.0832137328233458</v>
      </c>
      <c r="CE888" s="3">
        <v>8.4765470661566766</v>
      </c>
      <c r="CF888" s="3">
        <v>-1.0101196005099879</v>
      </c>
      <c r="CG888" s="3">
        <v>-1.5434529338433194</v>
      </c>
      <c r="CH888" s="3">
        <v>-2.6201196005099874</v>
      </c>
      <c r="CI888" s="13">
        <f>[1]!dbasum(RecData[[#This Row],[20]:[2000]],RecData[[#Headers],[20]:[2000]])</f>
        <v>15.698931799458594</v>
      </c>
      <c r="CJ888" s="14">
        <v>9968</v>
      </c>
      <c r="CK888" s="15" t="s">
        <v>249</v>
      </c>
      <c r="CL888" s="15">
        <f>RecData[[#This Row],[Start Time]]</f>
        <v>43274.065972222226</v>
      </c>
      <c r="CM888" s="16">
        <f>RecData[[#This Row],[Wind Speed avg]]</f>
        <v>0.61</v>
      </c>
      <c r="CN888" s="16">
        <f>RecData[[#This Row],[Wind Dir. avg]]</f>
        <v>132.5</v>
      </c>
      <c r="CO888" s="16">
        <f>RecData[[#This Row],[Amb. Humidity]]</f>
        <v>82.6</v>
      </c>
      <c r="CP888" s="16">
        <f>RecData[[#This Row],[Amb. Temperature]]</f>
        <v>11.2</v>
      </c>
      <c r="CQ888" s="17">
        <f>RecData[[#This Row],[Amb. Rain Gauge]]</f>
        <v>0</v>
      </c>
      <c r="CR888" s="4" t="s">
        <v>50</v>
      </c>
      <c r="CS888" s="4" t="s">
        <v>49</v>
      </c>
      <c r="CT888" s="70">
        <v>-8.9324264526367099</v>
      </c>
      <c r="CU888" s="70">
        <v>63.861454010009702</v>
      </c>
      <c r="CV888" s="70">
        <v>2.6919903755187899</v>
      </c>
      <c r="CW888" s="70">
        <v>0</v>
      </c>
      <c r="CX888" s="109"/>
      <c r="CY888" s="110"/>
      <c r="CZ888" s="2" t="b">
        <f>IF($DP$1="YES",IF(RecData[[#This Row],[Power (kW)]]&gt;=$CR$3, TRUE,FALSE),TRUE)</f>
        <v>0</v>
      </c>
      <c r="DA888" s="16">
        <f>MIN(MOD(180-ABS(ABS($DA$1-RecData[Yaw Angle (°)])-180),360),MOD(180-ABS(ABS($DB$1-RecData[Yaw Angle (°)])-180),360))</f>
        <v>56.331527232322145</v>
      </c>
      <c r="DB888" s="2" t="str">
        <f>IF($DP$2="None","None",IF(RecData[[#This Row],[Relative Wind Direction]]&lt;=45,"DW",IF(RecData[[#This Row],[Relative Wind Direction]]&lt;=135,"CW","UW")))</f>
        <v>CW</v>
      </c>
      <c r="DC888" s="61">
        <f>IF($CL888-$CL884&gt;1/24,#REF!,IF(SUM($CQ884:$CQ888)&gt;$DS$1,$DS$5,DC889-1))</f>
        <v>-6</v>
      </c>
      <c r="DD888" s="61">
        <f>IF($CL889-$CL888&gt;1/24,#REF!,IF(SUM($CQ884:$CQ888)&gt;$DS$1,$DS$6,DD887-1))</f>
        <v>-5</v>
      </c>
      <c r="DE888" s="18" t="b">
        <v>0</v>
      </c>
      <c r="DF888" s="2" t="b">
        <f>IF(OR(RecData[[#This Row],[WSpd_Avg '[m/s']]]-RecData[[#This Row],[Wind Speed min]]&gt;=$DF$3,RecData[[#This Row],[Wind Speed max]]-RecData[[#This Row],[WSpd_Avg '[m/s']]]&gt;=$DF$2),TRUE,FALSE)</f>
        <v>0</v>
      </c>
      <c r="DG888" s="2" t="b">
        <f>RecData[[#This Row],[Temperature '[°C']]]&lt;=-20</f>
        <v>0</v>
      </c>
      <c r="DH888" s="18" t="b">
        <f>NOT(OR(MOD(RecData[[#This Row],[TIMESTAMP]],1)&gt;0.91632,MOD(RecData[[#This Row],[TIMESTAMP]],1)&lt;0.208681))</f>
        <v>0</v>
      </c>
      <c r="DI888" s="18" t="b">
        <f>RecData[[#This Row],[Overall (dBA)]]-RecData[[#This Row],[L90]]&gt;=$DS$4</f>
        <v>0</v>
      </c>
      <c r="DJ888" s="18" t="b">
        <f>RecData[[#This Row],[Overall (dBA)]]&gt;$DS$2</f>
        <v>0</v>
      </c>
      <c r="DK888" s="18" t="b">
        <f>RecData[[#This Row],[Overall (dBA)]]&lt;$DS$3</f>
        <v>0</v>
      </c>
      <c r="DL8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8" s="2">
        <f>IF(AND(RecData[[#This Row],[Turbines ON/OFF]] = "OFF", NOT(OR(RecData[[#This Row],[Junk?]]="YES",RecData[[#This Row],[Gust?]],RecData[[#This Row],[Rain?]:[Min SPL Threshold?]]))),1,0)</f>
        <v>1</v>
      </c>
      <c r="DN888" s="16">
        <f>RecData[[#This Row],[dBA Sum]]</f>
        <v>15.698931799458594</v>
      </c>
      <c r="DO888" s="16">
        <f>RecData[[#This Row],[LAF90.0]]</f>
        <v>18.899999999999999</v>
      </c>
      <c r="DP888" s="55" t="str">
        <f>IF(AND(RecData[[#This Row],[Useable TON Data?]],RecData[[#This Row],[Turbines ON/OFF]]="ON"),RecData[[#This Row],[dBA Sum]],"")</f>
        <v/>
      </c>
      <c r="DQ888" s="55">
        <f>IF(AND(RecData[[#This Row],[Useable Background Data?]],RecData[[#This Row],[Turbines ON/OFF]]="OFF"),RecData[[#This Row],[dBA Sum]],"")</f>
        <v>15.698931799458594</v>
      </c>
      <c r="DR888" s="3">
        <f>IF(OR(RecData[[#This Row],[Useable TON Data?]],RecData[[#This Row],[Useable Background Data?]]),ROUND(RecData[[#This Row],[WSpd_Avg '[m/s']]],0),"")</f>
        <v>1</v>
      </c>
      <c r="DS888" s="85">
        <f>(0.00002)^2*(10^(RecData[[#This Row],[Overall (dBA)]]/10))</f>
        <v>1.4857754267540034E-8</v>
      </c>
    </row>
    <row r="889" spans="1:123" ht="15" x14ac:dyDescent="0.25">
      <c r="A889" s="3" t="s">
        <v>249</v>
      </c>
      <c r="B889" s="12">
        <v>43274.066666666673</v>
      </c>
      <c r="C889" s="3"/>
      <c r="D889" s="3">
        <v>22.9</v>
      </c>
      <c r="E889" s="3"/>
      <c r="F889" s="3"/>
      <c r="G889" s="3"/>
      <c r="H889" s="3"/>
      <c r="I889" s="3"/>
      <c r="J889" s="3"/>
      <c r="K889" s="3">
        <v>18.899999999999999</v>
      </c>
      <c r="L889" s="3"/>
      <c r="M889" s="3"/>
      <c r="N889" s="3">
        <v>135.6</v>
      </c>
      <c r="O889" s="3"/>
      <c r="P889" s="3"/>
      <c r="Q889" s="3">
        <v>0.52</v>
      </c>
      <c r="R889" s="3">
        <v>0.3</v>
      </c>
      <c r="S889" s="3">
        <v>0.6</v>
      </c>
      <c r="T889" s="3">
        <v>11.2</v>
      </c>
      <c r="U889" s="3">
        <v>83.1</v>
      </c>
      <c r="V889" s="3">
        <v>967.3</v>
      </c>
      <c r="W889" s="3">
        <v>0</v>
      </c>
      <c r="X889" s="3">
        <v>21.2</v>
      </c>
      <c r="Y889" s="3">
        <v>22.6</v>
      </c>
      <c r="Z889" s="3">
        <v>27.4</v>
      </c>
      <c r="AA889" s="3">
        <v>16.399999999999999</v>
      </c>
      <c r="AB889" s="3">
        <v>13.5</v>
      </c>
      <c r="AC889" s="3">
        <v>12.8</v>
      </c>
      <c r="AD889" s="3">
        <v>16.5</v>
      </c>
      <c r="AE889" s="3">
        <v>10.5</v>
      </c>
      <c r="AF889" s="3">
        <v>14.1</v>
      </c>
      <c r="AG889" s="3">
        <v>12.1</v>
      </c>
      <c r="AH889" s="3">
        <v>14.2</v>
      </c>
      <c r="AI889" s="3">
        <v>10.199999999999999</v>
      </c>
      <c r="AJ889" s="3">
        <v>11.7</v>
      </c>
      <c r="AK889" s="3">
        <v>13.7</v>
      </c>
      <c r="AL889" s="3">
        <v>10.199999999999999</v>
      </c>
      <c r="AM889" s="3">
        <v>12.5</v>
      </c>
      <c r="AN889" s="3">
        <v>14.2</v>
      </c>
      <c r="AO889" s="3">
        <v>14.6</v>
      </c>
      <c r="AP889" s="3">
        <v>13.4</v>
      </c>
      <c r="AQ889" s="3">
        <v>6.6</v>
      </c>
      <c r="AR889" s="3">
        <v>6.5</v>
      </c>
      <c r="AS889" s="3">
        <v>6.5</v>
      </c>
      <c r="AT889" s="3">
        <v>13.7</v>
      </c>
      <c r="AU889" s="3">
        <v>9.5</v>
      </c>
      <c r="AV889" s="3">
        <v>8</v>
      </c>
      <c r="AW889" s="3">
        <v>8.6</v>
      </c>
      <c r="AX889" s="3">
        <v>8.8000000000000007</v>
      </c>
      <c r="AY889" s="3">
        <v>9.1</v>
      </c>
      <c r="AZ889" s="3">
        <v>0</v>
      </c>
      <c r="BA889" s="3">
        <v>0</v>
      </c>
      <c r="BB889" s="3">
        <v>0</v>
      </c>
      <c r="BC889" s="3">
        <v>22.85076991797316</v>
      </c>
      <c r="BD889" s="3">
        <v>21.249230082026834</v>
      </c>
      <c r="BE889" s="3">
        <v>22.64923008202684</v>
      </c>
      <c r="BF889" s="3">
        <v>26.209230082026842</v>
      </c>
      <c r="BG889" s="3">
        <v>15.535896748693503</v>
      </c>
      <c r="BH889" s="3">
        <v>12.775896748693505</v>
      </c>
      <c r="BI889" s="3">
        <v>12.489230082026843</v>
      </c>
      <c r="BJ889" s="3">
        <v>16.982563415360168</v>
      </c>
      <c r="BK889" s="3">
        <v>10.855896748693503</v>
      </c>
      <c r="BL889" s="3">
        <v>14.029230082026835</v>
      </c>
      <c r="BM889" s="3">
        <v>12.162563415360175</v>
      </c>
      <c r="BN889" s="3">
        <v>14.545896748693501</v>
      </c>
      <c r="BO889" s="3">
        <v>9.9125634153601752</v>
      </c>
      <c r="BP889" s="3">
        <v>11.129230082026837</v>
      </c>
      <c r="BQ889" s="3">
        <v>13.545896748693494</v>
      </c>
      <c r="BR889" s="3">
        <v>10.372563415360169</v>
      </c>
      <c r="BS889" s="3">
        <v>12.475896748693508</v>
      </c>
      <c r="BT889" s="3">
        <v>14.372563415360169</v>
      </c>
      <c r="BU889" s="3">
        <v>14.739230082026843</v>
      </c>
      <c r="BV889" s="3">
        <v>13.255896748693509</v>
      </c>
      <c r="BW889" s="3">
        <v>6.9892300820268431</v>
      </c>
      <c r="BX889" s="3">
        <v>6.8092300820268434</v>
      </c>
      <c r="BY889" s="3">
        <v>6.6292300820268366</v>
      </c>
      <c r="BZ889" s="3">
        <v>13.959230082026842</v>
      </c>
      <c r="CA889" s="3">
        <v>9.8592300820268335</v>
      </c>
      <c r="CB889" s="3">
        <v>7.7958967486935045</v>
      </c>
      <c r="CC889" s="3">
        <v>8.609230082026837</v>
      </c>
      <c r="CD889" s="3">
        <v>8.1158967486935083</v>
      </c>
      <c r="CE889" s="3">
        <v>8.609230082026837</v>
      </c>
      <c r="CF889" s="3">
        <v>-0.87743658463982754</v>
      </c>
      <c r="CG889" s="3">
        <v>-1.410769917973159</v>
      </c>
      <c r="CH889" s="3">
        <v>-2.487436584639827</v>
      </c>
      <c r="CI889" s="13">
        <f>[1]!dbasum(RecData[[#This Row],[20]:[2000]],RecData[[#Headers],[20]:[2000]])</f>
        <v>20.854730654472519</v>
      </c>
      <c r="CJ889" s="14">
        <v>9969</v>
      </c>
      <c r="CK889" s="15" t="s">
        <v>249</v>
      </c>
      <c r="CL889" s="15">
        <f>RecData[[#This Row],[Start Time]]</f>
        <v>43274.066666666673</v>
      </c>
      <c r="CM889" s="16">
        <f>RecData[[#This Row],[Wind Speed avg]]</f>
        <v>0.52</v>
      </c>
      <c r="CN889" s="16">
        <f>RecData[[#This Row],[Wind Dir. avg]]</f>
        <v>135.6</v>
      </c>
      <c r="CO889" s="16">
        <f>RecData[[#This Row],[Amb. Humidity]]</f>
        <v>83.1</v>
      </c>
      <c r="CP889" s="16">
        <f>RecData[[#This Row],[Amb. Temperature]]</f>
        <v>11.2</v>
      </c>
      <c r="CQ889" s="17">
        <f>RecData[[#This Row],[Amb. Rain Gauge]]</f>
        <v>0</v>
      </c>
      <c r="CR889" s="4" t="s">
        <v>50</v>
      </c>
      <c r="CS889" s="4" t="s">
        <v>49</v>
      </c>
      <c r="CT889" s="70">
        <v>-8.9324264526367099</v>
      </c>
      <c r="CU889" s="70">
        <v>63.861454010009702</v>
      </c>
      <c r="CV889" s="70">
        <v>2.6919903755187899</v>
      </c>
      <c r="CW889" s="70">
        <v>0</v>
      </c>
      <c r="CX889" s="109"/>
      <c r="CY889" s="110"/>
      <c r="CZ889" s="2" t="b">
        <f>IF($DP$1="YES",IF(RecData[[#This Row],[Power (kW)]]&gt;=$CR$3, TRUE,FALSE),TRUE)</f>
        <v>0</v>
      </c>
      <c r="DA889" s="16">
        <f>MIN(MOD(180-ABS(ABS($DA$1-RecData[Yaw Angle (°)])-180),360),MOD(180-ABS(ABS($DB$1-RecData[Yaw Angle (°)])-180),360))</f>
        <v>56.331527232322145</v>
      </c>
      <c r="DB889" s="2" t="str">
        <f>IF($DP$2="None","None",IF(RecData[[#This Row],[Relative Wind Direction]]&lt;=45,"DW",IF(RecData[[#This Row],[Relative Wind Direction]]&lt;=135,"CW","UW")))</f>
        <v>CW</v>
      </c>
      <c r="DC889" s="61">
        <f>IF($CL889-$CL885&gt;1/24,#REF!,IF(SUM($CQ885:$CQ889)&gt;$DS$1,$DS$5,DC890-1))</f>
        <v>-5</v>
      </c>
      <c r="DD889" s="61">
        <f>IF($CL890-$CL889&gt;1/24,#REF!,IF(SUM($CQ885:$CQ889)&gt;$DS$1,$DS$6,DD888-1))</f>
        <v>-6</v>
      </c>
      <c r="DE889" s="18" t="b">
        <v>0</v>
      </c>
      <c r="DF889" s="2" t="b">
        <f>IF(OR(RecData[[#This Row],[WSpd_Avg '[m/s']]]-RecData[[#This Row],[Wind Speed min]]&gt;=$DF$3,RecData[[#This Row],[Wind Speed max]]-RecData[[#This Row],[WSpd_Avg '[m/s']]]&gt;=$DF$2),TRUE,FALSE)</f>
        <v>0</v>
      </c>
      <c r="DG889" s="2" t="b">
        <f>RecData[[#This Row],[Temperature '[°C']]]&lt;=-20</f>
        <v>0</v>
      </c>
      <c r="DH889" s="18" t="b">
        <f>NOT(OR(MOD(RecData[[#This Row],[TIMESTAMP]],1)&gt;0.91632,MOD(RecData[[#This Row],[TIMESTAMP]],1)&lt;0.208681))</f>
        <v>0</v>
      </c>
      <c r="DI889" s="18" t="b">
        <f>RecData[[#This Row],[Overall (dBA)]]-RecData[[#This Row],[L90]]&gt;=$DS$4</f>
        <v>0</v>
      </c>
      <c r="DJ889" s="18" t="b">
        <f>RecData[[#This Row],[Overall (dBA)]]&gt;$DS$2</f>
        <v>0</v>
      </c>
      <c r="DK889" s="18" t="b">
        <f>RecData[[#This Row],[Overall (dBA)]]&lt;$DS$3</f>
        <v>0</v>
      </c>
      <c r="DL8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89" s="2">
        <f>IF(AND(RecData[[#This Row],[Turbines ON/OFF]] = "OFF", NOT(OR(RecData[[#This Row],[Junk?]]="YES",RecData[[#This Row],[Gust?]],RecData[[#This Row],[Rain?]:[Min SPL Threshold?]]))),1,0)</f>
        <v>1</v>
      </c>
      <c r="DN889" s="16">
        <f>RecData[[#This Row],[dBA Sum]]</f>
        <v>20.854730654472519</v>
      </c>
      <c r="DO889" s="16">
        <f>RecData[[#This Row],[LAF90.0]]</f>
        <v>18.899999999999999</v>
      </c>
      <c r="DP889" s="55" t="str">
        <f>IF(AND(RecData[[#This Row],[Useable TON Data?]],RecData[[#This Row],[Turbines ON/OFF]]="ON"),RecData[[#This Row],[dBA Sum]],"")</f>
        <v/>
      </c>
      <c r="DQ889" s="55">
        <f>IF(AND(RecData[[#This Row],[Useable Background Data?]],RecData[[#This Row],[Turbines ON/OFF]]="OFF"),RecData[[#This Row],[dBA Sum]],"")</f>
        <v>20.854730654472519</v>
      </c>
      <c r="DR889" s="3">
        <f>IF(OR(RecData[[#This Row],[Useable TON Data?]],RecData[[#This Row],[Useable Background Data?]]),ROUND(RecData[[#This Row],[WSpd_Avg '[m/s']]],0),"")</f>
        <v>1</v>
      </c>
      <c r="DS889" s="85">
        <f>(0.00002)^2*(10^(RecData[[#This Row],[Overall (dBA)]]/10))</f>
        <v>4.8700459261512731E-8</v>
      </c>
    </row>
    <row r="890" spans="1:123" ht="15" x14ac:dyDescent="0.25">
      <c r="A890" s="3" t="s">
        <v>249</v>
      </c>
      <c r="B890" s="12">
        <v>43274.067361111112</v>
      </c>
      <c r="C890" s="3"/>
      <c r="D890" s="3">
        <v>25.2</v>
      </c>
      <c r="E890" s="3"/>
      <c r="F890" s="3"/>
      <c r="G890" s="3"/>
      <c r="H890" s="3"/>
      <c r="I890" s="3"/>
      <c r="J890" s="3"/>
      <c r="K890" s="3">
        <v>19.3</v>
      </c>
      <c r="L890" s="3"/>
      <c r="M890" s="3"/>
      <c r="N890" s="3">
        <v>127.8</v>
      </c>
      <c r="O890" s="3"/>
      <c r="P890" s="3"/>
      <c r="Q890" s="3">
        <v>0.32</v>
      </c>
      <c r="R890" s="3">
        <v>0</v>
      </c>
      <c r="S890" s="3">
        <v>0.5</v>
      </c>
      <c r="T890" s="3">
        <v>11.2</v>
      </c>
      <c r="U890" s="3">
        <v>82.9</v>
      </c>
      <c r="V890" s="3">
        <v>967.3</v>
      </c>
      <c r="W890" s="3">
        <v>0</v>
      </c>
      <c r="X890" s="3">
        <v>16.7</v>
      </c>
      <c r="Y890" s="3">
        <v>15.8</v>
      </c>
      <c r="Z890" s="3">
        <v>18.3</v>
      </c>
      <c r="AA890" s="3">
        <v>10.6</v>
      </c>
      <c r="AB890" s="3">
        <v>10.5</v>
      </c>
      <c r="AC890" s="3">
        <v>6.4</v>
      </c>
      <c r="AD890" s="3">
        <v>10.1</v>
      </c>
      <c r="AE890" s="3">
        <v>10.6</v>
      </c>
      <c r="AF890" s="3">
        <v>13.6</v>
      </c>
      <c r="AG890" s="3">
        <v>17.399999999999999</v>
      </c>
      <c r="AH890" s="3">
        <v>12.5</v>
      </c>
      <c r="AI890" s="3">
        <v>8.8000000000000007</v>
      </c>
      <c r="AJ890" s="3">
        <v>11.2</v>
      </c>
      <c r="AK890" s="3">
        <v>9.4</v>
      </c>
      <c r="AL890" s="3">
        <v>7.6</v>
      </c>
      <c r="AM890" s="3">
        <v>7.2</v>
      </c>
      <c r="AN890" s="3">
        <v>7.1</v>
      </c>
      <c r="AO890" s="3">
        <v>6.5</v>
      </c>
      <c r="AP890" s="3">
        <v>6</v>
      </c>
      <c r="AQ890" s="3">
        <v>6.4</v>
      </c>
      <c r="AR890" s="3">
        <v>6.3</v>
      </c>
      <c r="AS890" s="3">
        <v>8.8000000000000007</v>
      </c>
      <c r="AT890" s="3">
        <v>22.7</v>
      </c>
      <c r="AU890" s="3">
        <v>9.8000000000000007</v>
      </c>
      <c r="AV890" s="3">
        <v>8.1</v>
      </c>
      <c r="AW890" s="3">
        <v>8.6999999999999993</v>
      </c>
      <c r="AX890" s="3">
        <v>8.8000000000000007</v>
      </c>
      <c r="AY890" s="3">
        <v>9.1</v>
      </c>
      <c r="AZ890" s="3">
        <v>0</v>
      </c>
      <c r="BA890" s="3">
        <v>0</v>
      </c>
      <c r="BB890" s="3">
        <v>0</v>
      </c>
      <c r="BC890" s="3">
        <v>25.243247527122232</v>
      </c>
      <c r="BD890" s="3">
        <v>16.656752472877766</v>
      </c>
      <c r="BE890" s="3">
        <v>15.756752472877768</v>
      </c>
      <c r="BF890" s="3">
        <v>17.016752472877773</v>
      </c>
      <c r="BG890" s="3">
        <v>9.6434191395444309</v>
      </c>
      <c r="BH890" s="3">
        <v>9.6834191395444371</v>
      </c>
      <c r="BI890" s="3">
        <v>5.9967524728777697</v>
      </c>
      <c r="BJ890" s="3">
        <v>10.490085806211102</v>
      </c>
      <c r="BK890" s="3">
        <v>10.86341913954443</v>
      </c>
      <c r="BL890" s="3">
        <v>13.436752472877767</v>
      </c>
      <c r="BM890" s="3">
        <v>17.370085806211097</v>
      </c>
      <c r="BN890" s="3">
        <v>12.753419139544437</v>
      </c>
      <c r="BO890" s="3">
        <v>8.4200858062111017</v>
      </c>
      <c r="BP890" s="3">
        <v>10.536752472877769</v>
      </c>
      <c r="BQ890" s="3">
        <v>9.1534191395444289</v>
      </c>
      <c r="BR890" s="3">
        <v>7.6800858062110997</v>
      </c>
      <c r="BS890" s="3">
        <v>7.0834191395444357</v>
      </c>
      <c r="BT890" s="3">
        <v>7.1800858062110997</v>
      </c>
      <c r="BU890" s="3">
        <v>6.5467524728777704</v>
      </c>
      <c r="BV890" s="3">
        <v>5.7634191395444354</v>
      </c>
      <c r="BW890" s="3">
        <v>6.6967524728777725</v>
      </c>
      <c r="BX890" s="3">
        <v>6.5167524728777728</v>
      </c>
      <c r="BY890" s="3">
        <v>8.836752472877766</v>
      </c>
      <c r="BZ890" s="3">
        <v>22.866752472877767</v>
      </c>
      <c r="CA890" s="3">
        <v>10.066752472877763</v>
      </c>
      <c r="CB890" s="3">
        <v>7.8034191395444346</v>
      </c>
      <c r="CC890" s="3">
        <v>8.6167524728777671</v>
      </c>
      <c r="CD890" s="3">
        <v>8.0234191395444405</v>
      </c>
      <c r="CE890" s="3">
        <v>8.5167524728777657</v>
      </c>
      <c r="CF890" s="3">
        <v>-0.96991419378889887</v>
      </c>
      <c r="CG890" s="3">
        <v>-1.5032475271222303</v>
      </c>
      <c r="CH890" s="3">
        <v>-2.5799141937888983</v>
      </c>
      <c r="CI890" s="13">
        <f>[1]!dbasum(RecData[[#This Row],[20]:[2000]],RecData[[#Headers],[20]:[2000]])</f>
        <v>16.235432872659796</v>
      </c>
      <c r="CJ890" s="14">
        <v>9970</v>
      </c>
      <c r="CK890" s="15" t="s">
        <v>249</v>
      </c>
      <c r="CL890" s="15">
        <f>RecData[[#This Row],[Start Time]]</f>
        <v>43274.067361111112</v>
      </c>
      <c r="CM890" s="16">
        <f>RecData[[#This Row],[Wind Speed avg]]</f>
        <v>0.32</v>
      </c>
      <c r="CN890" s="16">
        <f>RecData[[#This Row],[Wind Dir. avg]]</f>
        <v>127.8</v>
      </c>
      <c r="CO890" s="16">
        <f>RecData[[#This Row],[Amb. Humidity]]</f>
        <v>82.9</v>
      </c>
      <c r="CP890" s="16">
        <f>RecData[[#This Row],[Amb. Temperature]]</f>
        <v>11.2</v>
      </c>
      <c r="CQ890" s="17">
        <f>RecData[[#This Row],[Amb. Rain Gauge]]</f>
        <v>0</v>
      </c>
      <c r="CR890" s="4" t="s">
        <v>50</v>
      </c>
      <c r="CS890" s="4" t="s">
        <v>49</v>
      </c>
      <c r="CT890" s="70">
        <v>-8.9324264526367099</v>
      </c>
      <c r="CU890" s="70">
        <v>63.861454010009702</v>
      </c>
      <c r="CV890" s="70">
        <v>2.6919903755187899</v>
      </c>
      <c r="CW890" s="70">
        <v>0</v>
      </c>
      <c r="CX890" s="109"/>
      <c r="CY890" s="110"/>
      <c r="CZ890" s="2" t="b">
        <f>IF($DP$1="YES",IF(RecData[[#This Row],[Power (kW)]]&gt;=$CR$3, TRUE,FALSE),TRUE)</f>
        <v>0</v>
      </c>
      <c r="DA890" s="16">
        <f>MIN(MOD(180-ABS(ABS($DA$1-RecData[Yaw Angle (°)])-180),360),MOD(180-ABS(ABS($DB$1-RecData[Yaw Angle (°)])-180),360))</f>
        <v>56.331527232322145</v>
      </c>
      <c r="DB890" s="2" t="str">
        <f>IF($DP$2="None","None",IF(RecData[[#This Row],[Relative Wind Direction]]&lt;=45,"DW",IF(RecData[[#This Row],[Relative Wind Direction]]&lt;=135,"CW","UW")))</f>
        <v>CW</v>
      </c>
      <c r="DC890" s="61">
        <f>IF($CL890-$CL886&gt;1/24,#REF!,IF(SUM($CQ886:$CQ890)&gt;$DS$1,$DS$5,DC891-1))</f>
        <v>-4</v>
      </c>
      <c r="DD890" s="61">
        <f>IF($CL891-$CL890&gt;1/24,#REF!,IF(SUM($CQ886:$CQ890)&gt;$DS$1,$DS$6,DD889-1))</f>
        <v>-7</v>
      </c>
      <c r="DE890" s="18" t="b">
        <v>0</v>
      </c>
      <c r="DF890" s="2" t="b">
        <f>IF(OR(RecData[[#This Row],[WSpd_Avg '[m/s']]]-RecData[[#This Row],[Wind Speed min]]&gt;=$DF$3,RecData[[#This Row],[Wind Speed max]]-RecData[[#This Row],[WSpd_Avg '[m/s']]]&gt;=$DF$2),TRUE,FALSE)</f>
        <v>0</v>
      </c>
      <c r="DG890" s="2" t="b">
        <f>RecData[[#This Row],[Temperature '[°C']]]&lt;=-20</f>
        <v>0</v>
      </c>
      <c r="DH890" s="18" t="b">
        <f>NOT(OR(MOD(RecData[[#This Row],[TIMESTAMP]],1)&gt;0.91632,MOD(RecData[[#This Row],[TIMESTAMP]],1)&lt;0.208681))</f>
        <v>0</v>
      </c>
      <c r="DI890" s="18" t="b">
        <f>RecData[[#This Row],[Overall (dBA)]]-RecData[[#This Row],[L90]]&gt;=$DS$4</f>
        <v>0</v>
      </c>
      <c r="DJ890" s="18" t="b">
        <f>RecData[[#This Row],[Overall (dBA)]]&gt;$DS$2</f>
        <v>0</v>
      </c>
      <c r="DK890" s="18" t="b">
        <f>RecData[[#This Row],[Overall (dBA)]]&lt;$DS$3</f>
        <v>0</v>
      </c>
      <c r="DL8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90" s="2">
        <f>IF(AND(RecData[[#This Row],[Turbines ON/OFF]] = "OFF", NOT(OR(RecData[[#This Row],[Junk?]]="YES",RecData[[#This Row],[Gust?]],RecData[[#This Row],[Rain?]:[Min SPL Threshold?]]))),1,0)</f>
        <v>1</v>
      </c>
      <c r="DN890" s="16">
        <f>RecData[[#This Row],[dBA Sum]]</f>
        <v>16.235432872659796</v>
      </c>
      <c r="DO890" s="16">
        <f>RecData[[#This Row],[LAF90.0]]</f>
        <v>19.3</v>
      </c>
      <c r="DP890" s="55" t="str">
        <f>IF(AND(RecData[[#This Row],[Useable TON Data?]],RecData[[#This Row],[Turbines ON/OFF]]="ON"),RecData[[#This Row],[dBA Sum]],"")</f>
        <v/>
      </c>
      <c r="DQ890" s="55">
        <f>IF(AND(RecData[[#This Row],[Useable Background Data?]],RecData[[#This Row],[Turbines ON/OFF]]="OFF"),RecData[[#This Row],[dBA Sum]],"")</f>
        <v>16.235432872659796</v>
      </c>
      <c r="DR890" s="3">
        <f>IF(OR(RecData[[#This Row],[Useable TON Data?]],RecData[[#This Row],[Useable Background Data?]]),ROUND(RecData[[#This Row],[WSpd_Avg '[m/s']]],0),"")</f>
        <v>0</v>
      </c>
      <c r="DS890" s="85">
        <f>(0.00002)^2*(10^(RecData[[#This Row],[Overall (dBA)]]/10))</f>
        <v>1.6811376657433507E-8</v>
      </c>
    </row>
    <row r="891" spans="1:123" ht="15" x14ac:dyDescent="0.25">
      <c r="A891" s="3" t="s">
        <v>249</v>
      </c>
      <c r="B891" s="12">
        <v>43274.068055555559</v>
      </c>
      <c r="C891" s="3"/>
      <c r="D891" s="3">
        <v>30.3</v>
      </c>
      <c r="E891" s="3"/>
      <c r="F891" s="3"/>
      <c r="G891" s="3"/>
      <c r="H891" s="3"/>
      <c r="I891" s="3"/>
      <c r="J891" s="3"/>
      <c r="K891" s="3">
        <v>21.5</v>
      </c>
      <c r="L891" s="3"/>
      <c r="M891" s="3"/>
      <c r="N891" s="3">
        <v>144.6</v>
      </c>
      <c r="O891" s="3"/>
      <c r="P891" s="3"/>
      <c r="Q891" s="3">
        <v>0.32</v>
      </c>
      <c r="R891" s="3">
        <v>0.1</v>
      </c>
      <c r="S891" s="3">
        <v>0.5</v>
      </c>
      <c r="T891" s="3">
        <v>11.2</v>
      </c>
      <c r="U891" s="3">
        <v>83.6</v>
      </c>
      <c r="V891" s="3">
        <v>967.3</v>
      </c>
      <c r="W891" s="3">
        <v>0</v>
      </c>
      <c r="X891" s="3">
        <v>18.2</v>
      </c>
      <c r="Y891" s="3">
        <v>21.5</v>
      </c>
      <c r="Z891" s="3">
        <v>22.6</v>
      </c>
      <c r="AA891" s="3">
        <v>11.6</v>
      </c>
      <c r="AB891" s="3">
        <v>8.9</v>
      </c>
      <c r="AC891" s="3">
        <v>5.8</v>
      </c>
      <c r="AD891" s="3">
        <v>8.9</v>
      </c>
      <c r="AE891" s="3">
        <v>9.9</v>
      </c>
      <c r="AF891" s="3">
        <v>15</v>
      </c>
      <c r="AG891" s="3">
        <v>16.100000000000001</v>
      </c>
      <c r="AH891" s="3">
        <v>12.9</v>
      </c>
      <c r="AI891" s="3">
        <v>8.5</v>
      </c>
      <c r="AJ891" s="3">
        <v>11.6</v>
      </c>
      <c r="AK891" s="3">
        <v>10.4</v>
      </c>
      <c r="AL891" s="3">
        <v>8.1</v>
      </c>
      <c r="AM891" s="3">
        <v>7</v>
      </c>
      <c r="AN891" s="3">
        <v>7.1</v>
      </c>
      <c r="AO891" s="3">
        <v>6.5</v>
      </c>
      <c r="AP891" s="3">
        <v>5.9</v>
      </c>
      <c r="AQ891" s="3">
        <v>6.3</v>
      </c>
      <c r="AR891" s="3">
        <v>6.2</v>
      </c>
      <c r="AS891" s="3">
        <v>15.7</v>
      </c>
      <c r="AT891" s="3">
        <v>28.5</v>
      </c>
      <c r="AU891" s="3">
        <v>11.1</v>
      </c>
      <c r="AV891" s="3">
        <v>8.1999999999999993</v>
      </c>
      <c r="AW891" s="3">
        <v>8.6999999999999993</v>
      </c>
      <c r="AX891" s="3">
        <v>8.9</v>
      </c>
      <c r="AY891" s="3">
        <v>9.1</v>
      </c>
      <c r="AZ891" s="3">
        <v>0</v>
      </c>
      <c r="BA891" s="3">
        <v>0</v>
      </c>
      <c r="BB891" s="3">
        <v>0</v>
      </c>
      <c r="BC891" s="3">
        <v>30.27891219312351</v>
      </c>
      <c r="BD891" s="3">
        <v>18.22108780687649</v>
      </c>
      <c r="BE891" s="3">
        <v>21.521087806876487</v>
      </c>
      <c r="BF891" s="3">
        <v>21.381087806876494</v>
      </c>
      <c r="BG891" s="3">
        <v>10.707754473543154</v>
      </c>
      <c r="BH891" s="3">
        <v>8.1477544735431593</v>
      </c>
      <c r="BI891" s="3">
        <v>5.4610878068764919</v>
      </c>
      <c r="BJ891" s="3">
        <v>9.3544211402098227</v>
      </c>
      <c r="BK891" s="3">
        <v>10.22775447354315</v>
      </c>
      <c r="BL891" s="3">
        <v>14.90108780687649</v>
      </c>
      <c r="BM891" s="3">
        <v>16.134421140209831</v>
      </c>
      <c r="BN891" s="3">
        <v>13.21775447354316</v>
      </c>
      <c r="BO891" s="3">
        <v>8.1844211402098281</v>
      </c>
      <c r="BP891" s="3">
        <v>11.001087806876491</v>
      </c>
      <c r="BQ891" s="3">
        <v>10.217754473543145</v>
      </c>
      <c r="BR891" s="3">
        <v>8.2444211402098233</v>
      </c>
      <c r="BS891" s="3">
        <v>6.9477544735431565</v>
      </c>
      <c r="BT891" s="3">
        <v>7.2444211402098233</v>
      </c>
      <c r="BU891" s="3">
        <v>6.6110878068764904</v>
      </c>
      <c r="BV891" s="3">
        <v>5.7277544735431576</v>
      </c>
      <c r="BW891" s="3">
        <v>6.6610878068764947</v>
      </c>
      <c r="BX891" s="3">
        <v>6.481087806876495</v>
      </c>
      <c r="BY891" s="3">
        <v>15.801087806876488</v>
      </c>
      <c r="BZ891" s="3">
        <v>28.731087806876495</v>
      </c>
      <c r="CA891" s="3">
        <v>11.431087806876484</v>
      </c>
      <c r="CB891" s="3">
        <v>7.9677544735431525</v>
      </c>
      <c r="CC891" s="3">
        <v>8.6810878068764907</v>
      </c>
      <c r="CD891" s="3">
        <v>8.1877544735431584</v>
      </c>
      <c r="CE891" s="3">
        <v>8.5810878068764893</v>
      </c>
      <c r="CF891" s="3">
        <v>-0.90557885979017527</v>
      </c>
      <c r="CG891" s="3">
        <v>-1.4389121931235067</v>
      </c>
      <c r="CH891" s="3">
        <v>-2.5155788597901747</v>
      </c>
      <c r="CI891" s="13">
        <f>[1]!dbasum(RecData[[#This Row],[20]:[2000]],RecData[[#Headers],[20]:[2000]])</f>
        <v>16.336996429756653</v>
      </c>
      <c r="CJ891" s="14">
        <v>9971</v>
      </c>
      <c r="CK891" s="15" t="s">
        <v>249</v>
      </c>
      <c r="CL891" s="15">
        <f>RecData[[#This Row],[Start Time]]</f>
        <v>43274.068055555559</v>
      </c>
      <c r="CM891" s="16">
        <f>RecData[[#This Row],[Wind Speed avg]]</f>
        <v>0.32</v>
      </c>
      <c r="CN891" s="16">
        <f>RecData[[#This Row],[Wind Dir. avg]]</f>
        <v>144.6</v>
      </c>
      <c r="CO891" s="16">
        <f>RecData[[#This Row],[Amb. Humidity]]</f>
        <v>83.6</v>
      </c>
      <c r="CP891" s="16">
        <f>RecData[[#This Row],[Amb. Temperature]]</f>
        <v>11.2</v>
      </c>
      <c r="CQ891" s="17">
        <f>RecData[[#This Row],[Amb. Rain Gauge]]</f>
        <v>0</v>
      </c>
      <c r="CR891" s="4" t="s">
        <v>50</v>
      </c>
      <c r="CS891" s="4" t="s">
        <v>49</v>
      </c>
      <c r="CT891" s="70">
        <v>-8.9324264526367099</v>
      </c>
      <c r="CU891" s="70">
        <v>63.861454010009702</v>
      </c>
      <c r="CV891" s="70">
        <v>2.6919903755187899</v>
      </c>
      <c r="CW891" s="70">
        <v>0</v>
      </c>
      <c r="CX891" s="109"/>
      <c r="CY891" s="110"/>
      <c r="CZ891" s="2" t="b">
        <f>IF($DP$1="YES",IF(RecData[[#This Row],[Power (kW)]]&gt;=$CR$3, TRUE,FALSE),TRUE)</f>
        <v>0</v>
      </c>
      <c r="DA891" s="16">
        <f>MIN(MOD(180-ABS(ABS($DA$1-RecData[Yaw Angle (°)])-180),360),MOD(180-ABS(ABS($DB$1-RecData[Yaw Angle (°)])-180),360))</f>
        <v>56.331527232322145</v>
      </c>
      <c r="DB891" s="2" t="str">
        <f>IF($DP$2="None","None",IF(RecData[[#This Row],[Relative Wind Direction]]&lt;=45,"DW",IF(RecData[[#This Row],[Relative Wind Direction]]&lt;=135,"CW","UW")))</f>
        <v>CW</v>
      </c>
      <c r="DC891" s="61">
        <f>IF($CL891-$CL887&gt;1/24,#REF!,IF(SUM($CQ887:$CQ891)&gt;$DS$1,$DS$5,DC892-1))</f>
        <v>-3</v>
      </c>
      <c r="DD891" s="61">
        <f>IF($CL892-$CL891&gt;1/24,#REF!,IF(SUM($CQ887:$CQ891)&gt;$DS$1,$DS$6,DD890-1))</f>
        <v>-8</v>
      </c>
      <c r="DE891" s="18" t="b">
        <v>0</v>
      </c>
      <c r="DF891" s="2" t="b">
        <f>IF(OR(RecData[[#This Row],[WSpd_Avg '[m/s']]]-RecData[[#This Row],[Wind Speed min]]&gt;=$DF$3,RecData[[#This Row],[Wind Speed max]]-RecData[[#This Row],[WSpd_Avg '[m/s']]]&gt;=$DF$2),TRUE,FALSE)</f>
        <v>0</v>
      </c>
      <c r="DG891" s="2" t="b">
        <f>RecData[[#This Row],[Temperature '[°C']]]&lt;=-20</f>
        <v>0</v>
      </c>
      <c r="DH891" s="18" t="b">
        <f>NOT(OR(MOD(RecData[[#This Row],[TIMESTAMP]],1)&gt;0.91632,MOD(RecData[[#This Row],[TIMESTAMP]],1)&lt;0.208681))</f>
        <v>0</v>
      </c>
      <c r="DI891" s="18" t="b">
        <f>RecData[[#This Row],[Overall (dBA)]]-RecData[[#This Row],[L90]]&gt;=$DS$4</f>
        <v>0</v>
      </c>
      <c r="DJ891" s="18" t="b">
        <f>RecData[[#This Row],[Overall (dBA)]]&gt;$DS$2</f>
        <v>0</v>
      </c>
      <c r="DK891" s="18" t="b">
        <f>RecData[[#This Row],[Overall (dBA)]]&lt;$DS$3</f>
        <v>0</v>
      </c>
      <c r="DL8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91" s="2">
        <f>IF(AND(RecData[[#This Row],[Turbines ON/OFF]] = "OFF", NOT(OR(RecData[[#This Row],[Junk?]]="YES",RecData[[#This Row],[Gust?]],RecData[[#This Row],[Rain?]:[Min SPL Threshold?]]))),1,0)</f>
        <v>1</v>
      </c>
      <c r="DN891" s="16">
        <f>RecData[[#This Row],[dBA Sum]]</f>
        <v>16.336996429756653</v>
      </c>
      <c r="DO891" s="16">
        <f>RecData[[#This Row],[LAF90.0]]</f>
        <v>21.5</v>
      </c>
      <c r="DP891" s="55" t="str">
        <f>IF(AND(RecData[[#This Row],[Useable TON Data?]],RecData[[#This Row],[Turbines ON/OFF]]="ON"),RecData[[#This Row],[dBA Sum]],"")</f>
        <v/>
      </c>
      <c r="DQ891" s="55">
        <f>IF(AND(RecData[[#This Row],[Useable Background Data?]],RecData[[#This Row],[Turbines ON/OFF]]="OFF"),RecData[[#This Row],[dBA Sum]],"")</f>
        <v>16.336996429756653</v>
      </c>
      <c r="DR891" s="3">
        <f>IF(OR(RecData[[#This Row],[Useable TON Data?]],RecData[[#This Row],[Useable Background Data?]]),ROUND(RecData[[#This Row],[WSpd_Avg '[m/s']]],0),"")</f>
        <v>0</v>
      </c>
      <c r="DS891" s="85">
        <f>(0.00002)^2*(10^(RecData[[#This Row],[Overall (dBA)]]/10))</f>
        <v>1.7209158490259781E-8</v>
      </c>
    </row>
    <row r="892" spans="1:123" ht="15" x14ac:dyDescent="0.25">
      <c r="A892" s="3" t="s">
        <v>249</v>
      </c>
      <c r="B892" s="12">
        <v>43274.068750000006</v>
      </c>
      <c r="C892" s="3"/>
      <c r="D892" s="3">
        <v>27.8</v>
      </c>
      <c r="E892" s="3"/>
      <c r="F892" s="3"/>
      <c r="G892" s="3"/>
      <c r="H892" s="3"/>
      <c r="I892" s="3"/>
      <c r="J892" s="3"/>
      <c r="K892" s="3">
        <v>19.5</v>
      </c>
      <c r="L892" s="3"/>
      <c r="M892" s="3"/>
      <c r="N892" s="3">
        <v>143.5</v>
      </c>
      <c r="O892" s="3"/>
      <c r="P892" s="3"/>
      <c r="Q892" s="3">
        <v>0.46</v>
      </c>
      <c r="R892" s="3">
        <v>0.3</v>
      </c>
      <c r="S892" s="3">
        <v>0.5</v>
      </c>
      <c r="T892" s="3">
        <v>11.2</v>
      </c>
      <c r="U892" s="3">
        <v>83.4</v>
      </c>
      <c r="V892" s="3">
        <v>967.3</v>
      </c>
      <c r="W892" s="3">
        <v>0</v>
      </c>
      <c r="X892" s="3">
        <v>19.399999999999999</v>
      </c>
      <c r="Y892" s="3">
        <v>18.399999999999999</v>
      </c>
      <c r="Z892" s="3">
        <v>19.7</v>
      </c>
      <c r="AA892" s="3">
        <v>14.7</v>
      </c>
      <c r="AB892" s="3">
        <v>11.5</v>
      </c>
      <c r="AC892" s="3">
        <v>6.1</v>
      </c>
      <c r="AD892" s="3">
        <v>9.5</v>
      </c>
      <c r="AE892" s="3">
        <v>11.4</v>
      </c>
      <c r="AF892" s="3">
        <v>14.7</v>
      </c>
      <c r="AG892" s="3">
        <v>10</v>
      </c>
      <c r="AH892" s="3">
        <v>9.4</v>
      </c>
      <c r="AI892" s="3">
        <v>9</v>
      </c>
      <c r="AJ892" s="3">
        <v>11.4</v>
      </c>
      <c r="AK892" s="3">
        <v>10.4</v>
      </c>
      <c r="AL892" s="3">
        <v>8.4</v>
      </c>
      <c r="AM892" s="3">
        <v>7.9</v>
      </c>
      <c r="AN892" s="3">
        <v>7</v>
      </c>
      <c r="AO892" s="3">
        <v>6.7</v>
      </c>
      <c r="AP892" s="3">
        <v>6</v>
      </c>
      <c r="AQ892" s="3">
        <v>6.4</v>
      </c>
      <c r="AR892" s="3">
        <v>6.5</v>
      </c>
      <c r="AS892" s="3">
        <v>8.3000000000000007</v>
      </c>
      <c r="AT892" s="3">
        <v>25.9</v>
      </c>
      <c r="AU892" s="3">
        <v>8.8000000000000007</v>
      </c>
      <c r="AV892" s="3">
        <v>8.1999999999999993</v>
      </c>
      <c r="AW892" s="3">
        <v>8.6999999999999993</v>
      </c>
      <c r="AX892" s="3">
        <v>8.9</v>
      </c>
      <c r="AY892" s="3">
        <v>9.1</v>
      </c>
      <c r="AZ892" s="3">
        <v>0</v>
      </c>
      <c r="BA892" s="3">
        <v>0</v>
      </c>
      <c r="BB892" s="3">
        <v>0</v>
      </c>
      <c r="BC892" s="3">
        <v>27.768537535717826</v>
      </c>
      <c r="BD892" s="3">
        <v>19.431462464282177</v>
      </c>
      <c r="BE892" s="3">
        <v>18.431462464282177</v>
      </c>
      <c r="BF892" s="3">
        <v>18.491462464282179</v>
      </c>
      <c r="BG892" s="3">
        <v>13.81812913094884</v>
      </c>
      <c r="BH892" s="3">
        <v>10.758129130948845</v>
      </c>
      <c r="BI892" s="3">
        <v>5.7714624642821732</v>
      </c>
      <c r="BJ892" s="3">
        <v>9.9647957976155084</v>
      </c>
      <c r="BK892" s="3">
        <v>11.738129130948835</v>
      </c>
      <c r="BL892" s="3">
        <v>14.611462464282177</v>
      </c>
      <c r="BM892" s="3">
        <v>10.044795797615507</v>
      </c>
      <c r="BN892" s="3">
        <v>9.7281291309488438</v>
      </c>
      <c r="BO892" s="3">
        <v>8.6947957976155124</v>
      </c>
      <c r="BP892" s="3">
        <v>10.811462464282172</v>
      </c>
      <c r="BQ892" s="3">
        <v>10.22812913094883</v>
      </c>
      <c r="BR892" s="3">
        <v>8.5547957976155118</v>
      </c>
      <c r="BS892" s="3">
        <v>7.8581291309488392</v>
      </c>
      <c r="BT892" s="3">
        <v>7.1547957976155061</v>
      </c>
      <c r="BU892" s="3">
        <v>6.8214624642821775</v>
      </c>
      <c r="BV892" s="3">
        <v>5.8381291309488432</v>
      </c>
      <c r="BW892" s="3">
        <v>6.7714624642821803</v>
      </c>
      <c r="BX892" s="3">
        <v>6.7914624642821764</v>
      </c>
      <c r="BY892" s="3">
        <v>8.4114624642821738</v>
      </c>
      <c r="BZ892" s="3">
        <v>26.141462464282178</v>
      </c>
      <c r="CA892" s="3">
        <v>9.1414624642821707</v>
      </c>
      <c r="CB892" s="3">
        <v>7.9781291309488367</v>
      </c>
      <c r="CC892" s="3">
        <v>8.6914624642821749</v>
      </c>
      <c r="CD892" s="3">
        <v>8.1981291309488427</v>
      </c>
      <c r="CE892" s="3">
        <v>8.5914624642821735</v>
      </c>
      <c r="CF892" s="3">
        <v>-0.89520420238449105</v>
      </c>
      <c r="CG892" s="3">
        <v>-1.4285375357178225</v>
      </c>
      <c r="CH892" s="3">
        <v>-2.5052042023844905</v>
      </c>
      <c r="CI892" s="13">
        <f>[1]!dbasum(RecData[[#This Row],[20]:[2000]],RecData[[#Headers],[20]:[2000]])</f>
        <v>16.276731351738459</v>
      </c>
      <c r="CJ892" s="14">
        <v>9972</v>
      </c>
      <c r="CK892" s="15" t="s">
        <v>249</v>
      </c>
      <c r="CL892" s="15">
        <f>RecData[[#This Row],[Start Time]]</f>
        <v>43274.068750000006</v>
      </c>
      <c r="CM892" s="16">
        <f>RecData[[#This Row],[Wind Speed avg]]</f>
        <v>0.46</v>
      </c>
      <c r="CN892" s="16">
        <f>RecData[[#This Row],[Wind Dir. avg]]</f>
        <v>143.5</v>
      </c>
      <c r="CO892" s="16">
        <f>RecData[[#This Row],[Amb. Humidity]]</f>
        <v>83.4</v>
      </c>
      <c r="CP892" s="16">
        <f>RecData[[#This Row],[Amb. Temperature]]</f>
        <v>11.2</v>
      </c>
      <c r="CQ892" s="17">
        <f>RecData[[#This Row],[Amb. Rain Gauge]]</f>
        <v>0</v>
      </c>
      <c r="CR892" s="4" t="s">
        <v>50</v>
      </c>
      <c r="CS892" s="4" t="s">
        <v>49</v>
      </c>
      <c r="CT892" s="70">
        <v>-8.9324264526367099</v>
      </c>
      <c r="CU892" s="70">
        <v>63.861454010009702</v>
      </c>
      <c r="CV892" s="70">
        <v>2.6919903755187899</v>
      </c>
      <c r="CW892" s="70">
        <v>0</v>
      </c>
      <c r="CX892" s="109"/>
      <c r="CY892" s="110"/>
      <c r="CZ892" s="2" t="b">
        <f>IF($DP$1="YES",IF(RecData[[#This Row],[Power (kW)]]&gt;=$CR$3, TRUE,FALSE),TRUE)</f>
        <v>0</v>
      </c>
      <c r="DA892" s="16">
        <f>MIN(MOD(180-ABS(ABS($DA$1-RecData[Yaw Angle (°)])-180),360),MOD(180-ABS(ABS($DB$1-RecData[Yaw Angle (°)])-180),360))</f>
        <v>56.331527232322145</v>
      </c>
      <c r="DB892" s="2" t="str">
        <f>IF($DP$2="None","None",IF(RecData[[#This Row],[Relative Wind Direction]]&lt;=45,"DW",IF(RecData[[#This Row],[Relative Wind Direction]]&lt;=135,"CW","UW")))</f>
        <v>CW</v>
      </c>
      <c r="DC892" s="61">
        <f>IF($CL892-$CL888&gt;1/24,#REF!,IF(SUM($CQ888:$CQ892)&gt;$DS$1,$DS$5,DC893-1))</f>
        <v>-2</v>
      </c>
      <c r="DD892" s="61">
        <f>IF($CL893-$CL892&gt;1/24,#REF!,IF(SUM($CQ888:$CQ892)&gt;$DS$1,$DS$6,DD891-1))</f>
        <v>-9</v>
      </c>
      <c r="DE892" s="18" t="b">
        <v>0</v>
      </c>
      <c r="DF892" s="2" t="b">
        <f>IF(OR(RecData[[#This Row],[WSpd_Avg '[m/s']]]-RecData[[#This Row],[Wind Speed min]]&gt;=$DF$3,RecData[[#This Row],[Wind Speed max]]-RecData[[#This Row],[WSpd_Avg '[m/s']]]&gt;=$DF$2),TRUE,FALSE)</f>
        <v>0</v>
      </c>
      <c r="DG892" s="2" t="b">
        <f>RecData[[#This Row],[Temperature '[°C']]]&lt;=-20</f>
        <v>0</v>
      </c>
      <c r="DH892" s="18" t="b">
        <f>NOT(OR(MOD(RecData[[#This Row],[TIMESTAMP]],1)&gt;0.91632,MOD(RecData[[#This Row],[TIMESTAMP]],1)&lt;0.208681))</f>
        <v>0</v>
      </c>
      <c r="DI892" s="18" t="b">
        <f>RecData[[#This Row],[Overall (dBA)]]-RecData[[#This Row],[L90]]&gt;=$DS$4</f>
        <v>0</v>
      </c>
      <c r="DJ892" s="18" t="b">
        <f>RecData[[#This Row],[Overall (dBA)]]&gt;$DS$2</f>
        <v>0</v>
      </c>
      <c r="DK892" s="18" t="b">
        <f>RecData[[#This Row],[Overall (dBA)]]&lt;$DS$3</f>
        <v>0</v>
      </c>
      <c r="DL8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92" s="2">
        <f>IF(AND(RecData[[#This Row],[Turbines ON/OFF]] = "OFF", NOT(OR(RecData[[#This Row],[Junk?]]="YES",RecData[[#This Row],[Gust?]],RecData[[#This Row],[Rain?]:[Min SPL Threshold?]]))),1,0)</f>
        <v>1</v>
      </c>
      <c r="DN892" s="16">
        <f>RecData[[#This Row],[dBA Sum]]</f>
        <v>16.276731351738459</v>
      </c>
      <c r="DO892" s="16">
        <f>RecData[[#This Row],[LAF90.0]]</f>
        <v>19.5</v>
      </c>
      <c r="DP892" s="55" t="str">
        <f>IF(AND(RecData[[#This Row],[Useable TON Data?]],RecData[[#This Row],[Turbines ON/OFF]]="ON"),RecData[[#This Row],[dBA Sum]],"")</f>
        <v/>
      </c>
      <c r="DQ892" s="55">
        <f>IF(AND(RecData[[#This Row],[Useable Background Data?]],RecData[[#This Row],[Turbines ON/OFF]]="OFF"),RecData[[#This Row],[dBA Sum]],"")</f>
        <v>16.276731351738459</v>
      </c>
      <c r="DR892" s="3">
        <f>IF(OR(RecData[[#This Row],[Useable TON Data?]],RecData[[#This Row],[Useable Background Data?]]),ROUND(RecData[[#This Row],[WSpd_Avg '[m/s']]],0),"")</f>
        <v>0</v>
      </c>
      <c r="DS892" s="85">
        <f>(0.00002)^2*(10^(RecData[[#This Row],[Overall (dBA)]]/10))</f>
        <v>1.6972004041100665E-8</v>
      </c>
    </row>
    <row r="893" spans="1:123" ht="15" x14ac:dyDescent="0.25">
      <c r="A893" s="3" t="s">
        <v>249</v>
      </c>
      <c r="B893" s="12">
        <v>43274.069444444453</v>
      </c>
      <c r="C893" s="3"/>
      <c r="D893" s="3">
        <v>23</v>
      </c>
      <c r="E893" s="3"/>
      <c r="F893" s="3"/>
      <c r="G893" s="3"/>
      <c r="H893" s="3"/>
      <c r="I893" s="3"/>
      <c r="J893" s="3"/>
      <c r="K893" s="3">
        <v>19</v>
      </c>
      <c r="L893" s="3"/>
      <c r="M893" s="3"/>
      <c r="N893" s="3">
        <v>144</v>
      </c>
      <c r="O893" s="3"/>
      <c r="P893" s="3"/>
      <c r="Q893" s="3">
        <v>0.47</v>
      </c>
      <c r="R893" s="3">
        <v>0.3</v>
      </c>
      <c r="S893" s="3">
        <v>0.5</v>
      </c>
      <c r="T893" s="3">
        <v>11.2</v>
      </c>
      <c r="U893" s="3">
        <v>83.7</v>
      </c>
      <c r="V893" s="3">
        <v>967.3</v>
      </c>
      <c r="W893" s="3">
        <v>0</v>
      </c>
      <c r="X893" s="3">
        <v>18</v>
      </c>
      <c r="Y893" s="3">
        <v>20.3</v>
      </c>
      <c r="Z893" s="3">
        <v>22.6</v>
      </c>
      <c r="AA893" s="3">
        <v>12</v>
      </c>
      <c r="AB893" s="3">
        <v>10.4</v>
      </c>
      <c r="AC893" s="3">
        <v>6.1</v>
      </c>
      <c r="AD893" s="3">
        <v>9.6999999999999993</v>
      </c>
      <c r="AE893" s="3">
        <v>9.5</v>
      </c>
      <c r="AF893" s="3">
        <v>14.5</v>
      </c>
      <c r="AG893" s="3">
        <v>9.6999999999999993</v>
      </c>
      <c r="AH893" s="3">
        <v>8.3000000000000007</v>
      </c>
      <c r="AI893" s="3">
        <v>8.1999999999999993</v>
      </c>
      <c r="AJ893" s="3">
        <v>10.9</v>
      </c>
      <c r="AK893" s="3">
        <v>10.4</v>
      </c>
      <c r="AL893" s="3">
        <v>8.4</v>
      </c>
      <c r="AM893" s="3">
        <v>8.9</v>
      </c>
      <c r="AN893" s="3">
        <v>8.5</v>
      </c>
      <c r="AO893" s="3">
        <v>7.2</v>
      </c>
      <c r="AP893" s="3">
        <v>6.3</v>
      </c>
      <c r="AQ893" s="3">
        <v>6.5</v>
      </c>
      <c r="AR893" s="3">
        <v>6.8</v>
      </c>
      <c r="AS893" s="3">
        <v>6.7</v>
      </c>
      <c r="AT893" s="3">
        <v>18.899999999999999</v>
      </c>
      <c r="AU893" s="3">
        <v>11.2</v>
      </c>
      <c r="AV893" s="3">
        <v>8.1</v>
      </c>
      <c r="AW893" s="3">
        <v>8.6999999999999993</v>
      </c>
      <c r="AX893" s="3">
        <v>8.9</v>
      </c>
      <c r="AY893" s="3">
        <v>9.1999999999999993</v>
      </c>
      <c r="AZ893" s="3">
        <v>0</v>
      </c>
      <c r="BA893" s="3">
        <v>0</v>
      </c>
      <c r="BB893" s="3">
        <v>0</v>
      </c>
      <c r="BC893" s="3">
        <v>22.910182092063494</v>
      </c>
      <c r="BD893" s="3">
        <v>18.089817907936506</v>
      </c>
      <c r="BE893" s="3">
        <v>20.389817907936504</v>
      </c>
      <c r="BF893" s="3">
        <v>21.449817907936506</v>
      </c>
      <c r="BG893" s="3">
        <v>11.176484574603172</v>
      </c>
      <c r="BH893" s="3">
        <v>9.7164845746031716</v>
      </c>
      <c r="BI893" s="3">
        <v>5.8298179079365084</v>
      </c>
      <c r="BJ893" s="3">
        <v>10.223151241269839</v>
      </c>
      <c r="BK893" s="3">
        <v>9.8964845746031713</v>
      </c>
      <c r="BL893" s="3">
        <v>14.469817907936509</v>
      </c>
      <c r="BM893" s="3">
        <v>9.8031512412698447</v>
      </c>
      <c r="BN893" s="3">
        <v>8.686484574603174</v>
      </c>
      <c r="BO893" s="3">
        <v>7.9531512412698433</v>
      </c>
      <c r="BP893" s="3">
        <v>10.369817907936508</v>
      </c>
      <c r="BQ893" s="3">
        <v>10.286484574603165</v>
      </c>
      <c r="BR893" s="3">
        <v>8.6131512412698399</v>
      </c>
      <c r="BS893" s="3">
        <v>8.9164845746031745</v>
      </c>
      <c r="BT893" s="3">
        <v>8.7131512412698413</v>
      </c>
      <c r="BU893" s="3">
        <v>7.3798179079365092</v>
      </c>
      <c r="BV893" s="3">
        <v>6.1964845746031756</v>
      </c>
      <c r="BW893" s="3">
        <v>6.9298179079365099</v>
      </c>
      <c r="BX893" s="3">
        <v>7.1498179079365123</v>
      </c>
      <c r="BY893" s="3">
        <v>6.869817907936504</v>
      </c>
      <c r="BZ893" s="3">
        <v>19.199817907936506</v>
      </c>
      <c r="CA893" s="3">
        <v>11.599817907936497</v>
      </c>
      <c r="CB893" s="3">
        <v>7.9364845746031705</v>
      </c>
      <c r="CC893" s="3">
        <v>8.749817907936503</v>
      </c>
      <c r="CD893" s="3">
        <v>8.2564845746031779</v>
      </c>
      <c r="CE893" s="3">
        <v>8.749817907936503</v>
      </c>
      <c r="CF893" s="3">
        <v>-0.8368487587301594</v>
      </c>
      <c r="CG893" s="3">
        <v>-1.3701820920634908</v>
      </c>
      <c r="CH893" s="3">
        <v>-2.4468487587301588</v>
      </c>
      <c r="CI893" s="13">
        <f>[1]!dbasum(RecData[[#This Row],[20]:[2000]],RecData[[#Headers],[20]:[2000]])</f>
        <v>16.683194496715203</v>
      </c>
      <c r="CJ893" s="14">
        <v>9973</v>
      </c>
      <c r="CK893" s="15" t="s">
        <v>249</v>
      </c>
      <c r="CL893" s="15">
        <f>RecData[[#This Row],[Start Time]]</f>
        <v>43274.069444444453</v>
      </c>
      <c r="CM893" s="16">
        <f>RecData[[#This Row],[Wind Speed avg]]</f>
        <v>0.47</v>
      </c>
      <c r="CN893" s="16">
        <f>RecData[[#This Row],[Wind Dir. avg]]</f>
        <v>144</v>
      </c>
      <c r="CO893" s="16">
        <f>RecData[[#This Row],[Amb. Humidity]]</f>
        <v>83.7</v>
      </c>
      <c r="CP893" s="16">
        <f>RecData[[#This Row],[Amb. Temperature]]</f>
        <v>11.2</v>
      </c>
      <c r="CQ893" s="17">
        <f>RecData[[#This Row],[Amb. Rain Gauge]]</f>
        <v>0</v>
      </c>
      <c r="CR893" s="4" t="s">
        <v>50</v>
      </c>
      <c r="CS893" s="4" t="s">
        <v>49</v>
      </c>
      <c r="CT893" s="70">
        <v>-8.9324264526367099</v>
      </c>
      <c r="CU893" s="70">
        <v>63.861454010009702</v>
      </c>
      <c r="CV893" s="70">
        <v>2.6919903755187899</v>
      </c>
      <c r="CW893" s="70">
        <v>0</v>
      </c>
      <c r="CX893" s="109"/>
      <c r="CY893" s="110"/>
      <c r="CZ893" s="2" t="b">
        <f>IF($DP$1="YES",IF(RecData[[#This Row],[Power (kW)]]&gt;=$CR$3, TRUE,FALSE),TRUE)</f>
        <v>0</v>
      </c>
      <c r="DA893" s="16">
        <f>MIN(MOD(180-ABS(ABS($DA$1-RecData[Yaw Angle (°)])-180),360),MOD(180-ABS(ABS($DB$1-RecData[Yaw Angle (°)])-180),360))</f>
        <v>56.331527232322145</v>
      </c>
      <c r="DB893" s="2" t="str">
        <f>IF($DP$2="None","None",IF(RecData[[#This Row],[Relative Wind Direction]]&lt;=45,"DW",IF(RecData[[#This Row],[Relative Wind Direction]]&lt;=135,"CW","UW")))</f>
        <v>CW</v>
      </c>
      <c r="DC893" s="61">
        <v>-1</v>
      </c>
      <c r="DD893" s="61">
        <v>-1</v>
      </c>
      <c r="DE893" s="18" t="b">
        <v>0</v>
      </c>
      <c r="DF893" s="2" t="b">
        <f>IF(OR(RecData[[#This Row],[WSpd_Avg '[m/s']]]-RecData[[#This Row],[Wind Speed min]]&gt;=$DF$3,RecData[[#This Row],[Wind Speed max]]-RecData[[#This Row],[WSpd_Avg '[m/s']]]&gt;=$DF$2),TRUE,FALSE)</f>
        <v>0</v>
      </c>
      <c r="DG893" s="2" t="b">
        <f>RecData[[#This Row],[Temperature '[°C']]]&lt;=-20</f>
        <v>0</v>
      </c>
      <c r="DH893" s="18" t="b">
        <f>NOT(OR(MOD(RecData[[#This Row],[TIMESTAMP]],1)&gt;0.91632,MOD(RecData[[#This Row],[TIMESTAMP]],1)&lt;0.208681))</f>
        <v>0</v>
      </c>
      <c r="DI893" s="18" t="b">
        <f>RecData[[#This Row],[Overall (dBA)]]-RecData[[#This Row],[L90]]&gt;=$DS$4</f>
        <v>0</v>
      </c>
      <c r="DJ893" s="18" t="b">
        <f>RecData[[#This Row],[Overall (dBA)]]&gt;$DS$2</f>
        <v>0</v>
      </c>
      <c r="DK893" s="18" t="b">
        <f>RecData[[#This Row],[Overall (dBA)]]&lt;$DS$3</f>
        <v>0</v>
      </c>
      <c r="DL8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93" s="2">
        <f>IF(AND(RecData[[#This Row],[Turbines ON/OFF]] = "OFF", NOT(OR(RecData[[#This Row],[Junk?]]="YES",RecData[[#This Row],[Gust?]],RecData[[#This Row],[Rain?]:[Min SPL Threshold?]]))),1,0)</f>
        <v>1</v>
      </c>
      <c r="DN893" s="16">
        <f>RecData[[#This Row],[dBA Sum]]</f>
        <v>16.683194496715203</v>
      </c>
      <c r="DO893" s="16">
        <f>RecData[[#This Row],[LAF90.0]]</f>
        <v>19</v>
      </c>
      <c r="DP893" s="55" t="str">
        <f>IF(AND(RecData[[#This Row],[Useable TON Data?]],RecData[[#This Row],[Turbines ON/OFF]]="ON"),RecData[[#This Row],[dBA Sum]],"")</f>
        <v/>
      </c>
      <c r="DQ893" s="55">
        <f>IF(AND(RecData[[#This Row],[Useable Background Data?]],RecData[[#This Row],[Turbines ON/OFF]]="OFF"),RecData[[#This Row],[dBA Sum]],"")</f>
        <v>16.683194496715203</v>
      </c>
      <c r="DR893" s="3">
        <f>IF(OR(RecData[[#This Row],[Useable TON Data?]],RecData[[#This Row],[Useable Background Data?]]),ROUND(RecData[[#This Row],[WSpd_Avg '[m/s']]],0),"")</f>
        <v>0</v>
      </c>
      <c r="DS893" s="85">
        <f>(0.00002)^2*(10^(RecData[[#This Row],[Overall (dBA)]]/10))</f>
        <v>1.8637147441486973E-8</v>
      </c>
    </row>
    <row r="894" spans="1:123" ht="15" x14ac:dyDescent="0.25">
      <c r="A894" s="3" t="s">
        <v>249</v>
      </c>
      <c r="B894" s="12">
        <v>43274.11041666667</v>
      </c>
      <c r="C894" s="3"/>
      <c r="D894" s="3">
        <v>31.6</v>
      </c>
      <c r="E894" s="3"/>
      <c r="F894" s="3"/>
      <c r="G894" s="3"/>
      <c r="H894" s="3"/>
      <c r="I894" s="3"/>
      <c r="J894" s="3"/>
      <c r="K894" s="3">
        <v>23.3</v>
      </c>
      <c r="L894" s="3"/>
      <c r="M894" s="3"/>
      <c r="N894" s="3">
        <v>118.6</v>
      </c>
      <c r="O894" s="3"/>
      <c r="P894" s="3"/>
      <c r="Q894" s="3">
        <v>0.16</v>
      </c>
      <c r="R894" s="3">
        <v>0.1</v>
      </c>
      <c r="S894" s="3">
        <v>0.3</v>
      </c>
      <c r="T894" s="3">
        <v>10.4</v>
      </c>
      <c r="U894" s="3">
        <v>88.7</v>
      </c>
      <c r="V894" s="3">
        <v>966.7</v>
      </c>
      <c r="W894" s="3">
        <v>0</v>
      </c>
      <c r="X894" s="3">
        <v>26.6</v>
      </c>
      <c r="Y894" s="3">
        <v>29.5</v>
      </c>
      <c r="Z894" s="3">
        <v>27.1</v>
      </c>
      <c r="AA894" s="3">
        <v>24.2</v>
      </c>
      <c r="AB894" s="3">
        <v>19.5</v>
      </c>
      <c r="AC894" s="3">
        <v>15.5</v>
      </c>
      <c r="AD894" s="3">
        <v>25.8</v>
      </c>
      <c r="AE894" s="3">
        <v>23.6</v>
      </c>
      <c r="AF894" s="3">
        <v>25.4</v>
      </c>
      <c r="AG894" s="3">
        <v>24.4</v>
      </c>
      <c r="AH894" s="3">
        <v>20.5</v>
      </c>
      <c r="AI894" s="3">
        <v>20.8</v>
      </c>
      <c r="AJ894" s="3">
        <v>20.100000000000001</v>
      </c>
      <c r="AK894" s="3">
        <v>17.899999999999999</v>
      </c>
      <c r="AL894" s="3">
        <v>14.7</v>
      </c>
      <c r="AM894" s="3">
        <v>13.2</v>
      </c>
      <c r="AN894" s="3">
        <v>11.4</v>
      </c>
      <c r="AO894" s="3">
        <v>9.6</v>
      </c>
      <c r="AP894" s="3">
        <v>8.9</v>
      </c>
      <c r="AQ894" s="3">
        <v>11.7</v>
      </c>
      <c r="AR894" s="3">
        <v>10.3</v>
      </c>
      <c r="AS894" s="3">
        <v>10.3</v>
      </c>
      <c r="AT894" s="3">
        <v>29.6</v>
      </c>
      <c r="AU894" s="3">
        <v>11.9</v>
      </c>
      <c r="AV894" s="3">
        <v>8.3000000000000007</v>
      </c>
      <c r="AW894" s="3">
        <v>8.6</v>
      </c>
      <c r="AX894" s="3">
        <v>8.8000000000000007</v>
      </c>
      <c r="AY894" s="3">
        <v>9.1</v>
      </c>
      <c r="AZ894" s="3">
        <v>0</v>
      </c>
      <c r="BA894" s="3">
        <v>0</v>
      </c>
      <c r="BB894" s="3">
        <v>0</v>
      </c>
      <c r="BC894" s="3">
        <v>31.598088827807175</v>
      </c>
      <c r="BD894" s="3">
        <v>26.601911172192828</v>
      </c>
      <c r="BE894" s="3">
        <v>29.501911172192827</v>
      </c>
      <c r="BF894" s="3">
        <v>25.861911172192833</v>
      </c>
      <c r="BG894" s="3">
        <v>23.288577838859489</v>
      </c>
      <c r="BH894" s="3">
        <v>18.728577838859493</v>
      </c>
      <c r="BI894" s="3">
        <v>15.141911172192827</v>
      </c>
      <c r="BJ894" s="3">
        <v>26.235244505526161</v>
      </c>
      <c r="BK894" s="3">
        <v>23.908577838859486</v>
      </c>
      <c r="BL894" s="3">
        <v>25.281911172192821</v>
      </c>
      <c r="BM894" s="3">
        <v>24.415244505526161</v>
      </c>
      <c r="BN894" s="3">
        <v>20.798577838859494</v>
      </c>
      <c r="BO894" s="3">
        <v>20.465244505526165</v>
      </c>
      <c r="BP894" s="3">
        <v>19.481911172192824</v>
      </c>
      <c r="BQ894" s="3">
        <v>17.698577838859478</v>
      </c>
      <c r="BR894" s="3">
        <v>14.825244505526157</v>
      </c>
      <c r="BS894" s="3">
        <v>13.128577838859492</v>
      </c>
      <c r="BT894" s="3">
        <v>11.52524450552616</v>
      </c>
      <c r="BU894" s="3">
        <v>9.6919111721928317</v>
      </c>
      <c r="BV894" s="3">
        <v>8.7085778388594974</v>
      </c>
      <c r="BW894" s="3">
        <v>12.041911172192826</v>
      </c>
      <c r="BX894" s="3">
        <v>10.561911172192836</v>
      </c>
      <c r="BY894" s="3">
        <v>10.381911172192829</v>
      </c>
      <c r="BZ894" s="3">
        <v>29.811911172192836</v>
      </c>
      <c r="CA894" s="3">
        <v>12.211911172192821</v>
      </c>
      <c r="CB894" s="3">
        <v>8.0485778388594937</v>
      </c>
      <c r="CC894" s="3">
        <v>8.5619111721928221</v>
      </c>
      <c r="CD894" s="3">
        <v>8.0685778388594969</v>
      </c>
      <c r="CE894" s="3">
        <v>8.5619111721928221</v>
      </c>
      <c r="CF894" s="3">
        <v>-0.92475549447383898</v>
      </c>
      <c r="CG894" s="3">
        <v>-1.4580888278071704</v>
      </c>
      <c r="CH894" s="3">
        <v>-2.5347554944738384</v>
      </c>
      <c r="CI894" s="13">
        <f>[1]!dbasum(RecData[[#This Row],[20]:[2000]],RecData[[#Headers],[20]:[2000]])</f>
        <v>22.623065097234203</v>
      </c>
      <c r="CJ894" s="14">
        <v>10032</v>
      </c>
      <c r="CK894" s="15" t="s">
        <v>249</v>
      </c>
      <c r="CL894" s="15">
        <f>RecData[[#This Row],[Start Time]]</f>
        <v>43274.11041666667</v>
      </c>
      <c r="CM894" s="16">
        <f>RecData[[#This Row],[Wind Speed avg]]</f>
        <v>0.16</v>
      </c>
      <c r="CN894" s="16">
        <f>RecData[[#This Row],[Wind Dir. avg]]</f>
        <v>118.6</v>
      </c>
      <c r="CO894" s="16">
        <f>RecData[[#This Row],[Amb. Humidity]]</f>
        <v>88.7</v>
      </c>
      <c r="CP894" s="16">
        <f>RecData[[#This Row],[Amb. Temperature]]</f>
        <v>10.4</v>
      </c>
      <c r="CQ894" s="17">
        <f>RecData[[#This Row],[Amb. Rain Gauge]]</f>
        <v>0</v>
      </c>
      <c r="CR894" s="4" t="s">
        <v>257</v>
      </c>
      <c r="CS894" s="4" t="s">
        <v>49</v>
      </c>
      <c r="CT894" s="70">
        <v>85.739028930664006</v>
      </c>
      <c r="CU894" s="70">
        <v>73.000617980957003</v>
      </c>
      <c r="CV894" s="70">
        <v>4.0693798065185502</v>
      </c>
      <c r="CW894" s="70">
        <v>9.4696664810180593</v>
      </c>
      <c r="CX894" s="4" t="s">
        <v>49</v>
      </c>
      <c r="CY894" s="69" t="s">
        <v>255</v>
      </c>
      <c r="CZ894" s="2" t="b">
        <f>IF($DP$1="YES",IF(RecData[[#This Row],[Power (kW)]]&gt;=$CR$3, TRUE,FALSE),TRUE)</f>
        <v>0</v>
      </c>
      <c r="DA894" s="16">
        <f>MIN(MOD(180-ABS(ABS($DA$1-RecData[Yaw Angle (°)])-180),360),MOD(180-ABS(ABS($DB$1-RecData[Yaw Angle (°)])-180),360))</f>
        <v>65.470691203269453</v>
      </c>
      <c r="DB894" s="2" t="str">
        <f>IF($DP$2="None","None",IF(RecData[[#This Row],[Relative Wind Direction]]&lt;=45,"DW",IF(RecData[[#This Row],[Relative Wind Direction]]&lt;=135,"CW","UW")))</f>
        <v>CW</v>
      </c>
      <c r="DC894" s="61" t="e">
        <f>IF($CL894-#REF!&gt;1/24,#REF!,IF(SUM($CQ894:$CQ894)&gt;$DS$1,$DS$5,#REF!-1))</f>
        <v>#REF!</v>
      </c>
      <c r="DD894" s="61" t="e">
        <f>IF(#REF!-$CL894&gt;1/24,#REF!,IF(SUM($CQ894:$CQ894)&gt;$DS$1,$DS$6,#REF!-1))</f>
        <v>#REF!</v>
      </c>
      <c r="DE894" s="18" t="b">
        <v>0</v>
      </c>
      <c r="DF894" s="2" t="b">
        <f>IF(OR(RecData[[#This Row],[WSpd_Avg '[m/s']]]-RecData[[#This Row],[Wind Speed min]]&gt;=$DF$3,RecData[[#This Row],[Wind Speed max]]-RecData[[#This Row],[WSpd_Avg '[m/s']]]&gt;=$DF$2),TRUE,FALSE)</f>
        <v>0</v>
      </c>
      <c r="DG894" s="2" t="b">
        <f>RecData[[#This Row],[Temperature '[°C']]]&lt;=-20</f>
        <v>0</v>
      </c>
      <c r="DH894" s="18" t="b">
        <f>NOT(OR(MOD(RecData[[#This Row],[TIMESTAMP]],1)&gt;0.91632,MOD(RecData[[#This Row],[TIMESTAMP]],1)&lt;0.208681))</f>
        <v>0</v>
      </c>
      <c r="DI894" s="18" t="b">
        <f>RecData[[#This Row],[Overall (dBA)]]-RecData[[#This Row],[L90]]&gt;=$DS$4</f>
        <v>0</v>
      </c>
      <c r="DJ894" s="18" t="b">
        <f>RecData[[#This Row],[Overall (dBA)]]&gt;$DS$2</f>
        <v>0</v>
      </c>
      <c r="DK894" s="18" t="b">
        <f>RecData[[#This Row],[Overall (dBA)]]&lt;$DS$3</f>
        <v>0</v>
      </c>
      <c r="DL8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94" s="2">
        <f>IF(AND(RecData[[#This Row],[Turbines ON/OFF]] = "OFF", NOT(OR(RecData[[#This Row],[Junk?]]="YES",RecData[[#This Row],[Gust?]],RecData[[#This Row],[Rain?]:[Min SPL Threshold?]]))),1,0)</f>
        <v>0</v>
      </c>
      <c r="DN894" s="16">
        <f>RecData[[#This Row],[dBA Sum]]</f>
        <v>22.623065097234203</v>
      </c>
      <c r="DO894" s="16">
        <f>RecData[[#This Row],[LAF90.0]]</f>
        <v>23.3</v>
      </c>
      <c r="DP894" s="55" t="str">
        <f>IF(AND(RecData[[#This Row],[Useable TON Data?]],RecData[[#This Row],[Turbines ON/OFF]]="ON"),RecData[[#This Row],[dBA Sum]],"")</f>
        <v/>
      </c>
      <c r="DQ894" s="55" t="str">
        <f>IF(AND(RecData[[#This Row],[Useable Background Data?]],RecData[[#This Row],[Turbines ON/OFF]]="OFF"),RecData[[#This Row],[dBA Sum]],"")</f>
        <v/>
      </c>
      <c r="DR894" s="3" t="str">
        <f>IF(OR(RecData[[#This Row],[Useable TON Data?]],RecData[[#This Row],[Useable Background Data?]]),ROUND(RecData[[#This Row],[WSpd_Avg '[m/s']]],0),"")</f>
        <v/>
      </c>
      <c r="DS894" s="85">
        <f>(0.00002)^2*(10^(RecData[[#This Row],[Overall (dBA)]]/10))</f>
        <v>7.3175635207157212E-8</v>
      </c>
    </row>
    <row r="895" spans="1:123" ht="15" x14ac:dyDescent="0.25">
      <c r="A895" s="3" t="s">
        <v>249</v>
      </c>
      <c r="B895" s="12">
        <v>43274.111805555556</v>
      </c>
      <c r="C895" s="3"/>
      <c r="D895" s="3">
        <v>28.7</v>
      </c>
      <c r="E895" s="3"/>
      <c r="F895" s="3"/>
      <c r="G895" s="3"/>
      <c r="H895" s="3"/>
      <c r="I895" s="3"/>
      <c r="J895" s="3"/>
      <c r="K895" s="3">
        <v>22.9</v>
      </c>
      <c r="L895" s="3"/>
      <c r="M895" s="3"/>
      <c r="N895" s="3">
        <v>135.30000000000001</v>
      </c>
      <c r="O895" s="3"/>
      <c r="P895" s="3"/>
      <c r="Q895" s="3">
        <v>0.53</v>
      </c>
      <c r="R895" s="3">
        <v>0.3</v>
      </c>
      <c r="S895" s="3">
        <v>0.8</v>
      </c>
      <c r="T895" s="3">
        <v>10.3</v>
      </c>
      <c r="U895" s="3">
        <v>88.6</v>
      </c>
      <c r="V895" s="3">
        <v>966.7</v>
      </c>
      <c r="W895" s="3">
        <v>0</v>
      </c>
      <c r="X895" s="3">
        <v>26.4</v>
      </c>
      <c r="Y895" s="3">
        <v>30</v>
      </c>
      <c r="Z895" s="3">
        <v>26.7</v>
      </c>
      <c r="AA895" s="3">
        <v>22.9</v>
      </c>
      <c r="AB895" s="3">
        <v>18.7</v>
      </c>
      <c r="AC895" s="3">
        <v>13.9</v>
      </c>
      <c r="AD895" s="3">
        <v>25.9</v>
      </c>
      <c r="AE895" s="3">
        <v>24.4</v>
      </c>
      <c r="AF895" s="3">
        <v>25</v>
      </c>
      <c r="AG895" s="3">
        <v>23.3</v>
      </c>
      <c r="AH895" s="3">
        <v>20.8</v>
      </c>
      <c r="AI895" s="3">
        <v>20.7</v>
      </c>
      <c r="AJ895" s="3">
        <v>20.5</v>
      </c>
      <c r="AK895" s="3">
        <v>18.2</v>
      </c>
      <c r="AL895" s="3">
        <v>14.8</v>
      </c>
      <c r="AM895" s="3">
        <v>13.1</v>
      </c>
      <c r="AN895" s="3">
        <v>11.2</v>
      </c>
      <c r="AO895" s="3">
        <v>9.6</v>
      </c>
      <c r="AP895" s="3">
        <v>9</v>
      </c>
      <c r="AQ895" s="3">
        <v>12.8</v>
      </c>
      <c r="AR895" s="3">
        <v>11.8</v>
      </c>
      <c r="AS895" s="3">
        <v>10.8</v>
      </c>
      <c r="AT895" s="3">
        <v>25.8</v>
      </c>
      <c r="AU895" s="3">
        <v>8.5</v>
      </c>
      <c r="AV895" s="3">
        <v>8.1</v>
      </c>
      <c r="AW895" s="3">
        <v>8.6</v>
      </c>
      <c r="AX895" s="3">
        <v>8.8000000000000007</v>
      </c>
      <c r="AY895" s="3">
        <v>9.1</v>
      </c>
      <c r="AZ895" s="3">
        <v>0</v>
      </c>
      <c r="BA895" s="3">
        <v>0</v>
      </c>
      <c r="BB895" s="3">
        <v>0</v>
      </c>
      <c r="BC895" s="3">
        <v>28.731517172784258</v>
      </c>
      <c r="BD895" s="3">
        <v>26.368482827215736</v>
      </c>
      <c r="BE895" s="3">
        <v>29.968482827215745</v>
      </c>
      <c r="BF895" s="3">
        <v>25.428482827215738</v>
      </c>
      <c r="BG895" s="3">
        <v>21.955149493882402</v>
      </c>
      <c r="BH895" s="3">
        <v>17.895149493882407</v>
      </c>
      <c r="BI895" s="3">
        <v>13.508482827215744</v>
      </c>
      <c r="BJ895" s="3">
        <v>26.301816160549073</v>
      </c>
      <c r="BK895" s="3">
        <v>24.675149493882401</v>
      </c>
      <c r="BL895" s="3">
        <v>24.84848282721574</v>
      </c>
      <c r="BM895" s="3">
        <v>23.281816160549077</v>
      </c>
      <c r="BN895" s="3">
        <v>21.065149493882409</v>
      </c>
      <c r="BO895" s="3">
        <v>20.331816160549074</v>
      </c>
      <c r="BP895" s="3">
        <v>19.84848282721574</v>
      </c>
      <c r="BQ895" s="3">
        <v>17.9651494938824</v>
      </c>
      <c r="BR895" s="3">
        <v>14.891816160549077</v>
      </c>
      <c r="BS895" s="3">
        <v>12.995149493882408</v>
      </c>
      <c r="BT895" s="3">
        <v>11.291816160549075</v>
      </c>
      <c r="BU895" s="3">
        <v>9.6584828272157424</v>
      </c>
      <c r="BV895" s="3">
        <v>8.7751494938824095</v>
      </c>
      <c r="BW895" s="3">
        <v>13.108482827215745</v>
      </c>
      <c r="BX895" s="3">
        <v>12.028482827215747</v>
      </c>
      <c r="BY895" s="3">
        <v>10.84848282721574</v>
      </c>
      <c r="BZ895" s="3">
        <v>25.97848282721575</v>
      </c>
      <c r="CA895" s="3">
        <v>8.7784828272157327</v>
      </c>
      <c r="CB895" s="3">
        <v>7.8151494938824086</v>
      </c>
      <c r="CC895" s="3">
        <v>8.5284828272157398</v>
      </c>
      <c r="CD895" s="3">
        <v>8.0351494938824146</v>
      </c>
      <c r="CE895" s="3">
        <v>8.5284828272157398</v>
      </c>
      <c r="CF895" s="3">
        <v>-0.95818383945092478</v>
      </c>
      <c r="CG895" s="3">
        <v>-1.4915171727842562</v>
      </c>
      <c r="CH895" s="3">
        <v>-2.5681838394509242</v>
      </c>
      <c r="CI895" s="13">
        <f>[1]!dbasum(RecData[[#This Row],[20]:[2000]],RecData[[#Headers],[20]:[2000]])</f>
        <v>22.871340178495245</v>
      </c>
      <c r="CJ895" s="14">
        <v>10034</v>
      </c>
      <c r="CK895" s="15" t="s">
        <v>249</v>
      </c>
      <c r="CL895" s="15">
        <f>RecData[[#This Row],[Start Time]]</f>
        <v>43274.111805555556</v>
      </c>
      <c r="CM895" s="16">
        <f>RecData[[#This Row],[Wind Speed avg]]</f>
        <v>0.53</v>
      </c>
      <c r="CN895" s="16">
        <f>RecData[[#This Row],[Wind Dir. avg]]</f>
        <v>135.30000000000001</v>
      </c>
      <c r="CO895" s="16">
        <f>RecData[[#This Row],[Amb. Humidity]]</f>
        <v>88.6</v>
      </c>
      <c r="CP895" s="16">
        <f>RecData[[#This Row],[Amb. Temperature]]</f>
        <v>10.3</v>
      </c>
      <c r="CQ895" s="17">
        <f>RecData[[#This Row],[Amb. Rain Gauge]]</f>
        <v>0</v>
      </c>
      <c r="CR895" s="4" t="s">
        <v>257</v>
      </c>
      <c r="CS895" s="4" t="s">
        <v>49</v>
      </c>
      <c r="CT895" s="70">
        <v>61.883346557617102</v>
      </c>
      <c r="CU895" s="70">
        <v>73.000617980957003</v>
      </c>
      <c r="CV895" s="70">
        <v>3.7971012592315598</v>
      </c>
      <c r="CW895" s="70">
        <v>9.46968173980712</v>
      </c>
      <c r="CX895" s="4" t="s">
        <v>49</v>
      </c>
      <c r="CY895" s="69" t="s">
        <v>255</v>
      </c>
      <c r="CZ895" s="2" t="b">
        <f>IF($DP$1="YES",IF(RecData[[#This Row],[Power (kW)]]&gt;=$CR$3, TRUE,FALSE),TRUE)</f>
        <v>0</v>
      </c>
      <c r="DA895" s="16">
        <f>MIN(MOD(180-ABS(ABS($DA$1-RecData[Yaw Angle (°)])-180),360),MOD(180-ABS(ABS($DB$1-RecData[Yaw Angle (°)])-180),360))</f>
        <v>65.470691203269453</v>
      </c>
      <c r="DB895" s="2" t="str">
        <f>IF($DP$2="None","None",IF(RecData[[#This Row],[Relative Wind Direction]]&lt;=45,"DW",IF(RecData[[#This Row],[Relative Wind Direction]]&lt;=135,"CW","UW")))</f>
        <v>CW</v>
      </c>
      <c r="DC895" s="61" t="e">
        <f>IF($CL895-#REF!&gt;1/24,#REF!,IF(SUM($CQ894:$CQ895)&gt;$DS$1,$DS$5,#REF!-1))</f>
        <v>#REF!</v>
      </c>
      <c r="DD895" s="61" t="e">
        <f>IF(#REF!-$CL895&gt;1/24,#REF!,IF(SUM($CQ894:$CQ895)&gt;$DS$1,$DS$6,#REF!-1))</f>
        <v>#REF!</v>
      </c>
      <c r="DE895" s="18" t="b">
        <v>0</v>
      </c>
      <c r="DF895" s="2" t="b">
        <f>IF(OR(RecData[[#This Row],[WSpd_Avg '[m/s']]]-RecData[[#This Row],[Wind Speed min]]&gt;=$DF$3,RecData[[#This Row],[Wind Speed max]]-RecData[[#This Row],[WSpd_Avg '[m/s']]]&gt;=$DF$2),TRUE,FALSE)</f>
        <v>0</v>
      </c>
      <c r="DG895" s="2" t="b">
        <f>RecData[[#This Row],[Temperature '[°C']]]&lt;=-20</f>
        <v>0</v>
      </c>
      <c r="DH895" s="18" t="b">
        <f>NOT(OR(MOD(RecData[[#This Row],[TIMESTAMP]],1)&gt;0.91632,MOD(RecData[[#This Row],[TIMESTAMP]],1)&lt;0.208681))</f>
        <v>0</v>
      </c>
      <c r="DI895" s="18" t="b">
        <f>RecData[[#This Row],[Overall (dBA)]]-RecData[[#This Row],[L90]]&gt;=$DS$4</f>
        <v>0</v>
      </c>
      <c r="DJ895" s="18" t="b">
        <f>RecData[[#This Row],[Overall (dBA)]]&gt;$DS$2</f>
        <v>0</v>
      </c>
      <c r="DK895" s="18" t="b">
        <f>RecData[[#This Row],[Overall (dBA)]]&lt;$DS$3</f>
        <v>0</v>
      </c>
      <c r="DL8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895" s="2">
        <f>IF(AND(RecData[[#This Row],[Turbines ON/OFF]] = "OFF", NOT(OR(RecData[[#This Row],[Junk?]]="YES",RecData[[#This Row],[Gust?]],RecData[[#This Row],[Rain?]:[Min SPL Threshold?]]))),1,0)</f>
        <v>0</v>
      </c>
      <c r="DN895" s="16">
        <f>RecData[[#This Row],[dBA Sum]]</f>
        <v>22.871340178495245</v>
      </c>
      <c r="DO895" s="16">
        <f>RecData[[#This Row],[LAF90.0]]</f>
        <v>22.9</v>
      </c>
      <c r="DP895" s="55" t="str">
        <f>IF(AND(RecData[[#This Row],[Useable TON Data?]],RecData[[#This Row],[Turbines ON/OFF]]="ON"),RecData[[#This Row],[dBA Sum]],"")</f>
        <v/>
      </c>
      <c r="DQ895" s="55" t="str">
        <f>IF(AND(RecData[[#This Row],[Useable Background Data?]],RecData[[#This Row],[Turbines ON/OFF]]="OFF"),RecData[[#This Row],[dBA Sum]],"")</f>
        <v/>
      </c>
      <c r="DR895" s="3" t="str">
        <f>IF(OR(RecData[[#This Row],[Useable TON Data?]],RecData[[#This Row],[Useable Background Data?]]),ROUND(RecData[[#This Row],[WSpd_Avg '[m/s']]],0),"")</f>
        <v/>
      </c>
      <c r="DS895" s="85">
        <f>(0.00002)^2*(10^(RecData[[#This Row],[Overall (dBA)]]/10))</f>
        <v>7.748078447091407E-8</v>
      </c>
    </row>
    <row r="896" spans="1:123" ht="15" x14ac:dyDescent="0.25">
      <c r="A896" s="3" t="s">
        <v>249</v>
      </c>
      <c r="B896" s="12">
        <v>43274.959027777782</v>
      </c>
      <c r="C896" s="3"/>
      <c r="D896" s="3">
        <v>39.700000000000003</v>
      </c>
      <c r="E896" s="3"/>
      <c r="F896" s="3"/>
      <c r="G896" s="3"/>
      <c r="H896" s="3"/>
      <c r="I896" s="3"/>
      <c r="J896" s="3"/>
      <c r="K896" s="3">
        <v>37.5</v>
      </c>
      <c r="L896" s="3"/>
      <c r="M896" s="3"/>
      <c r="N896" s="3">
        <v>99.1</v>
      </c>
      <c r="O896" s="3"/>
      <c r="P896" s="3"/>
      <c r="Q896" s="3">
        <v>0.42</v>
      </c>
      <c r="R896" s="3">
        <v>0.1</v>
      </c>
      <c r="S896" s="3">
        <v>0.9</v>
      </c>
      <c r="T896" s="3">
        <v>12.4</v>
      </c>
      <c r="U896" s="3">
        <v>79.599999999999994</v>
      </c>
      <c r="V896" s="3">
        <v>965.6</v>
      </c>
      <c r="W896" s="3">
        <v>0</v>
      </c>
      <c r="X896" s="3">
        <v>46</v>
      </c>
      <c r="Y896" s="3">
        <v>46.4</v>
      </c>
      <c r="Z896" s="3">
        <v>45.4</v>
      </c>
      <c r="AA896" s="3">
        <v>40.9</v>
      </c>
      <c r="AB896" s="3">
        <v>37.1</v>
      </c>
      <c r="AC896" s="3">
        <v>36.4</v>
      </c>
      <c r="AD896" s="3">
        <v>40.1</v>
      </c>
      <c r="AE896" s="3">
        <v>42.8</v>
      </c>
      <c r="AF896" s="3">
        <v>43.6</v>
      </c>
      <c r="AG896" s="3">
        <v>37.4</v>
      </c>
      <c r="AH896" s="3">
        <v>39.6</v>
      </c>
      <c r="AI896" s="3">
        <v>38.9</v>
      </c>
      <c r="AJ896" s="3">
        <v>37.799999999999997</v>
      </c>
      <c r="AK896" s="3">
        <v>35.1</v>
      </c>
      <c r="AL896" s="3">
        <v>32</v>
      </c>
      <c r="AM896" s="3">
        <v>30.4</v>
      </c>
      <c r="AN896" s="3">
        <v>27.9</v>
      </c>
      <c r="AO896" s="3">
        <v>24.4</v>
      </c>
      <c r="AP896" s="3">
        <v>22.8</v>
      </c>
      <c r="AQ896" s="3">
        <v>20.9</v>
      </c>
      <c r="AR896" s="3">
        <v>18.7</v>
      </c>
      <c r="AS896" s="3">
        <v>18.399999999999999</v>
      </c>
      <c r="AT896" s="3">
        <v>29.5</v>
      </c>
      <c r="AU896" s="3">
        <v>15.4</v>
      </c>
      <c r="AV896" s="3">
        <v>11</v>
      </c>
      <c r="AW896" s="3">
        <v>10.6</v>
      </c>
      <c r="AX896" s="3">
        <v>9.4</v>
      </c>
      <c r="AY896" s="3">
        <v>9.3000000000000007</v>
      </c>
      <c r="AZ896" s="3">
        <v>0</v>
      </c>
      <c r="BA896" s="3">
        <v>0</v>
      </c>
      <c r="BB896" s="3">
        <v>0</v>
      </c>
      <c r="BC896" s="3">
        <v>39.716804478896378</v>
      </c>
      <c r="BD896" s="3">
        <v>45.983195521103625</v>
      </c>
      <c r="BE896" s="3">
        <v>46.383195521103616</v>
      </c>
      <c r="BF896" s="3">
        <v>44.143195521103621</v>
      </c>
      <c r="BG896" s="3">
        <v>39.969862187770289</v>
      </c>
      <c r="BH896" s="3">
        <v>36.309862187770293</v>
      </c>
      <c r="BI896" s="3">
        <v>36.023195521103631</v>
      </c>
      <c r="BJ896" s="3">
        <v>40.516528854436956</v>
      </c>
      <c r="BK896" s="3">
        <v>43.089862187770294</v>
      </c>
      <c r="BL896" s="3">
        <v>43.463195521103628</v>
      </c>
      <c r="BM896" s="3">
        <v>37.396528854436966</v>
      </c>
      <c r="BN896" s="3">
        <v>39.879862187770286</v>
      </c>
      <c r="BO896" s="3">
        <v>38.546528854436957</v>
      </c>
      <c r="BP896" s="3">
        <v>37.163195521103617</v>
      </c>
      <c r="BQ896" s="3">
        <v>34.879862187770286</v>
      </c>
      <c r="BR896" s="3">
        <v>32.106528854436959</v>
      </c>
      <c r="BS896" s="3">
        <v>30.309862187770293</v>
      </c>
      <c r="BT896" s="3">
        <v>28.006528854436951</v>
      </c>
      <c r="BU896" s="3">
        <v>24.473195521103619</v>
      </c>
      <c r="BV896" s="3">
        <v>22.589862187770294</v>
      </c>
      <c r="BW896" s="3">
        <v>21.223195521103627</v>
      </c>
      <c r="BX896" s="3">
        <v>18.943195521103632</v>
      </c>
      <c r="BY896" s="3">
        <v>18.463195521103621</v>
      </c>
      <c r="BZ896" s="3">
        <v>29.693195521103632</v>
      </c>
      <c r="CA896" s="3">
        <v>15.693195521103618</v>
      </c>
      <c r="CB896" s="3">
        <v>10.729862187770287</v>
      </c>
      <c r="CC896" s="3">
        <v>10.543195521103627</v>
      </c>
      <c r="CD896" s="3">
        <v>8.6498621877702959</v>
      </c>
      <c r="CE896" s="3">
        <v>8.7431955211036225</v>
      </c>
      <c r="CF896" s="3">
        <v>-0.9434711455630449</v>
      </c>
      <c r="CG896" s="3">
        <v>-1.4768044788963763</v>
      </c>
      <c r="CH896" s="3">
        <v>-2.5534711455630443</v>
      </c>
      <c r="CI896" s="13">
        <f>[1]!dbasum(RecData[[#This Row],[20]:[2000]],RecData[[#Headers],[20]:[2000]])</f>
        <v>38.914416209182001</v>
      </c>
      <c r="CJ896" s="14">
        <v>10238</v>
      </c>
      <c r="CK896" s="15" t="s">
        <v>249</v>
      </c>
      <c r="CL896" s="15">
        <f>RecData[[#This Row],[Start Time]]</f>
        <v>43274.959027777782</v>
      </c>
      <c r="CM896" s="16">
        <f>RecData[[#This Row],[Wind Speed avg]]</f>
        <v>0.42</v>
      </c>
      <c r="CN896" s="16">
        <f>RecData[[#This Row],[Wind Dir. avg]]</f>
        <v>99.1</v>
      </c>
      <c r="CO896" s="16">
        <f>RecData[[#This Row],[Amb. Humidity]]</f>
        <v>79.599999999999994</v>
      </c>
      <c r="CP896" s="16">
        <f>RecData[[#This Row],[Amb. Temperature]]</f>
        <v>12.4</v>
      </c>
      <c r="CQ896" s="17">
        <f>RecData[[#This Row],[Amb. Rain Gauge]]</f>
        <v>0</v>
      </c>
      <c r="CR896" s="4" t="s">
        <v>1</v>
      </c>
      <c r="CS896" s="4" t="s">
        <v>49</v>
      </c>
      <c r="CT896" s="70">
        <v>1421.41577148437</v>
      </c>
      <c r="CU896" s="70">
        <v>15.000127792358301</v>
      </c>
      <c r="CV896" s="70">
        <v>9.4116306304931605</v>
      </c>
      <c r="CW896" s="70">
        <v>14.9859504699707</v>
      </c>
      <c r="CX896" s="4"/>
      <c r="CY896" s="69"/>
      <c r="CZ896" s="2" t="b">
        <f>IF($DP$1="YES",IF(RecData[[#This Row],[Power (kW)]]&gt;=$CR$3, TRUE,FALSE),TRUE)</f>
        <v>1</v>
      </c>
      <c r="DA896" s="16">
        <f>MIN(MOD(180-ABS(ABS($DA$1-RecData[Yaw Angle (°)])-180),360),MOD(180-ABS(ABS($DB$1-RecData[Yaw Angle (°)])-180),360))</f>
        <v>7.4702010146707494</v>
      </c>
      <c r="DB896" s="2" t="str">
        <f>IF($DP$2="None","None",IF(RecData[[#This Row],[Relative Wind Direction]]&lt;=45,"DW",IF(RecData[[#This Row],[Relative Wind Direction]]&lt;=135,"CW","UW")))</f>
        <v>DW</v>
      </c>
      <c r="DC896" s="61" t="e">
        <f>IF($CL896-#REF!&gt;1/24,#REF!,IF(SUM($CQ896:$CQ896)&gt;$DS$1,$DS$5,DC897-1))</f>
        <v>#REF!</v>
      </c>
      <c r="DD896" s="61" t="e">
        <f>IF($CL897-$CL896&gt;1/24,#REF!,IF(SUM($CQ896:$CQ896)&gt;$DS$1,$DS$6,#REF!-1))</f>
        <v>#REF!</v>
      </c>
      <c r="DE896" s="18" t="b">
        <v>0</v>
      </c>
      <c r="DF896" s="2" t="b">
        <f>IF(OR(RecData[[#This Row],[WSpd_Avg '[m/s']]]-RecData[[#This Row],[Wind Speed min]]&gt;=$DF$3,RecData[[#This Row],[Wind Speed max]]-RecData[[#This Row],[WSpd_Avg '[m/s']]]&gt;=$DF$2),TRUE,FALSE)</f>
        <v>0</v>
      </c>
      <c r="DG896" s="2" t="b">
        <f>RecData[[#This Row],[Temperature '[°C']]]&lt;=-20</f>
        <v>0</v>
      </c>
      <c r="DH896" s="18" t="b">
        <f>NOT(OR(MOD(RecData[[#This Row],[TIMESTAMP]],1)&gt;0.91632,MOD(RecData[[#This Row],[TIMESTAMP]],1)&lt;0.208681))</f>
        <v>0</v>
      </c>
      <c r="DI896" s="18" t="b">
        <f>RecData[[#This Row],[Overall (dBA)]]-RecData[[#This Row],[L90]]&gt;=$DS$4</f>
        <v>0</v>
      </c>
      <c r="DJ896" s="18" t="b">
        <f>RecData[[#This Row],[Overall (dBA)]]&gt;$DS$2</f>
        <v>0</v>
      </c>
      <c r="DK896" s="18" t="b">
        <f>RecData[[#This Row],[Overall (dBA)]]&lt;$DS$3</f>
        <v>0</v>
      </c>
      <c r="DL8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96" s="2">
        <f>IF(AND(RecData[[#This Row],[Turbines ON/OFF]] = "OFF", NOT(OR(RecData[[#This Row],[Junk?]]="YES",RecData[[#This Row],[Gust?]],RecData[[#This Row],[Rain?]:[Min SPL Threshold?]]))),1,0)</f>
        <v>0</v>
      </c>
      <c r="DN896" s="16">
        <f>RecData[[#This Row],[dBA Sum]]</f>
        <v>38.914416209182001</v>
      </c>
      <c r="DO896" s="16">
        <f>RecData[[#This Row],[LAF90.0]]</f>
        <v>37.5</v>
      </c>
      <c r="DP896" s="55">
        <f>IF(AND(RecData[[#This Row],[Useable TON Data?]],RecData[[#This Row],[Turbines ON/OFF]]="ON"),RecData[[#This Row],[dBA Sum]],"")</f>
        <v>38.914416209182001</v>
      </c>
      <c r="DQ896" s="55" t="str">
        <f>IF(AND(RecData[[#This Row],[Useable Background Data?]],RecData[[#This Row],[Turbines ON/OFF]]="OFF"),RecData[[#This Row],[dBA Sum]],"")</f>
        <v/>
      </c>
      <c r="DR896" s="3">
        <f>IF(OR(RecData[[#This Row],[Useable TON Data?]],RecData[[#This Row],[Useable Background Data?]]),ROUND(RecData[[#This Row],[WSpd_Avg '[m/s']]],0),"")</f>
        <v>0</v>
      </c>
      <c r="DS896" s="85">
        <f>(0.00002)^2*(10^(RecData[[#This Row],[Overall (dBA)]]/10))</f>
        <v>3.1153124610325987E-6</v>
      </c>
    </row>
    <row r="897" spans="1:123" ht="15" x14ac:dyDescent="0.25">
      <c r="A897" s="3" t="s">
        <v>249</v>
      </c>
      <c r="B897" s="12">
        <v>43274.959722222222</v>
      </c>
      <c r="C897" s="3"/>
      <c r="D897" s="3">
        <v>38.6</v>
      </c>
      <c r="E897" s="3"/>
      <c r="F897" s="3"/>
      <c r="G897" s="3"/>
      <c r="H897" s="3"/>
      <c r="I897" s="3"/>
      <c r="J897" s="3"/>
      <c r="K897" s="3">
        <v>36.9</v>
      </c>
      <c r="L897" s="3"/>
      <c r="M897" s="3"/>
      <c r="N897" s="3">
        <v>237.2</v>
      </c>
      <c r="O897" s="3"/>
      <c r="P897" s="3"/>
      <c r="Q897" s="3">
        <v>0.41</v>
      </c>
      <c r="R897" s="3">
        <v>0.2</v>
      </c>
      <c r="S897" s="3">
        <v>0.7</v>
      </c>
      <c r="T897" s="3">
        <v>12.4</v>
      </c>
      <c r="U897" s="3">
        <v>80.400000000000006</v>
      </c>
      <c r="V897" s="3">
        <v>965.6</v>
      </c>
      <c r="W897" s="3">
        <v>0</v>
      </c>
      <c r="X897" s="3">
        <v>47.1</v>
      </c>
      <c r="Y897" s="3">
        <v>46.9</v>
      </c>
      <c r="Z897" s="3">
        <v>45</v>
      </c>
      <c r="AA897" s="3">
        <v>40.6</v>
      </c>
      <c r="AB897" s="3">
        <v>37</v>
      </c>
      <c r="AC897" s="3">
        <v>36.799999999999997</v>
      </c>
      <c r="AD897" s="3">
        <v>40.9</v>
      </c>
      <c r="AE897" s="3">
        <v>42.4</v>
      </c>
      <c r="AF897" s="3">
        <v>41.8</v>
      </c>
      <c r="AG897" s="3">
        <v>35.6</v>
      </c>
      <c r="AH897" s="3">
        <v>38</v>
      </c>
      <c r="AI897" s="3">
        <v>36.299999999999997</v>
      </c>
      <c r="AJ897" s="3">
        <v>35.700000000000003</v>
      </c>
      <c r="AK897" s="3">
        <v>33.5</v>
      </c>
      <c r="AL897" s="3">
        <v>30.6</v>
      </c>
      <c r="AM897" s="3">
        <v>29.3</v>
      </c>
      <c r="AN897" s="3">
        <v>27.7</v>
      </c>
      <c r="AO897" s="3">
        <v>24.5</v>
      </c>
      <c r="AP897" s="3">
        <v>22.4</v>
      </c>
      <c r="AQ897" s="3">
        <v>20.399999999999999</v>
      </c>
      <c r="AR897" s="3">
        <v>18</v>
      </c>
      <c r="AS897" s="3">
        <v>17.5</v>
      </c>
      <c r="AT897" s="3">
        <v>30.1</v>
      </c>
      <c r="AU897" s="3">
        <v>15.6</v>
      </c>
      <c r="AV897" s="3">
        <v>9.6</v>
      </c>
      <c r="AW897" s="3">
        <v>9.5</v>
      </c>
      <c r="AX897" s="3">
        <v>9.1</v>
      </c>
      <c r="AY897" s="3">
        <v>9.1999999999999993</v>
      </c>
      <c r="AZ897" s="3">
        <v>0</v>
      </c>
      <c r="BA897" s="3">
        <v>0</v>
      </c>
      <c r="BB897" s="3">
        <v>0</v>
      </c>
      <c r="BC897" s="3">
        <v>38.61485491655484</v>
      </c>
      <c r="BD897" s="3">
        <v>47.085145083445163</v>
      </c>
      <c r="BE897" s="3">
        <v>46.88514508344516</v>
      </c>
      <c r="BF897" s="3">
        <v>43.745145083445159</v>
      </c>
      <c r="BG897" s="3">
        <v>39.671811750111821</v>
      </c>
      <c r="BH897" s="3">
        <v>36.211811750111828</v>
      </c>
      <c r="BI897" s="3">
        <v>36.425145083445152</v>
      </c>
      <c r="BJ897" s="3">
        <v>41.318478416778497</v>
      </c>
      <c r="BK897" s="3">
        <v>42.691811750111832</v>
      </c>
      <c r="BL897" s="3">
        <v>41.665145083445161</v>
      </c>
      <c r="BM897" s="3">
        <v>35.598478416778498</v>
      </c>
      <c r="BN897" s="3">
        <v>38.281811750111835</v>
      </c>
      <c r="BO897" s="3">
        <v>35.948478416778492</v>
      </c>
      <c r="BP897" s="3">
        <v>35.065145083445167</v>
      </c>
      <c r="BQ897" s="3">
        <v>33.281811750111821</v>
      </c>
      <c r="BR897" s="3">
        <v>30.708478416778497</v>
      </c>
      <c r="BS897" s="3">
        <v>29.211811750111828</v>
      </c>
      <c r="BT897" s="3">
        <v>27.808478416778492</v>
      </c>
      <c r="BU897" s="3">
        <v>24.575145083445165</v>
      </c>
      <c r="BV897" s="3">
        <v>22.191811750111832</v>
      </c>
      <c r="BW897" s="3">
        <v>20.725145083445163</v>
      </c>
      <c r="BX897" s="3">
        <v>18.245145083445166</v>
      </c>
      <c r="BY897" s="3">
        <v>17.565145083445159</v>
      </c>
      <c r="BZ897" s="3">
        <v>30.295145083445171</v>
      </c>
      <c r="CA897" s="3">
        <v>15.895145083445151</v>
      </c>
      <c r="CB897" s="3">
        <v>9.3318117501118252</v>
      </c>
      <c r="CC897" s="3">
        <v>9.445145083445162</v>
      </c>
      <c r="CD897" s="3">
        <v>8.3518117501118283</v>
      </c>
      <c r="CE897" s="3">
        <v>8.6451450834451578</v>
      </c>
      <c r="CF897" s="3">
        <v>-0.94152158322150825</v>
      </c>
      <c r="CG897" s="3">
        <v>-1.4748549165548397</v>
      </c>
      <c r="CH897" s="3">
        <v>-2.5515215832215077</v>
      </c>
      <c r="CI897" s="13">
        <f>[1]!dbasum(RecData[[#This Row],[20]:[2000]],RecData[[#Headers],[20]:[2000]])</f>
        <v>37.518935696360039</v>
      </c>
      <c r="CJ897" s="14">
        <v>10239</v>
      </c>
      <c r="CK897" s="15" t="s">
        <v>249</v>
      </c>
      <c r="CL897" s="15">
        <f>RecData[[#This Row],[Start Time]]</f>
        <v>43274.959722222222</v>
      </c>
      <c r="CM897" s="16">
        <f>RecData[[#This Row],[Wind Speed avg]]</f>
        <v>0.41</v>
      </c>
      <c r="CN897" s="16">
        <f>RecData[[#This Row],[Wind Dir. avg]]</f>
        <v>237.2</v>
      </c>
      <c r="CO897" s="16">
        <f>RecData[[#This Row],[Amb. Humidity]]</f>
        <v>80.400000000000006</v>
      </c>
      <c r="CP897" s="16">
        <f>RecData[[#This Row],[Amb. Temperature]]</f>
        <v>12.4</v>
      </c>
      <c r="CQ897" s="17">
        <f>RecData[[#This Row],[Amb. Rain Gauge]]</f>
        <v>0</v>
      </c>
      <c r="CR897" s="4" t="s">
        <v>1</v>
      </c>
      <c r="CS897" s="4" t="s">
        <v>49</v>
      </c>
      <c r="CT897" s="70">
        <v>1421.41577148437</v>
      </c>
      <c r="CU897" s="70">
        <v>15.000127792358301</v>
      </c>
      <c r="CV897" s="70">
        <v>9.4116306304931605</v>
      </c>
      <c r="CW897" s="70">
        <v>14.9859504699707</v>
      </c>
      <c r="CX897" s="4"/>
      <c r="CY897" s="69"/>
      <c r="CZ897" s="2" t="b">
        <f>IF($DP$1="YES",IF(RecData[[#This Row],[Power (kW)]]&gt;=$CR$3, TRUE,FALSE),TRUE)</f>
        <v>1</v>
      </c>
      <c r="DA897" s="16">
        <f>MIN(MOD(180-ABS(ABS($DA$1-RecData[Yaw Angle (°)])-180),360),MOD(180-ABS(ABS($DB$1-RecData[Yaw Angle (°)])-180),360))</f>
        <v>7.4702010146707494</v>
      </c>
      <c r="DB897" s="2" t="str">
        <f>IF($DP$2="None","None",IF(RecData[[#This Row],[Relative Wind Direction]]&lt;=45,"DW",IF(RecData[[#This Row],[Relative Wind Direction]]&lt;=135,"CW","UW")))</f>
        <v>DW</v>
      </c>
      <c r="DC897" s="61" t="e">
        <f>IF($CL897-#REF!&gt;1/24,#REF!,IF(SUM($CQ896:$CQ897)&gt;$DS$1,$DS$5,DC898-1))</f>
        <v>#REF!</v>
      </c>
      <c r="DD897" s="61" t="e">
        <f>IF($CL898-$CL897&gt;1/24,#REF!,IF(SUM($CQ896:$CQ897)&gt;$DS$1,$DS$6,DD896-1))</f>
        <v>#REF!</v>
      </c>
      <c r="DE897" s="18" t="b">
        <v>0</v>
      </c>
      <c r="DF897" s="2" t="b">
        <f>IF(OR(RecData[[#This Row],[WSpd_Avg '[m/s']]]-RecData[[#This Row],[Wind Speed min]]&gt;=$DF$3,RecData[[#This Row],[Wind Speed max]]-RecData[[#This Row],[WSpd_Avg '[m/s']]]&gt;=$DF$2),TRUE,FALSE)</f>
        <v>0</v>
      </c>
      <c r="DG897" s="2" t="b">
        <f>RecData[[#This Row],[Temperature '[°C']]]&lt;=-20</f>
        <v>0</v>
      </c>
      <c r="DH897" s="18" t="b">
        <f>NOT(OR(MOD(RecData[[#This Row],[TIMESTAMP]],1)&gt;0.91632,MOD(RecData[[#This Row],[TIMESTAMP]],1)&lt;0.208681))</f>
        <v>0</v>
      </c>
      <c r="DI897" s="18" t="b">
        <f>RecData[[#This Row],[Overall (dBA)]]-RecData[[#This Row],[L90]]&gt;=$DS$4</f>
        <v>0</v>
      </c>
      <c r="DJ897" s="18" t="b">
        <f>RecData[[#This Row],[Overall (dBA)]]&gt;$DS$2</f>
        <v>0</v>
      </c>
      <c r="DK897" s="18" t="b">
        <f>RecData[[#This Row],[Overall (dBA)]]&lt;$DS$3</f>
        <v>0</v>
      </c>
      <c r="DL8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97" s="2">
        <f>IF(AND(RecData[[#This Row],[Turbines ON/OFF]] = "OFF", NOT(OR(RecData[[#This Row],[Junk?]]="YES",RecData[[#This Row],[Gust?]],RecData[[#This Row],[Rain?]:[Min SPL Threshold?]]))),1,0)</f>
        <v>0</v>
      </c>
      <c r="DN897" s="16">
        <f>RecData[[#This Row],[dBA Sum]]</f>
        <v>37.518935696360039</v>
      </c>
      <c r="DO897" s="16">
        <f>RecData[[#This Row],[LAF90.0]]</f>
        <v>36.9</v>
      </c>
      <c r="DP897" s="55">
        <f>IF(AND(RecData[[#This Row],[Useable TON Data?]],RecData[[#This Row],[Turbines ON/OFF]]="ON"),RecData[[#This Row],[dBA Sum]],"")</f>
        <v>37.518935696360039</v>
      </c>
      <c r="DQ897" s="55" t="str">
        <f>IF(AND(RecData[[#This Row],[Useable Background Data?]],RecData[[#This Row],[Turbines ON/OFF]]="OFF"),RecData[[#This Row],[dBA Sum]],"")</f>
        <v/>
      </c>
      <c r="DR897" s="3">
        <f>IF(OR(RecData[[#This Row],[Useable TON Data?]],RecData[[#This Row],[Useable Background Data?]]),ROUND(RecData[[#This Row],[WSpd_Avg '[m/s']]],0),"")</f>
        <v>0</v>
      </c>
      <c r="DS897" s="85">
        <f>(0.00002)^2*(10^(RecData[[#This Row],[Overall (dBA)]]/10))</f>
        <v>2.2591941820501416E-6</v>
      </c>
    </row>
    <row r="898" spans="1:123" ht="15" x14ac:dyDescent="0.25">
      <c r="A898" s="3" t="s">
        <v>249</v>
      </c>
      <c r="B898" s="12">
        <v>43274.960416666669</v>
      </c>
      <c r="C898" s="3"/>
      <c r="D898" s="3">
        <v>39.299999999999997</v>
      </c>
      <c r="E898" s="3"/>
      <c r="F898" s="3"/>
      <c r="G898" s="3"/>
      <c r="H898" s="3"/>
      <c r="I898" s="3"/>
      <c r="J898" s="3"/>
      <c r="K898" s="3">
        <v>37.5</v>
      </c>
      <c r="L898" s="3"/>
      <c r="M898" s="3"/>
      <c r="N898" s="3">
        <v>114.8</v>
      </c>
      <c r="O898" s="3"/>
      <c r="P898" s="3"/>
      <c r="Q898" s="3">
        <v>0.23</v>
      </c>
      <c r="R898" s="3">
        <v>0.1</v>
      </c>
      <c r="S898" s="3">
        <v>0.5</v>
      </c>
      <c r="T898" s="3">
        <v>12.4</v>
      </c>
      <c r="U898" s="3">
        <v>80.099999999999994</v>
      </c>
      <c r="V898" s="3">
        <v>965.6</v>
      </c>
      <c r="W898" s="3">
        <v>0</v>
      </c>
      <c r="X898" s="3">
        <v>46.3</v>
      </c>
      <c r="Y898" s="3">
        <v>46.3</v>
      </c>
      <c r="Z898" s="3">
        <v>46</v>
      </c>
      <c r="AA898" s="3">
        <v>40.799999999999997</v>
      </c>
      <c r="AB898" s="3">
        <v>36.5</v>
      </c>
      <c r="AC898" s="3">
        <v>36.6</v>
      </c>
      <c r="AD898" s="3">
        <v>40.9</v>
      </c>
      <c r="AE898" s="3">
        <v>42.4</v>
      </c>
      <c r="AF898" s="3">
        <v>44.2</v>
      </c>
      <c r="AG898" s="3">
        <v>37.1</v>
      </c>
      <c r="AH898" s="3">
        <v>38.9</v>
      </c>
      <c r="AI898" s="3">
        <v>37.6</v>
      </c>
      <c r="AJ898" s="3">
        <v>36.6</v>
      </c>
      <c r="AK898" s="3">
        <v>34.299999999999997</v>
      </c>
      <c r="AL898" s="3">
        <v>31.6</v>
      </c>
      <c r="AM898" s="3">
        <v>30.3</v>
      </c>
      <c r="AN898" s="3">
        <v>28.4</v>
      </c>
      <c r="AO898" s="3">
        <v>24.9</v>
      </c>
      <c r="AP898" s="3">
        <v>22.7</v>
      </c>
      <c r="AQ898" s="3">
        <v>21</v>
      </c>
      <c r="AR898" s="3">
        <v>18</v>
      </c>
      <c r="AS898" s="3">
        <v>16.5</v>
      </c>
      <c r="AT898" s="3">
        <v>29.3</v>
      </c>
      <c r="AU898" s="3">
        <v>12.8</v>
      </c>
      <c r="AV898" s="3">
        <v>9.1</v>
      </c>
      <c r="AW898" s="3">
        <v>9.1999999999999993</v>
      </c>
      <c r="AX898" s="3">
        <v>9.1</v>
      </c>
      <c r="AY898" s="3">
        <v>9.3000000000000007</v>
      </c>
      <c r="AZ898" s="3">
        <v>0</v>
      </c>
      <c r="BA898" s="3">
        <v>0</v>
      </c>
      <c r="BB898" s="3">
        <v>0</v>
      </c>
      <c r="BC898" s="3">
        <v>39.258052772588144</v>
      </c>
      <c r="BD898" s="3">
        <v>46.34194722741185</v>
      </c>
      <c r="BE898" s="3">
        <v>46.34194722741185</v>
      </c>
      <c r="BF898" s="3">
        <v>44.801947227411858</v>
      </c>
      <c r="BG898" s="3">
        <v>39.928613894078524</v>
      </c>
      <c r="BH898" s="3">
        <v>35.768613894078527</v>
      </c>
      <c r="BI898" s="3">
        <v>36.281947227411848</v>
      </c>
      <c r="BJ898" s="3">
        <v>41.375280560745182</v>
      </c>
      <c r="BK898" s="3">
        <v>42.748613894078517</v>
      </c>
      <c r="BL898" s="3">
        <v>44.121947227411852</v>
      </c>
      <c r="BM898" s="3">
        <v>37.155280560745183</v>
      </c>
      <c r="BN898" s="3">
        <v>39.238613894078526</v>
      </c>
      <c r="BO898" s="3">
        <v>37.305280560745189</v>
      </c>
      <c r="BP898" s="3">
        <v>36.021947227411857</v>
      </c>
      <c r="BQ898" s="3">
        <v>34.138613894078503</v>
      </c>
      <c r="BR898" s="3">
        <v>31.765280560745197</v>
      </c>
      <c r="BS898" s="3">
        <v>30.268613894078527</v>
      </c>
      <c r="BT898" s="3">
        <v>28.56528056074518</v>
      </c>
      <c r="BU898" s="3">
        <v>25.031947227411848</v>
      </c>
      <c r="BV898" s="3">
        <v>22.548613894078521</v>
      </c>
      <c r="BW898" s="3">
        <v>21.381947227411857</v>
      </c>
      <c r="BX898" s="3">
        <v>18.301947227411858</v>
      </c>
      <c r="BY898" s="3">
        <v>16.621947227411852</v>
      </c>
      <c r="BZ898" s="3">
        <v>29.551947227411858</v>
      </c>
      <c r="CA898" s="3">
        <v>13.151947227411846</v>
      </c>
      <c r="CB898" s="3">
        <v>8.8886138940785173</v>
      </c>
      <c r="CC898" s="3">
        <v>9.2019472274118499</v>
      </c>
      <c r="CD898" s="3">
        <v>8.4086138940785276</v>
      </c>
      <c r="CE898" s="3">
        <v>8.8019472274118513</v>
      </c>
      <c r="CF898" s="3">
        <v>-0.88471943925481611</v>
      </c>
      <c r="CG898" s="3">
        <v>-1.4180527725881475</v>
      </c>
      <c r="CH898" s="3">
        <v>-2.4947194392548155</v>
      </c>
      <c r="CI898" s="13">
        <f>[1]!dbasum(RecData[[#This Row],[20]:[2000]],RecData[[#Headers],[20]:[2000]])</f>
        <v>38.526018825078687</v>
      </c>
      <c r="CJ898" s="14">
        <v>10240</v>
      </c>
      <c r="CK898" s="15" t="s">
        <v>249</v>
      </c>
      <c r="CL898" s="15">
        <f>RecData[[#This Row],[Start Time]]</f>
        <v>43274.960416666669</v>
      </c>
      <c r="CM898" s="16">
        <f>RecData[[#This Row],[Wind Speed avg]]</f>
        <v>0.23</v>
      </c>
      <c r="CN898" s="16">
        <f>RecData[[#This Row],[Wind Dir. avg]]</f>
        <v>114.8</v>
      </c>
      <c r="CO898" s="16">
        <f>RecData[[#This Row],[Amb. Humidity]]</f>
        <v>80.099999999999994</v>
      </c>
      <c r="CP898" s="16">
        <f>RecData[[#This Row],[Amb. Temperature]]</f>
        <v>12.4</v>
      </c>
      <c r="CQ898" s="17">
        <f>RecData[[#This Row],[Amb. Rain Gauge]]</f>
        <v>0</v>
      </c>
      <c r="CR898" s="4" t="s">
        <v>1</v>
      </c>
      <c r="CS898" s="4" t="s">
        <v>49</v>
      </c>
      <c r="CT898" s="70">
        <v>1421.41577148437</v>
      </c>
      <c r="CU898" s="70">
        <v>15.000127792358301</v>
      </c>
      <c r="CV898" s="70">
        <v>9.4116306304931605</v>
      </c>
      <c r="CW898" s="70">
        <v>14.9859504699707</v>
      </c>
      <c r="CX898" s="4"/>
      <c r="CY898" s="69"/>
      <c r="CZ898" s="2" t="b">
        <f>IF($DP$1="YES",IF(RecData[[#This Row],[Power (kW)]]&gt;=$CR$3, TRUE,FALSE),TRUE)</f>
        <v>1</v>
      </c>
      <c r="DA898" s="16">
        <f>MIN(MOD(180-ABS(ABS($DA$1-RecData[Yaw Angle (°)])-180),360),MOD(180-ABS(ABS($DB$1-RecData[Yaw Angle (°)])-180),360))</f>
        <v>7.4702010146707494</v>
      </c>
      <c r="DB898" s="2" t="str">
        <f>IF($DP$2="None","None",IF(RecData[[#This Row],[Relative Wind Direction]]&lt;=45,"DW",IF(RecData[[#This Row],[Relative Wind Direction]]&lt;=135,"CW","UW")))</f>
        <v>DW</v>
      </c>
      <c r="DC898" s="61" t="e">
        <f>IF($CL898-#REF!&gt;1/24,#REF!,IF(SUM($CQ896:$CQ898)&gt;$DS$1,$DS$5,DC899-1))</f>
        <v>#REF!</v>
      </c>
      <c r="DD898" s="61" t="e">
        <f>IF($CL899-$CL898&gt;1/24,#REF!,IF(SUM($CQ896:$CQ898)&gt;$DS$1,$DS$6,DD897-1))</f>
        <v>#REF!</v>
      </c>
      <c r="DE898" s="18" t="b">
        <v>0</v>
      </c>
      <c r="DF898" s="2" t="b">
        <f>IF(OR(RecData[[#This Row],[WSpd_Avg '[m/s']]]-RecData[[#This Row],[Wind Speed min]]&gt;=$DF$3,RecData[[#This Row],[Wind Speed max]]-RecData[[#This Row],[WSpd_Avg '[m/s']]]&gt;=$DF$2),TRUE,FALSE)</f>
        <v>0</v>
      </c>
      <c r="DG898" s="2" t="b">
        <f>RecData[[#This Row],[Temperature '[°C']]]&lt;=-20</f>
        <v>0</v>
      </c>
      <c r="DH898" s="18" t="b">
        <f>NOT(OR(MOD(RecData[[#This Row],[TIMESTAMP]],1)&gt;0.91632,MOD(RecData[[#This Row],[TIMESTAMP]],1)&lt;0.208681))</f>
        <v>0</v>
      </c>
      <c r="DI898" s="18" t="b">
        <f>RecData[[#This Row],[Overall (dBA)]]-RecData[[#This Row],[L90]]&gt;=$DS$4</f>
        <v>0</v>
      </c>
      <c r="DJ898" s="18" t="b">
        <f>RecData[[#This Row],[Overall (dBA)]]&gt;$DS$2</f>
        <v>0</v>
      </c>
      <c r="DK898" s="18" t="b">
        <f>RecData[[#This Row],[Overall (dBA)]]&lt;$DS$3</f>
        <v>0</v>
      </c>
      <c r="DL8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98" s="2">
        <f>IF(AND(RecData[[#This Row],[Turbines ON/OFF]] = "OFF", NOT(OR(RecData[[#This Row],[Junk?]]="YES",RecData[[#This Row],[Gust?]],RecData[[#This Row],[Rain?]:[Min SPL Threshold?]]))),1,0)</f>
        <v>0</v>
      </c>
      <c r="DN898" s="16">
        <f>RecData[[#This Row],[dBA Sum]]</f>
        <v>38.526018825078687</v>
      </c>
      <c r="DO898" s="16">
        <f>RecData[[#This Row],[LAF90.0]]</f>
        <v>37.5</v>
      </c>
      <c r="DP898" s="55">
        <f>IF(AND(RecData[[#This Row],[Useable TON Data?]],RecData[[#This Row],[Turbines ON/OFF]]="ON"),RecData[[#This Row],[dBA Sum]],"")</f>
        <v>38.526018825078687</v>
      </c>
      <c r="DQ898" s="55" t="str">
        <f>IF(AND(RecData[[#This Row],[Useable Background Data?]],RecData[[#This Row],[Turbines ON/OFF]]="OFF"),RecData[[#This Row],[dBA Sum]],"")</f>
        <v/>
      </c>
      <c r="DR898" s="3">
        <f>IF(OR(RecData[[#This Row],[Useable TON Data?]],RecData[[#This Row],[Useable Background Data?]]),ROUND(RecData[[#This Row],[WSpd_Avg '[m/s']]],0),"")</f>
        <v>0</v>
      </c>
      <c r="DS898" s="85">
        <f>(0.00002)^2*(10^(RecData[[#This Row],[Overall (dBA)]]/10))</f>
        <v>2.848799430427204E-6</v>
      </c>
    </row>
    <row r="899" spans="1:123" ht="15" x14ac:dyDescent="0.25">
      <c r="A899" s="3" t="s">
        <v>249</v>
      </c>
      <c r="B899" s="12">
        <v>43274.961111111115</v>
      </c>
      <c r="C899" s="3"/>
      <c r="D899" s="3">
        <v>39.5</v>
      </c>
      <c r="E899" s="3"/>
      <c r="F899" s="3"/>
      <c r="G899" s="3"/>
      <c r="H899" s="3"/>
      <c r="I899" s="3"/>
      <c r="J899" s="3"/>
      <c r="K899" s="3">
        <v>37.700000000000003</v>
      </c>
      <c r="L899" s="3"/>
      <c r="M899" s="3"/>
      <c r="N899" s="3">
        <v>157.5</v>
      </c>
      <c r="O899" s="3"/>
      <c r="P899" s="3"/>
      <c r="Q899" s="3">
        <v>0.39</v>
      </c>
      <c r="R899" s="3">
        <v>0.1</v>
      </c>
      <c r="S899" s="3">
        <v>0.7</v>
      </c>
      <c r="T899" s="3">
        <v>12.4</v>
      </c>
      <c r="U899" s="3">
        <v>81.099999999999994</v>
      </c>
      <c r="V899" s="3">
        <v>965.6</v>
      </c>
      <c r="W899" s="3">
        <v>0</v>
      </c>
      <c r="X899" s="3">
        <v>46.6</v>
      </c>
      <c r="Y899" s="3">
        <v>46.9</v>
      </c>
      <c r="Z899" s="3">
        <v>46.2</v>
      </c>
      <c r="AA899" s="3">
        <v>41.5</v>
      </c>
      <c r="AB899" s="3">
        <v>36.5</v>
      </c>
      <c r="AC899" s="3">
        <v>37.200000000000003</v>
      </c>
      <c r="AD899" s="3">
        <v>41.1</v>
      </c>
      <c r="AE899" s="3">
        <v>43.1</v>
      </c>
      <c r="AF899" s="3">
        <v>44.1</v>
      </c>
      <c r="AG899" s="3">
        <v>37.6</v>
      </c>
      <c r="AH899" s="3">
        <v>39.4</v>
      </c>
      <c r="AI899" s="3">
        <v>37.9</v>
      </c>
      <c r="AJ899" s="3">
        <v>36.5</v>
      </c>
      <c r="AK899" s="3">
        <v>33.9</v>
      </c>
      <c r="AL899" s="3">
        <v>31.1</v>
      </c>
      <c r="AM899" s="3">
        <v>30.1</v>
      </c>
      <c r="AN899" s="3">
        <v>28</v>
      </c>
      <c r="AO899" s="3">
        <v>24.5</v>
      </c>
      <c r="AP899" s="3">
        <v>22.6</v>
      </c>
      <c r="AQ899" s="3">
        <v>20.9</v>
      </c>
      <c r="AR899" s="3">
        <v>17.8</v>
      </c>
      <c r="AS899" s="3">
        <v>17.600000000000001</v>
      </c>
      <c r="AT899" s="3">
        <v>31.3</v>
      </c>
      <c r="AU899" s="3">
        <v>14.2</v>
      </c>
      <c r="AV899" s="3">
        <v>8.8000000000000007</v>
      </c>
      <c r="AW899" s="3">
        <v>9</v>
      </c>
      <c r="AX899" s="3">
        <v>9</v>
      </c>
      <c r="AY899" s="3">
        <v>9.1999999999999993</v>
      </c>
      <c r="AZ899" s="3">
        <v>0</v>
      </c>
      <c r="BA899" s="3">
        <v>0</v>
      </c>
      <c r="BB899" s="3">
        <v>0</v>
      </c>
      <c r="BC899" s="3">
        <v>39.545219297487925</v>
      </c>
      <c r="BD899" s="3">
        <v>46.554780702512069</v>
      </c>
      <c r="BE899" s="3">
        <v>46.85478070251208</v>
      </c>
      <c r="BF899" s="3">
        <v>44.914780702512083</v>
      </c>
      <c r="BG899" s="3">
        <v>40.541447369178748</v>
      </c>
      <c r="BH899" s="3">
        <v>35.681447369178734</v>
      </c>
      <c r="BI899" s="3">
        <v>36.794780702512078</v>
      </c>
      <c r="BJ899" s="3">
        <v>41.488114035845406</v>
      </c>
      <c r="BK899" s="3">
        <v>43.361447369178741</v>
      </c>
      <c r="BL899" s="3">
        <v>43.934780702512079</v>
      </c>
      <c r="BM899" s="3">
        <v>37.568114035845419</v>
      </c>
      <c r="BN899" s="3">
        <v>39.651447369178733</v>
      </c>
      <c r="BO899" s="3">
        <v>37.518114035845407</v>
      </c>
      <c r="BP899" s="3">
        <v>35.83478070251207</v>
      </c>
      <c r="BQ899" s="3">
        <v>33.651447369178733</v>
      </c>
      <c r="BR899" s="3">
        <v>31.178114035845404</v>
      </c>
      <c r="BS899" s="3">
        <v>29.981447369178746</v>
      </c>
      <c r="BT899" s="3">
        <v>28.07811403584541</v>
      </c>
      <c r="BU899" s="3">
        <v>24.544780702512078</v>
      </c>
      <c r="BV899" s="3">
        <v>22.361447369178741</v>
      </c>
      <c r="BW899" s="3">
        <v>21.194780702512077</v>
      </c>
      <c r="BX899" s="3">
        <v>18.014780702512077</v>
      </c>
      <c r="BY899" s="3">
        <v>17.634780702512074</v>
      </c>
      <c r="BZ899" s="3">
        <v>31.46478070251208</v>
      </c>
      <c r="CA899" s="3">
        <v>14.464780702512066</v>
      </c>
      <c r="CB899" s="3">
        <v>8.5014473691787416</v>
      </c>
      <c r="CC899" s="3">
        <v>8.9147807025120755</v>
      </c>
      <c r="CD899" s="3">
        <v>8.2214473691787475</v>
      </c>
      <c r="CE899" s="3">
        <v>8.6147807025120713</v>
      </c>
      <c r="CF899" s="3">
        <v>-0.97188596415459472</v>
      </c>
      <c r="CG899" s="3">
        <v>-1.5052192974879262</v>
      </c>
      <c r="CH899" s="3">
        <v>-2.5818859641545941</v>
      </c>
      <c r="CI899" s="13">
        <f>[1]!dbasum(RecData[[#This Row],[20]:[2000]],RecData[[#Headers],[20]:[2000]])</f>
        <v>38.378389229160874</v>
      </c>
      <c r="CJ899" s="14">
        <v>10241</v>
      </c>
      <c r="CK899" s="15" t="s">
        <v>249</v>
      </c>
      <c r="CL899" s="15">
        <f>RecData[[#This Row],[Start Time]]</f>
        <v>43274.961111111115</v>
      </c>
      <c r="CM899" s="16">
        <f>RecData[[#This Row],[Wind Speed avg]]</f>
        <v>0.39</v>
      </c>
      <c r="CN899" s="16">
        <f>RecData[[#This Row],[Wind Dir. avg]]</f>
        <v>157.5</v>
      </c>
      <c r="CO899" s="16">
        <f>RecData[[#This Row],[Amb. Humidity]]</f>
        <v>81.099999999999994</v>
      </c>
      <c r="CP899" s="16">
        <f>RecData[[#This Row],[Amb. Temperature]]</f>
        <v>12.4</v>
      </c>
      <c r="CQ899" s="17">
        <f>RecData[[#This Row],[Amb. Rain Gauge]]</f>
        <v>0</v>
      </c>
      <c r="CR899" s="4" t="s">
        <v>1</v>
      </c>
      <c r="CS899" s="4" t="s">
        <v>49</v>
      </c>
      <c r="CT899" s="70">
        <v>1421.41577148437</v>
      </c>
      <c r="CU899" s="70">
        <v>15.000127792358301</v>
      </c>
      <c r="CV899" s="70">
        <v>9.4116306304931605</v>
      </c>
      <c r="CW899" s="70">
        <v>14.9859504699707</v>
      </c>
      <c r="CX899" s="4"/>
      <c r="CY899" s="69"/>
      <c r="CZ899" s="2" t="b">
        <f>IF($DP$1="YES",IF(RecData[[#This Row],[Power (kW)]]&gt;=$CR$3, TRUE,FALSE),TRUE)</f>
        <v>1</v>
      </c>
      <c r="DA899" s="16">
        <f>MIN(MOD(180-ABS(ABS($DA$1-RecData[Yaw Angle (°)])-180),360),MOD(180-ABS(ABS($DB$1-RecData[Yaw Angle (°)])-180),360))</f>
        <v>7.4702010146707494</v>
      </c>
      <c r="DB899" s="2" t="str">
        <f>IF($DP$2="None","None",IF(RecData[[#This Row],[Relative Wind Direction]]&lt;=45,"DW",IF(RecData[[#This Row],[Relative Wind Direction]]&lt;=135,"CW","UW")))</f>
        <v>DW</v>
      </c>
      <c r="DC899" s="61" t="e">
        <f>IF($CL899-#REF!&gt;1/24,#REF!,IF(SUM($CQ896:$CQ899)&gt;$DS$1,$DS$5,DC900-1))</f>
        <v>#REF!</v>
      </c>
      <c r="DD899" s="61" t="e">
        <f>IF($CL900-$CL899&gt;1/24,#REF!,IF(SUM($CQ896:$CQ899)&gt;$DS$1,$DS$6,DD898-1))</f>
        <v>#REF!</v>
      </c>
      <c r="DE899" s="18" t="b">
        <v>0</v>
      </c>
      <c r="DF899" s="2" t="b">
        <f>IF(OR(RecData[[#This Row],[WSpd_Avg '[m/s']]]-RecData[[#This Row],[Wind Speed min]]&gt;=$DF$3,RecData[[#This Row],[Wind Speed max]]-RecData[[#This Row],[WSpd_Avg '[m/s']]]&gt;=$DF$2),TRUE,FALSE)</f>
        <v>0</v>
      </c>
      <c r="DG899" s="2" t="b">
        <f>RecData[[#This Row],[Temperature '[°C']]]&lt;=-20</f>
        <v>0</v>
      </c>
      <c r="DH899" s="18" t="b">
        <f>NOT(OR(MOD(RecData[[#This Row],[TIMESTAMP]],1)&gt;0.91632,MOD(RecData[[#This Row],[TIMESTAMP]],1)&lt;0.208681))</f>
        <v>0</v>
      </c>
      <c r="DI899" s="18" t="b">
        <f>RecData[[#This Row],[Overall (dBA)]]-RecData[[#This Row],[L90]]&gt;=$DS$4</f>
        <v>0</v>
      </c>
      <c r="DJ899" s="18" t="b">
        <f>RecData[[#This Row],[Overall (dBA)]]&gt;$DS$2</f>
        <v>0</v>
      </c>
      <c r="DK899" s="18" t="b">
        <f>RecData[[#This Row],[Overall (dBA)]]&lt;$DS$3</f>
        <v>0</v>
      </c>
      <c r="DL8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899" s="2">
        <f>IF(AND(RecData[[#This Row],[Turbines ON/OFF]] = "OFF", NOT(OR(RecData[[#This Row],[Junk?]]="YES",RecData[[#This Row],[Gust?]],RecData[[#This Row],[Rain?]:[Min SPL Threshold?]]))),1,0)</f>
        <v>0</v>
      </c>
      <c r="DN899" s="16">
        <f>RecData[[#This Row],[dBA Sum]]</f>
        <v>38.378389229160874</v>
      </c>
      <c r="DO899" s="16">
        <f>RecData[[#This Row],[LAF90.0]]</f>
        <v>37.700000000000003</v>
      </c>
      <c r="DP899" s="55">
        <f>IF(AND(RecData[[#This Row],[Useable TON Data?]],RecData[[#This Row],[Turbines ON/OFF]]="ON"),RecData[[#This Row],[dBA Sum]],"")</f>
        <v>38.378389229160874</v>
      </c>
      <c r="DQ899" s="55" t="str">
        <f>IF(AND(RecData[[#This Row],[Useable Background Data?]],RecData[[#This Row],[Turbines ON/OFF]]="OFF"),RecData[[#This Row],[dBA Sum]],"")</f>
        <v/>
      </c>
      <c r="DR899" s="3">
        <f>IF(OR(RecData[[#This Row],[Useable TON Data?]],RecData[[#This Row],[Useable Background Data?]]),ROUND(RecData[[#This Row],[WSpd_Avg '[m/s']]],0),"")</f>
        <v>0</v>
      </c>
      <c r="DS899" s="85">
        <f>(0.00002)^2*(10^(RecData[[#This Row],[Overall (dBA)]]/10))</f>
        <v>2.7535877076471969E-6</v>
      </c>
    </row>
    <row r="900" spans="1:123" ht="15" x14ac:dyDescent="0.25">
      <c r="A900" s="3" t="s">
        <v>249</v>
      </c>
      <c r="B900" s="12">
        <v>43274.961805555555</v>
      </c>
      <c r="C900" s="3"/>
      <c r="D900" s="3">
        <v>39.4</v>
      </c>
      <c r="E900" s="3"/>
      <c r="F900" s="3"/>
      <c r="G900" s="3"/>
      <c r="H900" s="3"/>
      <c r="I900" s="3"/>
      <c r="J900" s="3"/>
      <c r="K900" s="3">
        <v>36.700000000000003</v>
      </c>
      <c r="L900" s="3"/>
      <c r="M900" s="3"/>
      <c r="N900" s="3">
        <v>208.6</v>
      </c>
      <c r="O900" s="3"/>
      <c r="P900" s="3"/>
      <c r="Q900" s="3">
        <v>0.66</v>
      </c>
      <c r="R900" s="3">
        <v>0.3</v>
      </c>
      <c r="S900" s="3">
        <v>1.2</v>
      </c>
      <c r="T900" s="3">
        <v>12.4</v>
      </c>
      <c r="U900" s="3">
        <v>80.3</v>
      </c>
      <c r="V900" s="3">
        <v>965.6</v>
      </c>
      <c r="W900" s="3">
        <v>0</v>
      </c>
      <c r="X900" s="3">
        <v>47.8</v>
      </c>
      <c r="Y900" s="3">
        <v>47.1</v>
      </c>
      <c r="Z900" s="3">
        <v>46.2</v>
      </c>
      <c r="AA900" s="3">
        <v>40.700000000000003</v>
      </c>
      <c r="AB900" s="3">
        <v>35.799999999999997</v>
      </c>
      <c r="AC900" s="3">
        <v>37.6</v>
      </c>
      <c r="AD900" s="3">
        <v>42.3</v>
      </c>
      <c r="AE900" s="3">
        <v>43.5</v>
      </c>
      <c r="AF900" s="3">
        <v>43.4</v>
      </c>
      <c r="AG900" s="3">
        <v>37.700000000000003</v>
      </c>
      <c r="AH900" s="3">
        <v>40</v>
      </c>
      <c r="AI900" s="3">
        <v>37.6</v>
      </c>
      <c r="AJ900" s="3">
        <v>37</v>
      </c>
      <c r="AK900" s="3">
        <v>34.299999999999997</v>
      </c>
      <c r="AL900" s="3">
        <v>31.6</v>
      </c>
      <c r="AM900" s="3">
        <v>30.8</v>
      </c>
      <c r="AN900" s="3">
        <v>29</v>
      </c>
      <c r="AO900" s="3">
        <v>25.1</v>
      </c>
      <c r="AP900" s="3">
        <v>23.5</v>
      </c>
      <c r="AQ900" s="3">
        <v>21.2</v>
      </c>
      <c r="AR900" s="3">
        <v>18.2</v>
      </c>
      <c r="AS900" s="3">
        <v>16.7</v>
      </c>
      <c r="AT900" s="3">
        <v>28.2</v>
      </c>
      <c r="AU900" s="3">
        <v>12</v>
      </c>
      <c r="AV900" s="3">
        <v>9.3000000000000007</v>
      </c>
      <c r="AW900" s="3">
        <v>9.3000000000000007</v>
      </c>
      <c r="AX900" s="3">
        <v>9</v>
      </c>
      <c r="AY900" s="3">
        <v>9.3000000000000007</v>
      </c>
      <c r="AZ900" s="3">
        <v>0</v>
      </c>
      <c r="BA900" s="3">
        <v>0</v>
      </c>
      <c r="BB900" s="3">
        <v>0</v>
      </c>
      <c r="BC900" s="3">
        <v>39.403111232278967</v>
      </c>
      <c r="BD900" s="3">
        <v>47.796888767721022</v>
      </c>
      <c r="BE900" s="3">
        <v>47.096888767721033</v>
      </c>
      <c r="BF900" s="3">
        <v>44.956888767721033</v>
      </c>
      <c r="BG900" s="3">
        <v>39.783555434387701</v>
      </c>
      <c r="BH900" s="3">
        <v>35.023555434387696</v>
      </c>
      <c r="BI900" s="3">
        <v>37.236888767721034</v>
      </c>
      <c r="BJ900" s="3">
        <v>42.730222101054359</v>
      </c>
      <c r="BK900" s="3">
        <v>43.803555434387697</v>
      </c>
      <c r="BL900" s="3">
        <v>43.27688876772104</v>
      </c>
      <c r="BM900" s="3">
        <v>37.710222101054377</v>
      </c>
      <c r="BN900" s="3">
        <v>40.293555434387692</v>
      </c>
      <c r="BO900" s="3">
        <v>37.26022210105436</v>
      </c>
      <c r="BP900" s="3">
        <v>36.376888767721034</v>
      </c>
      <c r="BQ900" s="3">
        <v>34.093555434387689</v>
      </c>
      <c r="BR900" s="3">
        <v>31.720222101054368</v>
      </c>
      <c r="BS900" s="3">
        <v>30.723555434387698</v>
      </c>
      <c r="BT900" s="3">
        <v>29.120222101054374</v>
      </c>
      <c r="BU900" s="3">
        <v>25.186888767721037</v>
      </c>
      <c r="BV900" s="3">
        <v>23.303555434387697</v>
      </c>
      <c r="BW900" s="3">
        <v>21.536888767721031</v>
      </c>
      <c r="BX900" s="3">
        <v>18.456888767721033</v>
      </c>
      <c r="BY900" s="3">
        <v>16.776888767721026</v>
      </c>
      <c r="BZ900" s="3">
        <v>28.406888767721036</v>
      </c>
      <c r="CA900" s="3">
        <v>12.306888767721027</v>
      </c>
      <c r="CB900" s="3">
        <v>9.0435554343876987</v>
      </c>
      <c r="CC900" s="3">
        <v>9.2568887677210299</v>
      </c>
      <c r="CD900" s="3">
        <v>8.2635554343877047</v>
      </c>
      <c r="CE900" s="3">
        <v>8.7568887677210299</v>
      </c>
      <c r="CF900" s="3">
        <v>-0.92977789894563756</v>
      </c>
      <c r="CG900" s="3">
        <v>-1.463111232278969</v>
      </c>
      <c r="CH900" s="3">
        <v>-2.539777898945637</v>
      </c>
      <c r="CI900" s="13">
        <f>[1]!dbasum(RecData[[#This Row],[20]:[2000]],RecData[[#Headers],[20]:[2000]])</f>
        <v>38.806302666812741</v>
      </c>
      <c r="CJ900" s="14">
        <v>10242</v>
      </c>
      <c r="CK900" s="15" t="s">
        <v>249</v>
      </c>
      <c r="CL900" s="15">
        <f>RecData[[#This Row],[Start Time]]</f>
        <v>43274.961805555555</v>
      </c>
      <c r="CM900" s="16">
        <f>RecData[[#This Row],[Wind Speed avg]]</f>
        <v>0.66</v>
      </c>
      <c r="CN900" s="16">
        <f>RecData[[#This Row],[Wind Dir. avg]]</f>
        <v>208.6</v>
      </c>
      <c r="CO900" s="16">
        <f>RecData[[#This Row],[Amb. Humidity]]</f>
        <v>80.3</v>
      </c>
      <c r="CP900" s="16">
        <f>RecData[[#This Row],[Amb. Temperature]]</f>
        <v>12.4</v>
      </c>
      <c r="CQ900" s="17">
        <f>RecData[[#This Row],[Amb. Rain Gauge]]</f>
        <v>0</v>
      </c>
      <c r="CR900" s="4" t="s">
        <v>1</v>
      </c>
      <c r="CS900" s="4" t="s">
        <v>49</v>
      </c>
      <c r="CT900" s="70">
        <v>1421.41577148437</v>
      </c>
      <c r="CU900" s="70">
        <v>15.000127792358301</v>
      </c>
      <c r="CV900" s="70">
        <v>9.4116306304931605</v>
      </c>
      <c r="CW900" s="70">
        <v>14.9859504699707</v>
      </c>
      <c r="CX900" s="4"/>
      <c r="CY900" s="69"/>
      <c r="CZ900" s="2" t="b">
        <f>IF($DP$1="YES",IF(RecData[[#This Row],[Power (kW)]]&gt;=$CR$3, TRUE,FALSE),TRUE)</f>
        <v>1</v>
      </c>
      <c r="DA900" s="16">
        <f>MIN(MOD(180-ABS(ABS($DA$1-RecData[Yaw Angle (°)])-180),360),MOD(180-ABS(ABS($DB$1-RecData[Yaw Angle (°)])-180),360))</f>
        <v>7.4702010146707494</v>
      </c>
      <c r="DB900" s="2" t="str">
        <f>IF($DP$2="None","None",IF(RecData[[#This Row],[Relative Wind Direction]]&lt;=45,"DW",IF(RecData[[#This Row],[Relative Wind Direction]]&lt;=135,"CW","UW")))</f>
        <v>DW</v>
      </c>
      <c r="DC900" s="61">
        <f>IF($CL900-$CL896&gt;1/24,#REF!,IF(SUM($CQ896:$CQ900)&gt;$DS$1,$DS$5,DC901-1))</f>
        <v>-2</v>
      </c>
      <c r="DD900" s="61" t="e">
        <f>IF($CL901-$CL900&gt;1/24,#REF!,IF(SUM($CQ896:$CQ900)&gt;$DS$1,$DS$6,DD899-1))</f>
        <v>#REF!</v>
      </c>
      <c r="DE900" s="18" t="b">
        <v>0</v>
      </c>
      <c r="DF900" s="2" t="b">
        <f>IF(OR(RecData[[#This Row],[WSpd_Avg '[m/s']]]-RecData[[#This Row],[Wind Speed min]]&gt;=$DF$3,RecData[[#This Row],[Wind Speed max]]-RecData[[#This Row],[WSpd_Avg '[m/s']]]&gt;=$DF$2),TRUE,FALSE)</f>
        <v>0</v>
      </c>
      <c r="DG900" s="2" t="b">
        <f>RecData[[#This Row],[Temperature '[°C']]]&lt;=-20</f>
        <v>0</v>
      </c>
      <c r="DH900" s="18" t="b">
        <f>NOT(OR(MOD(RecData[[#This Row],[TIMESTAMP]],1)&gt;0.91632,MOD(RecData[[#This Row],[TIMESTAMP]],1)&lt;0.208681))</f>
        <v>0</v>
      </c>
      <c r="DI900" s="18" t="b">
        <f>RecData[[#This Row],[Overall (dBA)]]-RecData[[#This Row],[L90]]&gt;=$DS$4</f>
        <v>0</v>
      </c>
      <c r="DJ900" s="18" t="b">
        <f>RecData[[#This Row],[Overall (dBA)]]&gt;$DS$2</f>
        <v>0</v>
      </c>
      <c r="DK900" s="18" t="b">
        <f>RecData[[#This Row],[Overall (dBA)]]&lt;$DS$3</f>
        <v>0</v>
      </c>
      <c r="DL9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0" s="2">
        <f>IF(AND(RecData[[#This Row],[Turbines ON/OFF]] = "OFF", NOT(OR(RecData[[#This Row],[Junk?]]="YES",RecData[[#This Row],[Gust?]],RecData[[#This Row],[Rain?]:[Min SPL Threshold?]]))),1,0)</f>
        <v>0</v>
      </c>
      <c r="DN900" s="16">
        <f>RecData[[#This Row],[dBA Sum]]</f>
        <v>38.806302666812741</v>
      </c>
      <c r="DO900" s="16">
        <f>RecData[[#This Row],[LAF90.0]]</f>
        <v>36.700000000000003</v>
      </c>
      <c r="DP900" s="55">
        <f>IF(AND(RecData[[#This Row],[Useable TON Data?]],RecData[[#This Row],[Turbines ON/OFF]]="ON"),RecData[[#This Row],[dBA Sum]],"")</f>
        <v>38.806302666812741</v>
      </c>
      <c r="DQ900" s="55" t="str">
        <f>IF(AND(RecData[[#This Row],[Useable Background Data?]],RecData[[#This Row],[Turbines ON/OFF]]="OFF"),RecData[[#This Row],[dBA Sum]],"")</f>
        <v/>
      </c>
      <c r="DR900" s="3">
        <f>IF(OR(RecData[[#This Row],[Useable TON Data?]],RecData[[#This Row],[Useable Background Data?]]),ROUND(RecData[[#This Row],[WSpd_Avg '[m/s']]],0),"")</f>
        <v>1</v>
      </c>
      <c r="DS900" s="85">
        <f>(0.00002)^2*(10^(RecData[[#This Row],[Overall (dBA)]]/10))</f>
        <v>3.0387170175175863E-6</v>
      </c>
    </row>
    <row r="901" spans="1:123" ht="15" x14ac:dyDescent="0.25">
      <c r="A901" s="3" t="s">
        <v>249</v>
      </c>
      <c r="B901" s="12">
        <v>43274.962500000001</v>
      </c>
      <c r="C901" s="3"/>
      <c r="D901" s="3">
        <v>39.9</v>
      </c>
      <c r="E901" s="3"/>
      <c r="F901" s="3"/>
      <c r="G901" s="3"/>
      <c r="H901" s="3"/>
      <c r="I901" s="3"/>
      <c r="J901" s="3"/>
      <c r="K901" s="3">
        <v>38.6</v>
      </c>
      <c r="L901" s="3"/>
      <c r="M901" s="3"/>
      <c r="N901" s="3">
        <v>149</v>
      </c>
      <c r="O901" s="3"/>
      <c r="P901" s="3"/>
      <c r="Q901" s="3">
        <v>0.73</v>
      </c>
      <c r="R901" s="3">
        <v>0.5</v>
      </c>
      <c r="S901" s="3">
        <v>1.1000000000000001</v>
      </c>
      <c r="T901" s="3">
        <v>12.4</v>
      </c>
      <c r="U901" s="3">
        <v>79.900000000000006</v>
      </c>
      <c r="V901" s="3">
        <v>965.6</v>
      </c>
      <c r="W901" s="3">
        <v>0</v>
      </c>
      <c r="X901" s="3">
        <v>48.2</v>
      </c>
      <c r="Y901" s="3">
        <v>47.8</v>
      </c>
      <c r="Z901" s="3">
        <v>45.9</v>
      </c>
      <c r="AA901" s="3">
        <v>40.700000000000003</v>
      </c>
      <c r="AB901" s="3">
        <v>37.200000000000003</v>
      </c>
      <c r="AC901" s="3">
        <v>38</v>
      </c>
      <c r="AD901" s="3">
        <v>43.3</v>
      </c>
      <c r="AE901" s="3">
        <v>44.7</v>
      </c>
      <c r="AF901" s="3">
        <v>44</v>
      </c>
      <c r="AG901" s="3">
        <v>38</v>
      </c>
      <c r="AH901" s="3">
        <v>40.700000000000003</v>
      </c>
      <c r="AI901" s="3">
        <v>38.5</v>
      </c>
      <c r="AJ901" s="3">
        <v>37.799999999999997</v>
      </c>
      <c r="AK901" s="3">
        <v>35.1</v>
      </c>
      <c r="AL901" s="3">
        <v>31.8</v>
      </c>
      <c r="AM901" s="3">
        <v>30.4</v>
      </c>
      <c r="AN901" s="3">
        <v>28.2</v>
      </c>
      <c r="AO901" s="3">
        <v>24.9</v>
      </c>
      <c r="AP901" s="3">
        <v>23.1</v>
      </c>
      <c r="AQ901" s="3">
        <v>21.6</v>
      </c>
      <c r="AR901" s="3">
        <v>19.7</v>
      </c>
      <c r="AS901" s="3">
        <v>19.7</v>
      </c>
      <c r="AT901" s="3">
        <v>29.2</v>
      </c>
      <c r="AU901" s="3">
        <v>14.2</v>
      </c>
      <c r="AV901" s="3">
        <v>11.7</v>
      </c>
      <c r="AW901" s="3">
        <v>11.2</v>
      </c>
      <c r="AX901" s="3">
        <v>9.5</v>
      </c>
      <c r="AY901" s="3">
        <v>9.4</v>
      </c>
      <c r="AZ901" s="3">
        <v>0</v>
      </c>
      <c r="BA901" s="3">
        <v>0</v>
      </c>
      <c r="BB901" s="3">
        <v>0</v>
      </c>
      <c r="BC901" s="3">
        <v>39.92698719073902</v>
      </c>
      <c r="BD901" s="3">
        <v>48.173012809260975</v>
      </c>
      <c r="BE901" s="3">
        <v>47.773012809260969</v>
      </c>
      <c r="BF901" s="3">
        <v>44.633012809260983</v>
      </c>
      <c r="BG901" s="3">
        <v>39.759679475927648</v>
      </c>
      <c r="BH901" s="3">
        <v>36.399679475927648</v>
      </c>
      <c r="BI901" s="3">
        <v>37.613012809260972</v>
      </c>
      <c r="BJ901" s="3">
        <v>43.706346142594306</v>
      </c>
      <c r="BK901" s="3">
        <v>44.979679475927647</v>
      </c>
      <c r="BL901" s="3">
        <v>43.853012809260981</v>
      </c>
      <c r="BM901" s="3">
        <v>37.986346142594307</v>
      </c>
      <c r="BN901" s="3">
        <v>40.969679475927656</v>
      </c>
      <c r="BO901" s="3">
        <v>38.136346142594313</v>
      </c>
      <c r="BP901" s="3">
        <v>37.153012809260979</v>
      </c>
      <c r="BQ901" s="3">
        <v>34.869679475927633</v>
      </c>
      <c r="BR901" s="3">
        <v>31.896346142594318</v>
      </c>
      <c r="BS901" s="3">
        <v>30.29967947592764</v>
      </c>
      <c r="BT901" s="3">
        <v>28.296346142594309</v>
      </c>
      <c r="BU901" s="3">
        <v>24.963012809260981</v>
      </c>
      <c r="BV901" s="3">
        <v>22.879679475927652</v>
      </c>
      <c r="BW901" s="3">
        <v>21.913012809260984</v>
      </c>
      <c r="BX901" s="3">
        <v>19.93301280926098</v>
      </c>
      <c r="BY901" s="3">
        <v>19.753012809260973</v>
      </c>
      <c r="BZ901" s="3">
        <v>29.383012809260983</v>
      </c>
      <c r="CA901" s="3">
        <v>14.48301280926097</v>
      </c>
      <c r="CB901" s="3">
        <v>11.419679475927644</v>
      </c>
      <c r="CC901" s="3">
        <v>11.133012809260975</v>
      </c>
      <c r="CD901" s="3">
        <v>8.7396794759276517</v>
      </c>
      <c r="CE901" s="3">
        <v>8.8330128092609783</v>
      </c>
      <c r="CF901" s="3">
        <v>-0.95365385740569053</v>
      </c>
      <c r="CG901" s="3">
        <v>-1.486987190739022</v>
      </c>
      <c r="CH901" s="3">
        <v>-2.56365385740569</v>
      </c>
      <c r="CI901" s="13">
        <f>[1]!dbasum(RecData[[#This Row],[20]:[2000]],RecData[[#Headers],[20]:[2000]])</f>
        <v>39.203071334327916</v>
      </c>
      <c r="CJ901" s="14">
        <v>10243</v>
      </c>
      <c r="CK901" s="15" t="s">
        <v>249</v>
      </c>
      <c r="CL901" s="15">
        <f>RecData[[#This Row],[Start Time]]</f>
        <v>43274.962500000001</v>
      </c>
      <c r="CM901" s="16">
        <f>RecData[[#This Row],[Wind Speed avg]]</f>
        <v>0.73</v>
      </c>
      <c r="CN901" s="16">
        <f>RecData[[#This Row],[Wind Dir. avg]]</f>
        <v>149</v>
      </c>
      <c r="CO901" s="16">
        <f>RecData[[#This Row],[Amb. Humidity]]</f>
        <v>79.900000000000006</v>
      </c>
      <c r="CP901" s="16">
        <f>RecData[[#This Row],[Amb. Temperature]]</f>
        <v>12.4</v>
      </c>
      <c r="CQ901" s="17">
        <f>RecData[[#This Row],[Amb. Rain Gauge]]</f>
        <v>0</v>
      </c>
      <c r="CR901" s="4" t="s">
        <v>1</v>
      </c>
      <c r="CS901" s="4" t="s">
        <v>49</v>
      </c>
      <c r="CT901" s="70">
        <v>1421.41577148437</v>
      </c>
      <c r="CU901" s="70">
        <v>15.000127792358301</v>
      </c>
      <c r="CV901" s="70">
        <v>9.4116306304931605</v>
      </c>
      <c r="CW901" s="70">
        <v>14.9859504699707</v>
      </c>
      <c r="CX901" s="4"/>
      <c r="CY901" s="69"/>
      <c r="CZ901" s="2" t="b">
        <f>IF($DP$1="YES",IF(RecData[[#This Row],[Power (kW)]]&gt;=$CR$3, TRUE,FALSE),TRUE)</f>
        <v>1</v>
      </c>
      <c r="DA901" s="16">
        <f>MIN(MOD(180-ABS(ABS($DA$1-RecData[Yaw Angle (°)])-180),360),MOD(180-ABS(ABS($DB$1-RecData[Yaw Angle (°)])-180),360))</f>
        <v>7.4702010146707494</v>
      </c>
      <c r="DB901" s="2" t="str">
        <f>IF($DP$2="None","None",IF(RecData[[#This Row],[Relative Wind Direction]]&lt;=45,"DW",IF(RecData[[#This Row],[Relative Wind Direction]]&lt;=135,"CW","UW")))</f>
        <v>DW</v>
      </c>
      <c r="DC901" s="61">
        <v>-1</v>
      </c>
      <c r="DD901" s="61">
        <v>-1</v>
      </c>
      <c r="DE901" s="18" t="b">
        <v>0</v>
      </c>
      <c r="DF901" s="2" t="b">
        <f>IF(OR(RecData[[#This Row],[WSpd_Avg '[m/s']]]-RecData[[#This Row],[Wind Speed min]]&gt;=$DF$3,RecData[[#This Row],[Wind Speed max]]-RecData[[#This Row],[WSpd_Avg '[m/s']]]&gt;=$DF$2),TRUE,FALSE)</f>
        <v>0</v>
      </c>
      <c r="DG901" s="2" t="b">
        <f>RecData[[#This Row],[Temperature '[°C']]]&lt;=-20</f>
        <v>0</v>
      </c>
      <c r="DH901" s="18" t="b">
        <f>NOT(OR(MOD(RecData[[#This Row],[TIMESTAMP]],1)&gt;0.91632,MOD(RecData[[#This Row],[TIMESTAMP]],1)&lt;0.208681))</f>
        <v>0</v>
      </c>
      <c r="DI901" s="18" t="b">
        <f>RecData[[#This Row],[Overall (dBA)]]-RecData[[#This Row],[L90]]&gt;=$DS$4</f>
        <v>0</v>
      </c>
      <c r="DJ901" s="18" t="b">
        <f>RecData[[#This Row],[Overall (dBA)]]&gt;$DS$2</f>
        <v>0</v>
      </c>
      <c r="DK901" s="18" t="b">
        <f>RecData[[#This Row],[Overall (dBA)]]&lt;$DS$3</f>
        <v>0</v>
      </c>
      <c r="DL9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1" s="2">
        <f>IF(AND(RecData[[#This Row],[Turbines ON/OFF]] = "OFF", NOT(OR(RecData[[#This Row],[Junk?]]="YES",RecData[[#This Row],[Gust?]],RecData[[#This Row],[Rain?]:[Min SPL Threshold?]]))),1,0)</f>
        <v>0</v>
      </c>
      <c r="DN901" s="16">
        <f>RecData[[#This Row],[dBA Sum]]</f>
        <v>39.203071334327916</v>
      </c>
      <c r="DO901" s="16">
        <f>RecData[[#This Row],[LAF90.0]]</f>
        <v>38.6</v>
      </c>
      <c r="DP901" s="55">
        <f>IF(AND(RecData[[#This Row],[Useable TON Data?]],RecData[[#This Row],[Turbines ON/OFF]]="ON"),RecData[[#This Row],[dBA Sum]],"")</f>
        <v>39.203071334327916</v>
      </c>
      <c r="DQ901" s="55" t="str">
        <f>IF(AND(RecData[[#This Row],[Useable Background Data?]],RecData[[#This Row],[Turbines ON/OFF]]="OFF"),RecData[[#This Row],[dBA Sum]],"")</f>
        <v/>
      </c>
      <c r="DR901" s="3">
        <f>IF(OR(RecData[[#This Row],[Useable TON Data?]],RecData[[#This Row],[Useable Background Data?]]),ROUND(RecData[[#This Row],[WSpd_Avg '[m/s']]],0),"")</f>
        <v>1</v>
      </c>
      <c r="DS901" s="85">
        <f>(0.00002)^2*(10^(RecData[[#This Row],[Overall (dBA)]]/10))</f>
        <v>3.3294088128219307E-6</v>
      </c>
    </row>
    <row r="902" spans="1:123" ht="15" x14ac:dyDescent="0.25">
      <c r="A902" s="3" t="s">
        <v>249</v>
      </c>
      <c r="B902" s="12">
        <v>43274.963194444448</v>
      </c>
      <c r="C902" s="3"/>
      <c r="D902" s="3">
        <v>40</v>
      </c>
      <c r="E902" s="3"/>
      <c r="F902" s="3"/>
      <c r="G902" s="3"/>
      <c r="H902" s="3"/>
      <c r="I902" s="3"/>
      <c r="J902" s="3"/>
      <c r="K902" s="3">
        <v>38.4</v>
      </c>
      <c r="L902" s="3"/>
      <c r="M902" s="3"/>
      <c r="N902" s="3">
        <v>123.7</v>
      </c>
      <c r="O902" s="3"/>
      <c r="P902" s="3"/>
      <c r="Q902" s="3">
        <v>1.1399999999999999</v>
      </c>
      <c r="R902" s="3">
        <v>0.4</v>
      </c>
      <c r="S902" s="3">
        <v>1.8</v>
      </c>
      <c r="T902" s="3">
        <v>12.5</v>
      </c>
      <c r="U902" s="3">
        <v>80.8</v>
      </c>
      <c r="V902" s="3">
        <v>965.6</v>
      </c>
      <c r="W902" s="3">
        <v>0</v>
      </c>
      <c r="X902" s="3">
        <v>46.9</v>
      </c>
      <c r="Y902" s="3">
        <v>47.5</v>
      </c>
      <c r="Z902" s="3">
        <v>45.5</v>
      </c>
      <c r="AA902" s="3">
        <v>40.5</v>
      </c>
      <c r="AB902" s="3">
        <v>37.700000000000003</v>
      </c>
      <c r="AC902" s="3">
        <v>39.5</v>
      </c>
      <c r="AD902" s="3">
        <v>42.9</v>
      </c>
      <c r="AE902" s="3">
        <v>44.5</v>
      </c>
      <c r="AF902" s="3">
        <v>42.5</v>
      </c>
      <c r="AG902" s="3">
        <v>38.200000000000003</v>
      </c>
      <c r="AH902" s="3">
        <v>40.9</v>
      </c>
      <c r="AI902" s="3">
        <v>38.6</v>
      </c>
      <c r="AJ902" s="3">
        <v>38.1</v>
      </c>
      <c r="AK902" s="3">
        <v>35.200000000000003</v>
      </c>
      <c r="AL902" s="3">
        <v>31.9</v>
      </c>
      <c r="AM902" s="3">
        <v>30.3</v>
      </c>
      <c r="AN902" s="3">
        <v>28.4</v>
      </c>
      <c r="AO902" s="3">
        <v>25</v>
      </c>
      <c r="AP902" s="3">
        <v>23.6</v>
      </c>
      <c r="AQ902" s="3">
        <v>22.3</v>
      </c>
      <c r="AR902" s="3">
        <v>20.8</v>
      </c>
      <c r="AS902" s="3">
        <v>20.2</v>
      </c>
      <c r="AT902" s="3">
        <v>28.3</v>
      </c>
      <c r="AU902" s="3">
        <v>17.399999999999999</v>
      </c>
      <c r="AV902" s="3">
        <v>15.6</v>
      </c>
      <c r="AW902" s="3">
        <v>14.5</v>
      </c>
      <c r="AX902" s="3">
        <v>11.2</v>
      </c>
      <c r="AY902" s="3">
        <v>10.3</v>
      </c>
      <c r="AZ902" s="3">
        <v>0</v>
      </c>
      <c r="BA902" s="3">
        <v>0</v>
      </c>
      <c r="BB902" s="3">
        <v>0</v>
      </c>
      <c r="BC902" s="3">
        <v>39.936530095162425</v>
      </c>
      <c r="BD902" s="3">
        <v>46.963469904837581</v>
      </c>
      <c r="BE902" s="3">
        <v>47.563469904837575</v>
      </c>
      <c r="BF902" s="3">
        <v>44.323469904837566</v>
      </c>
      <c r="BG902" s="3">
        <v>39.650136571504248</v>
      </c>
      <c r="BH902" s="3">
        <v>36.990136571504252</v>
      </c>
      <c r="BI902" s="3">
        <v>39.203469904837576</v>
      </c>
      <c r="BJ902" s="3">
        <v>43.396803238170904</v>
      </c>
      <c r="BK902" s="3">
        <v>44.870136571504247</v>
      </c>
      <c r="BL902" s="3">
        <v>42.443469904837571</v>
      </c>
      <c r="BM902" s="3">
        <v>38.276803238170913</v>
      </c>
      <c r="BN902" s="3">
        <v>41.260136571504233</v>
      </c>
      <c r="BO902" s="3">
        <v>38.326803238170911</v>
      </c>
      <c r="BP902" s="3">
        <v>37.543469904837579</v>
      </c>
      <c r="BQ902" s="3">
        <v>35.060136571504245</v>
      </c>
      <c r="BR902" s="3">
        <v>32.086803238170916</v>
      </c>
      <c r="BS902" s="3">
        <v>30.290136571504235</v>
      </c>
      <c r="BT902" s="3">
        <v>28.586803238170916</v>
      </c>
      <c r="BU902" s="3">
        <v>25.153469904837578</v>
      </c>
      <c r="BV902" s="3">
        <v>23.470136571504241</v>
      </c>
      <c r="BW902" s="3">
        <v>22.703469904837576</v>
      </c>
      <c r="BX902" s="3">
        <v>21.123469904837577</v>
      </c>
      <c r="BY902" s="3">
        <v>20.343469904837576</v>
      </c>
      <c r="BZ902" s="3">
        <v>28.57346990483758</v>
      </c>
      <c r="CA902" s="3">
        <v>17.773469904837569</v>
      </c>
      <c r="CB902" s="3">
        <v>15.410136571504239</v>
      </c>
      <c r="CC902" s="3">
        <v>14.523469904837576</v>
      </c>
      <c r="CD902" s="3">
        <v>10.530136571504244</v>
      </c>
      <c r="CE902" s="3">
        <v>9.8234699048375731</v>
      </c>
      <c r="CF902" s="3">
        <v>-0.86319676182909433</v>
      </c>
      <c r="CG902" s="3">
        <v>-1.3965300951624258</v>
      </c>
      <c r="CH902" s="3">
        <v>-2.4731967618290938</v>
      </c>
      <c r="CI902" s="13">
        <f>[1]!dbasum(RecData[[#This Row],[20]:[2000]],RecData[[#Headers],[20]:[2000]])</f>
        <v>39.359179543461956</v>
      </c>
      <c r="CJ902" s="14">
        <v>10244</v>
      </c>
      <c r="CK902" s="15" t="s">
        <v>249</v>
      </c>
      <c r="CL902" s="15">
        <f>RecData[[#This Row],[Start Time]]</f>
        <v>43274.963194444448</v>
      </c>
      <c r="CM902" s="16">
        <f>RecData[[#This Row],[Wind Speed avg]]</f>
        <v>1.1399999999999999</v>
      </c>
      <c r="CN902" s="16">
        <f>RecData[[#This Row],[Wind Dir. avg]]</f>
        <v>123.7</v>
      </c>
      <c r="CO902" s="16">
        <f>RecData[[#This Row],[Amb. Humidity]]</f>
        <v>80.8</v>
      </c>
      <c r="CP902" s="16">
        <f>RecData[[#This Row],[Amb. Temperature]]</f>
        <v>12.5</v>
      </c>
      <c r="CQ902" s="17">
        <f>RecData[[#This Row],[Amb. Rain Gauge]]</f>
        <v>0</v>
      </c>
      <c r="CR902" s="4" t="s">
        <v>1</v>
      </c>
      <c r="CS902" s="4" t="s">
        <v>49</v>
      </c>
      <c r="CT902" s="70">
        <v>1421.41577148437</v>
      </c>
      <c r="CU902" s="70">
        <v>15.000127792358301</v>
      </c>
      <c r="CV902" s="70">
        <v>9.4116306304931605</v>
      </c>
      <c r="CW902" s="70">
        <v>14.9859504699707</v>
      </c>
      <c r="CX902" s="4"/>
      <c r="CY902" s="69"/>
      <c r="CZ902" s="2" t="b">
        <f>IF($DP$1="YES",IF(RecData[[#This Row],[Power (kW)]]&gt;=$CR$3, TRUE,FALSE),TRUE)</f>
        <v>1</v>
      </c>
      <c r="DA902" s="16">
        <f>MIN(MOD(180-ABS(ABS($DA$1-RecData[Yaw Angle (°)])-180),360),MOD(180-ABS(ABS($DB$1-RecData[Yaw Angle (°)])-180),360))</f>
        <v>7.4702010146707494</v>
      </c>
      <c r="DB902" s="2" t="str">
        <f>IF($DP$2="None","None",IF(RecData[[#This Row],[Relative Wind Direction]]&lt;=45,"DW",IF(RecData[[#This Row],[Relative Wind Direction]]&lt;=135,"CW","UW")))</f>
        <v>DW</v>
      </c>
      <c r="DC902" s="61">
        <f>IF($CL902-$CL901&gt;1/24,#REF!,IF(SUM($CQ901:$CQ902)&gt;$DS$1,$DS$5,DC903-1))</f>
        <v>-9</v>
      </c>
      <c r="DD902" s="61">
        <f>IF($CL903-$CL902&gt;1/24,#REF!,IF(SUM($CQ901:$CQ902)&gt;$DS$1,$DS$6,DD901-1))</f>
        <v>-2</v>
      </c>
      <c r="DE902" s="18" t="b">
        <v>0</v>
      </c>
      <c r="DF902" s="2" t="b">
        <f>IF(OR(RecData[[#This Row],[WSpd_Avg '[m/s']]]-RecData[[#This Row],[Wind Speed min]]&gt;=$DF$3,RecData[[#This Row],[Wind Speed max]]-RecData[[#This Row],[WSpd_Avg '[m/s']]]&gt;=$DF$2),TRUE,FALSE)</f>
        <v>0</v>
      </c>
      <c r="DG902" s="2" t="b">
        <f>RecData[[#This Row],[Temperature '[°C']]]&lt;=-20</f>
        <v>0</v>
      </c>
      <c r="DH902" s="18" t="b">
        <f>NOT(OR(MOD(RecData[[#This Row],[TIMESTAMP]],1)&gt;0.91632,MOD(RecData[[#This Row],[TIMESTAMP]],1)&lt;0.208681))</f>
        <v>0</v>
      </c>
      <c r="DI902" s="18" t="b">
        <f>RecData[[#This Row],[Overall (dBA)]]-RecData[[#This Row],[L90]]&gt;=$DS$4</f>
        <v>0</v>
      </c>
      <c r="DJ902" s="18" t="b">
        <f>RecData[[#This Row],[Overall (dBA)]]&gt;$DS$2</f>
        <v>0</v>
      </c>
      <c r="DK902" s="18" t="b">
        <f>RecData[[#This Row],[Overall (dBA)]]&lt;$DS$3</f>
        <v>0</v>
      </c>
      <c r="DL9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2" s="2">
        <f>IF(AND(RecData[[#This Row],[Turbines ON/OFF]] = "OFF", NOT(OR(RecData[[#This Row],[Junk?]]="YES",RecData[[#This Row],[Gust?]],RecData[[#This Row],[Rain?]:[Min SPL Threshold?]]))),1,0)</f>
        <v>0</v>
      </c>
      <c r="DN902" s="16">
        <f>RecData[[#This Row],[dBA Sum]]</f>
        <v>39.359179543461956</v>
      </c>
      <c r="DO902" s="16">
        <f>RecData[[#This Row],[LAF90.0]]</f>
        <v>38.4</v>
      </c>
      <c r="DP902" s="55">
        <f>IF(AND(RecData[[#This Row],[Useable TON Data?]],RecData[[#This Row],[Turbines ON/OFF]]="ON"),RecData[[#This Row],[dBA Sum]],"")</f>
        <v>39.359179543461956</v>
      </c>
      <c r="DQ902" s="55" t="str">
        <f>IF(AND(RecData[[#This Row],[Useable Background Data?]],RecData[[#This Row],[Turbines ON/OFF]]="OFF"),RecData[[#This Row],[dBA Sum]],"")</f>
        <v/>
      </c>
      <c r="DR902" s="3">
        <f>IF(OR(RecData[[#This Row],[Useable TON Data?]],RecData[[#This Row],[Useable Background Data?]]),ROUND(RecData[[#This Row],[WSpd_Avg '[m/s']]],0),"")</f>
        <v>1</v>
      </c>
      <c r="DS902" s="85">
        <f>(0.00002)^2*(10^(RecData[[#This Row],[Overall (dBA)]]/10))</f>
        <v>3.4512621270465134E-6</v>
      </c>
    </row>
    <row r="903" spans="1:123" ht="15" x14ac:dyDescent="0.25">
      <c r="A903" s="3" t="s">
        <v>249</v>
      </c>
      <c r="B903" s="12">
        <v>43274.963888888895</v>
      </c>
      <c r="C903" s="3"/>
      <c r="D903" s="3">
        <v>38.700000000000003</v>
      </c>
      <c r="E903" s="3"/>
      <c r="F903" s="3"/>
      <c r="G903" s="3"/>
      <c r="H903" s="3"/>
      <c r="I903" s="3"/>
      <c r="J903" s="3"/>
      <c r="K903" s="3">
        <v>36.700000000000003</v>
      </c>
      <c r="L903" s="3"/>
      <c r="M903" s="3"/>
      <c r="N903" s="3">
        <v>154.80000000000001</v>
      </c>
      <c r="O903" s="3"/>
      <c r="P903" s="3"/>
      <c r="Q903" s="3">
        <v>1.1200000000000001</v>
      </c>
      <c r="R903" s="3">
        <v>0.4</v>
      </c>
      <c r="S903" s="3">
        <v>2</v>
      </c>
      <c r="T903" s="3">
        <v>13</v>
      </c>
      <c r="U903" s="3">
        <v>79.400000000000006</v>
      </c>
      <c r="V903" s="3">
        <v>965.6</v>
      </c>
      <c r="W903" s="3">
        <v>0</v>
      </c>
      <c r="X903" s="3">
        <v>47.3</v>
      </c>
      <c r="Y903" s="3">
        <v>47.4</v>
      </c>
      <c r="Z903" s="3">
        <v>46</v>
      </c>
      <c r="AA903" s="3">
        <v>40.200000000000003</v>
      </c>
      <c r="AB903" s="3">
        <v>37</v>
      </c>
      <c r="AC903" s="3">
        <v>37.5</v>
      </c>
      <c r="AD903" s="3">
        <v>41.8</v>
      </c>
      <c r="AE903" s="3">
        <v>43.3</v>
      </c>
      <c r="AF903" s="3">
        <v>42.8</v>
      </c>
      <c r="AG903" s="3">
        <v>36.799999999999997</v>
      </c>
      <c r="AH903" s="3">
        <v>39.5</v>
      </c>
      <c r="AI903" s="3">
        <v>37.299999999999997</v>
      </c>
      <c r="AJ903" s="3">
        <v>36.6</v>
      </c>
      <c r="AK903" s="3">
        <v>34.299999999999997</v>
      </c>
      <c r="AL903" s="3">
        <v>31</v>
      </c>
      <c r="AM903" s="3">
        <v>29.7</v>
      </c>
      <c r="AN903" s="3">
        <v>27.6</v>
      </c>
      <c r="AO903" s="3">
        <v>24.1</v>
      </c>
      <c r="AP903" s="3">
        <v>22.5</v>
      </c>
      <c r="AQ903" s="3">
        <v>20.7</v>
      </c>
      <c r="AR903" s="3">
        <v>18.5</v>
      </c>
      <c r="AS903" s="3">
        <v>17.7</v>
      </c>
      <c r="AT903" s="3">
        <v>25.9</v>
      </c>
      <c r="AU903" s="3">
        <v>13.1</v>
      </c>
      <c r="AV903" s="3">
        <v>10.9</v>
      </c>
      <c r="AW903" s="3">
        <v>10.5</v>
      </c>
      <c r="AX903" s="3">
        <v>9.5</v>
      </c>
      <c r="AY903" s="3">
        <v>9.4</v>
      </c>
      <c r="AZ903" s="3">
        <v>0</v>
      </c>
      <c r="BA903" s="3">
        <v>0</v>
      </c>
      <c r="BB903" s="3">
        <v>0</v>
      </c>
      <c r="BC903" s="3">
        <v>38.712174548573593</v>
      </c>
      <c r="BD903" s="3">
        <v>47.287825451426407</v>
      </c>
      <c r="BE903" s="3">
        <v>47.387825451426401</v>
      </c>
      <c r="BF903" s="3">
        <v>44.747825451426415</v>
      </c>
      <c r="BG903" s="3">
        <v>39.274492118093086</v>
      </c>
      <c r="BH903" s="3">
        <v>36.214492118093084</v>
      </c>
      <c r="BI903" s="3">
        <v>37.127825451426411</v>
      </c>
      <c r="BJ903" s="3">
        <v>42.221158784759744</v>
      </c>
      <c r="BK903" s="3">
        <v>43.594492118093079</v>
      </c>
      <c r="BL903" s="3">
        <v>42.667825451426403</v>
      </c>
      <c r="BM903" s="3">
        <v>36.801158784759743</v>
      </c>
      <c r="BN903" s="3">
        <v>39.784492118093077</v>
      </c>
      <c r="BO903" s="3">
        <v>36.951158784759734</v>
      </c>
      <c r="BP903" s="3">
        <v>35.967825451426414</v>
      </c>
      <c r="BQ903" s="3">
        <v>34.08449211809306</v>
      </c>
      <c r="BR903" s="3">
        <v>31.111158784759745</v>
      </c>
      <c r="BS903" s="3">
        <v>29.614492118093075</v>
      </c>
      <c r="BT903" s="3">
        <v>27.711158784759753</v>
      </c>
      <c r="BU903" s="3">
        <v>24.177825451426415</v>
      </c>
      <c r="BV903" s="3">
        <v>22.294492118093082</v>
      </c>
      <c r="BW903" s="3">
        <v>21.027825451426416</v>
      </c>
      <c r="BX903" s="3">
        <v>18.747825451426415</v>
      </c>
      <c r="BY903" s="3">
        <v>17.767825451426411</v>
      </c>
      <c r="BZ903" s="3">
        <v>26.097825451426409</v>
      </c>
      <c r="CA903" s="3">
        <v>13.397825451426407</v>
      </c>
      <c r="CB903" s="3">
        <v>10.634492118093071</v>
      </c>
      <c r="CC903" s="3">
        <v>10.447825451426411</v>
      </c>
      <c r="CD903" s="3">
        <v>8.7544921180930828</v>
      </c>
      <c r="CE903" s="3">
        <v>8.8478254514264094</v>
      </c>
      <c r="CF903" s="3">
        <v>-0.93884121524025943</v>
      </c>
      <c r="CG903" s="3">
        <v>-1.4721745485735909</v>
      </c>
      <c r="CH903" s="3">
        <v>-2.5488412152402589</v>
      </c>
      <c r="CI903" s="13">
        <f>[1]!dbasum(RecData[[#This Row],[20]:[2000]],RecData[[#Headers],[20]:[2000]])</f>
        <v>38.218198958411008</v>
      </c>
      <c r="CJ903" s="14">
        <v>10245</v>
      </c>
      <c r="CK903" s="15" t="s">
        <v>249</v>
      </c>
      <c r="CL903" s="15">
        <f>RecData[[#This Row],[Start Time]]</f>
        <v>43274.963888888895</v>
      </c>
      <c r="CM903" s="16">
        <f>RecData[[#This Row],[Wind Speed avg]]</f>
        <v>1.1200000000000001</v>
      </c>
      <c r="CN903" s="16">
        <f>RecData[[#This Row],[Wind Dir. avg]]</f>
        <v>154.80000000000001</v>
      </c>
      <c r="CO903" s="16">
        <f>RecData[[#This Row],[Amb. Humidity]]</f>
        <v>79.400000000000006</v>
      </c>
      <c r="CP903" s="16">
        <f>RecData[[#This Row],[Amb. Temperature]]</f>
        <v>13</v>
      </c>
      <c r="CQ903" s="17">
        <f>RecData[[#This Row],[Amb. Rain Gauge]]</f>
        <v>0</v>
      </c>
      <c r="CR903" s="4" t="s">
        <v>1</v>
      </c>
      <c r="CS903" s="4" t="s">
        <v>49</v>
      </c>
      <c r="CT903" s="70">
        <v>1421.41577148437</v>
      </c>
      <c r="CU903" s="70">
        <v>15.000127792358301</v>
      </c>
      <c r="CV903" s="70">
        <v>9.4116306304931605</v>
      </c>
      <c r="CW903" s="70">
        <v>14.9859504699707</v>
      </c>
      <c r="CX903" s="4"/>
      <c r="CY903" s="69"/>
      <c r="CZ903" s="2" t="b">
        <f>IF($DP$1="YES",IF(RecData[[#This Row],[Power (kW)]]&gt;=$CR$3, TRUE,FALSE),TRUE)</f>
        <v>1</v>
      </c>
      <c r="DA903" s="16">
        <f>MIN(MOD(180-ABS(ABS($DA$1-RecData[Yaw Angle (°)])-180),360),MOD(180-ABS(ABS($DB$1-RecData[Yaw Angle (°)])-180),360))</f>
        <v>7.4702010146707494</v>
      </c>
      <c r="DB903" s="2" t="str">
        <f>IF($DP$2="None","None",IF(RecData[[#This Row],[Relative Wind Direction]]&lt;=45,"DW",IF(RecData[[#This Row],[Relative Wind Direction]]&lt;=135,"CW","UW")))</f>
        <v>DW</v>
      </c>
      <c r="DC903" s="61">
        <f>IF($CL903-$CL901&gt;1/24,#REF!,IF(SUM($CQ901:$CQ903)&gt;$DS$1,$DS$5,DC904-1))</f>
        <v>-8</v>
      </c>
      <c r="DD903" s="61">
        <f>IF($CL904-$CL903&gt;1/24,#REF!,IF(SUM($CQ901:$CQ903)&gt;$DS$1,$DS$6,DD902-1))</f>
        <v>-3</v>
      </c>
      <c r="DE903" s="18" t="b">
        <v>0</v>
      </c>
      <c r="DF903" s="2" t="b">
        <f>IF(OR(RecData[[#This Row],[WSpd_Avg '[m/s']]]-RecData[[#This Row],[Wind Speed min]]&gt;=$DF$3,RecData[[#This Row],[Wind Speed max]]-RecData[[#This Row],[WSpd_Avg '[m/s']]]&gt;=$DF$2),TRUE,FALSE)</f>
        <v>0</v>
      </c>
      <c r="DG903" s="2" t="b">
        <f>RecData[[#This Row],[Temperature '[°C']]]&lt;=-20</f>
        <v>0</v>
      </c>
      <c r="DH903" s="18" t="b">
        <f>NOT(OR(MOD(RecData[[#This Row],[TIMESTAMP]],1)&gt;0.91632,MOD(RecData[[#This Row],[TIMESTAMP]],1)&lt;0.208681))</f>
        <v>0</v>
      </c>
      <c r="DI903" s="18" t="b">
        <f>RecData[[#This Row],[Overall (dBA)]]-RecData[[#This Row],[L90]]&gt;=$DS$4</f>
        <v>0</v>
      </c>
      <c r="DJ903" s="18" t="b">
        <f>RecData[[#This Row],[Overall (dBA)]]&gt;$DS$2</f>
        <v>0</v>
      </c>
      <c r="DK903" s="18" t="b">
        <f>RecData[[#This Row],[Overall (dBA)]]&lt;$DS$3</f>
        <v>0</v>
      </c>
      <c r="DL9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3" s="2">
        <f>IF(AND(RecData[[#This Row],[Turbines ON/OFF]] = "OFF", NOT(OR(RecData[[#This Row],[Junk?]]="YES",RecData[[#This Row],[Gust?]],RecData[[#This Row],[Rain?]:[Min SPL Threshold?]]))),1,0)</f>
        <v>0</v>
      </c>
      <c r="DN903" s="16">
        <f>RecData[[#This Row],[dBA Sum]]</f>
        <v>38.218198958411008</v>
      </c>
      <c r="DO903" s="16">
        <f>RecData[[#This Row],[LAF90.0]]</f>
        <v>36.700000000000003</v>
      </c>
      <c r="DP903" s="55">
        <f>IF(AND(RecData[[#This Row],[Useable TON Data?]],RecData[[#This Row],[Turbines ON/OFF]]="ON"),RecData[[#This Row],[dBA Sum]],"")</f>
        <v>38.218198958411008</v>
      </c>
      <c r="DQ903" s="55" t="str">
        <f>IF(AND(RecData[[#This Row],[Useable Background Data?]],RecData[[#This Row],[Turbines ON/OFF]]="OFF"),RecData[[#This Row],[dBA Sum]],"")</f>
        <v/>
      </c>
      <c r="DR903" s="3">
        <f>IF(OR(RecData[[#This Row],[Useable TON Data?]],RecData[[#This Row],[Useable Background Data?]]),ROUND(RecData[[#This Row],[WSpd_Avg '[m/s']]],0),"")</f>
        <v>1</v>
      </c>
      <c r="DS903" s="85">
        <f>(0.00002)^2*(10^(RecData[[#This Row],[Overall (dBA)]]/10))</f>
        <v>2.6538714791954436E-6</v>
      </c>
    </row>
    <row r="904" spans="1:123" ht="15" x14ac:dyDescent="0.25">
      <c r="A904" s="3" t="s">
        <v>249</v>
      </c>
      <c r="B904" s="12">
        <v>43274.964583333334</v>
      </c>
      <c r="C904" s="3"/>
      <c r="D904" s="3">
        <v>38.6</v>
      </c>
      <c r="E904" s="3"/>
      <c r="F904" s="3"/>
      <c r="G904" s="3"/>
      <c r="H904" s="3"/>
      <c r="I904" s="3"/>
      <c r="J904" s="3"/>
      <c r="K904" s="3">
        <v>36.299999999999997</v>
      </c>
      <c r="L904" s="3"/>
      <c r="M904" s="3"/>
      <c r="N904" s="3">
        <v>163.80000000000001</v>
      </c>
      <c r="O904" s="3"/>
      <c r="P904" s="3"/>
      <c r="Q904" s="3">
        <v>1</v>
      </c>
      <c r="R904" s="3">
        <v>0.5</v>
      </c>
      <c r="S904" s="3">
        <v>1.7</v>
      </c>
      <c r="T904" s="3">
        <v>13.7</v>
      </c>
      <c r="U904" s="3">
        <v>77.099999999999994</v>
      </c>
      <c r="V904" s="3">
        <v>965.7</v>
      </c>
      <c r="W904" s="3">
        <v>0</v>
      </c>
      <c r="X904" s="3">
        <v>45.2</v>
      </c>
      <c r="Y904" s="3">
        <v>44.7</v>
      </c>
      <c r="Z904" s="3">
        <v>43.3</v>
      </c>
      <c r="AA904" s="3">
        <v>38</v>
      </c>
      <c r="AB904" s="3">
        <v>34.5</v>
      </c>
      <c r="AC904" s="3">
        <v>33.6</v>
      </c>
      <c r="AD904" s="3">
        <v>38</v>
      </c>
      <c r="AE904" s="3">
        <v>41.5</v>
      </c>
      <c r="AF904" s="3">
        <v>43.9</v>
      </c>
      <c r="AG904" s="3">
        <v>36.700000000000003</v>
      </c>
      <c r="AH904" s="3">
        <v>37.9</v>
      </c>
      <c r="AI904" s="3">
        <v>37</v>
      </c>
      <c r="AJ904" s="3">
        <v>35.6</v>
      </c>
      <c r="AK904" s="3">
        <v>32.799999999999997</v>
      </c>
      <c r="AL904" s="3">
        <v>30</v>
      </c>
      <c r="AM904" s="3">
        <v>28.8</v>
      </c>
      <c r="AN904" s="3">
        <v>26.8</v>
      </c>
      <c r="AO904" s="3">
        <v>23.3</v>
      </c>
      <c r="AP904" s="3">
        <v>22</v>
      </c>
      <c r="AQ904" s="3">
        <v>20.2</v>
      </c>
      <c r="AR904" s="3">
        <v>17.5</v>
      </c>
      <c r="AS904" s="3">
        <v>16.8</v>
      </c>
      <c r="AT904" s="3">
        <v>30.5</v>
      </c>
      <c r="AU904" s="3">
        <v>17.5</v>
      </c>
      <c r="AV904" s="3">
        <v>9.6</v>
      </c>
      <c r="AW904" s="3">
        <v>9.6</v>
      </c>
      <c r="AX904" s="3">
        <v>9.1</v>
      </c>
      <c r="AY904" s="3">
        <v>9.3000000000000007</v>
      </c>
      <c r="AZ904" s="3">
        <v>0</v>
      </c>
      <c r="BA904" s="3">
        <v>0</v>
      </c>
      <c r="BB904" s="3">
        <v>0</v>
      </c>
      <c r="BC904" s="3">
        <v>38.598066739517158</v>
      </c>
      <c r="BD904" s="3">
        <v>45.201933260482853</v>
      </c>
      <c r="BE904" s="3">
        <v>44.701933260482853</v>
      </c>
      <c r="BF904" s="3">
        <v>42.061933260482839</v>
      </c>
      <c r="BG904" s="3">
        <v>37.088599927149509</v>
      </c>
      <c r="BH904" s="3">
        <v>33.72859992714951</v>
      </c>
      <c r="BI904" s="3">
        <v>33.241933260482845</v>
      </c>
      <c r="BJ904" s="3">
        <v>38.435266593816173</v>
      </c>
      <c r="BK904" s="3">
        <v>41.808599927149508</v>
      </c>
      <c r="BL904" s="3">
        <v>43.781933260482838</v>
      </c>
      <c r="BM904" s="3">
        <v>36.715266593816175</v>
      </c>
      <c r="BN904" s="3">
        <v>38.198599927149509</v>
      </c>
      <c r="BO904" s="3">
        <v>36.665266593816177</v>
      </c>
      <c r="BP904" s="3">
        <v>34.981933260482855</v>
      </c>
      <c r="BQ904" s="3">
        <v>32.5985999271495</v>
      </c>
      <c r="BR904" s="3">
        <v>30.125266593816171</v>
      </c>
      <c r="BS904" s="3">
        <v>28.72859992714951</v>
      </c>
      <c r="BT904" s="3">
        <v>26.925266593816183</v>
      </c>
      <c r="BU904" s="3">
        <v>23.391933260482851</v>
      </c>
      <c r="BV904" s="3">
        <v>21.808599927149508</v>
      </c>
      <c r="BW904" s="3">
        <v>20.541933260482843</v>
      </c>
      <c r="BX904" s="3">
        <v>17.761933260482849</v>
      </c>
      <c r="BY904" s="3">
        <v>16.881933260482846</v>
      </c>
      <c r="BZ904" s="3">
        <v>30.711933260482844</v>
      </c>
      <c r="CA904" s="3">
        <v>17.811933260482839</v>
      </c>
      <c r="CB904" s="3">
        <v>9.3485999271495075</v>
      </c>
      <c r="CC904" s="3">
        <v>9.5619332604828386</v>
      </c>
      <c r="CD904" s="3">
        <v>8.3685999271495106</v>
      </c>
      <c r="CE904" s="3">
        <v>8.7619332604828415</v>
      </c>
      <c r="CF904" s="3">
        <v>-0.92473340618382593</v>
      </c>
      <c r="CG904" s="3">
        <v>-1.4580667395171574</v>
      </c>
      <c r="CH904" s="3">
        <v>-2.5347334061838254</v>
      </c>
      <c r="CI904" s="13">
        <f>[1]!dbasum(RecData[[#This Row],[20]:[2000]],RecData[[#Headers],[20]:[2000]])</f>
        <v>37.388086480546036</v>
      </c>
      <c r="CJ904" s="14">
        <v>10246</v>
      </c>
      <c r="CK904" s="15" t="s">
        <v>249</v>
      </c>
      <c r="CL904" s="15">
        <f>RecData[[#This Row],[Start Time]]</f>
        <v>43274.964583333334</v>
      </c>
      <c r="CM904" s="16">
        <f>RecData[[#This Row],[Wind Speed avg]]</f>
        <v>1</v>
      </c>
      <c r="CN904" s="16">
        <f>RecData[[#This Row],[Wind Dir. avg]]</f>
        <v>163.80000000000001</v>
      </c>
      <c r="CO904" s="16">
        <f>RecData[[#This Row],[Amb. Humidity]]</f>
        <v>77.099999999999994</v>
      </c>
      <c r="CP904" s="16">
        <f>RecData[[#This Row],[Amb. Temperature]]</f>
        <v>13.7</v>
      </c>
      <c r="CQ904" s="17">
        <f>RecData[[#This Row],[Amb. Rain Gauge]]</f>
        <v>0</v>
      </c>
      <c r="CR904" s="4" t="s">
        <v>1</v>
      </c>
      <c r="CS904" s="4" t="s">
        <v>49</v>
      </c>
      <c r="CT904" s="70">
        <v>1421.41577148437</v>
      </c>
      <c r="CU904" s="70">
        <v>15.000127792358301</v>
      </c>
      <c r="CV904" s="70">
        <v>9.4116306304931605</v>
      </c>
      <c r="CW904" s="70">
        <v>14.9859504699707</v>
      </c>
      <c r="CX904" s="4"/>
      <c r="CY904" s="69"/>
      <c r="CZ904" s="2" t="b">
        <f>IF($DP$1="YES",IF(RecData[[#This Row],[Power (kW)]]&gt;=$CR$3, TRUE,FALSE),TRUE)</f>
        <v>1</v>
      </c>
      <c r="DA904" s="16">
        <f>MIN(MOD(180-ABS(ABS($DA$1-RecData[Yaw Angle (°)])-180),360),MOD(180-ABS(ABS($DB$1-RecData[Yaw Angle (°)])-180),360))</f>
        <v>7.4702010146707494</v>
      </c>
      <c r="DB904" s="2" t="str">
        <f>IF($DP$2="None","None",IF(RecData[[#This Row],[Relative Wind Direction]]&lt;=45,"DW",IF(RecData[[#This Row],[Relative Wind Direction]]&lt;=135,"CW","UW")))</f>
        <v>DW</v>
      </c>
      <c r="DC904" s="61">
        <f>IF($CL904-$CL901&gt;1/24,#REF!,IF(SUM($CQ901:$CQ904)&gt;$DS$1,$DS$5,DC905-1))</f>
        <v>-7</v>
      </c>
      <c r="DD904" s="61">
        <f>IF($CL905-$CL904&gt;1/24,#REF!,IF(SUM($CQ901:$CQ904)&gt;$DS$1,$DS$6,DD903-1))</f>
        <v>-4</v>
      </c>
      <c r="DE904" s="18" t="b">
        <v>0</v>
      </c>
      <c r="DF904" s="2" t="b">
        <f>IF(OR(RecData[[#This Row],[WSpd_Avg '[m/s']]]-RecData[[#This Row],[Wind Speed min]]&gt;=$DF$3,RecData[[#This Row],[Wind Speed max]]-RecData[[#This Row],[WSpd_Avg '[m/s']]]&gt;=$DF$2),TRUE,FALSE)</f>
        <v>0</v>
      </c>
      <c r="DG904" s="2" t="b">
        <f>RecData[[#This Row],[Temperature '[°C']]]&lt;=-20</f>
        <v>0</v>
      </c>
      <c r="DH904" s="18" t="b">
        <f>NOT(OR(MOD(RecData[[#This Row],[TIMESTAMP]],1)&gt;0.91632,MOD(RecData[[#This Row],[TIMESTAMP]],1)&lt;0.208681))</f>
        <v>0</v>
      </c>
      <c r="DI904" s="18" t="b">
        <f>RecData[[#This Row],[Overall (dBA)]]-RecData[[#This Row],[L90]]&gt;=$DS$4</f>
        <v>0</v>
      </c>
      <c r="DJ904" s="18" t="b">
        <f>RecData[[#This Row],[Overall (dBA)]]&gt;$DS$2</f>
        <v>0</v>
      </c>
      <c r="DK904" s="18" t="b">
        <f>RecData[[#This Row],[Overall (dBA)]]&lt;$DS$3</f>
        <v>0</v>
      </c>
      <c r="DL9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4" s="2">
        <f>IF(AND(RecData[[#This Row],[Turbines ON/OFF]] = "OFF", NOT(OR(RecData[[#This Row],[Junk?]]="YES",RecData[[#This Row],[Gust?]],RecData[[#This Row],[Rain?]:[Min SPL Threshold?]]))),1,0)</f>
        <v>0</v>
      </c>
      <c r="DN904" s="16">
        <f>RecData[[#This Row],[dBA Sum]]</f>
        <v>37.388086480546036</v>
      </c>
      <c r="DO904" s="16">
        <f>RecData[[#This Row],[LAF90.0]]</f>
        <v>36.299999999999997</v>
      </c>
      <c r="DP904" s="55">
        <f>IF(AND(RecData[[#This Row],[Useable TON Data?]],RecData[[#This Row],[Turbines ON/OFF]]="ON"),RecData[[#This Row],[dBA Sum]],"")</f>
        <v>37.388086480546036</v>
      </c>
      <c r="DQ904" s="55" t="str">
        <f>IF(AND(RecData[[#This Row],[Useable Background Data?]],RecData[[#This Row],[Turbines ON/OFF]]="OFF"),RecData[[#This Row],[dBA Sum]],"")</f>
        <v/>
      </c>
      <c r="DR904" s="3">
        <f>IF(OR(RecData[[#This Row],[Useable TON Data?]],RecData[[#This Row],[Useable Background Data?]]),ROUND(RecData[[#This Row],[WSpd_Avg '[m/s']]],0),"")</f>
        <v>1</v>
      </c>
      <c r="DS904" s="85">
        <f>(0.00002)^2*(10^(RecData[[#This Row],[Overall (dBA)]]/10))</f>
        <v>2.1921417801325383E-6</v>
      </c>
    </row>
    <row r="905" spans="1:123" ht="15" x14ac:dyDescent="0.25">
      <c r="A905" s="3" t="s">
        <v>249</v>
      </c>
      <c r="B905" s="12">
        <v>43274.965277777781</v>
      </c>
      <c r="C905" s="3"/>
      <c r="D905" s="3">
        <v>38.5</v>
      </c>
      <c r="E905" s="3"/>
      <c r="F905" s="3"/>
      <c r="G905" s="3"/>
      <c r="H905" s="3"/>
      <c r="I905" s="3"/>
      <c r="J905" s="3"/>
      <c r="K905" s="3">
        <v>36.5</v>
      </c>
      <c r="L905" s="3"/>
      <c r="M905" s="3"/>
      <c r="N905" s="3">
        <v>159.9</v>
      </c>
      <c r="O905" s="3"/>
      <c r="P905" s="3"/>
      <c r="Q905" s="3">
        <v>0.82</v>
      </c>
      <c r="R905" s="3">
        <v>0.1</v>
      </c>
      <c r="S905" s="3">
        <v>1.5</v>
      </c>
      <c r="T905" s="3">
        <v>14.3</v>
      </c>
      <c r="U905" s="3">
        <v>74.8</v>
      </c>
      <c r="V905" s="3">
        <v>965.7</v>
      </c>
      <c r="W905" s="3">
        <v>0</v>
      </c>
      <c r="X905" s="3">
        <v>46.5</v>
      </c>
      <c r="Y905" s="3">
        <v>46.6</v>
      </c>
      <c r="Z905" s="3">
        <v>45.6</v>
      </c>
      <c r="AA905" s="3">
        <v>39.9</v>
      </c>
      <c r="AB905" s="3">
        <v>35.9</v>
      </c>
      <c r="AC905" s="3">
        <v>35</v>
      </c>
      <c r="AD905" s="3">
        <v>38.5</v>
      </c>
      <c r="AE905" s="3">
        <v>41.3</v>
      </c>
      <c r="AF905" s="3">
        <v>41.9</v>
      </c>
      <c r="AG905" s="3">
        <v>35.200000000000003</v>
      </c>
      <c r="AH905" s="3">
        <v>37.700000000000003</v>
      </c>
      <c r="AI905" s="3">
        <v>36.299999999999997</v>
      </c>
      <c r="AJ905" s="3">
        <v>35.5</v>
      </c>
      <c r="AK905" s="3">
        <v>32.700000000000003</v>
      </c>
      <c r="AL905" s="3">
        <v>30.3</v>
      </c>
      <c r="AM905" s="3">
        <v>28.9</v>
      </c>
      <c r="AN905" s="3">
        <v>26.9</v>
      </c>
      <c r="AO905" s="3">
        <v>23.7</v>
      </c>
      <c r="AP905" s="3">
        <v>21.9</v>
      </c>
      <c r="AQ905" s="3">
        <v>20.8</v>
      </c>
      <c r="AR905" s="3">
        <v>19.399999999999999</v>
      </c>
      <c r="AS905" s="3">
        <v>19.7</v>
      </c>
      <c r="AT905" s="3">
        <v>30.4</v>
      </c>
      <c r="AU905" s="3">
        <v>18.100000000000001</v>
      </c>
      <c r="AV905" s="3">
        <v>14</v>
      </c>
      <c r="AW905" s="3">
        <v>13.4</v>
      </c>
      <c r="AX905" s="3">
        <v>10.5</v>
      </c>
      <c r="AY905" s="3">
        <v>9.8000000000000007</v>
      </c>
      <c r="AZ905" s="3">
        <v>0</v>
      </c>
      <c r="BA905" s="3">
        <v>0</v>
      </c>
      <c r="BB905" s="3">
        <v>0</v>
      </c>
      <c r="BC905" s="3">
        <v>38.456042992891561</v>
      </c>
      <c r="BD905" s="3">
        <v>46.543957007108439</v>
      </c>
      <c r="BE905" s="3">
        <v>46.643957007108433</v>
      </c>
      <c r="BF905" s="3">
        <v>44.403957007108438</v>
      </c>
      <c r="BG905" s="3">
        <v>39.030623673775104</v>
      </c>
      <c r="BH905" s="3">
        <v>35.170623673775104</v>
      </c>
      <c r="BI905" s="3">
        <v>34.68395700710844</v>
      </c>
      <c r="BJ905" s="3">
        <v>38.977290340441776</v>
      </c>
      <c r="BK905" s="3">
        <v>41.650623673775094</v>
      </c>
      <c r="BL905" s="3">
        <v>41.82395700710844</v>
      </c>
      <c r="BM905" s="3">
        <v>35.257290340441777</v>
      </c>
      <c r="BN905" s="3">
        <v>38.040623673775109</v>
      </c>
      <c r="BO905" s="3">
        <v>36.007290340441777</v>
      </c>
      <c r="BP905" s="3">
        <v>34.923957007108434</v>
      </c>
      <c r="BQ905" s="3">
        <v>32.540623673775109</v>
      </c>
      <c r="BR905" s="3">
        <v>30.467290340441771</v>
      </c>
      <c r="BS905" s="3">
        <v>28.870623673775107</v>
      </c>
      <c r="BT905" s="3">
        <v>27.06729034044178</v>
      </c>
      <c r="BU905" s="3">
        <v>23.833957007108445</v>
      </c>
      <c r="BV905" s="3">
        <v>21.750623673775102</v>
      </c>
      <c r="BW905" s="3">
        <v>21.18395700710844</v>
      </c>
      <c r="BX905" s="3">
        <v>19.703957007108443</v>
      </c>
      <c r="BY905" s="3">
        <v>19.82395700710844</v>
      </c>
      <c r="BZ905" s="3">
        <v>30.653957007108438</v>
      </c>
      <c r="CA905" s="3">
        <v>18.453957007108436</v>
      </c>
      <c r="CB905" s="3">
        <v>13.790623673775102</v>
      </c>
      <c r="CC905" s="3">
        <v>13.403957007108438</v>
      </c>
      <c r="CD905" s="3">
        <v>9.8106236737751118</v>
      </c>
      <c r="CE905" s="3">
        <v>9.303957007108437</v>
      </c>
      <c r="CF905" s="3">
        <v>-0.88270965955823044</v>
      </c>
      <c r="CG905" s="3">
        <v>-1.4160429928915619</v>
      </c>
      <c r="CH905" s="3">
        <v>-2.4927096595582299</v>
      </c>
      <c r="CI905" s="13">
        <f>[1]!dbasum(RecData[[#This Row],[20]:[2000]],RecData[[#Headers],[20]:[2000]])</f>
        <v>37.198296612079218</v>
      </c>
      <c r="CJ905" s="14">
        <v>10247</v>
      </c>
      <c r="CK905" s="15" t="s">
        <v>249</v>
      </c>
      <c r="CL905" s="15">
        <f>RecData[[#This Row],[Start Time]]</f>
        <v>43274.965277777781</v>
      </c>
      <c r="CM905" s="16">
        <f>RecData[[#This Row],[Wind Speed avg]]</f>
        <v>0.82</v>
      </c>
      <c r="CN905" s="16">
        <f>RecData[[#This Row],[Wind Dir. avg]]</f>
        <v>159.9</v>
      </c>
      <c r="CO905" s="16">
        <f>RecData[[#This Row],[Amb. Humidity]]</f>
        <v>74.8</v>
      </c>
      <c r="CP905" s="16">
        <f>RecData[[#This Row],[Amb. Temperature]]</f>
        <v>14.3</v>
      </c>
      <c r="CQ905" s="17">
        <f>RecData[[#This Row],[Amb. Rain Gauge]]</f>
        <v>0</v>
      </c>
      <c r="CR905" s="4" t="s">
        <v>1</v>
      </c>
      <c r="CS905" s="4" t="s">
        <v>49</v>
      </c>
      <c r="CT905" s="70">
        <v>1421.41577148437</v>
      </c>
      <c r="CU905" s="70">
        <v>15.000127792358301</v>
      </c>
      <c r="CV905" s="70">
        <v>9.4116306304931605</v>
      </c>
      <c r="CW905" s="70">
        <v>14.9859504699707</v>
      </c>
      <c r="CX905" s="4"/>
      <c r="CY905" s="69"/>
      <c r="CZ905" s="2" t="b">
        <f>IF($DP$1="YES",IF(RecData[[#This Row],[Power (kW)]]&gt;=$CR$3, TRUE,FALSE),TRUE)</f>
        <v>1</v>
      </c>
      <c r="DA905" s="16">
        <f>MIN(MOD(180-ABS(ABS($DA$1-RecData[Yaw Angle (°)])-180),360),MOD(180-ABS(ABS($DB$1-RecData[Yaw Angle (°)])-180),360))</f>
        <v>7.4702010146707494</v>
      </c>
      <c r="DB905" s="2" t="str">
        <f>IF($DP$2="None","None",IF(RecData[[#This Row],[Relative Wind Direction]]&lt;=45,"DW",IF(RecData[[#This Row],[Relative Wind Direction]]&lt;=135,"CW","UW")))</f>
        <v>DW</v>
      </c>
      <c r="DC905" s="61">
        <f>IF($CL905-$CL901&gt;1/24,#REF!,IF(SUM($CQ901:$CQ905)&gt;$DS$1,$DS$5,DC906-1))</f>
        <v>-6</v>
      </c>
      <c r="DD905" s="61">
        <f>IF($CL906-$CL905&gt;1/24,#REF!,IF(SUM($CQ901:$CQ905)&gt;$DS$1,$DS$6,DD904-1))</f>
        <v>-5</v>
      </c>
      <c r="DE905" s="18" t="b">
        <v>0</v>
      </c>
      <c r="DF905" s="2" t="b">
        <f>IF(OR(RecData[[#This Row],[WSpd_Avg '[m/s']]]-RecData[[#This Row],[Wind Speed min]]&gt;=$DF$3,RecData[[#This Row],[Wind Speed max]]-RecData[[#This Row],[WSpd_Avg '[m/s']]]&gt;=$DF$2),TRUE,FALSE)</f>
        <v>0</v>
      </c>
      <c r="DG905" s="2" t="b">
        <f>RecData[[#This Row],[Temperature '[°C']]]&lt;=-20</f>
        <v>0</v>
      </c>
      <c r="DH905" s="18" t="b">
        <f>NOT(OR(MOD(RecData[[#This Row],[TIMESTAMP]],1)&gt;0.91632,MOD(RecData[[#This Row],[TIMESTAMP]],1)&lt;0.208681))</f>
        <v>0</v>
      </c>
      <c r="DI905" s="18" t="b">
        <f>RecData[[#This Row],[Overall (dBA)]]-RecData[[#This Row],[L90]]&gt;=$DS$4</f>
        <v>0</v>
      </c>
      <c r="DJ905" s="18" t="b">
        <f>RecData[[#This Row],[Overall (dBA)]]&gt;$DS$2</f>
        <v>0</v>
      </c>
      <c r="DK905" s="18" t="b">
        <f>RecData[[#This Row],[Overall (dBA)]]&lt;$DS$3</f>
        <v>0</v>
      </c>
      <c r="DL9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5" s="2">
        <f>IF(AND(RecData[[#This Row],[Turbines ON/OFF]] = "OFF", NOT(OR(RecData[[#This Row],[Junk?]]="YES",RecData[[#This Row],[Gust?]],RecData[[#This Row],[Rain?]:[Min SPL Threshold?]]))),1,0)</f>
        <v>0</v>
      </c>
      <c r="DN905" s="16">
        <f>RecData[[#This Row],[dBA Sum]]</f>
        <v>37.198296612079218</v>
      </c>
      <c r="DO905" s="16">
        <f>RecData[[#This Row],[LAF90.0]]</f>
        <v>36.5</v>
      </c>
      <c r="DP905" s="55">
        <f>IF(AND(RecData[[#This Row],[Useable TON Data?]],RecData[[#This Row],[Turbines ON/OFF]]="ON"),RecData[[#This Row],[dBA Sum]],"")</f>
        <v>37.198296612079218</v>
      </c>
      <c r="DQ905" s="55" t="str">
        <f>IF(AND(RecData[[#This Row],[Useable Background Data?]],RecData[[#This Row],[Turbines ON/OFF]]="OFF"),RecData[[#This Row],[dBA Sum]],"")</f>
        <v/>
      </c>
      <c r="DR905" s="3">
        <f>IF(OR(RecData[[#This Row],[Useable TON Data?]],RecData[[#This Row],[Useable Background Data?]]),ROUND(RecData[[#This Row],[WSpd_Avg '[m/s']]],0),"")</f>
        <v>1</v>
      </c>
      <c r="DS905" s="85">
        <f>(0.00002)^2*(10^(RecData[[#This Row],[Overall (dBA)]]/10))</f>
        <v>2.0984066434350325E-6</v>
      </c>
    </row>
    <row r="906" spans="1:123" ht="15" x14ac:dyDescent="0.25">
      <c r="A906" s="3" t="s">
        <v>249</v>
      </c>
      <c r="B906" s="12">
        <v>43274.965972222228</v>
      </c>
      <c r="C906" s="3"/>
      <c r="D906" s="3">
        <v>38.799999999999997</v>
      </c>
      <c r="E906" s="3"/>
      <c r="F906" s="3"/>
      <c r="G906" s="3"/>
      <c r="H906" s="3"/>
      <c r="I906" s="3"/>
      <c r="J906" s="3"/>
      <c r="K906" s="3">
        <v>36.700000000000003</v>
      </c>
      <c r="L906" s="3"/>
      <c r="M906" s="3"/>
      <c r="N906" s="3">
        <v>147.19999999999999</v>
      </c>
      <c r="O906" s="3"/>
      <c r="P906" s="3"/>
      <c r="Q906" s="3">
        <v>0.51</v>
      </c>
      <c r="R906" s="3">
        <v>0.1</v>
      </c>
      <c r="S906" s="3">
        <v>1.1000000000000001</v>
      </c>
      <c r="T906" s="3">
        <v>14.7</v>
      </c>
      <c r="U906" s="3">
        <v>73.2</v>
      </c>
      <c r="V906" s="3">
        <v>965.7</v>
      </c>
      <c r="W906" s="3">
        <v>0</v>
      </c>
      <c r="X906" s="3">
        <v>45.4</v>
      </c>
      <c r="Y906" s="3">
        <v>45.7</v>
      </c>
      <c r="Z906" s="3">
        <v>44.6</v>
      </c>
      <c r="AA906" s="3">
        <v>39.9</v>
      </c>
      <c r="AB906" s="3">
        <v>37.5</v>
      </c>
      <c r="AC906" s="3">
        <v>36.700000000000003</v>
      </c>
      <c r="AD906" s="3">
        <v>39.4</v>
      </c>
      <c r="AE906" s="3">
        <v>41.9</v>
      </c>
      <c r="AF906" s="3">
        <v>42.8</v>
      </c>
      <c r="AG906" s="3">
        <v>36.299999999999997</v>
      </c>
      <c r="AH906" s="3">
        <v>37.6</v>
      </c>
      <c r="AI906" s="3">
        <v>37.1</v>
      </c>
      <c r="AJ906" s="3">
        <v>36.1</v>
      </c>
      <c r="AK906" s="3">
        <v>33.799999999999997</v>
      </c>
      <c r="AL906" s="3">
        <v>31</v>
      </c>
      <c r="AM906" s="3">
        <v>30.1</v>
      </c>
      <c r="AN906" s="3">
        <v>28</v>
      </c>
      <c r="AO906" s="3">
        <v>24.5</v>
      </c>
      <c r="AP906" s="3">
        <v>22.8</v>
      </c>
      <c r="AQ906" s="3">
        <v>20.9</v>
      </c>
      <c r="AR906" s="3">
        <v>18.600000000000001</v>
      </c>
      <c r="AS906" s="3">
        <v>18.5</v>
      </c>
      <c r="AT906" s="3">
        <v>29.1</v>
      </c>
      <c r="AU906" s="3">
        <v>15.2</v>
      </c>
      <c r="AV906" s="3">
        <v>10.3</v>
      </c>
      <c r="AW906" s="3">
        <v>10</v>
      </c>
      <c r="AX906" s="3">
        <v>9.3000000000000007</v>
      </c>
      <c r="AY906" s="3">
        <v>9.3000000000000007</v>
      </c>
      <c r="AZ906" s="3">
        <v>0</v>
      </c>
      <c r="BA906" s="3">
        <v>0</v>
      </c>
      <c r="BB906" s="3">
        <v>0</v>
      </c>
      <c r="BC906" s="3">
        <v>38.772975729882326</v>
      </c>
      <c r="BD906" s="3">
        <v>45.427024270117663</v>
      </c>
      <c r="BE906" s="3">
        <v>45.727024270117674</v>
      </c>
      <c r="BF906" s="3">
        <v>43.387024270117671</v>
      </c>
      <c r="BG906" s="3">
        <v>39.013690936784336</v>
      </c>
      <c r="BH906" s="3">
        <v>36.753690936784345</v>
      </c>
      <c r="BI906" s="3">
        <v>36.367024270117675</v>
      </c>
      <c r="BJ906" s="3">
        <v>39.860357603451</v>
      </c>
      <c r="BK906" s="3">
        <v>42.233690936784335</v>
      </c>
      <c r="BL906" s="3">
        <v>42.707024270117664</v>
      </c>
      <c r="BM906" s="3">
        <v>36.340357603451004</v>
      </c>
      <c r="BN906" s="3">
        <v>37.923690936784332</v>
      </c>
      <c r="BO906" s="3">
        <v>36.790357603451007</v>
      </c>
      <c r="BP906" s="3">
        <v>35.507024270117675</v>
      </c>
      <c r="BQ906" s="3">
        <v>33.623690936784321</v>
      </c>
      <c r="BR906" s="3">
        <v>31.150357603451006</v>
      </c>
      <c r="BS906" s="3">
        <v>30.053690936784342</v>
      </c>
      <c r="BT906" s="3">
        <v>28.150357603451006</v>
      </c>
      <c r="BU906" s="3">
        <v>24.617024270117675</v>
      </c>
      <c r="BV906" s="3">
        <v>22.63369093678434</v>
      </c>
      <c r="BW906" s="3">
        <v>21.267024270117673</v>
      </c>
      <c r="BX906" s="3">
        <v>18.887024270117678</v>
      </c>
      <c r="BY906" s="3">
        <v>18.60702427011767</v>
      </c>
      <c r="BZ906" s="3">
        <v>29.337024270117674</v>
      </c>
      <c r="CA906" s="3">
        <v>15.537024270117662</v>
      </c>
      <c r="CB906" s="3">
        <v>10.073690936784338</v>
      </c>
      <c r="CC906" s="3">
        <v>9.9870242701176721</v>
      </c>
      <c r="CD906" s="3">
        <v>8.5936909367843413</v>
      </c>
      <c r="CE906" s="3">
        <v>8.7870242701176693</v>
      </c>
      <c r="CF906" s="3">
        <v>-0.89964239654899814</v>
      </c>
      <c r="CG906" s="3">
        <v>-1.4329757298823296</v>
      </c>
      <c r="CH906" s="3">
        <v>-2.5096423965489976</v>
      </c>
      <c r="CI906" s="13">
        <f>[1]!dbasum(RecData[[#This Row],[20]:[2000]],RecData[[#Headers],[20]:[2000]])</f>
        <v>37.92736420371093</v>
      </c>
      <c r="CJ906" s="14">
        <v>10248</v>
      </c>
      <c r="CK906" s="15" t="s">
        <v>249</v>
      </c>
      <c r="CL906" s="15">
        <f>RecData[[#This Row],[Start Time]]</f>
        <v>43274.965972222228</v>
      </c>
      <c r="CM906" s="16">
        <f>RecData[[#This Row],[Wind Speed avg]]</f>
        <v>0.51</v>
      </c>
      <c r="CN906" s="16">
        <f>RecData[[#This Row],[Wind Dir. avg]]</f>
        <v>147.19999999999999</v>
      </c>
      <c r="CO906" s="16">
        <f>RecData[[#This Row],[Amb. Humidity]]</f>
        <v>73.2</v>
      </c>
      <c r="CP906" s="16">
        <f>RecData[[#This Row],[Amb. Temperature]]</f>
        <v>14.7</v>
      </c>
      <c r="CQ906" s="17">
        <f>RecData[[#This Row],[Amb. Rain Gauge]]</f>
        <v>0</v>
      </c>
      <c r="CR906" s="4" t="s">
        <v>1</v>
      </c>
      <c r="CS906" s="4" t="s">
        <v>49</v>
      </c>
      <c r="CT906" s="70">
        <v>1555.67761230468</v>
      </c>
      <c r="CU906" s="70">
        <v>15.452795982360801</v>
      </c>
      <c r="CV906" s="70">
        <v>9.8610630035400302</v>
      </c>
      <c r="CW906" s="70">
        <v>15.2439775466918</v>
      </c>
      <c r="CX906" s="4"/>
      <c r="CY906" s="69"/>
      <c r="CZ906" s="2" t="b">
        <f>IF($DP$1="YES",IF(RecData[[#This Row],[Power (kW)]]&gt;=$CR$3, TRUE,FALSE),TRUE)</f>
        <v>1</v>
      </c>
      <c r="DA906" s="16">
        <f>MIN(MOD(180-ABS(ABS($DA$1-RecData[Yaw Angle (°)])-180),360),MOD(180-ABS(ABS($DB$1-RecData[Yaw Angle (°)])-180),360))</f>
        <v>7.9228692046732476</v>
      </c>
      <c r="DB906" s="2" t="str">
        <f>IF($DP$2="None","None",IF(RecData[[#This Row],[Relative Wind Direction]]&lt;=45,"DW",IF(RecData[[#This Row],[Relative Wind Direction]]&lt;=135,"CW","UW")))</f>
        <v>DW</v>
      </c>
      <c r="DC906" s="61">
        <f>IF($CL906-$CL902&gt;1/24,#REF!,IF(SUM($CQ902:$CQ906)&gt;$DS$1,$DS$5,DC907-1))</f>
        <v>-5</v>
      </c>
      <c r="DD906" s="61">
        <f>IF($CL907-$CL906&gt;1/24,#REF!,IF(SUM($CQ902:$CQ906)&gt;$DS$1,$DS$6,DD905-1))</f>
        <v>-6</v>
      </c>
      <c r="DE906" s="18" t="b">
        <v>0</v>
      </c>
      <c r="DF906" s="2" t="b">
        <f>IF(OR(RecData[[#This Row],[WSpd_Avg '[m/s']]]-RecData[[#This Row],[Wind Speed min]]&gt;=$DF$3,RecData[[#This Row],[Wind Speed max]]-RecData[[#This Row],[WSpd_Avg '[m/s']]]&gt;=$DF$2),TRUE,FALSE)</f>
        <v>0</v>
      </c>
      <c r="DG906" s="2" t="b">
        <f>RecData[[#This Row],[Temperature '[°C']]]&lt;=-20</f>
        <v>0</v>
      </c>
      <c r="DH906" s="18" t="b">
        <f>NOT(OR(MOD(RecData[[#This Row],[TIMESTAMP]],1)&gt;0.91632,MOD(RecData[[#This Row],[TIMESTAMP]],1)&lt;0.208681))</f>
        <v>0</v>
      </c>
      <c r="DI906" s="18" t="b">
        <f>RecData[[#This Row],[Overall (dBA)]]-RecData[[#This Row],[L90]]&gt;=$DS$4</f>
        <v>0</v>
      </c>
      <c r="DJ906" s="18" t="b">
        <f>RecData[[#This Row],[Overall (dBA)]]&gt;$DS$2</f>
        <v>0</v>
      </c>
      <c r="DK906" s="18" t="b">
        <f>RecData[[#This Row],[Overall (dBA)]]&lt;$DS$3</f>
        <v>0</v>
      </c>
      <c r="DL9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6" s="2">
        <f>IF(AND(RecData[[#This Row],[Turbines ON/OFF]] = "OFF", NOT(OR(RecData[[#This Row],[Junk?]]="YES",RecData[[#This Row],[Gust?]],RecData[[#This Row],[Rain?]:[Min SPL Threshold?]]))),1,0)</f>
        <v>0</v>
      </c>
      <c r="DN906" s="16">
        <f>RecData[[#This Row],[dBA Sum]]</f>
        <v>37.92736420371093</v>
      </c>
      <c r="DO906" s="16">
        <f>RecData[[#This Row],[LAF90.0]]</f>
        <v>36.700000000000003</v>
      </c>
      <c r="DP906" s="55">
        <f>IF(AND(RecData[[#This Row],[Useable TON Data?]],RecData[[#This Row],[Turbines ON/OFF]]="ON"),RecData[[#This Row],[dBA Sum]],"")</f>
        <v>37.92736420371093</v>
      </c>
      <c r="DQ906" s="55" t="str">
        <f>IF(AND(RecData[[#This Row],[Useable Background Data?]],RecData[[#This Row],[Turbines ON/OFF]]="OFF"),RecData[[#This Row],[dBA Sum]],"")</f>
        <v/>
      </c>
      <c r="DR906" s="3">
        <f>IF(OR(RecData[[#This Row],[Useable TON Data?]],RecData[[#This Row],[Useable Background Data?]]),ROUND(RecData[[#This Row],[WSpd_Avg '[m/s']]],0),"")</f>
        <v>1</v>
      </c>
      <c r="DS906" s="85">
        <f>(0.00002)^2*(10^(RecData[[#This Row],[Overall (dBA)]]/10))</f>
        <v>2.4819693364777023E-6</v>
      </c>
    </row>
    <row r="907" spans="1:123" ht="15" x14ac:dyDescent="0.25">
      <c r="A907" s="3" t="s">
        <v>249</v>
      </c>
      <c r="B907" s="12">
        <v>43274.966666666667</v>
      </c>
      <c r="C907" s="3"/>
      <c r="D907" s="3">
        <v>39.700000000000003</v>
      </c>
      <c r="E907" s="3"/>
      <c r="F907" s="3"/>
      <c r="G907" s="3"/>
      <c r="H907" s="3"/>
      <c r="I907" s="3"/>
      <c r="J907" s="3"/>
      <c r="K907" s="3">
        <v>38.1</v>
      </c>
      <c r="L907" s="3"/>
      <c r="M907" s="3"/>
      <c r="N907" s="3">
        <v>169.9</v>
      </c>
      <c r="O907" s="3"/>
      <c r="P907" s="3"/>
      <c r="Q907" s="3">
        <v>1.34</v>
      </c>
      <c r="R907" s="3">
        <v>0.5</v>
      </c>
      <c r="S907" s="3">
        <v>2.1</v>
      </c>
      <c r="T907" s="3">
        <v>14.8</v>
      </c>
      <c r="U907" s="3">
        <v>73.099999999999994</v>
      </c>
      <c r="V907" s="3">
        <v>965.7</v>
      </c>
      <c r="W907" s="3">
        <v>0</v>
      </c>
      <c r="X907" s="3">
        <v>46.8</v>
      </c>
      <c r="Y907" s="3">
        <v>46.3</v>
      </c>
      <c r="Z907" s="3">
        <v>45</v>
      </c>
      <c r="AA907" s="3">
        <v>40.6</v>
      </c>
      <c r="AB907" s="3">
        <v>37</v>
      </c>
      <c r="AC907" s="3">
        <v>37.5</v>
      </c>
      <c r="AD907" s="3">
        <v>40.5</v>
      </c>
      <c r="AE907" s="3">
        <v>43</v>
      </c>
      <c r="AF907" s="3">
        <v>43.5</v>
      </c>
      <c r="AG907" s="3">
        <v>37.799999999999997</v>
      </c>
      <c r="AH907" s="3">
        <v>39.4</v>
      </c>
      <c r="AI907" s="3">
        <v>38.5</v>
      </c>
      <c r="AJ907" s="3">
        <v>37.200000000000003</v>
      </c>
      <c r="AK907" s="3">
        <v>34.6</v>
      </c>
      <c r="AL907" s="3">
        <v>31.6</v>
      </c>
      <c r="AM907" s="3">
        <v>30.2</v>
      </c>
      <c r="AN907" s="3">
        <v>27.9</v>
      </c>
      <c r="AO907" s="3">
        <v>24.8</v>
      </c>
      <c r="AP907" s="3">
        <v>23.2</v>
      </c>
      <c r="AQ907" s="3">
        <v>21.6</v>
      </c>
      <c r="AR907" s="3">
        <v>19.600000000000001</v>
      </c>
      <c r="AS907" s="3">
        <v>18.600000000000001</v>
      </c>
      <c r="AT907" s="3">
        <v>30.2</v>
      </c>
      <c r="AU907" s="3">
        <v>18.7</v>
      </c>
      <c r="AV907" s="3">
        <v>13.4</v>
      </c>
      <c r="AW907" s="3">
        <v>12.5</v>
      </c>
      <c r="AX907" s="3">
        <v>10.4</v>
      </c>
      <c r="AY907" s="3">
        <v>10</v>
      </c>
      <c r="AZ907" s="3">
        <v>0</v>
      </c>
      <c r="BA907" s="3">
        <v>0</v>
      </c>
      <c r="BB907" s="3">
        <v>0</v>
      </c>
      <c r="BC907" s="3">
        <v>39.668947185751406</v>
      </c>
      <c r="BD907" s="3">
        <v>46.831052814248594</v>
      </c>
      <c r="BE907" s="3">
        <v>46.331052814248594</v>
      </c>
      <c r="BF907" s="3">
        <v>43.791052814248602</v>
      </c>
      <c r="BG907" s="3">
        <v>39.717719480915264</v>
      </c>
      <c r="BH907" s="3">
        <v>36.25771948091527</v>
      </c>
      <c r="BI907" s="3">
        <v>37.171052814248597</v>
      </c>
      <c r="BJ907" s="3">
        <v>40.964386147581919</v>
      </c>
      <c r="BK907" s="3">
        <v>43.337719480915254</v>
      </c>
      <c r="BL907" s="3">
        <v>43.411052814248606</v>
      </c>
      <c r="BM907" s="3">
        <v>37.844386147581929</v>
      </c>
      <c r="BN907" s="3">
        <v>39.727719480915269</v>
      </c>
      <c r="BO907" s="3">
        <v>38.194386147581938</v>
      </c>
      <c r="BP907" s="3">
        <v>36.611052814248595</v>
      </c>
      <c r="BQ907" s="3">
        <v>34.427719480915258</v>
      </c>
      <c r="BR907" s="3">
        <v>31.75438614758194</v>
      </c>
      <c r="BS907" s="3">
        <v>30.157719480915262</v>
      </c>
      <c r="BT907" s="3">
        <v>28.054386147581923</v>
      </c>
      <c r="BU907" s="3">
        <v>24.921052814248597</v>
      </c>
      <c r="BV907" s="3">
        <v>23.037719480915264</v>
      </c>
      <c r="BW907" s="3">
        <v>21.971052814248601</v>
      </c>
      <c r="BX907" s="3">
        <v>19.891052814248603</v>
      </c>
      <c r="BY907" s="3">
        <v>18.711052814248596</v>
      </c>
      <c r="BZ907" s="3">
        <v>30.441052814248607</v>
      </c>
      <c r="CA907" s="3">
        <v>19.041052814248587</v>
      </c>
      <c r="CB907" s="3">
        <v>13.177719480915258</v>
      </c>
      <c r="CC907" s="3">
        <v>12.491052814248597</v>
      </c>
      <c r="CD907" s="3">
        <v>9.6977194809152678</v>
      </c>
      <c r="CE907" s="3">
        <v>9.4910528142485973</v>
      </c>
      <c r="CF907" s="3">
        <v>-0.89561385241807301</v>
      </c>
      <c r="CG907" s="3">
        <v>-1.4289471857514044</v>
      </c>
      <c r="CH907" s="3">
        <v>-2.5056138524180724</v>
      </c>
      <c r="CI907" s="13">
        <f>[1]!dbasum(RecData[[#This Row],[20]:[2000]],RecData[[#Headers],[20]:[2000]])</f>
        <v>38.766265139434111</v>
      </c>
      <c r="CJ907" s="14">
        <v>10249</v>
      </c>
      <c r="CK907" s="15" t="s">
        <v>249</v>
      </c>
      <c r="CL907" s="15">
        <f>RecData[[#This Row],[Start Time]]</f>
        <v>43274.966666666667</v>
      </c>
      <c r="CM907" s="16">
        <f>RecData[[#This Row],[Wind Speed avg]]</f>
        <v>1.34</v>
      </c>
      <c r="CN907" s="16">
        <f>RecData[[#This Row],[Wind Dir. avg]]</f>
        <v>169.9</v>
      </c>
      <c r="CO907" s="16">
        <f>RecData[[#This Row],[Amb. Humidity]]</f>
        <v>73.099999999999994</v>
      </c>
      <c r="CP907" s="16">
        <f>RecData[[#This Row],[Amb. Temperature]]</f>
        <v>14.8</v>
      </c>
      <c r="CQ907" s="17">
        <f>RecData[[#This Row],[Amb. Rain Gauge]]</f>
        <v>0</v>
      </c>
      <c r="CR907" s="4" t="s">
        <v>1</v>
      </c>
      <c r="CS907" s="4" t="s">
        <v>49</v>
      </c>
      <c r="CT907" s="70">
        <v>1555.67761230468</v>
      </c>
      <c r="CU907" s="70">
        <v>15.452795982360801</v>
      </c>
      <c r="CV907" s="70">
        <v>9.8610630035400302</v>
      </c>
      <c r="CW907" s="70">
        <v>15.2439775466918</v>
      </c>
      <c r="CX907" s="4"/>
      <c r="CY907" s="69"/>
      <c r="CZ907" s="2" t="b">
        <f>IF($DP$1="YES",IF(RecData[[#This Row],[Power (kW)]]&gt;=$CR$3, TRUE,FALSE),TRUE)</f>
        <v>1</v>
      </c>
      <c r="DA907" s="16">
        <f>MIN(MOD(180-ABS(ABS($DA$1-RecData[Yaw Angle (°)])-180),360),MOD(180-ABS(ABS($DB$1-RecData[Yaw Angle (°)])-180),360))</f>
        <v>7.9228692046732476</v>
      </c>
      <c r="DB907" s="2" t="str">
        <f>IF($DP$2="None","None",IF(RecData[[#This Row],[Relative Wind Direction]]&lt;=45,"DW",IF(RecData[[#This Row],[Relative Wind Direction]]&lt;=135,"CW","UW")))</f>
        <v>DW</v>
      </c>
      <c r="DC907" s="61">
        <f>IF($CL907-$CL903&gt;1/24,#REF!,IF(SUM($CQ903:$CQ907)&gt;$DS$1,$DS$5,DC908-1))</f>
        <v>-4</v>
      </c>
      <c r="DD907" s="61">
        <f>IF($CL908-$CL907&gt;1/24,#REF!,IF(SUM($CQ903:$CQ907)&gt;$DS$1,$DS$6,DD906-1))</f>
        <v>-7</v>
      </c>
      <c r="DE907" s="18" t="b">
        <v>0</v>
      </c>
      <c r="DF907" s="2" t="b">
        <f>IF(OR(RecData[[#This Row],[WSpd_Avg '[m/s']]]-RecData[[#This Row],[Wind Speed min]]&gt;=$DF$3,RecData[[#This Row],[Wind Speed max]]-RecData[[#This Row],[WSpd_Avg '[m/s']]]&gt;=$DF$2),TRUE,FALSE)</f>
        <v>0</v>
      </c>
      <c r="DG907" s="2" t="b">
        <f>RecData[[#This Row],[Temperature '[°C']]]&lt;=-20</f>
        <v>0</v>
      </c>
      <c r="DH907" s="18" t="b">
        <f>NOT(OR(MOD(RecData[[#This Row],[TIMESTAMP]],1)&gt;0.91632,MOD(RecData[[#This Row],[TIMESTAMP]],1)&lt;0.208681))</f>
        <v>0</v>
      </c>
      <c r="DI907" s="18" t="b">
        <f>RecData[[#This Row],[Overall (dBA)]]-RecData[[#This Row],[L90]]&gt;=$DS$4</f>
        <v>0</v>
      </c>
      <c r="DJ907" s="18" t="b">
        <f>RecData[[#This Row],[Overall (dBA)]]&gt;$DS$2</f>
        <v>0</v>
      </c>
      <c r="DK907" s="18" t="b">
        <f>RecData[[#This Row],[Overall (dBA)]]&lt;$DS$3</f>
        <v>0</v>
      </c>
      <c r="DL9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7" s="2">
        <f>IF(AND(RecData[[#This Row],[Turbines ON/OFF]] = "OFF", NOT(OR(RecData[[#This Row],[Junk?]]="YES",RecData[[#This Row],[Gust?]],RecData[[#This Row],[Rain?]:[Min SPL Threshold?]]))),1,0)</f>
        <v>0</v>
      </c>
      <c r="DN907" s="16">
        <f>RecData[[#This Row],[dBA Sum]]</f>
        <v>38.766265139434111</v>
      </c>
      <c r="DO907" s="16">
        <f>RecData[[#This Row],[LAF90.0]]</f>
        <v>38.1</v>
      </c>
      <c r="DP907" s="55">
        <f>IF(AND(RecData[[#This Row],[Useable TON Data?]],RecData[[#This Row],[Turbines ON/OFF]]="ON"),RecData[[#This Row],[dBA Sum]],"")</f>
        <v>38.766265139434111</v>
      </c>
      <c r="DQ907" s="55" t="str">
        <f>IF(AND(RecData[[#This Row],[Useable Background Data?]],RecData[[#This Row],[Turbines ON/OFF]]="OFF"),RecData[[#This Row],[dBA Sum]],"")</f>
        <v/>
      </c>
      <c r="DR907" s="3">
        <f>IF(OR(RecData[[#This Row],[Useable TON Data?]],RecData[[#This Row],[Useable Background Data?]]),ROUND(RecData[[#This Row],[WSpd_Avg '[m/s']]],0),"")</f>
        <v>1</v>
      </c>
      <c r="DS907" s="85">
        <f>(0.00002)^2*(10^(RecData[[#This Row],[Overall (dBA)]]/10))</f>
        <v>3.0108318757402925E-6</v>
      </c>
    </row>
    <row r="908" spans="1:123" ht="15" x14ac:dyDescent="0.25">
      <c r="A908" s="3" t="s">
        <v>249</v>
      </c>
      <c r="B908" s="12">
        <v>43274.967361111114</v>
      </c>
      <c r="C908" s="3"/>
      <c r="D908" s="3">
        <v>38.799999999999997</v>
      </c>
      <c r="E908" s="3"/>
      <c r="F908" s="3"/>
      <c r="G908" s="3"/>
      <c r="H908" s="3"/>
      <c r="I908" s="3"/>
      <c r="J908" s="3"/>
      <c r="K908" s="3">
        <v>37</v>
      </c>
      <c r="L908" s="3"/>
      <c r="M908" s="3"/>
      <c r="N908" s="3">
        <v>176.9</v>
      </c>
      <c r="O908" s="3"/>
      <c r="P908" s="3"/>
      <c r="Q908" s="3">
        <v>1.45</v>
      </c>
      <c r="R908" s="3">
        <v>0.3</v>
      </c>
      <c r="S908" s="3">
        <v>2.4</v>
      </c>
      <c r="T908" s="3">
        <v>14.9</v>
      </c>
      <c r="U908" s="3">
        <v>72.8</v>
      </c>
      <c r="V908" s="3">
        <v>965.7</v>
      </c>
      <c r="W908" s="3">
        <v>0</v>
      </c>
      <c r="X908" s="3">
        <v>46.3</v>
      </c>
      <c r="Y908" s="3">
        <v>45.7</v>
      </c>
      <c r="Z908" s="3">
        <v>45.4</v>
      </c>
      <c r="AA908" s="3">
        <v>40.299999999999997</v>
      </c>
      <c r="AB908" s="3">
        <v>37.200000000000003</v>
      </c>
      <c r="AC908" s="3">
        <v>36.299999999999997</v>
      </c>
      <c r="AD908" s="3">
        <v>40.5</v>
      </c>
      <c r="AE908" s="3">
        <v>42.3</v>
      </c>
      <c r="AF908" s="3">
        <v>42.6</v>
      </c>
      <c r="AG908" s="3">
        <v>36</v>
      </c>
      <c r="AH908" s="3">
        <v>38</v>
      </c>
      <c r="AI908" s="3">
        <v>36.6</v>
      </c>
      <c r="AJ908" s="3">
        <v>35.799999999999997</v>
      </c>
      <c r="AK908" s="3">
        <v>33.5</v>
      </c>
      <c r="AL908" s="3">
        <v>31</v>
      </c>
      <c r="AM908" s="3">
        <v>30.1</v>
      </c>
      <c r="AN908" s="3">
        <v>28.4</v>
      </c>
      <c r="AO908" s="3">
        <v>25.1</v>
      </c>
      <c r="AP908" s="3">
        <v>23.4</v>
      </c>
      <c r="AQ908" s="3">
        <v>21.9</v>
      </c>
      <c r="AR908" s="3">
        <v>20.5</v>
      </c>
      <c r="AS908" s="3">
        <v>19.7</v>
      </c>
      <c r="AT908" s="3">
        <v>28.1</v>
      </c>
      <c r="AU908" s="3">
        <v>18</v>
      </c>
      <c r="AV908" s="3">
        <v>15.2</v>
      </c>
      <c r="AW908" s="3">
        <v>14.2</v>
      </c>
      <c r="AX908" s="3">
        <v>11.3</v>
      </c>
      <c r="AY908" s="3">
        <v>10.6</v>
      </c>
      <c r="AZ908" s="3">
        <v>0</v>
      </c>
      <c r="BA908" s="3">
        <v>0</v>
      </c>
      <c r="BB908" s="3">
        <v>0</v>
      </c>
      <c r="BC908" s="3">
        <v>38.754050387185714</v>
      </c>
      <c r="BD908" s="3">
        <v>46.34594961281428</v>
      </c>
      <c r="BE908" s="3">
        <v>45.745949612814286</v>
      </c>
      <c r="BF908" s="3">
        <v>44.20594961281428</v>
      </c>
      <c r="BG908" s="3">
        <v>39.432616279480953</v>
      </c>
      <c r="BH908" s="3">
        <v>36.472616279480945</v>
      </c>
      <c r="BI908" s="3">
        <v>35.985949612814281</v>
      </c>
      <c r="BJ908" s="3">
        <v>40.979282946147606</v>
      </c>
      <c r="BK908" s="3">
        <v>42.652616279480952</v>
      </c>
      <c r="BL908" s="3">
        <v>42.525949612814287</v>
      </c>
      <c r="BM908" s="3">
        <v>36.059282946147619</v>
      </c>
      <c r="BN908" s="3">
        <v>38.34261627948095</v>
      </c>
      <c r="BO908" s="3">
        <v>36.309282946147619</v>
      </c>
      <c r="BP908" s="3">
        <v>35.225949612814276</v>
      </c>
      <c r="BQ908" s="3">
        <v>33.34261627948095</v>
      </c>
      <c r="BR908" s="3">
        <v>31.169282946147618</v>
      </c>
      <c r="BS908" s="3">
        <v>30.072616279480954</v>
      </c>
      <c r="BT908" s="3">
        <v>28.569282946147609</v>
      </c>
      <c r="BU908" s="3">
        <v>25.235949612814288</v>
      </c>
      <c r="BV908" s="3">
        <v>23.252616279480947</v>
      </c>
      <c r="BW908" s="3">
        <v>22.285949612814285</v>
      </c>
      <c r="BX908" s="3">
        <v>20.805949612814288</v>
      </c>
      <c r="BY908" s="3">
        <v>19.825949612814284</v>
      </c>
      <c r="BZ908" s="3">
        <v>28.355949612814285</v>
      </c>
      <c r="CA908" s="3">
        <v>18.355949612814271</v>
      </c>
      <c r="CB908" s="3">
        <v>14.992616279480949</v>
      </c>
      <c r="CC908" s="3">
        <v>14.20594961281428</v>
      </c>
      <c r="CD908" s="3">
        <v>10.612616279480953</v>
      </c>
      <c r="CE908" s="3">
        <v>10.105949612814285</v>
      </c>
      <c r="CF908" s="3">
        <v>-0.8807170538523863</v>
      </c>
      <c r="CG908" s="3">
        <v>-1.4140503871857177</v>
      </c>
      <c r="CH908" s="3">
        <v>-2.4907170538523857</v>
      </c>
      <c r="CI908" s="13">
        <f>[1]!dbasum(RecData[[#This Row],[20]:[2000]],RecData[[#Headers],[20]:[2000]])</f>
        <v>38.018198579491795</v>
      </c>
      <c r="CJ908" s="14">
        <v>10250</v>
      </c>
      <c r="CK908" s="15" t="s">
        <v>249</v>
      </c>
      <c r="CL908" s="15">
        <f>RecData[[#This Row],[Start Time]]</f>
        <v>43274.967361111114</v>
      </c>
      <c r="CM908" s="16">
        <f>RecData[[#This Row],[Wind Speed avg]]</f>
        <v>1.45</v>
      </c>
      <c r="CN908" s="16">
        <f>RecData[[#This Row],[Wind Dir. avg]]</f>
        <v>176.9</v>
      </c>
      <c r="CO908" s="16">
        <f>RecData[[#This Row],[Amb. Humidity]]</f>
        <v>72.8</v>
      </c>
      <c r="CP908" s="16">
        <f>RecData[[#This Row],[Amb. Temperature]]</f>
        <v>14.9</v>
      </c>
      <c r="CQ908" s="17">
        <f>RecData[[#This Row],[Amb. Rain Gauge]]</f>
        <v>0</v>
      </c>
      <c r="CR908" s="4" t="s">
        <v>1</v>
      </c>
      <c r="CS908" s="4" t="s">
        <v>49</v>
      </c>
      <c r="CT908" s="70">
        <v>1555.67761230468</v>
      </c>
      <c r="CU908" s="70">
        <v>15.452795982360801</v>
      </c>
      <c r="CV908" s="70">
        <v>9.8610630035400302</v>
      </c>
      <c r="CW908" s="70">
        <v>15.2439775466918</v>
      </c>
      <c r="CX908" s="4"/>
      <c r="CY908" s="69"/>
      <c r="CZ908" s="2" t="b">
        <f>IF($DP$1="YES",IF(RecData[[#This Row],[Power (kW)]]&gt;=$CR$3, TRUE,FALSE),TRUE)</f>
        <v>1</v>
      </c>
      <c r="DA908" s="16">
        <f>MIN(MOD(180-ABS(ABS($DA$1-RecData[Yaw Angle (°)])-180),360),MOD(180-ABS(ABS($DB$1-RecData[Yaw Angle (°)])-180),360))</f>
        <v>7.9228692046732476</v>
      </c>
      <c r="DB908" s="2" t="str">
        <f>IF($DP$2="None","None",IF(RecData[[#This Row],[Relative Wind Direction]]&lt;=45,"DW",IF(RecData[[#This Row],[Relative Wind Direction]]&lt;=135,"CW","UW")))</f>
        <v>DW</v>
      </c>
      <c r="DC908" s="61">
        <f>IF($CL908-$CL904&gt;1/24,#REF!,IF(SUM($CQ904:$CQ908)&gt;$DS$1,$DS$5,DC909-1))</f>
        <v>-3</v>
      </c>
      <c r="DD908" s="61">
        <f>IF($CL909-$CL908&gt;1/24,#REF!,IF(SUM($CQ904:$CQ908)&gt;$DS$1,$DS$6,DD907-1))</f>
        <v>-8</v>
      </c>
      <c r="DE908" s="18" t="b">
        <v>0</v>
      </c>
      <c r="DF908" s="2" t="b">
        <f>IF(OR(RecData[[#This Row],[WSpd_Avg '[m/s']]]-RecData[[#This Row],[Wind Speed min]]&gt;=$DF$3,RecData[[#This Row],[Wind Speed max]]-RecData[[#This Row],[WSpd_Avg '[m/s']]]&gt;=$DF$2),TRUE,FALSE)</f>
        <v>0</v>
      </c>
      <c r="DG908" s="2" t="b">
        <f>RecData[[#This Row],[Temperature '[°C']]]&lt;=-20</f>
        <v>0</v>
      </c>
      <c r="DH908" s="18" t="b">
        <f>NOT(OR(MOD(RecData[[#This Row],[TIMESTAMP]],1)&gt;0.91632,MOD(RecData[[#This Row],[TIMESTAMP]],1)&lt;0.208681))</f>
        <v>0</v>
      </c>
      <c r="DI908" s="18" t="b">
        <f>RecData[[#This Row],[Overall (dBA)]]-RecData[[#This Row],[L90]]&gt;=$DS$4</f>
        <v>0</v>
      </c>
      <c r="DJ908" s="18" t="b">
        <f>RecData[[#This Row],[Overall (dBA)]]&gt;$DS$2</f>
        <v>0</v>
      </c>
      <c r="DK908" s="18" t="b">
        <f>RecData[[#This Row],[Overall (dBA)]]&lt;$DS$3</f>
        <v>0</v>
      </c>
      <c r="DL9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8" s="2">
        <f>IF(AND(RecData[[#This Row],[Turbines ON/OFF]] = "OFF", NOT(OR(RecData[[#This Row],[Junk?]]="YES",RecData[[#This Row],[Gust?]],RecData[[#This Row],[Rain?]:[Min SPL Threshold?]]))),1,0)</f>
        <v>0</v>
      </c>
      <c r="DN908" s="16">
        <f>RecData[[#This Row],[dBA Sum]]</f>
        <v>38.018198579491795</v>
      </c>
      <c r="DO908" s="16">
        <f>RecData[[#This Row],[LAF90.0]]</f>
        <v>37</v>
      </c>
      <c r="DP908" s="55">
        <f>IF(AND(RecData[[#This Row],[Useable TON Data?]],RecData[[#This Row],[Turbines ON/OFF]]="ON"),RecData[[#This Row],[dBA Sum]],"")</f>
        <v>38.018198579491795</v>
      </c>
      <c r="DQ908" s="55" t="str">
        <f>IF(AND(RecData[[#This Row],[Useable Background Data?]],RecData[[#This Row],[Turbines ON/OFF]]="OFF"),RecData[[#This Row],[dBA Sum]],"")</f>
        <v/>
      </c>
      <c r="DR908" s="3">
        <f>IF(OR(RecData[[#This Row],[Useable TON Data?]],RecData[[#This Row],[Useable Background Data?]]),ROUND(RecData[[#This Row],[WSpd_Avg '[m/s']]],0),"")</f>
        <v>1</v>
      </c>
      <c r="DS908" s="85">
        <f>(0.00002)^2*(10^(RecData[[#This Row],[Overall (dBA)]]/10))</f>
        <v>2.5344273657581803E-6</v>
      </c>
    </row>
    <row r="909" spans="1:123" ht="15" x14ac:dyDescent="0.25">
      <c r="A909" s="3" t="s">
        <v>249</v>
      </c>
      <c r="B909" s="12">
        <v>43274.968055555561</v>
      </c>
      <c r="C909" s="3"/>
      <c r="D909" s="3">
        <v>39.299999999999997</v>
      </c>
      <c r="E909" s="3"/>
      <c r="F909" s="3"/>
      <c r="G909" s="3"/>
      <c r="H909" s="3"/>
      <c r="I909" s="3"/>
      <c r="J909" s="3"/>
      <c r="K909" s="3">
        <v>37.9</v>
      </c>
      <c r="L909" s="3"/>
      <c r="M909" s="3"/>
      <c r="N909" s="3">
        <v>171.4</v>
      </c>
      <c r="O909" s="3"/>
      <c r="P909" s="3"/>
      <c r="Q909" s="3">
        <v>0.34</v>
      </c>
      <c r="R909" s="3">
        <v>0.1</v>
      </c>
      <c r="S909" s="3">
        <v>1</v>
      </c>
      <c r="T909" s="3">
        <v>15.2</v>
      </c>
      <c r="U909" s="3">
        <v>71.8</v>
      </c>
      <c r="V909" s="3">
        <v>965.7</v>
      </c>
      <c r="W909" s="3">
        <v>0</v>
      </c>
      <c r="X909" s="3">
        <v>46.5</v>
      </c>
      <c r="Y909" s="3">
        <v>47</v>
      </c>
      <c r="Z909" s="3">
        <v>46</v>
      </c>
      <c r="AA909" s="3">
        <v>41.3</v>
      </c>
      <c r="AB909" s="3">
        <v>37.4</v>
      </c>
      <c r="AC909" s="3">
        <v>36.700000000000003</v>
      </c>
      <c r="AD909" s="3">
        <v>40.5</v>
      </c>
      <c r="AE909" s="3">
        <v>43.1</v>
      </c>
      <c r="AF909" s="3">
        <v>44.6</v>
      </c>
      <c r="AG909" s="3">
        <v>37.799999999999997</v>
      </c>
      <c r="AH909" s="3">
        <v>38.799999999999997</v>
      </c>
      <c r="AI909" s="3">
        <v>38</v>
      </c>
      <c r="AJ909" s="3">
        <v>36.700000000000003</v>
      </c>
      <c r="AK909" s="3">
        <v>34.200000000000003</v>
      </c>
      <c r="AL909" s="3">
        <v>31.5</v>
      </c>
      <c r="AM909" s="3">
        <v>30.4</v>
      </c>
      <c r="AN909" s="3">
        <v>28.5</v>
      </c>
      <c r="AO909" s="3">
        <v>25.1</v>
      </c>
      <c r="AP909" s="3">
        <v>23.4</v>
      </c>
      <c r="AQ909" s="3">
        <v>21.9</v>
      </c>
      <c r="AR909" s="3">
        <v>19.600000000000001</v>
      </c>
      <c r="AS909" s="3">
        <v>18.7</v>
      </c>
      <c r="AT909" s="3">
        <v>27.8</v>
      </c>
      <c r="AU909" s="3">
        <v>16.3</v>
      </c>
      <c r="AV909" s="3">
        <v>11.1</v>
      </c>
      <c r="AW909" s="3">
        <v>10.6</v>
      </c>
      <c r="AX909" s="3">
        <v>9.5</v>
      </c>
      <c r="AY909" s="3">
        <v>9.4</v>
      </c>
      <c r="AZ909" s="3">
        <v>0</v>
      </c>
      <c r="BA909" s="3">
        <v>0</v>
      </c>
      <c r="BB909" s="3">
        <v>0</v>
      </c>
      <c r="BC909" s="3">
        <v>39.303736628222197</v>
      </c>
      <c r="BD909" s="3">
        <v>46.4962633717778</v>
      </c>
      <c r="BE909" s="3">
        <v>46.9962633717778</v>
      </c>
      <c r="BF909" s="3">
        <v>44.756263371777806</v>
      </c>
      <c r="BG909" s="3">
        <v>40.382930038444471</v>
      </c>
      <c r="BH909" s="3">
        <v>36.622930038444466</v>
      </c>
      <c r="BI909" s="3">
        <v>36.336263371777804</v>
      </c>
      <c r="BJ909" s="3">
        <v>40.929596705111123</v>
      </c>
      <c r="BK909" s="3">
        <v>43.402930038444467</v>
      </c>
      <c r="BL909" s="3">
        <v>44.476263371777804</v>
      </c>
      <c r="BM909" s="3">
        <v>37.809596705111133</v>
      </c>
      <c r="BN909" s="3">
        <v>39.092930038444464</v>
      </c>
      <c r="BO909" s="3">
        <v>37.659596705111142</v>
      </c>
      <c r="BP909" s="3">
        <v>36.076263371777799</v>
      </c>
      <c r="BQ909" s="3">
        <v>33.992930038444456</v>
      </c>
      <c r="BR909" s="3">
        <v>31.619596705111135</v>
      </c>
      <c r="BS909" s="3">
        <v>30.322930038444468</v>
      </c>
      <c r="BT909" s="3">
        <v>28.619596705111135</v>
      </c>
      <c r="BU909" s="3">
        <v>25.186263371777812</v>
      </c>
      <c r="BV909" s="3">
        <v>23.202930038444464</v>
      </c>
      <c r="BW909" s="3">
        <v>22.236263371777802</v>
      </c>
      <c r="BX909" s="3">
        <v>19.856263371777807</v>
      </c>
      <c r="BY909" s="3">
        <v>18.776263371777802</v>
      </c>
      <c r="BZ909" s="3">
        <v>28.006263371777806</v>
      </c>
      <c r="CA909" s="3">
        <v>16.606263371777793</v>
      </c>
      <c r="CB909" s="3">
        <v>10.842930038444464</v>
      </c>
      <c r="CC909" s="3">
        <v>10.556263371777803</v>
      </c>
      <c r="CD909" s="3">
        <v>8.7629300384444733</v>
      </c>
      <c r="CE909" s="3">
        <v>8.8562633717777999</v>
      </c>
      <c r="CF909" s="3">
        <v>-0.93040329488886897</v>
      </c>
      <c r="CG909" s="3">
        <v>-1.4637366282222004</v>
      </c>
      <c r="CH909" s="3">
        <v>-2.5404032948888684</v>
      </c>
      <c r="CI909" s="13">
        <f>[1]!dbasum(RecData[[#This Row],[20]:[2000]],RecData[[#Headers],[20]:[2000]])</f>
        <v>38.681056875096886</v>
      </c>
      <c r="CJ909" s="14">
        <v>10251</v>
      </c>
      <c r="CK909" s="15" t="s">
        <v>249</v>
      </c>
      <c r="CL909" s="15">
        <f>RecData[[#This Row],[Start Time]]</f>
        <v>43274.968055555561</v>
      </c>
      <c r="CM909" s="16">
        <f>RecData[[#This Row],[Wind Speed avg]]</f>
        <v>0.34</v>
      </c>
      <c r="CN909" s="16">
        <f>RecData[[#This Row],[Wind Dir. avg]]</f>
        <v>171.4</v>
      </c>
      <c r="CO909" s="16">
        <f>RecData[[#This Row],[Amb. Humidity]]</f>
        <v>71.8</v>
      </c>
      <c r="CP909" s="16">
        <f>RecData[[#This Row],[Amb. Temperature]]</f>
        <v>15.2</v>
      </c>
      <c r="CQ909" s="17">
        <f>RecData[[#This Row],[Amb. Rain Gauge]]</f>
        <v>0</v>
      </c>
      <c r="CR909" s="4" t="s">
        <v>1</v>
      </c>
      <c r="CS909" s="4" t="s">
        <v>49</v>
      </c>
      <c r="CT909" s="70">
        <v>1555.67761230468</v>
      </c>
      <c r="CU909" s="70">
        <v>15.452795982360801</v>
      </c>
      <c r="CV909" s="70">
        <v>9.8610630035400302</v>
      </c>
      <c r="CW909" s="70">
        <v>15.2439775466918</v>
      </c>
      <c r="CX909" s="4"/>
      <c r="CY909" s="69"/>
      <c r="CZ909" s="2" t="b">
        <f>IF($DP$1="YES",IF(RecData[[#This Row],[Power (kW)]]&gt;=$CR$3, TRUE,FALSE),TRUE)</f>
        <v>1</v>
      </c>
      <c r="DA909" s="16">
        <f>MIN(MOD(180-ABS(ABS($DA$1-RecData[Yaw Angle (°)])-180),360),MOD(180-ABS(ABS($DB$1-RecData[Yaw Angle (°)])-180),360))</f>
        <v>7.9228692046732476</v>
      </c>
      <c r="DB909" s="2" t="str">
        <f>IF($DP$2="None","None",IF(RecData[[#This Row],[Relative Wind Direction]]&lt;=45,"DW",IF(RecData[[#This Row],[Relative Wind Direction]]&lt;=135,"CW","UW")))</f>
        <v>DW</v>
      </c>
      <c r="DC909" s="61">
        <f>IF($CL909-$CL905&gt;1/24,#REF!,IF(SUM($CQ905:$CQ909)&gt;$DS$1,$DS$5,DC910-1))</f>
        <v>-2</v>
      </c>
      <c r="DD909" s="61">
        <f>IF($CL910-$CL909&gt;1/24,#REF!,IF(SUM($CQ905:$CQ909)&gt;$DS$1,$DS$6,DD908-1))</f>
        <v>-9</v>
      </c>
      <c r="DE909" s="18" t="b">
        <v>0</v>
      </c>
      <c r="DF909" s="2" t="b">
        <f>IF(OR(RecData[[#This Row],[WSpd_Avg '[m/s']]]-RecData[[#This Row],[Wind Speed min]]&gt;=$DF$3,RecData[[#This Row],[Wind Speed max]]-RecData[[#This Row],[WSpd_Avg '[m/s']]]&gt;=$DF$2),TRUE,FALSE)</f>
        <v>0</v>
      </c>
      <c r="DG909" s="2" t="b">
        <f>RecData[[#This Row],[Temperature '[°C']]]&lt;=-20</f>
        <v>0</v>
      </c>
      <c r="DH909" s="18" t="b">
        <f>NOT(OR(MOD(RecData[[#This Row],[TIMESTAMP]],1)&gt;0.91632,MOD(RecData[[#This Row],[TIMESTAMP]],1)&lt;0.208681))</f>
        <v>0</v>
      </c>
      <c r="DI909" s="18" t="b">
        <f>RecData[[#This Row],[Overall (dBA)]]-RecData[[#This Row],[L90]]&gt;=$DS$4</f>
        <v>0</v>
      </c>
      <c r="DJ909" s="18" t="b">
        <f>RecData[[#This Row],[Overall (dBA)]]&gt;$DS$2</f>
        <v>0</v>
      </c>
      <c r="DK909" s="18" t="b">
        <f>RecData[[#This Row],[Overall (dBA)]]&lt;$DS$3</f>
        <v>0</v>
      </c>
      <c r="DL9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09" s="2">
        <f>IF(AND(RecData[[#This Row],[Turbines ON/OFF]] = "OFF", NOT(OR(RecData[[#This Row],[Junk?]]="YES",RecData[[#This Row],[Gust?]],RecData[[#This Row],[Rain?]:[Min SPL Threshold?]]))),1,0)</f>
        <v>0</v>
      </c>
      <c r="DN909" s="16">
        <f>RecData[[#This Row],[dBA Sum]]</f>
        <v>38.681056875096886</v>
      </c>
      <c r="DO909" s="16">
        <f>RecData[[#This Row],[LAF90.0]]</f>
        <v>37.9</v>
      </c>
      <c r="DP909" s="55">
        <f>IF(AND(RecData[[#This Row],[Useable TON Data?]],RecData[[#This Row],[Turbines ON/OFF]]="ON"),RecData[[#This Row],[dBA Sum]],"")</f>
        <v>38.681056875096886</v>
      </c>
      <c r="DQ909" s="55" t="str">
        <f>IF(AND(RecData[[#This Row],[Useable Background Data?]],RecData[[#This Row],[Turbines ON/OFF]]="OFF"),RecData[[#This Row],[dBA Sum]],"")</f>
        <v/>
      </c>
      <c r="DR909" s="3">
        <f>IF(OR(RecData[[#This Row],[Useable TON Data?]],RecData[[#This Row],[Useable Background Data?]]),ROUND(RecData[[#This Row],[WSpd_Avg '[m/s']]],0),"")</f>
        <v>0</v>
      </c>
      <c r="DS909" s="85">
        <f>(0.00002)^2*(10^(RecData[[#This Row],[Overall (dBA)]]/10))</f>
        <v>2.9523352971365664E-6</v>
      </c>
    </row>
    <row r="910" spans="1:123" ht="15" x14ac:dyDescent="0.25">
      <c r="A910" s="3" t="s">
        <v>249</v>
      </c>
      <c r="B910" s="12">
        <v>43274.96875</v>
      </c>
      <c r="C910" s="3"/>
      <c r="D910" s="3">
        <v>39.200000000000003</v>
      </c>
      <c r="E910" s="3"/>
      <c r="F910" s="3"/>
      <c r="G910" s="3"/>
      <c r="H910" s="3"/>
      <c r="I910" s="3"/>
      <c r="J910" s="3"/>
      <c r="K910" s="3">
        <v>38.200000000000003</v>
      </c>
      <c r="L910" s="3"/>
      <c r="M910" s="3"/>
      <c r="N910" s="3">
        <v>169.5</v>
      </c>
      <c r="O910" s="3"/>
      <c r="P910" s="3"/>
      <c r="Q910" s="3">
        <v>1.21</v>
      </c>
      <c r="R910" s="3">
        <v>0.6</v>
      </c>
      <c r="S910" s="3">
        <v>1.8</v>
      </c>
      <c r="T910" s="3">
        <v>15.3</v>
      </c>
      <c r="U910" s="3">
        <v>71.099999999999994</v>
      </c>
      <c r="V910" s="3">
        <v>965.7</v>
      </c>
      <c r="W910" s="3">
        <v>0</v>
      </c>
      <c r="X910" s="3">
        <v>46.3</v>
      </c>
      <c r="Y910" s="3">
        <v>46.1</v>
      </c>
      <c r="Z910" s="3">
        <v>44.7</v>
      </c>
      <c r="AA910" s="3">
        <v>40.6</v>
      </c>
      <c r="AB910" s="3">
        <v>37.200000000000003</v>
      </c>
      <c r="AC910" s="3">
        <v>37.299999999999997</v>
      </c>
      <c r="AD910" s="3">
        <v>40.5</v>
      </c>
      <c r="AE910" s="3">
        <v>42.9</v>
      </c>
      <c r="AF910" s="3">
        <v>43.9</v>
      </c>
      <c r="AG910" s="3">
        <v>37.299999999999997</v>
      </c>
      <c r="AH910" s="3">
        <v>39.200000000000003</v>
      </c>
      <c r="AI910" s="3">
        <v>37.700000000000003</v>
      </c>
      <c r="AJ910" s="3">
        <v>36.9</v>
      </c>
      <c r="AK910" s="3">
        <v>34.1</v>
      </c>
      <c r="AL910" s="3">
        <v>31.4</v>
      </c>
      <c r="AM910" s="3">
        <v>30.4</v>
      </c>
      <c r="AN910" s="3">
        <v>28.3</v>
      </c>
      <c r="AO910" s="3">
        <v>25.1</v>
      </c>
      <c r="AP910" s="3">
        <v>23.3</v>
      </c>
      <c r="AQ910" s="3">
        <v>21.7</v>
      </c>
      <c r="AR910" s="3">
        <v>19.7</v>
      </c>
      <c r="AS910" s="3">
        <v>19.2</v>
      </c>
      <c r="AT910" s="3">
        <v>27.8</v>
      </c>
      <c r="AU910" s="3">
        <v>15.4</v>
      </c>
      <c r="AV910" s="3">
        <v>13.6</v>
      </c>
      <c r="AW910" s="3">
        <v>12.3</v>
      </c>
      <c r="AX910" s="3">
        <v>10.3</v>
      </c>
      <c r="AY910" s="3">
        <v>9.6999999999999993</v>
      </c>
      <c r="AZ910" s="3">
        <v>0</v>
      </c>
      <c r="BA910" s="3">
        <v>0</v>
      </c>
      <c r="BB910" s="3">
        <v>0</v>
      </c>
      <c r="BC910" s="3">
        <v>39.227639725053287</v>
      </c>
      <c r="BD910" s="3">
        <v>46.272360274946713</v>
      </c>
      <c r="BE910" s="3">
        <v>46.072360274946725</v>
      </c>
      <c r="BF910" s="3">
        <v>43.43236027494671</v>
      </c>
      <c r="BG910" s="3">
        <v>39.659026941613384</v>
      </c>
      <c r="BH910" s="3">
        <v>36.399026941613378</v>
      </c>
      <c r="BI910" s="3">
        <v>36.912360274946714</v>
      </c>
      <c r="BJ910" s="3">
        <v>40.905693608280039</v>
      </c>
      <c r="BK910" s="3">
        <v>43.17902694161338</v>
      </c>
      <c r="BL910" s="3">
        <v>43.752360274946717</v>
      </c>
      <c r="BM910" s="3">
        <v>37.285693608280049</v>
      </c>
      <c r="BN910" s="3">
        <v>39.469026941613386</v>
      </c>
      <c r="BO910" s="3">
        <v>37.335693608280046</v>
      </c>
      <c r="BP910" s="3">
        <v>36.252360274946717</v>
      </c>
      <c r="BQ910" s="3">
        <v>33.869026941613377</v>
      </c>
      <c r="BR910" s="3">
        <v>31.495693608280042</v>
      </c>
      <c r="BS910" s="3">
        <v>30.299026941613384</v>
      </c>
      <c r="BT910" s="3">
        <v>28.395693608280048</v>
      </c>
      <c r="BU910" s="3">
        <v>25.162360274946728</v>
      </c>
      <c r="BV910" s="3">
        <v>23.079026941613385</v>
      </c>
      <c r="BW910" s="3">
        <v>22.012360274946722</v>
      </c>
      <c r="BX910" s="3">
        <v>19.932360274946724</v>
      </c>
      <c r="BY910" s="3">
        <v>19.252360274946717</v>
      </c>
      <c r="BZ910" s="3">
        <v>27.982360274946721</v>
      </c>
      <c r="CA910" s="3">
        <v>15.68236027494671</v>
      </c>
      <c r="CB910" s="3">
        <v>13.31902694161338</v>
      </c>
      <c r="CC910" s="3">
        <v>12.232360274946714</v>
      </c>
      <c r="CD910" s="3">
        <v>9.5390269416133862</v>
      </c>
      <c r="CE910" s="3">
        <v>9.1323602749467128</v>
      </c>
      <c r="CF910" s="3">
        <v>-0.95430639171995324</v>
      </c>
      <c r="CG910" s="3">
        <v>-1.4876397250532847</v>
      </c>
      <c r="CH910" s="3">
        <v>-2.5643063917199527</v>
      </c>
      <c r="CI910" s="13">
        <f>[1]!dbasum(RecData[[#This Row],[20]:[2000]],RecData[[#Headers],[20]:[2000]])</f>
        <v>38.559182415887669</v>
      </c>
      <c r="CJ910" s="14">
        <v>10252</v>
      </c>
      <c r="CK910" s="15" t="s">
        <v>249</v>
      </c>
      <c r="CL910" s="15">
        <f>RecData[[#This Row],[Start Time]]</f>
        <v>43274.96875</v>
      </c>
      <c r="CM910" s="16">
        <f>RecData[[#This Row],[Wind Speed avg]]</f>
        <v>1.21</v>
      </c>
      <c r="CN910" s="16">
        <f>RecData[[#This Row],[Wind Dir. avg]]</f>
        <v>169.5</v>
      </c>
      <c r="CO910" s="16">
        <f>RecData[[#This Row],[Amb. Humidity]]</f>
        <v>71.099999999999994</v>
      </c>
      <c r="CP910" s="16">
        <f>RecData[[#This Row],[Amb. Temperature]]</f>
        <v>15.3</v>
      </c>
      <c r="CQ910" s="17">
        <f>RecData[[#This Row],[Amb. Rain Gauge]]</f>
        <v>0</v>
      </c>
      <c r="CR910" s="4" t="s">
        <v>1</v>
      </c>
      <c r="CS910" s="4" t="s">
        <v>49</v>
      </c>
      <c r="CT910" s="70">
        <v>1555.67761230468</v>
      </c>
      <c r="CU910" s="70">
        <v>15.452795982360801</v>
      </c>
      <c r="CV910" s="70">
        <v>9.8610630035400302</v>
      </c>
      <c r="CW910" s="70">
        <v>15.2439775466918</v>
      </c>
      <c r="CX910" s="4"/>
      <c r="CY910" s="69"/>
      <c r="CZ910" s="2" t="b">
        <f>IF($DP$1="YES",IF(RecData[[#This Row],[Power (kW)]]&gt;=$CR$3, TRUE,FALSE),TRUE)</f>
        <v>1</v>
      </c>
      <c r="DA910" s="16">
        <f>MIN(MOD(180-ABS(ABS($DA$1-RecData[Yaw Angle (°)])-180),360),MOD(180-ABS(ABS($DB$1-RecData[Yaw Angle (°)])-180),360))</f>
        <v>7.9228692046732476</v>
      </c>
      <c r="DB910" s="2" t="str">
        <f>IF($DP$2="None","None",IF(RecData[[#This Row],[Relative Wind Direction]]&lt;=45,"DW",IF(RecData[[#This Row],[Relative Wind Direction]]&lt;=135,"CW","UW")))</f>
        <v>DW</v>
      </c>
      <c r="DC910" s="61">
        <v>-1</v>
      </c>
      <c r="DD910" s="61">
        <v>-1</v>
      </c>
      <c r="DE910" s="18" t="b">
        <v>0</v>
      </c>
      <c r="DF910" s="2" t="b">
        <f>IF(OR(RecData[[#This Row],[WSpd_Avg '[m/s']]]-RecData[[#This Row],[Wind Speed min]]&gt;=$DF$3,RecData[[#This Row],[Wind Speed max]]-RecData[[#This Row],[WSpd_Avg '[m/s']]]&gt;=$DF$2),TRUE,FALSE)</f>
        <v>0</v>
      </c>
      <c r="DG910" s="2" t="b">
        <f>RecData[[#This Row],[Temperature '[°C']]]&lt;=-20</f>
        <v>0</v>
      </c>
      <c r="DH910" s="18" t="b">
        <f>NOT(OR(MOD(RecData[[#This Row],[TIMESTAMP]],1)&gt;0.91632,MOD(RecData[[#This Row],[TIMESTAMP]],1)&lt;0.208681))</f>
        <v>0</v>
      </c>
      <c r="DI910" s="18" t="b">
        <f>RecData[[#This Row],[Overall (dBA)]]-RecData[[#This Row],[L90]]&gt;=$DS$4</f>
        <v>0</v>
      </c>
      <c r="DJ910" s="18" t="b">
        <f>RecData[[#This Row],[Overall (dBA)]]&gt;$DS$2</f>
        <v>0</v>
      </c>
      <c r="DK910" s="18" t="b">
        <f>RecData[[#This Row],[Overall (dBA)]]&lt;$DS$3</f>
        <v>0</v>
      </c>
      <c r="DL9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0" s="2">
        <f>IF(AND(RecData[[#This Row],[Turbines ON/OFF]] = "OFF", NOT(OR(RecData[[#This Row],[Junk?]]="YES",RecData[[#This Row],[Gust?]],RecData[[#This Row],[Rain?]:[Min SPL Threshold?]]))),1,0)</f>
        <v>0</v>
      </c>
      <c r="DN910" s="16">
        <f>RecData[[#This Row],[dBA Sum]]</f>
        <v>38.559182415887669</v>
      </c>
      <c r="DO910" s="16">
        <f>RecData[[#This Row],[LAF90.0]]</f>
        <v>38.200000000000003</v>
      </c>
      <c r="DP910" s="55">
        <f>IF(AND(RecData[[#This Row],[Useable TON Data?]],RecData[[#This Row],[Turbines ON/OFF]]="ON"),RecData[[#This Row],[dBA Sum]],"")</f>
        <v>38.559182415887669</v>
      </c>
      <c r="DQ910" s="55" t="str">
        <f>IF(AND(RecData[[#This Row],[Useable Background Data?]],RecData[[#This Row],[Turbines ON/OFF]]="OFF"),RecData[[#This Row],[dBA Sum]],"")</f>
        <v/>
      </c>
      <c r="DR910" s="3">
        <f>IF(OR(RecData[[#This Row],[Useable TON Data?]],RecData[[#This Row],[Useable Background Data?]]),ROUND(RecData[[#This Row],[WSpd_Avg '[m/s']]],0),"")</f>
        <v>1</v>
      </c>
      <c r="DS910" s="85">
        <f>(0.00002)^2*(10^(RecData[[#This Row],[Overall (dBA)]]/10))</f>
        <v>2.8706367004958406E-6</v>
      </c>
    </row>
    <row r="911" spans="1:123" ht="15" x14ac:dyDescent="0.25">
      <c r="A911" s="3" t="s">
        <v>249</v>
      </c>
      <c r="B911" s="12">
        <v>43274.969444444447</v>
      </c>
      <c r="C911" s="3"/>
      <c r="D911" s="3">
        <v>40.1</v>
      </c>
      <c r="E911" s="3"/>
      <c r="F911" s="3"/>
      <c r="G911" s="3"/>
      <c r="H911" s="3"/>
      <c r="I911" s="3"/>
      <c r="J911" s="3"/>
      <c r="K911" s="3">
        <v>38.299999999999997</v>
      </c>
      <c r="L911" s="3"/>
      <c r="M911" s="3"/>
      <c r="N911" s="3">
        <v>169.9</v>
      </c>
      <c r="O911" s="3"/>
      <c r="P911" s="3"/>
      <c r="Q911" s="3">
        <v>1.2</v>
      </c>
      <c r="R911" s="3">
        <v>0.3</v>
      </c>
      <c r="S911" s="3">
        <v>2.2999999999999998</v>
      </c>
      <c r="T911" s="3">
        <v>15.5</v>
      </c>
      <c r="U911" s="3">
        <v>70.5</v>
      </c>
      <c r="V911" s="3">
        <v>965.7</v>
      </c>
      <c r="W911" s="3">
        <v>0</v>
      </c>
      <c r="X911" s="3">
        <v>46</v>
      </c>
      <c r="Y911" s="3">
        <v>46</v>
      </c>
      <c r="Z911" s="3">
        <v>45.7</v>
      </c>
      <c r="AA911" s="3">
        <v>41.5</v>
      </c>
      <c r="AB911" s="3">
        <v>39</v>
      </c>
      <c r="AC911" s="3">
        <v>37.700000000000003</v>
      </c>
      <c r="AD911" s="3">
        <v>41</v>
      </c>
      <c r="AE911" s="3">
        <v>43.7</v>
      </c>
      <c r="AF911" s="3">
        <v>43.4</v>
      </c>
      <c r="AG911" s="3">
        <v>37.6</v>
      </c>
      <c r="AH911" s="3">
        <v>39.799999999999997</v>
      </c>
      <c r="AI911" s="3">
        <v>38.200000000000003</v>
      </c>
      <c r="AJ911" s="3">
        <v>37.4</v>
      </c>
      <c r="AK911" s="3">
        <v>34.700000000000003</v>
      </c>
      <c r="AL911" s="3">
        <v>32.1</v>
      </c>
      <c r="AM911" s="3">
        <v>31.3</v>
      </c>
      <c r="AN911" s="3">
        <v>29.7</v>
      </c>
      <c r="AO911" s="3">
        <v>26.1</v>
      </c>
      <c r="AP911" s="3">
        <v>24.4</v>
      </c>
      <c r="AQ911" s="3">
        <v>22.7</v>
      </c>
      <c r="AR911" s="3">
        <v>20.8</v>
      </c>
      <c r="AS911" s="3">
        <v>20.100000000000001</v>
      </c>
      <c r="AT911" s="3">
        <v>30.1</v>
      </c>
      <c r="AU911" s="3">
        <v>18.600000000000001</v>
      </c>
      <c r="AV911" s="3">
        <v>13.7</v>
      </c>
      <c r="AW911" s="3">
        <v>12.6</v>
      </c>
      <c r="AX911" s="3">
        <v>10.5</v>
      </c>
      <c r="AY911" s="3">
        <v>9.9</v>
      </c>
      <c r="AZ911" s="3">
        <v>0</v>
      </c>
      <c r="BA911" s="3">
        <v>0</v>
      </c>
      <c r="BB911" s="3">
        <v>0</v>
      </c>
      <c r="BC911" s="3">
        <v>40.085385639969083</v>
      </c>
      <c r="BD911" s="3">
        <v>46.014614360030912</v>
      </c>
      <c r="BE911" s="3">
        <v>46.014614360030912</v>
      </c>
      <c r="BF911" s="3">
        <v>44.47461436003092</v>
      </c>
      <c r="BG911" s="3">
        <v>40.601281026697585</v>
      </c>
      <c r="BH911" s="3">
        <v>38.241281026697585</v>
      </c>
      <c r="BI911" s="3">
        <v>37.354614360030915</v>
      </c>
      <c r="BJ911" s="3">
        <v>41.447947693364249</v>
      </c>
      <c r="BK911" s="3">
        <v>44.021281026697586</v>
      </c>
      <c r="BL911" s="3">
        <v>43.294614360030913</v>
      </c>
      <c r="BM911" s="3">
        <v>37.627947693364256</v>
      </c>
      <c r="BN911" s="3">
        <v>40.111281026697576</v>
      </c>
      <c r="BO911" s="3">
        <v>37.877947693364256</v>
      </c>
      <c r="BP911" s="3">
        <v>36.794614360030913</v>
      </c>
      <c r="BQ911" s="3">
        <v>34.511281026697581</v>
      </c>
      <c r="BR911" s="3">
        <v>32.237947693364255</v>
      </c>
      <c r="BS911" s="3">
        <v>31.241281026697585</v>
      </c>
      <c r="BT911" s="3">
        <v>29.837947693364249</v>
      </c>
      <c r="BU911" s="3">
        <v>26.204614360030924</v>
      </c>
      <c r="BV911" s="3">
        <v>24.221281026697589</v>
      </c>
      <c r="BW911" s="3">
        <v>23.054614360030918</v>
      </c>
      <c r="BX911" s="3">
        <v>21.074614360030928</v>
      </c>
      <c r="BY911" s="3">
        <v>20.194614360030918</v>
      </c>
      <c r="BZ911" s="3">
        <v>30.324614360030928</v>
      </c>
      <c r="CA911" s="3">
        <v>18.924614360030908</v>
      </c>
      <c r="CB911" s="3">
        <v>13.461281026697584</v>
      </c>
      <c r="CC911" s="3">
        <v>12.574614360030914</v>
      </c>
      <c r="CD911" s="3">
        <v>9.7812810266975916</v>
      </c>
      <c r="CE911" s="3">
        <v>9.3746143600309182</v>
      </c>
      <c r="CF911" s="3">
        <v>-0.91205230663575065</v>
      </c>
      <c r="CG911" s="3">
        <v>-1.4453856399690821</v>
      </c>
      <c r="CH911" s="3">
        <v>-2.5220523066357501</v>
      </c>
      <c r="CI911" s="13">
        <f>[1]!dbasum(RecData[[#This Row],[20]:[2000]],RecData[[#Headers],[20]:[2000]])</f>
        <v>39.264836804169178</v>
      </c>
      <c r="CJ911" s="14">
        <v>10253</v>
      </c>
      <c r="CK911" s="15" t="s">
        <v>249</v>
      </c>
      <c r="CL911" s="15">
        <f>RecData[[#This Row],[Start Time]]</f>
        <v>43274.969444444447</v>
      </c>
      <c r="CM911" s="16">
        <f>RecData[[#This Row],[Wind Speed avg]]</f>
        <v>1.2</v>
      </c>
      <c r="CN911" s="16">
        <f>RecData[[#This Row],[Wind Dir. avg]]</f>
        <v>169.9</v>
      </c>
      <c r="CO911" s="16">
        <f>RecData[[#This Row],[Amb. Humidity]]</f>
        <v>70.5</v>
      </c>
      <c r="CP911" s="16">
        <f>RecData[[#This Row],[Amb. Temperature]]</f>
        <v>15.5</v>
      </c>
      <c r="CQ911" s="17">
        <f>RecData[[#This Row],[Amb. Rain Gauge]]</f>
        <v>0</v>
      </c>
      <c r="CR911" s="4" t="s">
        <v>1</v>
      </c>
      <c r="CS911" s="4" t="s">
        <v>49</v>
      </c>
      <c r="CT911" s="70">
        <v>1555.67761230468</v>
      </c>
      <c r="CU911" s="70">
        <v>15.452795982360801</v>
      </c>
      <c r="CV911" s="70">
        <v>9.8610630035400302</v>
      </c>
      <c r="CW911" s="70">
        <v>15.2439775466918</v>
      </c>
      <c r="CX911" s="4"/>
      <c r="CY911" s="69"/>
      <c r="CZ911" s="2" t="b">
        <f>IF($DP$1="YES",IF(RecData[[#This Row],[Power (kW)]]&gt;=$CR$3, TRUE,FALSE),TRUE)</f>
        <v>1</v>
      </c>
      <c r="DA911" s="16">
        <f>MIN(MOD(180-ABS(ABS($DA$1-RecData[Yaw Angle (°)])-180),360),MOD(180-ABS(ABS($DB$1-RecData[Yaw Angle (°)])-180),360))</f>
        <v>7.9228692046732476</v>
      </c>
      <c r="DB911" s="2" t="str">
        <f>IF($DP$2="None","None",IF(RecData[[#This Row],[Relative Wind Direction]]&lt;=45,"DW",IF(RecData[[#This Row],[Relative Wind Direction]]&lt;=135,"CW","UW")))</f>
        <v>DW</v>
      </c>
      <c r="DC911" s="61">
        <f>IF($CL911-$CL910&gt;1/24,#REF!,IF(SUM($CQ910:$CQ911)&gt;$DS$1,$DS$5,DC912-1))</f>
        <v>-9</v>
      </c>
      <c r="DD911" s="61">
        <f>IF($CL912-$CL911&gt;1/24,#REF!,IF(SUM($CQ910:$CQ911)&gt;$DS$1,$DS$6,DD910-1))</f>
        <v>-2</v>
      </c>
      <c r="DE911" s="18" t="b">
        <v>0</v>
      </c>
      <c r="DF911" s="2" t="b">
        <f>IF(OR(RecData[[#This Row],[WSpd_Avg '[m/s']]]-RecData[[#This Row],[Wind Speed min]]&gt;=$DF$3,RecData[[#This Row],[Wind Speed max]]-RecData[[#This Row],[WSpd_Avg '[m/s']]]&gt;=$DF$2),TRUE,FALSE)</f>
        <v>0</v>
      </c>
      <c r="DG911" s="2" t="b">
        <f>RecData[[#This Row],[Temperature '[°C']]]&lt;=-20</f>
        <v>0</v>
      </c>
      <c r="DH911" s="18" t="b">
        <f>NOT(OR(MOD(RecData[[#This Row],[TIMESTAMP]],1)&gt;0.91632,MOD(RecData[[#This Row],[TIMESTAMP]],1)&lt;0.208681))</f>
        <v>0</v>
      </c>
      <c r="DI911" s="18" t="b">
        <f>RecData[[#This Row],[Overall (dBA)]]-RecData[[#This Row],[L90]]&gt;=$DS$4</f>
        <v>0</v>
      </c>
      <c r="DJ911" s="18" t="b">
        <f>RecData[[#This Row],[Overall (dBA)]]&gt;$DS$2</f>
        <v>0</v>
      </c>
      <c r="DK911" s="18" t="b">
        <f>RecData[[#This Row],[Overall (dBA)]]&lt;$DS$3</f>
        <v>0</v>
      </c>
      <c r="DL9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1" s="2">
        <f>IF(AND(RecData[[#This Row],[Turbines ON/OFF]] = "OFF", NOT(OR(RecData[[#This Row],[Junk?]]="YES",RecData[[#This Row],[Gust?]],RecData[[#This Row],[Rain?]:[Min SPL Threshold?]]))),1,0)</f>
        <v>0</v>
      </c>
      <c r="DN911" s="16">
        <f>RecData[[#This Row],[dBA Sum]]</f>
        <v>39.264836804169178</v>
      </c>
      <c r="DO911" s="16">
        <f>RecData[[#This Row],[LAF90.0]]</f>
        <v>38.299999999999997</v>
      </c>
      <c r="DP911" s="55">
        <f>IF(AND(RecData[[#This Row],[Useable TON Data?]],RecData[[#This Row],[Turbines ON/OFF]]="ON"),RecData[[#This Row],[dBA Sum]],"")</f>
        <v>39.264836804169178</v>
      </c>
      <c r="DQ911" s="55" t="str">
        <f>IF(AND(RecData[[#This Row],[Useable Background Data?]],RecData[[#This Row],[Turbines ON/OFF]]="OFF"),RecData[[#This Row],[dBA Sum]],"")</f>
        <v/>
      </c>
      <c r="DR911" s="3">
        <f>IF(OR(RecData[[#This Row],[Useable TON Data?]],RecData[[#This Row],[Useable Background Data?]]),ROUND(RecData[[#This Row],[WSpd_Avg '[m/s']]],0),"")</f>
        <v>1</v>
      </c>
      <c r="DS911" s="85">
        <f>(0.00002)^2*(10^(RecData[[#This Row],[Overall (dBA)]]/10))</f>
        <v>3.3770980632653442E-6</v>
      </c>
    </row>
    <row r="912" spans="1:123" ht="15" x14ac:dyDescent="0.25">
      <c r="A912" s="3" t="s">
        <v>249</v>
      </c>
      <c r="B912" s="12">
        <v>43274.970138888893</v>
      </c>
      <c r="C912" s="3"/>
      <c r="D912" s="3">
        <v>39.1</v>
      </c>
      <c r="E912" s="3"/>
      <c r="F912" s="3"/>
      <c r="G912" s="3"/>
      <c r="H912" s="3"/>
      <c r="I912" s="3"/>
      <c r="J912" s="3"/>
      <c r="K912" s="3">
        <v>37.700000000000003</v>
      </c>
      <c r="L912" s="3"/>
      <c r="M912" s="3"/>
      <c r="N912" s="3">
        <v>197.7</v>
      </c>
      <c r="O912" s="3"/>
      <c r="P912" s="3"/>
      <c r="Q912" s="3">
        <v>0.61</v>
      </c>
      <c r="R912" s="3">
        <v>0.1</v>
      </c>
      <c r="S912" s="3">
        <v>1.5</v>
      </c>
      <c r="T912" s="3">
        <v>15.7</v>
      </c>
      <c r="U912" s="3">
        <v>69.8</v>
      </c>
      <c r="V912" s="3">
        <v>965.7</v>
      </c>
      <c r="W912" s="3">
        <v>0</v>
      </c>
      <c r="X912" s="3">
        <v>45.5</v>
      </c>
      <c r="Y912" s="3">
        <v>44.7</v>
      </c>
      <c r="Z912" s="3">
        <v>43.4</v>
      </c>
      <c r="AA912" s="3">
        <v>39.700000000000003</v>
      </c>
      <c r="AB912" s="3">
        <v>38.1</v>
      </c>
      <c r="AC912" s="3">
        <v>39.200000000000003</v>
      </c>
      <c r="AD912" s="3">
        <v>40.700000000000003</v>
      </c>
      <c r="AE912" s="3">
        <v>42.3</v>
      </c>
      <c r="AF912" s="3">
        <v>45.3</v>
      </c>
      <c r="AG912" s="3">
        <v>38.4</v>
      </c>
      <c r="AH912" s="3">
        <v>38.700000000000003</v>
      </c>
      <c r="AI912" s="3">
        <v>38.799999999999997</v>
      </c>
      <c r="AJ912" s="3">
        <v>36.6</v>
      </c>
      <c r="AK912" s="3">
        <v>34.299999999999997</v>
      </c>
      <c r="AL912" s="3">
        <v>31.2</v>
      </c>
      <c r="AM912" s="3">
        <v>29.9</v>
      </c>
      <c r="AN912" s="3">
        <v>27.5</v>
      </c>
      <c r="AO912" s="3">
        <v>24.2</v>
      </c>
      <c r="AP912" s="3">
        <v>22.7</v>
      </c>
      <c r="AQ912" s="3">
        <v>21.1</v>
      </c>
      <c r="AR912" s="3">
        <v>19.100000000000001</v>
      </c>
      <c r="AS912" s="3">
        <v>16.7</v>
      </c>
      <c r="AT912" s="3">
        <v>26.7</v>
      </c>
      <c r="AU912" s="3">
        <v>12.9</v>
      </c>
      <c r="AV912" s="3">
        <v>10.4</v>
      </c>
      <c r="AW912" s="3">
        <v>10.199999999999999</v>
      </c>
      <c r="AX912" s="3">
        <v>9.4</v>
      </c>
      <c r="AY912" s="3">
        <v>9.4</v>
      </c>
      <c r="AZ912" s="3">
        <v>0</v>
      </c>
      <c r="BA912" s="3">
        <v>0</v>
      </c>
      <c r="BB912" s="3">
        <v>0</v>
      </c>
      <c r="BC912" s="3">
        <v>39.123542595951307</v>
      </c>
      <c r="BD912" s="3">
        <v>45.476457404048688</v>
      </c>
      <c r="BE912" s="3">
        <v>44.676457404048705</v>
      </c>
      <c r="BF912" s="3">
        <v>42.136457404048684</v>
      </c>
      <c r="BG912" s="3">
        <v>38.763124070715364</v>
      </c>
      <c r="BH912" s="3">
        <v>37.30312407071537</v>
      </c>
      <c r="BI912" s="3">
        <v>38.816457404048691</v>
      </c>
      <c r="BJ912" s="3">
        <v>41.109790737382028</v>
      </c>
      <c r="BK912" s="3">
        <v>42.583124070715357</v>
      </c>
      <c r="BL912" s="3">
        <v>45.156457404048695</v>
      </c>
      <c r="BM912" s="3">
        <v>38.389790737382029</v>
      </c>
      <c r="BN912" s="3">
        <v>38.973124070715357</v>
      </c>
      <c r="BO912" s="3">
        <v>38.439790737382026</v>
      </c>
      <c r="BP912" s="3">
        <v>35.956457404048706</v>
      </c>
      <c r="BQ912" s="3">
        <v>34.073124070715352</v>
      </c>
      <c r="BR912" s="3">
        <v>31.299790737382025</v>
      </c>
      <c r="BS912" s="3">
        <v>29.803124070715356</v>
      </c>
      <c r="BT912" s="3">
        <v>27.599790737382023</v>
      </c>
      <c r="BU912" s="3">
        <v>24.266457404048694</v>
      </c>
      <c r="BV912" s="3">
        <v>22.483124070715363</v>
      </c>
      <c r="BW912" s="3">
        <v>21.4164574040487</v>
      </c>
      <c r="BX912" s="3">
        <v>19.336457404048701</v>
      </c>
      <c r="BY912" s="3">
        <v>16.756457404048689</v>
      </c>
      <c r="BZ912" s="3">
        <v>26.886457404048699</v>
      </c>
      <c r="CA912" s="3">
        <v>13.186457404048689</v>
      </c>
      <c r="CB912" s="3">
        <v>10.123124070715363</v>
      </c>
      <c r="CC912" s="3">
        <v>10.136457404048691</v>
      </c>
      <c r="CD912" s="3">
        <v>8.6431240707153663</v>
      </c>
      <c r="CE912" s="3">
        <v>8.8364574040486943</v>
      </c>
      <c r="CF912" s="3">
        <v>-0.95020926261797456</v>
      </c>
      <c r="CG912" s="3">
        <v>-1.483542595951306</v>
      </c>
      <c r="CH912" s="3">
        <v>-2.560209262617974</v>
      </c>
      <c r="CI912" s="13">
        <f>[1]!dbasum(RecData[[#This Row],[20]:[2000]],RecData[[#Headers],[20]:[2000]])</f>
        <v>38.587664835196932</v>
      </c>
      <c r="CJ912" s="14">
        <v>10254</v>
      </c>
      <c r="CK912" s="15" t="s">
        <v>249</v>
      </c>
      <c r="CL912" s="15">
        <f>RecData[[#This Row],[Start Time]]</f>
        <v>43274.970138888893</v>
      </c>
      <c r="CM912" s="16">
        <f>RecData[[#This Row],[Wind Speed avg]]</f>
        <v>0.61</v>
      </c>
      <c r="CN912" s="16">
        <f>RecData[[#This Row],[Wind Dir. avg]]</f>
        <v>197.7</v>
      </c>
      <c r="CO912" s="16">
        <f>RecData[[#This Row],[Amb. Humidity]]</f>
        <v>69.8</v>
      </c>
      <c r="CP912" s="16">
        <f>RecData[[#This Row],[Amb. Temperature]]</f>
        <v>15.7</v>
      </c>
      <c r="CQ912" s="17">
        <f>RecData[[#This Row],[Amb. Rain Gauge]]</f>
        <v>0</v>
      </c>
      <c r="CR912" s="4" t="s">
        <v>1</v>
      </c>
      <c r="CS912" s="4" t="s">
        <v>49</v>
      </c>
      <c r="CT912" s="70">
        <v>1555.67761230468</v>
      </c>
      <c r="CU912" s="70">
        <v>15.452795982360801</v>
      </c>
      <c r="CV912" s="70">
        <v>9.8610630035400302</v>
      </c>
      <c r="CW912" s="70">
        <v>15.2439775466918</v>
      </c>
      <c r="CX912" s="4"/>
      <c r="CY912" s="69"/>
      <c r="CZ912" s="2" t="b">
        <f>IF($DP$1="YES",IF(RecData[[#This Row],[Power (kW)]]&gt;=$CR$3, TRUE,FALSE),TRUE)</f>
        <v>1</v>
      </c>
      <c r="DA912" s="16">
        <f>MIN(MOD(180-ABS(ABS($DA$1-RecData[Yaw Angle (°)])-180),360),MOD(180-ABS(ABS($DB$1-RecData[Yaw Angle (°)])-180),360))</f>
        <v>7.9228692046732476</v>
      </c>
      <c r="DB912" s="2" t="str">
        <f>IF($DP$2="None","None",IF(RecData[[#This Row],[Relative Wind Direction]]&lt;=45,"DW",IF(RecData[[#This Row],[Relative Wind Direction]]&lt;=135,"CW","UW")))</f>
        <v>DW</v>
      </c>
      <c r="DC912" s="61">
        <f>IF($CL912-$CL910&gt;1/24,#REF!,IF(SUM($CQ910:$CQ912)&gt;$DS$1,$DS$5,DC913-1))</f>
        <v>-8</v>
      </c>
      <c r="DD912" s="61">
        <f>IF($CL913-$CL912&gt;1/24,#REF!,IF(SUM($CQ910:$CQ912)&gt;$DS$1,$DS$6,DD911-1))</f>
        <v>-3</v>
      </c>
      <c r="DE912" s="18" t="b">
        <v>0</v>
      </c>
      <c r="DF912" s="2" t="b">
        <f>IF(OR(RecData[[#This Row],[WSpd_Avg '[m/s']]]-RecData[[#This Row],[Wind Speed min]]&gt;=$DF$3,RecData[[#This Row],[Wind Speed max]]-RecData[[#This Row],[WSpd_Avg '[m/s']]]&gt;=$DF$2),TRUE,FALSE)</f>
        <v>0</v>
      </c>
      <c r="DG912" s="2" t="b">
        <f>RecData[[#This Row],[Temperature '[°C']]]&lt;=-20</f>
        <v>0</v>
      </c>
      <c r="DH912" s="18" t="b">
        <f>NOT(OR(MOD(RecData[[#This Row],[TIMESTAMP]],1)&gt;0.91632,MOD(RecData[[#This Row],[TIMESTAMP]],1)&lt;0.208681))</f>
        <v>0</v>
      </c>
      <c r="DI912" s="18" t="b">
        <f>RecData[[#This Row],[Overall (dBA)]]-RecData[[#This Row],[L90]]&gt;=$DS$4</f>
        <v>0</v>
      </c>
      <c r="DJ912" s="18" t="b">
        <f>RecData[[#This Row],[Overall (dBA)]]&gt;$DS$2</f>
        <v>0</v>
      </c>
      <c r="DK912" s="18" t="b">
        <f>RecData[[#This Row],[Overall (dBA)]]&lt;$DS$3</f>
        <v>0</v>
      </c>
      <c r="DL9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2" s="2">
        <f>IF(AND(RecData[[#This Row],[Turbines ON/OFF]] = "OFF", NOT(OR(RecData[[#This Row],[Junk?]]="YES",RecData[[#This Row],[Gust?]],RecData[[#This Row],[Rain?]:[Min SPL Threshold?]]))),1,0)</f>
        <v>0</v>
      </c>
      <c r="DN912" s="16">
        <f>RecData[[#This Row],[dBA Sum]]</f>
        <v>38.587664835196932</v>
      </c>
      <c r="DO912" s="16">
        <f>RecData[[#This Row],[LAF90.0]]</f>
        <v>37.700000000000003</v>
      </c>
      <c r="DP912" s="55">
        <f>IF(AND(RecData[[#This Row],[Useable TON Data?]],RecData[[#This Row],[Turbines ON/OFF]]="ON"),RecData[[#This Row],[dBA Sum]],"")</f>
        <v>38.587664835196932</v>
      </c>
      <c r="DQ912" s="55" t="str">
        <f>IF(AND(RecData[[#This Row],[Useable Background Data?]],RecData[[#This Row],[Turbines ON/OFF]]="OFF"),RecData[[#This Row],[dBA Sum]],"")</f>
        <v/>
      </c>
      <c r="DR912" s="3">
        <f>IF(OR(RecData[[#This Row],[Useable TON Data?]],RecData[[#This Row],[Useable Background Data?]]),ROUND(RecData[[#This Row],[WSpd_Avg '[m/s']]],0),"")</f>
        <v>1</v>
      </c>
      <c r="DS912" s="85">
        <f>(0.00002)^2*(10^(RecData[[#This Row],[Overall (dBA)]]/10))</f>
        <v>2.8895251233452208E-6</v>
      </c>
    </row>
    <row r="913" spans="1:123" ht="15" x14ac:dyDescent="0.25">
      <c r="A913" s="3" t="s">
        <v>249</v>
      </c>
      <c r="B913" s="12">
        <v>43274.970833333333</v>
      </c>
      <c r="C913" s="3"/>
      <c r="D913" s="3">
        <v>38.9</v>
      </c>
      <c r="E913" s="3"/>
      <c r="F913" s="3"/>
      <c r="G913" s="3"/>
      <c r="H913" s="3"/>
      <c r="I913" s="3"/>
      <c r="J913" s="3"/>
      <c r="K913" s="3">
        <v>37.799999999999997</v>
      </c>
      <c r="L913" s="3"/>
      <c r="M913" s="3"/>
      <c r="N913" s="3">
        <v>168</v>
      </c>
      <c r="O913" s="3"/>
      <c r="P913" s="3"/>
      <c r="Q913" s="3">
        <v>1</v>
      </c>
      <c r="R913" s="3">
        <v>0.3</v>
      </c>
      <c r="S913" s="3">
        <v>1.6</v>
      </c>
      <c r="T913" s="3">
        <v>15.8</v>
      </c>
      <c r="U913" s="3">
        <v>69.400000000000006</v>
      </c>
      <c r="V913" s="3">
        <v>965.7</v>
      </c>
      <c r="W913" s="3">
        <v>0</v>
      </c>
      <c r="X913" s="3">
        <v>45</v>
      </c>
      <c r="Y913" s="3">
        <v>44.8</v>
      </c>
      <c r="Z913" s="3">
        <v>44</v>
      </c>
      <c r="AA913" s="3">
        <v>39.6</v>
      </c>
      <c r="AB913" s="3">
        <v>35.9</v>
      </c>
      <c r="AC913" s="3">
        <v>35.6</v>
      </c>
      <c r="AD913" s="3">
        <v>39.9</v>
      </c>
      <c r="AE913" s="3">
        <v>42.6</v>
      </c>
      <c r="AF913" s="3">
        <v>43.6</v>
      </c>
      <c r="AG913" s="3">
        <v>36.9</v>
      </c>
      <c r="AH913" s="3">
        <v>39</v>
      </c>
      <c r="AI913" s="3">
        <v>37.4</v>
      </c>
      <c r="AJ913" s="3">
        <v>36.5</v>
      </c>
      <c r="AK913" s="3">
        <v>33.9</v>
      </c>
      <c r="AL913" s="3">
        <v>31</v>
      </c>
      <c r="AM913" s="3">
        <v>29.8</v>
      </c>
      <c r="AN913" s="3">
        <v>28.1</v>
      </c>
      <c r="AO913" s="3">
        <v>24.5</v>
      </c>
      <c r="AP913" s="3">
        <v>23</v>
      </c>
      <c r="AQ913" s="3">
        <v>21.9</v>
      </c>
      <c r="AR913" s="3">
        <v>20.3</v>
      </c>
      <c r="AS913" s="3">
        <v>19.7</v>
      </c>
      <c r="AT913" s="3">
        <v>27.1</v>
      </c>
      <c r="AU913" s="3">
        <v>16.3</v>
      </c>
      <c r="AV913" s="3">
        <v>14.2</v>
      </c>
      <c r="AW913" s="3">
        <v>13.3</v>
      </c>
      <c r="AX913" s="3">
        <v>10.7</v>
      </c>
      <c r="AY913" s="3">
        <v>10.199999999999999</v>
      </c>
      <c r="AZ913" s="3">
        <v>0</v>
      </c>
      <c r="BA913" s="3">
        <v>0</v>
      </c>
      <c r="BB913" s="3">
        <v>0</v>
      </c>
      <c r="BC913" s="3">
        <v>38.905308881296619</v>
      </c>
      <c r="BD913" s="3">
        <v>44.994691118703386</v>
      </c>
      <c r="BE913" s="3">
        <v>44.794691118703369</v>
      </c>
      <c r="BF913" s="3">
        <v>42.754691118703377</v>
      </c>
      <c r="BG913" s="3">
        <v>38.681357785370054</v>
      </c>
      <c r="BH913" s="3">
        <v>35.121357785370051</v>
      </c>
      <c r="BI913" s="3">
        <v>35.234691118703381</v>
      </c>
      <c r="BJ913" s="3">
        <v>40.328024452036701</v>
      </c>
      <c r="BK913" s="3">
        <v>42.901357785370053</v>
      </c>
      <c r="BL913" s="3">
        <v>43.474691118703376</v>
      </c>
      <c r="BM913" s="3">
        <v>36.908024452036713</v>
      </c>
      <c r="BN913" s="3">
        <v>39.291357785370039</v>
      </c>
      <c r="BO913" s="3">
        <v>37.058024452036719</v>
      </c>
      <c r="BP913" s="3">
        <v>35.874691118703382</v>
      </c>
      <c r="BQ913" s="3">
        <v>33.691357785370045</v>
      </c>
      <c r="BR913" s="3">
        <v>31.118024452036721</v>
      </c>
      <c r="BS913" s="3">
        <v>29.721357785370046</v>
      </c>
      <c r="BT913" s="3">
        <v>28.218024452036715</v>
      </c>
      <c r="BU913" s="3">
        <v>24.584691118703383</v>
      </c>
      <c r="BV913" s="3">
        <v>22.801357785370044</v>
      </c>
      <c r="BW913" s="3">
        <v>22.234691118703381</v>
      </c>
      <c r="BX913" s="3">
        <v>20.554691118703388</v>
      </c>
      <c r="BY913" s="3">
        <v>19.774691118703373</v>
      </c>
      <c r="BZ913" s="3">
        <v>27.304691118703388</v>
      </c>
      <c r="CA913" s="3">
        <v>16.604691118703371</v>
      </c>
      <c r="CB913" s="3">
        <v>13.941357785370045</v>
      </c>
      <c r="CC913" s="3">
        <v>13.254691118703377</v>
      </c>
      <c r="CD913" s="3">
        <v>9.9613577853700477</v>
      </c>
      <c r="CE913" s="3">
        <v>9.6546911187033757</v>
      </c>
      <c r="CF913" s="3">
        <v>-0.9319755479632903</v>
      </c>
      <c r="CG913" s="3">
        <v>-1.4653088812966217</v>
      </c>
      <c r="CH913" s="3">
        <v>-2.5419755479632897</v>
      </c>
      <c r="CI913" s="13">
        <f>[1]!dbasum(RecData[[#This Row],[20]:[2000]],RecData[[#Headers],[20]:[2000]])</f>
        <v>38.271785819769775</v>
      </c>
      <c r="CJ913" s="14">
        <v>10255</v>
      </c>
      <c r="CK913" s="15" t="s">
        <v>249</v>
      </c>
      <c r="CL913" s="15">
        <f>RecData[[#This Row],[Start Time]]</f>
        <v>43274.970833333333</v>
      </c>
      <c r="CM913" s="16">
        <f>RecData[[#This Row],[Wind Speed avg]]</f>
        <v>1</v>
      </c>
      <c r="CN913" s="16">
        <f>RecData[[#This Row],[Wind Dir. avg]]</f>
        <v>168</v>
      </c>
      <c r="CO913" s="16">
        <f>RecData[[#This Row],[Amb. Humidity]]</f>
        <v>69.400000000000006</v>
      </c>
      <c r="CP913" s="16">
        <f>RecData[[#This Row],[Amb. Temperature]]</f>
        <v>15.8</v>
      </c>
      <c r="CQ913" s="17">
        <f>RecData[[#This Row],[Amb. Rain Gauge]]</f>
        <v>0</v>
      </c>
      <c r="CR913" s="4" t="s">
        <v>1</v>
      </c>
      <c r="CS913" s="4" t="s">
        <v>49</v>
      </c>
      <c r="CT913" s="70">
        <v>1555.67761230468</v>
      </c>
      <c r="CU913" s="70">
        <v>15.452795982360801</v>
      </c>
      <c r="CV913" s="70">
        <v>9.8610630035400302</v>
      </c>
      <c r="CW913" s="70">
        <v>15.2439775466918</v>
      </c>
      <c r="CX913" s="4"/>
      <c r="CY913" s="69"/>
      <c r="CZ913" s="2" t="b">
        <f>IF($DP$1="YES",IF(RecData[[#This Row],[Power (kW)]]&gt;=$CR$3, TRUE,FALSE),TRUE)</f>
        <v>1</v>
      </c>
      <c r="DA913" s="16">
        <f>MIN(MOD(180-ABS(ABS($DA$1-RecData[Yaw Angle (°)])-180),360),MOD(180-ABS(ABS($DB$1-RecData[Yaw Angle (°)])-180),360))</f>
        <v>7.9228692046732476</v>
      </c>
      <c r="DB913" s="2" t="str">
        <f>IF($DP$2="None","None",IF(RecData[[#This Row],[Relative Wind Direction]]&lt;=45,"DW",IF(RecData[[#This Row],[Relative Wind Direction]]&lt;=135,"CW","UW")))</f>
        <v>DW</v>
      </c>
      <c r="DC913" s="61">
        <f>IF($CL913-$CL910&gt;1/24,#REF!,IF(SUM($CQ910:$CQ913)&gt;$DS$1,$DS$5,DC914-1))</f>
        <v>-7</v>
      </c>
      <c r="DD913" s="61">
        <f>IF($CL914-$CL913&gt;1/24,#REF!,IF(SUM($CQ910:$CQ913)&gt;$DS$1,$DS$6,DD912-1))</f>
        <v>-4</v>
      </c>
      <c r="DE913" s="18" t="b">
        <v>0</v>
      </c>
      <c r="DF913" s="2" t="b">
        <f>IF(OR(RecData[[#This Row],[WSpd_Avg '[m/s']]]-RecData[[#This Row],[Wind Speed min]]&gt;=$DF$3,RecData[[#This Row],[Wind Speed max]]-RecData[[#This Row],[WSpd_Avg '[m/s']]]&gt;=$DF$2),TRUE,FALSE)</f>
        <v>0</v>
      </c>
      <c r="DG913" s="2" t="b">
        <f>RecData[[#This Row],[Temperature '[°C']]]&lt;=-20</f>
        <v>0</v>
      </c>
      <c r="DH913" s="18" t="b">
        <f>NOT(OR(MOD(RecData[[#This Row],[TIMESTAMP]],1)&gt;0.91632,MOD(RecData[[#This Row],[TIMESTAMP]],1)&lt;0.208681))</f>
        <v>0</v>
      </c>
      <c r="DI913" s="18" t="b">
        <f>RecData[[#This Row],[Overall (dBA)]]-RecData[[#This Row],[L90]]&gt;=$DS$4</f>
        <v>0</v>
      </c>
      <c r="DJ913" s="18" t="b">
        <f>RecData[[#This Row],[Overall (dBA)]]&gt;$DS$2</f>
        <v>0</v>
      </c>
      <c r="DK913" s="18" t="b">
        <f>RecData[[#This Row],[Overall (dBA)]]&lt;$DS$3</f>
        <v>0</v>
      </c>
      <c r="DL9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3" s="2">
        <f>IF(AND(RecData[[#This Row],[Turbines ON/OFF]] = "OFF", NOT(OR(RecData[[#This Row],[Junk?]]="YES",RecData[[#This Row],[Gust?]],RecData[[#This Row],[Rain?]:[Min SPL Threshold?]]))),1,0)</f>
        <v>0</v>
      </c>
      <c r="DN913" s="16">
        <f>RecData[[#This Row],[dBA Sum]]</f>
        <v>38.271785819769775</v>
      </c>
      <c r="DO913" s="16">
        <f>RecData[[#This Row],[LAF90.0]]</f>
        <v>37.799999999999997</v>
      </c>
      <c r="DP913" s="55">
        <f>IF(AND(RecData[[#This Row],[Useable TON Data?]],RecData[[#This Row],[Turbines ON/OFF]]="ON"),RecData[[#This Row],[dBA Sum]],"")</f>
        <v>38.271785819769775</v>
      </c>
      <c r="DQ913" s="55" t="str">
        <f>IF(AND(RecData[[#This Row],[Useable Background Data?]],RecData[[#This Row],[Turbines ON/OFF]]="OFF"),RecData[[#This Row],[dBA Sum]],"")</f>
        <v/>
      </c>
      <c r="DR913" s="3">
        <f>IF(OR(RecData[[#This Row],[Useable TON Data?]],RecData[[#This Row],[Useable Background Data?]]),ROUND(RecData[[#This Row],[WSpd_Avg '[m/s']]],0),"")</f>
        <v>1</v>
      </c>
      <c r="DS913" s="85">
        <f>(0.00002)^2*(10^(RecData[[#This Row],[Overall (dBA)]]/10))</f>
        <v>2.686820005502082E-6</v>
      </c>
    </row>
    <row r="914" spans="1:123" ht="15" x14ac:dyDescent="0.25">
      <c r="A914" s="3" t="s">
        <v>249</v>
      </c>
      <c r="B914" s="12">
        <v>43274.97152777778</v>
      </c>
      <c r="C914" s="3"/>
      <c r="D914" s="3">
        <v>38.9</v>
      </c>
      <c r="E914" s="3"/>
      <c r="F914" s="3"/>
      <c r="G914" s="3"/>
      <c r="H914" s="3"/>
      <c r="I914" s="3"/>
      <c r="J914" s="3"/>
      <c r="K914" s="3">
        <v>37.6</v>
      </c>
      <c r="L914" s="3"/>
      <c r="M914" s="3"/>
      <c r="N914" s="3">
        <v>186</v>
      </c>
      <c r="O914" s="3"/>
      <c r="P914" s="3"/>
      <c r="Q914" s="3">
        <v>1.0900000000000001</v>
      </c>
      <c r="R914" s="3">
        <v>0.3</v>
      </c>
      <c r="S914" s="3">
        <v>2.2999999999999998</v>
      </c>
      <c r="T914" s="3">
        <v>15.9</v>
      </c>
      <c r="U914" s="3">
        <v>68.8</v>
      </c>
      <c r="V914" s="3">
        <v>965.7</v>
      </c>
      <c r="W914" s="3">
        <v>0</v>
      </c>
      <c r="X914" s="3">
        <v>45</v>
      </c>
      <c r="Y914" s="3">
        <v>44.3</v>
      </c>
      <c r="Z914" s="3">
        <v>43.7</v>
      </c>
      <c r="AA914" s="3">
        <v>39.700000000000003</v>
      </c>
      <c r="AB914" s="3">
        <v>35.5</v>
      </c>
      <c r="AC914" s="3">
        <v>35</v>
      </c>
      <c r="AD914" s="3">
        <v>37.9</v>
      </c>
      <c r="AE914" s="3">
        <v>40.799999999999997</v>
      </c>
      <c r="AF914" s="3">
        <v>43.2</v>
      </c>
      <c r="AG914" s="3">
        <v>37.5</v>
      </c>
      <c r="AH914" s="3">
        <v>37.4</v>
      </c>
      <c r="AI914" s="3">
        <v>37.700000000000003</v>
      </c>
      <c r="AJ914" s="3">
        <v>36.1</v>
      </c>
      <c r="AK914" s="3">
        <v>33.9</v>
      </c>
      <c r="AL914" s="3">
        <v>31.3</v>
      </c>
      <c r="AM914" s="3">
        <v>30.2</v>
      </c>
      <c r="AN914" s="3">
        <v>28.2</v>
      </c>
      <c r="AO914" s="3">
        <v>24.8</v>
      </c>
      <c r="AP914" s="3">
        <v>23.7</v>
      </c>
      <c r="AQ914" s="3">
        <v>22.5</v>
      </c>
      <c r="AR914" s="3">
        <v>21.3</v>
      </c>
      <c r="AS914" s="3">
        <v>21</v>
      </c>
      <c r="AT914" s="3">
        <v>27.6</v>
      </c>
      <c r="AU914" s="3">
        <v>17.899999999999999</v>
      </c>
      <c r="AV914" s="3">
        <v>15.9</v>
      </c>
      <c r="AW914" s="3">
        <v>14.8</v>
      </c>
      <c r="AX914" s="3">
        <v>11.5</v>
      </c>
      <c r="AY914" s="3">
        <v>10.3</v>
      </c>
      <c r="AZ914" s="3">
        <v>0</v>
      </c>
      <c r="BA914" s="3">
        <v>0</v>
      </c>
      <c r="BB914" s="3">
        <v>0</v>
      </c>
      <c r="BC914" s="3">
        <v>38.944119670628105</v>
      </c>
      <c r="BD914" s="3">
        <v>44.955880329371901</v>
      </c>
      <c r="BE914" s="3">
        <v>44.255880329371884</v>
      </c>
      <c r="BF914" s="3">
        <v>42.415880329371895</v>
      </c>
      <c r="BG914" s="3">
        <v>38.742546996038563</v>
      </c>
      <c r="BH914" s="3">
        <v>34.68254699603856</v>
      </c>
      <c r="BI914" s="3">
        <v>34.595880329371887</v>
      </c>
      <c r="BJ914" s="3">
        <v>38.289213662705215</v>
      </c>
      <c r="BK914" s="3">
        <v>41.062546996038556</v>
      </c>
      <c r="BL914" s="3">
        <v>43.035880329371899</v>
      </c>
      <c r="BM914" s="3">
        <v>37.469213662705222</v>
      </c>
      <c r="BN914" s="3">
        <v>37.652546996038559</v>
      </c>
      <c r="BO914" s="3">
        <v>37.319213662705231</v>
      </c>
      <c r="BP914" s="3">
        <v>35.435880329371891</v>
      </c>
      <c r="BQ914" s="3">
        <v>33.652546996038559</v>
      </c>
      <c r="BR914" s="3">
        <v>31.379213662705233</v>
      </c>
      <c r="BS914" s="3">
        <v>30.082546996038566</v>
      </c>
      <c r="BT914" s="3">
        <v>28.279213662705224</v>
      </c>
      <c r="BU914" s="3">
        <v>24.845880329371901</v>
      </c>
      <c r="BV914" s="3">
        <v>23.462546996038562</v>
      </c>
      <c r="BW914" s="3">
        <v>22.795880329371897</v>
      </c>
      <c r="BX914" s="3">
        <v>21.515880329371903</v>
      </c>
      <c r="BY914" s="3">
        <v>21.035880329371892</v>
      </c>
      <c r="BZ914" s="3">
        <v>27.765880329371903</v>
      </c>
      <c r="CA914" s="3">
        <v>18.16588032937188</v>
      </c>
      <c r="CB914" s="3">
        <v>15.602546996038562</v>
      </c>
      <c r="CC914" s="3">
        <v>14.715880329371892</v>
      </c>
      <c r="CD914" s="3">
        <v>10.722546996038567</v>
      </c>
      <c r="CE914" s="3">
        <v>9.7158803293718918</v>
      </c>
      <c r="CF914" s="3">
        <v>-0.97078633729477559</v>
      </c>
      <c r="CG914" s="3">
        <v>-1.504119670628107</v>
      </c>
      <c r="CH914" s="3">
        <v>-2.580786337294775</v>
      </c>
      <c r="CI914" s="13">
        <f>[1]!dbasum(RecData[[#This Row],[20]:[2000]],RecData[[#Headers],[20]:[2000]])</f>
        <v>38.158785609088781</v>
      </c>
      <c r="CJ914" s="14">
        <v>10256</v>
      </c>
      <c r="CK914" s="15" t="s">
        <v>249</v>
      </c>
      <c r="CL914" s="15">
        <f>RecData[[#This Row],[Start Time]]</f>
        <v>43274.97152777778</v>
      </c>
      <c r="CM914" s="16">
        <f>RecData[[#This Row],[Wind Speed avg]]</f>
        <v>1.0900000000000001</v>
      </c>
      <c r="CN914" s="16">
        <f>RecData[[#This Row],[Wind Dir. avg]]</f>
        <v>186</v>
      </c>
      <c r="CO914" s="16">
        <f>RecData[[#This Row],[Amb. Humidity]]</f>
        <v>68.8</v>
      </c>
      <c r="CP914" s="16">
        <f>RecData[[#This Row],[Amb. Temperature]]</f>
        <v>15.9</v>
      </c>
      <c r="CQ914" s="17">
        <f>RecData[[#This Row],[Amb. Rain Gauge]]</f>
        <v>0</v>
      </c>
      <c r="CR914" s="4" t="s">
        <v>1</v>
      </c>
      <c r="CS914" s="4" t="s">
        <v>49</v>
      </c>
      <c r="CT914" s="70">
        <v>1555.67761230468</v>
      </c>
      <c r="CU914" s="70">
        <v>15.452795982360801</v>
      </c>
      <c r="CV914" s="70">
        <v>9.8610630035400302</v>
      </c>
      <c r="CW914" s="70">
        <v>15.2439775466918</v>
      </c>
      <c r="CX914" s="4"/>
      <c r="CY914" s="69"/>
      <c r="CZ914" s="2" t="b">
        <f>IF($DP$1="YES",IF(RecData[[#This Row],[Power (kW)]]&gt;=$CR$3, TRUE,FALSE),TRUE)</f>
        <v>1</v>
      </c>
      <c r="DA914" s="16">
        <f>MIN(MOD(180-ABS(ABS($DA$1-RecData[Yaw Angle (°)])-180),360),MOD(180-ABS(ABS($DB$1-RecData[Yaw Angle (°)])-180),360))</f>
        <v>7.9228692046732476</v>
      </c>
      <c r="DB914" s="2" t="str">
        <f>IF($DP$2="None","None",IF(RecData[[#This Row],[Relative Wind Direction]]&lt;=45,"DW",IF(RecData[[#This Row],[Relative Wind Direction]]&lt;=135,"CW","UW")))</f>
        <v>DW</v>
      </c>
      <c r="DC914" s="61">
        <f>IF($CL914-$CL910&gt;1/24,#REF!,IF(SUM($CQ910:$CQ914)&gt;$DS$1,$DS$5,DC915-1))</f>
        <v>-6</v>
      </c>
      <c r="DD914" s="61">
        <f>IF($CL915-$CL914&gt;1/24,#REF!,IF(SUM($CQ910:$CQ914)&gt;$DS$1,$DS$6,DD913-1))</f>
        <v>-5</v>
      </c>
      <c r="DE914" s="18" t="b">
        <v>0</v>
      </c>
      <c r="DF914" s="2" t="b">
        <f>IF(OR(RecData[[#This Row],[WSpd_Avg '[m/s']]]-RecData[[#This Row],[Wind Speed min]]&gt;=$DF$3,RecData[[#This Row],[Wind Speed max]]-RecData[[#This Row],[WSpd_Avg '[m/s']]]&gt;=$DF$2),TRUE,FALSE)</f>
        <v>0</v>
      </c>
      <c r="DG914" s="2" t="b">
        <f>RecData[[#This Row],[Temperature '[°C']]]&lt;=-20</f>
        <v>0</v>
      </c>
      <c r="DH914" s="18" t="b">
        <f>NOT(OR(MOD(RecData[[#This Row],[TIMESTAMP]],1)&gt;0.91632,MOD(RecData[[#This Row],[TIMESTAMP]],1)&lt;0.208681))</f>
        <v>0</v>
      </c>
      <c r="DI914" s="18" t="b">
        <f>RecData[[#This Row],[Overall (dBA)]]-RecData[[#This Row],[L90]]&gt;=$DS$4</f>
        <v>0</v>
      </c>
      <c r="DJ914" s="18" t="b">
        <f>RecData[[#This Row],[Overall (dBA)]]&gt;$DS$2</f>
        <v>0</v>
      </c>
      <c r="DK914" s="18" t="b">
        <f>RecData[[#This Row],[Overall (dBA)]]&lt;$DS$3</f>
        <v>0</v>
      </c>
      <c r="DL9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4" s="2">
        <f>IF(AND(RecData[[#This Row],[Turbines ON/OFF]] = "OFF", NOT(OR(RecData[[#This Row],[Junk?]]="YES",RecData[[#This Row],[Gust?]],RecData[[#This Row],[Rain?]:[Min SPL Threshold?]]))),1,0)</f>
        <v>0</v>
      </c>
      <c r="DN914" s="16">
        <f>RecData[[#This Row],[dBA Sum]]</f>
        <v>38.158785609088781</v>
      </c>
      <c r="DO914" s="16">
        <f>RecData[[#This Row],[LAF90.0]]</f>
        <v>37.6</v>
      </c>
      <c r="DP914" s="55">
        <f>IF(AND(RecData[[#This Row],[Useable TON Data?]],RecData[[#This Row],[Turbines ON/OFF]]="ON"),RecData[[#This Row],[dBA Sum]],"")</f>
        <v>38.158785609088781</v>
      </c>
      <c r="DQ914" s="55" t="str">
        <f>IF(AND(RecData[[#This Row],[Useable Background Data?]],RecData[[#This Row],[Turbines ON/OFF]]="OFF"),RecData[[#This Row],[dBA Sum]],"")</f>
        <v/>
      </c>
      <c r="DR914" s="3">
        <f>IF(OR(RecData[[#This Row],[Useable TON Data?]],RecData[[#This Row],[Useable Background Data?]]),ROUND(RecData[[#This Row],[WSpd_Avg '[m/s']]],0),"")</f>
        <v>1</v>
      </c>
      <c r="DS914" s="85">
        <f>(0.00002)^2*(10^(RecData[[#This Row],[Overall (dBA)]]/10))</f>
        <v>2.6178125911052999E-6</v>
      </c>
    </row>
    <row r="915" spans="1:123" ht="15" x14ac:dyDescent="0.25">
      <c r="A915" s="3" t="s">
        <v>249</v>
      </c>
      <c r="B915" s="12">
        <v>43274.972222222226</v>
      </c>
      <c r="C915" s="3"/>
      <c r="D915" s="3">
        <v>38.700000000000003</v>
      </c>
      <c r="E915" s="3"/>
      <c r="F915" s="3"/>
      <c r="G915" s="3"/>
      <c r="H915" s="3"/>
      <c r="I915" s="3"/>
      <c r="J915" s="3"/>
      <c r="K915" s="3">
        <v>37.4</v>
      </c>
      <c r="L915" s="3"/>
      <c r="M915" s="3"/>
      <c r="N915" s="3">
        <v>167.6</v>
      </c>
      <c r="O915" s="3"/>
      <c r="P915" s="3"/>
      <c r="Q915" s="3">
        <v>1.41</v>
      </c>
      <c r="R915" s="3">
        <v>1.1000000000000001</v>
      </c>
      <c r="S915" s="3">
        <v>1.9</v>
      </c>
      <c r="T915" s="3">
        <v>16</v>
      </c>
      <c r="U915" s="3">
        <v>68.400000000000006</v>
      </c>
      <c r="V915" s="3">
        <v>965.7</v>
      </c>
      <c r="W915" s="3">
        <v>0</v>
      </c>
      <c r="X915" s="3">
        <v>45.5</v>
      </c>
      <c r="Y915" s="3">
        <v>45.1</v>
      </c>
      <c r="Z915" s="3">
        <v>44.1</v>
      </c>
      <c r="AA915" s="3">
        <v>40.5</v>
      </c>
      <c r="AB915" s="3">
        <v>36.799999999999997</v>
      </c>
      <c r="AC915" s="3">
        <v>35.700000000000003</v>
      </c>
      <c r="AD915" s="3">
        <v>39.299999999999997</v>
      </c>
      <c r="AE915" s="3">
        <v>42.3</v>
      </c>
      <c r="AF915" s="3">
        <v>43.9</v>
      </c>
      <c r="AG915" s="3">
        <v>37.700000000000003</v>
      </c>
      <c r="AH915" s="3">
        <v>38.5</v>
      </c>
      <c r="AI915" s="3">
        <v>38.1</v>
      </c>
      <c r="AJ915" s="3">
        <v>36.5</v>
      </c>
      <c r="AK915" s="3">
        <v>33.799999999999997</v>
      </c>
      <c r="AL915" s="3">
        <v>30.5</v>
      </c>
      <c r="AM915" s="3">
        <v>29.1</v>
      </c>
      <c r="AN915" s="3">
        <v>27.1</v>
      </c>
      <c r="AO915" s="3">
        <v>23.8</v>
      </c>
      <c r="AP915" s="3">
        <v>22.8</v>
      </c>
      <c r="AQ915" s="3">
        <v>21.2</v>
      </c>
      <c r="AR915" s="3">
        <v>20</v>
      </c>
      <c r="AS915" s="3">
        <v>19.8</v>
      </c>
      <c r="AT915" s="3">
        <v>26</v>
      </c>
      <c r="AU915" s="3">
        <v>15.2</v>
      </c>
      <c r="AV915" s="3">
        <v>13</v>
      </c>
      <c r="AW915" s="3">
        <v>12.1</v>
      </c>
      <c r="AX915" s="3">
        <v>10.1</v>
      </c>
      <c r="AY915" s="3">
        <v>9.6999999999999993</v>
      </c>
      <c r="AZ915" s="3">
        <v>0</v>
      </c>
      <c r="BA915" s="3">
        <v>0</v>
      </c>
      <c r="BB915" s="3">
        <v>0</v>
      </c>
      <c r="BC915" s="3">
        <v>38.661284233705253</v>
      </c>
      <c r="BD915" s="3">
        <v>45.53871576629475</v>
      </c>
      <c r="BE915" s="3">
        <v>45.138715766294759</v>
      </c>
      <c r="BF915" s="3">
        <v>42.89871576629475</v>
      </c>
      <c r="BG915" s="3">
        <v>39.625382432961409</v>
      </c>
      <c r="BH915" s="3">
        <v>36.065382432961407</v>
      </c>
      <c r="BI915" s="3">
        <v>35.378715766294754</v>
      </c>
      <c r="BJ915" s="3">
        <v>39.772049099628084</v>
      </c>
      <c r="BK915" s="3">
        <v>42.645382432961419</v>
      </c>
      <c r="BL915" s="3">
        <v>43.818715766294751</v>
      </c>
      <c r="BM915" s="3">
        <v>37.752049099628088</v>
      </c>
      <c r="BN915" s="3">
        <v>38.835382432961417</v>
      </c>
      <c r="BO915" s="3">
        <v>37.802049099628086</v>
      </c>
      <c r="BP915" s="3">
        <v>35.91871576629476</v>
      </c>
      <c r="BQ915" s="3">
        <v>33.6353824329614</v>
      </c>
      <c r="BR915" s="3">
        <v>30.662049099628085</v>
      </c>
      <c r="BS915" s="3">
        <v>29.065382432961421</v>
      </c>
      <c r="BT915" s="3">
        <v>27.262049099628094</v>
      </c>
      <c r="BU915" s="3">
        <v>23.928715766294751</v>
      </c>
      <c r="BV915" s="3">
        <v>22.645382432961419</v>
      </c>
      <c r="BW915" s="3">
        <v>21.578715766294756</v>
      </c>
      <c r="BX915" s="3">
        <v>20.298715766294755</v>
      </c>
      <c r="BY915" s="3">
        <v>19.918715766294746</v>
      </c>
      <c r="BZ915" s="3">
        <v>26.248715766294758</v>
      </c>
      <c r="CA915" s="3">
        <v>15.548715766294741</v>
      </c>
      <c r="CB915" s="3">
        <v>12.785382432961413</v>
      </c>
      <c r="CC915" s="3">
        <v>12.098715766294752</v>
      </c>
      <c r="CD915" s="3">
        <v>9.4053824329614244</v>
      </c>
      <c r="CE915" s="3">
        <v>9.1987157662947467</v>
      </c>
      <c r="CF915" s="3">
        <v>-0.88795090037191926</v>
      </c>
      <c r="CG915" s="3">
        <v>-1.4212842337052507</v>
      </c>
      <c r="CH915" s="3">
        <v>-2.4979509003719187</v>
      </c>
      <c r="CI915" s="13">
        <f>[1]!dbasum(RecData[[#This Row],[20]:[2000]],RecData[[#Headers],[20]:[2000]])</f>
        <v>38.134975672736182</v>
      </c>
      <c r="CJ915" s="14">
        <v>10257</v>
      </c>
      <c r="CK915" s="15" t="s">
        <v>249</v>
      </c>
      <c r="CL915" s="15">
        <f>RecData[[#This Row],[Start Time]]</f>
        <v>43274.972222222226</v>
      </c>
      <c r="CM915" s="16">
        <f>RecData[[#This Row],[Wind Speed avg]]</f>
        <v>1.41</v>
      </c>
      <c r="CN915" s="16">
        <f>RecData[[#This Row],[Wind Dir. avg]]</f>
        <v>167.6</v>
      </c>
      <c r="CO915" s="16">
        <f>RecData[[#This Row],[Amb. Humidity]]</f>
        <v>68.400000000000006</v>
      </c>
      <c r="CP915" s="16">
        <f>RecData[[#This Row],[Amb. Temperature]]</f>
        <v>16</v>
      </c>
      <c r="CQ915" s="17">
        <f>RecData[[#This Row],[Amb. Rain Gauge]]</f>
        <v>0</v>
      </c>
      <c r="CR915" s="4" t="s">
        <v>1</v>
      </c>
      <c r="CS915" s="4" t="s">
        <v>49</v>
      </c>
      <c r="CT915" s="70">
        <v>1555.67761230468</v>
      </c>
      <c r="CU915" s="70">
        <v>15.452795982360801</v>
      </c>
      <c r="CV915" s="70">
        <v>9.8610630035400302</v>
      </c>
      <c r="CW915" s="70">
        <v>15.2439775466918</v>
      </c>
      <c r="CX915" s="4"/>
      <c r="CY915" s="69"/>
      <c r="CZ915" s="2" t="b">
        <f>IF($DP$1="YES",IF(RecData[[#This Row],[Power (kW)]]&gt;=$CR$3, TRUE,FALSE),TRUE)</f>
        <v>1</v>
      </c>
      <c r="DA915" s="16">
        <f>MIN(MOD(180-ABS(ABS($DA$1-RecData[Yaw Angle (°)])-180),360),MOD(180-ABS(ABS($DB$1-RecData[Yaw Angle (°)])-180),360))</f>
        <v>7.9228692046732476</v>
      </c>
      <c r="DB915" s="2" t="str">
        <f>IF($DP$2="None","None",IF(RecData[[#This Row],[Relative Wind Direction]]&lt;=45,"DW",IF(RecData[[#This Row],[Relative Wind Direction]]&lt;=135,"CW","UW")))</f>
        <v>DW</v>
      </c>
      <c r="DC915" s="61">
        <f>IF($CL915-$CL911&gt;1/24,#REF!,IF(SUM($CQ911:$CQ915)&gt;$DS$1,$DS$5,DC916-1))</f>
        <v>-5</v>
      </c>
      <c r="DD915" s="61">
        <f>IF($CL916-$CL915&gt;1/24,#REF!,IF(SUM($CQ911:$CQ915)&gt;$DS$1,$DS$6,DD914-1))</f>
        <v>-6</v>
      </c>
      <c r="DE915" s="18" t="b">
        <v>0</v>
      </c>
      <c r="DF915" s="2" t="b">
        <f>IF(OR(RecData[[#This Row],[WSpd_Avg '[m/s']]]-RecData[[#This Row],[Wind Speed min]]&gt;=$DF$3,RecData[[#This Row],[Wind Speed max]]-RecData[[#This Row],[WSpd_Avg '[m/s']]]&gt;=$DF$2),TRUE,FALSE)</f>
        <v>0</v>
      </c>
      <c r="DG915" s="2" t="b">
        <f>RecData[[#This Row],[Temperature '[°C']]]&lt;=-20</f>
        <v>0</v>
      </c>
      <c r="DH915" s="18" t="b">
        <f>NOT(OR(MOD(RecData[[#This Row],[TIMESTAMP]],1)&gt;0.91632,MOD(RecData[[#This Row],[TIMESTAMP]],1)&lt;0.208681))</f>
        <v>0</v>
      </c>
      <c r="DI915" s="18" t="b">
        <f>RecData[[#This Row],[Overall (dBA)]]-RecData[[#This Row],[L90]]&gt;=$DS$4</f>
        <v>0</v>
      </c>
      <c r="DJ915" s="18" t="b">
        <f>RecData[[#This Row],[Overall (dBA)]]&gt;$DS$2</f>
        <v>0</v>
      </c>
      <c r="DK915" s="18" t="b">
        <f>RecData[[#This Row],[Overall (dBA)]]&lt;$DS$3</f>
        <v>0</v>
      </c>
      <c r="DL9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5" s="2">
        <f>IF(AND(RecData[[#This Row],[Turbines ON/OFF]] = "OFF", NOT(OR(RecData[[#This Row],[Junk?]]="YES",RecData[[#This Row],[Gust?]],RecData[[#This Row],[Rain?]:[Min SPL Threshold?]]))),1,0)</f>
        <v>0</v>
      </c>
      <c r="DN915" s="16">
        <f>RecData[[#This Row],[dBA Sum]]</f>
        <v>38.134975672736182</v>
      </c>
      <c r="DO915" s="16">
        <f>RecData[[#This Row],[LAF90.0]]</f>
        <v>37.4</v>
      </c>
      <c r="DP915" s="55">
        <f>IF(AND(RecData[[#This Row],[Useable TON Data?]],RecData[[#This Row],[Turbines ON/OFF]]="ON"),RecData[[#This Row],[dBA Sum]],"")</f>
        <v>38.134975672736182</v>
      </c>
      <c r="DQ915" s="55" t="str">
        <f>IF(AND(RecData[[#This Row],[Useable Background Data?]],RecData[[#This Row],[Turbines ON/OFF]]="OFF"),RecData[[#This Row],[dBA Sum]],"")</f>
        <v/>
      </c>
      <c r="DR915" s="3">
        <f>IF(OR(RecData[[#This Row],[Useable TON Data?]],RecData[[#This Row],[Useable Background Data?]]),ROUND(RecData[[#This Row],[WSpd_Avg '[m/s']]],0),"")</f>
        <v>1</v>
      </c>
      <c r="DS915" s="85">
        <f>(0.00002)^2*(10^(RecData[[#This Row],[Overall (dBA)]]/10))</f>
        <v>2.6034998596614181E-6</v>
      </c>
    </row>
    <row r="916" spans="1:123" ht="15" x14ac:dyDescent="0.25">
      <c r="A916" s="3" t="s">
        <v>249</v>
      </c>
      <c r="B916" s="12">
        <v>43274.972916666666</v>
      </c>
      <c r="C916" s="3"/>
      <c r="D916" s="3">
        <v>40.299999999999997</v>
      </c>
      <c r="E916" s="3"/>
      <c r="F916" s="3"/>
      <c r="G916" s="3"/>
      <c r="H916" s="3"/>
      <c r="I916" s="3"/>
      <c r="J916" s="3"/>
      <c r="K916" s="3">
        <v>38.200000000000003</v>
      </c>
      <c r="L916" s="3"/>
      <c r="M916" s="3"/>
      <c r="N916" s="3">
        <v>160.5</v>
      </c>
      <c r="O916" s="3"/>
      <c r="P916" s="3"/>
      <c r="Q916" s="3">
        <v>1.68</v>
      </c>
      <c r="R916" s="3">
        <v>0.8</v>
      </c>
      <c r="S916" s="3">
        <v>2.8</v>
      </c>
      <c r="T916" s="3">
        <v>16.100000000000001</v>
      </c>
      <c r="U916" s="3">
        <v>67.900000000000006</v>
      </c>
      <c r="V916" s="3">
        <v>965.7</v>
      </c>
      <c r="W916" s="3">
        <v>0</v>
      </c>
      <c r="X916" s="3">
        <v>45.6</v>
      </c>
      <c r="Y916" s="3">
        <v>44.5</v>
      </c>
      <c r="Z916" s="3">
        <v>44.2</v>
      </c>
      <c r="AA916" s="3">
        <v>40.4</v>
      </c>
      <c r="AB916" s="3">
        <v>36.1</v>
      </c>
      <c r="AC916" s="3">
        <v>35.5</v>
      </c>
      <c r="AD916" s="3">
        <v>38.799999999999997</v>
      </c>
      <c r="AE916" s="3">
        <v>41.9</v>
      </c>
      <c r="AF916" s="3">
        <v>43.9</v>
      </c>
      <c r="AG916" s="3">
        <v>38.6</v>
      </c>
      <c r="AH916" s="3">
        <v>38.200000000000003</v>
      </c>
      <c r="AI916" s="3">
        <v>38.799999999999997</v>
      </c>
      <c r="AJ916" s="3">
        <v>36.4</v>
      </c>
      <c r="AK916" s="3">
        <v>34.1</v>
      </c>
      <c r="AL916" s="3">
        <v>31.1</v>
      </c>
      <c r="AM916" s="3">
        <v>29.9</v>
      </c>
      <c r="AN916" s="3">
        <v>28</v>
      </c>
      <c r="AO916" s="3">
        <v>25.2</v>
      </c>
      <c r="AP916" s="3">
        <v>24.6</v>
      </c>
      <c r="AQ916" s="3">
        <v>24.6</v>
      </c>
      <c r="AR916" s="3">
        <v>24.8</v>
      </c>
      <c r="AS916" s="3">
        <v>26</v>
      </c>
      <c r="AT916" s="3">
        <v>30.5</v>
      </c>
      <c r="AU916" s="3">
        <v>25.6</v>
      </c>
      <c r="AV916" s="3">
        <v>23.6</v>
      </c>
      <c r="AW916" s="3">
        <v>22.3</v>
      </c>
      <c r="AX916" s="3">
        <v>18</v>
      </c>
      <c r="AY916" s="3">
        <v>16.399999999999999</v>
      </c>
      <c r="AZ916" s="3">
        <v>0</v>
      </c>
      <c r="BA916" s="3">
        <v>0</v>
      </c>
      <c r="BB916" s="3">
        <v>0</v>
      </c>
      <c r="BC916" s="3">
        <v>40.294498121183992</v>
      </c>
      <c r="BD916" s="3">
        <v>45.605501878816014</v>
      </c>
      <c r="BE916" s="3">
        <v>44.505501878816006</v>
      </c>
      <c r="BF916" s="3">
        <v>42.965501878815999</v>
      </c>
      <c r="BG916" s="3">
        <v>39.49216854548267</v>
      </c>
      <c r="BH916" s="3">
        <v>35.332168545482673</v>
      </c>
      <c r="BI916" s="3">
        <v>35.145501878816006</v>
      </c>
      <c r="BJ916" s="3">
        <v>39.23883521214934</v>
      </c>
      <c r="BK916" s="3">
        <v>42.212168545482669</v>
      </c>
      <c r="BL916" s="3">
        <v>43.785501878816007</v>
      </c>
      <c r="BM916" s="3">
        <v>38.618835212149335</v>
      </c>
      <c r="BN916" s="3">
        <v>38.502168545482675</v>
      </c>
      <c r="BO916" s="3">
        <v>38.46883521214933</v>
      </c>
      <c r="BP916" s="3">
        <v>35.785501878816007</v>
      </c>
      <c r="BQ916" s="3">
        <v>33.902168545482667</v>
      </c>
      <c r="BR916" s="3">
        <v>31.228835212149349</v>
      </c>
      <c r="BS916" s="3">
        <v>29.832168545482673</v>
      </c>
      <c r="BT916" s="3">
        <v>28.12883521214934</v>
      </c>
      <c r="BU916" s="3">
        <v>25.295501878816012</v>
      </c>
      <c r="BV916" s="3">
        <v>24.412168545482672</v>
      </c>
      <c r="BW916" s="3">
        <v>24.945501878816017</v>
      </c>
      <c r="BX916" s="3">
        <v>25.065501878816008</v>
      </c>
      <c r="BY916" s="3">
        <v>26.085501878816004</v>
      </c>
      <c r="BZ916" s="3">
        <v>30.715501878816013</v>
      </c>
      <c r="CA916" s="3">
        <v>25.915501878816002</v>
      </c>
      <c r="CB916" s="3">
        <v>23.35216854548267</v>
      </c>
      <c r="CC916" s="3">
        <v>22.265501878816004</v>
      </c>
      <c r="CD916" s="3">
        <v>17.272168545482671</v>
      </c>
      <c r="CE916" s="3">
        <v>15.865501878816005</v>
      </c>
      <c r="CF916" s="3">
        <v>-0.92116478785066391</v>
      </c>
      <c r="CG916" s="3">
        <v>-1.4544981211839954</v>
      </c>
      <c r="CH916" s="3">
        <v>-2.5311647878506633</v>
      </c>
      <c r="CI916" s="13">
        <f>[1]!dbasum(RecData[[#This Row],[20]:[2000]],RecData[[#Headers],[20]:[2000]])</f>
        <v>38.816720538183262</v>
      </c>
      <c r="CJ916" s="14">
        <v>10258</v>
      </c>
      <c r="CK916" s="15" t="s">
        <v>249</v>
      </c>
      <c r="CL916" s="15">
        <f>RecData[[#This Row],[Start Time]]</f>
        <v>43274.972916666666</v>
      </c>
      <c r="CM916" s="16">
        <f>RecData[[#This Row],[Wind Speed avg]]</f>
        <v>1.68</v>
      </c>
      <c r="CN916" s="16">
        <f>RecData[[#This Row],[Wind Dir. avg]]</f>
        <v>160.5</v>
      </c>
      <c r="CO916" s="16">
        <f>RecData[[#This Row],[Amb. Humidity]]</f>
        <v>67.900000000000006</v>
      </c>
      <c r="CP916" s="16">
        <f>RecData[[#This Row],[Amb. Temperature]]</f>
        <v>16.100000000000001</v>
      </c>
      <c r="CQ916" s="17">
        <f>RecData[[#This Row],[Amb. Rain Gauge]]</f>
        <v>0</v>
      </c>
      <c r="CR916" s="4" t="s">
        <v>1</v>
      </c>
      <c r="CS916" s="4" t="s">
        <v>49</v>
      </c>
      <c r="CT916" s="70">
        <v>1408.42199707031</v>
      </c>
      <c r="CU916" s="70">
        <v>21.000179290771399</v>
      </c>
      <c r="CV916" s="70">
        <v>9.3863801956176705</v>
      </c>
      <c r="CW916" s="70">
        <v>15.076560974121</v>
      </c>
      <c r="CX916" s="4"/>
      <c r="CY916" s="69"/>
      <c r="CZ916" s="2" t="b">
        <f>IF($DP$1="YES",IF(RecData[[#This Row],[Power (kW)]]&gt;=$CR$3, TRUE,FALSE),TRUE)</f>
        <v>1</v>
      </c>
      <c r="DA916" s="16">
        <f>MIN(MOD(180-ABS(ABS($DA$1-RecData[Yaw Angle (°)])-180),360),MOD(180-ABS(ABS($DB$1-RecData[Yaw Angle (°)])-180),360))</f>
        <v>13.470252513083835</v>
      </c>
      <c r="DB916" s="2" t="str">
        <f>IF($DP$2="None","None",IF(RecData[[#This Row],[Relative Wind Direction]]&lt;=45,"DW",IF(RecData[[#This Row],[Relative Wind Direction]]&lt;=135,"CW","UW")))</f>
        <v>DW</v>
      </c>
      <c r="DC916" s="61">
        <f>IF($CL916-$CL912&gt;1/24,#REF!,IF(SUM($CQ912:$CQ916)&gt;$DS$1,$DS$5,DC917-1))</f>
        <v>-4</v>
      </c>
      <c r="DD916" s="61">
        <f>IF($CL917-$CL916&gt;1/24,#REF!,IF(SUM($CQ912:$CQ916)&gt;$DS$1,$DS$6,DD915-1))</f>
        <v>-7</v>
      </c>
      <c r="DE916" s="18" t="b">
        <v>0</v>
      </c>
      <c r="DF916" s="2" t="b">
        <f>IF(OR(RecData[[#This Row],[WSpd_Avg '[m/s']]]-RecData[[#This Row],[Wind Speed min]]&gt;=$DF$3,RecData[[#This Row],[Wind Speed max]]-RecData[[#This Row],[WSpd_Avg '[m/s']]]&gt;=$DF$2),TRUE,FALSE)</f>
        <v>0</v>
      </c>
      <c r="DG916" s="2" t="b">
        <f>RecData[[#This Row],[Temperature '[°C']]]&lt;=-20</f>
        <v>0</v>
      </c>
      <c r="DH916" s="18" t="b">
        <f>NOT(OR(MOD(RecData[[#This Row],[TIMESTAMP]],1)&gt;0.91632,MOD(RecData[[#This Row],[TIMESTAMP]],1)&lt;0.208681))</f>
        <v>0</v>
      </c>
      <c r="DI916" s="18" t="b">
        <f>RecData[[#This Row],[Overall (dBA)]]-RecData[[#This Row],[L90]]&gt;=$DS$4</f>
        <v>0</v>
      </c>
      <c r="DJ916" s="18" t="b">
        <f>RecData[[#This Row],[Overall (dBA)]]&gt;$DS$2</f>
        <v>0</v>
      </c>
      <c r="DK916" s="18" t="b">
        <f>RecData[[#This Row],[Overall (dBA)]]&lt;$DS$3</f>
        <v>0</v>
      </c>
      <c r="DL9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6" s="2">
        <f>IF(AND(RecData[[#This Row],[Turbines ON/OFF]] = "OFF", NOT(OR(RecData[[#This Row],[Junk?]]="YES",RecData[[#This Row],[Gust?]],RecData[[#This Row],[Rain?]:[Min SPL Threshold?]]))),1,0)</f>
        <v>0</v>
      </c>
      <c r="DN916" s="16">
        <f>RecData[[#This Row],[dBA Sum]]</f>
        <v>38.816720538183262</v>
      </c>
      <c r="DO916" s="16">
        <f>RecData[[#This Row],[LAF90.0]]</f>
        <v>38.200000000000003</v>
      </c>
      <c r="DP916" s="55">
        <f>IF(AND(RecData[[#This Row],[Useable TON Data?]],RecData[[#This Row],[Turbines ON/OFF]]="ON"),RecData[[#This Row],[dBA Sum]],"")</f>
        <v>38.816720538183262</v>
      </c>
      <c r="DQ916" s="55" t="str">
        <f>IF(AND(RecData[[#This Row],[Useable Background Data?]],RecData[[#This Row],[Turbines ON/OFF]]="OFF"),RecData[[#This Row],[dBA Sum]],"")</f>
        <v/>
      </c>
      <c r="DR916" s="3">
        <f>IF(OR(RecData[[#This Row],[Useable TON Data?]],RecData[[#This Row],[Useable Background Data?]]),ROUND(RecData[[#This Row],[WSpd_Avg '[m/s']]],0),"")</f>
        <v>2</v>
      </c>
      <c r="DS916" s="85">
        <f>(0.00002)^2*(10^(RecData[[#This Row],[Overall (dBA)]]/10))</f>
        <v>3.0460150524078668E-6</v>
      </c>
    </row>
    <row r="917" spans="1:123" ht="15" x14ac:dyDescent="0.25">
      <c r="A917" s="3" t="s">
        <v>249</v>
      </c>
      <c r="B917" s="12">
        <v>43274.973611111112</v>
      </c>
      <c r="C917" s="3"/>
      <c r="D917" s="3">
        <v>37.799999999999997</v>
      </c>
      <c r="E917" s="3"/>
      <c r="F917" s="3"/>
      <c r="G917" s="3"/>
      <c r="H917" s="3"/>
      <c r="I917" s="3"/>
      <c r="J917" s="3"/>
      <c r="K917" s="3">
        <v>36.4</v>
      </c>
      <c r="L917" s="3"/>
      <c r="M917" s="3"/>
      <c r="N917" s="3">
        <v>190.9</v>
      </c>
      <c r="O917" s="3"/>
      <c r="P917" s="3"/>
      <c r="Q917" s="3">
        <v>1</v>
      </c>
      <c r="R917" s="3">
        <v>0.5</v>
      </c>
      <c r="S917" s="3">
        <v>1.4</v>
      </c>
      <c r="T917" s="3">
        <v>16.2</v>
      </c>
      <c r="U917" s="3">
        <v>67.5</v>
      </c>
      <c r="V917" s="3">
        <v>965.8</v>
      </c>
      <c r="W917" s="3">
        <v>0</v>
      </c>
      <c r="X917" s="3">
        <v>44.9</v>
      </c>
      <c r="Y917" s="3">
        <v>44.8</v>
      </c>
      <c r="Z917" s="3">
        <v>43.9</v>
      </c>
      <c r="AA917" s="3">
        <v>39.200000000000003</v>
      </c>
      <c r="AB917" s="3">
        <v>35.700000000000003</v>
      </c>
      <c r="AC917" s="3">
        <v>34.200000000000003</v>
      </c>
      <c r="AD917" s="3">
        <v>37.9</v>
      </c>
      <c r="AE917" s="3">
        <v>41</v>
      </c>
      <c r="AF917" s="3">
        <v>42.7</v>
      </c>
      <c r="AG917" s="3">
        <v>36.799999999999997</v>
      </c>
      <c r="AH917" s="3">
        <v>37.700000000000003</v>
      </c>
      <c r="AI917" s="3">
        <v>37.1</v>
      </c>
      <c r="AJ917" s="3">
        <v>35.4</v>
      </c>
      <c r="AK917" s="3">
        <v>32.700000000000003</v>
      </c>
      <c r="AL917" s="3">
        <v>29.7</v>
      </c>
      <c r="AM917" s="3">
        <v>28.3</v>
      </c>
      <c r="AN917" s="3">
        <v>26.3</v>
      </c>
      <c r="AO917" s="3">
        <v>23</v>
      </c>
      <c r="AP917" s="3">
        <v>21.7</v>
      </c>
      <c r="AQ917" s="3">
        <v>20.6</v>
      </c>
      <c r="AR917" s="3">
        <v>19.100000000000001</v>
      </c>
      <c r="AS917" s="3">
        <v>19.399999999999999</v>
      </c>
      <c r="AT917" s="3">
        <v>25.6</v>
      </c>
      <c r="AU917" s="3">
        <v>15.2</v>
      </c>
      <c r="AV917" s="3">
        <v>13.2</v>
      </c>
      <c r="AW917" s="3">
        <v>12.5</v>
      </c>
      <c r="AX917" s="3">
        <v>10.4</v>
      </c>
      <c r="AY917" s="3">
        <v>9.9</v>
      </c>
      <c r="AZ917" s="3">
        <v>0</v>
      </c>
      <c r="BA917" s="3">
        <v>0</v>
      </c>
      <c r="BB917" s="3">
        <v>0</v>
      </c>
      <c r="BC917" s="3">
        <v>37.7598820524437</v>
      </c>
      <c r="BD917" s="3">
        <v>44.940117947556288</v>
      </c>
      <c r="BE917" s="3">
        <v>44.840117947556294</v>
      </c>
      <c r="BF917" s="3">
        <v>42.700117947556294</v>
      </c>
      <c r="BG917" s="3">
        <v>38.326784614222973</v>
      </c>
      <c r="BH917" s="3">
        <v>34.966784614222959</v>
      </c>
      <c r="BI917" s="3">
        <v>33.8801179475563</v>
      </c>
      <c r="BJ917" s="3">
        <v>38.373451280889626</v>
      </c>
      <c r="BK917" s="3">
        <v>41.346784614222955</v>
      </c>
      <c r="BL917" s="3">
        <v>42.620117947556295</v>
      </c>
      <c r="BM917" s="3">
        <v>36.85345128088963</v>
      </c>
      <c r="BN917" s="3">
        <v>38.036784614222967</v>
      </c>
      <c r="BO917" s="3">
        <v>36.803451280889632</v>
      </c>
      <c r="BP917" s="3">
        <v>34.820117947556298</v>
      </c>
      <c r="BQ917" s="3">
        <v>32.536784614222952</v>
      </c>
      <c r="BR917" s="3">
        <v>29.863451280889635</v>
      </c>
      <c r="BS917" s="3">
        <v>28.266784614222971</v>
      </c>
      <c r="BT917" s="3">
        <v>26.463451280889629</v>
      </c>
      <c r="BU917" s="3">
        <v>23.1301179475563</v>
      </c>
      <c r="BV917" s="3">
        <v>21.546784614222965</v>
      </c>
      <c r="BW917" s="3">
        <v>20.980117947556302</v>
      </c>
      <c r="BX917" s="3">
        <v>19.400117947556303</v>
      </c>
      <c r="BY917" s="3">
        <v>19.520117947556294</v>
      </c>
      <c r="BZ917" s="3">
        <v>25.850117947556299</v>
      </c>
      <c r="CA917" s="3">
        <v>15.550117947556288</v>
      </c>
      <c r="CB917" s="3">
        <v>12.986784614222962</v>
      </c>
      <c r="CC917" s="3">
        <v>12.500117947556298</v>
      </c>
      <c r="CD917" s="3">
        <v>9.7067846142229683</v>
      </c>
      <c r="CE917" s="3">
        <v>9.4001179475562964</v>
      </c>
      <c r="CF917" s="3">
        <v>-0.88654871911037247</v>
      </c>
      <c r="CG917" s="3">
        <v>-1.4198820524437039</v>
      </c>
      <c r="CH917" s="3">
        <v>-2.4965487191103719</v>
      </c>
      <c r="CI917" s="13">
        <f>[1]!dbasum(RecData[[#This Row],[20]:[2000]],RecData[[#Headers],[20]:[2000]])</f>
        <v>37.170943798669441</v>
      </c>
      <c r="CJ917" s="14">
        <v>10259</v>
      </c>
      <c r="CK917" s="15" t="s">
        <v>249</v>
      </c>
      <c r="CL917" s="15">
        <f>RecData[[#This Row],[Start Time]]</f>
        <v>43274.973611111112</v>
      </c>
      <c r="CM917" s="16">
        <f>RecData[[#This Row],[Wind Speed avg]]</f>
        <v>1</v>
      </c>
      <c r="CN917" s="16">
        <f>RecData[[#This Row],[Wind Dir. avg]]</f>
        <v>190.9</v>
      </c>
      <c r="CO917" s="16">
        <f>RecData[[#This Row],[Amb. Humidity]]</f>
        <v>67.5</v>
      </c>
      <c r="CP917" s="16">
        <f>RecData[[#This Row],[Amb. Temperature]]</f>
        <v>16.2</v>
      </c>
      <c r="CQ917" s="17">
        <f>RecData[[#This Row],[Amb. Rain Gauge]]</f>
        <v>0</v>
      </c>
      <c r="CR917" s="4" t="s">
        <v>1</v>
      </c>
      <c r="CS917" s="4" t="s">
        <v>49</v>
      </c>
      <c r="CT917" s="70">
        <v>1408.42199707031</v>
      </c>
      <c r="CU917" s="70">
        <v>21.000179290771399</v>
      </c>
      <c r="CV917" s="70">
        <v>9.3863801956176705</v>
      </c>
      <c r="CW917" s="70">
        <v>15.076560974121</v>
      </c>
      <c r="CX917" s="4"/>
      <c r="CY917" s="69"/>
      <c r="CZ917" s="2" t="b">
        <f>IF($DP$1="YES",IF(RecData[[#This Row],[Power (kW)]]&gt;=$CR$3, TRUE,FALSE),TRUE)</f>
        <v>1</v>
      </c>
      <c r="DA917" s="16">
        <f>MIN(MOD(180-ABS(ABS($DA$1-RecData[Yaw Angle (°)])-180),360),MOD(180-ABS(ABS($DB$1-RecData[Yaw Angle (°)])-180),360))</f>
        <v>13.470252513083835</v>
      </c>
      <c r="DB917" s="2" t="str">
        <f>IF($DP$2="None","None",IF(RecData[[#This Row],[Relative Wind Direction]]&lt;=45,"DW",IF(RecData[[#This Row],[Relative Wind Direction]]&lt;=135,"CW","UW")))</f>
        <v>DW</v>
      </c>
      <c r="DC917" s="61">
        <f>IF($CL917-$CL913&gt;1/24,#REF!,IF(SUM($CQ913:$CQ917)&gt;$DS$1,$DS$5,DC918-1))</f>
        <v>-3</v>
      </c>
      <c r="DD917" s="61">
        <f>IF($CL918-$CL917&gt;1/24,#REF!,IF(SUM($CQ913:$CQ917)&gt;$DS$1,$DS$6,DD916-1))</f>
        <v>-8</v>
      </c>
      <c r="DE917" s="18" t="b">
        <v>0</v>
      </c>
      <c r="DF917" s="2" t="b">
        <f>IF(OR(RecData[[#This Row],[WSpd_Avg '[m/s']]]-RecData[[#This Row],[Wind Speed min]]&gt;=$DF$3,RecData[[#This Row],[Wind Speed max]]-RecData[[#This Row],[WSpd_Avg '[m/s']]]&gt;=$DF$2),TRUE,FALSE)</f>
        <v>0</v>
      </c>
      <c r="DG917" s="2" t="b">
        <f>RecData[[#This Row],[Temperature '[°C']]]&lt;=-20</f>
        <v>0</v>
      </c>
      <c r="DH917" s="18" t="b">
        <f>NOT(OR(MOD(RecData[[#This Row],[TIMESTAMP]],1)&gt;0.91632,MOD(RecData[[#This Row],[TIMESTAMP]],1)&lt;0.208681))</f>
        <v>0</v>
      </c>
      <c r="DI917" s="18" t="b">
        <f>RecData[[#This Row],[Overall (dBA)]]-RecData[[#This Row],[L90]]&gt;=$DS$4</f>
        <v>0</v>
      </c>
      <c r="DJ917" s="18" t="b">
        <f>RecData[[#This Row],[Overall (dBA)]]&gt;$DS$2</f>
        <v>0</v>
      </c>
      <c r="DK917" s="18" t="b">
        <f>RecData[[#This Row],[Overall (dBA)]]&lt;$DS$3</f>
        <v>0</v>
      </c>
      <c r="DL9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7" s="2">
        <f>IF(AND(RecData[[#This Row],[Turbines ON/OFF]] = "OFF", NOT(OR(RecData[[#This Row],[Junk?]]="YES",RecData[[#This Row],[Gust?]],RecData[[#This Row],[Rain?]:[Min SPL Threshold?]]))),1,0)</f>
        <v>0</v>
      </c>
      <c r="DN917" s="16">
        <f>RecData[[#This Row],[dBA Sum]]</f>
        <v>37.170943798669441</v>
      </c>
      <c r="DO917" s="16">
        <f>RecData[[#This Row],[LAF90.0]]</f>
        <v>36.4</v>
      </c>
      <c r="DP917" s="55">
        <f>IF(AND(RecData[[#This Row],[Useable TON Data?]],RecData[[#This Row],[Turbines ON/OFF]]="ON"),RecData[[#This Row],[dBA Sum]],"")</f>
        <v>37.170943798669441</v>
      </c>
      <c r="DQ917" s="55" t="str">
        <f>IF(AND(RecData[[#This Row],[Useable Background Data?]],RecData[[#This Row],[Turbines ON/OFF]]="OFF"),RecData[[#This Row],[dBA Sum]],"")</f>
        <v/>
      </c>
      <c r="DR917" s="3">
        <f>IF(OR(RecData[[#This Row],[Useable TON Data?]],RecData[[#This Row],[Useable Background Data?]]),ROUND(RecData[[#This Row],[WSpd_Avg '[m/s']]],0),"")</f>
        <v>1</v>
      </c>
      <c r="DS917" s="85">
        <f>(0.00002)^2*(10^(RecData[[#This Row],[Overall (dBA)]]/10))</f>
        <v>2.0852319529435276E-6</v>
      </c>
    </row>
    <row r="918" spans="1:123" ht="15" x14ac:dyDescent="0.25">
      <c r="A918" s="3" t="s">
        <v>249</v>
      </c>
      <c r="B918" s="12">
        <v>43274.974305555559</v>
      </c>
      <c r="C918" s="3"/>
      <c r="D918" s="3">
        <v>39</v>
      </c>
      <c r="E918" s="3"/>
      <c r="F918" s="3"/>
      <c r="G918" s="3"/>
      <c r="H918" s="3"/>
      <c r="I918" s="3"/>
      <c r="J918" s="3"/>
      <c r="K918" s="3">
        <v>37.5</v>
      </c>
      <c r="L918" s="3"/>
      <c r="M918" s="3"/>
      <c r="N918" s="3">
        <v>130.30000000000001</v>
      </c>
      <c r="O918" s="3"/>
      <c r="P918" s="3"/>
      <c r="Q918" s="3">
        <v>1.28</v>
      </c>
      <c r="R918" s="3">
        <v>0.4</v>
      </c>
      <c r="S918" s="3">
        <v>2</v>
      </c>
      <c r="T918" s="3">
        <v>16.3</v>
      </c>
      <c r="U918" s="3">
        <v>67.3</v>
      </c>
      <c r="V918" s="3">
        <v>965.8</v>
      </c>
      <c r="W918" s="3">
        <v>0</v>
      </c>
      <c r="X918" s="3">
        <v>46.1</v>
      </c>
      <c r="Y918" s="3">
        <v>45.9</v>
      </c>
      <c r="Z918" s="3">
        <v>44.3</v>
      </c>
      <c r="AA918" s="3">
        <v>40.6</v>
      </c>
      <c r="AB918" s="3">
        <v>36.799999999999997</v>
      </c>
      <c r="AC918" s="3">
        <v>35.700000000000003</v>
      </c>
      <c r="AD918" s="3">
        <v>39.9</v>
      </c>
      <c r="AE918" s="3">
        <v>42.7</v>
      </c>
      <c r="AF918" s="3">
        <v>44.7</v>
      </c>
      <c r="AG918" s="3">
        <v>38.1</v>
      </c>
      <c r="AH918" s="3">
        <v>38.799999999999997</v>
      </c>
      <c r="AI918" s="3">
        <v>38.299999999999997</v>
      </c>
      <c r="AJ918" s="3">
        <v>36.5</v>
      </c>
      <c r="AK918" s="3">
        <v>34.1</v>
      </c>
      <c r="AL918" s="3">
        <v>30.9</v>
      </c>
      <c r="AM918" s="3">
        <v>29.5</v>
      </c>
      <c r="AN918" s="3">
        <v>27.4</v>
      </c>
      <c r="AO918" s="3">
        <v>24.1</v>
      </c>
      <c r="AP918" s="3">
        <v>22.5</v>
      </c>
      <c r="AQ918" s="3">
        <v>21.4</v>
      </c>
      <c r="AR918" s="3">
        <v>19.7</v>
      </c>
      <c r="AS918" s="3">
        <v>19.7</v>
      </c>
      <c r="AT918" s="3">
        <v>26.3</v>
      </c>
      <c r="AU918" s="3">
        <v>17.2</v>
      </c>
      <c r="AV918" s="3">
        <v>15.5</v>
      </c>
      <c r="AW918" s="3">
        <v>14.5</v>
      </c>
      <c r="AX918" s="3">
        <v>11.5</v>
      </c>
      <c r="AY918" s="3">
        <v>10.5</v>
      </c>
      <c r="AZ918" s="3">
        <v>0</v>
      </c>
      <c r="BA918" s="3">
        <v>0</v>
      </c>
      <c r="BB918" s="3">
        <v>0</v>
      </c>
      <c r="BC918" s="3">
        <v>38.969125330998473</v>
      </c>
      <c r="BD918" s="3">
        <v>46.130874669001521</v>
      </c>
      <c r="BE918" s="3">
        <v>45.930874669001533</v>
      </c>
      <c r="BF918" s="3">
        <v>43.090874669001529</v>
      </c>
      <c r="BG918" s="3">
        <v>39.717541335668194</v>
      </c>
      <c r="BH918" s="3">
        <v>36.057541335668198</v>
      </c>
      <c r="BI918" s="3">
        <v>35.37087466900153</v>
      </c>
      <c r="BJ918" s="3">
        <v>40.364208002334856</v>
      </c>
      <c r="BK918" s="3">
        <v>43.037541335668188</v>
      </c>
      <c r="BL918" s="3">
        <v>44.610874669001539</v>
      </c>
      <c r="BM918" s="3">
        <v>38.144208002334871</v>
      </c>
      <c r="BN918" s="3">
        <v>39.127541335668191</v>
      </c>
      <c r="BO918" s="3">
        <v>37.994208002334865</v>
      </c>
      <c r="BP918" s="3">
        <v>35.910874669001522</v>
      </c>
      <c r="BQ918" s="3">
        <v>33.927541335668188</v>
      </c>
      <c r="BR918" s="3">
        <v>31.054208002334867</v>
      </c>
      <c r="BS918" s="3">
        <v>29.457541335668189</v>
      </c>
      <c r="BT918" s="3">
        <v>27.554208002334867</v>
      </c>
      <c r="BU918" s="3">
        <v>24.220874669001532</v>
      </c>
      <c r="BV918" s="3">
        <v>22.337541335668199</v>
      </c>
      <c r="BW918" s="3">
        <v>21.770874669001529</v>
      </c>
      <c r="BX918" s="3">
        <v>19.990874669001535</v>
      </c>
      <c r="BY918" s="3">
        <v>19.810874669001528</v>
      </c>
      <c r="BZ918" s="3">
        <v>26.540874669001532</v>
      </c>
      <c r="CA918" s="3">
        <v>17.540874669001518</v>
      </c>
      <c r="CB918" s="3">
        <v>15.27754133566819</v>
      </c>
      <c r="CC918" s="3">
        <v>14.490874669001528</v>
      </c>
      <c r="CD918" s="3">
        <v>10.7975413356682</v>
      </c>
      <c r="CE918" s="3">
        <v>9.9908746690015278</v>
      </c>
      <c r="CF918" s="3">
        <v>-0.8957919976651425</v>
      </c>
      <c r="CG918" s="3">
        <v>-1.4291253309984739</v>
      </c>
      <c r="CH918" s="3">
        <v>-2.5057919976651419</v>
      </c>
      <c r="CI918" s="13">
        <f>[1]!dbasum(RecData[[#This Row],[20]:[2000]],RecData[[#Headers],[20]:[2000]])</f>
        <v>38.417756825193941</v>
      </c>
      <c r="CJ918" s="14">
        <v>10260</v>
      </c>
      <c r="CK918" s="15" t="s">
        <v>249</v>
      </c>
      <c r="CL918" s="15">
        <f>RecData[[#This Row],[Start Time]]</f>
        <v>43274.974305555559</v>
      </c>
      <c r="CM918" s="16">
        <f>RecData[[#This Row],[Wind Speed avg]]</f>
        <v>1.28</v>
      </c>
      <c r="CN918" s="16">
        <f>RecData[[#This Row],[Wind Dir. avg]]</f>
        <v>130.30000000000001</v>
      </c>
      <c r="CO918" s="16">
        <f>RecData[[#This Row],[Amb. Humidity]]</f>
        <v>67.3</v>
      </c>
      <c r="CP918" s="16">
        <f>RecData[[#This Row],[Amb. Temperature]]</f>
        <v>16.3</v>
      </c>
      <c r="CQ918" s="17">
        <f>RecData[[#This Row],[Amb. Rain Gauge]]</f>
        <v>0</v>
      </c>
      <c r="CR918" s="4" t="s">
        <v>1</v>
      </c>
      <c r="CS918" s="4" t="s">
        <v>49</v>
      </c>
      <c r="CT918" s="70">
        <v>1408.42199707031</v>
      </c>
      <c r="CU918" s="70">
        <v>21.000179290771399</v>
      </c>
      <c r="CV918" s="70">
        <v>9.3863801956176705</v>
      </c>
      <c r="CW918" s="70">
        <v>15.076560974121</v>
      </c>
      <c r="CX918" s="4"/>
      <c r="CY918" s="69"/>
      <c r="CZ918" s="2" t="b">
        <f>IF($DP$1="YES",IF(RecData[[#This Row],[Power (kW)]]&gt;=$CR$3, TRUE,FALSE),TRUE)</f>
        <v>1</v>
      </c>
      <c r="DA918" s="16">
        <f>MIN(MOD(180-ABS(ABS($DA$1-RecData[Yaw Angle (°)])-180),360),MOD(180-ABS(ABS($DB$1-RecData[Yaw Angle (°)])-180),360))</f>
        <v>13.470252513083835</v>
      </c>
      <c r="DB918" s="2" t="str">
        <f>IF($DP$2="None","None",IF(RecData[[#This Row],[Relative Wind Direction]]&lt;=45,"DW",IF(RecData[[#This Row],[Relative Wind Direction]]&lt;=135,"CW","UW")))</f>
        <v>DW</v>
      </c>
      <c r="DC918" s="61">
        <f>IF($CL918-$CL914&gt;1/24,#REF!,IF(SUM($CQ914:$CQ918)&gt;$DS$1,$DS$5,DC919-1))</f>
        <v>-2</v>
      </c>
      <c r="DD918" s="61">
        <f>IF($CL919-$CL918&gt;1/24,#REF!,IF(SUM($CQ914:$CQ918)&gt;$DS$1,$DS$6,DD917-1))</f>
        <v>-9</v>
      </c>
      <c r="DE918" s="18" t="b">
        <v>0</v>
      </c>
      <c r="DF918" s="2" t="b">
        <f>IF(OR(RecData[[#This Row],[WSpd_Avg '[m/s']]]-RecData[[#This Row],[Wind Speed min]]&gt;=$DF$3,RecData[[#This Row],[Wind Speed max]]-RecData[[#This Row],[WSpd_Avg '[m/s']]]&gt;=$DF$2),TRUE,FALSE)</f>
        <v>0</v>
      </c>
      <c r="DG918" s="2" t="b">
        <f>RecData[[#This Row],[Temperature '[°C']]]&lt;=-20</f>
        <v>0</v>
      </c>
      <c r="DH918" s="18" t="b">
        <f>NOT(OR(MOD(RecData[[#This Row],[TIMESTAMP]],1)&gt;0.91632,MOD(RecData[[#This Row],[TIMESTAMP]],1)&lt;0.208681))</f>
        <v>0</v>
      </c>
      <c r="DI918" s="18" t="b">
        <f>RecData[[#This Row],[Overall (dBA)]]-RecData[[#This Row],[L90]]&gt;=$DS$4</f>
        <v>0</v>
      </c>
      <c r="DJ918" s="18" t="b">
        <f>RecData[[#This Row],[Overall (dBA)]]&gt;$DS$2</f>
        <v>0</v>
      </c>
      <c r="DK918" s="18" t="b">
        <f>RecData[[#This Row],[Overall (dBA)]]&lt;$DS$3</f>
        <v>0</v>
      </c>
      <c r="DL9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8" s="2">
        <f>IF(AND(RecData[[#This Row],[Turbines ON/OFF]] = "OFF", NOT(OR(RecData[[#This Row],[Junk?]]="YES",RecData[[#This Row],[Gust?]],RecData[[#This Row],[Rain?]:[Min SPL Threshold?]]))),1,0)</f>
        <v>0</v>
      </c>
      <c r="DN918" s="16">
        <f>RecData[[#This Row],[dBA Sum]]</f>
        <v>38.417756825193941</v>
      </c>
      <c r="DO918" s="16">
        <f>RecData[[#This Row],[LAF90.0]]</f>
        <v>37.5</v>
      </c>
      <c r="DP918" s="55">
        <f>IF(AND(RecData[[#This Row],[Useable TON Data?]],RecData[[#This Row],[Turbines ON/OFF]]="ON"),RecData[[#This Row],[dBA Sum]],"")</f>
        <v>38.417756825193941</v>
      </c>
      <c r="DQ918" s="55" t="str">
        <f>IF(AND(RecData[[#This Row],[Useable Background Data?]],RecData[[#This Row],[Turbines ON/OFF]]="OFF"),RecData[[#This Row],[dBA Sum]],"")</f>
        <v/>
      </c>
      <c r="DR918" s="3">
        <f>IF(OR(RecData[[#This Row],[Useable TON Data?]],RecData[[#This Row],[Useable Background Data?]]),ROUND(RecData[[#This Row],[WSpd_Avg '[m/s']]],0),"")</f>
        <v>1</v>
      </c>
      <c r="DS918" s="85">
        <f>(0.00002)^2*(10^(RecData[[#This Row],[Overall (dBA)]]/10))</f>
        <v>2.7786616928494196E-6</v>
      </c>
    </row>
    <row r="919" spans="1:123" ht="15" x14ac:dyDescent="0.25">
      <c r="A919" s="3" t="s">
        <v>249</v>
      </c>
      <c r="B919" s="12">
        <v>43274.975000000006</v>
      </c>
      <c r="C919" s="3"/>
      <c r="D919" s="3">
        <v>37.200000000000003</v>
      </c>
      <c r="E919" s="3"/>
      <c r="F919" s="3"/>
      <c r="G919" s="3"/>
      <c r="H919" s="3"/>
      <c r="I919" s="3"/>
      <c r="J919" s="3"/>
      <c r="K919" s="3">
        <v>35.9</v>
      </c>
      <c r="L919" s="3"/>
      <c r="M919" s="3"/>
      <c r="N919" s="3">
        <v>168.8</v>
      </c>
      <c r="O919" s="3"/>
      <c r="P919" s="3"/>
      <c r="Q919" s="3">
        <v>0.95</v>
      </c>
      <c r="R919" s="3">
        <v>0.3</v>
      </c>
      <c r="S919" s="3">
        <v>2</v>
      </c>
      <c r="T919" s="3">
        <v>16.3</v>
      </c>
      <c r="U919" s="3">
        <v>67.099999999999994</v>
      </c>
      <c r="V919" s="3">
        <v>965.8</v>
      </c>
      <c r="W919" s="3">
        <v>0</v>
      </c>
      <c r="X919" s="3">
        <v>44.9</v>
      </c>
      <c r="Y919" s="3">
        <v>45.2</v>
      </c>
      <c r="Z919" s="3">
        <v>44.5</v>
      </c>
      <c r="AA919" s="3">
        <v>40.6</v>
      </c>
      <c r="AB919" s="3">
        <v>36</v>
      </c>
      <c r="AC919" s="3">
        <v>34</v>
      </c>
      <c r="AD919" s="3">
        <v>36.6</v>
      </c>
      <c r="AE919" s="3">
        <v>39.1</v>
      </c>
      <c r="AF919" s="3">
        <v>43.2</v>
      </c>
      <c r="AG919" s="3">
        <v>36.1</v>
      </c>
      <c r="AH919" s="3">
        <v>34.9</v>
      </c>
      <c r="AI919" s="3">
        <v>36.200000000000003</v>
      </c>
      <c r="AJ919" s="3">
        <v>33.799999999999997</v>
      </c>
      <c r="AK919" s="3">
        <v>32.200000000000003</v>
      </c>
      <c r="AL919" s="3">
        <v>29.7</v>
      </c>
      <c r="AM919" s="3">
        <v>28.3</v>
      </c>
      <c r="AN919" s="3">
        <v>26.6</v>
      </c>
      <c r="AO919" s="3">
        <v>23.4</v>
      </c>
      <c r="AP919" s="3">
        <v>21.6</v>
      </c>
      <c r="AQ919" s="3">
        <v>20.399999999999999</v>
      </c>
      <c r="AR919" s="3">
        <v>19</v>
      </c>
      <c r="AS919" s="3">
        <v>18.600000000000001</v>
      </c>
      <c r="AT919" s="3">
        <v>25</v>
      </c>
      <c r="AU919" s="3">
        <v>16.3</v>
      </c>
      <c r="AV919" s="3">
        <v>14.7</v>
      </c>
      <c r="AW919" s="3">
        <v>13.8</v>
      </c>
      <c r="AX919" s="3">
        <v>11.1</v>
      </c>
      <c r="AY919" s="3">
        <v>10.3</v>
      </c>
      <c r="AZ919" s="3">
        <v>0</v>
      </c>
      <c r="BA919" s="3">
        <v>0</v>
      </c>
      <c r="BB919" s="3">
        <v>0</v>
      </c>
      <c r="BC919" s="3">
        <v>37.202201945997075</v>
      </c>
      <c r="BD919" s="3">
        <v>44.897798054002919</v>
      </c>
      <c r="BE919" s="3">
        <v>45.197798054002931</v>
      </c>
      <c r="BF919" s="3">
        <v>43.257798054002933</v>
      </c>
      <c r="BG919" s="3">
        <v>39.684464720669595</v>
      </c>
      <c r="BH919" s="3">
        <v>35.224464720669602</v>
      </c>
      <c r="BI919" s="3">
        <v>33.637798054002928</v>
      </c>
      <c r="BJ919" s="3">
        <v>37.031131387336259</v>
      </c>
      <c r="BK919" s="3">
        <v>39.404464720669594</v>
      </c>
      <c r="BL919" s="3">
        <v>43.077798054002926</v>
      </c>
      <c r="BM919" s="3">
        <v>36.111131387336258</v>
      </c>
      <c r="BN919" s="3">
        <v>35.1944647206696</v>
      </c>
      <c r="BO919" s="3">
        <v>35.861131387336258</v>
      </c>
      <c r="BP919" s="3">
        <v>33.17779805400292</v>
      </c>
      <c r="BQ919" s="3">
        <v>31.994464720669583</v>
      </c>
      <c r="BR919" s="3">
        <v>29.821131387336266</v>
      </c>
      <c r="BS919" s="3">
        <v>28.224464720669602</v>
      </c>
      <c r="BT919" s="3">
        <v>26.721131387336264</v>
      </c>
      <c r="BU919" s="3">
        <v>23.48779805400293</v>
      </c>
      <c r="BV919" s="3">
        <v>21.404464720669594</v>
      </c>
      <c r="BW919" s="3">
        <v>20.73779805400293</v>
      </c>
      <c r="BX919" s="3">
        <v>19.257798054002933</v>
      </c>
      <c r="BY919" s="3">
        <v>18.677798054002928</v>
      </c>
      <c r="BZ919" s="3">
        <v>25.207798054002936</v>
      </c>
      <c r="CA919" s="3">
        <v>16.60779805400292</v>
      </c>
      <c r="CB919" s="3">
        <v>14.444464720669593</v>
      </c>
      <c r="CC919" s="3">
        <v>13.757798054002926</v>
      </c>
      <c r="CD919" s="3">
        <v>10.364464720669602</v>
      </c>
      <c r="CE919" s="3">
        <v>9.7577980540029259</v>
      </c>
      <c r="CF919" s="3">
        <v>-0.92886861266374154</v>
      </c>
      <c r="CG919" s="3">
        <v>-1.462201945997073</v>
      </c>
      <c r="CH919" s="3">
        <v>-2.538868612663741</v>
      </c>
      <c r="CI919" s="13">
        <f>[1]!dbasum(RecData[[#This Row],[20]:[2000]],RecData[[#Headers],[20]:[2000]])</f>
        <v>36.547599959093155</v>
      </c>
      <c r="CJ919" s="14">
        <v>10261</v>
      </c>
      <c r="CK919" s="15" t="s">
        <v>249</v>
      </c>
      <c r="CL919" s="15">
        <f>RecData[[#This Row],[Start Time]]</f>
        <v>43274.975000000006</v>
      </c>
      <c r="CM919" s="16">
        <f>RecData[[#This Row],[Wind Speed avg]]</f>
        <v>0.95</v>
      </c>
      <c r="CN919" s="16">
        <f>RecData[[#This Row],[Wind Dir. avg]]</f>
        <v>168.8</v>
      </c>
      <c r="CO919" s="16">
        <f>RecData[[#This Row],[Amb. Humidity]]</f>
        <v>67.099999999999994</v>
      </c>
      <c r="CP919" s="16">
        <f>RecData[[#This Row],[Amb. Temperature]]</f>
        <v>16.3</v>
      </c>
      <c r="CQ919" s="17">
        <f>RecData[[#This Row],[Amb. Rain Gauge]]</f>
        <v>0</v>
      </c>
      <c r="CR919" s="4" t="s">
        <v>1</v>
      </c>
      <c r="CS919" s="4" t="s">
        <v>49</v>
      </c>
      <c r="CT919" s="70">
        <v>1408.42199707031</v>
      </c>
      <c r="CU919" s="70">
        <v>21.000179290771399</v>
      </c>
      <c r="CV919" s="70">
        <v>9.3863801956176705</v>
      </c>
      <c r="CW919" s="70">
        <v>15.076560974121</v>
      </c>
      <c r="CX919" s="4"/>
      <c r="CY919" s="69"/>
      <c r="CZ919" s="2" t="b">
        <f>IF($DP$1="YES",IF(RecData[[#This Row],[Power (kW)]]&gt;=$CR$3, TRUE,FALSE),TRUE)</f>
        <v>1</v>
      </c>
      <c r="DA919" s="16">
        <f>MIN(MOD(180-ABS(ABS($DA$1-RecData[Yaw Angle (°)])-180),360),MOD(180-ABS(ABS($DB$1-RecData[Yaw Angle (°)])-180),360))</f>
        <v>13.470252513083835</v>
      </c>
      <c r="DB919" s="2" t="str">
        <f>IF($DP$2="None","None",IF(RecData[[#This Row],[Relative Wind Direction]]&lt;=45,"DW",IF(RecData[[#This Row],[Relative Wind Direction]]&lt;=135,"CW","UW")))</f>
        <v>DW</v>
      </c>
      <c r="DC919" s="61">
        <v>-1</v>
      </c>
      <c r="DD919" s="61">
        <v>-1</v>
      </c>
      <c r="DE919" s="18" t="b">
        <v>0</v>
      </c>
      <c r="DF919" s="2" t="b">
        <f>IF(OR(RecData[[#This Row],[WSpd_Avg '[m/s']]]-RecData[[#This Row],[Wind Speed min]]&gt;=$DF$3,RecData[[#This Row],[Wind Speed max]]-RecData[[#This Row],[WSpd_Avg '[m/s']]]&gt;=$DF$2),TRUE,FALSE)</f>
        <v>0</v>
      </c>
      <c r="DG919" s="2" t="b">
        <f>RecData[[#This Row],[Temperature '[°C']]]&lt;=-20</f>
        <v>0</v>
      </c>
      <c r="DH919" s="18" t="b">
        <f>NOT(OR(MOD(RecData[[#This Row],[TIMESTAMP]],1)&gt;0.91632,MOD(RecData[[#This Row],[TIMESTAMP]],1)&lt;0.208681))</f>
        <v>0</v>
      </c>
      <c r="DI919" s="18" t="b">
        <f>RecData[[#This Row],[Overall (dBA)]]-RecData[[#This Row],[L90]]&gt;=$DS$4</f>
        <v>0</v>
      </c>
      <c r="DJ919" s="18" t="b">
        <f>RecData[[#This Row],[Overall (dBA)]]&gt;$DS$2</f>
        <v>0</v>
      </c>
      <c r="DK919" s="18" t="b">
        <f>RecData[[#This Row],[Overall (dBA)]]&lt;$DS$3</f>
        <v>0</v>
      </c>
      <c r="DL9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19" s="2">
        <f>IF(AND(RecData[[#This Row],[Turbines ON/OFF]] = "OFF", NOT(OR(RecData[[#This Row],[Junk?]]="YES",RecData[[#This Row],[Gust?]],RecData[[#This Row],[Rain?]:[Min SPL Threshold?]]))),1,0)</f>
        <v>0</v>
      </c>
      <c r="DN919" s="16">
        <f>RecData[[#This Row],[dBA Sum]]</f>
        <v>36.547599959093155</v>
      </c>
      <c r="DO919" s="16">
        <f>RecData[[#This Row],[LAF90.0]]</f>
        <v>35.9</v>
      </c>
      <c r="DP919" s="55">
        <f>IF(AND(RecData[[#This Row],[Useable TON Data?]],RecData[[#This Row],[Turbines ON/OFF]]="ON"),RecData[[#This Row],[dBA Sum]],"")</f>
        <v>36.547599959093155</v>
      </c>
      <c r="DQ919" s="55" t="str">
        <f>IF(AND(RecData[[#This Row],[Useable Background Data?]],RecData[[#This Row],[Turbines ON/OFF]]="OFF"),RecData[[#This Row],[dBA Sum]],"")</f>
        <v/>
      </c>
      <c r="DR919" s="3">
        <f>IF(OR(RecData[[#This Row],[Useable TON Data?]],RecData[[#This Row],[Useable Background Data?]]),ROUND(RecData[[#This Row],[WSpd_Avg '[m/s']]],0),"")</f>
        <v>1</v>
      </c>
      <c r="DS919" s="85">
        <f>(0.00002)^2*(10^(RecData[[#This Row],[Overall (dBA)]]/10))</f>
        <v>1.8064252171266082E-6</v>
      </c>
    </row>
    <row r="920" spans="1:123" ht="15" x14ac:dyDescent="0.25">
      <c r="A920" s="3" t="s">
        <v>249</v>
      </c>
      <c r="B920" s="12">
        <v>43274.975694444445</v>
      </c>
      <c r="C920" s="3"/>
      <c r="D920" s="3">
        <v>39</v>
      </c>
      <c r="E920" s="3"/>
      <c r="F920" s="3"/>
      <c r="G920" s="3"/>
      <c r="H920" s="3"/>
      <c r="I920" s="3"/>
      <c r="J920" s="3"/>
      <c r="K920" s="3">
        <v>37.299999999999997</v>
      </c>
      <c r="L920" s="3"/>
      <c r="M920" s="3"/>
      <c r="N920" s="3">
        <v>170.8</v>
      </c>
      <c r="O920" s="3"/>
      <c r="P920" s="3"/>
      <c r="Q920" s="3">
        <v>0.86</v>
      </c>
      <c r="R920" s="3">
        <v>0.3</v>
      </c>
      <c r="S920" s="3">
        <v>1.4</v>
      </c>
      <c r="T920" s="3">
        <v>16.3</v>
      </c>
      <c r="U920" s="3">
        <v>66.900000000000006</v>
      </c>
      <c r="V920" s="3">
        <v>965.8</v>
      </c>
      <c r="W920" s="3">
        <v>0</v>
      </c>
      <c r="X920" s="3">
        <v>45.5</v>
      </c>
      <c r="Y920" s="3">
        <v>45.5</v>
      </c>
      <c r="Z920" s="3">
        <v>46.1</v>
      </c>
      <c r="AA920" s="3">
        <v>42</v>
      </c>
      <c r="AB920" s="3">
        <v>36</v>
      </c>
      <c r="AC920" s="3">
        <v>34.9</v>
      </c>
      <c r="AD920" s="3">
        <v>38.4</v>
      </c>
      <c r="AE920" s="3">
        <v>41.9</v>
      </c>
      <c r="AF920" s="3">
        <v>45</v>
      </c>
      <c r="AG920" s="3">
        <v>38.5</v>
      </c>
      <c r="AH920" s="3">
        <v>38.200000000000003</v>
      </c>
      <c r="AI920" s="3">
        <v>38.799999999999997</v>
      </c>
      <c r="AJ920" s="3">
        <v>36</v>
      </c>
      <c r="AK920" s="3">
        <v>34</v>
      </c>
      <c r="AL920" s="3">
        <v>31</v>
      </c>
      <c r="AM920" s="3">
        <v>29.5</v>
      </c>
      <c r="AN920" s="3">
        <v>27.5</v>
      </c>
      <c r="AO920" s="3">
        <v>23.9</v>
      </c>
      <c r="AP920" s="3">
        <v>22.6</v>
      </c>
      <c r="AQ920" s="3">
        <v>21.1</v>
      </c>
      <c r="AR920" s="3">
        <v>18.899999999999999</v>
      </c>
      <c r="AS920" s="3">
        <v>17.600000000000001</v>
      </c>
      <c r="AT920" s="3">
        <v>28.2</v>
      </c>
      <c r="AU920" s="3">
        <v>17.8</v>
      </c>
      <c r="AV920" s="3">
        <v>12.2</v>
      </c>
      <c r="AW920" s="3">
        <v>11.5</v>
      </c>
      <c r="AX920" s="3">
        <v>9.9</v>
      </c>
      <c r="AY920" s="3">
        <v>9.6</v>
      </c>
      <c r="AZ920" s="3">
        <v>0</v>
      </c>
      <c r="BA920" s="3">
        <v>0</v>
      </c>
      <c r="BB920" s="3">
        <v>0</v>
      </c>
      <c r="BC920" s="3">
        <v>39.050314340459884</v>
      </c>
      <c r="BD920" s="3">
        <v>45.449685659540116</v>
      </c>
      <c r="BE920" s="3">
        <v>45.449685659540116</v>
      </c>
      <c r="BF920" s="3">
        <v>44.809685659540115</v>
      </c>
      <c r="BG920" s="3">
        <v>41.036352326206789</v>
      </c>
      <c r="BH920" s="3">
        <v>35.176352326206775</v>
      </c>
      <c r="BI920" s="3">
        <v>34.489685659540108</v>
      </c>
      <c r="BJ920" s="3">
        <v>38.783018992873444</v>
      </c>
      <c r="BK920" s="3">
        <v>42.156352326206779</v>
      </c>
      <c r="BL920" s="3">
        <v>44.829685659540111</v>
      </c>
      <c r="BM920" s="3">
        <v>38.463018992873451</v>
      </c>
      <c r="BN920" s="3">
        <v>38.446352326206785</v>
      </c>
      <c r="BO920" s="3">
        <v>38.413018992873454</v>
      </c>
      <c r="BP920" s="3">
        <v>35.329685659540111</v>
      </c>
      <c r="BQ920" s="3">
        <v>33.746352326206768</v>
      </c>
      <c r="BR920" s="3">
        <v>31.07301899287345</v>
      </c>
      <c r="BS920" s="3">
        <v>29.376352326206778</v>
      </c>
      <c r="BT920" s="3">
        <v>27.57301899287345</v>
      </c>
      <c r="BU920" s="3">
        <v>23.939685659540118</v>
      </c>
      <c r="BV920" s="3">
        <v>22.356352326206782</v>
      </c>
      <c r="BW920" s="3">
        <v>21.38968565954012</v>
      </c>
      <c r="BX920" s="3">
        <v>19.109685659540119</v>
      </c>
      <c r="BY920" s="3">
        <v>17.629685659540115</v>
      </c>
      <c r="BZ920" s="3">
        <v>28.359685659540112</v>
      </c>
      <c r="CA920" s="3">
        <v>18.059685659540108</v>
      </c>
      <c r="CB920" s="3">
        <v>11.896352326206781</v>
      </c>
      <c r="CC920" s="3">
        <v>11.409685659540116</v>
      </c>
      <c r="CD920" s="3">
        <v>9.1163523262067869</v>
      </c>
      <c r="CE920" s="3">
        <v>9.0096856595401178</v>
      </c>
      <c r="CF920" s="3">
        <v>-0.97698100712655389</v>
      </c>
      <c r="CG920" s="3">
        <v>-1.5103143404598853</v>
      </c>
      <c r="CH920" s="3">
        <v>-2.5869810071265533</v>
      </c>
      <c r="CI920" s="13">
        <f>[1]!dbasum(RecData[[#This Row],[20]:[2000]],RecData[[#Headers],[20]:[2000]])</f>
        <v>38.280082766255866</v>
      </c>
      <c r="CJ920" s="14">
        <v>10262</v>
      </c>
      <c r="CK920" s="15" t="s">
        <v>249</v>
      </c>
      <c r="CL920" s="15">
        <f>RecData[[#This Row],[Start Time]]</f>
        <v>43274.975694444445</v>
      </c>
      <c r="CM920" s="16">
        <f>RecData[[#This Row],[Wind Speed avg]]</f>
        <v>0.86</v>
      </c>
      <c r="CN920" s="16">
        <f>RecData[[#This Row],[Wind Dir. avg]]</f>
        <v>170.8</v>
      </c>
      <c r="CO920" s="16">
        <f>RecData[[#This Row],[Amb. Humidity]]</f>
        <v>66.900000000000006</v>
      </c>
      <c r="CP920" s="16">
        <f>RecData[[#This Row],[Amb. Temperature]]</f>
        <v>16.3</v>
      </c>
      <c r="CQ920" s="17">
        <f>RecData[[#This Row],[Amb. Rain Gauge]]</f>
        <v>0</v>
      </c>
      <c r="CR920" s="4" t="s">
        <v>1</v>
      </c>
      <c r="CS920" s="4" t="s">
        <v>49</v>
      </c>
      <c r="CT920" s="70">
        <v>1408.42199707031</v>
      </c>
      <c r="CU920" s="70">
        <v>21.000179290771399</v>
      </c>
      <c r="CV920" s="70">
        <v>9.3863801956176705</v>
      </c>
      <c r="CW920" s="70">
        <v>15.076560974121</v>
      </c>
      <c r="CX920" s="4"/>
      <c r="CY920" s="69"/>
      <c r="CZ920" s="2" t="b">
        <f>IF($DP$1="YES",IF(RecData[[#This Row],[Power (kW)]]&gt;=$CR$3, TRUE,FALSE),TRUE)</f>
        <v>1</v>
      </c>
      <c r="DA920" s="16">
        <f>MIN(MOD(180-ABS(ABS($DA$1-RecData[Yaw Angle (°)])-180),360),MOD(180-ABS(ABS($DB$1-RecData[Yaw Angle (°)])-180),360))</f>
        <v>13.470252513083835</v>
      </c>
      <c r="DB920" s="2" t="str">
        <f>IF($DP$2="None","None",IF(RecData[[#This Row],[Relative Wind Direction]]&lt;=45,"DW",IF(RecData[[#This Row],[Relative Wind Direction]]&lt;=135,"CW","UW")))</f>
        <v>DW</v>
      </c>
      <c r="DC920" s="61" t="e">
        <f>IF($CL920-$CL919&gt;1/24,#REF!,IF(SUM($CQ919:$CQ920)&gt;$DS$1,$DS$5,DC921-1))</f>
        <v>#REF!</v>
      </c>
      <c r="DD920" s="61">
        <f>IF($CL921-$CL920&gt;1/24,#REF!,IF(SUM($CQ919:$CQ920)&gt;$DS$1,$DS$6,DD919-1))</f>
        <v>-2</v>
      </c>
      <c r="DE920" s="18" t="b">
        <v>0</v>
      </c>
      <c r="DF920" s="2" t="b">
        <f>IF(OR(RecData[[#This Row],[WSpd_Avg '[m/s']]]-RecData[[#This Row],[Wind Speed min]]&gt;=$DF$3,RecData[[#This Row],[Wind Speed max]]-RecData[[#This Row],[WSpd_Avg '[m/s']]]&gt;=$DF$2),TRUE,FALSE)</f>
        <v>0</v>
      </c>
      <c r="DG920" s="2" t="b">
        <f>RecData[[#This Row],[Temperature '[°C']]]&lt;=-20</f>
        <v>0</v>
      </c>
      <c r="DH920" s="18" t="b">
        <f>NOT(OR(MOD(RecData[[#This Row],[TIMESTAMP]],1)&gt;0.91632,MOD(RecData[[#This Row],[TIMESTAMP]],1)&lt;0.208681))</f>
        <v>0</v>
      </c>
      <c r="DI920" s="18" t="b">
        <f>RecData[[#This Row],[Overall (dBA)]]-RecData[[#This Row],[L90]]&gt;=$DS$4</f>
        <v>0</v>
      </c>
      <c r="DJ920" s="18" t="b">
        <f>RecData[[#This Row],[Overall (dBA)]]&gt;$DS$2</f>
        <v>0</v>
      </c>
      <c r="DK920" s="18" t="b">
        <f>RecData[[#This Row],[Overall (dBA)]]&lt;$DS$3</f>
        <v>0</v>
      </c>
      <c r="DL9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0" s="2">
        <f>IF(AND(RecData[[#This Row],[Turbines ON/OFF]] = "OFF", NOT(OR(RecData[[#This Row],[Junk?]]="YES",RecData[[#This Row],[Gust?]],RecData[[#This Row],[Rain?]:[Min SPL Threshold?]]))),1,0)</f>
        <v>0</v>
      </c>
      <c r="DN920" s="16">
        <f>RecData[[#This Row],[dBA Sum]]</f>
        <v>38.280082766255866</v>
      </c>
      <c r="DO920" s="16">
        <f>RecData[[#This Row],[LAF90.0]]</f>
        <v>37.299999999999997</v>
      </c>
      <c r="DP920" s="55">
        <f>IF(AND(RecData[[#This Row],[Useable TON Data?]],RecData[[#This Row],[Turbines ON/OFF]]="ON"),RecData[[#This Row],[dBA Sum]],"")</f>
        <v>38.280082766255866</v>
      </c>
      <c r="DQ920" s="55" t="str">
        <f>IF(AND(RecData[[#This Row],[Useable Background Data?]],RecData[[#This Row],[Turbines ON/OFF]]="OFF"),RecData[[#This Row],[dBA Sum]],"")</f>
        <v/>
      </c>
      <c r="DR920" s="3">
        <f>IF(OR(RecData[[#This Row],[Useable TON Data?]],RecData[[#This Row],[Useable Background Data?]]),ROUND(RecData[[#This Row],[WSpd_Avg '[m/s']]],0),"")</f>
        <v>1</v>
      </c>
      <c r="DS920" s="85">
        <f>(0.00002)^2*(10^(RecData[[#This Row],[Overall (dBA)]]/10))</f>
        <v>2.6919579269992146E-6</v>
      </c>
    </row>
    <row r="921" spans="1:123" ht="15" x14ac:dyDescent="0.25">
      <c r="A921" s="3" t="s">
        <v>249</v>
      </c>
      <c r="B921" s="12">
        <v>43274.976388888892</v>
      </c>
      <c r="C921" s="3"/>
      <c r="D921" s="3">
        <v>38.4</v>
      </c>
      <c r="E921" s="3"/>
      <c r="F921" s="3"/>
      <c r="G921" s="3"/>
      <c r="H921" s="3"/>
      <c r="I921" s="3"/>
      <c r="J921" s="3"/>
      <c r="K921" s="3">
        <v>36.299999999999997</v>
      </c>
      <c r="L921" s="3"/>
      <c r="M921" s="3"/>
      <c r="N921" s="3">
        <v>173.2</v>
      </c>
      <c r="O921" s="3"/>
      <c r="P921" s="3"/>
      <c r="Q921" s="3">
        <v>1.18</v>
      </c>
      <c r="R921" s="3">
        <v>0.7</v>
      </c>
      <c r="S921" s="3">
        <v>1.7</v>
      </c>
      <c r="T921" s="3">
        <v>16.399999999999999</v>
      </c>
      <c r="U921" s="3">
        <v>66.8</v>
      </c>
      <c r="V921" s="3">
        <v>965.8</v>
      </c>
      <c r="W921" s="3">
        <v>0</v>
      </c>
      <c r="X921" s="3">
        <v>45.6</v>
      </c>
      <c r="Y921" s="3">
        <v>46.1</v>
      </c>
      <c r="Z921" s="3">
        <v>46</v>
      </c>
      <c r="AA921" s="3">
        <v>41.2</v>
      </c>
      <c r="AB921" s="3">
        <v>35.9</v>
      </c>
      <c r="AC921" s="3">
        <v>34.700000000000003</v>
      </c>
      <c r="AD921" s="3">
        <v>38.700000000000003</v>
      </c>
      <c r="AE921" s="3">
        <v>41.3</v>
      </c>
      <c r="AF921" s="3">
        <v>43.4</v>
      </c>
      <c r="AG921" s="3">
        <v>37.299999999999997</v>
      </c>
      <c r="AH921" s="3">
        <v>37.700000000000003</v>
      </c>
      <c r="AI921" s="3">
        <v>37.5</v>
      </c>
      <c r="AJ921" s="3">
        <v>35.799999999999997</v>
      </c>
      <c r="AK921" s="3">
        <v>33.299999999999997</v>
      </c>
      <c r="AL921" s="3">
        <v>30.6</v>
      </c>
      <c r="AM921" s="3">
        <v>29.9</v>
      </c>
      <c r="AN921" s="3">
        <v>28.3</v>
      </c>
      <c r="AO921" s="3">
        <v>25</v>
      </c>
      <c r="AP921" s="3">
        <v>23.3</v>
      </c>
      <c r="AQ921" s="3">
        <v>21.5</v>
      </c>
      <c r="AR921" s="3">
        <v>18.8</v>
      </c>
      <c r="AS921" s="3">
        <v>16.7</v>
      </c>
      <c r="AT921" s="3">
        <v>24.6</v>
      </c>
      <c r="AU921" s="3">
        <v>13.1</v>
      </c>
      <c r="AV921" s="3">
        <v>11.1</v>
      </c>
      <c r="AW921" s="3">
        <v>10.6</v>
      </c>
      <c r="AX921" s="3">
        <v>9.5</v>
      </c>
      <c r="AY921" s="3">
        <v>9.4</v>
      </c>
      <c r="AZ921" s="3">
        <v>0</v>
      </c>
      <c r="BA921" s="3">
        <v>0</v>
      </c>
      <c r="BB921" s="3">
        <v>0</v>
      </c>
      <c r="BC921" s="3">
        <v>38.366688031256878</v>
      </c>
      <c r="BD921" s="3">
        <v>45.633311968743122</v>
      </c>
      <c r="BE921" s="3">
        <v>46.133311968743122</v>
      </c>
      <c r="BF921" s="3">
        <v>44.793311968743119</v>
      </c>
      <c r="BG921" s="3">
        <v>40.31997863540979</v>
      </c>
      <c r="BH921" s="3">
        <v>35.159978635409793</v>
      </c>
      <c r="BI921" s="3">
        <v>34.373311968743131</v>
      </c>
      <c r="BJ921" s="3">
        <v>39.166645302076454</v>
      </c>
      <c r="BK921" s="3">
        <v>41.639978635409783</v>
      </c>
      <c r="BL921" s="3">
        <v>43.313311968743129</v>
      </c>
      <c r="BM921" s="3">
        <v>37.34664530207646</v>
      </c>
      <c r="BN921" s="3">
        <v>38.029978635409798</v>
      </c>
      <c r="BO921" s="3">
        <v>37.196645302076455</v>
      </c>
      <c r="BP921" s="3">
        <v>35.21331196874312</v>
      </c>
      <c r="BQ921" s="3">
        <v>33.129978635409778</v>
      </c>
      <c r="BR921" s="3">
        <v>30.756645302076457</v>
      </c>
      <c r="BS921" s="3">
        <v>29.859978635409782</v>
      </c>
      <c r="BT921" s="3">
        <v>28.45664530207646</v>
      </c>
      <c r="BU921" s="3">
        <v>25.123311968743124</v>
      </c>
      <c r="BV921" s="3">
        <v>23.13997863540979</v>
      </c>
      <c r="BW921" s="3">
        <v>21.873311968743124</v>
      </c>
      <c r="BX921" s="3">
        <v>19.09331196874313</v>
      </c>
      <c r="BY921" s="3">
        <v>16.813311968743115</v>
      </c>
      <c r="BZ921" s="3">
        <v>24.84331196874313</v>
      </c>
      <c r="CA921" s="3">
        <v>13.44331196874311</v>
      </c>
      <c r="CB921" s="3">
        <v>10.879978635409785</v>
      </c>
      <c r="CC921" s="3">
        <v>10.593311968743116</v>
      </c>
      <c r="CD921" s="3">
        <v>8.7999786354097935</v>
      </c>
      <c r="CE921" s="3">
        <v>8.8933119687431201</v>
      </c>
      <c r="CF921" s="3">
        <v>-0.89335469792354871</v>
      </c>
      <c r="CG921" s="3">
        <v>-1.4266880312568802</v>
      </c>
      <c r="CH921" s="3">
        <v>-2.5033546979235481</v>
      </c>
      <c r="CI921" s="13">
        <f>[1]!dbasum(RecData[[#This Row],[20]:[2000]],RecData[[#Headers],[20]:[2000]])</f>
        <v>37.980241636620079</v>
      </c>
      <c r="CJ921" s="14">
        <v>10263</v>
      </c>
      <c r="CK921" s="15" t="s">
        <v>249</v>
      </c>
      <c r="CL921" s="15">
        <f>RecData[[#This Row],[Start Time]]</f>
        <v>43274.976388888892</v>
      </c>
      <c r="CM921" s="16">
        <f>RecData[[#This Row],[Wind Speed avg]]</f>
        <v>1.18</v>
      </c>
      <c r="CN921" s="16">
        <f>RecData[[#This Row],[Wind Dir. avg]]</f>
        <v>173.2</v>
      </c>
      <c r="CO921" s="16">
        <f>RecData[[#This Row],[Amb. Humidity]]</f>
        <v>66.8</v>
      </c>
      <c r="CP921" s="16">
        <f>RecData[[#This Row],[Amb. Temperature]]</f>
        <v>16.399999999999999</v>
      </c>
      <c r="CQ921" s="17">
        <f>RecData[[#This Row],[Amb. Rain Gauge]]</f>
        <v>0</v>
      </c>
      <c r="CR921" s="4" t="s">
        <v>1</v>
      </c>
      <c r="CS921" s="4" t="s">
        <v>49</v>
      </c>
      <c r="CT921" s="70">
        <v>1408.42199707031</v>
      </c>
      <c r="CU921" s="70">
        <v>21.000179290771399</v>
      </c>
      <c r="CV921" s="70">
        <v>9.3863801956176705</v>
      </c>
      <c r="CW921" s="70">
        <v>15.076560974121</v>
      </c>
      <c r="CX921" s="4"/>
      <c r="CY921" s="69"/>
      <c r="CZ921" s="2" t="b">
        <f>IF($DP$1="YES",IF(RecData[[#This Row],[Power (kW)]]&gt;=$CR$3, TRUE,FALSE),TRUE)</f>
        <v>1</v>
      </c>
      <c r="DA921" s="16">
        <f>MIN(MOD(180-ABS(ABS($DA$1-RecData[Yaw Angle (°)])-180),360),MOD(180-ABS(ABS($DB$1-RecData[Yaw Angle (°)])-180),360))</f>
        <v>13.470252513083835</v>
      </c>
      <c r="DB921" s="2" t="str">
        <f>IF($DP$2="None","None",IF(RecData[[#This Row],[Relative Wind Direction]]&lt;=45,"DW",IF(RecData[[#This Row],[Relative Wind Direction]]&lt;=135,"CW","UW")))</f>
        <v>DW</v>
      </c>
      <c r="DC921" s="61" t="e">
        <f>IF($CL921-$CL919&gt;1/24,#REF!,IF(SUM($CQ919:$CQ921)&gt;$DS$1,$DS$5,DC922-1))</f>
        <v>#REF!</v>
      </c>
      <c r="DD921" s="61">
        <f>IF($CL922-$CL921&gt;1/24,#REF!,IF(SUM($CQ919:$CQ921)&gt;$DS$1,$DS$6,DD920-1))</f>
        <v>-3</v>
      </c>
      <c r="DE921" s="18" t="b">
        <v>0</v>
      </c>
      <c r="DF921" s="2" t="b">
        <f>IF(OR(RecData[[#This Row],[WSpd_Avg '[m/s']]]-RecData[[#This Row],[Wind Speed min]]&gt;=$DF$3,RecData[[#This Row],[Wind Speed max]]-RecData[[#This Row],[WSpd_Avg '[m/s']]]&gt;=$DF$2),TRUE,FALSE)</f>
        <v>0</v>
      </c>
      <c r="DG921" s="2" t="b">
        <f>RecData[[#This Row],[Temperature '[°C']]]&lt;=-20</f>
        <v>0</v>
      </c>
      <c r="DH921" s="18" t="b">
        <f>NOT(OR(MOD(RecData[[#This Row],[TIMESTAMP]],1)&gt;0.91632,MOD(RecData[[#This Row],[TIMESTAMP]],1)&lt;0.208681))</f>
        <v>0</v>
      </c>
      <c r="DI921" s="18" t="b">
        <f>RecData[[#This Row],[Overall (dBA)]]-RecData[[#This Row],[L90]]&gt;=$DS$4</f>
        <v>0</v>
      </c>
      <c r="DJ921" s="18" t="b">
        <f>RecData[[#This Row],[Overall (dBA)]]&gt;$DS$2</f>
        <v>0</v>
      </c>
      <c r="DK921" s="18" t="b">
        <f>RecData[[#This Row],[Overall (dBA)]]&lt;$DS$3</f>
        <v>0</v>
      </c>
      <c r="DL9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1" s="2">
        <f>IF(AND(RecData[[#This Row],[Turbines ON/OFF]] = "OFF", NOT(OR(RecData[[#This Row],[Junk?]]="YES",RecData[[#This Row],[Gust?]],RecData[[#This Row],[Rain?]:[Min SPL Threshold?]]))),1,0)</f>
        <v>0</v>
      </c>
      <c r="DN921" s="16">
        <f>RecData[[#This Row],[dBA Sum]]</f>
        <v>37.980241636620079</v>
      </c>
      <c r="DO921" s="16">
        <f>RecData[[#This Row],[LAF90.0]]</f>
        <v>36.299999999999997</v>
      </c>
      <c r="DP921" s="55">
        <f>IF(AND(RecData[[#This Row],[Useable TON Data?]],RecData[[#This Row],[Turbines ON/OFF]]="ON"),RecData[[#This Row],[dBA Sum]],"")</f>
        <v>37.980241636620079</v>
      </c>
      <c r="DQ921" s="55" t="str">
        <f>IF(AND(RecData[[#This Row],[Useable Background Data?]],RecData[[#This Row],[Turbines ON/OFF]]="OFF"),RecData[[#This Row],[dBA Sum]],"")</f>
        <v/>
      </c>
      <c r="DR921" s="3">
        <f>IF(OR(RecData[[#This Row],[Useable TON Data?]],RecData[[#This Row],[Useable Background Data?]]),ROUND(RecData[[#This Row],[WSpd_Avg '[m/s']]],0),"")</f>
        <v>1</v>
      </c>
      <c r="DS921" s="85">
        <f>(0.00002)^2*(10^(RecData[[#This Row],[Overall (dBA)]]/10))</f>
        <v>2.5123732170164502E-6</v>
      </c>
    </row>
    <row r="922" spans="1:123" ht="15" x14ac:dyDescent="0.25">
      <c r="A922" s="3" t="s">
        <v>249</v>
      </c>
      <c r="B922" s="12">
        <v>43274.977083333339</v>
      </c>
      <c r="C922" s="3"/>
      <c r="D922" s="3">
        <v>39.1</v>
      </c>
      <c r="E922" s="3"/>
      <c r="F922" s="3"/>
      <c r="G922" s="3"/>
      <c r="H922" s="3"/>
      <c r="I922" s="3"/>
      <c r="J922" s="3"/>
      <c r="K922" s="3">
        <v>37.5</v>
      </c>
      <c r="L922" s="3"/>
      <c r="M922" s="3"/>
      <c r="N922" s="3">
        <v>175.9</v>
      </c>
      <c r="O922" s="3"/>
      <c r="P922" s="3"/>
      <c r="Q922" s="3">
        <v>0.74</v>
      </c>
      <c r="R922" s="3">
        <v>0.2</v>
      </c>
      <c r="S922" s="3">
        <v>1.7</v>
      </c>
      <c r="T922" s="3">
        <v>16.399999999999999</v>
      </c>
      <c r="U922" s="3">
        <v>66.7</v>
      </c>
      <c r="V922" s="3">
        <v>965.9</v>
      </c>
      <c r="W922" s="3">
        <v>0</v>
      </c>
      <c r="X922" s="3">
        <v>45</v>
      </c>
      <c r="Y922" s="3">
        <v>44.8</v>
      </c>
      <c r="Z922" s="3">
        <v>44.5</v>
      </c>
      <c r="AA922" s="3">
        <v>40.700000000000003</v>
      </c>
      <c r="AB922" s="3">
        <v>35.799999999999997</v>
      </c>
      <c r="AC922" s="3">
        <v>35.5</v>
      </c>
      <c r="AD922" s="3">
        <v>38.799999999999997</v>
      </c>
      <c r="AE922" s="3">
        <v>41.4</v>
      </c>
      <c r="AF922" s="3">
        <v>45.6</v>
      </c>
      <c r="AG922" s="3">
        <v>38.200000000000003</v>
      </c>
      <c r="AH922" s="3">
        <v>38.299999999999997</v>
      </c>
      <c r="AI922" s="3">
        <v>38.1</v>
      </c>
      <c r="AJ922" s="3">
        <v>36.4</v>
      </c>
      <c r="AK922" s="3">
        <v>34.299999999999997</v>
      </c>
      <c r="AL922" s="3">
        <v>31.4</v>
      </c>
      <c r="AM922" s="3">
        <v>30.3</v>
      </c>
      <c r="AN922" s="3">
        <v>28.3</v>
      </c>
      <c r="AO922" s="3">
        <v>24.9</v>
      </c>
      <c r="AP922" s="3">
        <v>23.5</v>
      </c>
      <c r="AQ922" s="3">
        <v>22</v>
      </c>
      <c r="AR922" s="3">
        <v>20.2</v>
      </c>
      <c r="AS922" s="3">
        <v>18.899999999999999</v>
      </c>
      <c r="AT922" s="3">
        <v>24.5</v>
      </c>
      <c r="AU922" s="3">
        <v>15.6</v>
      </c>
      <c r="AV922" s="3">
        <v>14</v>
      </c>
      <c r="AW922" s="3">
        <v>13.1</v>
      </c>
      <c r="AX922" s="3">
        <v>10.7</v>
      </c>
      <c r="AY922" s="3">
        <v>10.1</v>
      </c>
      <c r="AZ922" s="3">
        <v>0</v>
      </c>
      <c r="BA922" s="3">
        <v>0</v>
      </c>
      <c r="BB922" s="3">
        <v>0</v>
      </c>
      <c r="BC922" s="3">
        <v>39.072973587968669</v>
      </c>
      <c r="BD922" s="3">
        <v>45.027026412031326</v>
      </c>
      <c r="BE922" s="3">
        <v>44.827026412031337</v>
      </c>
      <c r="BF922" s="3">
        <v>43.287026412031331</v>
      </c>
      <c r="BG922" s="3">
        <v>39.813693078698002</v>
      </c>
      <c r="BH922" s="3">
        <v>35.053693078697997</v>
      </c>
      <c r="BI922" s="3">
        <v>35.16702641203134</v>
      </c>
      <c r="BJ922" s="3">
        <v>39.26035974536466</v>
      </c>
      <c r="BK922" s="3">
        <v>41.733693078698003</v>
      </c>
      <c r="BL922" s="3">
        <v>45.507026412031344</v>
      </c>
      <c r="BM922" s="3">
        <v>38.240359745364664</v>
      </c>
      <c r="BN922" s="3">
        <v>38.62369307869799</v>
      </c>
      <c r="BO922" s="3">
        <v>37.790359745364675</v>
      </c>
      <c r="BP922" s="3">
        <v>35.807026412031327</v>
      </c>
      <c r="BQ922" s="3">
        <v>34.12369307869799</v>
      </c>
      <c r="BR922" s="3">
        <v>31.550359745364666</v>
      </c>
      <c r="BS922" s="3">
        <v>30.253693078697999</v>
      </c>
      <c r="BT922" s="3">
        <v>28.450359745364672</v>
      </c>
      <c r="BU922" s="3">
        <v>25.017026412031335</v>
      </c>
      <c r="BV922" s="3">
        <v>23.333693078697998</v>
      </c>
      <c r="BW922" s="3">
        <v>22.367026412031336</v>
      </c>
      <c r="BX922" s="3">
        <v>20.487026412031334</v>
      </c>
      <c r="BY922" s="3">
        <v>19.00702641203133</v>
      </c>
      <c r="BZ922" s="3">
        <v>24.737026412031334</v>
      </c>
      <c r="CA922" s="3">
        <v>15.937026412031322</v>
      </c>
      <c r="CB922" s="3">
        <v>13.773693078697995</v>
      </c>
      <c r="CC922" s="3">
        <v>13.087026412031328</v>
      </c>
      <c r="CD922" s="3">
        <v>9.9936930786980014</v>
      </c>
      <c r="CE922" s="3">
        <v>9.587026412031328</v>
      </c>
      <c r="CF922" s="3">
        <v>-0.89964025463533659</v>
      </c>
      <c r="CG922" s="3">
        <v>-1.432973587968668</v>
      </c>
      <c r="CH922" s="3">
        <v>-2.509640254635336</v>
      </c>
      <c r="CI922" s="13">
        <f>[1]!dbasum(RecData[[#This Row],[20]:[2000]],RecData[[#Headers],[20]:[2000]])</f>
        <v>38.681809510867964</v>
      </c>
      <c r="CJ922" s="14">
        <v>10264</v>
      </c>
      <c r="CK922" s="15" t="s">
        <v>249</v>
      </c>
      <c r="CL922" s="15">
        <f>RecData[[#This Row],[Start Time]]</f>
        <v>43274.977083333339</v>
      </c>
      <c r="CM922" s="16">
        <f>RecData[[#This Row],[Wind Speed avg]]</f>
        <v>0.74</v>
      </c>
      <c r="CN922" s="16">
        <f>RecData[[#This Row],[Wind Dir. avg]]</f>
        <v>175.9</v>
      </c>
      <c r="CO922" s="16">
        <f>RecData[[#This Row],[Amb. Humidity]]</f>
        <v>66.7</v>
      </c>
      <c r="CP922" s="16">
        <f>RecData[[#This Row],[Amb. Temperature]]</f>
        <v>16.399999999999999</v>
      </c>
      <c r="CQ922" s="17">
        <f>RecData[[#This Row],[Amb. Rain Gauge]]</f>
        <v>0</v>
      </c>
      <c r="CR922" s="4" t="s">
        <v>1</v>
      </c>
      <c r="CS922" s="4" t="s">
        <v>49</v>
      </c>
      <c r="CT922" s="70">
        <v>1408.42199707031</v>
      </c>
      <c r="CU922" s="70">
        <v>21.000179290771399</v>
      </c>
      <c r="CV922" s="70">
        <v>9.3863801956176705</v>
      </c>
      <c r="CW922" s="70">
        <v>15.076560974121</v>
      </c>
      <c r="CX922" s="4"/>
      <c r="CY922" s="69"/>
      <c r="CZ922" s="2" t="b">
        <f>IF($DP$1="YES",IF(RecData[[#This Row],[Power (kW)]]&gt;=$CR$3, TRUE,FALSE),TRUE)</f>
        <v>1</v>
      </c>
      <c r="DA922" s="16">
        <f>MIN(MOD(180-ABS(ABS($DA$1-RecData[Yaw Angle (°)])-180),360),MOD(180-ABS(ABS($DB$1-RecData[Yaw Angle (°)])-180),360))</f>
        <v>13.470252513083835</v>
      </c>
      <c r="DB922" s="2" t="str">
        <f>IF($DP$2="None","None",IF(RecData[[#This Row],[Relative Wind Direction]]&lt;=45,"DW",IF(RecData[[#This Row],[Relative Wind Direction]]&lt;=135,"CW","UW")))</f>
        <v>DW</v>
      </c>
      <c r="DC922" s="61" t="e">
        <f>IF($CL922-$CL919&gt;1/24,#REF!,IF(SUM($CQ919:$CQ922)&gt;$DS$1,$DS$5,DC923-1))</f>
        <v>#REF!</v>
      </c>
      <c r="DD922" s="61">
        <f>IF($CL923-$CL922&gt;1/24,#REF!,IF(SUM($CQ919:$CQ922)&gt;$DS$1,$DS$6,DD921-1))</f>
        <v>-4</v>
      </c>
      <c r="DE922" s="18" t="b">
        <v>0</v>
      </c>
      <c r="DF922" s="2" t="b">
        <f>IF(OR(RecData[[#This Row],[WSpd_Avg '[m/s']]]-RecData[[#This Row],[Wind Speed min]]&gt;=$DF$3,RecData[[#This Row],[Wind Speed max]]-RecData[[#This Row],[WSpd_Avg '[m/s']]]&gt;=$DF$2),TRUE,FALSE)</f>
        <v>0</v>
      </c>
      <c r="DG922" s="2" t="b">
        <f>RecData[[#This Row],[Temperature '[°C']]]&lt;=-20</f>
        <v>0</v>
      </c>
      <c r="DH922" s="18" t="b">
        <f>NOT(OR(MOD(RecData[[#This Row],[TIMESTAMP]],1)&gt;0.91632,MOD(RecData[[#This Row],[TIMESTAMP]],1)&lt;0.208681))</f>
        <v>0</v>
      </c>
      <c r="DI922" s="18" t="b">
        <f>RecData[[#This Row],[Overall (dBA)]]-RecData[[#This Row],[L90]]&gt;=$DS$4</f>
        <v>0</v>
      </c>
      <c r="DJ922" s="18" t="b">
        <f>RecData[[#This Row],[Overall (dBA)]]&gt;$DS$2</f>
        <v>0</v>
      </c>
      <c r="DK922" s="18" t="b">
        <f>RecData[[#This Row],[Overall (dBA)]]&lt;$DS$3</f>
        <v>0</v>
      </c>
      <c r="DL9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2" s="2">
        <f>IF(AND(RecData[[#This Row],[Turbines ON/OFF]] = "OFF", NOT(OR(RecData[[#This Row],[Junk?]]="YES",RecData[[#This Row],[Gust?]],RecData[[#This Row],[Rain?]:[Min SPL Threshold?]]))),1,0)</f>
        <v>0</v>
      </c>
      <c r="DN922" s="16">
        <f>RecData[[#This Row],[dBA Sum]]</f>
        <v>38.681809510867964</v>
      </c>
      <c r="DO922" s="16">
        <f>RecData[[#This Row],[LAF90.0]]</f>
        <v>37.5</v>
      </c>
      <c r="DP922" s="55">
        <f>IF(AND(RecData[[#This Row],[Useable TON Data?]],RecData[[#This Row],[Turbines ON/OFF]]="ON"),RecData[[#This Row],[dBA Sum]],"")</f>
        <v>38.681809510867964</v>
      </c>
      <c r="DQ922" s="55" t="str">
        <f>IF(AND(RecData[[#This Row],[Useable Background Data?]],RecData[[#This Row],[Turbines ON/OFF]]="OFF"),RecData[[#This Row],[dBA Sum]],"")</f>
        <v/>
      </c>
      <c r="DR922" s="3">
        <f>IF(OR(RecData[[#This Row],[Useable TON Data?]],RecData[[#This Row],[Useable Background Data?]]),ROUND(RecData[[#This Row],[WSpd_Avg '[m/s']]],0),"")</f>
        <v>1</v>
      </c>
      <c r="DS922" s="85">
        <f>(0.00002)^2*(10^(RecData[[#This Row],[Overall (dBA)]]/10))</f>
        <v>2.9528469835144999E-6</v>
      </c>
    </row>
    <row r="923" spans="1:123" ht="15" x14ac:dyDescent="0.25">
      <c r="A923" s="3" t="s">
        <v>249</v>
      </c>
      <c r="B923" s="12">
        <v>43274.977777777778</v>
      </c>
      <c r="C923" s="3"/>
      <c r="D923" s="3">
        <v>39.1</v>
      </c>
      <c r="E923" s="3"/>
      <c r="F923" s="3"/>
      <c r="G923" s="3"/>
      <c r="H923" s="3"/>
      <c r="I923" s="3"/>
      <c r="J923" s="3"/>
      <c r="K923" s="3">
        <v>37.4</v>
      </c>
      <c r="L923" s="3"/>
      <c r="M923" s="3"/>
      <c r="N923" s="3">
        <v>158.1</v>
      </c>
      <c r="O923" s="3"/>
      <c r="P923" s="3"/>
      <c r="Q923" s="3">
        <v>1.38</v>
      </c>
      <c r="R923" s="3">
        <v>0.2</v>
      </c>
      <c r="S923" s="3">
        <v>2.7</v>
      </c>
      <c r="T923" s="3">
        <v>16.399999999999999</v>
      </c>
      <c r="U923" s="3">
        <v>66.599999999999994</v>
      </c>
      <c r="V923" s="3">
        <v>965.8</v>
      </c>
      <c r="W923" s="3">
        <v>0</v>
      </c>
      <c r="X923" s="3">
        <v>44.4</v>
      </c>
      <c r="Y923" s="3">
        <v>44.6</v>
      </c>
      <c r="Z923" s="3">
        <v>43.6</v>
      </c>
      <c r="AA923" s="3">
        <v>39.299999999999997</v>
      </c>
      <c r="AB923" s="3">
        <v>34.4</v>
      </c>
      <c r="AC923" s="3">
        <v>34.799999999999997</v>
      </c>
      <c r="AD923" s="3">
        <v>40</v>
      </c>
      <c r="AE923" s="3">
        <v>42.4</v>
      </c>
      <c r="AF923" s="3">
        <v>44.8</v>
      </c>
      <c r="AG923" s="3">
        <v>38</v>
      </c>
      <c r="AH923" s="3">
        <v>39.299999999999997</v>
      </c>
      <c r="AI923" s="3">
        <v>38</v>
      </c>
      <c r="AJ923" s="3">
        <v>36.4</v>
      </c>
      <c r="AK923" s="3">
        <v>33.6</v>
      </c>
      <c r="AL923" s="3">
        <v>30.4</v>
      </c>
      <c r="AM923" s="3">
        <v>29.1</v>
      </c>
      <c r="AN923" s="3">
        <v>26.9</v>
      </c>
      <c r="AO923" s="3">
        <v>24.2</v>
      </c>
      <c r="AP923" s="3">
        <v>23.6</v>
      </c>
      <c r="AQ923" s="3">
        <v>22.5</v>
      </c>
      <c r="AR923" s="3">
        <v>21.9</v>
      </c>
      <c r="AS923" s="3">
        <v>21.7</v>
      </c>
      <c r="AT923" s="3">
        <v>26.2</v>
      </c>
      <c r="AU923" s="3">
        <v>20.7</v>
      </c>
      <c r="AV923" s="3">
        <v>19.600000000000001</v>
      </c>
      <c r="AW923" s="3">
        <v>19.100000000000001</v>
      </c>
      <c r="AX923" s="3">
        <v>15.4</v>
      </c>
      <c r="AY923" s="3">
        <v>13.8</v>
      </c>
      <c r="AZ923" s="3">
        <v>0</v>
      </c>
      <c r="BA923" s="3">
        <v>0</v>
      </c>
      <c r="BB923" s="3">
        <v>0</v>
      </c>
      <c r="BC923" s="3">
        <v>39.078663392005986</v>
      </c>
      <c r="BD923" s="3">
        <v>44.421336607994014</v>
      </c>
      <c r="BE923" s="3">
        <v>44.621336607994017</v>
      </c>
      <c r="BF923" s="3">
        <v>42.381336607994022</v>
      </c>
      <c r="BG923" s="3">
        <v>38.408003274660679</v>
      </c>
      <c r="BH923" s="3">
        <v>33.648003274660674</v>
      </c>
      <c r="BI923" s="3">
        <v>34.461336607994006</v>
      </c>
      <c r="BJ923" s="3">
        <v>40.454669941327346</v>
      </c>
      <c r="BK923" s="3">
        <v>42.728003274660686</v>
      </c>
      <c r="BL923" s="3">
        <v>44.701336607994016</v>
      </c>
      <c r="BM923" s="3">
        <v>38.034669941327358</v>
      </c>
      <c r="BN923" s="3">
        <v>39.618003274660673</v>
      </c>
      <c r="BO923" s="3">
        <v>37.68466994132735</v>
      </c>
      <c r="BP923" s="3">
        <v>35.80133660799401</v>
      </c>
      <c r="BQ923" s="3">
        <v>33.418003274660684</v>
      </c>
      <c r="BR923" s="3">
        <v>30.544669941327349</v>
      </c>
      <c r="BS923" s="3">
        <v>29.04800327466068</v>
      </c>
      <c r="BT923" s="3">
        <v>27.044669941327349</v>
      </c>
      <c r="BU923" s="3">
        <v>24.311336607994015</v>
      </c>
      <c r="BV923" s="3">
        <v>23.428003274660689</v>
      </c>
      <c r="BW923" s="3">
        <v>22.861336607994019</v>
      </c>
      <c r="BX923" s="3">
        <v>22.18133660799402</v>
      </c>
      <c r="BY923" s="3">
        <v>21.80133660799401</v>
      </c>
      <c r="BZ923" s="3">
        <v>26.43133660799402</v>
      </c>
      <c r="CA923" s="3">
        <v>21.031336607994007</v>
      </c>
      <c r="CB923" s="3">
        <v>19.368003274660687</v>
      </c>
      <c r="CC923" s="3">
        <v>19.081336607994011</v>
      </c>
      <c r="CD923" s="3">
        <v>14.688003274660687</v>
      </c>
      <c r="CE923" s="3">
        <v>13.281336607994014</v>
      </c>
      <c r="CF923" s="3">
        <v>-0.90533005867265359</v>
      </c>
      <c r="CG923" s="3">
        <v>-1.438663392005985</v>
      </c>
      <c r="CH923" s="3">
        <v>-2.515330058672653</v>
      </c>
      <c r="CI923" s="13">
        <f>[1]!dbasum(RecData[[#This Row],[20]:[2000]],RecData[[#Headers],[20]:[2000]])</f>
        <v>38.372090519404651</v>
      </c>
      <c r="CJ923" s="14">
        <v>10265</v>
      </c>
      <c r="CK923" s="15" t="s">
        <v>249</v>
      </c>
      <c r="CL923" s="15">
        <f>RecData[[#This Row],[Start Time]]</f>
        <v>43274.977777777778</v>
      </c>
      <c r="CM923" s="16">
        <f>RecData[[#This Row],[Wind Speed avg]]</f>
        <v>1.38</v>
      </c>
      <c r="CN923" s="16">
        <f>RecData[[#This Row],[Wind Dir. avg]]</f>
        <v>158.1</v>
      </c>
      <c r="CO923" s="16">
        <f>RecData[[#This Row],[Amb. Humidity]]</f>
        <v>66.599999999999994</v>
      </c>
      <c r="CP923" s="16">
        <f>RecData[[#This Row],[Amb. Temperature]]</f>
        <v>16.399999999999999</v>
      </c>
      <c r="CQ923" s="17">
        <f>RecData[[#This Row],[Amb. Rain Gauge]]</f>
        <v>0</v>
      </c>
      <c r="CR923" s="4" t="s">
        <v>1</v>
      </c>
      <c r="CS923" s="4" t="s">
        <v>49</v>
      </c>
      <c r="CT923" s="70">
        <v>1408.42199707031</v>
      </c>
      <c r="CU923" s="70">
        <v>21.000179290771399</v>
      </c>
      <c r="CV923" s="70">
        <v>9.3863801956176705</v>
      </c>
      <c r="CW923" s="70">
        <v>15.076560974121</v>
      </c>
      <c r="CX923" s="4"/>
      <c r="CY923" s="69"/>
      <c r="CZ923" s="2" t="b">
        <f>IF($DP$1="YES",IF(RecData[[#This Row],[Power (kW)]]&gt;=$CR$3, TRUE,FALSE),TRUE)</f>
        <v>1</v>
      </c>
      <c r="DA923" s="16">
        <f>MIN(MOD(180-ABS(ABS($DA$1-RecData[Yaw Angle (°)])-180),360),MOD(180-ABS(ABS($DB$1-RecData[Yaw Angle (°)])-180),360))</f>
        <v>13.470252513083835</v>
      </c>
      <c r="DB923" s="2" t="str">
        <f>IF($DP$2="None","None",IF(RecData[[#This Row],[Relative Wind Direction]]&lt;=45,"DW",IF(RecData[[#This Row],[Relative Wind Direction]]&lt;=135,"CW","UW")))</f>
        <v>DW</v>
      </c>
      <c r="DC923" s="61" t="e">
        <f>IF($CL923-$CL919&gt;1/24,#REF!,IF(SUM($CQ919:$CQ923)&gt;$DS$1,$DS$5,DC924-1))</f>
        <v>#REF!</v>
      </c>
      <c r="DD923" s="61">
        <f>IF($CL924-$CL923&gt;1/24,#REF!,IF(SUM($CQ919:$CQ923)&gt;$DS$1,$DS$6,DD922-1))</f>
        <v>-5</v>
      </c>
      <c r="DE923" s="18" t="b">
        <v>0</v>
      </c>
      <c r="DF923" s="2" t="b">
        <f>IF(OR(RecData[[#This Row],[WSpd_Avg '[m/s']]]-RecData[[#This Row],[Wind Speed min]]&gt;=$DF$3,RecData[[#This Row],[Wind Speed max]]-RecData[[#This Row],[WSpd_Avg '[m/s']]]&gt;=$DF$2),TRUE,FALSE)</f>
        <v>0</v>
      </c>
      <c r="DG923" s="2" t="b">
        <f>RecData[[#This Row],[Temperature '[°C']]]&lt;=-20</f>
        <v>0</v>
      </c>
      <c r="DH923" s="18" t="b">
        <f>NOT(OR(MOD(RecData[[#This Row],[TIMESTAMP]],1)&gt;0.91632,MOD(RecData[[#This Row],[TIMESTAMP]],1)&lt;0.208681))</f>
        <v>0</v>
      </c>
      <c r="DI923" s="18" t="b">
        <f>RecData[[#This Row],[Overall (dBA)]]-RecData[[#This Row],[L90]]&gt;=$DS$4</f>
        <v>0</v>
      </c>
      <c r="DJ923" s="18" t="b">
        <f>RecData[[#This Row],[Overall (dBA)]]&gt;$DS$2</f>
        <v>0</v>
      </c>
      <c r="DK923" s="18" t="b">
        <f>RecData[[#This Row],[Overall (dBA)]]&lt;$DS$3</f>
        <v>0</v>
      </c>
      <c r="DL9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3" s="2">
        <f>IF(AND(RecData[[#This Row],[Turbines ON/OFF]] = "OFF", NOT(OR(RecData[[#This Row],[Junk?]]="YES",RecData[[#This Row],[Gust?]],RecData[[#This Row],[Rain?]:[Min SPL Threshold?]]))),1,0)</f>
        <v>0</v>
      </c>
      <c r="DN923" s="16">
        <f>RecData[[#This Row],[dBA Sum]]</f>
        <v>38.372090519404651</v>
      </c>
      <c r="DO923" s="16">
        <f>RecData[[#This Row],[LAF90.0]]</f>
        <v>37.4</v>
      </c>
      <c r="DP923" s="55">
        <f>IF(AND(RecData[[#This Row],[Useable TON Data?]],RecData[[#This Row],[Turbines ON/OFF]]="ON"),RecData[[#This Row],[dBA Sum]],"")</f>
        <v>38.372090519404651</v>
      </c>
      <c r="DQ923" s="55" t="str">
        <f>IF(AND(RecData[[#This Row],[Useable Background Data?]],RecData[[#This Row],[Turbines ON/OFF]]="OFF"),RecData[[#This Row],[dBA Sum]],"")</f>
        <v/>
      </c>
      <c r="DR923" s="3">
        <f>IF(OR(RecData[[#This Row],[Useable TON Data?]],RecData[[#This Row],[Useable Background Data?]]),ROUND(RecData[[#This Row],[WSpd_Avg '[m/s']]],0),"")</f>
        <v>1</v>
      </c>
      <c r="DS923" s="85">
        <f>(0.00002)^2*(10^(RecData[[#This Row],[Overall (dBA)]]/10))</f>
        <v>2.7495969872378503E-6</v>
      </c>
    </row>
    <row r="924" spans="1:123" ht="15" x14ac:dyDescent="0.25">
      <c r="A924" s="3" t="s">
        <v>249</v>
      </c>
      <c r="B924" s="12">
        <v>43274.978472222225</v>
      </c>
      <c r="C924" s="3"/>
      <c r="D924" s="3">
        <v>37.4</v>
      </c>
      <c r="E924" s="3"/>
      <c r="F924" s="3"/>
      <c r="G924" s="3"/>
      <c r="H924" s="3"/>
      <c r="I924" s="3"/>
      <c r="J924" s="3"/>
      <c r="K924" s="3">
        <v>35.799999999999997</v>
      </c>
      <c r="L924" s="3"/>
      <c r="M924" s="3"/>
      <c r="N924" s="3">
        <v>194.4</v>
      </c>
      <c r="O924" s="3"/>
      <c r="P924" s="3"/>
      <c r="Q924" s="3">
        <v>0.67</v>
      </c>
      <c r="R924" s="3">
        <v>0.1</v>
      </c>
      <c r="S924" s="3">
        <v>1.6</v>
      </c>
      <c r="T924" s="3">
        <v>16.399999999999999</v>
      </c>
      <c r="U924" s="3">
        <v>66.5</v>
      </c>
      <c r="V924" s="3">
        <v>965.8</v>
      </c>
      <c r="W924" s="3">
        <v>0</v>
      </c>
      <c r="X924" s="3">
        <v>43.9</v>
      </c>
      <c r="Y924" s="3">
        <v>44</v>
      </c>
      <c r="Z924" s="3">
        <v>43.8</v>
      </c>
      <c r="AA924" s="3">
        <v>39.4</v>
      </c>
      <c r="AB924" s="3">
        <v>35</v>
      </c>
      <c r="AC924" s="3">
        <v>33.5</v>
      </c>
      <c r="AD924" s="3">
        <v>37.4</v>
      </c>
      <c r="AE924" s="3">
        <v>40.6</v>
      </c>
      <c r="AF924" s="3">
        <v>42.5</v>
      </c>
      <c r="AG924" s="3">
        <v>36.700000000000003</v>
      </c>
      <c r="AH924" s="3">
        <v>37.200000000000003</v>
      </c>
      <c r="AI924" s="3">
        <v>37</v>
      </c>
      <c r="AJ924" s="3">
        <v>34.9</v>
      </c>
      <c r="AK924" s="3">
        <v>32.4</v>
      </c>
      <c r="AL924" s="3">
        <v>29.1</v>
      </c>
      <c r="AM924" s="3">
        <v>27.4</v>
      </c>
      <c r="AN924" s="3">
        <v>25.3</v>
      </c>
      <c r="AO924" s="3">
        <v>22.4</v>
      </c>
      <c r="AP924" s="3">
        <v>21.1</v>
      </c>
      <c r="AQ924" s="3">
        <v>19.899999999999999</v>
      </c>
      <c r="AR924" s="3">
        <v>17.899999999999999</v>
      </c>
      <c r="AS924" s="3">
        <v>17</v>
      </c>
      <c r="AT924" s="3">
        <v>26.5</v>
      </c>
      <c r="AU924" s="3">
        <v>14.1</v>
      </c>
      <c r="AV924" s="3">
        <v>10.6</v>
      </c>
      <c r="AW924" s="3">
        <v>10.199999999999999</v>
      </c>
      <c r="AX924" s="3">
        <v>9.3000000000000007</v>
      </c>
      <c r="AY924" s="3">
        <v>9.4</v>
      </c>
      <c r="AZ924" s="3">
        <v>0</v>
      </c>
      <c r="BA924" s="3">
        <v>0</v>
      </c>
      <c r="BB924" s="3">
        <v>0</v>
      </c>
      <c r="BC924" s="3">
        <v>37.371509093011852</v>
      </c>
      <c r="BD924" s="3">
        <v>43.928490906988145</v>
      </c>
      <c r="BE924" s="3">
        <v>44.028490906988154</v>
      </c>
      <c r="BF924" s="3">
        <v>42.588490906988142</v>
      </c>
      <c r="BG924" s="3">
        <v>38.515157573654804</v>
      </c>
      <c r="BH924" s="3">
        <v>34.255157573654813</v>
      </c>
      <c r="BI924" s="3">
        <v>33.16849090698814</v>
      </c>
      <c r="BJ924" s="3">
        <v>37.861824240321468</v>
      </c>
      <c r="BK924" s="3">
        <v>40.93515757365482</v>
      </c>
      <c r="BL924" s="3">
        <v>42.408490906988149</v>
      </c>
      <c r="BM924" s="3">
        <v>36.741824240321492</v>
      </c>
      <c r="BN924" s="3">
        <v>37.525157573654823</v>
      </c>
      <c r="BO924" s="3">
        <v>36.69182424032148</v>
      </c>
      <c r="BP924" s="3">
        <v>34.308490906988155</v>
      </c>
      <c r="BQ924" s="3">
        <v>32.225157573654812</v>
      </c>
      <c r="BR924" s="3">
        <v>29.251824240321483</v>
      </c>
      <c r="BS924" s="3">
        <v>27.355157573654807</v>
      </c>
      <c r="BT924" s="3">
        <v>25.451824240321486</v>
      </c>
      <c r="BU924" s="3">
        <v>22.518490906988148</v>
      </c>
      <c r="BV924" s="3">
        <v>20.93515757365482</v>
      </c>
      <c r="BW924" s="3">
        <v>20.268490906988148</v>
      </c>
      <c r="BX924" s="3">
        <v>18.18849090698815</v>
      </c>
      <c r="BY924" s="3">
        <v>17.108490906988145</v>
      </c>
      <c r="BZ924" s="3">
        <v>26.738490906988147</v>
      </c>
      <c r="CA924" s="3">
        <v>14.438490906988136</v>
      </c>
      <c r="CB924" s="3">
        <v>10.375157573654811</v>
      </c>
      <c r="CC924" s="3">
        <v>10.188490906988143</v>
      </c>
      <c r="CD924" s="3">
        <v>8.5951575736548165</v>
      </c>
      <c r="CE924" s="3">
        <v>8.8884909069881459</v>
      </c>
      <c r="CF924" s="3">
        <v>-0.89817575967852292</v>
      </c>
      <c r="CG924" s="3">
        <v>-1.4315090930118544</v>
      </c>
      <c r="CH924" s="3">
        <v>-2.5081757596785224</v>
      </c>
      <c r="CI924" s="13">
        <f>[1]!dbasum(RecData[[#This Row],[20]:[2000]],RecData[[#Headers],[20]:[2000]])</f>
        <v>36.681944137101475</v>
      </c>
      <c r="CJ924" s="14">
        <v>10266</v>
      </c>
      <c r="CK924" s="15" t="s">
        <v>249</v>
      </c>
      <c r="CL924" s="15">
        <f>RecData[[#This Row],[Start Time]]</f>
        <v>43274.978472222225</v>
      </c>
      <c r="CM924" s="16">
        <f>RecData[[#This Row],[Wind Speed avg]]</f>
        <v>0.67</v>
      </c>
      <c r="CN924" s="16">
        <f>RecData[[#This Row],[Wind Dir. avg]]</f>
        <v>194.4</v>
      </c>
      <c r="CO924" s="16">
        <f>RecData[[#This Row],[Amb. Humidity]]</f>
        <v>66.5</v>
      </c>
      <c r="CP924" s="16">
        <f>RecData[[#This Row],[Amb. Temperature]]</f>
        <v>16.399999999999999</v>
      </c>
      <c r="CQ924" s="17">
        <f>RecData[[#This Row],[Amb. Rain Gauge]]</f>
        <v>0</v>
      </c>
      <c r="CR924" s="4" t="s">
        <v>1</v>
      </c>
      <c r="CS924" s="4" t="s">
        <v>49</v>
      </c>
      <c r="CT924" s="70">
        <v>1408.42199707031</v>
      </c>
      <c r="CU924" s="70">
        <v>21.000179290771399</v>
      </c>
      <c r="CV924" s="70">
        <v>9.3863801956176705</v>
      </c>
      <c r="CW924" s="70">
        <v>15.076560974121</v>
      </c>
      <c r="CX924" s="4"/>
      <c r="CY924" s="69"/>
      <c r="CZ924" s="2" t="b">
        <f>IF($DP$1="YES",IF(RecData[[#This Row],[Power (kW)]]&gt;=$CR$3, TRUE,FALSE),TRUE)</f>
        <v>1</v>
      </c>
      <c r="DA924" s="16">
        <f>MIN(MOD(180-ABS(ABS($DA$1-RecData[Yaw Angle (°)])-180),360),MOD(180-ABS(ABS($DB$1-RecData[Yaw Angle (°)])-180),360))</f>
        <v>13.470252513083835</v>
      </c>
      <c r="DB924" s="2" t="str">
        <f>IF($DP$2="None","None",IF(RecData[[#This Row],[Relative Wind Direction]]&lt;=45,"DW",IF(RecData[[#This Row],[Relative Wind Direction]]&lt;=135,"CW","UW")))</f>
        <v>DW</v>
      </c>
      <c r="DC924" s="61" t="e">
        <f>IF($CL924-$CL920&gt;1/24,#REF!,IF(SUM($CQ920:$CQ924)&gt;$DS$1,$DS$5,DC925-1))</f>
        <v>#REF!</v>
      </c>
      <c r="DD924" s="61">
        <f>IF($CL925-$CL924&gt;1/24,#REF!,IF(SUM($CQ920:$CQ924)&gt;$DS$1,$DS$6,DD923-1))</f>
        <v>-6</v>
      </c>
      <c r="DE924" s="18" t="b">
        <v>0</v>
      </c>
      <c r="DF924" s="2" t="b">
        <f>IF(OR(RecData[[#This Row],[WSpd_Avg '[m/s']]]-RecData[[#This Row],[Wind Speed min]]&gt;=$DF$3,RecData[[#This Row],[Wind Speed max]]-RecData[[#This Row],[WSpd_Avg '[m/s']]]&gt;=$DF$2),TRUE,FALSE)</f>
        <v>0</v>
      </c>
      <c r="DG924" s="2" t="b">
        <f>RecData[[#This Row],[Temperature '[°C']]]&lt;=-20</f>
        <v>0</v>
      </c>
      <c r="DH924" s="18" t="b">
        <f>NOT(OR(MOD(RecData[[#This Row],[TIMESTAMP]],1)&gt;0.91632,MOD(RecData[[#This Row],[TIMESTAMP]],1)&lt;0.208681))</f>
        <v>0</v>
      </c>
      <c r="DI924" s="18" t="b">
        <f>RecData[[#This Row],[Overall (dBA)]]-RecData[[#This Row],[L90]]&gt;=$DS$4</f>
        <v>0</v>
      </c>
      <c r="DJ924" s="18" t="b">
        <f>RecData[[#This Row],[Overall (dBA)]]&gt;$DS$2</f>
        <v>0</v>
      </c>
      <c r="DK924" s="18" t="b">
        <f>RecData[[#This Row],[Overall (dBA)]]&lt;$DS$3</f>
        <v>0</v>
      </c>
      <c r="DL9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4" s="2">
        <f>IF(AND(RecData[[#This Row],[Turbines ON/OFF]] = "OFF", NOT(OR(RecData[[#This Row],[Junk?]]="YES",RecData[[#This Row],[Gust?]],RecData[[#This Row],[Rain?]:[Min SPL Threshold?]]))),1,0)</f>
        <v>0</v>
      </c>
      <c r="DN924" s="16">
        <f>RecData[[#This Row],[dBA Sum]]</f>
        <v>36.681944137101475</v>
      </c>
      <c r="DO924" s="16">
        <f>RecData[[#This Row],[LAF90.0]]</f>
        <v>35.799999999999997</v>
      </c>
      <c r="DP924" s="55">
        <f>IF(AND(RecData[[#This Row],[Useable TON Data?]],RecData[[#This Row],[Turbines ON/OFF]]="ON"),RecData[[#This Row],[dBA Sum]],"")</f>
        <v>36.681944137101475</v>
      </c>
      <c r="DQ924" s="55" t="str">
        <f>IF(AND(RecData[[#This Row],[Useable Background Data?]],RecData[[#This Row],[Turbines ON/OFF]]="OFF"),RecData[[#This Row],[dBA Sum]],"")</f>
        <v/>
      </c>
      <c r="DR924" s="3">
        <f>IF(OR(RecData[[#This Row],[Useable TON Data?]],RecData[[#This Row],[Useable Background Data?]]),ROUND(RecData[[#This Row],[WSpd_Avg '[m/s']]],0),"")</f>
        <v>1</v>
      </c>
      <c r="DS924" s="85">
        <f>(0.00002)^2*(10^(RecData[[#This Row],[Overall (dBA)]]/10))</f>
        <v>1.8631782468360911E-6</v>
      </c>
    </row>
    <row r="925" spans="1:123" ht="15" x14ac:dyDescent="0.25">
      <c r="A925" s="3" t="s">
        <v>249</v>
      </c>
      <c r="B925" s="12">
        <v>43274.979166666672</v>
      </c>
      <c r="C925" s="3"/>
      <c r="D925" s="3">
        <v>38.6</v>
      </c>
      <c r="E925" s="3"/>
      <c r="F925" s="3"/>
      <c r="G925" s="3"/>
      <c r="H925" s="3"/>
      <c r="I925" s="3"/>
      <c r="J925" s="3"/>
      <c r="K925" s="3">
        <v>36.5</v>
      </c>
      <c r="L925" s="3"/>
      <c r="M925" s="3"/>
      <c r="N925" s="3">
        <v>168</v>
      </c>
      <c r="O925" s="3"/>
      <c r="P925" s="3"/>
      <c r="Q925" s="3">
        <v>1.21</v>
      </c>
      <c r="R925" s="3">
        <v>0.8</v>
      </c>
      <c r="S925" s="3">
        <v>1.6</v>
      </c>
      <c r="T925" s="3">
        <v>16.399999999999999</v>
      </c>
      <c r="U925" s="3">
        <v>66.5</v>
      </c>
      <c r="V925" s="3">
        <v>965.8</v>
      </c>
      <c r="W925" s="3">
        <v>0</v>
      </c>
      <c r="X925" s="3">
        <v>44.9</v>
      </c>
      <c r="Y925" s="3">
        <v>44.3</v>
      </c>
      <c r="Z925" s="3">
        <v>44.3</v>
      </c>
      <c r="AA925" s="3">
        <v>40</v>
      </c>
      <c r="AB925" s="3">
        <v>34.9</v>
      </c>
      <c r="AC925" s="3">
        <v>34</v>
      </c>
      <c r="AD925" s="3">
        <v>38</v>
      </c>
      <c r="AE925" s="3">
        <v>40.4</v>
      </c>
      <c r="AF925" s="3">
        <v>43.5</v>
      </c>
      <c r="AG925" s="3">
        <v>37.1</v>
      </c>
      <c r="AH925" s="3">
        <v>37</v>
      </c>
      <c r="AI925" s="3">
        <v>36.700000000000003</v>
      </c>
      <c r="AJ925" s="3">
        <v>35.299999999999997</v>
      </c>
      <c r="AK925" s="3">
        <v>33.1</v>
      </c>
      <c r="AL925" s="3">
        <v>30.7</v>
      </c>
      <c r="AM925" s="3">
        <v>30</v>
      </c>
      <c r="AN925" s="3">
        <v>28.2</v>
      </c>
      <c r="AO925" s="3">
        <v>24.7</v>
      </c>
      <c r="AP925" s="3">
        <v>23.4</v>
      </c>
      <c r="AQ925" s="3">
        <v>21.6</v>
      </c>
      <c r="AR925" s="3">
        <v>19</v>
      </c>
      <c r="AS925" s="3">
        <v>17.8</v>
      </c>
      <c r="AT925" s="3">
        <v>29.1</v>
      </c>
      <c r="AU925" s="3">
        <v>16.3</v>
      </c>
      <c r="AV925" s="3">
        <v>11.2</v>
      </c>
      <c r="AW925" s="3">
        <v>10.6</v>
      </c>
      <c r="AX925" s="3">
        <v>9.5</v>
      </c>
      <c r="AY925" s="3">
        <v>9.4</v>
      </c>
      <c r="AZ925" s="3">
        <v>0</v>
      </c>
      <c r="BA925" s="3">
        <v>0</v>
      </c>
      <c r="BB925" s="3">
        <v>0</v>
      </c>
      <c r="BC925" s="3">
        <v>38.601932744709906</v>
      </c>
      <c r="BD925" s="3">
        <v>44.898067255290094</v>
      </c>
      <c r="BE925" s="3">
        <v>44.2980672552901</v>
      </c>
      <c r="BF925" s="3">
        <v>43.058067255290091</v>
      </c>
      <c r="BG925" s="3">
        <v>39.084733921956762</v>
      </c>
      <c r="BH925" s="3">
        <v>34.124733921956754</v>
      </c>
      <c r="BI925" s="3">
        <v>33.638067255290103</v>
      </c>
      <c r="BJ925" s="3">
        <v>38.431400588623426</v>
      </c>
      <c r="BK925" s="3">
        <v>40.704733921956766</v>
      </c>
      <c r="BL925" s="3">
        <v>43.378067255290098</v>
      </c>
      <c r="BM925" s="3">
        <v>37.111400588623432</v>
      </c>
      <c r="BN925" s="3">
        <v>37.29473392195677</v>
      </c>
      <c r="BO925" s="3">
        <v>36.361400588623432</v>
      </c>
      <c r="BP925" s="3">
        <v>34.678067255290095</v>
      </c>
      <c r="BQ925" s="3">
        <v>32.894733921956764</v>
      </c>
      <c r="BR925" s="3">
        <v>30.821400588623426</v>
      </c>
      <c r="BS925" s="3">
        <v>29.924733921956765</v>
      </c>
      <c r="BT925" s="3">
        <v>28.321400588623426</v>
      </c>
      <c r="BU925" s="3">
        <v>24.788067255290095</v>
      </c>
      <c r="BV925" s="3">
        <v>23.204733921956766</v>
      </c>
      <c r="BW925" s="3">
        <v>21.9380672552901</v>
      </c>
      <c r="BX925" s="3">
        <v>19.258067255290101</v>
      </c>
      <c r="BY925" s="3">
        <v>17.878067255290098</v>
      </c>
      <c r="BZ925" s="3">
        <v>29.308067255290105</v>
      </c>
      <c r="CA925" s="3">
        <v>16.608067255290088</v>
      </c>
      <c r="CB925" s="3">
        <v>10.944733921956761</v>
      </c>
      <c r="CC925" s="3">
        <v>10.558067255290091</v>
      </c>
      <c r="CD925" s="3">
        <v>8.7647339219567684</v>
      </c>
      <c r="CE925" s="3">
        <v>8.858067255290095</v>
      </c>
      <c r="CF925" s="3">
        <v>-0.92859941137657387</v>
      </c>
      <c r="CG925" s="3">
        <v>-1.4619327447099053</v>
      </c>
      <c r="CH925" s="3">
        <v>-2.5385994113765733</v>
      </c>
      <c r="CI925" s="13">
        <f>[1]!dbasum(RecData[[#This Row],[20]:[2000]],RecData[[#Headers],[20]:[2000]])</f>
        <v>37.701444406548056</v>
      </c>
      <c r="CJ925" s="14">
        <v>10267</v>
      </c>
      <c r="CK925" s="15" t="s">
        <v>249</v>
      </c>
      <c r="CL925" s="15">
        <f>RecData[[#This Row],[Start Time]]</f>
        <v>43274.979166666672</v>
      </c>
      <c r="CM925" s="16">
        <f>RecData[[#This Row],[Wind Speed avg]]</f>
        <v>1.21</v>
      </c>
      <c r="CN925" s="16">
        <f>RecData[[#This Row],[Wind Dir. avg]]</f>
        <v>168</v>
      </c>
      <c r="CO925" s="16">
        <f>RecData[[#This Row],[Amb. Humidity]]</f>
        <v>66.5</v>
      </c>
      <c r="CP925" s="16">
        <f>RecData[[#This Row],[Amb. Temperature]]</f>
        <v>16.399999999999999</v>
      </c>
      <c r="CQ925" s="17">
        <f>RecData[[#This Row],[Amb. Rain Gauge]]</f>
        <v>0</v>
      </c>
      <c r="CR925" s="4" t="s">
        <v>1</v>
      </c>
      <c r="CS925" s="4" t="s">
        <v>49</v>
      </c>
      <c r="CT925" s="70">
        <v>1408.42199707031</v>
      </c>
      <c r="CU925" s="70">
        <v>21.000179290771399</v>
      </c>
      <c r="CV925" s="70">
        <v>9.3863801956176705</v>
      </c>
      <c r="CW925" s="70">
        <v>15.076560974121</v>
      </c>
      <c r="CX925" s="4"/>
      <c r="CY925" s="69"/>
      <c r="CZ925" s="2" t="b">
        <f>IF($DP$1="YES",IF(RecData[[#This Row],[Power (kW)]]&gt;=$CR$3, TRUE,FALSE),TRUE)</f>
        <v>1</v>
      </c>
      <c r="DA925" s="16">
        <f>MIN(MOD(180-ABS(ABS($DA$1-RecData[Yaw Angle (°)])-180),360),MOD(180-ABS(ABS($DB$1-RecData[Yaw Angle (°)])-180),360))</f>
        <v>13.470252513083835</v>
      </c>
      <c r="DB925" s="2" t="str">
        <f>IF($DP$2="None","None",IF(RecData[[#This Row],[Relative Wind Direction]]&lt;=45,"DW",IF(RecData[[#This Row],[Relative Wind Direction]]&lt;=135,"CW","UW")))</f>
        <v>DW</v>
      </c>
      <c r="DC925" s="61" t="e">
        <f>IF($CL925-$CL921&gt;1/24,#REF!,IF(SUM($CQ921:$CQ925)&gt;$DS$1,$DS$5,DC926-1))</f>
        <v>#REF!</v>
      </c>
      <c r="DD925" s="61">
        <f>IF($CL926-$CL925&gt;1/24,#REF!,IF(SUM($CQ921:$CQ925)&gt;$DS$1,$DS$6,DD924-1))</f>
        <v>-7</v>
      </c>
      <c r="DE925" s="18" t="b">
        <v>0</v>
      </c>
      <c r="DF925" s="2" t="b">
        <f>IF(OR(RecData[[#This Row],[WSpd_Avg '[m/s']]]-RecData[[#This Row],[Wind Speed min]]&gt;=$DF$3,RecData[[#This Row],[Wind Speed max]]-RecData[[#This Row],[WSpd_Avg '[m/s']]]&gt;=$DF$2),TRUE,FALSE)</f>
        <v>0</v>
      </c>
      <c r="DG925" s="2" t="b">
        <f>RecData[[#This Row],[Temperature '[°C']]]&lt;=-20</f>
        <v>0</v>
      </c>
      <c r="DH925" s="18" t="b">
        <f>NOT(OR(MOD(RecData[[#This Row],[TIMESTAMP]],1)&gt;0.91632,MOD(RecData[[#This Row],[TIMESTAMP]],1)&lt;0.208681))</f>
        <v>0</v>
      </c>
      <c r="DI925" s="18" t="b">
        <f>RecData[[#This Row],[Overall (dBA)]]-RecData[[#This Row],[L90]]&gt;=$DS$4</f>
        <v>0</v>
      </c>
      <c r="DJ925" s="18" t="b">
        <f>RecData[[#This Row],[Overall (dBA)]]&gt;$DS$2</f>
        <v>0</v>
      </c>
      <c r="DK925" s="18" t="b">
        <f>RecData[[#This Row],[Overall (dBA)]]&lt;$DS$3</f>
        <v>0</v>
      </c>
      <c r="DL9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5" s="2">
        <f>IF(AND(RecData[[#This Row],[Turbines ON/OFF]] = "OFF", NOT(OR(RecData[[#This Row],[Junk?]]="YES",RecData[[#This Row],[Gust?]],RecData[[#This Row],[Rain?]:[Min SPL Threshold?]]))),1,0)</f>
        <v>0</v>
      </c>
      <c r="DN925" s="16">
        <f>RecData[[#This Row],[dBA Sum]]</f>
        <v>37.701444406548056</v>
      </c>
      <c r="DO925" s="16">
        <f>RecData[[#This Row],[LAF90.0]]</f>
        <v>36.5</v>
      </c>
      <c r="DP925" s="55">
        <f>IF(AND(RecData[[#This Row],[Useable TON Data?]],RecData[[#This Row],[Turbines ON/OFF]]="ON"),RecData[[#This Row],[dBA Sum]],"")</f>
        <v>37.701444406548056</v>
      </c>
      <c r="DQ925" s="55" t="str">
        <f>IF(AND(RecData[[#This Row],[Useable Background Data?]],RecData[[#This Row],[Turbines ON/OFF]]="OFF"),RecData[[#This Row],[dBA Sum]],"")</f>
        <v/>
      </c>
      <c r="DR925" s="3">
        <f>IF(OR(RecData[[#This Row],[Useable TON Data?]],RecData[[#This Row],[Useable Background Data?]]),ROUND(RecData[[#This Row],[WSpd_Avg '[m/s']]],0),"")</f>
        <v>1</v>
      </c>
      <c r="DS925" s="85">
        <f>(0.00002)^2*(10^(RecData[[#This Row],[Overall (dBA)]]/10))</f>
        <v>2.3561581184458878E-6</v>
      </c>
    </row>
    <row r="926" spans="1:123" ht="15" x14ac:dyDescent="0.25">
      <c r="A926" s="3" t="s">
        <v>249</v>
      </c>
      <c r="B926" s="12">
        <v>43274.979861111111</v>
      </c>
      <c r="C926" s="3"/>
      <c r="D926" s="3">
        <v>38.6</v>
      </c>
      <c r="E926" s="3"/>
      <c r="F926" s="3"/>
      <c r="G926" s="3"/>
      <c r="H926" s="3"/>
      <c r="I926" s="3"/>
      <c r="J926" s="3"/>
      <c r="K926" s="3">
        <v>37.299999999999997</v>
      </c>
      <c r="L926" s="3"/>
      <c r="M926" s="3"/>
      <c r="N926" s="3">
        <v>189.3</v>
      </c>
      <c r="O926" s="3"/>
      <c r="P926" s="3"/>
      <c r="Q926" s="3">
        <v>1.18</v>
      </c>
      <c r="R926" s="3">
        <v>0.7</v>
      </c>
      <c r="S926" s="3">
        <v>1.7</v>
      </c>
      <c r="T926" s="3">
        <v>16.399999999999999</v>
      </c>
      <c r="U926" s="3">
        <v>66.400000000000006</v>
      </c>
      <c r="V926" s="3">
        <v>965.8</v>
      </c>
      <c r="W926" s="3">
        <v>0</v>
      </c>
      <c r="X926" s="3">
        <v>44.2</v>
      </c>
      <c r="Y926" s="3">
        <v>44.6</v>
      </c>
      <c r="Z926" s="3">
        <v>44.1</v>
      </c>
      <c r="AA926" s="3">
        <v>39.799999999999997</v>
      </c>
      <c r="AB926" s="3">
        <v>35.200000000000003</v>
      </c>
      <c r="AC926" s="3">
        <v>34.299999999999997</v>
      </c>
      <c r="AD926" s="3">
        <v>38.1</v>
      </c>
      <c r="AE926" s="3">
        <v>40.5</v>
      </c>
      <c r="AF926" s="3">
        <v>44.4</v>
      </c>
      <c r="AG926" s="3">
        <v>38.299999999999997</v>
      </c>
      <c r="AH926" s="3">
        <v>37.4</v>
      </c>
      <c r="AI926" s="3">
        <v>37.4</v>
      </c>
      <c r="AJ926" s="3">
        <v>35.700000000000003</v>
      </c>
      <c r="AK926" s="3">
        <v>33.700000000000003</v>
      </c>
      <c r="AL926" s="3">
        <v>30.9</v>
      </c>
      <c r="AM926" s="3">
        <v>30.6</v>
      </c>
      <c r="AN926" s="3">
        <v>28.3</v>
      </c>
      <c r="AO926" s="3">
        <v>24.9</v>
      </c>
      <c r="AP926" s="3">
        <v>23.5</v>
      </c>
      <c r="AQ926" s="3">
        <v>21.9</v>
      </c>
      <c r="AR926" s="3">
        <v>19.600000000000001</v>
      </c>
      <c r="AS926" s="3">
        <v>17.899999999999999</v>
      </c>
      <c r="AT926" s="3">
        <v>25.2</v>
      </c>
      <c r="AU926" s="3">
        <v>15</v>
      </c>
      <c r="AV926" s="3">
        <v>12.3</v>
      </c>
      <c r="AW926" s="3">
        <v>11.7</v>
      </c>
      <c r="AX926" s="3">
        <v>9.9</v>
      </c>
      <c r="AY926" s="3">
        <v>9.6</v>
      </c>
      <c r="AZ926" s="3">
        <v>0</v>
      </c>
      <c r="BA926" s="3">
        <v>0</v>
      </c>
      <c r="BB926" s="3">
        <v>0</v>
      </c>
      <c r="BC926" s="3">
        <v>38.644787497462985</v>
      </c>
      <c r="BD926" s="3">
        <v>44.155212502537026</v>
      </c>
      <c r="BE926" s="3">
        <v>44.555212502537017</v>
      </c>
      <c r="BF926" s="3">
        <v>42.815212502537022</v>
      </c>
      <c r="BG926" s="3">
        <v>38.841879169203679</v>
      </c>
      <c r="BH926" s="3">
        <v>34.381879169203685</v>
      </c>
      <c r="BI926" s="3">
        <v>33.895212502537007</v>
      </c>
      <c r="BJ926" s="3">
        <v>38.48854583587034</v>
      </c>
      <c r="BK926" s="3">
        <v>40.761879169203681</v>
      </c>
      <c r="BL926" s="3">
        <v>44.23521250253701</v>
      </c>
      <c r="BM926" s="3">
        <v>38.268545835870341</v>
      </c>
      <c r="BN926" s="3">
        <v>37.651879169203681</v>
      </c>
      <c r="BO926" s="3">
        <v>37.018545835870341</v>
      </c>
      <c r="BP926" s="3">
        <v>35.035212502537021</v>
      </c>
      <c r="BQ926" s="3">
        <v>33.451879169203679</v>
      </c>
      <c r="BR926" s="3">
        <v>30.978545835870349</v>
      </c>
      <c r="BS926" s="3">
        <v>30.48187916920368</v>
      </c>
      <c r="BT926" s="3">
        <v>28.378545835870355</v>
      </c>
      <c r="BU926" s="3">
        <v>24.945212502537018</v>
      </c>
      <c r="BV926" s="3">
        <v>23.261879169203681</v>
      </c>
      <c r="BW926" s="3">
        <v>22.195212502537018</v>
      </c>
      <c r="BX926" s="3">
        <v>19.815212502537022</v>
      </c>
      <c r="BY926" s="3">
        <v>17.935212502537013</v>
      </c>
      <c r="BZ926" s="3">
        <v>25.36521250253702</v>
      </c>
      <c r="CA926" s="3">
        <v>15.265212502537011</v>
      </c>
      <c r="CB926" s="3">
        <v>12.001879169203683</v>
      </c>
      <c r="CC926" s="3">
        <v>11.615212502537013</v>
      </c>
      <c r="CD926" s="3">
        <v>9.1218791692036874</v>
      </c>
      <c r="CE926" s="3">
        <v>9.0152125025370111</v>
      </c>
      <c r="CF926" s="3">
        <v>-0.97145416412965346</v>
      </c>
      <c r="CG926" s="3">
        <v>-1.5047874974629849</v>
      </c>
      <c r="CH926" s="3">
        <v>-2.5814541641296529</v>
      </c>
      <c r="CI926" s="13">
        <f>[1]!dbasum(RecData[[#This Row],[20]:[2000]],RecData[[#Headers],[20]:[2000]])</f>
        <v>38.13897301916186</v>
      </c>
      <c r="CJ926" s="14">
        <v>10268</v>
      </c>
      <c r="CK926" s="15" t="s">
        <v>249</v>
      </c>
      <c r="CL926" s="15">
        <f>RecData[[#This Row],[Start Time]]</f>
        <v>43274.979861111111</v>
      </c>
      <c r="CM926" s="16">
        <f>RecData[[#This Row],[Wind Speed avg]]</f>
        <v>1.18</v>
      </c>
      <c r="CN926" s="16">
        <f>RecData[[#This Row],[Wind Dir. avg]]</f>
        <v>189.3</v>
      </c>
      <c r="CO926" s="16">
        <f>RecData[[#This Row],[Amb. Humidity]]</f>
        <v>66.400000000000006</v>
      </c>
      <c r="CP926" s="16">
        <f>RecData[[#This Row],[Amb. Temperature]]</f>
        <v>16.399999999999999</v>
      </c>
      <c r="CQ926" s="17">
        <f>RecData[[#This Row],[Amb. Rain Gauge]]</f>
        <v>0</v>
      </c>
      <c r="CR926" s="4" t="s">
        <v>1</v>
      </c>
      <c r="CS926" s="4" t="s">
        <v>49</v>
      </c>
      <c r="CT926" s="70">
        <v>1565.12536621093</v>
      </c>
      <c r="CU926" s="70">
        <v>21.000179290771399</v>
      </c>
      <c r="CV926" s="70">
        <v>9.9553852081298793</v>
      </c>
      <c r="CW926" s="70">
        <v>15.1548595428466</v>
      </c>
      <c r="CX926" s="4"/>
      <c r="CY926" s="69"/>
      <c r="CZ926" s="2" t="b">
        <f>IF($DP$1="YES",IF(RecData[[#This Row],[Power (kW)]]&gt;=$CR$3, TRUE,FALSE),TRUE)</f>
        <v>1</v>
      </c>
      <c r="DA926" s="16">
        <f>MIN(MOD(180-ABS(ABS($DA$1-RecData[Yaw Angle (°)])-180),360),MOD(180-ABS(ABS($DB$1-RecData[Yaw Angle (°)])-180),360))</f>
        <v>13.470252513083835</v>
      </c>
      <c r="DB926" s="2" t="str">
        <f>IF($DP$2="None","None",IF(RecData[[#This Row],[Relative Wind Direction]]&lt;=45,"DW",IF(RecData[[#This Row],[Relative Wind Direction]]&lt;=135,"CW","UW")))</f>
        <v>DW</v>
      </c>
      <c r="DC926" s="61" t="e">
        <f>IF($CL926-$CL922&gt;1/24,#REF!,IF(SUM($CQ922:$CQ926)&gt;$DS$1,$DS$5,#REF!-1))</f>
        <v>#REF!</v>
      </c>
      <c r="DD926" s="61" t="e">
        <f>IF(#REF!-$CL926&gt;1/24,#REF!,IF(SUM($CQ922:$CQ926)&gt;$DS$1,$DS$6,DD925-1))</f>
        <v>#REF!</v>
      </c>
      <c r="DE926" s="18" t="b">
        <v>0</v>
      </c>
      <c r="DF926" s="2" t="b">
        <f>IF(OR(RecData[[#This Row],[WSpd_Avg '[m/s']]]-RecData[[#This Row],[Wind Speed min]]&gt;=$DF$3,RecData[[#This Row],[Wind Speed max]]-RecData[[#This Row],[WSpd_Avg '[m/s']]]&gt;=$DF$2),TRUE,FALSE)</f>
        <v>0</v>
      </c>
      <c r="DG926" s="2" t="b">
        <f>RecData[[#This Row],[Temperature '[°C']]]&lt;=-20</f>
        <v>0</v>
      </c>
      <c r="DH926" s="18" t="b">
        <f>NOT(OR(MOD(RecData[[#This Row],[TIMESTAMP]],1)&gt;0.91632,MOD(RecData[[#This Row],[TIMESTAMP]],1)&lt;0.208681))</f>
        <v>0</v>
      </c>
      <c r="DI926" s="18" t="b">
        <f>RecData[[#This Row],[Overall (dBA)]]-RecData[[#This Row],[L90]]&gt;=$DS$4</f>
        <v>0</v>
      </c>
      <c r="DJ926" s="18" t="b">
        <f>RecData[[#This Row],[Overall (dBA)]]&gt;$DS$2</f>
        <v>0</v>
      </c>
      <c r="DK926" s="18" t="b">
        <f>RecData[[#This Row],[Overall (dBA)]]&lt;$DS$3</f>
        <v>0</v>
      </c>
      <c r="DL9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6" s="2">
        <f>IF(AND(RecData[[#This Row],[Turbines ON/OFF]] = "OFF", NOT(OR(RecData[[#This Row],[Junk?]]="YES",RecData[[#This Row],[Gust?]],RecData[[#This Row],[Rain?]:[Min SPL Threshold?]]))),1,0)</f>
        <v>0</v>
      </c>
      <c r="DN926" s="16">
        <f>RecData[[#This Row],[dBA Sum]]</f>
        <v>38.13897301916186</v>
      </c>
      <c r="DO926" s="16">
        <f>RecData[[#This Row],[LAF90.0]]</f>
        <v>37.299999999999997</v>
      </c>
      <c r="DP926" s="55">
        <f>IF(AND(RecData[[#This Row],[Useable TON Data?]],RecData[[#This Row],[Turbines ON/OFF]]="ON"),RecData[[#This Row],[dBA Sum]],"")</f>
        <v>38.13897301916186</v>
      </c>
      <c r="DQ926" s="55" t="str">
        <f>IF(AND(RecData[[#This Row],[Useable Background Data?]],RecData[[#This Row],[Turbines ON/OFF]]="OFF"),RecData[[#This Row],[dBA Sum]],"")</f>
        <v/>
      </c>
      <c r="DR926" s="3">
        <f>IF(OR(RecData[[#This Row],[Useable TON Data?]],RecData[[#This Row],[Useable Background Data?]]),ROUND(RecData[[#This Row],[WSpd_Avg '[m/s']]],0),"")</f>
        <v>1</v>
      </c>
      <c r="DS926" s="85">
        <f>(0.00002)^2*(10^(RecData[[#This Row],[Overall (dBA)]]/10))</f>
        <v>2.6058972840416399E-6</v>
      </c>
    </row>
    <row r="927" spans="1:123" ht="15" x14ac:dyDescent="0.25">
      <c r="A927" s="3" t="s">
        <v>249</v>
      </c>
      <c r="B927" s="12">
        <v>43274.981250000004</v>
      </c>
      <c r="C927" s="3"/>
      <c r="D927" s="3">
        <v>38.6</v>
      </c>
      <c r="E927" s="3"/>
      <c r="F927" s="3"/>
      <c r="G927" s="3"/>
      <c r="H927" s="3"/>
      <c r="I927" s="3"/>
      <c r="J927" s="3"/>
      <c r="K927" s="3">
        <v>36.6</v>
      </c>
      <c r="L927" s="3"/>
      <c r="M927" s="3"/>
      <c r="N927" s="3">
        <v>167.8</v>
      </c>
      <c r="O927" s="3"/>
      <c r="P927" s="3"/>
      <c r="Q927" s="3">
        <v>0.95</v>
      </c>
      <c r="R927" s="3">
        <v>0.1</v>
      </c>
      <c r="S927" s="3">
        <v>1.6</v>
      </c>
      <c r="T927" s="3">
        <v>16.399999999999999</v>
      </c>
      <c r="U927" s="3">
        <v>66.2</v>
      </c>
      <c r="V927" s="3">
        <v>965.8</v>
      </c>
      <c r="W927" s="3">
        <v>0</v>
      </c>
      <c r="X927" s="3">
        <v>45.4</v>
      </c>
      <c r="Y927" s="3">
        <v>45.6</v>
      </c>
      <c r="Z927" s="3">
        <v>45.4</v>
      </c>
      <c r="AA927" s="3">
        <v>40.4</v>
      </c>
      <c r="AB927" s="3">
        <v>36.4</v>
      </c>
      <c r="AC927" s="3">
        <v>35.200000000000003</v>
      </c>
      <c r="AD927" s="3">
        <v>38.799999999999997</v>
      </c>
      <c r="AE927" s="3">
        <v>41.7</v>
      </c>
      <c r="AF927" s="3">
        <v>44.1</v>
      </c>
      <c r="AG927" s="3">
        <v>37.4</v>
      </c>
      <c r="AH927" s="3">
        <v>37.6</v>
      </c>
      <c r="AI927" s="3">
        <v>37.4</v>
      </c>
      <c r="AJ927" s="3">
        <v>35.700000000000003</v>
      </c>
      <c r="AK927" s="3">
        <v>33.200000000000003</v>
      </c>
      <c r="AL927" s="3">
        <v>30.3</v>
      </c>
      <c r="AM927" s="3">
        <v>29.2</v>
      </c>
      <c r="AN927" s="3">
        <v>27.4</v>
      </c>
      <c r="AO927" s="3">
        <v>24.1</v>
      </c>
      <c r="AP927" s="3">
        <v>22.9</v>
      </c>
      <c r="AQ927" s="3">
        <v>21.5</v>
      </c>
      <c r="AR927" s="3">
        <v>19.899999999999999</v>
      </c>
      <c r="AS927" s="3">
        <v>19.2</v>
      </c>
      <c r="AT927" s="3">
        <v>28.4</v>
      </c>
      <c r="AU927" s="3">
        <v>16.3</v>
      </c>
      <c r="AV927" s="3">
        <v>13.2</v>
      </c>
      <c r="AW927" s="3">
        <v>12.3</v>
      </c>
      <c r="AX927" s="3">
        <v>10.1</v>
      </c>
      <c r="AY927" s="3">
        <v>9.6999999999999993</v>
      </c>
      <c r="AZ927" s="3">
        <v>0</v>
      </c>
      <c r="BA927" s="3">
        <v>0</v>
      </c>
      <c r="BB927" s="3">
        <v>0</v>
      </c>
      <c r="BC927" s="3">
        <v>38.605459375188829</v>
      </c>
      <c r="BD927" s="3">
        <v>45.394540624811171</v>
      </c>
      <c r="BE927" s="3">
        <v>45.594540624811174</v>
      </c>
      <c r="BF927" s="3">
        <v>44.154540624811162</v>
      </c>
      <c r="BG927" s="3">
        <v>39.481207291477844</v>
      </c>
      <c r="BH927" s="3">
        <v>35.62120729147783</v>
      </c>
      <c r="BI927" s="3">
        <v>34.834540624811169</v>
      </c>
      <c r="BJ927" s="3">
        <v>39.2278739581445</v>
      </c>
      <c r="BK927" s="3">
        <v>42.00120729147784</v>
      </c>
      <c r="BL927" s="3">
        <v>43.974540624811183</v>
      </c>
      <c r="BM927" s="3">
        <v>37.407873958144506</v>
      </c>
      <c r="BN927" s="3">
        <v>37.891207291477841</v>
      </c>
      <c r="BO927" s="3">
        <v>37.057873958144498</v>
      </c>
      <c r="BP927" s="3">
        <v>35.074540624811178</v>
      </c>
      <c r="BQ927" s="3">
        <v>32.991207291477835</v>
      </c>
      <c r="BR927" s="3">
        <v>30.417873958144511</v>
      </c>
      <c r="BS927" s="3">
        <v>29.12120729147783</v>
      </c>
      <c r="BT927" s="3">
        <v>27.517873958144506</v>
      </c>
      <c r="BU927" s="3">
        <v>24.184540624811177</v>
      </c>
      <c r="BV927" s="3">
        <v>22.701207291477843</v>
      </c>
      <c r="BW927" s="3">
        <v>21.834540624811176</v>
      </c>
      <c r="BX927" s="3">
        <v>20.154540624811176</v>
      </c>
      <c r="BY927" s="3">
        <v>19.274540624811166</v>
      </c>
      <c r="BZ927" s="3">
        <v>28.604540624811179</v>
      </c>
      <c r="CA927" s="3">
        <v>16.604540624811165</v>
      </c>
      <c r="CB927" s="3">
        <v>12.941207291477838</v>
      </c>
      <c r="CC927" s="3">
        <v>12.25454062481117</v>
      </c>
      <c r="CD927" s="3">
        <v>9.3612072914778395</v>
      </c>
      <c r="CE927" s="3">
        <v>9.1545406248111689</v>
      </c>
      <c r="CF927" s="3">
        <v>-0.93212604185549708</v>
      </c>
      <c r="CG927" s="3">
        <v>-1.4654593751888285</v>
      </c>
      <c r="CH927" s="3">
        <v>-2.5421260418554965</v>
      </c>
      <c r="CI927" s="13">
        <f>[1]!dbasum(RecData[[#This Row],[20]:[2000]],RecData[[#Headers],[20]:[2000]])</f>
        <v>37.77517573508932</v>
      </c>
      <c r="CJ927" s="14">
        <v>10270</v>
      </c>
      <c r="CK927" s="15" t="s">
        <v>249</v>
      </c>
      <c r="CL927" s="15">
        <f>RecData[[#This Row],[Start Time]]</f>
        <v>43274.981250000004</v>
      </c>
      <c r="CM927" s="16">
        <f>RecData[[#This Row],[Wind Speed avg]]</f>
        <v>0.95</v>
      </c>
      <c r="CN927" s="16">
        <f>RecData[[#This Row],[Wind Dir. avg]]</f>
        <v>167.8</v>
      </c>
      <c r="CO927" s="16">
        <f>RecData[[#This Row],[Amb. Humidity]]</f>
        <v>66.2</v>
      </c>
      <c r="CP927" s="16">
        <f>RecData[[#This Row],[Amb. Temperature]]</f>
        <v>16.399999999999999</v>
      </c>
      <c r="CQ927" s="17">
        <f>RecData[[#This Row],[Amb. Rain Gauge]]</f>
        <v>0</v>
      </c>
      <c r="CR927" s="4" t="s">
        <v>1</v>
      </c>
      <c r="CS927" s="4" t="s">
        <v>49</v>
      </c>
      <c r="CT927" s="70">
        <v>1565.12536621093</v>
      </c>
      <c r="CU927" s="70">
        <v>21.000179290771399</v>
      </c>
      <c r="CV927" s="70">
        <v>9.9553852081298793</v>
      </c>
      <c r="CW927" s="70">
        <v>15.1548595428466</v>
      </c>
      <c r="CX927" s="4"/>
      <c r="CY927" s="69"/>
      <c r="CZ927" s="2" t="b">
        <f>IF($DP$1="YES",IF(RecData[[#This Row],[Power (kW)]]&gt;=$CR$3, TRUE,FALSE),TRUE)</f>
        <v>1</v>
      </c>
      <c r="DA927" s="16">
        <f>MIN(MOD(180-ABS(ABS($DA$1-RecData[Yaw Angle (°)])-180),360),MOD(180-ABS(ABS($DB$1-RecData[Yaw Angle (°)])-180),360))</f>
        <v>13.470252513083835</v>
      </c>
      <c r="DB927" s="2" t="str">
        <f>IF($DP$2="None","None",IF(RecData[[#This Row],[Relative Wind Direction]]&lt;=45,"DW",IF(RecData[[#This Row],[Relative Wind Direction]]&lt;=135,"CW","UW")))</f>
        <v>DW</v>
      </c>
      <c r="DC927" s="61">
        <v>-1</v>
      </c>
      <c r="DD927" s="61">
        <v>-1</v>
      </c>
      <c r="DE927" s="18" t="b">
        <v>0</v>
      </c>
      <c r="DF927" s="2" t="b">
        <f>IF(OR(RecData[[#This Row],[WSpd_Avg '[m/s']]]-RecData[[#This Row],[Wind Speed min]]&gt;=$DF$3,RecData[[#This Row],[Wind Speed max]]-RecData[[#This Row],[WSpd_Avg '[m/s']]]&gt;=$DF$2),TRUE,FALSE)</f>
        <v>0</v>
      </c>
      <c r="DG927" s="2" t="b">
        <f>RecData[[#This Row],[Temperature '[°C']]]&lt;=-20</f>
        <v>0</v>
      </c>
      <c r="DH927" s="18" t="b">
        <f>NOT(OR(MOD(RecData[[#This Row],[TIMESTAMP]],1)&gt;0.91632,MOD(RecData[[#This Row],[TIMESTAMP]],1)&lt;0.208681))</f>
        <v>0</v>
      </c>
      <c r="DI927" s="18" t="b">
        <f>RecData[[#This Row],[Overall (dBA)]]-RecData[[#This Row],[L90]]&gt;=$DS$4</f>
        <v>0</v>
      </c>
      <c r="DJ927" s="18" t="b">
        <f>RecData[[#This Row],[Overall (dBA)]]&gt;$DS$2</f>
        <v>0</v>
      </c>
      <c r="DK927" s="18" t="b">
        <f>RecData[[#This Row],[Overall (dBA)]]&lt;$DS$3</f>
        <v>0</v>
      </c>
      <c r="DL9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7" s="2">
        <f>IF(AND(RecData[[#This Row],[Turbines ON/OFF]] = "OFF", NOT(OR(RecData[[#This Row],[Junk?]]="YES",RecData[[#This Row],[Gust?]],RecData[[#This Row],[Rain?]:[Min SPL Threshold?]]))),1,0)</f>
        <v>0</v>
      </c>
      <c r="DN927" s="16">
        <f>RecData[[#This Row],[dBA Sum]]</f>
        <v>37.77517573508932</v>
      </c>
      <c r="DO927" s="16">
        <f>RecData[[#This Row],[LAF90.0]]</f>
        <v>36.6</v>
      </c>
      <c r="DP927" s="55">
        <f>IF(AND(RecData[[#This Row],[Useable TON Data?]],RecData[[#This Row],[Turbines ON/OFF]]="ON"),RecData[[#This Row],[dBA Sum]],"")</f>
        <v>37.77517573508932</v>
      </c>
      <c r="DQ927" s="55" t="str">
        <f>IF(AND(RecData[[#This Row],[Useable Background Data?]],RecData[[#This Row],[Turbines ON/OFF]]="OFF"),RecData[[#This Row],[dBA Sum]],"")</f>
        <v/>
      </c>
      <c r="DR927" s="3">
        <f>IF(OR(RecData[[#This Row],[Useable TON Data?]],RecData[[#This Row],[Useable Background Data?]]),ROUND(RecData[[#This Row],[WSpd_Avg '[m/s']]],0),"")</f>
        <v>1</v>
      </c>
      <c r="DS927" s="85">
        <f>(0.00002)^2*(10^(RecData[[#This Row],[Overall (dBA)]]/10))</f>
        <v>2.3965007256863489E-6</v>
      </c>
    </row>
    <row r="928" spans="1:123" ht="15" x14ac:dyDescent="0.25">
      <c r="A928" s="3" t="s">
        <v>249</v>
      </c>
      <c r="B928" s="12">
        <v>43274.981944444444</v>
      </c>
      <c r="C928" s="3"/>
      <c r="D928" s="3">
        <v>39.9</v>
      </c>
      <c r="E928" s="3"/>
      <c r="F928" s="3"/>
      <c r="G928" s="3"/>
      <c r="H928" s="3"/>
      <c r="I928" s="3"/>
      <c r="J928" s="3"/>
      <c r="K928" s="3">
        <v>38.6</v>
      </c>
      <c r="L928" s="3"/>
      <c r="M928" s="3"/>
      <c r="N928" s="3">
        <v>150.9</v>
      </c>
      <c r="O928" s="3"/>
      <c r="P928" s="3"/>
      <c r="Q928" s="3">
        <v>1.39</v>
      </c>
      <c r="R928" s="3">
        <v>0.7</v>
      </c>
      <c r="S928" s="3">
        <v>1.8</v>
      </c>
      <c r="T928" s="3">
        <v>16.399999999999999</v>
      </c>
      <c r="U928" s="3">
        <v>66.099999999999994</v>
      </c>
      <c r="V928" s="3">
        <v>965.9</v>
      </c>
      <c r="W928" s="3">
        <v>0</v>
      </c>
      <c r="X928" s="3">
        <v>46.3</v>
      </c>
      <c r="Y928" s="3">
        <v>46.4</v>
      </c>
      <c r="Z928" s="3">
        <v>45.2</v>
      </c>
      <c r="AA928" s="3">
        <v>40.700000000000003</v>
      </c>
      <c r="AB928" s="3">
        <v>36.799999999999997</v>
      </c>
      <c r="AC928" s="3">
        <v>36.1</v>
      </c>
      <c r="AD928" s="3">
        <v>39.1</v>
      </c>
      <c r="AE928" s="3">
        <v>40.9</v>
      </c>
      <c r="AF928" s="3">
        <v>45.7</v>
      </c>
      <c r="AG928" s="3">
        <v>39.200000000000003</v>
      </c>
      <c r="AH928" s="3">
        <v>37.4</v>
      </c>
      <c r="AI928" s="3">
        <v>37.799999999999997</v>
      </c>
      <c r="AJ928" s="3">
        <v>36</v>
      </c>
      <c r="AK928" s="3">
        <v>34.299999999999997</v>
      </c>
      <c r="AL928" s="3">
        <v>31.8</v>
      </c>
      <c r="AM928" s="3">
        <v>31.4</v>
      </c>
      <c r="AN928" s="3">
        <v>29.6</v>
      </c>
      <c r="AO928" s="3">
        <v>26.4</v>
      </c>
      <c r="AP928" s="3">
        <v>25.1</v>
      </c>
      <c r="AQ928" s="3">
        <v>23.9</v>
      </c>
      <c r="AR928" s="3">
        <v>22.4</v>
      </c>
      <c r="AS928" s="3">
        <v>22.2</v>
      </c>
      <c r="AT928" s="3">
        <v>29</v>
      </c>
      <c r="AU928" s="3">
        <v>20.6</v>
      </c>
      <c r="AV928" s="3">
        <v>18.100000000000001</v>
      </c>
      <c r="AW928" s="3">
        <v>16.899999999999999</v>
      </c>
      <c r="AX928" s="3">
        <v>13.2</v>
      </c>
      <c r="AY928" s="3">
        <v>11.9</v>
      </c>
      <c r="AZ928" s="3">
        <v>0</v>
      </c>
      <c r="BA928" s="3">
        <v>0</v>
      </c>
      <c r="BB928" s="3">
        <v>0</v>
      </c>
      <c r="BC928" s="3">
        <v>39.910116098150759</v>
      </c>
      <c r="BD928" s="3">
        <v>46.28988390184923</v>
      </c>
      <c r="BE928" s="3">
        <v>46.389883901849238</v>
      </c>
      <c r="BF928" s="3">
        <v>43.94988390184924</v>
      </c>
      <c r="BG928" s="3">
        <v>39.776550568515908</v>
      </c>
      <c r="BH928" s="3">
        <v>36.016550568515903</v>
      </c>
      <c r="BI928" s="3">
        <v>35.729883901849242</v>
      </c>
      <c r="BJ928" s="3">
        <v>39.523217235182578</v>
      </c>
      <c r="BK928" s="3">
        <v>41.196550568515896</v>
      </c>
      <c r="BL928" s="3">
        <v>45.569883901849245</v>
      </c>
      <c r="BM928" s="3">
        <v>39.203217235182585</v>
      </c>
      <c r="BN928" s="3">
        <v>37.686550568515905</v>
      </c>
      <c r="BO928" s="3">
        <v>37.453217235182571</v>
      </c>
      <c r="BP928" s="3">
        <v>35.369883901849242</v>
      </c>
      <c r="BQ928" s="3">
        <v>34.086550568515896</v>
      </c>
      <c r="BR928" s="3">
        <v>31.913217235182579</v>
      </c>
      <c r="BS928" s="3">
        <v>31.3165505685159</v>
      </c>
      <c r="BT928" s="3">
        <v>29.713217235182576</v>
      </c>
      <c r="BU928" s="3">
        <v>26.479883901849242</v>
      </c>
      <c r="BV928" s="3">
        <v>24.896550568515913</v>
      </c>
      <c r="BW928" s="3">
        <v>24.229883901849242</v>
      </c>
      <c r="BX928" s="3">
        <v>22.649883901849243</v>
      </c>
      <c r="BY928" s="3">
        <v>22.269883901849234</v>
      </c>
      <c r="BZ928" s="3">
        <v>29.19988390184924</v>
      </c>
      <c r="CA928" s="3">
        <v>20.899883901849229</v>
      </c>
      <c r="CB928" s="3">
        <v>17.836550568515911</v>
      </c>
      <c r="CC928" s="3">
        <v>16.849883901849232</v>
      </c>
      <c r="CD928" s="3">
        <v>12.456550568515908</v>
      </c>
      <c r="CE928" s="3">
        <v>11.349883901849239</v>
      </c>
      <c r="CF928" s="3">
        <v>-0.93678276481742984</v>
      </c>
      <c r="CG928" s="3">
        <v>-1.4701160981507613</v>
      </c>
      <c r="CH928" s="3">
        <v>-2.5467827648174293</v>
      </c>
      <c r="CI928" s="13">
        <f>[1]!dbasum(RecData[[#This Row],[20]:[2000]],RecData[[#Headers],[20]:[2000]])</f>
        <v>39.076000879465006</v>
      </c>
      <c r="CJ928" s="14">
        <v>10271</v>
      </c>
      <c r="CK928" s="15" t="s">
        <v>249</v>
      </c>
      <c r="CL928" s="15">
        <f>RecData[[#This Row],[Start Time]]</f>
        <v>43274.981944444444</v>
      </c>
      <c r="CM928" s="16">
        <f>RecData[[#This Row],[Wind Speed avg]]</f>
        <v>1.39</v>
      </c>
      <c r="CN928" s="16">
        <f>RecData[[#This Row],[Wind Dir. avg]]</f>
        <v>150.9</v>
      </c>
      <c r="CO928" s="16">
        <f>RecData[[#This Row],[Amb. Humidity]]</f>
        <v>66.099999999999994</v>
      </c>
      <c r="CP928" s="16">
        <f>RecData[[#This Row],[Amb. Temperature]]</f>
        <v>16.399999999999999</v>
      </c>
      <c r="CQ928" s="17">
        <f>RecData[[#This Row],[Amb. Rain Gauge]]</f>
        <v>0</v>
      </c>
      <c r="CR928" s="4" t="s">
        <v>1</v>
      </c>
      <c r="CS928" s="4" t="s">
        <v>49</v>
      </c>
      <c r="CT928" s="70">
        <v>1565.12536621093</v>
      </c>
      <c r="CU928" s="70">
        <v>21.000179290771399</v>
      </c>
      <c r="CV928" s="70">
        <v>9.9553852081298793</v>
      </c>
      <c r="CW928" s="70">
        <v>15.1548595428466</v>
      </c>
      <c r="CX928" s="4"/>
      <c r="CY928" s="69"/>
      <c r="CZ928" s="2" t="b">
        <f>IF($DP$1="YES",IF(RecData[[#This Row],[Power (kW)]]&gt;=$CR$3, TRUE,FALSE),TRUE)</f>
        <v>1</v>
      </c>
      <c r="DA928" s="16">
        <f>MIN(MOD(180-ABS(ABS($DA$1-RecData[Yaw Angle (°)])-180),360),MOD(180-ABS(ABS($DB$1-RecData[Yaw Angle (°)])-180),360))</f>
        <v>13.470252513083835</v>
      </c>
      <c r="DB928" s="2" t="str">
        <f>IF($DP$2="None","None",IF(RecData[[#This Row],[Relative Wind Direction]]&lt;=45,"DW",IF(RecData[[#This Row],[Relative Wind Direction]]&lt;=135,"CW","UW")))</f>
        <v>DW</v>
      </c>
      <c r="DC928" s="61" t="e">
        <f>IF($CL928-$CL927&gt;1/24,#REF!,IF(SUM($CQ927:$CQ928)&gt;$DS$1,$DS$5,DC929-1))</f>
        <v>#REF!</v>
      </c>
      <c r="DD928" s="61">
        <f>IF($CL929-$CL928&gt;1/24,#REF!,IF(SUM($CQ927:$CQ928)&gt;$DS$1,$DS$6,DD927-1))</f>
        <v>-2</v>
      </c>
      <c r="DE928" s="18" t="b">
        <v>0</v>
      </c>
      <c r="DF928" s="2" t="b">
        <f>IF(OR(RecData[[#This Row],[WSpd_Avg '[m/s']]]-RecData[[#This Row],[Wind Speed min]]&gt;=$DF$3,RecData[[#This Row],[Wind Speed max]]-RecData[[#This Row],[WSpd_Avg '[m/s']]]&gt;=$DF$2),TRUE,FALSE)</f>
        <v>0</v>
      </c>
      <c r="DG928" s="2" t="b">
        <f>RecData[[#This Row],[Temperature '[°C']]]&lt;=-20</f>
        <v>0</v>
      </c>
      <c r="DH928" s="18" t="b">
        <f>NOT(OR(MOD(RecData[[#This Row],[TIMESTAMP]],1)&gt;0.91632,MOD(RecData[[#This Row],[TIMESTAMP]],1)&lt;0.208681))</f>
        <v>0</v>
      </c>
      <c r="DI928" s="18" t="b">
        <f>RecData[[#This Row],[Overall (dBA)]]-RecData[[#This Row],[L90]]&gt;=$DS$4</f>
        <v>0</v>
      </c>
      <c r="DJ928" s="18" t="b">
        <f>RecData[[#This Row],[Overall (dBA)]]&gt;$DS$2</f>
        <v>0</v>
      </c>
      <c r="DK928" s="18" t="b">
        <f>RecData[[#This Row],[Overall (dBA)]]&lt;$DS$3</f>
        <v>0</v>
      </c>
      <c r="DL9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8" s="2">
        <f>IF(AND(RecData[[#This Row],[Turbines ON/OFF]] = "OFF", NOT(OR(RecData[[#This Row],[Junk?]]="YES",RecData[[#This Row],[Gust?]],RecData[[#This Row],[Rain?]:[Min SPL Threshold?]]))),1,0)</f>
        <v>0</v>
      </c>
      <c r="DN928" s="16">
        <f>RecData[[#This Row],[dBA Sum]]</f>
        <v>39.076000879465006</v>
      </c>
      <c r="DO928" s="16">
        <f>RecData[[#This Row],[LAF90.0]]</f>
        <v>38.6</v>
      </c>
      <c r="DP928" s="55">
        <f>IF(AND(RecData[[#This Row],[Useable TON Data?]],RecData[[#This Row],[Turbines ON/OFF]]="ON"),RecData[[#This Row],[dBA Sum]],"")</f>
        <v>39.076000879465006</v>
      </c>
      <c r="DQ928" s="55" t="str">
        <f>IF(AND(RecData[[#This Row],[Useable Background Data?]],RecData[[#This Row],[Turbines ON/OFF]]="OFF"),RecData[[#This Row],[dBA Sum]],"")</f>
        <v/>
      </c>
      <c r="DR928" s="3">
        <f>IF(OR(RecData[[#This Row],[Useable TON Data?]],RecData[[#This Row],[Useable Background Data?]]),ROUND(RecData[[#This Row],[WSpd_Avg '[m/s']]],0),"")</f>
        <v>1</v>
      </c>
      <c r="DS928" s="85">
        <f>(0.00002)^2*(10^(RecData[[#This Row],[Overall (dBA)]]/10))</f>
        <v>3.233404804338592E-6</v>
      </c>
    </row>
    <row r="929" spans="1:123" ht="15" x14ac:dyDescent="0.25">
      <c r="A929" s="3" t="s">
        <v>249</v>
      </c>
      <c r="B929" s="12">
        <v>43274.982638888891</v>
      </c>
      <c r="C929" s="3"/>
      <c r="D929" s="3">
        <v>38.299999999999997</v>
      </c>
      <c r="E929" s="3"/>
      <c r="F929" s="3"/>
      <c r="G929" s="3"/>
      <c r="H929" s="3"/>
      <c r="I929" s="3"/>
      <c r="J929" s="3"/>
      <c r="K929" s="3">
        <v>35.9</v>
      </c>
      <c r="L929" s="3"/>
      <c r="M929" s="3"/>
      <c r="N929" s="3">
        <v>164.5</v>
      </c>
      <c r="O929" s="3"/>
      <c r="P929" s="3"/>
      <c r="Q929" s="3">
        <v>1.42</v>
      </c>
      <c r="R929" s="3">
        <v>0.5</v>
      </c>
      <c r="S929" s="3">
        <v>2.1</v>
      </c>
      <c r="T929" s="3">
        <v>16.399999999999999</v>
      </c>
      <c r="U929" s="3">
        <v>66</v>
      </c>
      <c r="V929" s="3">
        <v>965.9</v>
      </c>
      <c r="W929" s="3">
        <v>0</v>
      </c>
      <c r="X929" s="3">
        <v>45.8</v>
      </c>
      <c r="Y929" s="3">
        <v>46.1</v>
      </c>
      <c r="Z929" s="3">
        <v>45.6</v>
      </c>
      <c r="AA929" s="3">
        <v>40.1</v>
      </c>
      <c r="AB929" s="3">
        <v>36.1</v>
      </c>
      <c r="AC929" s="3">
        <v>34.799999999999997</v>
      </c>
      <c r="AD929" s="3">
        <v>37.799999999999997</v>
      </c>
      <c r="AE929" s="3">
        <v>40.200000000000003</v>
      </c>
      <c r="AF929" s="3">
        <v>44</v>
      </c>
      <c r="AG929" s="3">
        <v>36.1</v>
      </c>
      <c r="AH929" s="3">
        <v>36.1</v>
      </c>
      <c r="AI929" s="3">
        <v>36.5</v>
      </c>
      <c r="AJ929" s="3">
        <v>34.799999999999997</v>
      </c>
      <c r="AK929" s="3">
        <v>32.6</v>
      </c>
      <c r="AL929" s="3">
        <v>30.4</v>
      </c>
      <c r="AM929" s="3">
        <v>29.4</v>
      </c>
      <c r="AN929" s="3">
        <v>27.8</v>
      </c>
      <c r="AO929" s="3">
        <v>24.6</v>
      </c>
      <c r="AP929" s="3">
        <v>22.7</v>
      </c>
      <c r="AQ929" s="3">
        <v>21.8</v>
      </c>
      <c r="AR929" s="3">
        <v>20.3</v>
      </c>
      <c r="AS929" s="3">
        <v>19.8</v>
      </c>
      <c r="AT929" s="3">
        <v>28.5</v>
      </c>
      <c r="AU929" s="3">
        <v>18.8</v>
      </c>
      <c r="AV929" s="3">
        <v>15.1</v>
      </c>
      <c r="AW929" s="3">
        <v>14</v>
      </c>
      <c r="AX929" s="3">
        <v>11.3</v>
      </c>
      <c r="AY929" s="3">
        <v>10.6</v>
      </c>
      <c r="AZ929" s="3">
        <v>0</v>
      </c>
      <c r="BA929" s="3">
        <v>0</v>
      </c>
      <c r="BB929" s="3">
        <v>0</v>
      </c>
      <c r="BC929" s="3">
        <v>38.339995938675841</v>
      </c>
      <c r="BD929" s="3">
        <v>45.760004061324153</v>
      </c>
      <c r="BE929" s="3">
        <v>46.060004061324165</v>
      </c>
      <c r="BF929" s="3">
        <v>44.320004061324155</v>
      </c>
      <c r="BG929" s="3">
        <v>39.146670727990823</v>
      </c>
      <c r="BH929" s="3">
        <v>35.286670727990824</v>
      </c>
      <c r="BI929" s="3">
        <v>34.400004061324154</v>
      </c>
      <c r="BJ929" s="3">
        <v>38.19333739465749</v>
      </c>
      <c r="BK929" s="3">
        <v>40.466670727990831</v>
      </c>
      <c r="BL929" s="3">
        <v>43.840004061324166</v>
      </c>
      <c r="BM929" s="3">
        <v>36.073337394657486</v>
      </c>
      <c r="BN929" s="3">
        <v>36.356670727990817</v>
      </c>
      <c r="BO929" s="3">
        <v>36.123337394657497</v>
      </c>
      <c r="BP929" s="3">
        <v>34.140004061324149</v>
      </c>
      <c r="BQ929" s="3">
        <v>32.356670727990817</v>
      </c>
      <c r="BR929" s="3">
        <v>30.483337394657482</v>
      </c>
      <c r="BS929" s="3">
        <v>29.286670727990824</v>
      </c>
      <c r="BT929" s="3">
        <v>27.883337394657488</v>
      </c>
      <c r="BU929" s="3">
        <v>24.650004061324161</v>
      </c>
      <c r="BV929" s="3">
        <v>22.466670727990824</v>
      </c>
      <c r="BW929" s="3">
        <v>22.100004061324157</v>
      </c>
      <c r="BX929" s="3">
        <v>20.520004061324158</v>
      </c>
      <c r="BY929" s="3">
        <v>19.840004061324152</v>
      </c>
      <c r="BZ929" s="3">
        <v>28.670004061324164</v>
      </c>
      <c r="CA929" s="3">
        <v>19.070004061324148</v>
      </c>
      <c r="CB929" s="3">
        <v>14.80667072799082</v>
      </c>
      <c r="CC929" s="3">
        <v>13.920004061324157</v>
      </c>
      <c r="CD929" s="3">
        <v>10.526670727990826</v>
      </c>
      <c r="CE929" s="3">
        <v>10.020004061324158</v>
      </c>
      <c r="CF929" s="3">
        <v>-0.96666260534251336</v>
      </c>
      <c r="CG929" s="3">
        <v>-1.4999959386758448</v>
      </c>
      <c r="CH929" s="3">
        <v>-2.5766626053425128</v>
      </c>
      <c r="CI929" s="13">
        <f>[1]!dbasum(RecData[[#This Row],[20]:[2000]],RecData[[#Headers],[20]:[2000]])</f>
        <v>37.355122130289516</v>
      </c>
      <c r="CJ929" s="14">
        <v>10272</v>
      </c>
      <c r="CK929" s="15" t="s">
        <v>249</v>
      </c>
      <c r="CL929" s="15">
        <f>RecData[[#This Row],[Start Time]]</f>
        <v>43274.982638888891</v>
      </c>
      <c r="CM929" s="16">
        <f>RecData[[#This Row],[Wind Speed avg]]</f>
        <v>1.42</v>
      </c>
      <c r="CN929" s="16">
        <f>RecData[[#This Row],[Wind Dir. avg]]</f>
        <v>164.5</v>
      </c>
      <c r="CO929" s="16">
        <f>RecData[[#This Row],[Amb. Humidity]]</f>
        <v>66</v>
      </c>
      <c r="CP929" s="16">
        <f>RecData[[#This Row],[Amb. Temperature]]</f>
        <v>16.399999999999999</v>
      </c>
      <c r="CQ929" s="17">
        <f>RecData[[#This Row],[Amb. Rain Gauge]]</f>
        <v>0</v>
      </c>
      <c r="CR929" s="4" t="s">
        <v>1</v>
      </c>
      <c r="CS929" s="4" t="s">
        <v>49</v>
      </c>
      <c r="CT929" s="70">
        <v>1565.12536621093</v>
      </c>
      <c r="CU929" s="70">
        <v>21.000179290771399</v>
      </c>
      <c r="CV929" s="70">
        <v>9.9553852081298793</v>
      </c>
      <c r="CW929" s="70">
        <v>15.1548595428466</v>
      </c>
      <c r="CX929" s="4"/>
      <c r="CY929" s="69"/>
      <c r="CZ929" s="2" t="b">
        <f>IF($DP$1="YES",IF(RecData[[#This Row],[Power (kW)]]&gt;=$CR$3, TRUE,FALSE),TRUE)</f>
        <v>1</v>
      </c>
      <c r="DA929" s="16">
        <f>MIN(MOD(180-ABS(ABS($DA$1-RecData[Yaw Angle (°)])-180),360),MOD(180-ABS(ABS($DB$1-RecData[Yaw Angle (°)])-180),360))</f>
        <v>13.470252513083835</v>
      </c>
      <c r="DB929" s="2" t="str">
        <f>IF($DP$2="None","None",IF(RecData[[#This Row],[Relative Wind Direction]]&lt;=45,"DW",IF(RecData[[#This Row],[Relative Wind Direction]]&lt;=135,"CW","UW")))</f>
        <v>DW</v>
      </c>
      <c r="DC929" s="61" t="e">
        <f>IF($CL929-$CL927&gt;1/24,#REF!,IF(SUM($CQ927:$CQ929)&gt;$DS$1,$DS$5,DC930-1))</f>
        <v>#REF!</v>
      </c>
      <c r="DD929" s="61">
        <f>IF($CL930-$CL929&gt;1/24,#REF!,IF(SUM($CQ927:$CQ929)&gt;$DS$1,$DS$6,DD928-1))</f>
        <v>-3</v>
      </c>
      <c r="DE929" s="18" t="b">
        <v>0</v>
      </c>
      <c r="DF929" s="2" t="b">
        <f>IF(OR(RecData[[#This Row],[WSpd_Avg '[m/s']]]-RecData[[#This Row],[Wind Speed min]]&gt;=$DF$3,RecData[[#This Row],[Wind Speed max]]-RecData[[#This Row],[WSpd_Avg '[m/s']]]&gt;=$DF$2),TRUE,FALSE)</f>
        <v>0</v>
      </c>
      <c r="DG929" s="2" t="b">
        <f>RecData[[#This Row],[Temperature '[°C']]]&lt;=-20</f>
        <v>0</v>
      </c>
      <c r="DH929" s="18" t="b">
        <f>NOT(OR(MOD(RecData[[#This Row],[TIMESTAMP]],1)&gt;0.91632,MOD(RecData[[#This Row],[TIMESTAMP]],1)&lt;0.208681))</f>
        <v>0</v>
      </c>
      <c r="DI929" s="18" t="b">
        <f>RecData[[#This Row],[Overall (dBA)]]-RecData[[#This Row],[L90]]&gt;=$DS$4</f>
        <v>0</v>
      </c>
      <c r="DJ929" s="18" t="b">
        <f>RecData[[#This Row],[Overall (dBA)]]&gt;$DS$2</f>
        <v>0</v>
      </c>
      <c r="DK929" s="18" t="b">
        <f>RecData[[#This Row],[Overall (dBA)]]&lt;$DS$3</f>
        <v>0</v>
      </c>
      <c r="DL9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29" s="2">
        <f>IF(AND(RecData[[#This Row],[Turbines ON/OFF]] = "OFF", NOT(OR(RecData[[#This Row],[Junk?]]="YES",RecData[[#This Row],[Gust?]],RecData[[#This Row],[Rain?]:[Min SPL Threshold?]]))),1,0)</f>
        <v>0</v>
      </c>
      <c r="DN929" s="16">
        <f>RecData[[#This Row],[dBA Sum]]</f>
        <v>37.355122130289516</v>
      </c>
      <c r="DO929" s="16">
        <f>RecData[[#This Row],[LAF90.0]]</f>
        <v>35.9</v>
      </c>
      <c r="DP929" s="55">
        <f>IF(AND(RecData[[#This Row],[Useable TON Data?]],RecData[[#This Row],[Turbines ON/OFF]]="ON"),RecData[[#This Row],[dBA Sum]],"")</f>
        <v>37.355122130289516</v>
      </c>
      <c r="DQ929" s="55" t="str">
        <f>IF(AND(RecData[[#This Row],[Useable Background Data?]],RecData[[#This Row],[Turbines ON/OFF]]="OFF"),RecData[[#This Row],[dBA Sum]],"")</f>
        <v/>
      </c>
      <c r="DR929" s="3">
        <f>IF(OR(RecData[[#This Row],[Useable TON Data?]],RecData[[#This Row],[Useable Background Data?]]),ROUND(RecData[[#This Row],[WSpd_Avg '[m/s']]],0),"")</f>
        <v>1</v>
      </c>
      <c r="DS929" s="85">
        <f>(0.00002)^2*(10^(RecData[[#This Row],[Overall (dBA)]]/10))</f>
        <v>2.1755657062759602E-6</v>
      </c>
    </row>
    <row r="930" spans="1:123" ht="15" x14ac:dyDescent="0.25">
      <c r="A930" s="3" t="s">
        <v>249</v>
      </c>
      <c r="B930" s="12">
        <v>43274.983333333337</v>
      </c>
      <c r="C930" s="3"/>
      <c r="D930" s="3">
        <v>39</v>
      </c>
      <c r="E930" s="3"/>
      <c r="F930" s="3"/>
      <c r="G930" s="3"/>
      <c r="H930" s="3"/>
      <c r="I930" s="3"/>
      <c r="J930" s="3"/>
      <c r="K930" s="3">
        <v>37.700000000000003</v>
      </c>
      <c r="L930" s="3"/>
      <c r="M930" s="3"/>
      <c r="N930" s="3">
        <v>183.9</v>
      </c>
      <c r="O930" s="3"/>
      <c r="P930" s="3"/>
      <c r="Q930" s="3">
        <v>1.1399999999999999</v>
      </c>
      <c r="R930" s="3">
        <v>0.3</v>
      </c>
      <c r="S930" s="3">
        <v>1.9</v>
      </c>
      <c r="T930" s="3">
        <v>16.399999999999999</v>
      </c>
      <c r="U930" s="3">
        <v>65.8</v>
      </c>
      <c r="V930" s="3">
        <v>965.9</v>
      </c>
      <c r="W930" s="3">
        <v>0</v>
      </c>
      <c r="X930" s="3">
        <v>46.7</v>
      </c>
      <c r="Y930" s="3">
        <v>46.1</v>
      </c>
      <c r="Z930" s="3">
        <v>46.1</v>
      </c>
      <c r="AA930" s="3">
        <v>41.7</v>
      </c>
      <c r="AB930" s="3">
        <v>36.799999999999997</v>
      </c>
      <c r="AC930" s="3">
        <v>35</v>
      </c>
      <c r="AD930" s="3">
        <v>37.9</v>
      </c>
      <c r="AE930" s="3">
        <v>41</v>
      </c>
      <c r="AF930" s="3">
        <v>44.3</v>
      </c>
      <c r="AG930" s="3">
        <v>37.4</v>
      </c>
      <c r="AH930" s="3">
        <v>37</v>
      </c>
      <c r="AI930" s="3">
        <v>37.5</v>
      </c>
      <c r="AJ930" s="3">
        <v>35.299999999999997</v>
      </c>
      <c r="AK930" s="3">
        <v>33.299999999999997</v>
      </c>
      <c r="AL930" s="3">
        <v>30.8</v>
      </c>
      <c r="AM930" s="3">
        <v>30</v>
      </c>
      <c r="AN930" s="3">
        <v>28.2</v>
      </c>
      <c r="AO930" s="3">
        <v>25.2</v>
      </c>
      <c r="AP930" s="3">
        <v>24.1</v>
      </c>
      <c r="AQ930" s="3">
        <v>23</v>
      </c>
      <c r="AR930" s="3">
        <v>21.8</v>
      </c>
      <c r="AS930" s="3">
        <v>21.2</v>
      </c>
      <c r="AT930" s="3">
        <v>28.8</v>
      </c>
      <c r="AU930" s="3">
        <v>19.8</v>
      </c>
      <c r="AV930" s="3">
        <v>16.2</v>
      </c>
      <c r="AW930" s="3">
        <v>15.2</v>
      </c>
      <c r="AX930" s="3">
        <v>12</v>
      </c>
      <c r="AY930" s="3">
        <v>11.1</v>
      </c>
      <c r="AZ930" s="3">
        <v>0</v>
      </c>
      <c r="BA930" s="3">
        <v>0</v>
      </c>
      <c r="BB930" s="3">
        <v>0</v>
      </c>
      <c r="BC930" s="3">
        <v>39.013258727917602</v>
      </c>
      <c r="BD930" s="3">
        <v>46.686741272082401</v>
      </c>
      <c r="BE930" s="3">
        <v>46.086741272082392</v>
      </c>
      <c r="BF930" s="3">
        <v>44.846741272082397</v>
      </c>
      <c r="BG930" s="3">
        <v>40.77340793874906</v>
      </c>
      <c r="BH930" s="3">
        <v>36.013407938749069</v>
      </c>
      <c r="BI930" s="3">
        <v>34.626741272082398</v>
      </c>
      <c r="BJ930" s="3">
        <v>38.320074605415726</v>
      </c>
      <c r="BK930" s="3">
        <v>41.29340793874907</v>
      </c>
      <c r="BL930" s="3">
        <v>44.166741272082405</v>
      </c>
      <c r="BM930" s="3">
        <v>37.400074605415725</v>
      </c>
      <c r="BN930" s="3">
        <v>37.283407938749065</v>
      </c>
      <c r="BO930" s="3">
        <v>37.150074605415725</v>
      </c>
      <c r="BP930" s="3">
        <v>34.666741272082405</v>
      </c>
      <c r="BQ930" s="3">
        <v>33.083407938749062</v>
      </c>
      <c r="BR930" s="3">
        <v>30.91007460541573</v>
      </c>
      <c r="BS930" s="3">
        <v>29.91340793874906</v>
      </c>
      <c r="BT930" s="3">
        <v>28.310074605415736</v>
      </c>
      <c r="BU930" s="3">
        <v>25.276741272082404</v>
      </c>
      <c r="BV930" s="3">
        <v>23.893407938749064</v>
      </c>
      <c r="BW930" s="3">
        <v>23.326741272082401</v>
      </c>
      <c r="BX930" s="3">
        <v>22.0467412720824</v>
      </c>
      <c r="BY930" s="3">
        <v>21.266741272082399</v>
      </c>
      <c r="BZ930" s="3">
        <v>28.996741272082403</v>
      </c>
      <c r="CA930" s="3">
        <v>20.09674127208239</v>
      </c>
      <c r="CB930" s="3">
        <v>15.933407938749063</v>
      </c>
      <c r="CC930" s="3">
        <v>15.146741272082394</v>
      </c>
      <c r="CD930" s="3">
        <v>11.253407938749071</v>
      </c>
      <c r="CE930" s="3">
        <v>10.5467412720824</v>
      </c>
      <c r="CF930" s="3">
        <v>-0.9399253945842716</v>
      </c>
      <c r="CG930" s="3">
        <v>-1.473258727917603</v>
      </c>
      <c r="CH930" s="3">
        <v>-2.549925394584271</v>
      </c>
      <c r="CI930" s="13">
        <f>[1]!dbasum(RecData[[#This Row],[20]:[2000]],RecData[[#Headers],[20]:[2000]])</f>
        <v>38.088189931826655</v>
      </c>
      <c r="CJ930" s="14">
        <v>10273</v>
      </c>
      <c r="CK930" s="15" t="s">
        <v>249</v>
      </c>
      <c r="CL930" s="15">
        <f>RecData[[#This Row],[Start Time]]</f>
        <v>43274.983333333337</v>
      </c>
      <c r="CM930" s="16">
        <f>RecData[[#This Row],[Wind Speed avg]]</f>
        <v>1.1399999999999999</v>
      </c>
      <c r="CN930" s="16">
        <f>RecData[[#This Row],[Wind Dir. avg]]</f>
        <v>183.9</v>
      </c>
      <c r="CO930" s="16">
        <f>RecData[[#This Row],[Amb. Humidity]]</f>
        <v>65.8</v>
      </c>
      <c r="CP930" s="16">
        <f>RecData[[#This Row],[Amb. Temperature]]</f>
        <v>16.399999999999999</v>
      </c>
      <c r="CQ930" s="17">
        <f>RecData[[#This Row],[Amb. Rain Gauge]]</f>
        <v>0</v>
      </c>
      <c r="CR930" s="4" t="s">
        <v>1</v>
      </c>
      <c r="CS930" s="4" t="s">
        <v>49</v>
      </c>
      <c r="CT930" s="70">
        <v>1565.12536621093</v>
      </c>
      <c r="CU930" s="70">
        <v>21.000179290771399</v>
      </c>
      <c r="CV930" s="70">
        <v>9.9553852081298793</v>
      </c>
      <c r="CW930" s="70">
        <v>15.1548595428466</v>
      </c>
      <c r="CX930" s="4"/>
      <c r="CY930" s="69"/>
      <c r="CZ930" s="2" t="b">
        <f>IF($DP$1="YES",IF(RecData[[#This Row],[Power (kW)]]&gt;=$CR$3, TRUE,FALSE),TRUE)</f>
        <v>1</v>
      </c>
      <c r="DA930" s="16">
        <f>MIN(MOD(180-ABS(ABS($DA$1-RecData[Yaw Angle (°)])-180),360),MOD(180-ABS(ABS($DB$1-RecData[Yaw Angle (°)])-180),360))</f>
        <v>13.470252513083835</v>
      </c>
      <c r="DB930" s="2" t="str">
        <f>IF($DP$2="None","None",IF(RecData[[#This Row],[Relative Wind Direction]]&lt;=45,"DW",IF(RecData[[#This Row],[Relative Wind Direction]]&lt;=135,"CW","UW")))</f>
        <v>DW</v>
      </c>
      <c r="DC930" s="61" t="e">
        <f>IF($CL930-$CL927&gt;1/24,#REF!,IF(SUM($CQ927:$CQ930)&gt;$DS$1,$DS$5,DC931-1))</f>
        <v>#REF!</v>
      </c>
      <c r="DD930" s="61">
        <f>IF($CL931-$CL930&gt;1/24,#REF!,IF(SUM($CQ927:$CQ930)&gt;$DS$1,$DS$6,DD929-1))</f>
        <v>-4</v>
      </c>
      <c r="DE930" s="18" t="b">
        <v>0</v>
      </c>
      <c r="DF930" s="2" t="b">
        <f>IF(OR(RecData[[#This Row],[WSpd_Avg '[m/s']]]-RecData[[#This Row],[Wind Speed min]]&gt;=$DF$3,RecData[[#This Row],[Wind Speed max]]-RecData[[#This Row],[WSpd_Avg '[m/s']]]&gt;=$DF$2),TRUE,FALSE)</f>
        <v>0</v>
      </c>
      <c r="DG930" s="2" t="b">
        <f>RecData[[#This Row],[Temperature '[°C']]]&lt;=-20</f>
        <v>0</v>
      </c>
      <c r="DH930" s="18" t="b">
        <f>NOT(OR(MOD(RecData[[#This Row],[TIMESTAMP]],1)&gt;0.91632,MOD(RecData[[#This Row],[TIMESTAMP]],1)&lt;0.208681))</f>
        <v>0</v>
      </c>
      <c r="DI930" s="18" t="b">
        <f>RecData[[#This Row],[Overall (dBA)]]-RecData[[#This Row],[L90]]&gt;=$DS$4</f>
        <v>0</v>
      </c>
      <c r="DJ930" s="18" t="b">
        <f>RecData[[#This Row],[Overall (dBA)]]&gt;$DS$2</f>
        <v>0</v>
      </c>
      <c r="DK930" s="18" t="b">
        <f>RecData[[#This Row],[Overall (dBA)]]&lt;$DS$3</f>
        <v>0</v>
      </c>
      <c r="DL9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0" s="2">
        <f>IF(AND(RecData[[#This Row],[Turbines ON/OFF]] = "OFF", NOT(OR(RecData[[#This Row],[Junk?]]="YES",RecData[[#This Row],[Gust?]],RecData[[#This Row],[Rain?]:[Min SPL Threshold?]]))),1,0)</f>
        <v>0</v>
      </c>
      <c r="DN930" s="16">
        <f>RecData[[#This Row],[dBA Sum]]</f>
        <v>38.088189931826655</v>
      </c>
      <c r="DO930" s="16">
        <f>RecData[[#This Row],[LAF90.0]]</f>
        <v>37.700000000000003</v>
      </c>
      <c r="DP930" s="55">
        <f>IF(AND(RecData[[#This Row],[Useable TON Data?]],RecData[[#This Row],[Turbines ON/OFF]]="ON"),RecData[[#This Row],[dBA Sum]],"")</f>
        <v>38.088189931826655</v>
      </c>
      <c r="DQ930" s="55" t="str">
        <f>IF(AND(RecData[[#This Row],[Useable Background Data?]],RecData[[#This Row],[Turbines ON/OFF]]="OFF"),RecData[[#This Row],[dBA Sum]],"")</f>
        <v/>
      </c>
      <c r="DR930" s="3">
        <f>IF(OR(RecData[[#This Row],[Useable TON Data?]],RecData[[#This Row],[Useable Background Data?]]),ROUND(RecData[[#This Row],[WSpd_Avg '[m/s']]],0),"")</f>
        <v>1</v>
      </c>
      <c r="DS930" s="85">
        <f>(0.00002)^2*(10^(RecData[[#This Row],[Overall (dBA)]]/10))</f>
        <v>2.5756033690848437E-6</v>
      </c>
    </row>
    <row r="931" spans="1:123" ht="15" x14ac:dyDescent="0.25">
      <c r="A931" s="3" t="s">
        <v>249</v>
      </c>
      <c r="B931" s="12">
        <v>43274.984027777777</v>
      </c>
      <c r="C931" s="3"/>
      <c r="D931" s="3">
        <v>39</v>
      </c>
      <c r="E931" s="3"/>
      <c r="F931" s="3"/>
      <c r="G931" s="3"/>
      <c r="H931" s="3"/>
      <c r="I931" s="3"/>
      <c r="J931" s="3"/>
      <c r="K931" s="3">
        <v>37.1</v>
      </c>
      <c r="L931" s="3"/>
      <c r="M931" s="3"/>
      <c r="N931" s="3">
        <v>129.80000000000001</v>
      </c>
      <c r="O931" s="3"/>
      <c r="P931" s="3"/>
      <c r="Q931" s="3">
        <v>0.98</v>
      </c>
      <c r="R931" s="3">
        <v>0.1</v>
      </c>
      <c r="S931" s="3">
        <v>2.1</v>
      </c>
      <c r="T931" s="3">
        <v>16.399999999999999</v>
      </c>
      <c r="U931" s="3">
        <v>65.7</v>
      </c>
      <c r="V931" s="3">
        <v>966</v>
      </c>
      <c r="W931" s="3">
        <v>0</v>
      </c>
      <c r="X931" s="3">
        <v>46.7</v>
      </c>
      <c r="Y931" s="3">
        <v>46.2</v>
      </c>
      <c r="Z931" s="3">
        <v>45.5</v>
      </c>
      <c r="AA931" s="3">
        <v>40.9</v>
      </c>
      <c r="AB931" s="3">
        <v>36.299999999999997</v>
      </c>
      <c r="AC931" s="3">
        <v>35.9</v>
      </c>
      <c r="AD931" s="3">
        <v>39.299999999999997</v>
      </c>
      <c r="AE931" s="3">
        <v>41.8</v>
      </c>
      <c r="AF931" s="3">
        <v>44.5</v>
      </c>
      <c r="AG931" s="3">
        <v>37.799999999999997</v>
      </c>
      <c r="AH931" s="3">
        <v>37.799999999999997</v>
      </c>
      <c r="AI931" s="3">
        <v>37.9</v>
      </c>
      <c r="AJ931" s="3">
        <v>35.700000000000003</v>
      </c>
      <c r="AK931" s="3">
        <v>33.799999999999997</v>
      </c>
      <c r="AL931" s="3">
        <v>31.1</v>
      </c>
      <c r="AM931" s="3">
        <v>30.4</v>
      </c>
      <c r="AN931" s="3">
        <v>28.7</v>
      </c>
      <c r="AO931" s="3">
        <v>25.8</v>
      </c>
      <c r="AP931" s="3">
        <v>24.3</v>
      </c>
      <c r="AQ931" s="3">
        <v>23.1</v>
      </c>
      <c r="AR931" s="3">
        <v>20.9</v>
      </c>
      <c r="AS931" s="3">
        <v>19.3</v>
      </c>
      <c r="AT931" s="3">
        <v>26.8</v>
      </c>
      <c r="AU931" s="3">
        <v>14.9</v>
      </c>
      <c r="AV931" s="3">
        <v>11.9</v>
      </c>
      <c r="AW931" s="3">
        <v>11.1</v>
      </c>
      <c r="AX931" s="3">
        <v>9.4</v>
      </c>
      <c r="AY931" s="3">
        <v>9.3000000000000007</v>
      </c>
      <c r="AZ931" s="3">
        <v>0</v>
      </c>
      <c r="BA931" s="3">
        <v>0</v>
      </c>
      <c r="BB931" s="3">
        <v>0</v>
      </c>
      <c r="BC931" s="3">
        <v>39.038323284879041</v>
      </c>
      <c r="BD931" s="3">
        <v>46.661676715120961</v>
      </c>
      <c r="BE931" s="3">
        <v>46.161676715120961</v>
      </c>
      <c r="BF931" s="3">
        <v>44.22167671512095</v>
      </c>
      <c r="BG931" s="3">
        <v>39.948343381787623</v>
      </c>
      <c r="BH931" s="3">
        <v>35.488343381787629</v>
      </c>
      <c r="BI931" s="3">
        <v>35.501676715120951</v>
      </c>
      <c r="BJ931" s="3">
        <v>39.695010048454279</v>
      </c>
      <c r="BK931" s="3">
        <v>42.068343381787614</v>
      </c>
      <c r="BL931" s="3">
        <v>44.341676715120954</v>
      </c>
      <c r="BM931" s="3">
        <v>37.775010048454291</v>
      </c>
      <c r="BN931" s="3">
        <v>38.058343381787623</v>
      </c>
      <c r="BO931" s="3">
        <v>37.525010048454291</v>
      </c>
      <c r="BP931" s="3">
        <v>35.041676715120971</v>
      </c>
      <c r="BQ931" s="3">
        <v>33.558343381787623</v>
      </c>
      <c r="BR931" s="3">
        <v>31.185010048454288</v>
      </c>
      <c r="BS931" s="3">
        <v>30.288343381787627</v>
      </c>
      <c r="BT931" s="3">
        <v>28.785010048454296</v>
      </c>
      <c r="BU931" s="3">
        <v>25.851676715120959</v>
      </c>
      <c r="BV931" s="3">
        <v>24.068343381787628</v>
      </c>
      <c r="BW931" s="3">
        <v>23.401676715120963</v>
      </c>
      <c r="BX931" s="3">
        <v>21.121676715120962</v>
      </c>
      <c r="BY931" s="3">
        <v>19.341676715120954</v>
      </c>
      <c r="BZ931" s="3">
        <v>26.971676715120964</v>
      </c>
      <c r="CA931" s="3">
        <v>15.171676715120952</v>
      </c>
      <c r="CB931" s="3">
        <v>11.60834338178762</v>
      </c>
      <c r="CC931" s="3">
        <v>11.021676715120961</v>
      </c>
      <c r="CD931" s="3">
        <v>8.6283433817876301</v>
      </c>
      <c r="CE931" s="3">
        <v>8.7216767151209567</v>
      </c>
      <c r="CF931" s="3">
        <v>-0.96498995154571077</v>
      </c>
      <c r="CG931" s="3">
        <v>-1.4983232848790422</v>
      </c>
      <c r="CH931" s="3">
        <v>-2.5749899515457102</v>
      </c>
      <c r="CI931" s="13">
        <f>[1]!dbasum(RecData[[#This Row],[20]:[2000]],RecData[[#Headers],[20]:[2000]])</f>
        <v>38.452799881168282</v>
      </c>
      <c r="CJ931" s="14">
        <v>10274</v>
      </c>
      <c r="CK931" s="15" t="s">
        <v>249</v>
      </c>
      <c r="CL931" s="15">
        <f>RecData[[#This Row],[Start Time]]</f>
        <v>43274.984027777777</v>
      </c>
      <c r="CM931" s="16">
        <f>RecData[[#This Row],[Wind Speed avg]]</f>
        <v>0.98</v>
      </c>
      <c r="CN931" s="16">
        <f>RecData[[#This Row],[Wind Dir. avg]]</f>
        <v>129.80000000000001</v>
      </c>
      <c r="CO931" s="16">
        <f>RecData[[#This Row],[Amb. Humidity]]</f>
        <v>65.7</v>
      </c>
      <c r="CP931" s="16">
        <f>RecData[[#This Row],[Amb. Temperature]]</f>
        <v>16.399999999999999</v>
      </c>
      <c r="CQ931" s="17">
        <f>RecData[[#This Row],[Amb. Rain Gauge]]</f>
        <v>0</v>
      </c>
      <c r="CR931" s="4" t="s">
        <v>1</v>
      </c>
      <c r="CS931" s="4" t="s">
        <v>49</v>
      </c>
      <c r="CT931" s="70">
        <v>1565.12536621093</v>
      </c>
      <c r="CU931" s="70">
        <v>21.000179290771399</v>
      </c>
      <c r="CV931" s="70">
        <v>9.9553852081298793</v>
      </c>
      <c r="CW931" s="70">
        <v>15.1548595428466</v>
      </c>
      <c r="CX931" s="4"/>
      <c r="CY931" s="69"/>
      <c r="CZ931" s="2" t="b">
        <f>IF($DP$1="YES",IF(RecData[[#This Row],[Power (kW)]]&gt;=$CR$3, TRUE,FALSE),TRUE)</f>
        <v>1</v>
      </c>
      <c r="DA931" s="16">
        <f>MIN(MOD(180-ABS(ABS($DA$1-RecData[Yaw Angle (°)])-180),360),MOD(180-ABS(ABS($DB$1-RecData[Yaw Angle (°)])-180),360))</f>
        <v>13.470252513083835</v>
      </c>
      <c r="DB931" s="2" t="str">
        <f>IF($DP$2="None","None",IF(RecData[[#This Row],[Relative Wind Direction]]&lt;=45,"DW",IF(RecData[[#This Row],[Relative Wind Direction]]&lt;=135,"CW","UW")))</f>
        <v>DW</v>
      </c>
      <c r="DC931" s="61" t="e">
        <f>IF($CL931-$CL927&gt;1/24,#REF!,IF(SUM($CQ927:$CQ931)&gt;$DS$1,$DS$5,DC932-1))</f>
        <v>#REF!</v>
      </c>
      <c r="DD931" s="61">
        <f>IF($CL932-$CL931&gt;1/24,#REF!,IF(SUM($CQ927:$CQ931)&gt;$DS$1,$DS$6,DD930-1))</f>
        <v>-5</v>
      </c>
      <c r="DE931" s="18" t="b">
        <v>0</v>
      </c>
      <c r="DF931" s="2" t="b">
        <f>IF(OR(RecData[[#This Row],[WSpd_Avg '[m/s']]]-RecData[[#This Row],[Wind Speed min]]&gt;=$DF$3,RecData[[#This Row],[Wind Speed max]]-RecData[[#This Row],[WSpd_Avg '[m/s']]]&gt;=$DF$2),TRUE,FALSE)</f>
        <v>0</v>
      </c>
      <c r="DG931" s="2" t="b">
        <f>RecData[[#This Row],[Temperature '[°C']]]&lt;=-20</f>
        <v>0</v>
      </c>
      <c r="DH931" s="18" t="b">
        <f>NOT(OR(MOD(RecData[[#This Row],[TIMESTAMP]],1)&gt;0.91632,MOD(RecData[[#This Row],[TIMESTAMP]],1)&lt;0.208681))</f>
        <v>0</v>
      </c>
      <c r="DI931" s="18" t="b">
        <f>RecData[[#This Row],[Overall (dBA)]]-RecData[[#This Row],[L90]]&gt;=$DS$4</f>
        <v>0</v>
      </c>
      <c r="DJ931" s="18" t="b">
        <f>RecData[[#This Row],[Overall (dBA)]]&gt;$DS$2</f>
        <v>0</v>
      </c>
      <c r="DK931" s="18" t="b">
        <f>RecData[[#This Row],[Overall (dBA)]]&lt;$DS$3</f>
        <v>0</v>
      </c>
      <c r="DL9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1" s="2">
        <f>IF(AND(RecData[[#This Row],[Turbines ON/OFF]] = "OFF", NOT(OR(RecData[[#This Row],[Junk?]]="YES",RecData[[#This Row],[Gust?]],RecData[[#This Row],[Rain?]:[Min SPL Threshold?]]))),1,0)</f>
        <v>0</v>
      </c>
      <c r="DN931" s="16">
        <f>RecData[[#This Row],[dBA Sum]]</f>
        <v>38.452799881168282</v>
      </c>
      <c r="DO931" s="16">
        <f>RecData[[#This Row],[LAF90.0]]</f>
        <v>37.1</v>
      </c>
      <c r="DP931" s="55">
        <f>IF(AND(RecData[[#This Row],[Useable TON Data?]],RecData[[#This Row],[Turbines ON/OFF]]="ON"),RecData[[#This Row],[dBA Sum]],"")</f>
        <v>38.452799881168282</v>
      </c>
      <c r="DQ931" s="55" t="str">
        <f>IF(AND(RecData[[#This Row],[Useable Background Data?]],RecData[[#This Row],[Turbines ON/OFF]]="OFF"),RecData[[#This Row],[dBA Sum]],"")</f>
        <v/>
      </c>
      <c r="DR931" s="3">
        <f>IF(OR(RecData[[#This Row],[Useable TON Data?]],RecData[[#This Row],[Useable Background Data?]]),ROUND(RecData[[#This Row],[WSpd_Avg '[m/s']]],0),"")</f>
        <v>1</v>
      </c>
      <c r="DS931" s="85">
        <f>(0.00002)^2*(10^(RecData[[#This Row],[Overall (dBA)]]/10))</f>
        <v>2.8011733085305261E-6</v>
      </c>
    </row>
    <row r="932" spans="1:123" ht="15" x14ac:dyDescent="0.25">
      <c r="A932" s="3" t="s">
        <v>249</v>
      </c>
      <c r="B932" s="12">
        <v>43274.984722222223</v>
      </c>
      <c r="C932" s="3"/>
      <c r="D932" s="3">
        <v>39.9</v>
      </c>
      <c r="E932" s="3"/>
      <c r="F932" s="3"/>
      <c r="G932" s="3"/>
      <c r="H932" s="3"/>
      <c r="I932" s="3"/>
      <c r="J932" s="3"/>
      <c r="K932" s="3">
        <v>37.6</v>
      </c>
      <c r="L932" s="3"/>
      <c r="M932" s="3"/>
      <c r="N932" s="3">
        <v>125.4</v>
      </c>
      <c r="O932" s="3"/>
      <c r="P932" s="3"/>
      <c r="Q932" s="3">
        <v>0.28000000000000003</v>
      </c>
      <c r="R932" s="3">
        <v>0</v>
      </c>
      <c r="S932" s="3">
        <v>0.9</v>
      </c>
      <c r="T932" s="3">
        <v>16.5</v>
      </c>
      <c r="U932" s="3">
        <v>66</v>
      </c>
      <c r="V932" s="3">
        <v>966</v>
      </c>
      <c r="W932" s="3">
        <v>0</v>
      </c>
      <c r="X932" s="3">
        <v>46.4</v>
      </c>
      <c r="Y932" s="3">
        <v>47.6</v>
      </c>
      <c r="Z932" s="3">
        <v>46.8</v>
      </c>
      <c r="AA932" s="3">
        <v>41.4</v>
      </c>
      <c r="AB932" s="3">
        <v>37.6</v>
      </c>
      <c r="AC932" s="3">
        <v>35.9</v>
      </c>
      <c r="AD932" s="3">
        <v>40.4</v>
      </c>
      <c r="AE932" s="3">
        <v>42.6</v>
      </c>
      <c r="AF932" s="3">
        <v>44.5</v>
      </c>
      <c r="AG932" s="3">
        <v>38.700000000000003</v>
      </c>
      <c r="AH932" s="3">
        <v>38.5</v>
      </c>
      <c r="AI932" s="3">
        <v>38.4</v>
      </c>
      <c r="AJ932" s="3">
        <v>36.6</v>
      </c>
      <c r="AK932" s="3">
        <v>34.700000000000003</v>
      </c>
      <c r="AL932" s="3">
        <v>32.1</v>
      </c>
      <c r="AM932" s="3">
        <v>31.5</v>
      </c>
      <c r="AN932" s="3">
        <v>29.7</v>
      </c>
      <c r="AO932" s="3">
        <v>26.4</v>
      </c>
      <c r="AP932" s="3">
        <v>24.6</v>
      </c>
      <c r="AQ932" s="3">
        <v>22.8</v>
      </c>
      <c r="AR932" s="3">
        <v>20.100000000000001</v>
      </c>
      <c r="AS932" s="3">
        <v>18.399999999999999</v>
      </c>
      <c r="AT932" s="3">
        <v>29.2</v>
      </c>
      <c r="AU932" s="3">
        <v>17</v>
      </c>
      <c r="AV932" s="3">
        <v>10.9</v>
      </c>
      <c r="AW932" s="3">
        <v>10.199999999999999</v>
      </c>
      <c r="AX932" s="3">
        <v>9.3000000000000007</v>
      </c>
      <c r="AY932" s="3">
        <v>9.3000000000000007</v>
      </c>
      <c r="AZ932" s="3">
        <v>0</v>
      </c>
      <c r="BA932" s="3">
        <v>0</v>
      </c>
      <c r="BB932" s="3">
        <v>0</v>
      </c>
      <c r="BC932" s="3">
        <v>39.871553479164994</v>
      </c>
      <c r="BD932" s="3">
        <v>46.428446520835003</v>
      </c>
      <c r="BE932" s="3">
        <v>47.628446520835006</v>
      </c>
      <c r="BF932" s="3">
        <v>45.588446520834999</v>
      </c>
      <c r="BG932" s="3">
        <v>40.515113187501662</v>
      </c>
      <c r="BH932" s="3">
        <v>36.855113187501665</v>
      </c>
      <c r="BI932" s="3">
        <v>35.568446520835003</v>
      </c>
      <c r="BJ932" s="3">
        <v>40.861779854168326</v>
      </c>
      <c r="BK932" s="3">
        <v>42.935113187501678</v>
      </c>
      <c r="BL932" s="3">
        <v>44.408446520835007</v>
      </c>
      <c r="BM932" s="3">
        <v>38.74177985416835</v>
      </c>
      <c r="BN932" s="3">
        <v>38.825113187501664</v>
      </c>
      <c r="BO932" s="3">
        <v>38.091779854168344</v>
      </c>
      <c r="BP932" s="3">
        <v>36.008446520835001</v>
      </c>
      <c r="BQ932" s="3">
        <v>34.525113187501667</v>
      </c>
      <c r="BR932" s="3">
        <v>32.25177985416834</v>
      </c>
      <c r="BS932" s="3">
        <v>31.455113187501674</v>
      </c>
      <c r="BT932" s="3">
        <v>29.851779854168335</v>
      </c>
      <c r="BU932" s="3">
        <v>26.518446520835006</v>
      </c>
      <c r="BV932" s="3">
        <v>24.435113187501678</v>
      </c>
      <c r="BW932" s="3">
        <v>23.168446520835012</v>
      </c>
      <c r="BX932" s="3">
        <v>20.388446520835011</v>
      </c>
      <c r="BY932" s="3">
        <v>18.508446520835001</v>
      </c>
      <c r="BZ932" s="3">
        <v>29.438446520835008</v>
      </c>
      <c r="CA932" s="3">
        <v>17.338446520834999</v>
      </c>
      <c r="CB932" s="3">
        <v>10.675113187501672</v>
      </c>
      <c r="CC932" s="3">
        <v>10.188446520835001</v>
      </c>
      <c r="CD932" s="3">
        <v>8.5951131875016742</v>
      </c>
      <c r="CE932" s="3">
        <v>8.7884465208350022</v>
      </c>
      <c r="CF932" s="3">
        <v>-0.89822014583166521</v>
      </c>
      <c r="CG932" s="3">
        <v>-1.4315534791649966</v>
      </c>
      <c r="CH932" s="3">
        <v>-2.5082201458316646</v>
      </c>
      <c r="CI932" s="13">
        <f>[1]!dbasum(RecData[[#This Row],[20]:[2000]],RecData[[#Headers],[20]:[2000]])</f>
        <v>39.203607637606133</v>
      </c>
      <c r="CJ932" s="14">
        <v>10275</v>
      </c>
      <c r="CK932" s="15" t="s">
        <v>249</v>
      </c>
      <c r="CL932" s="15">
        <f>RecData[[#This Row],[Start Time]]</f>
        <v>43274.984722222223</v>
      </c>
      <c r="CM932" s="16">
        <f>RecData[[#This Row],[Wind Speed avg]]</f>
        <v>0.28000000000000003</v>
      </c>
      <c r="CN932" s="16">
        <f>RecData[[#This Row],[Wind Dir. avg]]</f>
        <v>125.4</v>
      </c>
      <c r="CO932" s="16">
        <f>RecData[[#This Row],[Amb. Humidity]]</f>
        <v>66</v>
      </c>
      <c r="CP932" s="16">
        <f>RecData[[#This Row],[Amb. Temperature]]</f>
        <v>16.5</v>
      </c>
      <c r="CQ932" s="17">
        <f>RecData[[#This Row],[Amb. Rain Gauge]]</f>
        <v>0</v>
      </c>
      <c r="CR932" s="4" t="s">
        <v>1</v>
      </c>
      <c r="CS932" s="4" t="s">
        <v>49</v>
      </c>
      <c r="CT932" s="70">
        <v>1565.12536621093</v>
      </c>
      <c r="CU932" s="70">
        <v>21.000179290771399</v>
      </c>
      <c r="CV932" s="70">
        <v>9.9553852081298793</v>
      </c>
      <c r="CW932" s="70">
        <v>15.1548595428466</v>
      </c>
      <c r="CX932" s="4"/>
      <c r="CY932" s="69"/>
      <c r="CZ932" s="2" t="b">
        <f>IF($DP$1="YES",IF(RecData[[#This Row],[Power (kW)]]&gt;=$CR$3, TRUE,FALSE),TRUE)</f>
        <v>1</v>
      </c>
      <c r="DA932" s="16">
        <f>MIN(MOD(180-ABS(ABS($DA$1-RecData[Yaw Angle (°)])-180),360),MOD(180-ABS(ABS($DB$1-RecData[Yaw Angle (°)])-180),360))</f>
        <v>13.470252513083835</v>
      </c>
      <c r="DB932" s="2" t="str">
        <f>IF($DP$2="None","None",IF(RecData[[#This Row],[Relative Wind Direction]]&lt;=45,"DW",IF(RecData[[#This Row],[Relative Wind Direction]]&lt;=135,"CW","UW")))</f>
        <v>DW</v>
      </c>
      <c r="DC932" s="61" t="e">
        <f>IF($CL932-$CL928&gt;1/24,#REF!,IF(SUM($CQ928:$CQ932)&gt;$DS$1,$DS$5,DC933-1))</f>
        <v>#REF!</v>
      </c>
      <c r="DD932" s="61">
        <f>IF($CL933-$CL932&gt;1/24,#REF!,IF(SUM($CQ928:$CQ932)&gt;$DS$1,$DS$6,DD931-1))</f>
        <v>-6</v>
      </c>
      <c r="DE932" s="18" t="b">
        <v>0</v>
      </c>
      <c r="DF932" s="2" t="b">
        <f>IF(OR(RecData[[#This Row],[WSpd_Avg '[m/s']]]-RecData[[#This Row],[Wind Speed min]]&gt;=$DF$3,RecData[[#This Row],[Wind Speed max]]-RecData[[#This Row],[WSpd_Avg '[m/s']]]&gt;=$DF$2),TRUE,FALSE)</f>
        <v>0</v>
      </c>
      <c r="DG932" s="2" t="b">
        <f>RecData[[#This Row],[Temperature '[°C']]]&lt;=-20</f>
        <v>0</v>
      </c>
      <c r="DH932" s="18" t="b">
        <f>NOT(OR(MOD(RecData[[#This Row],[TIMESTAMP]],1)&gt;0.91632,MOD(RecData[[#This Row],[TIMESTAMP]],1)&lt;0.208681))</f>
        <v>0</v>
      </c>
      <c r="DI932" s="18" t="b">
        <f>RecData[[#This Row],[Overall (dBA)]]-RecData[[#This Row],[L90]]&gt;=$DS$4</f>
        <v>0</v>
      </c>
      <c r="DJ932" s="18" t="b">
        <f>RecData[[#This Row],[Overall (dBA)]]&gt;$DS$2</f>
        <v>0</v>
      </c>
      <c r="DK932" s="18" t="b">
        <f>RecData[[#This Row],[Overall (dBA)]]&lt;$DS$3</f>
        <v>0</v>
      </c>
      <c r="DL9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2" s="2">
        <f>IF(AND(RecData[[#This Row],[Turbines ON/OFF]] = "OFF", NOT(OR(RecData[[#This Row],[Junk?]]="YES",RecData[[#This Row],[Gust?]],RecData[[#This Row],[Rain?]:[Min SPL Threshold?]]))),1,0)</f>
        <v>0</v>
      </c>
      <c r="DN932" s="16">
        <f>RecData[[#This Row],[dBA Sum]]</f>
        <v>39.203607637606133</v>
      </c>
      <c r="DO932" s="16">
        <f>RecData[[#This Row],[LAF90.0]]</f>
        <v>37.6</v>
      </c>
      <c r="DP932" s="55">
        <f>IF(AND(RecData[[#This Row],[Useable TON Data?]],RecData[[#This Row],[Turbines ON/OFF]]="ON"),RecData[[#This Row],[dBA Sum]],"")</f>
        <v>39.203607637606133</v>
      </c>
      <c r="DQ932" s="55" t="str">
        <f>IF(AND(RecData[[#This Row],[Useable Background Data?]],RecData[[#This Row],[Turbines ON/OFF]]="OFF"),RecData[[#This Row],[dBA Sum]],"")</f>
        <v/>
      </c>
      <c r="DR932" s="3">
        <f>IF(OR(RecData[[#This Row],[Useable TON Data?]],RecData[[#This Row],[Useable Background Data?]]),ROUND(RecData[[#This Row],[WSpd_Avg '[m/s']]],0),"")</f>
        <v>0</v>
      </c>
      <c r="DS932" s="85">
        <f>(0.00002)^2*(10^(RecData[[#This Row],[Overall (dBA)]]/10))</f>
        <v>3.3298199815538776E-6</v>
      </c>
    </row>
    <row r="933" spans="1:123" ht="15" x14ac:dyDescent="0.25">
      <c r="A933" s="3" t="s">
        <v>249</v>
      </c>
      <c r="B933" s="12">
        <v>43274.98541666667</v>
      </c>
      <c r="C933" s="3"/>
      <c r="D933" s="3">
        <v>39.200000000000003</v>
      </c>
      <c r="E933" s="3"/>
      <c r="F933" s="3"/>
      <c r="G933" s="3"/>
      <c r="H933" s="3"/>
      <c r="I933" s="3"/>
      <c r="J933" s="3"/>
      <c r="K933" s="3">
        <v>36.9</v>
      </c>
      <c r="L933" s="3"/>
      <c r="M933" s="3"/>
      <c r="N933" s="3">
        <v>142.19999999999999</v>
      </c>
      <c r="O933" s="3"/>
      <c r="P933" s="3"/>
      <c r="Q933" s="3">
        <v>0.81</v>
      </c>
      <c r="R933" s="3">
        <v>0.1</v>
      </c>
      <c r="S933" s="3">
        <v>1.7</v>
      </c>
      <c r="T933" s="3">
        <v>16.399999999999999</v>
      </c>
      <c r="U933" s="3">
        <v>65.5</v>
      </c>
      <c r="V933" s="3">
        <v>966</v>
      </c>
      <c r="W933" s="3">
        <v>0</v>
      </c>
      <c r="X933" s="3">
        <v>46.4</v>
      </c>
      <c r="Y933" s="3">
        <v>46.1</v>
      </c>
      <c r="Z933" s="3">
        <v>46.5</v>
      </c>
      <c r="AA933" s="3">
        <v>42</v>
      </c>
      <c r="AB933" s="3">
        <v>36.5</v>
      </c>
      <c r="AC933" s="3">
        <v>36.200000000000003</v>
      </c>
      <c r="AD933" s="3">
        <v>39.5</v>
      </c>
      <c r="AE933" s="3">
        <v>41.2</v>
      </c>
      <c r="AF933" s="3">
        <v>44.7</v>
      </c>
      <c r="AG933" s="3">
        <v>38.9</v>
      </c>
      <c r="AH933" s="3">
        <v>37.5</v>
      </c>
      <c r="AI933" s="3">
        <v>38</v>
      </c>
      <c r="AJ933" s="3">
        <v>35.9</v>
      </c>
      <c r="AK933" s="3">
        <v>34</v>
      </c>
      <c r="AL933" s="3">
        <v>31.3</v>
      </c>
      <c r="AM933" s="3">
        <v>30.4</v>
      </c>
      <c r="AN933" s="3">
        <v>28.7</v>
      </c>
      <c r="AO933" s="3">
        <v>25.6</v>
      </c>
      <c r="AP933" s="3">
        <v>23.8</v>
      </c>
      <c r="AQ933" s="3">
        <v>22.6</v>
      </c>
      <c r="AR933" s="3">
        <v>20.5</v>
      </c>
      <c r="AS933" s="3">
        <v>19.3</v>
      </c>
      <c r="AT933" s="3">
        <v>27.3</v>
      </c>
      <c r="AU933" s="3">
        <v>16.7</v>
      </c>
      <c r="AV933" s="3">
        <v>13.5</v>
      </c>
      <c r="AW933" s="3">
        <v>12.8</v>
      </c>
      <c r="AX933" s="3">
        <v>10.5</v>
      </c>
      <c r="AY933" s="3">
        <v>10.1</v>
      </c>
      <c r="AZ933" s="3">
        <v>0</v>
      </c>
      <c r="BA933" s="3">
        <v>0</v>
      </c>
      <c r="BB933" s="3">
        <v>0</v>
      </c>
      <c r="BC933" s="3">
        <v>39.149187483790186</v>
      </c>
      <c r="BD933" s="3">
        <v>46.450812516209808</v>
      </c>
      <c r="BE933" s="3">
        <v>46.150812516209825</v>
      </c>
      <c r="BF933" s="3">
        <v>45.310812516209822</v>
      </c>
      <c r="BG933" s="3">
        <v>41.137479182876476</v>
      </c>
      <c r="BH933" s="3">
        <v>35.77747918287649</v>
      </c>
      <c r="BI933" s="3">
        <v>35.89081251620982</v>
      </c>
      <c r="BJ933" s="3">
        <v>39.98414584954314</v>
      </c>
      <c r="BK933" s="3">
        <v>41.557479182876492</v>
      </c>
      <c r="BL933" s="3">
        <v>44.630812516209815</v>
      </c>
      <c r="BM933" s="3">
        <v>38.964145849543158</v>
      </c>
      <c r="BN933" s="3">
        <v>37.847479182876484</v>
      </c>
      <c r="BO933" s="3">
        <v>37.714145849543158</v>
      </c>
      <c r="BP933" s="3">
        <v>35.330812516209818</v>
      </c>
      <c r="BQ933" s="3">
        <v>33.847479182876484</v>
      </c>
      <c r="BR933" s="3">
        <v>31.474145849543149</v>
      </c>
      <c r="BS933" s="3">
        <v>30.377479182876485</v>
      </c>
      <c r="BT933" s="3">
        <v>28.874145849543154</v>
      </c>
      <c r="BU933" s="3">
        <v>25.740812516209829</v>
      </c>
      <c r="BV933" s="3">
        <v>23.657479182876486</v>
      </c>
      <c r="BW933" s="3">
        <v>22.990812516209822</v>
      </c>
      <c r="BX933" s="3">
        <v>20.810812516209822</v>
      </c>
      <c r="BY933" s="3">
        <v>19.430812516209812</v>
      </c>
      <c r="BZ933" s="3">
        <v>27.560812516209822</v>
      </c>
      <c r="CA933" s="3">
        <v>17.060812516209808</v>
      </c>
      <c r="CB933" s="3">
        <v>13.297479182876479</v>
      </c>
      <c r="CC933" s="3">
        <v>12.810812516209815</v>
      </c>
      <c r="CD933" s="3">
        <v>9.8174791828764896</v>
      </c>
      <c r="CE933" s="3">
        <v>9.610812516209819</v>
      </c>
      <c r="CF933" s="3">
        <v>-0.87585415045685266</v>
      </c>
      <c r="CG933" s="3">
        <v>-1.4091874837901841</v>
      </c>
      <c r="CH933" s="3">
        <v>-2.4858541504568521</v>
      </c>
      <c r="CI933" s="13">
        <f>[1]!dbasum(RecData[[#This Row],[20]:[2000]],RecData[[#Headers],[20]:[2000]])</f>
        <v>38.590386041142921</v>
      </c>
      <c r="CJ933" s="14">
        <v>10276</v>
      </c>
      <c r="CK933" s="15" t="s">
        <v>249</v>
      </c>
      <c r="CL933" s="15">
        <f>RecData[[#This Row],[Start Time]]</f>
        <v>43274.98541666667</v>
      </c>
      <c r="CM933" s="16">
        <f>RecData[[#This Row],[Wind Speed avg]]</f>
        <v>0.81</v>
      </c>
      <c r="CN933" s="16">
        <f>RecData[[#This Row],[Wind Dir. avg]]</f>
        <v>142.19999999999999</v>
      </c>
      <c r="CO933" s="16">
        <f>RecData[[#This Row],[Amb. Humidity]]</f>
        <v>65.5</v>
      </c>
      <c r="CP933" s="16">
        <f>RecData[[#This Row],[Amb. Temperature]]</f>
        <v>16.399999999999999</v>
      </c>
      <c r="CQ933" s="17">
        <f>RecData[[#This Row],[Amb. Rain Gauge]]</f>
        <v>0</v>
      </c>
      <c r="CR933" s="4" t="s">
        <v>1</v>
      </c>
      <c r="CS933" s="4" t="s">
        <v>49</v>
      </c>
      <c r="CT933" s="70">
        <v>1565.12536621093</v>
      </c>
      <c r="CU933" s="70">
        <v>21.000179290771399</v>
      </c>
      <c r="CV933" s="70">
        <v>9.9553852081298793</v>
      </c>
      <c r="CW933" s="70">
        <v>15.1548595428466</v>
      </c>
      <c r="CX933" s="4"/>
      <c r="CY933" s="69"/>
      <c r="CZ933" s="2" t="b">
        <f>IF($DP$1="YES",IF(RecData[[#This Row],[Power (kW)]]&gt;=$CR$3, TRUE,FALSE),TRUE)</f>
        <v>1</v>
      </c>
      <c r="DA933" s="16">
        <f>MIN(MOD(180-ABS(ABS($DA$1-RecData[Yaw Angle (°)])-180),360),MOD(180-ABS(ABS($DB$1-RecData[Yaw Angle (°)])-180),360))</f>
        <v>13.470252513083835</v>
      </c>
      <c r="DB933" s="2" t="str">
        <f>IF($DP$2="None","None",IF(RecData[[#This Row],[Relative Wind Direction]]&lt;=45,"DW",IF(RecData[[#This Row],[Relative Wind Direction]]&lt;=135,"CW","UW")))</f>
        <v>DW</v>
      </c>
      <c r="DC933" s="61" t="e">
        <f>IF($CL933-$CL929&gt;1/24,#REF!,IF(SUM($CQ929:$CQ933)&gt;$DS$1,$DS$5,#REF!-1))</f>
        <v>#REF!</v>
      </c>
      <c r="DD933" s="61" t="e">
        <f>IF(#REF!-$CL933&gt;1/24,#REF!,IF(SUM($CQ929:$CQ933)&gt;$DS$1,$DS$6,DD932-1))</f>
        <v>#REF!</v>
      </c>
      <c r="DE933" s="18" t="b">
        <v>0</v>
      </c>
      <c r="DF933" s="2" t="b">
        <f>IF(OR(RecData[[#This Row],[WSpd_Avg '[m/s']]]-RecData[[#This Row],[Wind Speed min]]&gt;=$DF$3,RecData[[#This Row],[Wind Speed max]]-RecData[[#This Row],[WSpd_Avg '[m/s']]]&gt;=$DF$2),TRUE,FALSE)</f>
        <v>0</v>
      </c>
      <c r="DG933" s="2" t="b">
        <f>RecData[[#This Row],[Temperature '[°C']]]&lt;=-20</f>
        <v>0</v>
      </c>
      <c r="DH933" s="18" t="b">
        <f>NOT(OR(MOD(RecData[[#This Row],[TIMESTAMP]],1)&gt;0.91632,MOD(RecData[[#This Row],[TIMESTAMP]],1)&lt;0.208681))</f>
        <v>0</v>
      </c>
      <c r="DI933" s="18" t="b">
        <f>RecData[[#This Row],[Overall (dBA)]]-RecData[[#This Row],[L90]]&gt;=$DS$4</f>
        <v>0</v>
      </c>
      <c r="DJ933" s="18" t="b">
        <f>RecData[[#This Row],[Overall (dBA)]]&gt;$DS$2</f>
        <v>0</v>
      </c>
      <c r="DK933" s="18" t="b">
        <f>RecData[[#This Row],[Overall (dBA)]]&lt;$DS$3</f>
        <v>0</v>
      </c>
      <c r="DL9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3" s="2">
        <f>IF(AND(RecData[[#This Row],[Turbines ON/OFF]] = "OFF", NOT(OR(RecData[[#This Row],[Junk?]]="YES",RecData[[#This Row],[Gust?]],RecData[[#This Row],[Rain?]:[Min SPL Threshold?]]))),1,0)</f>
        <v>0</v>
      </c>
      <c r="DN933" s="16">
        <f>RecData[[#This Row],[dBA Sum]]</f>
        <v>38.590386041142921</v>
      </c>
      <c r="DO933" s="16">
        <f>RecData[[#This Row],[LAF90.0]]</f>
        <v>36.9</v>
      </c>
      <c r="DP933" s="55">
        <f>IF(AND(RecData[[#This Row],[Useable TON Data?]],RecData[[#This Row],[Turbines ON/OFF]]="ON"),RecData[[#This Row],[dBA Sum]],"")</f>
        <v>38.590386041142921</v>
      </c>
      <c r="DQ933" s="55" t="str">
        <f>IF(AND(RecData[[#This Row],[Useable Background Data?]],RecData[[#This Row],[Turbines ON/OFF]]="OFF"),RecData[[#This Row],[dBA Sum]],"")</f>
        <v/>
      </c>
      <c r="DR933" s="3">
        <f>IF(OR(RecData[[#This Row],[Useable TON Data?]],RecData[[#This Row],[Useable Background Data?]]),ROUND(RecData[[#This Row],[WSpd_Avg '[m/s']]],0),"")</f>
        <v>1</v>
      </c>
      <c r="DS933" s="85">
        <f>(0.00002)^2*(10^(RecData[[#This Row],[Overall (dBA)]]/10))</f>
        <v>2.8913362117171332E-6</v>
      </c>
    </row>
    <row r="934" spans="1:123" ht="15" x14ac:dyDescent="0.25">
      <c r="A934" s="3" t="s">
        <v>249</v>
      </c>
      <c r="B934" s="12">
        <v>43274.987500000003</v>
      </c>
      <c r="C934" s="3"/>
      <c r="D934" s="3">
        <v>38.200000000000003</v>
      </c>
      <c r="E934" s="3"/>
      <c r="F934" s="3"/>
      <c r="G934" s="3"/>
      <c r="H934" s="3"/>
      <c r="I934" s="3"/>
      <c r="J934" s="3"/>
      <c r="K934" s="3">
        <v>36.700000000000003</v>
      </c>
      <c r="L934" s="3"/>
      <c r="M934" s="3"/>
      <c r="N934" s="3">
        <v>143.30000000000001</v>
      </c>
      <c r="O934" s="3"/>
      <c r="P934" s="3"/>
      <c r="Q934" s="3">
        <v>0.6</v>
      </c>
      <c r="R934" s="3">
        <v>0.1</v>
      </c>
      <c r="S934" s="3">
        <v>1.4</v>
      </c>
      <c r="T934" s="3">
        <v>16.5</v>
      </c>
      <c r="U934" s="3">
        <v>64.5</v>
      </c>
      <c r="V934" s="3">
        <v>966</v>
      </c>
      <c r="W934" s="3">
        <v>0</v>
      </c>
      <c r="X934" s="3">
        <v>47.2</v>
      </c>
      <c r="Y934" s="3">
        <v>46.5</v>
      </c>
      <c r="Z934" s="3">
        <v>45.4</v>
      </c>
      <c r="AA934" s="3">
        <v>40.299999999999997</v>
      </c>
      <c r="AB934" s="3">
        <v>37.299999999999997</v>
      </c>
      <c r="AC934" s="3">
        <v>36.700000000000003</v>
      </c>
      <c r="AD934" s="3">
        <v>39.6</v>
      </c>
      <c r="AE934" s="3">
        <v>41.3</v>
      </c>
      <c r="AF934" s="3">
        <v>43.3</v>
      </c>
      <c r="AG934" s="3">
        <v>36.6</v>
      </c>
      <c r="AH934" s="3">
        <v>37.799999999999997</v>
      </c>
      <c r="AI934" s="3">
        <v>37.1</v>
      </c>
      <c r="AJ934" s="3">
        <v>35.6</v>
      </c>
      <c r="AK934" s="3">
        <v>33</v>
      </c>
      <c r="AL934" s="3">
        <v>30.1</v>
      </c>
      <c r="AM934" s="3">
        <v>28.5</v>
      </c>
      <c r="AN934" s="3">
        <v>26.7</v>
      </c>
      <c r="AO934" s="3">
        <v>23.7</v>
      </c>
      <c r="AP934" s="3">
        <v>22.6</v>
      </c>
      <c r="AQ934" s="3">
        <v>21.3</v>
      </c>
      <c r="AR934" s="3">
        <v>19.8</v>
      </c>
      <c r="AS934" s="3">
        <v>18.399999999999999</v>
      </c>
      <c r="AT934" s="3">
        <v>27.8</v>
      </c>
      <c r="AU934" s="3">
        <v>16.2</v>
      </c>
      <c r="AV934" s="3">
        <v>11.6</v>
      </c>
      <c r="AW934" s="3">
        <v>10.9</v>
      </c>
      <c r="AX934" s="3">
        <v>9.5</v>
      </c>
      <c r="AY934" s="3">
        <v>9.5</v>
      </c>
      <c r="AZ934" s="3">
        <v>0</v>
      </c>
      <c r="BA934" s="3">
        <v>0</v>
      </c>
      <c r="BB934" s="3">
        <v>0</v>
      </c>
      <c r="BC934" s="3">
        <v>38.232629244653459</v>
      </c>
      <c r="BD934" s="3">
        <v>47.167370755346546</v>
      </c>
      <c r="BE934" s="3">
        <v>46.467370755346543</v>
      </c>
      <c r="BF934" s="3">
        <v>44.12737075534654</v>
      </c>
      <c r="BG934" s="3">
        <v>39.354037422013214</v>
      </c>
      <c r="BH934" s="3">
        <v>36.4940374220132</v>
      </c>
      <c r="BI934" s="3">
        <v>36.307370755346547</v>
      </c>
      <c r="BJ934" s="3">
        <v>40.000704088679875</v>
      </c>
      <c r="BK934" s="3">
        <v>41.574037422013213</v>
      </c>
      <c r="BL934" s="3">
        <v>43.147370755346536</v>
      </c>
      <c r="BM934" s="3">
        <v>36.580704088679873</v>
      </c>
      <c r="BN934" s="3">
        <v>38.064037422013207</v>
      </c>
      <c r="BO934" s="3">
        <v>36.730704088679879</v>
      </c>
      <c r="BP934" s="3">
        <v>34.947370755346547</v>
      </c>
      <c r="BQ934" s="3">
        <v>32.76403742201321</v>
      </c>
      <c r="BR934" s="3">
        <v>30.190704088679887</v>
      </c>
      <c r="BS934" s="3">
        <v>28.394037422013206</v>
      </c>
      <c r="BT934" s="3">
        <v>26.790704088679881</v>
      </c>
      <c r="BU934" s="3">
        <v>23.75737075534655</v>
      </c>
      <c r="BV934" s="3">
        <v>22.37403742201321</v>
      </c>
      <c r="BW934" s="3">
        <v>21.607370755346544</v>
      </c>
      <c r="BX934" s="3">
        <v>20.027370755346546</v>
      </c>
      <c r="BY934" s="3">
        <v>18.44737075534654</v>
      </c>
      <c r="BZ934" s="3">
        <v>27.977370755346548</v>
      </c>
      <c r="CA934" s="3">
        <v>16.477370755346534</v>
      </c>
      <c r="CB934" s="3">
        <v>11.314037422013207</v>
      </c>
      <c r="CC934" s="3">
        <v>10.827370755346543</v>
      </c>
      <c r="CD934" s="3">
        <v>8.7340374220132162</v>
      </c>
      <c r="CE934" s="3">
        <v>8.9273707553465442</v>
      </c>
      <c r="CF934" s="3">
        <v>-0.95929591132012604</v>
      </c>
      <c r="CG934" s="3">
        <v>-1.4926292446534575</v>
      </c>
      <c r="CH934" s="3">
        <v>-2.5692959113201255</v>
      </c>
      <c r="CI934" s="13">
        <f>[1]!dbasum(RecData[[#This Row],[20]:[2000]],RecData[[#Headers],[20]:[2000]])</f>
        <v>37.419703911674148</v>
      </c>
      <c r="CJ934" s="14">
        <v>10279</v>
      </c>
      <c r="CK934" s="15" t="s">
        <v>249</v>
      </c>
      <c r="CL934" s="15">
        <f>RecData[[#This Row],[Start Time]]</f>
        <v>43274.987500000003</v>
      </c>
      <c r="CM934" s="16">
        <f>RecData[[#This Row],[Wind Speed avg]]</f>
        <v>0.6</v>
      </c>
      <c r="CN934" s="16">
        <f>RecData[[#This Row],[Wind Dir. avg]]</f>
        <v>143.30000000000001</v>
      </c>
      <c r="CO934" s="16">
        <f>RecData[[#This Row],[Amb. Humidity]]</f>
        <v>64.5</v>
      </c>
      <c r="CP934" s="16">
        <f>RecData[[#This Row],[Amb. Temperature]]</f>
        <v>16.5</v>
      </c>
      <c r="CQ934" s="17">
        <f>RecData[[#This Row],[Amb. Rain Gauge]]</f>
        <v>0</v>
      </c>
      <c r="CR934" s="4" t="s">
        <v>1</v>
      </c>
      <c r="CS934" s="4" t="s">
        <v>49</v>
      </c>
      <c r="CT934" s="70">
        <v>1428.49975585937</v>
      </c>
      <c r="CU934" s="70">
        <v>21.000177383422798</v>
      </c>
      <c r="CV934" s="70">
        <v>9.4269647598266602</v>
      </c>
      <c r="CW934" s="70">
        <v>15.013607978820801</v>
      </c>
      <c r="CX934" s="4"/>
      <c r="CY934" s="69"/>
      <c r="CZ934" s="2" t="b">
        <f>IF($DP$1="YES",IF(RecData[[#This Row],[Power (kW)]]&gt;=$CR$3, TRUE,FALSE),TRUE)</f>
        <v>1</v>
      </c>
      <c r="DA934" s="16">
        <f>MIN(MOD(180-ABS(ABS($DA$1-RecData[Yaw Angle (°)])-180),360),MOD(180-ABS(ABS($DB$1-RecData[Yaw Angle (°)])-180),360))</f>
        <v>13.470250605735259</v>
      </c>
      <c r="DB934" s="2" t="str">
        <f>IF($DP$2="None","None",IF(RecData[[#This Row],[Relative Wind Direction]]&lt;=45,"DW",IF(RecData[[#This Row],[Relative Wind Direction]]&lt;=135,"CW","UW")))</f>
        <v>DW</v>
      </c>
      <c r="DC934" s="61">
        <v>-1</v>
      </c>
      <c r="DD934" s="61">
        <v>-1</v>
      </c>
      <c r="DE934" s="18" t="b">
        <v>0</v>
      </c>
      <c r="DF934" s="2" t="b">
        <f>IF(OR(RecData[[#This Row],[WSpd_Avg '[m/s']]]-RecData[[#This Row],[Wind Speed min]]&gt;=$DF$3,RecData[[#This Row],[Wind Speed max]]-RecData[[#This Row],[WSpd_Avg '[m/s']]]&gt;=$DF$2),TRUE,FALSE)</f>
        <v>0</v>
      </c>
      <c r="DG934" s="2" t="b">
        <f>RecData[[#This Row],[Temperature '[°C']]]&lt;=-20</f>
        <v>0</v>
      </c>
      <c r="DH934" s="18" t="b">
        <f>NOT(OR(MOD(RecData[[#This Row],[TIMESTAMP]],1)&gt;0.91632,MOD(RecData[[#This Row],[TIMESTAMP]],1)&lt;0.208681))</f>
        <v>0</v>
      </c>
      <c r="DI934" s="18" t="b">
        <f>RecData[[#This Row],[Overall (dBA)]]-RecData[[#This Row],[L90]]&gt;=$DS$4</f>
        <v>0</v>
      </c>
      <c r="DJ934" s="18" t="b">
        <f>RecData[[#This Row],[Overall (dBA)]]&gt;$DS$2</f>
        <v>0</v>
      </c>
      <c r="DK934" s="18" t="b">
        <f>RecData[[#This Row],[Overall (dBA)]]&lt;$DS$3</f>
        <v>0</v>
      </c>
      <c r="DL9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4" s="2">
        <f>IF(AND(RecData[[#This Row],[Turbines ON/OFF]] = "OFF", NOT(OR(RecData[[#This Row],[Junk?]]="YES",RecData[[#This Row],[Gust?]],RecData[[#This Row],[Rain?]:[Min SPL Threshold?]]))),1,0)</f>
        <v>0</v>
      </c>
      <c r="DN934" s="16">
        <f>RecData[[#This Row],[dBA Sum]]</f>
        <v>37.419703911674148</v>
      </c>
      <c r="DO934" s="16">
        <f>RecData[[#This Row],[LAF90.0]]</f>
        <v>36.700000000000003</v>
      </c>
      <c r="DP934" s="55">
        <f>IF(AND(RecData[[#This Row],[Useable TON Data?]],RecData[[#This Row],[Turbines ON/OFF]]="ON"),RecData[[#This Row],[dBA Sum]],"")</f>
        <v>37.419703911674148</v>
      </c>
      <c r="DQ934" s="55" t="str">
        <f>IF(AND(RecData[[#This Row],[Useable Background Data?]],RecData[[#This Row],[Turbines ON/OFF]]="OFF"),RecData[[#This Row],[dBA Sum]],"")</f>
        <v/>
      </c>
      <c r="DR934" s="3">
        <f>IF(OR(RecData[[#This Row],[Useable TON Data?]],RecData[[#This Row],[Useable Background Data?]]),ROUND(RecData[[#This Row],[WSpd_Avg '[m/s']]],0),"")</f>
        <v>1</v>
      </c>
      <c r="DS934" s="85">
        <f>(0.00002)^2*(10^(RecData[[#This Row],[Overall (dBA)]]/10))</f>
        <v>2.2081592066376311E-6</v>
      </c>
    </row>
    <row r="935" spans="1:123" ht="15" x14ac:dyDescent="0.25">
      <c r="A935" s="3" t="s">
        <v>249</v>
      </c>
      <c r="B935" s="12">
        <v>43274.98819444445</v>
      </c>
      <c r="C935" s="3"/>
      <c r="D935" s="3">
        <v>39.299999999999997</v>
      </c>
      <c r="E935" s="3"/>
      <c r="F935" s="3"/>
      <c r="G935" s="3"/>
      <c r="H935" s="3"/>
      <c r="I935" s="3"/>
      <c r="J935" s="3"/>
      <c r="K935" s="3">
        <v>37.9</v>
      </c>
      <c r="L935" s="3"/>
      <c r="M935" s="3"/>
      <c r="N935" s="3">
        <v>224.5</v>
      </c>
      <c r="O935" s="3"/>
      <c r="P935" s="3"/>
      <c r="Q935" s="3">
        <v>0.9</v>
      </c>
      <c r="R935" s="3">
        <v>0.1</v>
      </c>
      <c r="S935" s="3">
        <v>2</v>
      </c>
      <c r="T935" s="3">
        <v>16.5</v>
      </c>
      <c r="U935" s="3">
        <v>64.599999999999994</v>
      </c>
      <c r="V935" s="3">
        <v>966</v>
      </c>
      <c r="W935" s="3">
        <v>0</v>
      </c>
      <c r="X935" s="3">
        <v>46.9</v>
      </c>
      <c r="Y935" s="3">
        <v>46.2</v>
      </c>
      <c r="Z935" s="3">
        <v>45.1</v>
      </c>
      <c r="AA935" s="3">
        <v>40.5</v>
      </c>
      <c r="AB935" s="3">
        <v>37.1</v>
      </c>
      <c r="AC935" s="3">
        <v>36.200000000000003</v>
      </c>
      <c r="AD935" s="3">
        <v>39.299999999999997</v>
      </c>
      <c r="AE935" s="3">
        <v>41.3</v>
      </c>
      <c r="AF935" s="3">
        <v>43.1</v>
      </c>
      <c r="AG935" s="3">
        <v>36.9</v>
      </c>
      <c r="AH935" s="3">
        <v>38.700000000000003</v>
      </c>
      <c r="AI935" s="3">
        <v>37.700000000000003</v>
      </c>
      <c r="AJ935" s="3">
        <v>36.299999999999997</v>
      </c>
      <c r="AK935" s="3">
        <v>33.9</v>
      </c>
      <c r="AL935" s="3">
        <v>30.9</v>
      </c>
      <c r="AM935" s="3">
        <v>29.3</v>
      </c>
      <c r="AN935" s="3">
        <v>27.5</v>
      </c>
      <c r="AO935" s="3">
        <v>24.9</v>
      </c>
      <c r="AP935" s="3">
        <v>24.1</v>
      </c>
      <c r="AQ935" s="3">
        <v>23.3</v>
      </c>
      <c r="AR935" s="3">
        <v>23</v>
      </c>
      <c r="AS935" s="3">
        <v>23.1</v>
      </c>
      <c r="AT935" s="3">
        <v>29.3</v>
      </c>
      <c r="AU935" s="3">
        <v>21.6</v>
      </c>
      <c r="AV935" s="3">
        <v>18.2</v>
      </c>
      <c r="AW935" s="3">
        <v>16.7</v>
      </c>
      <c r="AX935" s="3">
        <v>13</v>
      </c>
      <c r="AY935" s="3">
        <v>11.7</v>
      </c>
      <c r="AZ935" s="3">
        <v>0</v>
      </c>
      <c r="BA935" s="3">
        <v>0</v>
      </c>
      <c r="BB935" s="3">
        <v>0</v>
      </c>
      <c r="BC935" s="3">
        <v>39.323129602341083</v>
      </c>
      <c r="BD935" s="3">
        <v>46.876870397658905</v>
      </c>
      <c r="BE935" s="3">
        <v>46.176870397658917</v>
      </c>
      <c r="BF935" s="3">
        <v>43.836870397658913</v>
      </c>
      <c r="BG935" s="3">
        <v>39.563537064325573</v>
      </c>
      <c r="BH935" s="3">
        <v>36.303537064325582</v>
      </c>
      <c r="BI935" s="3">
        <v>35.816870397658917</v>
      </c>
      <c r="BJ935" s="3">
        <v>39.710203730992248</v>
      </c>
      <c r="BK935" s="3">
        <v>41.583537064325583</v>
      </c>
      <c r="BL935" s="3">
        <v>42.956870397658918</v>
      </c>
      <c r="BM935" s="3">
        <v>36.890203730992255</v>
      </c>
      <c r="BN935" s="3">
        <v>38.973537064325583</v>
      </c>
      <c r="BO935" s="3">
        <v>37.340203730992243</v>
      </c>
      <c r="BP935" s="3">
        <v>35.656870397658906</v>
      </c>
      <c r="BQ935" s="3">
        <v>33.673537064325572</v>
      </c>
      <c r="BR935" s="3">
        <v>31.00020373099224</v>
      </c>
      <c r="BS935" s="3">
        <v>29.203537064325587</v>
      </c>
      <c r="BT935" s="3">
        <v>27.600203730992249</v>
      </c>
      <c r="BU935" s="3">
        <v>24.966870397658909</v>
      </c>
      <c r="BV935" s="3">
        <v>23.88353706432558</v>
      </c>
      <c r="BW935" s="3">
        <v>23.616870397658914</v>
      </c>
      <c r="BX935" s="3">
        <v>23.236870397658919</v>
      </c>
      <c r="BY935" s="3">
        <v>23.156870397658913</v>
      </c>
      <c r="BZ935" s="3">
        <v>29.486870397658919</v>
      </c>
      <c r="CA935" s="3">
        <v>21.88687039765891</v>
      </c>
      <c r="CB935" s="3">
        <v>17.923537064325579</v>
      </c>
      <c r="CC935" s="3">
        <v>16.63687039765891</v>
      </c>
      <c r="CD935" s="3">
        <v>12.243537064325587</v>
      </c>
      <c r="CE935" s="3">
        <v>11.13687039765891</v>
      </c>
      <c r="CF935" s="3">
        <v>-0.94979626900775571</v>
      </c>
      <c r="CG935" s="3">
        <v>-1.4831296023410871</v>
      </c>
      <c r="CH935" s="3">
        <v>-2.5597962690077551</v>
      </c>
      <c r="CI935" s="13">
        <f>[1]!dbasum(RecData[[#This Row],[20]:[2000]],RecData[[#Headers],[20]:[2000]])</f>
        <v>38.247410433655929</v>
      </c>
      <c r="CJ935" s="14">
        <v>10280</v>
      </c>
      <c r="CK935" s="15" t="s">
        <v>249</v>
      </c>
      <c r="CL935" s="15">
        <f>RecData[[#This Row],[Start Time]]</f>
        <v>43274.98819444445</v>
      </c>
      <c r="CM935" s="16">
        <f>RecData[[#This Row],[Wind Speed avg]]</f>
        <v>0.9</v>
      </c>
      <c r="CN935" s="16">
        <f>RecData[[#This Row],[Wind Dir. avg]]</f>
        <v>224.5</v>
      </c>
      <c r="CO935" s="16">
        <f>RecData[[#This Row],[Amb. Humidity]]</f>
        <v>64.599999999999994</v>
      </c>
      <c r="CP935" s="16">
        <f>RecData[[#This Row],[Amb. Temperature]]</f>
        <v>16.5</v>
      </c>
      <c r="CQ935" s="17">
        <f>RecData[[#This Row],[Amb. Rain Gauge]]</f>
        <v>0</v>
      </c>
      <c r="CR935" s="4" t="s">
        <v>1</v>
      </c>
      <c r="CS935" s="4" t="s">
        <v>49</v>
      </c>
      <c r="CT935" s="70">
        <v>1428.49975585937</v>
      </c>
      <c r="CU935" s="70">
        <v>21.000177383422798</v>
      </c>
      <c r="CV935" s="70">
        <v>9.4269647598266602</v>
      </c>
      <c r="CW935" s="70">
        <v>15.013607978820801</v>
      </c>
      <c r="CX935" s="4"/>
      <c r="CY935" s="69"/>
      <c r="CZ935" s="2" t="b">
        <f>IF($DP$1="YES",IF(RecData[[#This Row],[Power (kW)]]&gt;=$CR$3, TRUE,FALSE),TRUE)</f>
        <v>1</v>
      </c>
      <c r="DA935" s="16">
        <f>MIN(MOD(180-ABS(ABS($DA$1-RecData[Yaw Angle (°)])-180),360),MOD(180-ABS(ABS($DB$1-RecData[Yaw Angle (°)])-180),360))</f>
        <v>13.470250605735259</v>
      </c>
      <c r="DB935" s="2" t="str">
        <f>IF($DP$2="None","None",IF(RecData[[#This Row],[Relative Wind Direction]]&lt;=45,"DW",IF(RecData[[#This Row],[Relative Wind Direction]]&lt;=135,"CW","UW")))</f>
        <v>DW</v>
      </c>
      <c r="DC935" s="61" t="e">
        <f>IF($CL935-$CL934&gt;1/24,#REF!,IF(SUM($CQ934:$CQ935)&gt;$DS$1,$DS$5,DC936-1))</f>
        <v>#REF!</v>
      </c>
      <c r="DD935" s="61">
        <f>IF($CL936-$CL935&gt;1/24,#REF!,IF(SUM($CQ934:$CQ935)&gt;$DS$1,$DS$6,DD934-1))</f>
        <v>-2</v>
      </c>
      <c r="DE935" s="18" t="b">
        <v>0</v>
      </c>
      <c r="DF935" s="2" t="b">
        <f>IF(OR(RecData[[#This Row],[WSpd_Avg '[m/s']]]-RecData[[#This Row],[Wind Speed min]]&gt;=$DF$3,RecData[[#This Row],[Wind Speed max]]-RecData[[#This Row],[WSpd_Avg '[m/s']]]&gt;=$DF$2),TRUE,FALSE)</f>
        <v>0</v>
      </c>
      <c r="DG935" s="2" t="b">
        <f>RecData[[#This Row],[Temperature '[°C']]]&lt;=-20</f>
        <v>0</v>
      </c>
      <c r="DH935" s="18" t="b">
        <f>NOT(OR(MOD(RecData[[#This Row],[TIMESTAMP]],1)&gt;0.91632,MOD(RecData[[#This Row],[TIMESTAMP]],1)&lt;0.208681))</f>
        <v>0</v>
      </c>
      <c r="DI935" s="18" t="b">
        <f>RecData[[#This Row],[Overall (dBA)]]-RecData[[#This Row],[L90]]&gt;=$DS$4</f>
        <v>0</v>
      </c>
      <c r="DJ935" s="18" t="b">
        <f>RecData[[#This Row],[Overall (dBA)]]&gt;$DS$2</f>
        <v>0</v>
      </c>
      <c r="DK935" s="18" t="b">
        <f>RecData[[#This Row],[Overall (dBA)]]&lt;$DS$3</f>
        <v>0</v>
      </c>
      <c r="DL9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5" s="2">
        <f>IF(AND(RecData[[#This Row],[Turbines ON/OFF]] = "OFF", NOT(OR(RecData[[#This Row],[Junk?]]="YES",RecData[[#This Row],[Gust?]],RecData[[#This Row],[Rain?]:[Min SPL Threshold?]]))),1,0)</f>
        <v>0</v>
      </c>
      <c r="DN935" s="16">
        <f>RecData[[#This Row],[dBA Sum]]</f>
        <v>38.247410433655929</v>
      </c>
      <c r="DO935" s="16">
        <f>RecData[[#This Row],[LAF90.0]]</f>
        <v>37.9</v>
      </c>
      <c r="DP935" s="55">
        <f>IF(AND(RecData[[#This Row],[Useable TON Data?]],RecData[[#This Row],[Turbines ON/OFF]]="ON"),RecData[[#This Row],[dBA Sum]],"")</f>
        <v>38.247410433655929</v>
      </c>
      <c r="DQ935" s="55" t="str">
        <f>IF(AND(RecData[[#This Row],[Useable Background Data?]],RecData[[#This Row],[Turbines ON/OFF]]="OFF"),RecData[[#This Row],[dBA Sum]],"")</f>
        <v/>
      </c>
      <c r="DR935" s="3">
        <f>IF(OR(RecData[[#This Row],[Useable TON Data?]],RecData[[#This Row],[Useable Background Data?]]),ROUND(RecData[[#This Row],[WSpd_Avg '[m/s']]],0),"")</f>
        <v>1</v>
      </c>
      <c r="DS935" s="85">
        <f>(0.00002)^2*(10^(RecData[[#This Row],[Overall (dBA)]]/10))</f>
        <v>2.6717820925509287E-6</v>
      </c>
    </row>
    <row r="936" spans="1:123" ht="15" x14ac:dyDescent="0.25">
      <c r="A936" s="3" t="s">
        <v>249</v>
      </c>
      <c r="B936" s="12">
        <v>43274.988888888889</v>
      </c>
      <c r="C936" s="3"/>
      <c r="D936" s="3">
        <v>38.700000000000003</v>
      </c>
      <c r="E936" s="3"/>
      <c r="F936" s="3"/>
      <c r="G936" s="3"/>
      <c r="H936" s="3"/>
      <c r="I936" s="3"/>
      <c r="J936" s="3"/>
      <c r="K936" s="3">
        <v>36.9</v>
      </c>
      <c r="L936" s="3"/>
      <c r="M936" s="3"/>
      <c r="N936" s="3">
        <v>223.1</v>
      </c>
      <c r="O936" s="3"/>
      <c r="P936" s="3"/>
      <c r="Q936" s="3">
        <v>0.79</v>
      </c>
      <c r="R936" s="3">
        <v>0.2</v>
      </c>
      <c r="S936" s="3">
        <v>1.7</v>
      </c>
      <c r="T936" s="3">
        <v>16.5</v>
      </c>
      <c r="U936" s="3">
        <v>64.400000000000006</v>
      </c>
      <c r="V936" s="3">
        <v>966</v>
      </c>
      <c r="W936" s="3">
        <v>0</v>
      </c>
      <c r="X936" s="3">
        <v>45.9</v>
      </c>
      <c r="Y936" s="3">
        <v>45.3</v>
      </c>
      <c r="Z936" s="3">
        <v>43.8</v>
      </c>
      <c r="AA936" s="3">
        <v>38.4</v>
      </c>
      <c r="AB936" s="3">
        <v>35.200000000000003</v>
      </c>
      <c r="AC936" s="3">
        <v>34.700000000000003</v>
      </c>
      <c r="AD936" s="3">
        <v>38.6</v>
      </c>
      <c r="AE936" s="3">
        <v>41.6</v>
      </c>
      <c r="AF936" s="3">
        <v>42.8</v>
      </c>
      <c r="AG936" s="3">
        <v>35.299999999999997</v>
      </c>
      <c r="AH936" s="3">
        <v>37.9</v>
      </c>
      <c r="AI936" s="3">
        <v>36.4</v>
      </c>
      <c r="AJ936" s="3">
        <v>35.200000000000003</v>
      </c>
      <c r="AK936" s="3">
        <v>32.200000000000003</v>
      </c>
      <c r="AL936" s="3">
        <v>29.6</v>
      </c>
      <c r="AM936" s="3">
        <v>28.1</v>
      </c>
      <c r="AN936" s="3">
        <v>27</v>
      </c>
      <c r="AO936" s="3">
        <v>25.1</v>
      </c>
      <c r="AP936" s="3">
        <v>24.3</v>
      </c>
      <c r="AQ936" s="3">
        <v>24.3</v>
      </c>
      <c r="AR936" s="3">
        <v>24.3</v>
      </c>
      <c r="AS936" s="3">
        <v>23.8</v>
      </c>
      <c r="AT936" s="3">
        <v>28.7</v>
      </c>
      <c r="AU936" s="3">
        <v>20.8</v>
      </c>
      <c r="AV936" s="3">
        <v>18.100000000000001</v>
      </c>
      <c r="AW936" s="3">
        <v>16.600000000000001</v>
      </c>
      <c r="AX936" s="3">
        <v>12.5</v>
      </c>
      <c r="AY936" s="3">
        <v>10.6</v>
      </c>
      <c r="AZ936" s="3">
        <v>0</v>
      </c>
      <c r="BA936" s="3">
        <v>0</v>
      </c>
      <c r="BB936" s="3">
        <v>0</v>
      </c>
      <c r="BC936" s="3">
        <v>38.68764756204228</v>
      </c>
      <c r="BD936" s="3">
        <v>45.912352437957715</v>
      </c>
      <c r="BE936" s="3">
        <v>45.31235243795772</v>
      </c>
      <c r="BF936" s="3">
        <v>42.572352437957711</v>
      </c>
      <c r="BG936" s="3">
        <v>37.499019104624388</v>
      </c>
      <c r="BH936" s="3">
        <v>34.439019104624386</v>
      </c>
      <c r="BI936" s="3">
        <v>34.352352437957727</v>
      </c>
      <c r="BJ936" s="3">
        <v>39.045685771291055</v>
      </c>
      <c r="BK936" s="3">
        <v>41.91901910462439</v>
      </c>
      <c r="BL936" s="3">
        <v>42.692352437957716</v>
      </c>
      <c r="BM936" s="3">
        <v>35.325685771291056</v>
      </c>
      <c r="BN936" s="3">
        <v>38.209019104624396</v>
      </c>
      <c r="BO936" s="3">
        <v>36.075685771291056</v>
      </c>
      <c r="BP936" s="3">
        <v>34.592352437957722</v>
      </c>
      <c r="BQ936" s="3">
        <v>32.009019104624379</v>
      </c>
      <c r="BR936" s="3">
        <v>29.735685771291067</v>
      </c>
      <c r="BS936" s="3">
        <v>28.039019104624394</v>
      </c>
      <c r="BT936" s="3">
        <v>27.135685771291058</v>
      </c>
      <c r="BU936" s="3">
        <v>25.202352437957728</v>
      </c>
      <c r="BV936" s="3">
        <v>24.119019104624392</v>
      </c>
      <c r="BW936" s="3">
        <v>24.652352437957724</v>
      </c>
      <c r="BX936" s="3">
        <v>24.572352437957726</v>
      </c>
      <c r="BY936" s="3">
        <v>23.892352437957719</v>
      </c>
      <c r="BZ936" s="3">
        <v>28.922352437957734</v>
      </c>
      <c r="CA936" s="3">
        <v>21.122352437957716</v>
      </c>
      <c r="CB936" s="3">
        <v>17.859019104624387</v>
      </c>
      <c r="CC936" s="3">
        <v>16.572352437957726</v>
      </c>
      <c r="CD936" s="3">
        <v>11.779019104624396</v>
      </c>
      <c r="CE936" s="3">
        <v>10.072352437957726</v>
      </c>
      <c r="CF936" s="3">
        <v>-0.91431422870894608</v>
      </c>
      <c r="CG936" s="3">
        <v>-1.4476475620422775</v>
      </c>
      <c r="CH936" s="3">
        <v>-2.5243142287089455</v>
      </c>
      <c r="CI936" s="13">
        <f>[1]!dbasum(RecData[[#This Row],[20]:[2000]],RecData[[#Headers],[20]:[2000]])</f>
        <v>37.602080002998179</v>
      </c>
      <c r="CJ936" s="14">
        <v>10281</v>
      </c>
      <c r="CK936" s="15" t="s">
        <v>249</v>
      </c>
      <c r="CL936" s="15">
        <f>RecData[[#This Row],[Start Time]]</f>
        <v>43274.988888888889</v>
      </c>
      <c r="CM936" s="16">
        <f>RecData[[#This Row],[Wind Speed avg]]</f>
        <v>0.79</v>
      </c>
      <c r="CN936" s="16">
        <f>RecData[[#This Row],[Wind Dir. avg]]</f>
        <v>223.1</v>
      </c>
      <c r="CO936" s="16">
        <f>RecData[[#This Row],[Amb. Humidity]]</f>
        <v>64.400000000000006</v>
      </c>
      <c r="CP936" s="16">
        <f>RecData[[#This Row],[Amb. Temperature]]</f>
        <v>16.5</v>
      </c>
      <c r="CQ936" s="17">
        <f>RecData[[#This Row],[Amb. Rain Gauge]]</f>
        <v>0</v>
      </c>
      <c r="CR936" s="4" t="s">
        <v>1</v>
      </c>
      <c r="CS936" s="4" t="s">
        <v>49</v>
      </c>
      <c r="CT936" s="70">
        <v>1428.49975585937</v>
      </c>
      <c r="CU936" s="70">
        <v>21.000177383422798</v>
      </c>
      <c r="CV936" s="70">
        <v>9.4269647598266602</v>
      </c>
      <c r="CW936" s="70">
        <v>15.013607978820801</v>
      </c>
      <c r="CX936" s="4"/>
      <c r="CY936" s="69"/>
      <c r="CZ936" s="2" t="b">
        <f>IF($DP$1="YES",IF(RecData[[#This Row],[Power (kW)]]&gt;=$CR$3, TRUE,FALSE),TRUE)</f>
        <v>1</v>
      </c>
      <c r="DA936" s="16">
        <f>MIN(MOD(180-ABS(ABS($DA$1-RecData[Yaw Angle (°)])-180),360),MOD(180-ABS(ABS($DB$1-RecData[Yaw Angle (°)])-180),360))</f>
        <v>13.470250605735259</v>
      </c>
      <c r="DB936" s="2" t="str">
        <f>IF($DP$2="None","None",IF(RecData[[#This Row],[Relative Wind Direction]]&lt;=45,"DW",IF(RecData[[#This Row],[Relative Wind Direction]]&lt;=135,"CW","UW")))</f>
        <v>DW</v>
      </c>
      <c r="DC936" s="61" t="e">
        <f>IF($CL936-$CL934&gt;1/24,#REF!,IF(SUM($CQ934:$CQ936)&gt;$DS$1,$DS$5,DC937-1))</f>
        <v>#REF!</v>
      </c>
      <c r="DD936" s="61">
        <f>IF($CL937-$CL936&gt;1/24,#REF!,IF(SUM($CQ934:$CQ936)&gt;$DS$1,$DS$6,DD935-1))</f>
        <v>-3</v>
      </c>
      <c r="DE936" s="18" t="b">
        <v>0</v>
      </c>
      <c r="DF936" s="2" t="b">
        <f>IF(OR(RecData[[#This Row],[WSpd_Avg '[m/s']]]-RecData[[#This Row],[Wind Speed min]]&gt;=$DF$3,RecData[[#This Row],[Wind Speed max]]-RecData[[#This Row],[WSpd_Avg '[m/s']]]&gt;=$DF$2),TRUE,FALSE)</f>
        <v>0</v>
      </c>
      <c r="DG936" s="2" t="b">
        <f>RecData[[#This Row],[Temperature '[°C']]]&lt;=-20</f>
        <v>0</v>
      </c>
      <c r="DH936" s="18" t="b">
        <f>NOT(OR(MOD(RecData[[#This Row],[TIMESTAMP]],1)&gt;0.91632,MOD(RecData[[#This Row],[TIMESTAMP]],1)&lt;0.208681))</f>
        <v>0</v>
      </c>
      <c r="DI936" s="18" t="b">
        <f>RecData[[#This Row],[Overall (dBA)]]-RecData[[#This Row],[L90]]&gt;=$DS$4</f>
        <v>0</v>
      </c>
      <c r="DJ936" s="18" t="b">
        <f>RecData[[#This Row],[Overall (dBA)]]&gt;$DS$2</f>
        <v>0</v>
      </c>
      <c r="DK936" s="18" t="b">
        <f>RecData[[#This Row],[Overall (dBA)]]&lt;$DS$3</f>
        <v>0</v>
      </c>
      <c r="DL9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6" s="2">
        <f>IF(AND(RecData[[#This Row],[Turbines ON/OFF]] = "OFF", NOT(OR(RecData[[#This Row],[Junk?]]="YES",RecData[[#This Row],[Gust?]],RecData[[#This Row],[Rain?]:[Min SPL Threshold?]]))),1,0)</f>
        <v>0</v>
      </c>
      <c r="DN936" s="16">
        <f>RecData[[#This Row],[dBA Sum]]</f>
        <v>37.602080002998179</v>
      </c>
      <c r="DO936" s="16">
        <f>RecData[[#This Row],[LAF90.0]]</f>
        <v>36.9</v>
      </c>
      <c r="DP936" s="55">
        <f>IF(AND(RecData[[#This Row],[Useable TON Data?]],RecData[[#This Row],[Turbines ON/OFF]]="ON"),RecData[[#This Row],[dBA Sum]],"")</f>
        <v>37.602080002998179</v>
      </c>
      <c r="DQ936" s="55" t="str">
        <f>IF(AND(RecData[[#This Row],[Useable Background Data?]],RecData[[#This Row],[Turbines ON/OFF]]="OFF"),RecData[[#This Row],[dBA Sum]],"")</f>
        <v/>
      </c>
      <c r="DR936" s="3">
        <f>IF(OR(RecData[[#This Row],[Useable TON Data?]],RecData[[#This Row],[Useable Background Data?]]),ROUND(RecData[[#This Row],[WSpd_Avg '[m/s']]],0),"")</f>
        <v>1</v>
      </c>
      <c r="DS936" s="85">
        <f>(0.00002)^2*(10^(RecData[[#This Row],[Overall (dBA)]]/10))</f>
        <v>2.3028624144897111E-6</v>
      </c>
    </row>
    <row r="937" spans="1:123" ht="15" x14ac:dyDescent="0.25">
      <c r="A937" s="3" t="s">
        <v>249</v>
      </c>
      <c r="B937" s="12">
        <v>43274.989583333336</v>
      </c>
      <c r="C937" s="3"/>
      <c r="D937" s="3">
        <v>38.299999999999997</v>
      </c>
      <c r="E937" s="3"/>
      <c r="F937" s="3"/>
      <c r="G937" s="3"/>
      <c r="H937" s="3"/>
      <c r="I937" s="3"/>
      <c r="J937" s="3"/>
      <c r="K937" s="3">
        <v>36.799999999999997</v>
      </c>
      <c r="L937" s="3"/>
      <c r="M937" s="3"/>
      <c r="N937" s="3">
        <v>214.2</v>
      </c>
      <c r="O937" s="3"/>
      <c r="P937" s="3"/>
      <c r="Q937" s="3">
        <v>0.66</v>
      </c>
      <c r="R937" s="3">
        <v>0.3</v>
      </c>
      <c r="S937" s="3">
        <v>1.3</v>
      </c>
      <c r="T937" s="3">
        <v>16.5</v>
      </c>
      <c r="U937" s="3">
        <v>64.400000000000006</v>
      </c>
      <c r="V937" s="3">
        <v>966</v>
      </c>
      <c r="W937" s="3">
        <v>0</v>
      </c>
      <c r="X937" s="3">
        <v>45.7</v>
      </c>
      <c r="Y937" s="3">
        <v>46.3</v>
      </c>
      <c r="Z937" s="3">
        <v>44.6</v>
      </c>
      <c r="AA937" s="3">
        <v>40.1</v>
      </c>
      <c r="AB937" s="3">
        <v>37.200000000000003</v>
      </c>
      <c r="AC937" s="3">
        <v>35.299999999999997</v>
      </c>
      <c r="AD937" s="3">
        <v>39.299999999999997</v>
      </c>
      <c r="AE937" s="3">
        <v>42</v>
      </c>
      <c r="AF937" s="3">
        <v>43.6</v>
      </c>
      <c r="AG937" s="3">
        <v>37.200000000000003</v>
      </c>
      <c r="AH937" s="3">
        <v>38.1</v>
      </c>
      <c r="AI937" s="3">
        <v>37.799999999999997</v>
      </c>
      <c r="AJ937" s="3">
        <v>35.700000000000003</v>
      </c>
      <c r="AK937" s="3">
        <v>33.299999999999997</v>
      </c>
      <c r="AL937" s="3">
        <v>30</v>
      </c>
      <c r="AM937" s="3">
        <v>28.9</v>
      </c>
      <c r="AN937" s="3">
        <v>27.3</v>
      </c>
      <c r="AO937" s="3">
        <v>24.5</v>
      </c>
      <c r="AP937" s="3">
        <v>23.5</v>
      </c>
      <c r="AQ937" s="3">
        <v>22.6</v>
      </c>
      <c r="AR937" s="3">
        <v>21.6</v>
      </c>
      <c r="AS937" s="3">
        <v>20.3</v>
      </c>
      <c r="AT937" s="3">
        <v>22.6</v>
      </c>
      <c r="AU937" s="3">
        <v>14.9</v>
      </c>
      <c r="AV937" s="3">
        <v>12.8</v>
      </c>
      <c r="AW937" s="3">
        <v>11.7</v>
      </c>
      <c r="AX937" s="3">
        <v>9.6</v>
      </c>
      <c r="AY937" s="3">
        <v>9.4</v>
      </c>
      <c r="AZ937" s="3">
        <v>0</v>
      </c>
      <c r="BA937" s="3">
        <v>0</v>
      </c>
      <c r="BB937" s="3">
        <v>0</v>
      </c>
      <c r="BC937" s="3">
        <v>38.305725981434186</v>
      </c>
      <c r="BD937" s="3">
        <v>45.694274018565814</v>
      </c>
      <c r="BE937" s="3">
        <v>46.294274018565808</v>
      </c>
      <c r="BF937" s="3">
        <v>43.35427401856581</v>
      </c>
      <c r="BG937" s="3">
        <v>39.180940685232478</v>
      </c>
      <c r="BH937" s="3">
        <v>36.420940685232473</v>
      </c>
      <c r="BI937" s="3">
        <v>34.934274018565809</v>
      </c>
      <c r="BJ937" s="3">
        <v>39.727607351899145</v>
      </c>
      <c r="BK937" s="3">
        <v>42.300940685232469</v>
      </c>
      <c r="BL937" s="3">
        <v>43.474274018565815</v>
      </c>
      <c r="BM937" s="3">
        <v>37.207607351899149</v>
      </c>
      <c r="BN937" s="3">
        <v>38.390940685232472</v>
      </c>
      <c r="BO937" s="3">
        <v>37.457607351899135</v>
      </c>
      <c r="BP937" s="3">
        <v>35.074274018565809</v>
      </c>
      <c r="BQ937" s="3">
        <v>33.090940685232461</v>
      </c>
      <c r="BR937" s="3">
        <v>30.117607351899146</v>
      </c>
      <c r="BS937" s="3">
        <v>28.820940685232479</v>
      </c>
      <c r="BT937" s="3">
        <v>27.417607351899143</v>
      </c>
      <c r="BU937" s="3">
        <v>24.584274018565814</v>
      </c>
      <c r="BV937" s="3">
        <v>23.300940685232483</v>
      </c>
      <c r="BW937" s="3">
        <v>22.934274018565816</v>
      </c>
      <c r="BX937" s="3">
        <v>21.854274018565818</v>
      </c>
      <c r="BY937" s="3">
        <v>20.374274018565806</v>
      </c>
      <c r="BZ937" s="3">
        <v>22.804274018565813</v>
      </c>
      <c r="CA937" s="3">
        <v>15.204274018565805</v>
      </c>
      <c r="CB937" s="3">
        <v>12.540940685232478</v>
      </c>
      <c r="CC937" s="3">
        <v>11.654274018565808</v>
      </c>
      <c r="CD937" s="3">
        <v>8.8609406852324852</v>
      </c>
      <c r="CE937" s="3">
        <v>8.8542740185658104</v>
      </c>
      <c r="CF937" s="3">
        <v>-0.93239264810085842</v>
      </c>
      <c r="CG937" s="3">
        <v>-1.4657259814341899</v>
      </c>
      <c r="CH937" s="3">
        <v>-2.5423926481008579</v>
      </c>
      <c r="CI937" s="13">
        <f>[1]!dbasum(RecData[[#This Row],[20]:[2000]],RecData[[#Headers],[20]:[2000]])</f>
        <v>37.905930580074674</v>
      </c>
      <c r="CJ937" s="14">
        <v>10282</v>
      </c>
      <c r="CK937" s="15" t="s">
        <v>249</v>
      </c>
      <c r="CL937" s="15">
        <f>RecData[[#This Row],[Start Time]]</f>
        <v>43274.989583333336</v>
      </c>
      <c r="CM937" s="16">
        <f>RecData[[#This Row],[Wind Speed avg]]</f>
        <v>0.66</v>
      </c>
      <c r="CN937" s="16">
        <f>RecData[[#This Row],[Wind Dir. avg]]</f>
        <v>214.2</v>
      </c>
      <c r="CO937" s="16">
        <f>RecData[[#This Row],[Amb. Humidity]]</f>
        <v>64.400000000000006</v>
      </c>
      <c r="CP937" s="16">
        <f>RecData[[#This Row],[Amb. Temperature]]</f>
        <v>16.5</v>
      </c>
      <c r="CQ937" s="17">
        <f>RecData[[#This Row],[Amb. Rain Gauge]]</f>
        <v>0</v>
      </c>
      <c r="CR937" s="4" t="s">
        <v>1</v>
      </c>
      <c r="CS937" s="4" t="s">
        <v>49</v>
      </c>
      <c r="CT937" s="70">
        <v>1428.49975585937</v>
      </c>
      <c r="CU937" s="70">
        <v>21.000177383422798</v>
      </c>
      <c r="CV937" s="70">
        <v>9.4269647598266602</v>
      </c>
      <c r="CW937" s="70">
        <v>15.013607978820801</v>
      </c>
      <c r="CX937" s="4"/>
      <c r="CY937" s="69"/>
      <c r="CZ937" s="2" t="b">
        <f>IF($DP$1="YES",IF(RecData[[#This Row],[Power (kW)]]&gt;=$CR$3, TRUE,FALSE),TRUE)</f>
        <v>1</v>
      </c>
      <c r="DA937" s="16">
        <f>MIN(MOD(180-ABS(ABS($DA$1-RecData[Yaw Angle (°)])-180),360),MOD(180-ABS(ABS($DB$1-RecData[Yaw Angle (°)])-180),360))</f>
        <v>13.470250605735259</v>
      </c>
      <c r="DB937" s="2" t="str">
        <f>IF($DP$2="None","None",IF(RecData[[#This Row],[Relative Wind Direction]]&lt;=45,"DW",IF(RecData[[#This Row],[Relative Wind Direction]]&lt;=135,"CW","UW")))</f>
        <v>DW</v>
      </c>
      <c r="DC937" s="61" t="e">
        <f>IF($CL937-$CL934&gt;1/24,#REF!,IF(SUM($CQ934:$CQ937)&gt;$DS$1,$DS$5,DC938-1))</f>
        <v>#REF!</v>
      </c>
      <c r="DD937" s="61">
        <f>IF($CL938-$CL937&gt;1/24,#REF!,IF(SUM($CQ934:$CQ937)&gt;$DS$1,$DS$6,DD936-1))</f>
        <v>-4</v>
      </c>
      <c r="DE937" s="18" t="b">
        <v>0</v>
      </c>
      <c r="DF937" s="2" t="b">
        <f>IF(OR(RecData[[#This Row],[WSpd_Avg '[m/s']]]-RecData[[#This Row],[Wind Speed min]]&gt;=$DF$3,RecData[[#This Row],[Wind Speed max]]-RecData[[#This Row],[WSpd_Avg '[m/s']]]&gt;=$DF$2),TRUE,FALSE)</f>
        <v>0</v>
      </c>
      <c r="DG937" s="2" t="b">
        <f>RecData[[#This Row],[Temperature '[°C']]]&lt;=-20</f>
        <v>0</v>
      </c>
      <c r="DH937" s="18" t="b">
        <f>NOT(OR(MOD(RecData[[#This Row],[TIMESTAMP]],1)&gt;0.91632,MOD(RecData[[#This Row],[TIMESTAMP]],1)&lt;0.208681))</f>
        <v>0</v>
      </c>
      <c r="DI937" s="18" t="b">
        <f>RecData[[#This Row],[Overall (dBA)]]-RecData[[#This Row],[L90]]&gt;=$DS$4</f>
        <v>0</v>
      </c>
      <c r="DJ937" s="18" t="b">
        <f>RecData[[#This Row],[Overall (dBA)]]&gt;$DS$2</f>
        <v>0</v>
      </c>
      <c r="DK937" s="18" t="b">
        <f>RecData[[#This Row],[Overall (dBA)]]&lt;$DS$3</f>
        <v>0</v>
      </c>
      <c r="DL9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7" s="2">
        <f>IF(AND(RecData[[#This Row],[Turbines ON/OFF]] = "OFF", NOT(OR(RecData[[#This Row],[Junk?]]="YES",RecData[[#This Row],[Gust?]],RecData[[#This Row],[Rain?]:[Min SPL Threshold?]]))),1,0)</f>
        <v>0</v>
      </c>
      <c r="DN937" s="16">
        <f>RecData[[#This Row],[dBA Sum]]</f>
        <v>37.905930580074674</v>
      </c>
      <c r="DO937" s="16">
        <f>RecData[[#This Row],[LAF90.0]]</f>
        <v>36.799999999999997</v>
      </c>
      <c r="DP937" s="55">
        <f>IF(AND(RecData[[#This Row],[Useable TON Data?]],RecData[[#This Row],[Turbines ON/OFF]]="ON"),RecData[[#This Row],[dBA Sum]],"")</f>
        <v>37.905930580074674</v>
      </c>
      <c r="DQ937" s="55" t="str">
        <f>IF(AND(RecData[[#This Row],[Useable Background Data?]],RecData[[#This Row],[Turbines ON/OFF]]="OFF"),RecData[[#This Row],[dBA Sum]],"")</f>
        <v/>
      </c>
      <c r="DR937" s="3">
        <f>IF(OR(RecData[[#This Row],[Useable TON Data?]],RecData[[#This Row],[Useable Background Data?]]),ROUND(RecData[[#This Row],[WSpd_Avg '[m/s']]],0),"")</f>
        <v>1</v>
      </c>
      <c r="DS937" s="85">
        <f>(0.00002)^2*(10^(RecData[[#This Row],[Overall (dBA)]]/10))</f>
        <v>2.4697503140928738E-6</v>
      </c>
    </row>
    <row r="938" spans="1:123" ht="15" x14ac:dyDescent="0.25">
      <c r="A938" s="3" t="s">
        <v>249</v>
      </c>
      <c r="B938" s="12">
        <v>43274.990277777782</v>
      </c>
      <c r="C938" s="3"/>
      <c r="D938" s="3">
        <v>39</v>
      </c>
      <c r="E938" s="3"/>
      <c r="F938" s="3"/>
      <c r="G938" s="3"/>
      <c r="H938" s="3"/>
      <c r="I938" s="3"/>
      <c r="J938" s="3"/>
      <c r="K938" s="3">
        <v>36.799999999999997</v>
      </c>
      <c r="L938" s="3"/>
      <c r="M938" s="3"/>
      <c r="N938" s="3">
        <v>221.5</v>
      </c>
      <c r="O938" s="3"/>
      <c r="P938" s="3"/>
      <c r="Q938" s="3">
        <v>0.6</v>
      </c>
      <c r="R938" s="3">
        <v>0.2</v>
      </c>
      <c r="S938" s="3">
        <v>1</v>
      </c>
      <c r="T938" s="3">
        <v>16.5</v>
      </c>
      <c r="U938" s="3">
        <v>64.7</v>
      </c>
      <c r="V938" s="3">
        <v>966.1</v>
      </c>
      <c r="W938" s="3">
        <v>0</v>
      </c>
      <c r="X938" s="3">
        <v>45.5</v>
      </c>
      <c r="Y938" s="3">
        <v>45.4</v>
      </c>
      <c r="Z938" s="3">
        <v>45.4</v>
      </c>
      <c r="AA938" s="3">
        <v>41.3</v>
      </c>
      <c r="AB938" s="3">
        <v>36.1</v>
      </c>
      <c r="AC938" s="3">
        <v>34.799999999999997</v>
      </c>
      <c r="AD938" s="3">
        <v>37.4</v>
      </c>
      <c r="AE938" s="3">
        <v>40.4</v>
      </c>
      <c r="AF938" s="3">
        <v>42.2</v>
      </c>
      <c r="AG938" s="3">
        <v>38.200000000000003</v>
      </c>
      <c r="AH938" s="3">
        <v>36.799999999999997</v>
      </c>
      <c r="AI938" s="3">
        <v>37</v>
      </c>
      <c r="AJ938" s="3">
        <v>35.299999999999997</v>
      </c>
      <c r="AK938" s="3">
        <v>33.299999999999997</v>
      </c>
      <c r="AL938" s="3">
        <v>31</v>
      </c>
      <c r="AM938" s="3">
        <v>30.8</v>
      </c>
      <c r="AN938" s="3">
        <v>28.9</v>
      </c>
      <c r="AO938" s="3">
        <v>26</v>
      </c>
      <c r="AP938" s="3">
        <v>25</v>
      </c>
      <c r="AQ938" s="3">
        <v>24.2</v>
      </c>
      <c r="AR938" s="3">
        <v>23.2</v>
      </c>
      <c r="AS938" s="3">
        <v>22.6</v>
      </c>
      <c r="AT938" s="3">
        <v>27</v>
      </c>
      <c r="AU938" s="3">
        <v>18</v>
      </c>
      <c r="AV938" s="3">
        <v>16</v>
      </c>
      <c r="AW938" s="3">
        <v>14.7</v>
      </c>
      <c r="AX938" s="3">
        <v>10.7</v>
      </c>
      <c r="AY938" s="3">
        <v>9.9</v>
      </c>
      <c r="AZ938" s="3">
        <v>0</v>
      </c>
      <c r="BA938" s="3">
        <v>0</v>
      </c>
      <c r="BB938" s="3">
        <v>0</v>
      </c>
      <c r="BC938" s="3">
        <v>38.956998839066422</v>
      </c>
      <c r="BD938" s="3">
        <v>45.543001160933578</v>
      </c>
      <c r="BE938" s="3">
        <v>45.443001160933584</v>
      </c>
      <c r="BF938" s="3">
        <v>44.203001160933574</v>
      </c>
      <c r="BG938" s="3">
        <v>40.429667827600234</v>
      </c>
      <c r="BH938" s="3">
        <v>35.369667827600246</v>
      </c>
      <c r="BI938" s="3">
        <v>34.483001160933576</v>
      </c>
      <c r="BJ938" s="3">
        <v>37.876334494266906</v>
      </c>
      <c r="BK938" s="3">
        <v>40.749667827600241</v>
      </c>
      <c r="BL938" s="3">
        <v>42.12300116093359</v>
      </c>
      <c r="BM938" s="3">
        <v>38.256334494266916</v>
      </c>
      <c r="BN938" s="3">
        <v>37.139667827600242</v>
      </c>
      <c r="BO938" s="3">
        <v>36.706334494266905</v>
      </c>
      <c r="BP938" s="3">
        <v>34.723001160933585</v>
      </c>
      <c r="BQ938" s="3">
        <v>33.139667827600242</v>
      </c>
      <c r="BR938" s="3">
        <v>31.166334494266913</v>
      </c>
      <c r="BS938" s="3">
        <v>30.769667827600237</v>
      </c>
      <c r="BT938" s="3">
        <v>29.066334494266918</v>
      </c>
      <c r="BU938" s="3">
        <v>26.133001160933581</v>
      </c>
      <c r="BV938" s="3">
        <v>24.84966782760025</v>
      </c>
      <c r="BW938" s="3">
        <v>24.583001160933584</v>
      </c>
      <c r="BX938" s="3">
        <v>23.503001160933586</v>
      </c>
      <c r="BY938" s="3">
        <v>22.723001160933578</v>
      </c>
      <c r="BZ938" s="3">
        <v>27.253001160933586</v>
      </c>
      <c r="CA938" s="3">
        <v>18.353001160933566</v>
      </c>
      <c r="CB938" s="3">
        <v>15.78966782760024</v>
      </c>
      <c r="CC938" s="3">
        <v>14.703001160933574</v>
      </c>
      <c r="CD938" s="3">
        <v>10.009667827600246</v>
      </c>
      <c r="CE938" s="3">
        <v>9.4030011609335773</v>
      </c>
      <c r="CF938" s="3">
        <v>-0.88366550573309155</v>
      </c>
      <c r="CG938" s="3">
        <v>-1.416998839066423</v>
      </c>
      <c r="CH938" s="3">
        <v>-2.493665505733091</v>
      </c>
      <c r="CI938" s="13">
        <f>[1]!dbasum(RecData[[#This Row],[20]:[2000]],RecData[[#Headers],[20]:[2000]])</f>
        <v>38.304017853998204</v>
      </c>
      <c r="CJ938" s="14">
        <v>10283</v>
      </c>
      <c r="CK938" s="15" t="s">
        <v>249</v>
      </c>
      <c r="CL938" s="15">
        <f>RecData[[#This Row],[Start Time]]</f>
        <v>43274.990277777782</v>
      </c>
      <c r="CM938" s="16">
        <f>RecData[[#This Row],[Wind Speed avg]]</f>
        <v>0.6</v>
      </c>
      <c r="CN938" s="16">
        <f>RecData[[#This Row],[Wind Dir. avg]]</f>
        <v>221.5</v>
      </c>
      <c r="CO938" s="16">
        <f>RecData[[#This Row],[Amb. Humidity]]</f>
        <v>64.7</v>
      </c>
      <c r="CP938" s="16">
        <f>RecData[[#This Row],[Amb. Temperature]]</f>
        <v>16.5</v>
      </c>
      <c r="CQ938" s="17">
        <f>RecData[[#This Row],[Amb. Rain Gauge]]</f>
        <v>0</v>
      </c>
      <c r="CR938" s="4" t="s">
        <v>1</v>
      </c>
      <c r="CS938" s="4" t="s">
        <v>49</v>
      </c>
      <c r="CT938" s="70">
        <v>1428.49975585937</v>
      </c>
      <c r="CU938" s="70">
        <v>21.000177383422798</v>
      </c>
      <c r="CV938" s="70">
        <v>9.4269647598266602</v>
      </c>
      <c r="CW938" s="70">
        <v>15.013607978820801</v>
      </c>
      <c r="CX938" s="4"/>
      <c r="CY938" s="69"/>
      <c r="CZ938" s="2" t="b">
        <f>IF($DP$1="YES",IF(RecData[[#This Row],[Power (kW)]]&gt;=$CR$3, TRUE,FALSE),TRUE)</f>
        <v>1</v>
      </c>
      <c r="DA938" s="16">
        <f>MIN(MOD(180-ABS(ABS($DA$1-RecData[Yaw Angle (°)])-180),360),MOD(180-ABS(ABS($DB$1-RecData[Yaw Angle (°)])-180),360))</f>
        <v>13.470250605735259</v>
      </c>
      <c r="DB938" s="2" t="str">
        <f>IF($DP$2="None","None",IF(RecData[[#This Row],[Relative Wind Direction]]&lt;=45,"DW",IF(RecData[[#This Row],[Relative Wind Direction]]&lt;=135,"CW","UW")))</f>
        <v>DW</v>
      </c>
      <c r="DC938" s="61" t="e">
        <f>IF($CL938-$CL934&gt;1/24,#REF!,IF(SUM($CQ934:$CQ938)&gt;$DS$1,$DS$5,DC939-1))</f>
        <v>#REF!</v>
      </c>
      <c r="DD938" s="61">
        <f>IF($CL939-$CL938&gt;1/24,#REF!,IF(SUM($CQ934:$CQ938)&gt;$DS$1,$DS$6,DD937-1))</f>
        <v>-5</v>
      </c>
      <c r="DE938" s="18" t="b">
        <v>0</v>
      </c>
      <c r="DF938" s="2" t="b">
        <f>IF(OR(RecData[[#This Row],[WSpd_Avg '[m/s']]]-RecData[[#This Row],[Wind Speed min]]&gt;=$DF$3,RecData[[#This Row],[Wind Speed max]]-RecData[[#This Row],[WSpd_Avg '[m/s']]]&gt;=$DF$2),TRUE,FALSE)</f>
        <v>0</v>
      </c>
      <c r="DG938" s="2" t="b">
        <f>RecData[[#This Row],[Temperature '[°C']]]&lt;=-20</f>
        <v>0</v>
      </c>
      <c r="DH938" s="18" t="b">
        <f>NOT(OR(MOD(RecData[[#This Row],[TIMESTAMP]],1)&gt;0.91632,MOD(RecData[[#This Row],[TIMESTAMP]],1)&lt;0.208681))</f>
        <v>0</v>
      </c>
      <c r="DI938" s="18" t="b">
        <f>RecData[[#This Row],[Overall (dBA)]]-RecData[[#This Row],[L90]]&gt;=$DS$4</f>
        <v>0</v>
      </c>
      <c r="DJ938" s="18" t="b">
        <f>RecData[[#This Row],[Overall (dBA)]]&gt;$DS$2</f>
        <v>0</v>
      </c>
      <c r="DK938" s="18" t="b">
        <f>RecData[[#This Row],[Overall (dBA)]]&lt;$DS$3</f>
        <v>0</v>
      </c>
      <c r="DL9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8" s="2">
        <f>IF(AND(RecData[[#This Row],[Turbines ON/OFF]] = "OFF", NOT(OR(RecData[[#This Row],[Junk?]]="YES",RecData[[#This Row],[Gust?]],RecData[[#This Row],[Rain?]:[Min SPL Threshold?]]))),1,0)</f>
        <v>0</v>
      </c>
      <c r="DN938" s="16">
        <f>RecData[[#This Row],[dBA Sum]]</f>
        <v>38.304017853998204</v>
      </c>
      <c r="DO938" s="16">
        <f>RecData[[#This Row],[LAF90.0]]</f>
        <v>36.799999999999997</v>
      </c>
      <c r="DP938" s="55">
        <f>IF(AND(RecData[[#This Row],[Useable TON Data?]],RecData[[#This Row],[Turbines ON/OFF]]="ON"),RecData[[#This Row],[dBA Sum]],"")</f>
        <v>38.304017853998204</v>
      </c>
      <c r="DQ938" s="55" t="str">
        <f>IF(AND(RecData[[#This Row],[Useable Background Data?]],RecData[[#This Row],[Turbines ON/OFF]]="OFF"),RecData[[#This Row],[dBA Sum]],"")</f>
        <v/>
      </c>
      <c r="DR938" s="3">
        <f>IF(OR(RecData[[#This Row],[Useable TON Data?]],RecData[[#This Row],[Useable Background Data?]]),ROUND(RecData[[#This Row],[WSpd_Avg '[m/s']]],0),"")</f>
        <v>1</v>
      </c>
      <c r="DS938" s="85">
        <f>(0.00002)^2*(10^(RecData[[#This Row],[Overall (dBA)]]/10))</f>
        <v>2.7068349585671775E-6</v>
      </c>
    </row>
    <row r="939" spans="1:123" ht="15" x14ac:dyDescent="0.25">
      <c r="A939" s="3" t="s">
        <v>249</v>
      </c>
      <c r="B939" s="12">
        <v>43274.990972222222</v>
      </c>
      <c r="C939" s="3"/>
      <c r="D939" s="3">
        <v>40.299999999999997</v>
      </c>
      <c r="E939" s="3"/>
      <c r="F939" s="3"/>
      <c r="G939" s="3"/>
      <c r="H939" s="3"/>
      <c r="I939" s="3"/>
      <c r="J939" s="3"/>
      <c r="K939" s="3">
        <v>39</v>
      </c>
      <c r="L939" s="3"/>
      <c r="M939" s="3"/>
      <c r="N939" s="3">
        <v>239.5</v>
      </c>
      <c r="O939" s="3"/>
      <c r="P939" s="3"/>
      <c r="Q939" s="3">
        <v>0.81</v>
      </c>
      <c r="R939" s="3">
        <v>0</v>
      </c>
      <c r="S939" s="3">
        <v>1.4</v>
      </c>
      <c r="T939" s="3">
        <v>16.5</v>
      </c>
      <c r="U939" s="3">
        <v>65.099999999999994</v>
      </c>
      <c r="V939" s="3">
        <v>966.1</v>
      </c>
      <c r="W939" s="3">
        <v>0</v>
      </c>
      <c r="X939" s="3">
        <v>45.8</v>
      </c>
      <c r="Y939" s="3">
        <v>46</v>
      </c>
      <c r="Z939" s="3">
        <v>45.1</v>
      </c>
      <c r="AA939" s="3">
        <v>39.799999999999997</v>
      </c>
      <c r="AB939" s="3">
        <v>36.5</v>
      </c>
      <c r="AC939" s="3">
        <v>35.700000000000003</v>
      </c>
      <c r="AD939" s="3">
        <v>40.299999999999997</v>
      </c>
      <c r="AE939" s="3">
        <v>42.6</v>
      </c>
      <c r="AF939" s="3">
        <v>45.9</v>
      </c>
      <c r="AG939" s="3">
        <v>38.5</v>
      </c>
      <c r="AH939" s="3">
        <v>39.5</v>
      </c>
      <c r="AI939" s="3">
        <v>39.4</v>
      </c>
      <c r="AJ939" s="3">
        <v>37.299999999999997</v>
      </c>
      <c r="AK939" s="3">
        <v>35.200000000000003</v>
      </c>
      <c r="AL939" s="3">
        <v>32.299999999999997</v>
      </c>
      <c r="AM939" s="3">
        <v>31.2</v>
      </c>
      <c r="AN939" s="3">
        <v>29.4</v>
      </c>
      <c r="AO939" s="3">
        <v>26.6</v>
      </c>
      <c r="AP939" s="3">
        <v>25.2</v>
      </c>
      <c r="AQ939" s="3">
        <v>24.4</v>
      </c>
      <c r="AR939" s="3">
        <v>23.1</v>
      </c>
      <c r="AS939" s="3">
        <v>22</v>
      </c>
      <c r="AT939" s="3">
        <v>26.8</v>
      </c>
      <c r="AU939" s="3">
        <v>18.899999999999999</v>
      </c>
      <c r="AV939" s="3">
        <v>15.8</v>
      </c>
      <c r="AW939" s="3">
        <v>14.8</v>
      </c>
      <c r="AX939" s="3">
        <v>11.1</v>
      </c>
      <c r="AY939" s="3">
        <v>10.4</v>
      </c>
      <c r="AZ939" s="3">
        <v>0</v>
      </c>
      <c r="BA939" s="3">
        <v>0</v>
      </c>
      <c r="BB939" s="3">
        <v>0</v>
      </c>
      <c r="BC939" s="3">
        <v>40.255145070173739</v>
      </c>
      <c r="BD939" s="3">
        <v>45.844854929826255</v>
      </c>
      <c r="BE939" s="3">
        <v>46.044854929826258</v>
      </c>
      <c r="BF939" s="3">
        <v>43.904854929826257</v>
      </c>
      <c r="BG939" s="3">
        <v>38.931521596492928</v>
      </c>
      <c r="BH939" s="3">
        <v>35.771521596492931</v>
      </c>
      <c r="BI939" s="3">
        <v>35.384854929826261</v>
      </c>
      <c r="BJ939" s="3">
        <v>40.778188263159592</v>
      </c>
      <c r="BK939" s="3">
        <v>42.951521596492924</v>
      </c>
      <c r="BL939" s="3">
        <v>45.824854929826259</v>
      </c>
      <c r="BM939" s="3">
        <v>38.558188263159593</v>
      </c>
      <c r="BN939" s="3">
        <v>39.841521596492925</v>
      </c>
      <c r="BO939" s="3">
        <v>39.10818826315959</v>
      </c>
      <c r="BP939" s="3">
        <v>36.72485492982625</v>
      </c>
      <c r="BQ939" s="3">
        <v>35.041521596492913</v>
      </c>
      <c r="BR939" s="3">
        <v>32.46818826315959</v>
      </c>
      <c r="BS939" s="3">
        <v>31.171521596492923</v>
      </c>
      <c r="BT939" s="3">
        <v>29.568188263159584</v>
      </c>
      <c r="BU939" s="3">
        <v>26.73485492982627</v>
      </c>
      <c r="BV939" s="3">
        <v>25.051521596492933</v>
      </c>
      <c r="BW939" s="3">
        <v>24.784854929826253</v>
      </c>
      <c r="BX939" s="3">
        <v>23.404854929826264</v>
      </c>
      <c r="BY939" s="3">
        <v>22.124854929826256</v>
      </c>
      <c r="BZ939" s="3">
        <v>27.054854929826263</v>
      </c>
      <c r="CA939" s="3">
        <v>19.254854929826251</v>
      </c>
      <c r="CB939" s="3">
        <v>15.591521596492925</v>
      </c>
      <c r="CC939" s="3">
        <v>14.804854929826256</v>
      </c>
      <c r="CD939" s="3">
        <v>10.411521596492932</v>
      </c>
      <c r="CE939" s="3">
        <v>9.9048549298262571</v>
      </c>
      <c r="CF939" s="3">
        <v>-0.8818117368404117</v>
      </c>
      <c r="CG939" s="3">
        <v>-1.4151450701737431</v>
      </c>
      <c r="CH939" s="3">
        <v>-2.4918117368404111</v>
      </c>
      <c r="CI939" s="13">
        <f>[1]!dbasum(RecData[[#This Row],[20]:[2000]],RecData[[#Headers],[20]:[2000]])</f>
        <v>39.775481620456283</v>
      </c>
      <c r="CJ939" s="14">
        <v>10284</v>
      </c>
      <c r="CK939" s="15" t="s">
        <v>249</v>
      </c>
      <c r="CL939" s="15">
        <f>RecData[[#This Row],[Start Time]]</f>
        <v>43274.990972222222</v>
      </c>
      <c r="CM939" s="16">
        <f>RecData[[#This Row],[Wind Speed avg]]</f>
        <v>0.81</v>
      </c>
      <c r="CN939" s="16">
        <f>RecData[[#This Row],[Wind Dir. avg]]</f>
        <v>239.5</v>
      </c>
      <c r="CO939" s="16">
        <f>RecData[[#This Row],[Amb. Humidity]]</f>
        <v>65.099999999999994</v>
      </c>
      <c r="CP939" s="16">
        <f>RecData[[#This Row],[Amb. Temperature]]</f>
        <v>16.5</v>
      </c>
      <c r="CQ939" s="17">
        <f>RecData[[#This Row],[Amb. Rain Gauge]]</f>
        <v>0</v>
      </c>
      <c r="CR939" s="4" t="s">
        <v>1</v>
      </c>
      <c r="CS939" s="4" t="s">
        <v>49</v>
      </c>
      <c r="CT939" s="70">
        <v>1428.49975585937</v>
      </c>
      <c r="CU939" s="70">
        <v>21.000177383422798</v>
      </c>
      <c r="CV939" s="70">
        <v>9.4269647598266602</v>
      </c>
      <c r="CW939" s="70">
        <v>15.013607978820801</v>
      </c>
      <c r="CX939" s="4"/>
      <c r="CY939" s="69"/>
      <c r="CZ939" s="2" t="b">
        <f>IF($DP$1="YES",IF(RecData[[#This Row],[Power (kW)]]&gt;=$CR$3, TRUE,FALSE),TRUE)</f>
        <v>1</v>
      </c>
      <c r="DA939" s="16">
        <f>MIN(MOD(180-ABS(ABS($DA$1-RecData[Yaw Angle (°)])-180),360),MOD(180-ABS(ABS($DB$1-RecData[Yaw Angle (°)])-180),360))</f>
        <v>13.470250605735259</v>
      </c>
      <c r="DB939" s="2" t="str">
        <f>IF($DP$2="None","None",IF(RecData[[#This Row],[Relative Wind Direction]]&lt;=45,"DW",IF(RecData[[#This Row],[Relative Wind Direction]]&lt;=135,"CW","UW")))</f>
        <v>DW</v>
      </c>
      <c r="DC939" s="61" t="e">
        <f>IF($CL939-$CL935&gt;1/24,#REF!,IF(SUM($CQ935:$CQ939)&gt;$DS$1,$DS$5,DC940-1))</f>
        <v>#REF!</v>
      </c>
      <c r="DD939" s="61">
        <f>IF($CL940-$CL939&gt;1/24,#REF!,IF(SUM($CQ935:$CQ939)&gt;$DS$1,$DS$6,DD938-1))</f>
        <v>-6</v>
      </c>
      <c r="DE939" s="18" t="b">
        <v>0</v>
      </c>
      <c r="DF939" s="2" t="b">
        <f>IF(OR(RecData[[#This Row],[WSpd_Avg '[m/s']]]-RecData[[#This Row],[Wind Speed min]]&gt;=$DF$3,RecData[[#This Row],[Wind Speed max]]-RecData[[#This Row],[WSpd_Avg '[m/s']]]&gt;=$DF$2),TRUE,FALSE)</f>
        <v>0</v>
      </c>
      <c r="DG939" s="2" t="b">
        <f>RecData[[#This Row],[Temperature '[°C']]]&lt;=-20</f>
        <v>0</v>
      </c>
      <c r="DH939" s="18" t="b">
        <f>NOT(OR(MOD(RecData[[#This Row],[TIMESTAMP]],1)&gt;0.91632,MOD(RecData[[#This Row],[TIMESTAMP]],1)&lt;0.208681))</f>
        <v>0</v>
      </c>
      <c r="DI939" s="18" t="b">
        <f>RecData[[#This Row],[Overall (dBA)]]-RecData[[#This Row],[L90]]&gt;=$DS$4</f>
        <v>0</v>
      </c>
      <c r="DJ939" s="18" t="b">
        <f>RecData[[#This Row],[Overall (dBA)]]&gt;$DS$2</f>
        <v>0</v>
      </c>
      <c r="DK939" s="18" t="b">
        <f>RecData[[#This Row],[Overall (dBA)]]&lt;$DS$3</f>
        <v>0</v>
      </c>
      <c r="DL9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39" s="2">
        <f>IF(AND(RecData[[#This Row],[Turbines ON/OFF]] = "OFF", NOT(OR(RecData[[#This Row],[Junk?]]="YES",RecData[[#This Row],[Gust?]],RecData[[#This Row],[Rain?]:[Min SPL Threshold?]]))),1,0)</f>
        <v>0</v>
      </c>
      <c r="DN939" s="16">
        <f>RecData[[#This Row],[dBA Sum]]</f>
        <v>39.775481620456283</v>
      </c>
      <c r="DO939" s="16">
        <f>RecData[[#This Row],[LAF90.0]]</f>
        <v>39</v>
      </c>
      <c r="DP939" s="55">
        <f>IF(AND(RecData[[#This Row],[Useable TON Data?]],RecData[[#This Row],[Turbines ON/OFF]]="ON"),RecData[[#This Row],[dBA Sum]],"")</f>
        <v>39.775481620456283</v>
      </c>
      <c r="DQ939" s="55" t="str">
        <f>IF(AND(RecData[[#This Row],[Useable Background Data?]],RecData[[#This Row],[Turbines ON/OFF]]="OFF"),RecData[[#This Row],[dBA Sum]],"")</f>
        <v/>
      </c>
      <c r="DR939" s="3">
        <f>IF(OR(RecData[[#This Row],[Useable TON Data?]],RecData[[#This Row],[Useable Background Data?]]),ROUND(RecData[[#This Row],[WSpd_Avg '[m/s']]],0),"")</f>
        <v>1</v>
      </c>
      <c r="DS939" s="85">
        <f>(0.00002)^2*(10^(RecData[[#This Row],[Overall (dBA)]]/10))</f>
        <v>3.7984652126404828E-6</v>
      </c>
    </row>
    <row r="940" spans="1:123" ht="15" x14ac:dyDescent="0.25">
      <c r="A940" s="3" t="s">
        <v>249</v>
      </c>
      <c r="B940" s="12">
        <v>43274.991666666669</v>
      </c>
      <c r="C940" s="3"/>
      <c r="D940" s="3">
        <v>38.6</v>
      </c>
      <c r="E940" s="3"/>
      <c r="F940" s="3"/>
      <c r="G940" s="3"/>
      <c r="H940" s="3"/>
      <c r="I940" s="3"/>
      <c r="J940" s="3"/>
      <c r="K940" s="3">
        <v>37.5</v>
      </c>
      <c r="L940" s="3"/>
      <c r="M940" s="3"/>
      <c r="N940" s="3">
        <v>207.2</v>
      </c>
      <c r="O940" s="3"/>
      <c r="P940" s="3"/>
      <c r="Q940" s="3">
        <v>0.66</v>
      </c>
      <c r="R940" s="3">
        <v>0.1</v>
      </c>
      <c r="S940" s="3">
        <v>1.4</v>
      </c>
      <c r="T940" s="3">
        <v>16.399999999999999</v>
      </c>
      <c r="U940" s="3">
        <v>64.7</v>
      </c>
      <c r="V940" s="3">
        <v>966.1</v>
      </c>
      <c r="W940" s="3">
        <v>0</v>
      </c>
      <c r="X940" s="3">
        <v>44.9</v>
      </c>
      <c r="Y940" s="3">
        <v>44.9</v>
      </c>
      <c r="Z940" s="3">
        <v>44.4</v>
      </c>
      <c r="AA940" s="3">
        <v>39.4</v>
      </c>
      <c r="AB940" s="3">
        <v>35.700000000000003</v>
      </c>
      <c r="AC940" s="3">
        <v>34.799999999999997</v>
      </c>
      <c r="AD940" s="3">
        <v>38.9</v>
      </c>
      <c r="AE940" s="3">
        <v>41.2</v>
      </c>
      <c r="AF940" s="3">
        <v>44.4</v>
      </c>
      <c r="AG940" s="3">
        <v>37.1</v>
      </c>
      <c r="AH940" s="3">
        <v>37.799999999999997</v>
      </c>
      <c r="AI940" s="3">
        <v>37.5</v>
      </c>
      <c r="AJ940" s="3">
        <v>35.6</v>
      </c>
      <c r="AK940" s="3">
        <v>33.5</v>
      </c>
      <c r="AL940" s="3">
        <v>30.8</v>
      </c>
      <c r="AM940" s="3">
        <v>30</v>
      </c>
      <c r="AN940" s="3">
        <v>28.4</v>
      </c>
      <c r="AO940" s="3">
        <v>25.1</v>
      </c>
      <c r="AP940" s="3">
        <v>23.5</v>
      </c>
      <c r="AQ940" s="3">
        <v>21.9</v>
      </c>
      <c r="AR940" s="3">
        <v>20</v>
      </c>
      <c r="AS940" s="3">
        <v>18.3</v>
      </c>
      <c r="AT940" s="3">
        <v>25.1</v>
      </c>
      <c r="AU940" s="3">
        <v>14.7</v>
      </c>
      <c r="AV940" s="3">
        <v>12.3</v>
      </c>
      <c r="AW940" s="3">
        <v>11.4</v>
      </c>
      <c r="AX940" s="3">
        <v>9.8000000000000007</v>
      </c>
      <c r="AY940" s="3">
        <v>9.6</v>
      </c>
      <c r="AZ940" s="3">
        <v>0</v>
      </c>
      <c r="BA940" s="3">
        <v>0</v>
      </c>
      <c r="BB940" s="3">
        <v>0</v>
      </c>
      <c r="BC940" s="3">
        <v>38.577654295573588</v>
      </c>
      <c r="BD940" s="3">
        <v>44.922345704426412</v>
      </c>
      <c r="BE940" s="3">
        <v>44.922345704426412</v>
      </c>
      <c r="BF940" s="3">
        <v>43.182345704426403</v>
      </c>
      <c r="BG940" s="3">
        <v>38.509012371093085</v>
      </c>
      <c r="BH940" s="3">
        <v>34.949012371093083</v>
      </c>
      <c r="BI940" s="3">
        <v>34.462345704426404</v>
      </c>
      <c r="BJ940" s="3">
        <v>39.355679037759749</v>
      </c>
      <c r="BK940" s="3">
        <v>41.529012371093081</v>
      </c>
      <c r="BL940" s="3">
        <v>44.302345704426408</v>
      </c>
      <c r="BM940" s="3">
        <v>37.135679037759751</v>
      </c>
      <c r="BN940" s="3">
        <v>38.119012371093071</v>
      </c>
      <c r="BO940" s="3">
        <v>37.185679037759748</v>
      </c>
      <c r="BP940" s="3">
        <v>35.002345704426425</v>
      </c>
      <c r="BQ940" s="3">
        <v>33.319012371093073</v>
      </c>
      <c r="BR940" s="3">
        <v>30.945679037759753</v>
      </c>
      <c r="BS940" s="3">
        <v>29.949012371093083</v>
      </c>
      <c r="BT940" s="3">
        <v>28.545679037759747</v>
      </c>
      <c r="BU940" s="3">
        <v>25.212345704426419</v>
      </c>
      <c r="BV940" s="3">
        <v>23.329012371093079</v>
      </c>
      <c r="BW940" s="3">
        <v>22.262345704426416</v>
      </c>
      <c r="BX940" s="3">
        <v>20.282345704426419</v>
      </c>
      <c r="BY940" s="3">
        <v>18.402345704426416</v>
      </c>
      <c r="BZ940" s="3">
        <v>25.332345704426423</v>
      </c>
      <c r="CA940" s="3">
        <v>15.032345704426405</v>
      </c>
      <c r="CB940" s="3">
        <v>12.069012371093081</v>
      </c>
      <c r="CC940" s="3">
        <v>11.382345704426413</v>
      </c>
      <c r="CD940" s="3">
        <v>9.0890123710930837</v>
      </c>
      <c r="CE940" s="3">
        <v>9.0823457044264089</v>
      </c>
      <c r="CF940" s="3">
        <v>-0.90432096224025571</v>
      </c>
      <c r="CG940" s="3">
        <v>-1.4376542955735871</v>
      </c>
      <c r="CH940" s="3">
        <v>-2.5143209622402551</v>
      </c>
      <c r="CI940" s="13">
        <f>[1]!dbasum(RecData[[#This Row],[20]:[2000]],RecData[[#Headers],[20]:[2000]])</f>
        <v>38.142349980342985</v>
      </c>
      <c r="CJ940" s="14">
        <v>10285</v>
      </c>
      <c r="CK940" s="15" t="s">
        <v>249</v>
      </c>
      <c r="CL940" s="15">
        <f>RecData[[#This Row],[Start Time]]</f>
        <v>43274.991666666669</v>
      </c>
      <c r="CM940" s="16">
        <f>RecData[[#This Row],[Wind Speed avg]]</f>
        <v>0.66</v>
      </c>
      <c r="CN940" s="16">
        <f>RecData[[#This Row],[Wind Dir. avg]]</f>
        <v>207.2</v>
      </c>
      <c r="CO940" s="16">
        <f>RecData[[#This Row],[Amb. Humidity]]</f>
        <v>64.7</v>
      </c>
      <c r="CP940" s="16">
        <f>RecData[[#This Row],[Amb. Temperature]]</f>
        <v>16.399999999999999</v>
      </c>
      <c r="CQ940" s="17">
        <f>RecData[[#This Row],[Amb. Rain Gauge]]</f>
        <v>0</v>
      </c>
      <c r="CR940" s="4" t="s">
        <v>1</v>
      </c>
      <c r="CS940" s="4" t="s">
        <v>49</v>
      </c>
      <c r="CT940" s="70">
        <v>1428.49975585937</v>
      </c>
      <c r="CU940" s="70">
        <v>21.000177383422798</v>
      </c>
      <c r="CV940" s="70">
        <v>9.4269647598266602</v>
      </c>
      <c r="CW940" s="70">
        <v>15.013607978820801</v>
      </c>
      <c r="CX940" s="4"/>
      <c r="CY940" s="69"/>
      <c r="CZ940" s="2" t="b">
        <f>IF($DP$1="YES",IF(RecData[[#This Row],[Power (kW)]]&gt;=$CR$3, TRUE,FALSE),TRUE)</f>
        <v>1</v>
      </c>
      <c r="DA940" s="16">
        <f>MIN(MOD(180-ABS(ABS($DA$1-RecData[Yaw Angle (°)])-180),360),MOD(180-ABS(ABS($DB$1-RecData[Yaw Angle (°)])-180),360))</f>
        <v>13.470250605735259</v>
      </c>
      <c r="DB940" s="2" t="str">
        <f>IF($DP$2="None","None",IF(RecData[[#This Row],[Relative Wind Direction]]&lt;=45,"DW",IF(RecData[[#This Row],[Relative Wind Direction]]&lt;=135,"CW","UW")))</f>
        <v>DW</v>
      </c>
      <c r="DC940" s="61" t="e">
        <f>IF($CL940-$CL936&gt;1/24,#REF!,IF(SUM($CQ936:$CQ940)&gt;$DS$1,$DS$5,DC941-1))</f>
        <v>#REF!</v>
      </c>
      <c r="DD940" s="61">
        <f>IF($CL941-$CL940&gt;1/24,#REF!,IF(SUM($CQ936:$CQ940)&gt;$DS$1,$DS$6,DD939-1))</f>
        <v>-7</v>
      </c>
      <c r="DE940" s="18" t="b">
        <v>0</v>
      </c>
      <c r="DF940" s="2" t="b">
        <f>IF(OR(RecData[[#This Row],[WSpd_Avg '[m/s']]]-RecData[[#This Row],[Wind Speed min]]&gt;=$DF$3,RecData[[#This Row],[Wind Speed max]]-RecData[[#This Row],[WSpd_Avg '[m/s']]]&gt;=$DF$2),TRUE,FALSE)</f>
        <v>0</v>
      </c>
      <c r="DG940" s="2" t="b">
        <f>RecData[[#This Row],[Temperature '[°C']]]&lt;=-20</f>
        <v>0</v>
      </c>
      <c r="DH940" s="18" t="b">
        <f>NOT(OR(MOD(RecData[[#This Row],[TIMESTAMP]],1)&gt;0.91632,MOD(RecData[[#This Row],[TIMESTAMP]],1)&lt;0.208681))</f>
        <v>0</v>
      </c>
      <c r="DI940" s="18" t="b">
        <f>RecData[[#This Row],[Overall (dBA)]]-RecData[[#This Row],[L90]]&gt;=$DS$4</f>
        <v>0</v>
      </c>
      <c r="DJ940" s="18" t="b">
        <f>RecData[[#This Row],[Overall (dBA)]]&gt;$DS$2</f>
        <v>0</v>
      </c>
      <c r="DK940" s="18" t="b">
        <f>RecData[[#This Row],[Overall (dBA)]]&lt;$DS$3</f>
        <v>0</v>
      </c>
      <c r="DL9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0" s="2">
        <f>IF(AND(RecData[[#This Row],[Turbines ON/OFF]] = "OFF", NOT(OR(RecData[[#This Row],[Junk?]]="YES",RecData[[#This Row],[Gust?]],RecData[[#This Row],[Rain?]:[Min SPL Threshold?]]))),1,0)</f>
        <v>0</v>
      </c>
      <c r="DN940" s="16">
        <f>RecData[[#This Row],[dBA Sum]]</f>
        <v>38.142349980342985</v>
      </c>
      <c r="DO940" s="16">
        <f>RecData[[#This Row],[LAF90.0]]</f>
        <v>37.5</v>
      </c>
      <c r="DP940" s="55">
        <f>IF(AND(RecData[[#This Row],[Useable TON Data?]],RecData[[#This Row],[Turbines ON/OFF]]="ON"),RecData[[#This Row],[dBA Sum]],"")</f>
        <v>38.142349980342985</v>
      </c>
      <c r="DQ940" s="55" t="str">
        <f>IF(AND(RecData[[#This Row],[Useable Background Data?]],RecData[[#This Row],[Turbines ON/OFF]]="OFF"),RecData[[#This Row],[dBA Sum]],"")</f>
        <v/>
      </c>
      <c r="DR940" s="3">
        <f>IF(OR(RecData[[#This Row],[Useable TON Data?]],RecData[[#This Row],[Useable Background Data?]]),ROUND(RecData[[#This Row],[WSpd_Avg '[m/s']]],0),"")</f>
        <v>1</v>
      </c>
      <c r="DS940" s="85">
        <f>(0.00002)^2*(10^(RecData[[#This Row],[Overall (dBA)]]/10))</f>
        <v>2.6079243501350912E-6</v>
      </c>
    </row>
    <row r="941" spans="1:123" ht="15" x14ac:dyDescent="0.25">
      <c r="A941" s="3" t="s">
        <v>249</v>
      </c>
      <c r="B941" s="12">
        <v>43274.992361111115</v>
      </c>
      <c r="C941" s="3"/>
      <c r="D941" s="3">
        <v>38.9</v>
      </c>
      <c r="E941" s="3"/>
      <c r="F941" s="3"/>
      <c r="G941" s="3"/>
      <c r="H941" s="3"/>
      <c r="I941" s="3"/>
      <c r="J941" s="3"/>
      <c r="K941" s="3">
        <v>36.9</v>
      </c>
      <c r="L941" s="3"/>
      <c r="M941" s="3"/>
      <c r="N941" s="3">
        <v>169.1</v>
      </c>
      <c r="O941" s="3"/>
      <c r="P941" s="3"/>
      <c r="Q941" s="3">
        <v>1.06</v>
      </c>
      <c r="R941" s="3">
        <v>0.4</v>
      </c>
      <c r="S941" s="3">
        <v>2.1</v>
      </c>
      <c r="T941" s="3">
        <v>16.399999999999999</v>
      </c>
      <c r="U941" s="3">
        <v>64.599999999999994</v>
      </c>
      <c r="V941" s="3">
        <v>966.1</v>
      </c>
      <c r="W941" s="3">
        <v>0</v>
      </c>
      <c r="X941" s="3">
        <v>46</v>
      </c>
      <c r="Y941" s="3">
        <v>46.7</v>
      </c>
      <c r="Z941" s="3">
        <v>46</v>
      </c>
      <c r="AA941" s="3">
        <v>41.7</v>
      </c>
      <c r="AB941" s="3">
        <v>37.4</v>
      </c>
      <c r="AC941" s="3">
        <v>35.700000000000003</v>
      </c>
      <c r="AD941" s="3">
        <v>38.9</v>
      </c>
      <c r="AE941" s="3">
        <v>41.2</v>
      </c>
      <c r="AF941" s="3">
        <v>44</v>
      </c>
      <c r="AG941" s="3">
        <v>38</v>
      </c>
      <c r="AH941" s="3">
        <v>37.5</v>
      </c>
      <c r="AI941" s="3">
        <v>37.799999999999997</v>
      </c>
      <c r="AJ941" s="3">
        <v>35.9</v>
      </c>
      <c r="AK941" s="3">
        <v>34</v>
      </c>
      <c r="AL941" s="3">
        <v>31</v>
      </c>
      <c r="AM941" s="3">
        <v>29.7</v>
      </c>
      <c r="AN941" s="3">
        <v>27.9</v>
      </c>
      <c r="AO941" s="3">
        <v>25.1</v>
      </c>
      <c r="AP941" s="3">
        <v>23.5</v>
      </c>
      <c r="AQ941" s="3">
        <v>22.4</v>
      </c>
      <c r="AR941" s="3">
        <v>20.8</v>
      </c>
      <c r="AS941" s="3">
        <v>19.899999999999999</v>
      </c>
      <c r="AT941" s="3">
        <v>27.5</v>
      </c>
      <c r="AU941" s="3">
        <v>18.3</v>
      </c>
      <c r="AV941" s="3">
        <v>15.6</v>
      </c>
      <c r="AW941" s="3">
        <v>14.3</v>
      </c>
      <c r="AX941" s="3">
        <v>11.5</v>
      </c>
      <c r="AY941" s="3">
        <v>10.7</v>
      </c>
      <c r="AZ941" s="3">
        <v>0</v>
      </c>
      <c r="BA941" s="3">
        <v>0</v>
      </c>
      <c r="BB941" s="3">
        <v>0</v>
      </c>
      <c r="BC941" s="3">
        <v>38.917904900919631</v>
      </c>
      <c r="BD941" s="3">
        <v>45.982095099080375</v>
      </c>
      <c r="BE941" s="3">
        <v>46.682095099080364</v>
      </c>
      <c r="BF941" s="3">
        <v>44.742095099080366</v>
      </c>
      <c r="BG941" s="3">
        <v>40.768761765747037</v>
      </c>
      <c r="BH941" s="3">
        <v>36.60876176574704</v>
      </c>
      <c r="BI941" s="3">
        <v>35.322095099080379</v>
      </c>
      <c r="BJ941" s="3">
        <v>39.31542843241369</v>
      </c>
      <c r="BK941" s="3">
        <v>41.488761765747036</v>
      </c>
      <c r="BL941" s="3">
        <v>43.862095099080371</v>
      </c>
      <c r="BM941" s="3">
        <v>37.995428432413696</v>
      </c>
      <c r="BN941" s="3">
        <v>37.778761765747028</v>
      </c>
      <c r="BO941" s="3">
        <v>37.445428432413699</v>
      </c>
      <c r="BP941" s="3">
        <v>35.262095099080376</v>
      </c>
      <c r="BQ941" s="3">
        <v>33.778761765747028</v>
      </c>
      <c r="BR941" s="3">
        <v>31.10542843241371</v>
      </c>
      <c r="BS941" s="3">
        <v>29.60876176574704</v>
      </c>
      <c r="BT941" s="3">
        <v>28.005428432413702</v>
      </c>
      <c r="BU941" s="3">
        <v>25.172095099080373</v>
      </c>
      <c r="BV941" s="3">
        <v>23.288761765747033</v>
      </c>
      <c r="BW941" s="3">
        <v>22.72209509908037</v>
      </c>
      <c r="BX941" s="3">
        <v>21.042095099080377</v>
      </c>
      <c r="BY941" s="3">
        <v>19.962095099080365</v>
      </c>
      <c r="BZ941" s="3">
        <v>27.692095099080369</v>
      </c>
      <c r="CA941" s="3">
        <v>18.59209509908036</v>
      </c>
      <c r="CB941" s="3">
        <v>15.328761765747032</v>
      </c>
      <c r="CC941" s="3">
        <v>14.242095099080366</v>
      </c>
      <c r="CD941" s="3">
        <v>10.748761765747041</v>
      </c>
      <c r="CE941" s="3">
        <v>10.142095099080365</v>
      </c>
      <c r="CF941" s="3">
        <v>-0.94457156758630134</v>
      </c>
      <c r="CG941" s="3">
        <v>-1.4779049009196328</v>
      </c>
      <c r="CH941" s="3">
        <v>-2.5545715675863008</v>
      </c>
      <c r="CI941" s="13">
        <f>[1]!dbasum(RecData[[#This Row],[20]:[2000]],RecData[[#Headers],[20]:[2000]])</f>
        <v>38.189009537785246</v>
      </c>
      <c r="CJ941" s="14">
        <v>10286</v>
      </c>
      <c r="CK941" s="15" t="s">
        <v>249</v>
      </c>
      <c r="CL941" s="15">
        <f>RecData[[#This Row],[Start Time]]</f>
        <v>43274.992361111115</v>
      </c>
      <c r="CM941" s="16">
        <f>RecData[[#This Row],[Wind Speed avg]]</f>
        <v>1.06</v>
      </c>
      <c r="CN941" s="16">
        <f>RecData[[#This Row],[Wind Dir. avg]]</f>
        <v>169.1</v>
      </c>
      <c r="CO941" s="16">
        <f>RecData[[#This Row],[Amb. Humidity]]</f>
        <v>64.599999999999994</v>
      </c>
      <c r="CP941" s="16">
        <f>RecData[[#This Row],[Amb. Temperature]]</f>
        <v>16.399999999999999</v>
      </c>
      <c r="CQ941" s="17">
        <f>RecData[[#This Row],[Amb. Rain Gauge]]</f>
        <v>0</v>
      </c>
      <c r="CR941" s="4" t="s">
        <v>1</v>
      </c>
      <c r="CS941" s="4" t="s">
        <v>49</v>
      </c>
      <c r="CT941" s="70">
        <v>1428.49975585937</v>
      </c>
      <c r="CU941" s="70">
        <v>21.000177383422798</v>
      </c>
      <c r="CV941" s="70">
        <v>9.4269647598266602</v>
      </c>
      <c r="CW941" s="70">
        <v>15.013607978820801</v>
      </c>
      <c r="CX941" s="4"/>
      <c r="CY941" s="69"/>
      <c r="CZ941" s="2" t="b">
        <f>IF($DP$1="YES",IF(RecData[[#This Row],[Power (kW)]]&gt;=$CR$3, TRUE,FALSE),TRUE)</f>
        <v>1</v>
      </c>
      <c r="DA941" s="16">
        <f>MIN(MOD(180-ABS(ABS($DA$1-RecData[Yaw Angle (°)])-180),360),MOD(180-ABS(ABS($DB$1-RecData[Yaw Angle (°)])-180),360))</f>
        <v>13.470250605735259</v>
      </c>
      <c r="DB941" s="2" t="str">
        <f>IF($DP$2="None","None",IF(RecData[[#This Row],[Relative Wind Direction]]&lt;=45,"DW",IF(RecData[[#This Row],[Relative Wind Direction]]&lt;=135,"CW","UW")))</f>
        <v>DW</v>
      </c>
      <c r="DC941" s="61" t="e">
        <f>IF($CL941-$CL937&gt;1/24,#REF!,IF(SUM($CQ937:$CQ941)&gt;$DS$1,$DS$5,DC942-1))</f>
        <v>#REF!</v>
      </c>
      <c r="DD941" s="61">
        <f>IF($CL942-$CL941&gt;1/24,#REF!,IF(SUM($CQ937:$CQ941)&gt;$DS$1,$DS$6,DD940-1))</f>
        <v>-8</v>
      </c>
      <c r="DE941" s="18" t="b">
        <v>0</v>
      </c>
      <c r="DF941" s="2" t="b">
        <f>IF(OR(RecData[[#This Row],[WSpd_Avg '[m/s']]]-RecData[[#This Row],[Wind Speed min]]&gt;=$DF$3,RecData[[#This Row],[Wind Speed max]]-RecData[[#This Row],[WSpd_Avg '[m/s']]]&gt;=$DF$2),TRUE,FALSE)</f>
        <v>0</v>
      </c>
      <c r="DG941" s="2" t="b">
        <f>RecData[[#This Row],[Temperature '[°C']]]&lt;=-20</f>
        <v>0</v>
      </c>
      <c r="DH941" s="18" t="b">
        <f>NOT(OR(MOD(RecData[[#This Row],[TIMESTAMP]],1)&gt;0.91632,MOD(RecData[[#This Row],[TIMESTAMP]],1)&lt;0.208681))</f>
        <v>0</v>
      </c>
      <c r="DI941" s="18" t="b">
        <f>RecData[[#This Row],[Overall (dBA)]]-RecData[[#This Row],[L90]]&gt;=$DS$4</f>
        <v>0</v>
      </c>
      <c r="DJ941" s="18" t="b">
        <f>RecData[[#This Row],[Overall (dBA)]]&gt;$DS$2</f>
        <v>0</v>
      </c>
      <c r="DK941" s="18" t="b">
        <f>RecData[[#This Row],[Overall (dBA)]]&lt;$DS$3</f>
        <v>0</v>
      </c>
      <c r="DL9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1" s="2">
        <f>IF(AND(RecData[[#This Row],[Turbines ON/OFF]] = "OFF", NOT(OR(RecData[[#This Row],[Junk?]]="YES",RecData[[#This Row],[Gust?]],RecData[[#This Row],[Rain?]:[Min SPL Threshold?]]))),1,0)</f>
        <v>0</v>
      </c>
      <c r="DN941" s="16">
        <f>RecData[[#This Row],[dBA Sum]]</f>
        <v>38.189009537785246</v>
      </c>
      <c r="DO941" s="16">
        <f>RecData[[#This Row],[LAF90.0]]</f>
        <v>36.9</v>
      </c>
      <c r="DP941" s="55">
        <f>IF(AND(RecData[[#This Row],[Useable TON Data?]],RecData[[#This Row],[Turbines ON/OFF]]="ON"),RecData[[#This Row],[dBA Sum]],"")</f>
        <v>38.189009537785246</v>
      </c>
      <c r="DQ941" s="55" t="str">
        <f>IF(AND(RecData[[#This Row],[Useable Background Data?]],RecData[[#This Row],[Turbines ON/OFF]]="OFF"),RecData[[#This Row],[dBA Sum]],"")</f>
        <v/>
      </c>
      <c r="DR941" s="3">
        <f>IF(OR(RecData[[#This Row],[Useable TON Data?]],RecData[[#This Row],[Useable Background Data?]]),ROUND(RecData[[#This Row],[WSpd_Avg '[m/s']]],0),"")</f>
        <v>1</v>
      </c>
      <c r="DS941" s="85">
        <f>(0.00002)^2*(10^(RecData[[#This Row],[Overall (dBA)]]/10))</f>
        <v>2.6360943185439853E-6</v>
      </c>
    </row>
    <row r="942" spans="1:123" ht="15" x14ac:dyDescent="0.25">
      <c r="A942" s="3" t="s">
        <v>249</v>
      </c>
      <c r="B942" s="12">
        <v>43274.993055555555</v>
      </c>
      <c r="C942" s="3"/>
      <c r="D942" s="3">
        <v>38.799999999999997</v>
      </c>
      <c r="E942" s="3"/>
      <c r="F942" s="3"/>
      <c r="G942" s="3"/>
      <c r="H942" s="3"/>
      <c r="I942" s="3"/>
      <c r="J942" s="3"/>
      <c r="K942" s="3">
        <v>36.799999999999997</v>
      </c>
      <c r="L942" s="3"/>
      <c r="M942" s="3"/>
      <c r="N942" s="3">
        <v>185.1</v>
      </c>
      <c r="O942" s="3"/>
      <c r="P942" s="3"/>
      <c r="Q942" s="3">
        <v>0.97</v>
      </c>
      <c r="R942" s="3">
        <v>0</v>
      </c>
      <c r="S942" s="3">
        <v>1.8</v>
      </c>
      <c r="T942" s="3">
        <v>16.399999999999999</v>
      </c>
      <c r="U942" s="3">
        <v>64.900000000000006</v>
      </c>
      <c r="V942" s="3">
        <v>966.1</v>
      </c>
      <c r="W942" s="3">
        <v>0</v>
      </c>
      <c r="X942" s="3">
        <v>44.6</v>
      </c>
      <c r="Y942" s="3">
        <v>44.9</v>
      </c>
      <c r="Z942" s="3">
        <v>44.7</v>
      </c>
      <c r="AA942" s="3">
        <v>40</v>
      </c>
      <c r="AB942" s="3">
        <v>35.700000000000003</v>
      </c>
      <c r="AC942" s="3">
        <v>34.299999999999997</v>
      </c>
      <c r="AD942" s="3">
        <v>37.200000000000003</v>
      </c>
      <c r="AE942" s="3">
        <v>40</v>
      </c>
      <c r="AF942" s="3">
        <v>44.6</v>
      </c>
      <c r="AG942" s="3">
        <v>36.700000000000003</v>
      </c>
      <c r="AH942" s="3">
        <v>36.6</v>
      </c>
      <c r="AI942" s="3">
        <v>36.299999999999997</v>
      </c>
      <c r="AJ942" s="3">
        <v>34.5</v>
      </c>
      <c r="AK942" s="3">
        <v>32.700000000000003</v>
      </c>
      <c r="AL942" s="3">
        <v>30.4</v>
      </c>
      <c r="AM942" s="3">
        <v>29.7</v>
      </c>
      <c r="AN942" s="3">
        <v>28.5</v>
      </c>
      <c r="AO942" s="3">
        <v>26.4</v>
      </c>
      <c r="AP942" s="3">
        <v>25.3</v>
      </c>
      <c r="AQ942" s="3">
        <v>24.7</v>
      </c>
      <c r="AR942" s="3">
        <v>23.8</v>
      </c>
      <c r="AS942" s="3">
        <v>22.9</v>
      </c>
      <c r="AT942" s="3">
        <v>26.7</v>
      </c>
      <c r="AU942" s="3">
        <v>19.100000000000001</v>
      </c>
      <c r="AV942" s="3">
        <v>16.5</v>
      </c>
      <c r="AW942" s="3">
        <v>15.1</v>
      </c>
      <c r="AX942" s="3">
        <v>11.6</v>
      </c>
      <c r="AY942" s="3">
        <v>10.4</v>
      </c>
      <c r="AZ942" s="3">
        <v>0</v>
      </c>
      <c r="BA942" s="3">
        <v>0</v>
      </c>
      <c r="BB942" s="3">
        <v>0</v>
      </c>
      <c r="BC942" s="3">
        <v>38.786986685777826</v>
      </c>
      <c r="BD942" s="3">
        <v>44.613013314222179</v>
      </c>
      <c r="BE942" s="3">
        <v>44.913013314222162</v>
      </c>
      <c r="BF942" s="3">
        <v>43.473013314222165</v>
      </c>
      <c r="BG942" s="3">
        <v>39.09967998088883</v>
      </c>
      <c r="BH942" s="3">
        <v>34.939679980888833</v>
      </c>
      <c r="BI942" s="3">
        <v>33.953013314222169</v>
      </c>
      <c r="BJ942" s="3">
        <v>37.646346647555511</v>
      </c>
      <c r="BK942" s="3">
        <v>40.319679980888829</v>
      </c>
      <c r="BL942" s="3">
        <v>44.493013314222175</v>
      </c>
      <c r="BM942" s="3">
        <v>36.726346647555509</v>
      </c>
      <c r="BN942" s="3">
        <v>36.909679980888832</v>
      </c>
      <c r="BO942" s="3">
        <v>35.976346647555495</v>
      </c>
      <c r="BP942" s="3">
        <v>33.893013314222181</v>
      </c>
      <c r="BQ942" s="3">
        <v>32.509679980888826</v>
      </c>
      <c r="BR942" s="3">
        <v>30.536346647555497</v>
      </c>
      <c r="BS942" s="3">
        <v>29.639679980888836</v>
      </c>
      <c r="BT942" s="3">
        <v>28.636346647555506</v>
      </c>
      <c r="BU942" s="3">
        <v>26.503013314222166</v>
      </c>
      <c r="BV942" s="3">
        <v>25.11967998088884</v>
      </c>
      <c r="BW942" s="3">
        <v>25.053013314222177</v>
      </c>
      <c r="BX942" s="3">
        <v>24.073013314222173</v>
      </c>
      <c r="BY942" s="3">
        <v>22.993013314222168</v>
      </c>
      <c r="BZ942" s="3">
        <v>26.923013314222182</v>
      </c>
      <c r="CA942" s="3">
        <v>19.423013314222167</v>
      </c>
      <c r="CB942" s="3">
        <v>16.259679980888841</v>
      </c>
      <c r="CC942" s="3">
        <v>15.073013314222173</v>
      </c>
      <c r="CD942" s="3">
        <v>10.879679980888845</v>
      </c>
      <c r="CE942" s="3">
        <v>9.8730133142221703</v>
      </c>
      <c r="CF942" s="3">
        <v>-0.91365335244449852</v>
      </c>
      <c r="CG942" s="3">
        <v>-1.44698668577783</v>
      </c>
      <c r="CH942" s="3">
        <v>-2.523653352444498</v>
      </c>
      <c r="CI942" s="13">
        <f>[1]!dbasum(RecData[[#This Row],[20]:[2000]],RecData[[#Headers],[20]:[2000]])</f>
        <v>38.084315520792913</v>
      </c>
      <c r="CJ942" s="14">
        <v>10287</v>
      </c>
      <c r="CK942" s="15" t="s">
        <v>249</v>
      </c>
      <c r="CL942" s="15">
        <f>RecData[[#This Row],[Start Time]]</f>
        <v>43274.993055555555</v>
      </c>
      <c r="CM942" s="16">
        <f>RecData[[#This Row],[Wind Speed avg]]</f>
        <v>0.97</v>
      </c>
      <c r="CN942" s="16">
        <f>RecData[[#This Row],[Wind Dir. avg]]</f>
        <v>185.1</v>
      </c>
      <c r="CO942" s="16">
        <f>RecData[[#This Row],[Amb. Humidity]]</f>
        <v>64.900000000000006</v>
      </c>
      <c r="CP942" s="16">
        <f>RecData[[#This Row],[Amb. Temperature]]</f>
        <v>16.399999999999999</v>
      </c>
      <c r="CQ942" s="17">
        <f>RecData[[#This Row],[Amb. Rain Gauge]]</f>
        <v>0</v>
      </c>
      <c r="CR942" s="4" t="s">
        <v>1</v>
      </c>
      <c r="CS942" s="4" t="s">
        <v>49</v>
      </c>
      <c r="CT942" s="70">
        <v>1428.49975585937</v>
      </c>
      <c r="CU942" s="70">
        <v>21.000177383422798</v>
      </c>
      <c r="CV942" s="70">
        <v>9.4269647598266602</v>
      </c>
      <c r="CW942" s="70">
        <v>15.013607978820801</v>
      </c>
      <c r="CX942" s="4"/>
      <c r="CY942" s="69"/>
      <c r="CZ942" s="2" t="b">
        <f>IF($DP$1="YES",IF(RecData[[#This Row],[Power (kW)]]&gt;=$CR$3, TRUE,FALSE),TRUE)</f>
        <v>1</v>
      </c>
      <c r="DA942" s="16">
        <f>MIN(MOD(180-ABS(ABS($DA$1-RecData[Yaw Angle (°)])-180),360),MOD(180-ABS(ABS($DB$1-RecData[Yaw Angle (°)])-180),360))</f>
        <v>13.470250605735259</v>
      </c>
      <c r="DB942" s="2" t="str">
        <f>IF($DP$2="None","None",IF(RecData[[#This Row],[Relative Wind Direction]]&lt;=45,"DW",IF(RecData[[#This Row],[Relative Wind Direction]]&lt;=135,"CW","UW")))</f>
        <v>DW</v>
      </c>
      <c r="DC942" s="61" t="e">
        <f>IF($CL942-$CL938&gt;1/24,#REF!,IF(SUM($CQ938:$CQ942)&gt;$DS$1,$DS$5,#REF!-1))</f>
        <v>#REF!</v>
      </c>
      <c r="DD942" s="61" t="e">
        <f>IF(#REF!-$CL942&gt;1/24,#REF!,IF(SUM($CQ938:$CQ942)&gt;$DS$1,$DS$6,DD941-1))</f>
        <v>#REF!</v>
      </c>
      <c r="DE942" s="18" t="b">
        <v>0</v>
      </c>
      <c r="DF942" s="2" t="b">
        <f>IF(OR(RecData[[#This Row],[WSpd_Avg '[m/s']]]-RecData[[#This Row],[Wind Speed min]]&gt;=$DF$3,RecData[[#This Row],[Wind Speed max]]-RecData[[#This Row],[WSpd_Avg '[m/s']]]&gt;=$DF$2),TRUE,FALSE)</f>
        <v>0</v>
      </c>
      <c r="DG942" s="2" t="b">
        <f>RecData[[#This Row],[Temperature '[°C']]]&lt;=-20</f>
        <v>0</v>
      </c>
      <c r="DH942" s="18" t="b">
        <f>NOT(OR(MOD(RecData[[#This Row],[TIMESTAMP]],1)&gt;0.91632,MOD(RecData[[#This Row],[TIMESTAMP]],1)&lt;0.208681))</f>
        <v>0</v>
      </c>
      <c r="DI942" s="18" t="b">
        <f>RecData[[#This Row],[Overall (dBA)]]-RecData[[#This Row],[L90]]&gt;=$DS$4</f>
        <v>0</v>
      </c>
      <c r="DJ942" s="18" t="b">
        <f>RecData[[#This Row],[Overall (dBA)]]&gt;$DS$2</f>
        <v>0</v>
      </c>
      <c r="DK942" s="18" t="b">
        <f>RecData[[#This Row],[Overall (dBA)]]&lt;$DS$3</f>
        <v>0</v>
      </c>
      <c r="DL9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2" s="2">
        <f>IF(AND(RecData[[#This Row],[Turbines ON/OFF]] = "OFF", NOT(OR(RecData[[#This Row],[Junk?]]="YES",RecData[[#This Row],[Gust?]],RecData[[#This Row],[Rain?]:[Min SPL Threshold?]]))),1,0)</f>
        <v>0</v>
      </c>
      <c r="DN942" s="16">
        <f>RecData[[#This Row],[dBA Sum]]</f>
        <v>38.084315520792913</v>
      </c>
      <c r="DO942" s="16">
        <f>RecData[[#This Row],[LAF90.0]]</f>
        <v>36.799999999999997</v>
      </c>
      <c r="DP942" s="55">
        <f>IF(AND(RecData[[#This Row],[Useable TON Data?]],RecData[[#This Row],[Turbines ON/OFF]]="ON"),RecData[[#This Row],[dBA Sum]],"")</f>
        <v>38.084315520792913</v>
      </c>
      <c r="DQ942" s="55" t="str">
        <f>IF(AND(RecData[[#This Row],[Useable Background Data?]],RecData[[#This Row],[Turbines ON/OFF]]="OFF"),RecData[[#This Row],[dBA Sum]],"")</f>
        <v/>
      </c>
      <c r="DR942" s="3">
        <f>IF(OR(RecData[[#This Row],[Useable TON Data?]],RecData[[#This Row],[Useable Background Data?]]),ROUND(RecData[[#This Row],[WSpd_Avg '[m/s']]],0),"")</f>
        <v>1</v>
      </c>
      <c r="DS942" s="85">
        <f>(0.00002)^2*(10^(RecData[[#This Row],[Overall (dBA)]]/10))</f>
        <v>2.5733066564482727E-6</v>
      </c>
    </row>
    <row r="943" spans="1:123" ht="15" x14ac:dyDescent="0.25">
      <c r="A943" s="3" t="s">
        <v>249</v>
      </c>
      <c r="B943" s="12">
        <v>43274.995138888895</v>
      </c>
      <c r="C943" s="3"/>
      <c r="D943" s="3">
        <v>39.799999999999997</v>
      </c>
      <c r="E943" s="3"/>
      <c r="F943" s="3"/>
      <c r="G943" s="3"/>
      <c r="H943" s="3"/>
      <c r="I943" s="3"/>
      <c r="J943" s="3"/>
      <c r="K943" s="3">
        <v>37.6</v>
      </c>
      <c r="L943" s="3"/>
      <c r="M943" s="3"/>
      <c r="N943" s="3">
        <v>169.3</v>
      </c>
      <c r="O943" s="3"/>
      <c r="P943" s="3"/>
      <c r="Q943" s="3">
        <v>0.61</v>
      </c>
      <c r="R943" s="3">
        <v>0</v>
      </c>
      <c r="S943" s="3">
        <v>1.8</v>
      </c>
      <c r="T943" s="3">
        <v>16.3</v>
      </c>
      <c r="U943" s="3">
        <v>64.8</v>
      </c>
      <c r="V943" s="3">
        <v>966.2</v>
      </c>
      <c r="W943" s="3">
        <v>0</v>
      </c>
      <c r="X943" s="3">
        <v>47.1</v>
      </c>
      <c r="Y943" s="3">
        <v>47</v>
      </c>
      <c r="Z943" s="3">
        <v>46.3</v>
      </c>
      <c r="AA943" s="3">
        <v>41.8</v>
      </c>
      <c r="AB943" s="3">
        <v>36.9</v>
      </c>
      <c r="AC943" s="3">
        <v>36</v>
      </c>
      <c r="AD943" s="3">
        <v>39.299999999999997</v>
      </c>
      <c r="AE943" s="3">
        <v>42.1</v>
      </c>
      <c r="AF943" s="3">
        <v>46.7</v>
      </c>
      <c r="AG943" s="3">
        <v>39.4</v>
      </c>
      <c r="AH943" s="3">
        <v>38.9</v>
      </c>
      <c r="AI943" s="3">
        <v>38.6</v>
      </c>
      <c r="AJ943" s="3">
        <v>36.6</v>
      </c>
      <c r="AK943" s="3">
        <v>34.1</v>
      </c>
      <c r="AL943" s="3">
        <v>31.3</v>
      </c>
      <c r="AM943" s="3">
        <v>30.4</v>
      </c>
      <c r="AN943" s="3">
        <v>28.3</v>
      </c>
      <c r="AO943" s="3">
        <v>25.5</v>
      </c>
      <c r="AP943" s="3">
        <v>24.7</v>
      </c>
      <c r="AQ943" s="3">
        <v>23.8</v>
      </c>
      <c r="AR943" s="3">
        <v>23.1</v>
      </c>
      <c r="AS943" s="3">
        <v>22.4</v>
      </c>
      <c r="AT943" s="3">
        <v>25.9</v>
      </c>
      <c r="AU943" s="3">
        <v>19.8</v>
      </c>
      <c r="AV943" s="3">
        <v>18.100000000000001</v>
      </c>
      <c r="AW943" s="3">
        <v>16.899999999999999</v>
      </c>
      <c r="AX943" s="3">
        <v>13.2</v>
      </c>
      <c r="AY943" s="3">
        <v>11.7</v>
      </c>
      <c r="AZ943" s="3">
        <v>0</v>
      </c>
      <c r="BA943" s="3">
        <v>0</v>
      </c>
      <c r="BB943" s="3">
        <v>0</v>
      </c>
      <c r="BC943" s="3">
        <v>39.754291843650684</v>
      </c>
      <c r="BD943" s="3">
        <v>47.145708156349322</v>
      </c>
      <c r="BE943" s="3">
        <v>47.045708156349313</v>
      </c>
      <c r="BF943" s="3">
        <v>45.105708156349301</v>
      </c>
      <c r="BG943" s="3">
        <v>40.932374823015984</v>
      </c>
      <c r="BH943" s="3">
        <v>36.172374823015979</v>
      </c>
      <c r="BI943" s="3">
        <v>35.685708156349314</v>
      </c>
      <c r="BJ943" s="3">
        <v>39.779041489682648</v>
      </c>
      <c r="BK943" s="3">
        <v>42.45237482301598</v>
      </c>
      <c r="BL943" s="3">
        <v>46.625708156349312</v>
      </c>
      <c r="BM943" s="3">
        <v>39.459041489682654</v>
      </c>
      <c r="BN943" s="3">
        <v>39.242374823015986</v>
      </c>
      <c r="BO943" s="3">
        <v>38.309041489682649</v>
      </c>
      <c r="BP943" s="3">
        <v>36.025708156349317</v>
      </c>
      <c r="BQ943" s="3">
        <v>33.942374823015975</v>
      </c>
      <c r="BR943" s="3">
        <v>31.469041489682645</v>
      </c>
      <c r="BS943" s="3">
        <v>30.372374823015981</v>
      </c>
      <c r="BT943" s="3">
        <v>28.469041489682645</v>
      </c>
      <c r="BU943" s="3">
        <v>25.635708156349317</v>
      </c>
      <c r="BV943" s="3">
        <v>24.552374823015988</v>
      </c>
      <c r="BW943" s="3">
        <v>24.185708156349314</v>
      </c>
      <c r="BX943" s="3">
        <v>23.40570815634932</v>
      </c>
      <c r="BY943" s="3">
        <v>22.52570815634931</v>
      </c>
      <c r="BZ943" s="3">
        <v>26.155708156349313</v>
      </c>
      <c r="CA943" s="3">
        <v>20.155708156349306</v>
      </c>
      <c r="CB943" s="3">
        <v>17.892374823015977</v>
      </c>
      <c r="CC943" s="3">
        <v>16.905708156349313</v>
      </c>
      <c r="CD943" s="3">
        <v>12.512374823015982</v>
      </c>
      <c r="CE943" s="3">
        <v>11.20570815634931</v>
      </c>
      <c r="CF943" s="3">
        <v>-0.88095851031735606</v>
      </c>
      <c r="CG943" s="3">
        <v>-1.4142918436506875</v>
      </c>
      <c r="CH943" s="3">
        <v>-2.4909585103173555</v>
      </c>
      <c r="CI943" s="13">
        <f>[1]!dbasum(RecData[[#This Row],[20]:[2000]],RecData[[#Headers],[20]:[2000]])</f>
        <v>39.22842562554569</v>
      </c>
      <c r="CJ943" s="14">
        <v>10290</v>
      </c>
      <c r="CK943" s="15" t="s">
        <v>249</v>
      </c>
      <c r="CL943" s="15">
        <f>RecData[[#This Row],[Start Time]]</f>
        <v>43274.995138888895</v>
      </c>
      <c r="CM943" s="16">
        <f>RecData[[#This Row],[Wind Speed avg]]</f>
        <v>0.61</v>
      </c>
      <c r="CN943" s="16">
        <f>RecData[[#This Row],[Wind Dir. avg]]</f>
        <v>169.3</v>
      </c>
      <c r="CO943" s="16">
        <f>RecData[[#This Row],[Amb. Humidity]]</f>
        <v>64.8</v>
      </c>
      <c r="CP943" s="16">
        <f>RecData[[#This Row],[Amb. Temperature]]</f>
        <v>16.3</v>
      </c>
      <c r="CQ943" s="17">
        <f>RecData[[#This Row],[Amb. Rain Gauge]]</f>
        <v>0</v>
      </c>
      <c r="CR943" s="4" t="s">
        <v>1</v>
      </c>
      <c r="CS943" s="4" t="s">
        <v>49</v>
      </c>
      <c r="CT943" s="70">
        <v>1578.7060546875</v>
      </c>
      <c r="CU943" s="70">
        <v>21.000177383422798</v>
      </c>
      <c r="CV943" s="70">
        <v>10.294698715209901</v>
      </c>
      <c r="CW943" s="70">
        <v>15.193971633911101</v>
      </c>
      <c r="CX943" s="4"/>
      <c r="CY943" s="69"/>
      <c r="CZ943" s="2" t="b">
        <f>IF($DP$1="YES",IF(RecData[[#This Row],[Power (kW)]]&gt;=$CR$3, TRUE,FALSE),TRUE)</f>
        <v>1</v>
      </c>
      <c r="DA943" s="16">
        <f>MIN(MOD(180-ABS(ABS($DA$1-RecData[Yaw Angle (°)])-180),360),MOD(180-ABS(ABS($DB$1-RecData[Yaw Angle (°)])-180),360))</f>
        <v>13.470250605735259</v>
      </c>
      <c r="DB943" s="2" t="str">
        <f>IF($DP$2="None","None",IF(RecData[[#This Row],[Relative Wind Direction]]&lt;=45,"DW",IF(RecData[[#This Row],[Relative Wind Direction]]&lt;=135,"CW","UW")))</f>
        <v>DW</v>
      </c>
      <c r="DC943" s="61" t="e">
        <f>IF($CL943-#REF!&gt;1/24,#REF!,IF(SUM($CQ943:$CQ943)&gt;$DS$1,$DS$5,DC944-1))</f>
        <v>#REF!</v>
      </c>
      <c r="DD943" s="61" t="e">
        <f>IF($CL944-$CL943&gt;1/24,#REF!,IF(SUM($CQ943:$CQ943)&gt;$DS$1,$DS$6,#REF!-1))</f>
        <v>#REF!</v>
      </c>
      <c r="DE943" s="18" t="b">
        <v>0</v>
      </c>
      <c r="DF943" s="2" t="b">
        <f>IF(OR(RecData[[#This Row],[WSpd_Avg '[m/s']]]-RecData[[#This Row],[Wind Speed min]]&gt;=$DF$3,RecData[[#This Row],[Wind Speed max]]-RecData[[#This Row],[WSpd_Avg '[m/s']]]&gt;=$DF$2),TRUE,FALSE)</f>
        <v>0</v>
      </c>
      <c r="DG943" s="2" t="b">
        <f>RecData[[#This Row],[Temperature '[°C']]]&lt;=-20</f>
        <v>0</v>
      </c>
      <c r="DH943" s="18" t="b">
        <f>NOT(OR(MOD(RecData[[#This Row],[TIMESTAMP]],1)&gt;0.91632,MOD(RecData[[#This Row],[TIMESTAMP]],1)&lt;0.208681))</f>
        <v>0</v>
      </c>
      <c r="DI943" s="18" t="b">
        <f>RecData[[#This Row],[Overall (dBA)]]-RecData[[#This Row],[L90]]&gt;=$DS$4</f>
        <v>0</v>
      </c>
      <c r="DJ943" s="18" t="b">
        <f>RecData[[#This Row],[Overall (dBA)]]&gt;$DS$2</f>
        <v>0</v>
      </c>
      <c r="DK943" s="18" t="b">
        <f>RecData[[#This Row],[Overall (dBA)]]&lt;$DS$3</f>
        <v>0</v>
      </c>
      <c r="DL9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3" s="2">
        <f>IF(AND(RecData[[#This Row],[Turbines ON/OFF]] = "OFF", NOT(OR(RecData[[#This Row],[Junk?]]="YES",RecData[[#This Row],[Gust?]],RecData[[#This Row],[Rain?]:[Min SPL Threshold?]]))),1,0)</f>
        <v>0</v>
      </c>
      <c r="DN943" s="16">
        <f>RecData[[#This Row],[dBA Sum]]</f>
        <v>39.22842562554569</v>
      </c>
      <c r="DO943" s="16">
        <f>RecData[[#This Row],[LAF90.0]]</f>
        <v>37.6</v>
      </c>
      <c r="DP943" s="55">
        <f>IF(AND(RecData[[#This Row],[Useable TON Data?]],RecData[[#This Row],[Turbines ON/OFF]]="ON"),RecData[[#This Row],[dBA Sum]],"")</f>
        <v>39.22842562554569</v>
      </c>
      <c r="DQ943" s="55" t="str">
        <f>IF(AND(RecData[[#This Row],[Useable Background Data?]],RecData[[#This Row],[Turbines ON/OFF]]="OFF"),RecData[[#This Row],[dBA Sum]],"")</f>
        <v/>
      </c>
      <c r="DR943" s="3">
        <f>IF(OR(RecData[[#This Row],[Useable TON Data?]],RecData[[#This Row],[Useable Background Data?]]),ROUND(RecData[[#This Row],[WSpd_Avg '[m/s']]],0),"")</f>
        <v>1</v>
      </c>
      <c r="DS943" s="85">
        <f>(0.00002)^2*(10^(RecData[[#This Row],[Overall (dBA)]]/10))</f>
        <v>3.3489028872143987E-6</v>
      </c>
    </row>
    <row r="944" spans="1:123" ht="15" x14ac:dyDescent="0.25">
      <c r="A944" s="3" t="s">
        <v>249</v>
      </c>
      <c r="B944" s="12">
        <v>43274.995833333334</v>
      </c>
      <c r="C944" s="3"/>
      <c r="D944" s="3">
        <v>39.700000000000003</v>
      </c>
      <c r="E944" s="3"/>
      <c r="F944" s="3"/>
      <c r="G944" s="3"/>
      <c r="H944" s="3"/>
      <c r="I944" s="3"/>
      <c r="J944" s="3"/>
      <c r="K944" s="3">
        <v>38.200000000000003</v>
      </c>
      <c r="L944" s="3"/>
      <c r="M944" s="3"/>
      <c r="N944" s="3">
        <v>199.9</v>
      </c>
      <c r="O944" s="3"/>
      <c r="P944" s="3"/>
      <c r="Q944" s="3">
        <v>0.69</v>
      </c>
      <c r="R944" s="3">
        <v>0.2</v>
      </c>
      <c r="S944" s="3">
        <v>1.1000000000000001</v>
      </c>
      <c r="T944" s="3">
        <v>16.2</v>
      </c>
      <c r="U944" s="3">
        <v>64.900000000000006</v>
      </c>
      <c r="V944" s="3">
        <v>966.2</v>
      </c>
      <c r="W944" s="3">
        <v>0</v>
      </c>
      <c r="X944" s="3">
        <v>46.5</v>
      </c>
      <c r="Y944" s="3">
        <v>46.6</v>
      </c>
      <c r="Z944" s="3">
        <v>46.7</v>
      </c>
      <c r="AA944" s="3">
        <v>41.8</v>
      </c>
      <c r="AB944" s="3">
        <v>36.299999999999997</v>
      </c>
      <c r="AC944" s="3">
        <v>36.299999999999997</v>
      </c>
      <c r="AD944" s="3">
        <v>38.700000000000003</v>
      </c>
      <c r="AE944" s="3">
        <v>41</v>
      </c>
      <c r="AF944" s="3">
        <v>43.4</v>
      </c>
      <c r="AG944" s="3">
        <v>38.9</v>
      </c>
      <c r="AH944" s="3">
        <v>37.6</v>
      </c>
      <c r="AI944" s="3">
        <v>38.200000000000003</v>
      </c>
      <c r="AJ944" s="3">
        <v>36.6</v>
      </c>
      <c r="AK944" s="3">
        <v>34.799999999999997</v>
      </c>
      <c r="AL944" s="3">
        <v>32.5</v>
      </c>
      <c r="AM944" s="3">
        <v>31.8</v>
      </c>
      <c r="AN944" s="3">
        <v>30.1</v>
      </c>
      <c r="AO944" s="3">
        <v>26.8</v>
      </c>
      <c r="AP944" s="3">
        <v>24.9</v>
      </c>
      <c r="AQ944" s="3">
        <v>23.7</v>
      </c>
      <c r="AR944" s="3">
        <v>22.3</v>
      </c>
      <c r="AS944" s="3">
        <v>21.2</v>
      </c>
      <c r="AT944" s="3">
        <v>24.3</v>
      </c>
      <c r="AU944" s="3">
        <v>19</v>
      </c>
      <c r="AV944" s="3">
        <v>18</v>
      </c>
      <c r="AW944" s="3">
        <v>17.600000000000001</v>
      </c>
      <c r="AX944" s="3">
        <v>14.7</v>
      </c>
      <c r="AY944" s="3">
        <v>12.8</v>
      </c>
      <c r="AZ944" s="3">
        <v>0</v>
      </c>
      <c r="BA944" s="3">
        <v>0</v>
      </c>
      <c r="BB944" s="3">
        <v>0</v>
      </c>
      <c r="BC944" s="3">
        <v>39.677576378132279</v>
      </c>
      <c r="BD944" s="3">
        <v>46.522423621867723</v>
      </c>
      <c r="BE944" s="3">
        <v>46.622423621867732</v>
      </c>
      <c r="BF944" s="3">
        <v>45.482423621867717</v>
      </c>
      <c r="BG944" s="3">
        <v>40.909090288534394</v>
      </c>
      <c r="BH944" s="3">
        <v>35.54909028853438</v>
      </c>
      <c r="BI944" s="3">
        <v>35.962423621867721</v>
      </c>
      <c r="BJ944" s="3">
        <v>39.155756955201063</v>
      </c>
      <c r="BK944" s="3">
        <v>41.329090288534381</v>
      </c>
      <c r="BL944" s="3">
        <v>43.302423621867725</v>
      </c>
      <c r="BM944" s="3">
        <v>38.935756955201064</v>
      </c>
      <c r="BN944" s="3">
        <v>37.919090288534385</v>
      </c>
      <c r="BO944" s="3">
        <v>37.885756955201053</v>
      </c>
      <c r="BP944" s="3">
        <v>36.002423621867727</v>
      </c>
      <c r="BQ944" s="3">
        <v>34.619090288534373</v>
      </c>
      <c r="BR944" s="3">
        <v>32.645756955201058</v>
      </c>
      <c r="BS944" s="3">
        <v>31.749090288534397</v>
      </c>
      <c r="BT944" s="3">
        <v>30.245756955201067</v>
      </c>
      <c r="BU944" s="3">
        <v>26.912423621867724</v>
      </c>
      <c r="BV944" s="3">
        <v>24.729090288534387</v>
      </c>
      <c r="BW944" s="3">
        <v>24.06242362186773</v>
      </c>
      <c r="BX944" s="3">
        <v>22.582423621867726</v>
      </c>
      <c r="BY944" s="3">
        <v>21.302423621867725</v>
      </c>
      <c r="BZ944" s="3">
        <v>24.532423621867729</v>
      </c>
      <c r="CA944" s="3">
        <v>19.332423621867711</v>
      </c>
      <c r="CB944" s="3">
        <v>17.769090288534393</v>
      </c>
      <c r="CC944" s="3">
        <v>17.582423621867726</v>
      </c>
      <c r="CD944" s="3">
        <v>13.989090288534392</v>
      </c>
      <c r="CE944" s="3">
        <v>12.282423621867721</v>
      </c>
      <c r="CF944" s="3">
        <v>-0.90424304479894602</v>
      </c>
      <c r="CG944" s="3">
        <v>-1.4375763781322775</v>
      </c>
      <c r="CH944" s="3">
        <v>-2.5142430447989454</v>
      </c>
      <c r="CI944" s="13">
        <f>[1]!dbasum(RecData[[#This Row],[20]:[2000]],RecData[[#Headers],[20]:[2000]])</f>
        <v>39.237194513943294</v>
      </c>
      <c r="CJ944" s="14">
        <v>10291</v>
      </c>
      <c r="CK944" s="15" t="s">
        <v>249</v>
      </c>
      <c r="CL944" s="15">
        <f>RecData[[#This Row],[Start Time]]</f>
        <v>43274.995833333334</v>
      </c>
      <c r="CM944" s="16">
        <f>RecData[[#This Row],[Wind Speed avg]]</f>
        <v>0.69</v>
      </c>
      <c r="CN944" s="16">
        <f>RecData[[#This Row],[Wind Dir. avg]]</f>
        <v>199.9</v>
      </c>
      <c r="CO944" s="16">
        <f>RecData[[#This Row],[Amb. Humidity]]</f>
        <v>64.900000000000006</v>
      </c>
      <c r="CP944" s="16">
        <f>RecData[[#This Row],[Amb. Temperature]]</f>
        <v>16.2</v>
      </c>
      <c r="CQ944" s="17">
        <f>RecData[[#This Row],[Amb. Rain Gauge]]</f>
        <v>0</v>
      </c>
      <c r="CR944" s="4" t="s">
        <v>1</v>
      </c>
      <c r="CS944" s="4" t="s">
        <v>49</v>
      </c>
      <c r="CT944" s="70">
        <v>1578.7060546875</v>
      </c>
      <c r="CU944" s="70">
        <v>21.000177383422798</v>
      </c>
      <c r="CV944" s="70">
        <v>10.294698715209901</v>
      </c>
      <c r="CW944" s="70">
        <v>15.193971633911101</v>
      </c>
      <c r="CX944" s="4"/>
      <c r="CY944" s="69"/>
      <c r="CZ944" s="2" t="b">
        <f>IF($DP$1="YES",IF(RecData[[#This Row],[Power (kW)]]&gt;=$CR$3, TRUE,FALSE),TRUE)</f>
        <v>1</v>
      </c>
      <c r="DA944" s="16">
        <f>MIN(MOD(180-ABS(ABS($DA$1-RecData[Yaw Angle (°)])-180),360),MOD(180-ABS(ABS($DB$1-RecData[Yaw Angle (°)])-180),360))</f>
        <v>13.470250605735259</v>
      </c>
      <c r="DB944" s="2" t="str">
        <f>IF($DP$2="None","None",IF(RecData[[#This Row],[Relative Wind Direction]]&lt;=45,"DW",IF(RecData[[#This Row],[Relative Wind Direction]]&lt;=135,"CW","UW")))</f>
        <v>DW</v>
      </c>
      <c r="DC944" s="61" t="e">
        <f>IF($CL944-#REF!&gt;1/24,#REF!,IF(SUM($CQ943:$CQ944)&gt;$DS$1,$DS$5,DC945-1))</f>
        <v>#REF!</v>
      </c>
      <c r="DD944" s="61" t="e">
        <f>IF($CL945-$CL944&gt;1/24,#REF!,IF(SUM($CQ943:$CQ944)&gt;$DS$1,$DS$6,DD943-1))</f>
        <v>#REF!</v>
      </c>
      <c r="DE944" s="18" t="b">
        <v>0</v>
      </c>
      <c r="DF944" s="2" t="b">
        <f>IF(OR(RecData[[#This Row],[WSpd_Avg '[m/s']]]-RecData[[#This Row],[Wind Speed min]]&gt;=$DF$3,RecData[[#This Row],[Wind Speed max]]-RecData[[#This Row],[WSpd_Avg '[m/s']]]&gt;=$DF$2),TRUE,FALSE)</f>
        <v>0</v>
      </c>
      <c r="DG944" s="2" t="b">
        <f>RecData[[#This Row],[Temperature '[°C']]]&lt;=-20</f>
        <v>0</v>
      </c>
      <c r="DH944" s="18" t="b">
        <f>NOT(OR(MOD(RecData[[#This Row],[TIMESTAMP]],1)&gt;0.91632,MOD(RecData[[#This Row],[TIMESTAMP]],1)&lt;0.208681))</f>
        <v>0</v>
      </c>
      <c r="DI944" s="18" t="b">
        <f>RecData[[#This Row],[Overall (dBA)]]-RecData[[#This Row],[L90]]&gt;=$DS$4</f>
        <v>0</v>
      </c>
      <c r="DJ944" s="18" t="b">
        <f>RecData[[#This Row],[Overall (dBA)]]&gt;$DS$2</f>
        <v>0</v>
      </c>
      <c r="DK944" s="18" t="b">
        <f>RecData[[#This Row],[Overall (dBA)]]&lt;$DS$3</f>
        <v>0</v>
      </c>
      <c r="DL9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4" s="2">
        <f>IF(AND(RecData[[#This Row],[Turbines ON/OFF]] = "OFF", NOT(OR(RecData[[#This Row],[Junk?]]="YES",RecData[[#This Row],[Gust?]],RecData[[#This Row],[Rain?]:[Min SPL Threshold?]]))),1,0)</f>
        <v>0</v>
      </c>
      <c r="DN944" s="16">
        <f>RecData[[#This Row],[dBA Sum]]</f>
        <v>39.237194513943294</v>
      </c>
      <c r="DO944" s="16">
        <f>RecData[[#This Row],[LAF90.0]]</f>
        <v>38.200000000000003</v>
      </c>
      <c r="DP944" s="55">
        <f>IF(AND(RecData[[#This Row],[Useable TON Data?]],RecData[[#This Row],[Turbines ON/OFF]]="ON"),RecData[[#This Row],[dBA Sum]],"")</f>
        <v>39.237194513943294</v>
      </c>
      <c r="DQ944" s="55" t="str">
        <f>IF(AND(RecData[[#This Row],[Useable Background Data?]],RecData[[#This Row],[Turbines ON/OFF]]="OFF"),RecData[[#This Row],[dBA Sum]],"")</f>
        <v/>
      </c>
      <c r="DR944" s="3">
        <f>IF(OR(RecData[[#This Row],[Useable TON Data?]],RecData[[#This Row],[Useable Background Data?]]),ROUND(RecData[[#This Row],[WSpd_Avg '[m/s']]],0),"")</f>
        <v>1</v>
      </c>
      <c r="DS944" s="85">
        <f>(0.00002)^2*(10^(RecData[[#This Row],[Overall (dBA)]]/10))</f>
        <v>3.3556715254603868E-6</v>
      </c>
    </row>
    <row r="945" spans="1:123" ht="15" x14ac:dyDescent="0.25">
      <c r="A945" s="3" t="s">
        <v>249</v>
      </c>
      <c r="B945" s="12">
        <v>43274.996527777781</v>
      </c>
      <c r="C945" s="3"/>
      <c r="D945" s="3">
        <v>39.6</v>
      </c>
      <c r="E945" s="3"/>
      <c r="F945" s="3"/>
      <c r="G945" s="3"/>
      <c r="H945" s="3"/>
      <c r="I945" s="3"/>
      <c r="J945" s="3"/>
      <c r="K945" s="3">
        <v>38.4</v>
      </c>
      <c r="L945" s="3"/>
      <c r="M945" s="3"/>
      <c r="N945" s="3">
        <v>181</v>
      </c>
      <c r="O945" s="3"/>
      <c r="P945" s="3"/>
      <c r="Q945" s="3">
        <v>0.97</v>
      </c>
      <c r="R945" s="3">
        <v>0.1</v>
      </c>
      <c r="S945" s="3">
        <v>1.7</v>
      </c>
      <c r="T945" s="3">
        <v>16.2</v>
      </c>
      <c r="U945" s="3">
        <v>64.8</v>
      </c>
      <c r="V945" s="3">
        <v>966.2</v>
      </c>
      <c r="W945" s="3">
        <v>0</v>
      </c>
      <c r="X945" s="3">
        <v>46</v>
      </c>
      <c r="Y945" s="3">
        <v>46</v>
      </c>
      <c r="Z945" s="3">
        <v>46.3</v>
      </c>
      <c r="AA945" s="3">
        <v>41.7</v>
      </c>
      <c r="AB945" s="3">
        <v>36.6</v>
      </c>
      <c r="AC945" s="3">
        <v>35.5</v>
      </c>
      <c r="AD945" s="3">
        <v>38.799999999999997</v>
      </c>
      <c r="AE945" s="3">
        <v>40.799999999999997</v>
      </c>
      <c r="AF945" s="3">
        <v>46.1</v>
      </c>
      <c r="AG945" s="3">
        <v>39</v>
      </c>
      <c r="AH945" s="3">
        <v>36.9</v>
      </c>
      <c r="AI945" s="3">
        <v>37.4</v>
      </c>
      <c r="AJ945" s="3">
        <v>36</v>
      </c>
      <c r="AK945" s="3">
        <v>34</v>
      </c>
      <c r="AL945" s="3">
        <v>31.6</v>
      </c>
      <c r="AM945" s="3">
        <v>31.2</v>
      </c>
      <c r="AN945" s="3">
        <v>29.5</v>
      </c>
      <c r="AO945" s="3">
        <v>26.8</v>
      </c>
      <c r="AP945" s="3">
        <v>25.2</v>
      </c>
      <c r="AQ945" s="3">
        <v>24</v>
      </c>
      <c r="AR945" s="3">
        <v>22.6</v>
      </c>
      <c r="AS945" s="3">
        <v>21.3</v>
      </c>
      <c r="AT945" s="3">
        <v>27.3</v>
      </c>
      <c r="AU945" s="3">
        <v>17.5</v>
      </c>
      <c r="AV945" s="3">
        <v>15.1</v>
      </c>
      <c r="AW945" s="3">
        <v>13.6</v>
      </c>
      <c r="AX945" s="3">
        <v>10.7</v>
      </c>
      <c r="AY945" s="3">
        <v>10</v>
      </c>
      <c r="AZ945" s="3">
        <v>0</v>
      </c>
      <c r="BA945" s="3">
        <v>0</v>
      </c>
      <c r="BB945" s="3">
        <v>0</v>
      </c>
      <c r="BC945" s="3">
        <v>39.604820670632861</v>
      </c>
      <c r="BD945" s="3">
        <v>45.995179329367133</v>
      </c>
      <c r="BE945" s="3">
        <v>45.995179329367133</v>
      </c>
      <c r="BF945" s="3">
        <v>45.055179329367135</v>
      </c>
      <c r="BG945" s="3">
        <v>40.781845996033809</v>
      </c>
      <c r="BH945" s="3">
        <v>35.821845996033815</v>
      </c>
      <c r="BI945" s="3">
        <v>35.135179329367148</v>
      </c>
      <c r="BJ945" s="3">
        <v>39.228512662700467</v>
      </c>
      <c r="BK945" s="3">
        <v>41.101845996033802</v>
      </c>
      <c r="BL945" s="3">
        <v>45.975179329367151</v>
      </c>
      <c r="BM945" s="3">
        <v>39.008512662700483</v>
      </c>
      <c r="BN945" s="3">
        <v>37.191845996033805</v>
      </c>
      <c r="BO945" s="3">
        <v>37.058512662700466</v>
      </c>
      <c r="BP945" s="3">
        <v>35.375179329367143</v>
      </c>
      <c r="BQ945" s="3">
        <v>33.7918459960338</v>
      </c>
      <c r="BR945" s="3">
        <v>31.718512662700476</v>
      </c>
      <c r="BS945" s="3">
        <v>31.121845996033798</v>
      </c>
      <c r="BT945" s="3">
        <v>29.618512662700468</v>
      </c>
      <c r="BU945" s="3">
        <v>26.885179329367148</v>
      </c>
      <c r="BV945" s="3">
        <v>25.001845996033808</v>
      </c>
      <c r="BW945" s="3">
        <v>24.335179329367143</v>
      </c>
      <c r="BX945" s="3">
        <v>22.855179329367147</v>
      </c>
      <c r="BY945" s="3">
        <v>21.375179329367143</v>
      </c>
      <c r="BZ945" s="3">
        <v>27.505179329367152</v>
      </c>
      <c r="CA945" s="3">
        <v>17.805179329367135</v>
      </c>
      <c r="CB945" s="3">
        <v>14.841845996033804</v>
      </c>
      <c r="CC945" s="3">
        <v>13.555179329367135</v>
      </c>
      <c r="CD945" s="3">
        <v>9.9618459960338086</v>
      </c>
      <c r="CE945" s="3">
        <v>9.4551793293671409</v>
      </c>
      <c r="CF945" s="3">
        <v>-0.93148733729952937</v>
      </c>
      <c r="CG945" s="3">
        <v>-1.4648206706328608</v>
      </c>
      <c r="CH945" s="3">
        <v>-2.5414873372995288</v>
      </c>
      <c r="CI945" s="13">
        <f>[1]!dbasum(RecData[[#This Row],[20]:[2000]],RecData[[#Headers],[20]:[2000]])</f>
        <v>39.007281022515009</v>
      </c>
      <c r="CJ945" s="14">
        <v>10292</v>
      </c>
      <c r="CK945" s="15" t="s">
        <v>249</v>
      </c>
      <c r="CL945" s="15">
        <f>RecData[[#This Row],[Start Time]]</f>
        <v>43274.996527777781</v>
      </c>
      <c r="CM945" s="16">
        <f>RecData[[#This Row],[Wind Speed avg]]</f>
        <v>0.97</v>
      </c>
      <c r="CN945" s="16">
        <f>RecData[[#This Row],[Wind Dir. avg]]</f>
        <v>181</v>
      </c>
      <c r="CO945" s="16">
        <f>RecData[[#This Row],[Amb. Humidity]]</f>
        <v>64.8</v>
      </c>
      <c r="CP945" s="16">
        <f>RecData[[#This Row],[Amb. Temperature]]</f>
        <v>16.2</v>
      </c>
      <c r="CQ945" s="17">
        <f>RecData[[#This Row],[Amb. Rain Gauge]]</f>
        <v>0</v>
      </c>
      <c r="CR945" s="4" t="s">
        <v>1</v>
      </c>
      <c r="CS945" s="4" t="s">
        <v>49</v>
      </c>
      <c r="CT945" s="70">
        <v>1578.7060546875</v>
      </c>
      <c r="CU945" s="70">
        <v>21.000177383422798</v>
      </c>
      <c r="CV945" s="70">
        <v>10.294698715209901</v>
      </c>
      <c r="CW945" s="70">
        <v>15.193971633911101</v>
      </c>
      <c r="CX945" s="4"/>
      <c r="CY945" s="69"/>
      <c r="CZ945" s="2" t="b">
        <f>IF($DP$1="YES",IF(RecData[[#This Row],[Power (kW)]]&gt;=$CR$3, TRUE,FALSE),TRUE)</f>
        <v>1</v>
      </c>
      <c r="DA945" s="16">
        <f>MIN(MOD(180-ABS(ABS($DA$1-RecData[Yaw Angle (°)])-180),360),MOD(180-ABS(ABS($DB$1-RecData[Yaw Angle (°)])-180),360))</f>
        <v>13.470250605735259</v>
      </c>
      <c r="DB945" s="2" t="str">
        <f>IF($DP$2="None","None",IF(RecData[[#This Row],[Relative Wind Direction]]&lt;=45,"DW",IF(RecData[[#This Row],[Relative Wind Direction]]&lt;=135,"CW","UW")))</f>
        <v>DW</v>
      </c>
      <c r="DC945" s="61" t="e">
        <f>IF($CL945-#REF!&gt;1/24,#REF!,IF(SUM($CQ943:$CQ945)&gt;$DS$1,$DS$5,DC946-1))</f>
        <v>#REF!</v>
      </c>
      <c r="DD945" s="61" t="e">
        <f>IF($CL946-$CL945&gt;1/24,#REF!,IF(SUM($CQ943:$CQ945)&gt;$DS$1,$DS$6,DD944-1))</f>
        <v>#REF!</v>
      </c>
      <c r="DE945" s="18" t="b">
        <v>0</v>
      </c>
      <c r="DF945" s="2" t="b">
        <f>IF(OR(RecData[[#This Row],[WSpd_Avg '[m/s']]]-RecData[[#This Row],[Wind Speed min]]&gt;=$DF$3,RecData[[#This Row],[Wind Speed max]]-RecData[[#This Row],[WSpd_Avg '[m/s']]]&gt;=$DF$2),TRUE,FALSE)</f>
        <v>0</v>
      </c>
      <c r="DG945" s="2" t="b">
        <f>RecData[[#This Row],[Temperature '[°C']]]&lt;=-20</f>
        <v>0</v>
      </c>
      <c r="DH945" s="18" t="b">
        <f>NOT(OR(MOD(RecData[[#This Row],[TIMESTAMP]],1)&gt;0.91632,MOD(RecData[[#This Row],[TIMESTAMP]],1)&lt;0.208681))</f>
        <v>0</v>
      </c>
      <c r="DI945" s="18" t="b">
        <f>RecData[[#This Row],[Overall (dBA)]]-RecData[[#This Row],[L90]]&gt;=$DS$4</f>
        <v>0</v>
      </c>
      <c r="DJ945" s="18" t="b">
        <f>RecData[[#This Row],[Overall (dBA)]]&gt;$DS$2</f>
        <v>0</v>
      </c>
      <c r="DK945" s="18" t="b">
        <f>RecData[[#This Row],[Overall (dBA)]]&lt;$DS$3</f>
        <v>0</v>
      </c>
      <c r="DL9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5" s="2">
        <f>IF(AND(RecData[[#This Row],[Turbines ON/OFF]] = "OFF", NOT(OR(RecData[[#This Row],[Junk?]]="YES",RecData[[#This Row],[Gust?]],RecData[[#This Row],[Rain?]:[Min SPL Threshold?]]))),1,0)</f>
        <v>0</v>
      </c>
      <c r="DN945" s="16">
        <f>RecData[[#This Row],[dBA Sum]]</f>
        <v>39.007281022515009</v>
      </c>
      <c r="DO945" s="16">
        <f>RecData[[#This Row],[LAF90.0]]</f>
        <v>38.4</v>
      </c>
      <c r="DP945" s="55">
        <f>IF(AND(RecData[[#This Row],[Useable TON Data?]],RecData[[#This Row],[Turbines ON/OFF]]="ON"),RecData[[#This Row],[dBA Sum]],"")</f>
        <v>39.007281022515009</v>
      </c>
      <c r="DQ945" s="55" t="str">
        <f>IF(AND(RecData[[#This Row],[Useable Background Data?]],RecData[[#This Row],[Turbines ON/OFF]]="OFF"),RecData[[#This Row],[dBA Sum]],"")</f>
        <v/>
      </c>
      <c r="DR945" s="3">
        <f>IF(OR(RecData[[#This Row],[Useable TON Data?]],RecData[[#This Row],[Useable Background Data?]]),ROUND(RecData[[#This Row],[WSpd_Avg '[m/s']]],0),"")</f>
        <v>1</v>
      </c>
      <c r="DS945" s="85">
        <f>(0.00002)^2*(10^(RecData[[#This Row],[Overall (dBA)]]/10))</f>
        <v>3.1826442270441125E-6</v>
      </c>
    </row>
    <row r="946" spans="1:123" ht="15" x14ac:dyDescent="0.25">
      <c r="A946" s="3" t="s">
        <v>249</v>
      </c>
      <c r="B946" s="12">
        <v>43274.997222222228</v>
      </c>
      <c r="C946" s="3"/>
      <c r="D946" s="3">
        <v>39.799999999999997</v>
      </c>
      <c r="E946" s="3"/>
      <c r="F946" s="3"/>
      <c r="G946" s="3"/>
      <c r="H946" s="3"/>
      <c r="I946" s="3"/>
      <c r="J946" s="3"/>
      <c r="K946" s="3">
        <v>38</v>
      </c>
      <c r="L946" s="3"/>
      <c r="M946" s="3"/>
      <c r="N946" s="3">
        <v>188.3</v>
      </c>
      <c r="O946" s="3"/>
      <c r="P946" s="3"/>
      <c r="Q946" s="3">
        <v>1.18</v>
      </c>
      <c r="R946" s="3">
        <v>0.1</v>
      </c>
      <c r="S946" s="3">
        <v>2.2000000000000002</v>
      </c>
      <c r="T946" s="3">
        <v>16.2</v>
      </c>
      <c r="U946" s="3">
        <v>64.7</v>
      </c>
      <c r="V946" s="3">
        <v>966.2</v>
      </c>
      <c r="W946" s="3">
        <v>0</v>
      </c>
      <c r="X946" s="3">
        <v>47.1</v>
      </c>
      <c r="Y946" s="3">
        <v>46.9</v>
      </c>
      <c r="Z946" s="3">
        <v>46.6</v>
      </c>
      <c r="AA946" s="3">
        <v>42.7</v>
      </c>
      <c r="AB946" s="3">
        <v>38.1</v>
      </c>
      <c r="AC946" s="3">
        <v>36.200000000000003</v>
      </c>
      <c r="AD946" s="3">
        <v>39.200000000000003</v>
      </c>
      <c r="AE946" s="3">
        <v>41.6</v>
      </c>
      <c r="AF946" s="3">
        <v>45.1</v>
      </c>
      <c r="AG946" s="3">
        <v>38.5</v>
      </c>
      <c r="AH946" s="3">
        <v>37.4</v>
      </c>
      <c r="AI946" s="3">
        <v>37.5</v>
      </c>
      <c r="AJ946" s="3">
        <v>36</v>
      </c>
      <c r="AK946" s="3">
        <v>33.9</v>
      </c>
      <c r="AL946" s="3">
        <v>31.7</v>
      </c>
      <c r="AM946" s="3">
        <v>31.2</v>
      </c>
      <c r="AN946" s="3">
        <v>29.7</v>
      </c>
      <c r="AO946" s="3">
        <v>27.3</v>
      </c>
      <c r="AP946" s="3">
        <v>25.9</v>
      </c>
      <c r="AQ946" s="3">
        <v>25.2</v>
      </c>
      <c r="AR946" s="3">
        <v>24.2</v>
      </c>
      <c r="AS946" s="3">
        <v>23.2</v>
      </c>
      <c r="AT946" s="3">
        <v>27.3</v>
      </c>
      <c r="AU946" s="3">
        <v>20.8</v>
      </c>
      <c r="AV946" s="3">
        <v>18.8</v>
      </c>
      <c r="AW946" s="3">
        <v>17.600000000000001</v>
      </c>
      <c r="AX946" s="3">
        <v>13.4</v>
      </c>
      <c r="AY946" s="3">
        <v>11.7</v>
      </c>
      <c r="AZ946" s="3">
        <v>0</v>
      </c>
      <c r="BA946" s="3">
        <v>0</v>
      </c>
      <c r="BB946" s="3">
        <v>0</v>
      </c>
      <c r="BC946" s="3">
        <v>39.836088977215979</v>
      </c>
      <c r="BD946" s="3">
        <v>47.063911022784026</v>
      </c>
      <c r="BE946" s="3">
        <v>46.863911022784009</v>
      </c>
      <c r="BF946" s="3">
        <v>45.323911022784017</v>
      </c>
      <c r="BG946" s="3">
        <v>41.750577689450694</v>
      </c>
      <c r="BH946" s="3">
        <v>37.290577689450686</v>
      </c>
      <c r="BI946" s="3">
        <v>35.803911022784021</v>
      </c>
      <c r="BJ946" s="3">
        <v>39.597244356117358</v>
      </c>
      <c r="BK946" s="3">
        <v>41.870577689450684</v>
      </c>
      <c r="BL946" s="3">
        <v>44.943911022784022</v>
      </c>
      <c r="BM946" s="3">
        <v>38.477244356117353</v>
      </c>
      <c r="BN946" s="3">
        <v>37.66057768945069</v>
      </c>
      <c r="BO946" s="3">
        <v>37.127244356117359</v>
      </c>
      <c r="BP946" s="3">
        <v>35.343911022784027</v>
      </c>
      <c r="BQ946" s="3">
        <v>33.660577689450676</v>
      </c>
      <c r="BR946" s="3">
        <v>31.787244356117355</v>
      </c>
      <c r="BS946" s="3">
        <v>31.090577689450683</v>
      </c>
      <c r="BT946" s="3">
        <v>29.787244356117355</v>
      </c>
      <c r="BU946" s="3">
        <v>27.353911022784018</v>
      </c>
      <c r="BV946" s="3">
        <v>25.670577689450681</v>
      </c>
      <c r="BW946" s="3">
        <v>25.503911022784024</v>
      </c>
      <c r="BX946" s="3">
        <v>24.423911022784026</v>
      </c>
      <c r="BY946" s="3">
        <v>23.243911022784019</v>
      </c>
      <c r="BZ946" s="3">
        <v>27.473911022784023</v>
      </c>
      <c r="CA946" s="3">
        <v>21.07391102278401</v>
      </c>
      <c r="CB946" s="3">
        <v>18.510577689450685</v>
      </c>
      <c r="CC946" s="3">
        <v>17.52391102278402</v>
      </c>
      <c r="CD946" s="3">
        <v>12.630577689450689</v>
      </c>
      <c r="CE946" s="3">
        <v>11.123911022784014</v>
      </c>
      <c r="CF946" s="3">
        <v>-0.96275564388265167</v>
      </c>
      <c r="CG946" s="3">
        <v>-1.4960889772159831</v>
      </c>
      <c r="CH946" s="3">
        <v>-2.5727556438826511</v>
      </c>
      <c r="CI946" s="13">
        <f>[1]!dbasum(RecData[[#This Row],[20]:[2000]],RecData[[#Headers],[20]:[2000]])</f>
        <v>39.111132721893249</v>
      </c>
      <c r="CJ946" s="14">
        <v>10293</v>
      </c>
      <c r="CK946" s="15" t="s">
        <v>249</v>
      </c>
      <c r="CL946" s="15">
        <f>RecData[[#This Row],[Start Time]]</f>
        <v>43274.997222222228</v>
      </c>
      <c r="CM946" s="16">
        <f>RecData[[#This Row],[Wind Speed avg]]</f>
        <v>1.18</v>
      </c>
      <c r="CN946" s="16">
        <f>RecData[[#This Row],[Wind Dir. avg]]</f>
        <v>188.3</v>
      </c>
      <c r="CO946" s="16">
        <f>RecData[[#This Row],[Amb. Humidity]]</f>
        <v>64.7</v>
      </c>
      <c r="CP946" s="16">
        <f>RecData[[#This Row],[Amb. Temperature]]</f>
        <v>16.2</v>
      </c>
      <c r="CQ946" s="17">
        <f>RecData[[#This Row],[Amb. Rain Gauge]]</f>
        <v>0</v>
      </c>
      <c r="CR946" s="4" t="s">
        <v>1</v>
      </c>
      <c r="CS946" s="4" t="s">
        <v>49</v>
      </c>
      <c r="CT946" s="70">
        <v>1578.7060546875</v>
      </c>
      <c r="CU946" s="70">
        <v>21.000177383422798</v>
      </c>
      <c r="CV946" s="70">
        <v>10.294698715209901</v>
      </c>
      <c r="CW946" s="70">
        <v>15.193971633911101</v>
      </c>
      <c r="CX946" s="4"/>
      <c r="CY946" s="69"/>
      <c r="CZ946" s="2" t="b">
        <f>IF($DP$1="YES",IF(RecData[[#This Row],[Power (kW)]]&gt;=$CR$3, TRUE,FALSE),TRUE)</f>
        <v>1</v>
      </c>
      <c r="DA946" s="16">
        <f>MIN(MOD(180-ABS(ABS($DA$1-RecData[Yaw Angle (°)])-180),360),MOD(180-ABS(ABS($DB$1-RecData[Yaw Angle (°)])-180),360))</f>
        <v>13.470250605735259</v>
      </c>
      <c r="DB946" s="2" t="str">
        <f>IF($DP$2="None","None",IF(RecData[[#This Row],[Relative Wind Direction]]&lt;=45,"DW",IF(RecData[[#This Row],[Relative Wind Direction]]&lt;=135,"CW","UW")))</f>
        <v>DW</v>
      </c>
      <c r="DC946" s="61" t="e">
        <f>IF($CL946-#REF!&gt;1/24,#REF!,IF(SUM($CQ943:$CQ946)&gt;$DS$1,$DS$5,DC947-1))</f>
        <v>#REF!</v>
      </c>
      <c r="DD946" s="61" t="e">
        <f>IF($CL947-$CL946&gt;1/24,#REF!,IF(SUM($CQ943:$CQ946)&gt;$DS$1,$DS$6,DD945-1))</f>
        <v>#REF!</v>
      </c>
      <c r="DE946" s="18" t="b">
        <v>0</v>
      </c>
      <c r="DF946" s="2" t="b">
        <f>IF(OR(RecData[[#This Row],[WSpd_Avg '[m/s']]]-RecData[[#This Row],[Wind Speed min]]&gt;=$DF$3,RecData[[#This Row],[Wind Speed max]]-RecData[[#This Row],[WSpd_Avg '[m/s']]]&gt;=$DF$2),TRUE,FALSE)</f>
        <v>0</v>
      </c>
      <c r="DG946" s="2" t="b">
        <f>RecData[[#This Row],[Temperature '[°C']]]&lt;=-20</f>
        <v>0</v>
      </c>
      <c r="DH946" s="18" t="b">
        <f>NOT(OR(MOD(RecData[[#This Row],[TIMESTAMP]],1)&gt;0.91632,MOD(RecData[[#This Row],[TIMESTAMP]],1)&lt;0.208681))</f>
        <v>0</v>
      </c>
      <c r="DI946" s="18" t="b">
        <f>RecData[[#This Row],[Overall (dBA)]]-RecData[[#This Row],[L90]]&gt;=$DS$4</f>
        <v>0</v>
      </c>
      <c r="DJ946" s="18" t="b">
        <f>RecData[[#This Row],[Overall (dBA)]]&gt;$DS$2</f>
        <v>0</v>
      </c>
      <c r="DK946" s="18" t="b">
        <f>RecData[[#This Row],[Overall (dBA)]]&lt;$DS$3</f>
        <v>0</v>
      </c>
      <c r="DL9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6" s="2">
        <f>IF(AND(RecData[[#This Row],[Turbines ON/OFF]] = "OFF", NOT(OR(RecData[[#This Row],[Junk?]]="YES",RecData[[#This Row],[Gust?]],RecData[[#This Row],[Rain?]:[Min SPL Threshold?]]))),1,0)</f>
        <v>0</v>
      </c>
      <c r="DN946" s="16">
        <f>RecData[[#This Row],[dBA Sum]]</f>
        <v>39.111132721893249</v>
      </c>
      <c r="DO946" s="16">
        <f>RecData[[#This Row],[LAF90.0]]</f>
        <v>38</v>
      </c>
      <c r="DP946" s="55">
        <f>IF(AND(RecData[[#This Row],[Useable TON Data?]],RecData[[#This Row],[Turbines ON/OFF]]="ON"),RecData[[#This Row],[dBA Sum]],"")</f>
        <v>39.111132721893249</v>
      </c>
      <c r="DQ946" s="55" t="str">
        <f>IF(AND(RecData[[#This Row],[Useable Background Data?]],RecData[[#This Row],[Turbines ON/OFF]]="OFF"),RecData[[#This Row],[dBA Sum]],"")</f>
        <v/>
      </c>
      <c r="DR946" s="3">
        <f>IF(OR(RecData[[#This Row],[Useable TON Data?]],RecData[[#This Row],[Useable Background Data?]]),ROUND(RecData[[#This Row],[WSpd_Avg '[m/s']]],0),"")</f>
        <v>1</v>
      </c>
      <c r="DS946" s="85">
        <f>(0.00002)^2*(10^(RecData[[#This Row],[Overall (dBA)]]/10))</f>
        <v>3.2596672078886719E-6</v>
      </c>
    </row>
    <row r="947" spans="1:123" ht="15" x14ac:dyDescent="0.25">
      <c r="A947" s="3" t="s">
        <v>249</v>
      </c>
      <c r="B947" s="12">
        <v>43274.997916666667</v>
      </c>
      <c r="C947" s="3"/>
      <c r="D947" s="3">
        <v>40.1</v>
      </c>
      <c r="E947" s="3"/>
      <c r="F947" s="3"/>
      <c r="G947" s="3"/>
      <c r="H947" s="3"/>
      <c r="I947" s="3"/>
      <c r="J947" s="3"/>
      <c r="K947" s="3">
        <v>38.5</v>
      </c>
      <c r="L947" s="3"/>
      <c r="M947" s="3"/>
      <c r="N947" s="3">
        <v>128.80000000000001</v>
      </c>
      <c r="O947" s="3"/>
      <c r="P947" s="3"/>
      <c r="Q947" s="3">
        <v>0.98</v>
      </c>
      <c r="R947" s="3">
        <v>0.2</v>
      </c>
      <c r="S947" s="3">
        <v>1.9</v>
      </c>
      <c r="T947" s="3">
        <v>16.2</v>
      </c>
      <c r="U947" s="3">
        <v>64.900000000000006</v>
      </c>
      <c r="V947" s="3">
        <v>966.2</v>
      </c>
      <c r="W947" s="3">
        <v>0</v>
      </c>
      <c r="X947" s="3">
        <v>47.2</v>
      </c>
      <c r="Y947" s="3">
        <v>46.6</v>
      </c>
      <c r="Z947" s="3">
        <v>46.4</v>
      </c>
      <c r="AA947" s="3">
        <v>42.3</v>
      </c>
      <c r="AB947" s="3">
        <v>37.200000000000003</v>
      </c>
      <c r="AC947" s="3">
        <v>35.9</v>
      </c>
      <c r="AD947" s="3">
        <v>39.4</v>
      </c>
      <c r="AE947" s="3">
        <v>41.9</v>
      </c>
      <c r="AF947" s="3">
        <v>46.7</v>
      </c>
      <c r="AG947" s="3">
        <v>38.700000000000003</v>
      </c>
      <c r="AH947" s="3">
        <v>37.799999999999997</v>
      </c>
      <c r="AI947" s="3">
        <v>38</v>
      </c>
      <c r="AJ947" s="3">
        <v>36.299999999999997</v>
      </c>
      <c r="AK947" s="3">
        <v>34.4</v>
      </c>
      <c r="AL947" s="3">
        <v>31.9</v>
      </c>
      <c r="AM947" s="3">
        <v>31.8</v>
      </c>
      <c r="AN947" s="3">
        <v>30.1</v>
      </c>
      <c r="AO947" s="3">
        <v>27.4</v>
      </c>
      <c r="AP947" s="3">
        <v>26.1</v>
      </c>
      <c r="AQ947" s="3">
        <v>24.6</v>
      </c>
      <c r="AR947" s="3">
        <v>23.6</v>
      </c>
      <c r="AS947" s="3">
        <v>22.7</v>
      </c>
      <c r="AT947" s="3">
        <v>26.6</v>
      </c>
      <c r="AU947" s="3">
        <v>19.100000000000001</v>
      </c>
      <c r="AV947" s="3">
        <v>16.8</v>
      </c>
      <c r="AW947" s="3">
        <v>15.7</v>
      </c>
      <c r="AX947" s="3">
        <v>11.8</v>
      </c>
      <c r="AY947" s="3">
        <v>10.5</v>
      </c>
      <c r="AZ947" s="3">
        <v>0</v>
      </c>
      <c r="BA947" s="3">
        <v>0</v>
      </c>
      <c r="BB947" s="3">
        <v>0</v>
      </c>
      <c r="BC947" s="3">
        <v>40.097549536360447</v>
      </c>
      <c r="BD947" s="3">
        <v>47.202450463639565</v>
      </c>
      <c r="BE947" s="3">
        <v>46.602450463639556</v>
      </c>
      <c r="BF947" s="3">
        <v>45.162450463639544</v>
      </c>
      <c r="BG947" s="3">
        <v>41.389117130306218</v>
      </c>
      <c r="BH947" s="3">
        <v>36.429117130306224</v>
      </c>
      <c r="BI947" s="3">
        <v>35.542450463639554</v>
      </c>
      <c r="BJ947" s="3">
        <v>39.835783796972891</v>
      </c>
      <c r="BK947" s="3">
        <v>42.209117130306225</v>
      </c>
      <c r="BL947" s="3">
        <v>46.58245046363956</v>
      </c>
      <c r="BM947" s="3">
        <v>38.715783796972886</v>
      </c>
      <c r="BN947" s="3">
        <v>38.099117130306212</v>
      </c>
      <c r="BO947" s="3">
        <v>37.665783796972889</v>
      </c>
      <c r="BP947" s="3">
        <v>35.682450463639555</v>
      </c>
      <c r="BQ947" s="3">
        <v>34.199117130306206</v>
      </c>
      <c r="BR947" s="3">
        <v>32.025783796972888</v>
      </c>
      <c r="BS947" s="3">
        <v>31.729117130306221</v>
      </c>
      <c r="BT947" s="3">
        <v>30.225783796972891</v>
      </c>
      <c r="BU947" s="3">
        <v>27.492450463639557</v>
      </c>
      <c r="BV947" s="3">
        <v>25.909117130306228</v>
      </c>
      <c r="BW947" s="3">
        <v>24.94245046363956</v>
      </c>
      <c r="BX947" s="3">
        <v>23.862450463639561</v>
      </c>
      <c r="BY947" s="3">
        <v>22.782450463639549</v>
      </c>
      <c r="BZ947" s="3">
        <v>26.812450463639564</v>
      </c>
      <c r="CA947" s="3">
        <v>19.412450463639544</v>
      </c>
      <c r="CB947" s="3">
        <v>16.549117130306222</v>
      </c>
      <c r="CC947" s="3">
        <v>15.662450463639551</v>
      </c>
      <c r="CD947" s="3">
        <v>11.069117130306225</v>
      </c>
      <c r="CE947" s="3">
        <v>9.9624504636395557</v>
      </c>
      <c r="CF947" s="3">
        <v>-0.9242162030271146</v>
      </c>
      <c r="CG947" s="3">
        <v>-1.457549536360446</v>
      </c>
      <c r="CH947" s="3">
        <v>-2.534216203027114</v>
      </c>
      <c r="CI947" s="13">
        <f>[1]!dbasum(RecData[[#This Row],[20]:[2000]],RecData[[#Headers],[20]:[2000]])</f>
        <v>39.55770867892133</v>
      </c>
      <c r="CJ947" s="14">
        <v>10294</v>
      </c>
      <c r="CK947" s="15" t="s">
        <v>249</v>
      </c>
      <c r="CL947" s="15">
        <f>RecData[[#This Row],[Start Time]]</f>
        <v>43274.997916666667</v>
      </c>
      <c r="CM947" s="16">
        <f>RecData[[#This Row],[Wind Speed avg]]</f>
        <v>0.98</v>
      </c>
      <c r="CN947" s="16">
        <f>RecData[[#This Row],[Wind Dir. avg]]</f>
        <v>128.80000000000001</v>
      </c>
      <c r="CO947" s="16">
        <f>RecData[[#This Row],[Amb. Humidity]]</f>
        <v>64.900000000000006</v>
      </c>
      <c r="CP947" s="16">
        <f>RecData[[#This Row],[Amb. Temperature]]</f>
        <v>16.2</v>
      </c>
      <c r="CQ947" s="17">
        <f>RecData[[#This Row],[Amb. Rain Gauge]]</f>
        <v>0</v>
      </c>
      <c r="CR947" s="4" t="s">
        <v>1</v>
      </c>
      <c r="CS947" s="4" t="s">
        <v>49</v>
      </c>
      <c r="CT947" s="70">
        <v>1578.7060546875</v>
      </c>
      <c r="CU947" s="70">
        <v>21.000177383422798</v>
      </c>
      <c r="CV947" s="70">
        <v>10.294698715209901</v>
      </c>
      <c r="CW947" s="70">
        <v>15.193971633911101</v>
      </c>
      <c r="CX947" s="4"/>
      <c r="CY947" s="69"/>
      <c r="CZ947" s="2" t="b">
        <f>IF($DP$1="YES",IF(RecData[[#This Row],[Power (kW)]]&gt;=$CR$3, TRUE,FALSE),TRUE)</f>
        <v>1</v>
      </c>
      <c r="DA947" s="16">
        <f>MIN(MOD(180-ABS(ABS($DA$1-RecData[Yaw Angle (°)])-180),360),MOD(180-ABS(ABS($DB$1-RecData[Yaw Angle (°)])-180),360))</f>
        <v>13.470250605735259</v>
      </c>
      <c r="DB947" s="2" t="str">
        <f>IF($DP$2="None","None",IF(RecData[[#This Row],[Relative Wind Direction]]&lt;=45,"DW",IF(RecData[[#This Row],[Relative Wind Direction]]&lt;=135,"CW","UW")))</f>
        <v>DW</v>
      </c>
      <c r="DC947" s="61">
        <f>IF($CL947-$CL943&gt;1/24,#REF!,IF(SUM($CQ943:$CQ947)&gt;$DS$1,$DS$5,DC948-1))</f>
        <v>-4</v>
      </c>
      <c r="DD947" s="61" t="e">
        <f>IF($CL948-$CL947&gt;1/24,#REF!,IF(SUM($CQ943:$CQ947)&gt;$DS$1,$DS$6,DD946-1))</f>
        <v>#REF!</v>
      </c>
      <c r="DE947" s="18" t="b">
        <v>0</v>
      </c>
      <c r="DF947" s="2" t="b">
        <f>IF(OR(RecData[[#This Row],[WSpd_Avg '[m/s']]]-RecData[[#This Row],[Wind Speed min]]&gt;=$DF$3,RecData[[#This Row],[Wind Speed max]]-RecData[[#This Row],[WSpd_Avg '[m/s']]]&gt;=$DF$2),TRUE,FALSE)</f>
        <v>0</v>
      </c>
      <c r="DG947" s="2" t="b">
        <f>RecData[[#This Row],[Temperature '[°C']]]&lt;=-20</f>
        <v>0</v>
      </c>
      <c r="DH947" s="18" t="b">
        <f>NOT(OR(MOD(RecData[[#This Row],[TIMESTAMP]],1)&gt;0.91632,MOD(RecData[[#This Row],[TIMESTAMP]],1)&lt;0.208681))</f>
        <v>0</v>
      </c>
      <c r="DI947" s="18" t="b">
        <f>RecData[[#This Row],[Overall (dBA)]]-RecData[[#This Row],[L90]]&gt;=$DS$4</f>
        <v>0</v>
      </c>
      <c r="DJ947" s="18" t="b">
        <f>RecData[[#This Row],[Overall (dBA)]]&gt;$DS$2</f>
        <v>0</v>
      </c>
      <c r="DK947" s="18" t="b">
        <f>RecData[[#This Row],[Overall (dBA)]]&lt;$DS$3</f>
        <v>0</v>
      </c>
      <c r="DL9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7" s="2">
        <f>IF(AND(RecData[[#This Row],[Turbines ON/OFF]] = "OFF", NOT(OR(RecData[[#This Row],[Junk?]]="YES",RecData[[#This Row],[Gust?]],RecData[[#This Row],[Rain?]:[Min SPL Threshold?]]))),1,0)</f>
        <v>0</v>
      </c>
      <c r="DN947" s="16">
        <f>RecData[[#This Row],[dBA Sum]]</f>
        <v>39.55770867892133</v>
      </c>
      <c r="DO947" s="16">
        <f>RecData[[#This Row],[LAF90.0]]</f>
        <v>38.5</v>
      </c>
      <c r="DP947" s="55">
        <f>IF(AND(RecData[[#This Row],[Useable TON Data?]],RecData[[#This Row],[Turbines ON/OFF]]="ON"),RecData[[#This Row],[dBA Sum]],"")</f>
        <v>39.55770867892133</v>
      </c>
      <c r="DQ947" s="55" t="str">
        <f>IF(AND(RecData[[#This Row],[Useable Background Data?]],RecData[[#This Row],[Turbines ON/OFF]]="OFF"),RecData[[#This Row],[dBA Sum]],"")</f>
        <v/>
      </c>
      <c r="DR947" s="3">
        <f>IF(OR(RecData[[#This Row],[Useable TON Data?]],RecData[[#This Row],[Useable Background Data?]]),ROUND(RecData[[#This Row],[WSpd_Avg '[m/s']]],0),"")</f>
        <v>1</v>
      </c>
      <c r="DS947" s="85">
        <f>(0.00002)^2*(10^(RecData[[#This Row],[Overall (dBA)]]/10))</f>
        <v>3.6126913498496096E-6</v>
      </c>
    </row>
    <row r="948" spans="1:123" ht="15" x14ac:dyDescent="0.25">
      <c r="A948" s="3" t="s">
        <v>249</v>
      </c>
      <c r="B948" s="12">
        <v>43274.998611111114</v>
      </c>
      <c r="C948" s="3"/>
      <c r="D948" s="3">
        <v>39.6</v>
      </c>
      <c r="E948" s="3"/>
      <c r="F948" s="3"/>
      <c r="G948" s="3"/>
      <c r="H948" s="3"/>
      <c r="I948" s="3"/>
      <c r="J948" s="3"/>
      <c r="K948" s="3">
        <v>38.200000000000003</v>
      </c>
      <c r="L948" s="3"/>
      <c r="M948" s="3"/>
      <c r="N948" s="3">
        <v>156.30000000000001</v>
      </c>
      <c r="O948" s="3"/>
      <c r="P948" s="3"/>
      <c r="Q948" s="3">
        <v>1.44</v>
      </c>
      <c r="R948" s="3">
        <v>0.3</v>
      </c>
      <c r="S948" s="3">
        <v>2.9</v>
      </c>
      <c r="T948" s="3">
        <v>16.100000000000001</v>
      </c>
      <c r="U948" s="3">
        <v>65</v>
      </c>
      <c r="V948" s="3">
        <v>966.2</v>
      </c>
      <c r="W948" s="3">
        <v>0</v>
      </c>
      <c r="X948" s="3">
        <v>47.1</v>
      </c>
      <c r="Y948" s="3">
        <v>45.8</v>
      </c>
      <c r="Z948" s="3">
        <v>46.2</v>
      </c>
      <c r="AA948" s="3">
        <v>41.8</v>
      </c>
      <c r="AB948" s="3">
        <v>37.1</v>
      </c>
      <c r="AC948" s="3">
        <v>35.799999999999997</v>
      </c>
      <c r="AD948" s="3">
        <v>38.1</v>
      </c>
      <c r="AE948" s="3">
        <v>40.799999999999997</v>
      </c>
      <c r="AF948" s="3">
        <v>44.6</v>
      </c>
      <c r="AG948" s="3">
        <v>39.1</v>
      </c>
      <c r="AH948" s="3">
        <v>37.5</v>
      </c>
      <c r="AI948" s="3">
        <v>38.1</v>
      </c>
      <c r="AJ948" s="3">
        <v>36</v>
      </c>
      <c r="AK948" s="3">
        <v>33.9</v>
      </c>
      <c r="AL948" s="3">
        <v>31.5</v>
      </c>
      <c r="AM948" s="3">
        <v>30.4</v>
      </c>
      <c r="AN948" s="3">
        <v>28.7</v>
      </c>
      <c r="AO948" s="3">
        <v>26.2</v>
      </c>
      <c r="AP948" s="3">
        <v>24.7</v>
      </c>
      <c r="AQ948" s="3">
        <v>24</v>
      </c>
      <c r="AR948" s="3">
        <v>23.3</v>
      </c>
      <c r="AS948" s="3">
        <v>22.7</v>
      </c>
      <c r="AT948" s="3">
        <v>28.5</v>
      </c>
      <c r="AU948" s="3">
        <v>20.6</v>
      </c>
      <c r="AV948" s="3">
        <v>18.7</v>
      </c>
      <c r="AW948" s="3">
        <v>17.2</v>
      </c>
      <c r="AX948" s="3">
        <v>13.3</v>
      </c>
      <c r="AY948" s="3">
        <v>11.8</v>
      </c>
      <c r="AZ948" s="3">
        <v>0</v>
      </c>
      <c r="BA948" s="3">
        <v>0</v>
      </c>
      <c r="BB948" s="3">
        <v>0</v>
      </c>
      <c r="BC948" s="3">
        <v>39.60389614831363</v>
      </c>
      <c r="BD948" s="3">
        <v>47.096103851686372</v>
      </c>
      <c r="BE948" s="3">
        <v>45.796103851686375</v>
      </c>
      <c r="BF948" s="3">
        <v>44.956103851686372</v>
      </c>
      <c r="BG948" s="3">
        <v>40.882770518353034</v>
      </c>
      <c r="BH948" s="3">
        <v>36.322770518353046</v>
      </c>
      <c r="BI948" s="3">
        <v>35.436103851686362</v>
      </c>
      <c r="BJ948" s="3">
        <v>38.529437185019695</v>
      </c>
      <c r="BK948" s="3">
        <v>41.102770518353033</v>
      </c>
      <c r="BL948" s="3">
        <v>44.476103851686382</v>
      </c>
      <c r="BM948" s="3">
        <v>39.109437185019708</v>
      </c>
      <c r="BN948" s="3">
        <v>37.792770518353045</v>
      </c>
      <c r="BO948" s="3">
        <v>37.759437185019713</v>
      </c>
      <c r="BP948" s="3">
        <v>35.376103851686374</v>
      </c>
      <c r="BQ948" s="3">
        <v>33.692770518353022</v>
      </c>
      <c r="BR948" s="3">
        <v>31.619437185019699</v>
      </c>
      <c r="BS948" s="3">
        <v>30.322770518353032</v>
      </c>
      <c r="BT948" s="3">
        <v>28.819437185019702</v>
      </c>
      <c r="BU948" s="3">
        <v>26.28610385168637</v>
      </c>
      <c r="BV948" s="3">
        <v>24.502770518353039</v>
      </c>
      <c r="BW948" s="3">
        <v>24.336103851686374</v>
      </c>
      <c r="BX948" s="3">
        <v>23.55610385168638</v>
      </c>
      <c r="BY948" s="3">
        <v>22.776103851686365</v>
      </c>
      <c r="BZ948" s="3">
        <v>28.706103851686372</v>
      </c>
      <c r="CA948" s="3">
        <v>20.90610385168636</v>
      </c>
      <c r="CB948" s="3">
        <v>18.442770518353036</v>
      </c>
      <c r="CC948" s="3">
        <v>17.156103851686368</v>
      </c>
      <c r="CD948" s="3">
        <v>12.562770518353041</v>
      </c>
      <c r="CE948" s="3">
        <v>11.256103851686369</v>
      </c>
      <c r="CF948" s="3">
        <v>-0.93056281498029847</v>
      </c>
      <c r="CG948" s="3">
        <v>-1.4638961483136299</v>
      </c>
      <c r="CH948" s="3">
        <v>-2.5405628149802979</v>
      </c>
      <c r="CI948" s="13">
        <f>[1]!dbasum(RecData[[#This Row],[20]:[2000]],RecData[[#Headers],[20]:[2000]])</f>
        <v>38.754741425249264</v>
      </c>
      <c r="CJ948" s="14">
        <v>10295</v>
      </c>
      <c r="CK948" s="15" t="s">
        <v>249</v>
      </c>
      <c r="CL948" s="15">
        <f>RecData[[#This Row],[Start Time]]</f>
        <v>43274.998611111114</v>
      </c>
      <c r="CM948" s="16">
        <f>RecData[[#This Row],[Wind Speed avg]]</f>
        <v>1.44</v>
      </c>
      <c r="CN948" s="16">
        <f>RecData[[#This Row],[Wind Dir. avg]]</f>
        <v>156.30000000000001</v>
      </c>
      <c r="CO948" s="16">
        <f>RecData[[#This Row],[Amb. Humidity]]</f>
        <v>65</v>
      </c>
      <c r="CP948" s="16">
        <f>RecData[[#This Row],[Amb. Temperature]]</f>
        <v>16.100000000000001</v>
      </c>
      <c r="CQ948" s="17">
        <f>RecData[[#This Row],[Amb. Rain Gauge]]</f>
        <v>0</v>
      </c>
      <c r="CR948" s="4" t="s">
        <v>1</v>
      </c>
      <c r="CS948" s="4" t="s">
        <v>49</v>
      </c>
      <c r="CT948" s="70">
        <v>1578.7060546875</v>
      </c>
      <c r="CU948" s="70">
        <v>21.000177383422798</v>
      </c>
      <c r="CV948" s="70">
        <v>10.294698715209901</v>
      </c>
      <c r="CW948" s="70">
        <v>15.193971633911101</v>
      </c>
      <c r="CX948" s="4"/>
      <c r="CY948" s="69"/>
      <c r="CZ948" s="2" t="b">
        <f>IF($DP$1="YES",IF(RecData[[#This Row],[Power (kW)]]&gt;=$CR$3, TRUE,FALSE),TRUE)</f>
        <v>1</v>
      </c>
      <c r="DA948" s="16">
        <f>MIN(MOD(180-ABS(ABS($DA$1-RecData[Yaw Angle (°)])-180),360),MOD(180-ABS(ABS($DB$1-RecData[Yaw Angle (°)])-180),360))</f>
        <v>13.470250605735259</v>
      </c>
      <c r="DB948" s="2" t="str">
        <f>IF($DP$2="None","None",IF(RecData[[#This Row],[Relative Wind Direction]]&lt;=45,"DW",IF(RecData[[#This Row],[Relative Wind Direction]]&lt;=135,"CW","UW")))</f>
        <v>DW</v>
      </c>
      <c r="DC948" s="61">
        <f>IF($CL948-$CL944&gt;1/24,#REF!,IF(SUM($CQ944:$CQ948)&gt;$DS$1,$DS$5,DC949-1))</f>
        <v>-3</v>
      </c>
      <c r="DD948" s="61" t="e">
        <f>IF($CL949-$CL948&gt;1/24,#REF!,IF(SUM($CQ944:$CQ948)&gt;$DS$1,$DS$6,DD947-1))</f>
        <v>#REF!</v>
      </c>
      <c r="DE948" s="18" t="b">
        <v>0</v>
      </c>
      <c r="DF948" s="2" t="b">
        <f>IF(OR(RecData[[#This Row],[WSpd_Avg '[m/s']]]-RecData[[#This Row],[Wind Speed min]]&gt;=$DF$3,RecData[[#This Row],[Wind Speed max]]-RecData[[#This Row],[WSpd_Avg '[m/s']]]&gt;=$DF$2),TRUE,FALSE)</f>
        <v>0</v>
      </c>
      <c r="DG948" s="2" t="b">
        <f>RecData[[#This Row],[Temperature '[°C']]]&lt;=-20</f>
        <v>0</v>
      </c>
      <c r="DH948" s="18" t="b">
        <f>NOT(OR(MOD(RecData[[#This Row],[TIMESTAMP]],1)&gt;0.91632,MOD(RecData[[#This Row],[TIMESTAMP]],1)&lt;0.208681))</f>
        <v>0</v>
      </c>
      <c r="DI948" s="18" t="b">
        <f>RecData[[#This Row],[Overall (dBA)]]-RecData[[#This Row],[L90]]&gt;=$DS$4</f>
        <v>0</v>
      </c>
      <c r="DJ948" s="18" t="b">
        <f>RecData[[#This Row],[Overall (dBA)]]&gt;$DS$2</f>
        <v>0</v>
      </c>
      <c r="DK948" s="18" t="b">
        <f>RecData[[#This Row],[Overall (dBA)]]&lt;$DS$3</f>
        <v>0</v>
      </c>
      <c r="DL9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8" s="2">
        <f>IF(AND(RecData[[#This Row],[Turbines ON/OFF]] = "OFF", NOT(OR(RecData[[#This Row],[Junk?]]="YES",RecData[[#This Row],[Gust?]],RecData[[#This Row],[Rain?]:[Min SPL Threshold?]]))),1,0)</f>
        <v>0</v>
      </c>
      <c r="DN948" s="16">
        <f>RecData[[#This Row],[dBA Sum]]</f>
        <v>38.754741425249264</v>
      </c>
      <c r="DO948" s="16">
        <f>RecData[[#This Row],[LAF90.0]]</f>
        <v>38.200000000000003</v>
      </c>
      <c r="DP948" s="55">
        <f>IF(AND(RecData[[#This Row],[Useable TON Data?]],RecData[[#This Row],[Turbines ON/OFF]]="ON"),RecData[[#This Row],[dBA Sum]],"")</f>
        <v>38.754741425249264</v>
      </c>
      <c r="DQ948" s="55" t="str">
        <f>IF(AND(RecData[[#This Row],[Useable Background Data?]],RecData[[#This Row],[Turbines ON/OFF]]="OFF"),RecData[[#This Row],[dBA Sum]],"")</f>
        <v/>
      </c>
      <c r="DR948" s="3">
        <f>IF(OR(RecData[[#This Row],[Useable TON Data?]],RecData[[#This Row],[Useable Background Data?]]),ROUND(RecData[[#This Row],[WSpd_Avg '[m/s']]],0),"")</f>
        <v>1</v>
      </c>
      <c r="DS948" s="85">
        <f>(0.00002)^2*(10^(RecData[[#This Row],[Overall (dBA)]]/10))</f>
        <v>3.0028534241571768E-6</v>
      </c>
    </row>
    <row r="949" spans="1:123" ht="15" x14ac:dyDescent="0.25">
      <c r="A949" s="3" t="s">
        <v>249</v>
      </c>
      <c r="B949" s="12">
        <v>43274.999305555561</v>
      </c>
      <c r="C949" s="3"/>
      <c r="D949" s="3">
        <v>40.9</v>
      </c>
      <c r="E949" s="3"/>
      <c r="F949" s="3"/>
      <c r="G949" s="3"/>
      <c r="H949" s="3"/>
      <c r="I949" s="3"/>
      <c r="J949" s="3"/>
      <c r="K949" s="3">
        <v>39.4</v>
      </c>
      <c r="L949" s="3"/>
      <c r="M949" s="3"/>
      <c r="N949" s="3">
        <v>163.9</v>
      </c>
      <c r="O949" s="3"/>
      <c r="P949" s="3"/>
      <c r="Q949" s="3">
        <v>1.55</v>
      </c>
      <c r="R949" s="3">
        <v>1</v>
      </c>
      <c r="S949" s="3">
        <v>2.2000000000000002</v>
      </c>
      <c r="T949" s="3">
        <v>16.100000000000001</v>
      </c>
      <c r="U949" s="3">
        <v>65.099999999999994</v>
      </c>
      <c r="V949" s="3">
        <v>966.3</v>
      </c>
      <c r="W949" s="3">
        <v>0</v>
      </c>
      <c r="X949" s="3">
        <v>46.6</v>
      </c>
      <c r="Y949" s="3">
        <v>46.1</v>
      </c>
      <c r="Z949" s="3">
        <v>46.3</v>
      </c>
      <c r="AA949" s="3">
        <v>42.5</v>
      </c>
      <c r="AB949" s="3">
        <v>36.6</v>
      </c>
      <c r="AC949" s="3">
        <v>35.799999999999997</v>
      </c>
      <c r="AD949" s="3">
        <v>39.1</v>
      </c>
      <c r="AE949" s="3">
        <v>41.9</v>
      </c>
      <c r="AF949" s="3">
        <v>44.5</v>
      </c>
      <c r="AG949" s="3">
        <v>39.6</v>
      </c>
      <c r="AH949" s="3">
        <v>37.700000000000003</v>
      </c>
      <c r="AI949" s="3">
        <v>37.5</v>
      </c>
      <c r="AJ949" s="3">
        <v>36.4</v>
      </c>
      <c r="AK949" s="3">
        <v>34.4</v>
      </c>
      <c r="AL949" s="3">
        <v>32.6</v>
      </c>
      <c r="AM949" s="3">
        <v>32.1</v>
      </c>
      <c r="AN949" s="3">
        <v>31</v>
      </c>
      <c r="AO949" s="3">
        <v>28.9</v>
      </c>
      <c r="AP949" s="3">
        <v>27.6</v>
      </c>
      <c r="AQ949" s="3">
        <v>27.1</v>
      </c>
      <c r="AR949" s="3">
        <v>26.7</v>
      </c>
      <c r="AS949" s="3">
        <v>26.3</v>
      </c>
      <c r="AT949" s="3">
        <v>28.8</v>
      </c>
      <c r="AU949" s="3">
        <v>23.9</v>
      </c>
      <c r="AV949" s="3">
        <v>22</v>
      </c>
      <c r="AW949" s="3">
        <v>20.399999999999999</v>
      </c>
      <c r="AX949" s="3">
        <v>15.9</v>
      </c>
      <c r="AY949" s="3">
        <v>13.7</v>
      </c>
      <c r="AZ949" s="3">
        <v>0</v>
      </c>
      <c r="BA949" s="3">
        <v>0</v>
      </c>
      <c r="BB949" s="3">
        <v>0</v>
      </c>
      <c r="BC949" s="3">
        <v>40.908847497857735</v>
      </c>
      <c r="BD949" s="3">
        <v>46.591152502142265</v>
      </c>
      <c r="BE949" s="3">
        <v>46.091152502142265</v>
      </c>
      <c r="BF949" s="3">
        <v>45.051152502142259</v>
      </c>
      <c r="BG949" s="3">
        <v>41.577819168808929</v>
      </c>
      <c r="BH949" s="3">
        <v>35.817819168808924</v>
      </c>
      <c r="BI949" s="3">
        <v>35.431152502142268</v>
      </c>
      <c r="BJ949" s="3">
        <v>39.524485835475602</v>
      </c>
      <c r="BK949" s="3">
        <v>42.19781916880892</v>
      </c>
      <c r="BL949" s="3">
        <v>44.371152502142266</v>
      </c>
      <c r="BM949" s="3">
        <v>39.6044858354756</v>
      </c>
      <c r="BN949" s="3">
        <v>37.98781916880894</v>
      </c>
      <c r="BO949" s="3">
        <v>37.154485835475597</v>
      </c>
      <c r="BP949" s="3">
        <v>35.771152502142272</v>
      </c>
      <c r="BQ949" s="3">
        <v>34.187819168808929</v>
      </c>
      <c r="BR949" s="3">
        <v>32.7144858354756</v>
      </c>
      <c r="BS949" s="3">
        <v>32.017819168808941</v>
      </c>
      <c r="BT949" s="3">
        <v>31.114485835475605</v>
      </c>
      <c r="BU949" s="3">
        <v>28.981152502142265</v>
      </c>
      <c r="BV949" s="3">
        <v>27.397819168808937</v>
      </c>
      <c r="BW949" s="3">
        <v>27.431152502142268</v>
      </c>
      <c r="BX949" s="3">
        <v>26.951152502142264</v>
      </c>
      <c r="BY949" s="3">
        <v>26.371152502142266</v>
      </c>
      <c r="BZ949" s="3">
        <v>29.001152502142261</v>
      </c>
      <c r="CA949" s="3">
        <v>24.20115250214225</v>
      </c>
      <c r="CB949" s="3">
        <v>21.737819168808926</v>
      </c>
      <c r="CC949" s="3">
        <v>20.351152502142256</v>
      </c>
      <c r="CD949" s="3">
        <v>15.157819168808935</v>
      </c>
      <c r="CE949" s="3">
        <v>13.15115250214226</v>
      </c>
      <c r="CF949" s="3">
        <v>-0.93551416452440606</v>
      </c>
      <c r="CG949" s="3">
        <v>-1.4688474978577375</v>
      </c>
      <c r="CH949" s="3">
        <v>-2.5455141645244055</v>
      </c>
      <c r="CI949" s="13">
        <f>[1]!dbasum(RecData[[#This Row],[20]:[2000]],RecData[[#Headers],[20]:[2000]])</f>
        <v>40.010443076108508</v>
      </c>
      <c r="CJ949" s="14">
        <v>10296</v>
      </c>
      <c r="CK949" s="15" t="s">
        <v>249</v>
      </c>
      <c r="CL949" s="15">
        <f>RecData[[#This Row],[Start Time]]</f>
        <v>43274.999305555561</v>
      </c>
      <c r="CM949" s="16">
        <f>RecData[[#This Row],[Wind Speed avg]]</f>
        <v>1.55</v>
      </c>
      <c r="CN949" s="16">
        <f>RecData[[#This Row],[Wind Dir. avg]]</f>
        <v>163.9</v>
      </c>
      <c r="CO949" s="16">
        <f>RecData[[#This Row],[Amb. Humidity]]</f>
        <v>65.099999999999994</v>
      </c>
      <c r="CP949" s="16">
        <f>RecData[[#This Row],[Amb. Temperature]]</f>
        <v>16.100000000000001</v>
      </c>
      <c r="CQ949" s="17">
        <f>RecData[[#This Row],[Amb. Rain Gauge]]</f>
        <v>0</v>
      </c>
      <c r="CR949" s="4" t="s">
        <v>1</v>
      </c>
      <c r="CS949" s="4" t="s">
        <v>49</v>
      </c>
      <c r="CT949" s="70">
        <v>1578.7060546875</v>
      </c>
      <c r="CU949" s="70">
        <v>21.000177383422798</v>
      </c>
      <c r="CV949" s="70">
        <v>10.294698715209901</v>
      </c>
      <c r="CW949" s="70">
        <v>15.193971633911101</v>
      </c>
      <c r="CX949" s="4"/>
      <c r="CY949" s="69"/>
      <c r="CZ949" s="2" t="b">
        <f>IF($DP$1="YES",IF(RecData[[#This Row],[Power (kW)]]&gt;=$CR$3, TRUE,FALSE),TRUE)</f>
        <v>1</v>
      </c>
      <c r="DA949" s="16">
        <f>MIN(MOD(180-ABS(ABS($DA$1-RecData[Yaw Angle (°)])-180),360),MOD(180-ABS(ABS($DB$1-RecData[Yaw Angle (°)])-180),360))</f>
        <v>13.470250605735259</v>
      </c>
      <c r="DB949" s="2" t="str">
        <f>IF($DP$2="None","None",IF(RecData[[#This Row],[Relative Wind Direction]]&lt;=45,"DW",IF(RecData[[#This Row],[Relative Wind Direction]]&lt;=135,"CW","UW")))</f>
        <v>DW</v>
      </c>
      <c r="DC949" s="61">
        <f>IF($CL949-$CL945&gt;1/24,#REF!,IF(SUM($CQ945:$CQ949)&gt;$DS$1,$DS$5,DC950-1))</f>
        <v>-2</v>
      </c>
      <c r="DD949" s="61" t="e">
        <f>IF($CL950-$CL949&gt;1/24,#REF!,IF(SUM($CQ945:$CQ949)&gt;$DS$1,$DS$6,DD948-1))</f>
        <v>#REF!</v>
      </c>
      <c r="DE949" s="18" t="b">
        <v>0</v>
      </c>
      <c r="DF949" s="2" t="b">
        <f>IF(OR(RecData[[#This Row],[WSpd_Avg '[m/s']]]-RecData[[#This Row],[Wind Speed min]]&gt;=$DF$3,RecData[[#This Row],[Wind Speed max]]-RecData[[#This Row],[WSpd_Avg '[m/s']]]&gt;=$DF$2),TRUE,FALSE)</f>
        <v>0</v>
      </c>
      <c r="DG949" s="2" t="b">
        <f>RecData[[#This Row],[Temperature '[°C']]]&lt;=-20</f>
        <v>0</v>
      </c>
      <c r="DH949" s="18" t="b">
        <f>NOT(OR(MOD(RecData[[#This Row],[TIMESTAMP]],1)&gt;0.91632,MOD(RecData[[#This Row],[TIMESTAMP]],1)&lt;0.208681))</f>
        <v>0</v>
      </c>
      <c r="DI949" s="18" t="b">
        <f>RecData[[#This Row],[Overall (dBA)]]-RecData[[#This Row],[L90]]&gt;=$DS$4</f>
        <v>0</v>
      </c>
      <c r="DJ949" s="18" t="b">
        <f>RecData[[#This Row],[Overall (dBA)]]&gt;$DS$2</f>
        <v>0</v>
      </c>
      <c r="DK949" s="18" t="b">
        <f>RecData[[#This Row],[Overall (dBA)]]&lt;$DS$3</f>
        <v>0</v>
      </c>
      <c r="DL9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49" s="2">
        <f>IF(AND(RecData[[#This Row],[Turbines ON/OFF]] = "OFF", NOT(OR(RecData[[#This Row],[Junk?]]="YES",RecData[[#This Row],[Gust?]],RecData[[#This Row],[Rain?]:[Min SPL Threshold?]]))),1,0)</f>
        <v>0</v>
      </c>
      <c r="DN949" s="16">
        <f>RecData[[#This Row],[dBA Sum]]</f>
        <v>40.010443076108508</v>
      </c>
      <c r="DO949" s="16">
        <f>RecData[[#This Row],[LAF90.0]]</f>
        <v>39.4</v>
      </c>
      <c r="DP949" s="55">
        <f>IF(AND(RecData[[#This Row],[Useable TON Data?]],RecData[[#This Row],[Turbines ON/OFF]]="ON"),RecData[[#This Row],[dBA Sum]],"")</f>
        <v>40.010443076108508</v>
      </c>
      <c r="DQ949" s="55" t="str">
        <f>IF(AND(RecData[[#This Row],[Useable Background Data?]],RecData[[#This Row],[Turbines ON/OFF]]="OFF"),RecData[[#This Row],[dBA Sum]],"")</f>
        <v/>
      </c>
      <c r="DR949" s="3">
        <f>IF(OR(RecData[[#This Row],[Useable TON Data?]],RecData[[#This Row],[Useable Background Data?]]),ROUND(RecData[[#This Row],[WSpd_Avg '[m/s']]],0),"")</f>
        <v>2</v>
      </c>
      <c r="DS949" s="85">
        <f>(0.00002)^2*(10^(RecData[[#This Row],[Overall (dBA)]]/10))</f>
        <v>4.0096300020947066E-6</v>
      </c>
    </row>
    <row r="950" spans="1:123" ht="15" x14ac:dyDescent="0.25">
      <c r="A950" s="3" t="s">
        <v>249</v>
      </c>
      <c r="B950" s="12">
        <v>43275</v>
      </c>
      <c r="C950" s="3"/>
      <c r="D950" s="3">
        <v>39.6</v>
      </c>
      <c r="E950" s="3"/>
      <c r="F950" s="3"/>
      <c r="G950" s="3"/>
      <c r="H950" s="3"/>
      <c r="I950" s="3"/>
      <c r="J950" s="3"/>
      <c r="K950" s="3">
        <v>38.299999999999997</v>
      </c>
      <c r="L950" s="3"/>
      <c r="M950" s="3"/>
      <c r="N950" s="3">
        <v>155.9</v>
      </c>
      <c r="O950" s="3"/>
      <c r="P950" s="3"/>
      <c r="Q950" s="3">
        <v>1.33</v>
      </c>
      <c r="R950" s="3">
        <v>0.2</v>
      </c>
      <c r="S950" s="3">
        <v>2.8</v>
      </c>
      <c r="T950" s="3">
        <v>16.100000000000001</v>
      </c>
      <c r="U950" s="3">
        <v>64.8</v>
      </c>
      <c r="V950" s="3">
        <v>966.3</v>
      </c>
      <c r="W950" s="3">
        <v>0</v>
      </c>
      <c r="X950" s="3">
        <v>45.4</v>
      </c>
      <c r="Y950" s="3">
        <v>43.8</v>
      </c>
      <c r="Z950" s="3">
        <v>43.9</v>
      </c>
      <c r="AA950" s="3">
        <v>40</v>
      </c>
      <c r="AB950" s="3">
        <v>35.799999999999997</v>
      </c>
      <c r="AC950" s="3">
        <v>35.1</v>
      </c>
      <c r="AD950" s="3">
        <v>37.6</v>
      </c>
      <c r="AE950" s="3">
        <v>40.299999999999997</v>
      </c>
      <c r="AF950" s="3">
        <v>44.8</v>
      </c>
      <c r="AG950" s="3">
        <v>37.6</v>
      </c>
      <c r="AH950" s="3">
        <v>37.4</v>
      </c>
      <c r="AI950" s="3">
        <v>37</v>
      </c>
      <c r="AJ950" s="3">
        <v>35.799999999999997</v>
      </c>
      <c r="AK950" s="3">
        <v>33.1</v>
      </c>
      <c r="AL950" s="3">
        <v>30.6</v>
      </c>
      <c r="AM950" s="3">
        <v>29.6</v>
      </c>
      <c r="AN950" s="3">
        <v>28.1</v>
      </c>
      <c r="AO950" s="3">
        <v>26.1</v>
      </c>
      <c r="AP950" s="3">
        <v>25.2</v>
      </c>
      <c r="AQ950" s="3">
        <v>24.7</v>
      </c>
      <c r="AR950" s="3">
        <v>24.6</v>
      </c>
      <c r="AS950" s="3">
        <v>24.5</v>
      </c>
      <c r="AT950" s="3">
        <v>29.3</v>
      </c>
      <c r="AU950" s="3">
        <v>22.9</v>
      </c>
      <c r="AV950" s="3">
        <v>21.5</v>
      </c>
      <c r="AW950" s="3">
        <v>20.399999999999999</v>
      </c>
      <c r="AX950" s="3">
        <v>17.2</v>
      </c>
      <c r="AY950" s="3">
        <v>15.9</v>
      </c>
      <c r="AZ950" s="3">
        <v>0</v>
      </c>
      <c r="BA950" s="3">
        <v>0</v>
      </c>
      <c r="BB950" s="3">
        <v>0</v>
      </c>
      <c r="BC950" s="3">
        <v>39.584048517695429</v>
      </c>
      <c r="BD950" s="3">
        <v>45.415951482304571</v>
      </c>
      <c r="BE950" s="3">
        <v>43.815951482304577</v>
      </c>
      <c r="BF950" s="3">
        <v>42.675951482304562</v>
      </c>
      <c r="BG950" s="3">
        <v>39.102618148971239</v>
      </c>
      <c r="BH950" s="3">
        <v>35.042618148971236</v>
      </c>
      <c r="BI950" s="3">
        <v>34.755951482304575</v>
      </c>
      <c r="BJ950" s="3">
        <v>38.049284815637897</v>
      </c>
      <c r="BK950" s="3">
        <v>40.622618148971235</v>
      </c>
      <c r="BL950" s="3">
        <v>44.695951482304572</v>
      </c>
      <c r="BM950" s="3">
        <v>37.629284815637909</v>
      </c>
      <c r="BN950" s="3">
        <v>37.712618148971238</v>
      </c>
      <c r="BO950" s="3">
        <v>36.679284815637907</v>
      </c>
      <c r="BP950" s="3">
        <v>35.195951482304572</v>
      </c>
      <c r="BQ950" s="3">
        <v>32.912618148971241</v>
      </c>
      <c r="BR950" s="3">
        <v>30.739284815637909</v>
      </c>
      <c r="BS950" s="3">
        <v>29.542618148971236</v>
      </c>
      <c r="BT950" s="3">
        <v>28.239284815637909</v>
      </c>
      <c r="BU950" s="3">
        <v>26.205951482304577</v>
      </c>
      <c r="BV950" s="3">
        <v>25.02261814897124</v>
      </c>
      <c r="BW950" s="3">
        <v>25.055951482304572</v>
      </c>
      <c r="BX950" s="3">
        <v>24.875951482304579</v>
      </c>
      <c r="BY950" s="3">
        <v>24.595951482304578</v>
      </c>
      <c r="BZ950" s="3">
        <v>29.525951482304585</v>
      </c>
      <c r="CA950" s="3">
        <v>23.225951482304559</v>
      </c>
      <c r="CB950" s="3">
        <v>21.262618148971235</v>
      </c>
      <c r="CC950" s="3">
        <v>20.375951482304565</v>
      </c>
      <c r="CD950" s="3">
        <v>16.482618148971241</v>
      </c>
      <c r="CE950" s="3">
        <v>15.375951482304572</v>
      </c>
      <c r="CF950" s="3">
        <v>-0.91071518436209686</v>
      </c>
      <c r="CG950" s="3">
        <v>-1.4440485176954283</v>
      </c>
      <c r="CH950" s="3">
        <v>-2.5207151843620963</v>
      </c>
      <c r="CI950" s="13">
        <f>[1]!dbasum(RecData[[#This Row],[20]:[2000]],RecData[[#Headers],[20]:[2000]])</f>
        <v>38.413708662831226</v>
      </c>
      <c r="CJ950" s="14">
        <v>10297</v>
      </c>
      <c r="CK950" s="15" t="s">
        <v>249</v>
      </c>
      <c r="CL950" s="15">
        <f>RecData[[#This Row],[Start Time]]</f>
        <v>43275</v>
      </c>
      <c r="CM950" s="16">
        <f>RecData[[#This Row],[Wind Speed avg]]</f>
        <v>1.33</v>
      </c>
      <c r="CN950" s="16">
        <f>RecData[[#This Row],[Wind Dir. avg]]</f>
        <v>155.9</v>
      </c>
      <c r="CO950" s="16">
        <f>RecData[[#This Row],[Amb. Humidity]]</f>
        <v>64.8</v>
      </c>
      <c r="CP950" s="16">
        <f>RecData[[#This Row],[Amb. Temperature]]</f>
        <v>16.100000000000001</v>
      </c>
      <c r="CQ950" s="17">
        <f>RecData[[#This Row],[Amb. Rain Gauge]]</f>
        <v>0</v>
      </c>
      <c r="CR950" s="4" t="s">
        <v>1</v>
      </c>
      <c r="CS950" s="4" t="s">
        <v>49</v>
      </c>
      <c r="CT950" s="70">
        <v>1578.7060546875</v>
      </c>
      <c r="CU950" s="70">
        <v>21.000177383422798</v>
      </c>
      <c r="CV950" s="70">
        <v>10.294698715209901</v>
      </c>
      <c r="CW950" s="70">
        <v>15.193971633911101</v>
      </c>
      <c r="CX950" s="4"/>
      <c r="CY950" s="69"/>
      <c r="CZ950" s="2" t="b">
        <f>IF($DP$1="YES",IF(RecData[[#This Row],[Power (kW)]]&gt;=$CR$3, TRUE,FALSE),TRUE)</f>
        <v>1</v>
      </c>
      <c r="DA950" s="16">
        <f>MIN(MOD(180-ABS(ABS($DA$1-RecData[Yaw Angle (°)])-180),360),MOD(180-ABS(ABS($DB$1-RecData[Yaw Angle (°)])-180),360))</f>
        <v>13.470250605735259</v>
      </c>
      <c r="DB950" s="2" t="str">
        <f>IF($DP$2="None","None",IF(RecData[[#This Row],[Relative Wind Direction]]&lt;=45,"DW",IF(RecData[[#This Row],[Relative Wind Direction]]&lt;=135,"CW","UW")))</f>
        <v>DW</v>
      </c>
      <c r="DC950" s="61">
        <v>-1</v>
      </c>
      <c r="DD950" s="61">
        <v>-1</v>
      </c>
      <c r="DE950" s="18" t="b">
        <v>0</v>
      </c>
      <c r="DF950" s="2" t="b">
        <f>IF(OR(RecData[[#This Row],[WSpd_Avg '[m/s']]]-RecData[[#This Row],[Wind Speed min]]&gt;=$DF$3,RecData[[#This Row],[Wind Speed max]]-RecData[[#This Row],[WSpd_Avg '[m/s']]]&gt;=$DF$2),TRUE,FALSE)</f>
        <v>0</v>
      </c>
      <c r="DG950" s="2" t="b">
        <f>RecData[[#This Row],[Temperature '[°C']]]&lt;=-20</f>
        <v>0</v>
      </c>
      <c r="DH950" s="18" t="b">
        <f>NOT(OR(MOD(RecData[[#This Row],[TIMESTAMP]],1)&gt;0.91632,MOD(RecData[[#This Row],[TIMESTAMP]],1)&lt;0.208681))</f>
        <v>0</v>
      </c>
      <c r="DI950" s="18" t="b">
        <f>RecData[[#This Row],[Overall (dBA)]]-RecData[[#This Row],[L90]]&gt;=$DS$4</f>
        <v>0</v>
      </c>
      <c r="DJ950" s="18" t="b">
        <f>RecData[[#This Row],[Overall (dBA)]]&gt;$DS$2</f>
        <v>0</v>
      </c>
      <c r="DK950" s="18" t="b">
        <f>RecData[[#This Row],[Overall (dBA)]]&lt;$DS$3</f>
        <v>0</v>
      </c>
      <c r="DL9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0" s="2">
        <f>IF(AND(RecData[[#This Row],[Turbines ON/OFF]] = "OFF", NOT(OR(RecData[[#This Row],[Junk?]]="YES",RecData[[#This Row],[Gust?]],RecData[[#This Row],[Rain?]:[Min SPL Threshold?]]))),1,0)</f>
        <v>0</v>
      </c>
      <c r="DN950" s="16">
        <f>RecData[[#This Row],[dBA Sum]]</f>
        <v>38.413708662831226</v>
      </c>
      <c r="DO950" s="16">
        <f>RecData[[#This Row],[LAF90.0]]</f>
        <v>38.299999999999997</v>
      </c>
      <c r="DP950" s="55">
        <f>IF(AND(RecData[[#This Row],[Useable TON Data?]],RecData[[#This Row],[Turbines ON/OFF]]="ON"),RecData[[#This Row],[dBA Sum]],"")</f>
        <v>38.413708662831226</v>
      </c>
      <c r="DQ950" s="55" t="str">
        <f>IF(AND(RecData[[#This Row],[Useable Background Data?]],RecData[[#This Row],[Turbines ON/OFF]]="OFF"),RecData[[#This Row],[dBA Sum]],"")</f>
        <v/>
      </c>
      <c r="DR950" s="3">
        <f>IF(OR(RecData[[#This Row],[Useable TON Data?]],RecData[[#This Row],[Useable Background Data?]]),ROUND(RecData[[#This Row],[WSpd_Avg '[m/s']]],0),"")</f>
        <v>1</v>
      </c>
      <c r="DS950" s="85">
        <f>(0.00002)^2*(10^(RecData[[#This Row],[Overall (dBA)]]/10))</f>
        <v>2.7760728428189652E-6</v>
      </c>
    </row>
    <row r="951" spans="1:123" ht="15" x14ac:dyDescent="0.25">
      <c r="A951" s="3" t="s">
        <v>249</v>
      </c>
      <c r="B951" s="12">
        <v>43275.002083333333</v>
      </c>
      <c r="C951" s="3"/>
      <c r="D951" s="3">
        <v>41.2</v>
      </c>
      <c r="E951" s="3"/>
      <c r="F951" s="3"/>
      <c r="G951" s="3"/>
      <c r="H951" s="3"/>
      <c r="I951" s="3"/>
      <c r="J951" s="3"/>
      <c r="K951" s="3">
        <v>40.200000000000003</v>
      </c>
      <c r="L951" s="3"/>
      <c r="M951" s="3"/>
      <c r="N951" s="3">
        <v>178.4</v>
      </c>
      <c r="O951" s="3"/>
      <c r="P951" s="3"/>
      <c r="Q951" s="3">
        <v>1.72</v>
      </c>
      <c r="R951" s="3">
        <v>0.3</v>
      </c>
      <c r="S951" s="3">
        <v>3.1</v>
      </c>
      <c r="T951" s="3">
        <v>16</v>
      </c>
      <c r="U951" s="3">
        <v>64.5</v>
      </c>
      <c r="V951" s="3">
        <v>966.3</v>
      </c>
      <c r="W951" s="3">
        <v>0</v>
      </c>
      <c r="X951" s="3">
        <v>46.1</v>
      </c>
      <c r="Y951" s="3">
        <v>45.8</v>
      </c>
      <c r="Z951" s="3">
        <v>45.6</v>
      </c>
      <c r="AA951" s="3">
        <v>41.3</v>
      </c>
      <c r="AB951" s="3">
        <v>36.4</v>
      </c>
      <c r="AC951" s="3">
        <v>36.299999999999997</v>
      </c>
      <c r="AD951" s="3">
        <v>38.799999999999997</v>
      </c>
      <c r="AE951" s="3">
        <v>41</v>
      </c>
      <c r="AF951" s="3">
        <v>43.6</v>
      </c>
      <c r="AG951" s="3">
        <v>38.9</v>
      </c>
      <c r="AH951" s="3">
        <v>37.700000000000003</v>
      </c>
      <c r="AI951" s="3">
        <v>37.799999999999997</v>
      </c>
      <c r="AJ951" s="3">
        <v>36.200000000000003</v>
      </c>
      <c r="AK951" s="3">
        <v>34.200000000000003</v>
      </c>
      <c r="AL951" s="3">
        <v>32.200000000000003</v>
      </c>
      <c r="AM951" s="3">
        <v>31.3</v>
      </c>
      <c r="AN951" s="3">
        <v>30</v>
      </c>
      <c r="AO951" s="3">
        <v>28.4</v>
      </c>
      <c r="AP951" s="3">
        <v>27.7</v>
      </c>
      <c r="AQ951" s="3">
        <v>27.7</v>
      </c>
      <c r="AR951" s="3">
        <v>27.9</v>
      </c>
      <c r="AS951" s="3">
        <v>28</v>
      </c>
      <c r="AT951" s="3">
        <v>30</v>
      </c>
      <c r="AU951" s="3">
        <v>26.4</v>
      </c>
      <c r="AV951" s="3">
        <v>24.9</v>
      </c>
      <c r="AW951" s="3">
        <v>23.7</v>
      </c>
      <c r="AX951" s="3">
        <v>19.2</v>
      </c>
      <c r="AY951" s="3">
        <v>17.2</v>
      </c>
      <c r="AZ951" s="3">
        <v>0</v>
      </c>
      <c r="BA951" s="3">
        <v>0</v>
      </c>
      <c r="BB951" s="3">
        <v>0</v>
      </c>
      <c r="BC951" s="3">
        <v>41.138137850093884</v>
      </c>
      <c r="BD951" s="3">
        <v>46.161862149906128</v>
      </c>
      <c r="BE951" s="3">
        <v>45.861862149906116</v>
      </c>
      <c r="BF951" s="3">
        <v>44.421862149906119</v>
      </c>
      <c r="BG951" s="3">
        <v>40.448528816572789</v>
      </c>
      <c r="BH951" s="3">
        <v>35.688528816572784</v>
      </c>
      <c r="BI951" s="3">
        <v>36.001862149906117</v>
      </c>
      <c r="BJ951" s="3">
        <v>39.295195483239453</v>
      </c>
      <c r="BK951" s="3">
        <v>41.368528816572777</v>
      </c>
      <c r="BL951" s="3">
        <v>43.541862149906123</v>
      </c>
      <c r="BM951" s="3">
        <v>38.97519548323946</v>
      </c>
      <c r="BN951" s="3">
        <v>38.058528816572789</v>
      </c>
      <c r="BO951" s="3">
        <v>37.525195483239443</v>
      </c>
      <c r="BP951" s="3">
        <v>35.641862149906117</v>
      </c>
      <c r="BQ951" s="3">
        <v>34.058528816572775</v>
      </c>
      <c r="BR951" s="3">
        <v>32.385195483239457</v>
      </c>
      <c r="BS951" s="3">
        <v>31.288528816572793</v>
      </c>
      <c r="BT951" s="3">
        <v>30.185195483239454</v>
      </c>
      <c r="BU951" s="3">
        <v>28.551862149906114</v>
      </c>
      <c r="BV951" s="3">
        <v>27.568528816572794</v>
      </c>
      <c r="BW951" s="3">
        <v>28.101862149906125</v>
      </c>
      <c r="BX951" s="3">
        <v>28.22186214990613</v>
      </c>
      <c r="BY951" s="3">
        <v>28.141862149906117</v>
      </c>
      <c r="BZ951" s="3">
        <v>30.271862149906127</v>
      </c>
      <c r="CA951" s="3">
        <v>26.771862149906113</v>
      </c>
      <c r="CB951" s="3">
        <v>24.70852881657278</v>
      </c>
      <c r="CC951" s="3">
        <v>23.721862149906116</v>
      </c>
      <c r="CD951" s="3">
        <v>18.528528816572788</v>
      </c>
      <c r="CE951" s="3">
        <v>16.721862149906116</v>
      </c>
      <c r="CF951" s="3">
        <v>-0.86480451676055026</v>
      </c>
      <c r="CG951" s="3">
        <v>-1.3981378500938817</v>
      </c>
      <c r="CH951" s="3">
        <v>-2.4748045167605497</v>
      </c>
      <c r="CI951" s="13">
        <f>[1]!dbasum(RecData[[#This Row],[20]:[2000]],RecData[[#Headers],[20]:[2000]])</f>
        <v>39.864809741113866</v>
      </c>
      <c r="CJ951" s="14">
        <v>10300</v>
      </c>
      <c r="CK951" s="15" t="s">
        <v>249</v>
      </c>
      <c r="CL951" s="15">
        <f>RecData[[#This Row],[Start Time]]</f>
        <v>43275.002083333333</v>
      </c>
      <c r="CM951" s="16">
        <f>RecData[[#This Row],[Wind Speed avg]]</f>
        <v>1.72</v>
      </c>
      <c r="CN951" s="16">
        <f>RecData[[#This Row],[Wind Dir. avg]]</f>
        <v>178.4</v>
      </c>
      <c r="CO951" s="16">
        <f>RecData[[#This Row],[Amb. Humidity]]</f>
        <v>64.5</v>
      </c>
      <c r="CP951" s="16">
        <f>RecData[[#This Row],[Amb. Temperature]]</f>
        <v>16</v>
      </c>
      <c r="CQ951" s="17">
        <f>RecData[[#This Row],[Amb. Rain Gauge]]</f>
        <v>0</v>
      </c>
      <c r="CR951" s="4" t="s">
        <v>1</v>
      </c>
      <c r="CS951" s="4" t="s">
        <v>49</v>
      </c>
      <c r="CT951" s="70">
        <v>1536.91857910156</v>
      </c>
      <c r="CU951" s="70">
        <v>21.000179290771399</v>
      </c>
      <c r="CV951" s="70">
        <v>10.115306854248001</v>
      </c>
      <c r="CW951" s="70">
        <v>15.2805166244506</v>
      </c>
      <c r="CX951" s="4"/>
      <c r="CY951" s="69"/>
      <c r="CZ951" s="2" t="b">
        <f>IF($DP$1="YES",IF(RecData[[#This Row],[Power (kW)]]&gt;=$CR$3, TRUE,FALSE),TRUE)</f>
        <v>1</v>
      </c>
      <c r="DA951" s="16">
        <f>MIN(MOD(180-ABS(ABS($DA$1-RecData[Yaw Angle (°)])-180),360),MOD(180-ABS(ABS($DB$1-RecData[Yaw Angle (°)])-180),360))</f>
        <v>13.470252513083835</v>
      </c>
      <c r="DB951" s="2" t="str">
        <f>IF($DP$2="None","None",IF(RecData[[#This Row],[Relative Wind Direction]]&lt;=45,"DW",IF(RecData[[#This Row],[Relative Wind Direction]]&lt;=135,"CW","UW")))</f>
        <v>DW</v>
      </c>
      <c r="DC951" s="61" t="e">
        <f>IF($CL951-$CL950&gt;1/24,#REF!,IF(SUM($CQ950:$CQ951)&gt;$DS$1,$DS$5,#REF!-1))</f>
        <v>#REF!</v>
      </c>
      <c r="DD951" s="61" t="e">
        <f>IF(#REF!-$CL951&gt;1/24,#REF!,IF(SUM($CQ950:$CQ951)&gt;$DS$1,$DS$6,#REF!-1))</f>
        <v>#REF!</v>
      </c>
      <c r="DE951" s="18" t="b">
        <v>0</v>
      </c>
      <c r="DF951" s="2" t="b">
        <f>IF(OR(RecData[[#This Row],[WSpd_Avg '[m/s']]]-RecData[[#This Row],[Wind Speed min]]&gt;=$DF$3,RecData[[#This Row],[Wind Speed max]]-RecData[[#This Row],[WSpd_Avg '[m/s']]]&gt;=$DF$2),TRUE,FALSE)</f>
        <v>0</v>
      </c>
      <c r="DG951" s="2" t="b">
        <f>RecData[[#This Row],[Temperature '[°C']]]&lt;=-20</f>
        <v>0</v>
      </c>
      <c r="DH951" s="18" t="b">
        <f>NOT(OR(MOD(RecData[[#This Row],[TIMESTAMP]],1)&gt;0.91632,MOD(RecData[[#This Row],[TIMESTAMP]],1)&lt;0.208681))</f>
        <v>0</v>
      </c>
      <c r="DI951" s="18" t="b">
        <f>RecData[[#This Row],[Overall (dBA)]]-RecData[[#This Row],[L90]]&gt;=$DS$4</f>
        <v>0</v>
      </c>
      <c r="DJ951" s="18" t="b">
        <f>RecData[[#This Row],[Overall (dBA)]]&gt;$DS$2</f>
        <v>0</v>
      </c>
      <c r="DK951" s="18" t="b">
        <f>RecData[[#This Row],[Overall (dBA)]]&lt;$DS$3</f>
        <v>0</v>
      </c>
      <c r="DL9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1" s="2">
        <f>IF(AND(RecData[[#This Row],[Turbines ON/OFF]] = "OFF", NOT(OR(RecData[[#This Row],[Junk?]]="YES",RecData[[#This Row],[Gust?]],RecData[[#This Row],[Rain?]:[Min SPL Threshold?]]))),1,0)</f>
        <v>0</v>
      </c>
      <c r="DN951" s="16">
        <f>RecData[[#This Row],[dBA Sum]]</f>
        <v>39.864809741113866</v>
      </c>
      <c r="DO951" s="16">
        <f>RecData[[#This Row],[LAF90.0]]</f>
        <v>40.200000000000003</v>
      </c>
      <c r="DP951" s="55">
        <f>IF(AND(RecData[[#This Row],[Useable TON Data?]],RecData[[#This Row],[Turbines ON/OFF]]="ON"),RecData[[#This Row],[dBA Sum]],"")</f>
        <v>39.864809741113866</v>
      </c>
      <c r="DQ951" s="55" t="str">
        <f>IF(AND(RecData[[#This Row],[Useable Background Data?]],RecData[[#This Row],[Turbines ON/OFF]]="OFF"),RecData[[#This Row],[dBA Sum]],"")</f>
        <v/>
      </c>
      <c r="DR951" s="3">
        <f>IF(OR(RecData[[#This Row],[Useable TON Data?]],RecData[[#This Row],[Useable Background Data?]]),ROUND(RecData[[#This Row],[WSpd_Avg '[m/s']]],0),"")</f>
        <v>2</v>
      </c>
      <c r="DS951" s="85">
        <f>(0.00002)^2*(10^(RecData[[#This Row],[Overall (dBA)]]/10))</f>
        <v>3.8774032093795873E-6</v>
      </c>
    </row>
    <row r="952" spans="1:123" ht="15" x14ac:dyDescent="0.25">
      <c r="A952" s="3" t="s">
        <v>249</v>
      </c>
      <c r="B952" s="12">
        <v>43275.004166666666</v>
      </c>
      <c r="C952" s="3"/>
      <c r="D952" s="3">
        <v>40.799999999999997</v>
      </c>
      <c r="E952" s="3"/>
      <c r="F952" s="3"/>
      <c r="G952" s="3"/>
      <c r="H952" s="3"/>
      <c r="I952" s="3"/>
      <c r="J952" s="3"/>
      <c r="K952" s="3">
        <v>39.4</v>
      </c>
      <c r="L952" s="3"/>
      <c r="M952" s="3"/>
      <c r="N952" s="3">
        <v>143.1</v>
      </c>
      <c r="O952" s="3"/>
      <c r="P952" s="3"/>
      <c r="Q952" s="3">
        <v>1.31</v>
      </c>
      <c r="R952" s="3">
        <v>0.4</v>
      </c>
      <c r="S952" s="3">
        <v>2.7</v>
      </c>
      <c r="T952" s="3">
        <v>16</v>
      </c>
      <c r="U952" s="3">
        <v>64.2</v>
      </c>
      <c r="V952" s="3">
        <v>966.2</v>
      </c>
      <c r="W952" s="3">
        <v>0</v>
      </c>
      <c r="X952" s="3">
        <v>46.2</v>
      </c>
      <c r="Y952" s="3">
        <v>45.6</v>
      </c>
      <c r="Z952" s="3">
        <v>45.2</v>
      </c>
      <c r="AA952" s="3">
        <v>40.799999999999997</v>
      </c>
      <c r="AB952" s="3">
        <v>36</v>
      </c>
      <c r="AC952" s="3">
        <v>36.799999999999997</v>
      </c>
      <c r="AD952" s="3">
        <v>39.700000000000003</v>
      </c>
      <c r="AE952" s="3">
        <v>41.8</v>
      </c>
      <c r="AF952" s="3">
        <v>42.6</v>
      </c>
      <c r="AG952" s="3">
        <v>37.9</v>
      </c>
      <c r="AH952" s="3">
        <v>38.6</v>
      </c>
      <c r="AI952" s="3">
        <v>37.5</v>
      </c>
      <c r="AJ952" s="3">
        <v>36.5</v>
      </c>
      <c r="AK952" s="3">
        <v>34.1</v>
      </c>
      <c r="AL952" s="3">
        <v>31.9</v>
      </c>
      <c r="AM952" s="3">
        <v>30.9</v>
      </c>
      <c r="AN952" s="3">
        <v>29.7</v>
      </c>
      <c r="AO952" s="3">
        <v>28</v>
      </c>
      <c r="AP952" s="3">
        <v>27.5</v>
      </c>
      <c r="AQ952" s="3">
        <v>27.2</v>
      </c>
      <c r="AR952" s="3">
        <v>27.3</v>
      </c>
      <c r="AS952" s="3">
        <v>27.1</v>
      </c>
      <c r="AT952" s="3">
        <v>29.9</v>
      </c>
      <c r="AU952" s="3">
        <v>25.2</v>
      </c>
      <c r="AV952" s="3">
        <v>23.7</v>
      </c>
      <c r="AW952" s="3">
        <v>22.1</v>
      </c>
      <c r="AX952" s="3">
        <v>17.600000000000001</v>
      </c>
      <c r="AY952" s="3">
        <v>15.4</v>
      </c>
      <c r="AZ952" s="3">
        <v>0</v>
      </c>
      <c r="BA952" s="3">
        <v>0</v>
      </c>
      <c r="BB952" s="3">
        <v>0</v>
      </c>
      <c r="BC952" s="3">
        <v>40.786387040460461</v>
      </c>
      <c r="BD952" s="3">
        <v>46.213612959539539</v>
      </c>
      <c r="BE952" s="3">
        <v>45.613612959539545</v>
      </c>
      <c r="BF952" s="3">
        <v>43.97361295953953</v>
      </c>
      <c r="BG952" s="3">
        <v>39.900279626206206</v>
      </c>
      <c r="BH952" s="3">
        <v>35.24027962620621</v>
      </c>
      <c r="BI952" s="3">
        <v>36.453612959539534</v>
      </c>
      <c r="BJ952" s="3">
        <v>40.146946292872876</v>
      </c>
      <c r="BK952" s="3">
        <v>42.120279626206205</v>
      </c>
      <c r="BL952" s="3">
        <v>42.49361295953954</v>
      </c>
      <c r="BM952" s="3">
        <v>37.926946292872877</v>
      </c>
      <c r="BN952" s="3">
        <v>38.910279626206197</v>
      </c>
      <c r="BO952" s="3">
        <v>37.176946292872877</v>
      </c>
      <c r="BP952" s="3">
        <v>35.893612959539546</v>
      </c>
      <c r="BQ952" s="3">
        <v>33.910279626206197</v>
      </c>
      <c r="BR952" s="3">
        <v>32.036946292872862</v>
      </c>
      <c r="BS952" s="3">
        <v>30.840279626206204</v>
      </c>
      <c r="BT952" s="3">
        <v>29.836946292872874</v>
      </c>
      <c r="BU952" s="3">
        <v>28.103612959539539</v>
      </c>
      <c r="BV952" s="3">
        <v>27.320279626206208</v>
      </c>
      <c r="BW952" s="3">
        <v>27.553612959539542</v>
      </c>
      <c r="BX952" s="3">
        <v>27.573612959539538</v>
      </c>
      <c r="BY952" s="3">
        <v>27.193612959539529</v>
      </c>
      <c r="BZ952" s="3">
        <v>30.123612959539535</v>
      </c>
      <c r="CA952" s="3">
        <v>25.523612959539527</v>
      </c>
      <c r="CB952" s="3">
        <v>23.460279626206209</v>
      </c>
      <c r="CC952" s="3">
        <v>22.073612959539538</v>
      </c>
      <c r="CD952" s="3">
        <v>16.88027962620621</v>
      </c>
      <c r="CE952" s="3">
        <v>14.873612959539535</v>
      </c>
      <c r="CF952" s="3">
        <v>-0.91305370712713341</v>
      </c>
      <c r="CG952" s="3">
        <v>-1.4463870404604648</v>
      </c>
      <c r="CH952" s="3">
        <v>-2.5230537071271328</v>
      </c>
      <c r="CI952" s="13">
        <f>[1]!dbasum(RecData[[#This Row],[20]:[2000]],RecData[[#Headers],[20]:[2000]])</f>
        <v>39.577869509436781</v>
      </c>
      <c r="CJ952" s="14">
        <v>10303</v>
      </c>
      <c r="CK952" s="15" t="s">
        <v>249</v>
      </c>
      <c r="CL952" s="15">
        <f>RecData[[#This Row],[Start Time]]</f>
        <v>43275.004166666666</v>
      </c>
      <c r="CM952" s="16">
        <f>RecData[[#This Row],[Wind Speed avg]]</f>
        <v>1.31</v>
      </c>
      <c r="CN952" s="16">
        <f>RecData[[#This Row],[Wind Dir. avg]]</f>
        <v>143.1</v>
      </c>
      <c r="CO952" s="16">
        <f>RecData[[#This Row],[Amb. Humidity]]</f>
        <v>64.2</v>
      </c>
      <c r="CP952" s="16">
        <f>RecData[[#This Row],[Amb. Temperature]]</f>
        <v>16</v>
      </c>
      <c r="CQ952" s="17">
        <f>RecData[[#This Row],[Amb. Rain Gauge]]</f>
        <v>0</v>
      </c>
      <c r="CR952" s="4" t="s">
        <v>1</v>
      </c>
      <c r="CS952" s="4" t="s">
        <v>49</v>
      </c>
      <c r="CT952" s="70">
        <v>1536.91857910156</v>
      </c>
      <c r="CU952" s="70">
        <v>21.000179290771399</v>
      </c>
      <c r="CV952" s="70">
        <v>10.115306854248001</v>
      </c>
      <c r="CW952" s="70">
        <v>15.2805166244506</v>
      </c>
      <c r="CX952" s="4"/>
      <c r="CY952" s="69"/>
      <c r="CZ952" s="2" t="b">
        <f>IF($DP$1="YES",IF(RecData[[#This Row],[Power (kW)]]&gt;=$CR$3, TRUE,FALSE),TRUE)</f>
        <v>1</v>
      </c>
      <c r="DA952" s="16">
        <f>MIN(MOD(180-ABS(ABS($DA$1-RecData[Yaw Angle (°)])-180),360),MOD(180-ABS(ABS($DB$1-RecData[Yaw Angle (°)])-180),360))</f>
        <v>13.470252513083835</v>
      </c>
      <c r="DB952" s="2" t="str">
        <f>IF($DP$2="None","None",IF(RecData[[#This Row],[Relative Wind Direction]]&lt;=45,"DW",IF(RecData[[#This Row],[Relative Wind Direction]]&lt;=135,"CW","UW")))</f>
        <v>DW</v>
      </c>
      <c r="DC952" s="61" t="e">
        <f>IF($CL952-#REF!&gt;1/24,#REF!,IF(SUM($CQ951:$CQ952)&gt;$DS$1,$DS$5,#REF!-1))</f>
        <v>#REF!</v>
      </c>
      <c r="DD952" s="61" t="e">
        <f>IF(#REF!-$CL952&gt;1/24,#REF!,IF(SUM($CQ951:$CQ952)&gt;$DS$1,$DS$6,#REF!-1))</f>
        <v>#REF!</v>
      </c>
      <c r="DE952" s="18" t="b">
        <v>0</v>
      </c>
      <c r="DF952" s="2" t="b">
        <f>IF(OR(RecData[[#This Row],[WSpd_Avg '[m/s']]]-RecData[[#This Row],[Wind Speed min]]&gt;=$DF$3,RecData[[#This Row],[Wind Speed max]]-RecData[[#This Row],[WSpd_Avg '[m/s']]]&gt;=$DF$2),TRUE,FALSE)</f>
        <v>0</v>
      </c>
      <c r="DG952" s="2" t="b">
        <f>RecData[[#This Row],[Temperature '[°C']]]&lt;=-20</f>
        <v>0</v>
      </c>
      <c r="DH952" s="18" t="b">
        <f>NOT(OR(MOD(RecData[[#This Row],[TIMESTAMP]],1)&gt;0.91632,MOD(RecData[[#This Row],[TIMESTAMP]],1)&lt;0.208681))</f>
        <v>0</v>
      </c>
      <c r="DI952" s="18" t="b">
        <f>RecData[[#This Row],[Overall (dBA)]]-RecData[[#This Row],[L90]]&gt;=$DS$4</f>
        <v>0</v>
      </c>
      <c r="DJ952" s="18" t="b">
        <f>RecData[[#This Row],[Overall (dBA)]]&gt;$DS$2</f>
        <v>0</v>
      </c>
      <c r="DK952" s="18" t="b">
        <f>RecData[[#This Row],[Overall (dBA)]]&lt;$DS$3</f>
        <v>0</v>
      </c>
      <c r="DL9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2" s="2">
        <f>IF(AND(RecData[[#This Row],[Turbines ON/OFF]] = "OFF", NOT(OR(RecData[[#This Row],[Junk?]]="YES",RecData[[#This Row],[Gust?]],RecData[[#This Row],[Rain?]:[Min SPL Threshold?]]))),1,0)</f>
        <v>0</v>
      </c>
      <c r="DN952" s="16">
        <f>RecData[[#This Row],[dBA Sum]]</f>
        <v>39.577869509436781</v>
      </c>
      <c r="DO952" s="16">
        <f>RecData[[#This Row],[LAF90.0]]</f>
        <v>39.4</v>
      </c>
      <c r="DP952" s="55">
        <f>IF(AND(RecData[[#This Row],[Useable TON Data?]],RecData[[#This Row],[Turbines ON/OFF]]="ON"),RecData[[#This Row],[dBA Sum]],"")</f>
        <v>39.577869509436781</v>
      </c>
      <c r="DQ952" s="55" t="str">
        <f>IF(AND(RecData[[#This Row],[Useable Background Data?]],RecData[[#This Row],[Turbines ON/OFF]]="OFF"),RecData[[#This Row],[dBA Sum]],"")</f>
        <v/>
      </c>
      <c r="DR952" s="3">
        <f>IF(OR(RecData[[#This Row],[Useable TON Data?]],RecData[[#This Row],[Useable Background Data?]]),ROUND(RecData[[#This Row],[WSpd_Avg '[m/s']]],0),"")</f>
        <v>1</v>
      </c>
      <c r="DS952" s="85">
        <f>(0.00002)^2*(10^(RecData[[#This Row],[Overall (dBA)]]/10))</f>
        <v>3.6295011828187437E-6</v>
      </c>
    </row>
    <row r="953" spans="1:123" ht="15" x14ac:dyDescent="0.25">
      <c r="A953" s="3" t="s">
        <v>249</v>
      </c>
      <c r="B953" s="12">
        <v>43275.006249999999</v>
      </c>
      <c r="C953" s="3"/>
      <c r="D953" s="3">
        <v>40</v>
      </c>
      <c r="E953" s="3"/>
      <c r="F953" s="3"/>
      <c r="G953" s="3"/>
      <c r="H953" s="3"/>
      <c r="I953" s="3"/>
      <c r="J953" s="3"/>
      <c r="K953" s="3">
        <v>38.700000000000003</v>
      </c>
      <c r="L953" s="3"/>
      <c r="M953" s="3"/>
      <c r="N953" s="3">
        <v>157.4</v>
      </c>
      <c r="O953" s="3"/>
      <c r="P953" s="3"/>
      <c r="Q953" s="3">
        <v>0.72</v>
      </c>
      <c r="R953" s="3">
        <v>0.1</v>
      </c>
      <c r="S953" s="3">
        <v>2</v>
      </c>
      <c r="T953" s="3">
        <v>15.9</v>
      </c>
      <c r="U953" s="3">
        <v>64.5</v>
      </c>
      <c r="V953" s="3">
        <v>966.2</v>
      </c>
      <c r="W953" s="3">
        <v>0</v>
      </c>
      <c r="X953" s="3">
        <v>45.6</v>
      </c>
      <c r="Y953" s="3">
        <v>45.1</v>
      </c>
      <c r="Z953" s="3">
        <v>45.1</v>
      </c>
      <c r="AA953" s="3">
        <v>40.9</v>
      </c>
      <c r="AB953" s="3">
        <v>36.4</v>
      </c>
      <c r="AC953" s="3">
        <v>34.9</v>
      </c>
      <c r="AD953" s="3">
        <v>38.1</v>
      </c>
      <c r="AE953" s="3">
        <v>40.4</v>
      </c>
      <c r="AF953" s="3">
        <v>45.4</v>
      </c>
      <c r="AG953" s="3">
        <v>39.4</v>
      </c>
      <c r="AH953" s="3">
        <v>37.1</v>
      </c>
      <c r="AI953" s="3">
        <v>38.200000000000003</v>
      </c>
      <c r="AJ953" s="3">
        <v>36.200000000000003</v>
      </c>
      <c r="AK953" s="3">
        <v>34.4</v>
      </c>
      <c r="AL953" s="3">
        <v>32.1</v>
      </c>
      <c r="AM953" s="3">
        <v>31.4</v>
      </c>
      <c r="AN953" s="3">
        <v>29.8</v>
      </c>
      <c r="AO953" s="3">
        <v>27.2</v>
      </c>
      <c r="AP953" s="3">
        <v>25.7</v>
      </c>
      <c r="AQ953" s="3">
        <v>24.7</v>
      </c>
      <c r="AR953" s="3">
        <v>23.4</v>
      </c>
      <c r="AS953" s="3">
        <v>22.1</v>
      </c>
      <c r="AT953" s="3">
        <v>28.8</v>
      </c>
      <c r="AU953" s="3">
        <v>18.600000000000001</v>
      </c>
      <c r="AV953" s="3">
        <v>15.6</v>
      </c>
      <c r="AW953" s="3">
        <v>14.3</v>
      </c>
      <c r="AX953" s="3">
        <v>11.1</v>
      </c>
      <c r="AY953" s="3">
        <v>10.199999999999999</v>
      </c>
      <c r="AZ953" s="3">
        <v>0</v>
      </c>
      <c r="BA953" s="3">
        <v>0</v>
      </c>
      <c r="BB953" s="3">
        <v>0</v>
      </c>
      <c r="BC953" s="3">
        <v>40.008347437087018</v>
      </c>
      <c r="BD953" s="3">
        <v>45.591652562912977</v>
      </c>
      <c r="BE953" s="3">
        <v>45.091652562912977</v>
      </c>
      <c r="BF953" s="3">
        <v>43.851652562912982</v>
      </c>
      <c r="BG953" s="3">
        <v>39.978319229579647</v>
      </c>
      <c r="BH953" s="3">
        <v>35.618319229579647</v>
      </c>
      <c r="BI953" s="3">
        <v>34.531652562912974</v>
      </c>
      <c r="BJ953" s="3">
        <v>38.524985896246314</v>
      </c>
      <c r="BK953" s="3">
        <v>40.698319229579646</v>
      </c>
      <c r="BL953" s="3">
        <v>45.271652562912983</v>
      </c>
      <c r="BM953" s="3">
        <v>39.404985896246309</v>
      </c>
      <c r="BN953" s="3">
        <v>37.388319229579658</v>
      </c>
      <c r="BO953" s="3">
        <v>37.854985896246326</v>
      </c>
      <c r="BP953" s="3">
        <v>35.571652562912995</v>
      </c>
      <c r="BQ953" s="3">
        <v>34.188319229579641</v>
      </c>
      <c r="BR953" s="3">
        <v>32.214985896246311</v>
      </c>
      <c r="BS953" s="3">
        <v>31.31831922957965</v>
      </c>
      <c r="BT953" s="3">
        <v>29.914985896246314</v>
      </c>
      <c r="BU953" s="3">
        <v>27.281652562912988</v>
      </c>
      <c r="BV953" s="3">
        <v>25.498319229579643</v>
      </c>
      <c r="BW953" s="3">
        <v>25.031652562912988</v>
      </c>
      <c r="BX953" s="3">
        <v>23.651652562912986</v>
      </c>
      <c r="BY953" s="3">
        <v>22.171652562912982</v>
      </c>
      <c r="BZ953" s="3">
        <v>29.001652562912987</v>
      </c>
      <c r="CA953" s="3">
        <v>18.901652562912979</v>
      </c>
      <c r="CB953" s="3">
        <v>15.338319229579646</v>
      </c>
      <c r="CC953" s="3">
        <v>14.25165256291298</v>
      </c>
      <c r="CD953" s="3">
        <v>10.358319229579656</v>
      </c>
      <c r="CE953" s="3">
        <v>9.6516525629129788</v>
      </c>
      <c r="CF953" s="3">
        <v>-0.93501410375368721</v>
      </c>
      <c r="CG953" s="3">
        <v>-1.4683474370870186</v>
      </c>
      <c r="CH953" s="3">
        <v>-2.5450141037536866</v>
      </c>
      <c r="CI953" s="13">
        <f>[1]!dbasum(RecData[[#This Row],[20]:[2000]],RecData[[#Headers],[20]:[2000]])</f>
        <v>39.280749136431218</v>
      </c>
      <c r="CJ953" s="14">
        <v>10306</v>
      </c>
      <c r="CK953" s="15" t="s">
        <v>249</v>
      </c>
      <c r="CL953" s="15">
        <f>RecData[[#This Row],[Start Time]]</f>
        <v>43275.006249999999</v>
      </c>
      <c r="CM953" s="16">
        <f>RecData[[#This Row],[Wind Speed avg]]</f>
        <v>0.72</v>
      </c>
      <c r="CN953" s="16">
        <f>RecData[[#This Row],[Wind Dir. avg]]</f>
        <v>157.4</v>
      </c>
      <c r="CO953" s="16">
        <f>RecData[[#This Row],[Amb. Humidity]]</f>
        <v>64.5</v>
      </c>
      <c r="CP953" s="16">
        <f>RecData[[#This Row],[Amb. Temperature]]</f>
        <v>15.9</v>
      </c>
      <c r="CQ953" s="17">
        <f>RecData[[#This Row],[Amb. Rain Gauge]]</f>
        <v>0</v>
      </c>
      <c r="CR953" s="4" t="s">
        <v>1</v>
      </c>
      <c r="CS953" s="4" t="s">
        <v>49</v>
      </c>
      <c r="CT953" s="70">
        <v>1536.91857910156</v>
      </c>
      <c r="CU953" s="70">
        <v>21.000179290771399</v>
      </c>
      <c r="CV953" s="70">
        <v>10.115306854248001</v>
      </c>
      <c r="CW953" s="70">
        <v>15.2805166244506</v>
      </c>
      <c r="CX953" s="4"/>
      <c r="CY953" s="69"/>
      <c r="CZ953" s="2" t="b">
        <f>IF($DP$1="YES",IF(RecData[[#This Row],[Power (kW)]]&gt;=$CR$3, TRUE,FALSE),TRUE)</f>
        <v>1</v>
      </c>
      <c r="DA953" s="16">
        <f>MIN(MOD(180-ABS(ABS($DA$1-RecData[Yaw Angle (°)])-180),360),MOD(180-ABS(ABS($DB$1-RecData[Yaw Angle (°)])-180),360))</f>
        <v>13.470252513083835</v>
      </c>
      <c r="DB953" s="2" t="str">
        <f>IF($DP$2="None","None",IF(RecData[[#This Row],[Relative Wind Direction]]&lt;=45,"DW",IF(RecData[[#This Row],[Relative Wind Direction]]&lt;=135,"CW","UW")))</f>
        <v>DW</v>
      </c>
      <c r="DC953" s="61">
        <v>-1</v>
      </c>
      <c r="DD953" s="61">
        <v>-1</v>
      </c>
      <c r="DE953" s="18" t="b">
        <v>0</v>
      </c>
      <c r="DF953" s="2" t="b">
        <f>IF(OR(RecData[[#This Row],[WSpd_Avg '[m/s']]]-RecData[[#This Row],[Wind Speed min]]&gt;=$DF$3,RecData[[#This Row],[Wind Speed max]]-RecData[[#This Row],[WSpd_Avg '[m/s']]]&gt;=$DF$2),TRUE,FALSE)</f>
        <v>0</v>
      </c>
      <c r="DG953" s="2" t="b">
        <f>RecData[[#This Row],[Temperature '[°C']]]&lt;=-20</f>
        <v>0</v>
      </c>
      <c r="DH953" s="18" t="b">
        <f>NOT(OR(MOD(RecData[[#This Row],[TIMESTAMP]],1)&gt;0.91632,MOD(RecData[[#This Row],[TIMESTAMP]],1)&lt;0.208681))</f>
        <v>0</v>
      </c>
      <c r="DI953" s="18" t="b">
        <f>RecData[[#This Row],[Overall (dBA)]]-RecData[[#This Row],[L90]]&gt;=$DS$4</f>
        <v>0</v>
      </c>
      <c r="DJ953" s="18" t="b">
        <f>RecData[[#This Row],[Overall (dBA)]]&gt;$DS$2</f>
        <v>0</v>
      </c>
      <c r="DK953" s="18" t="b">
        <f>RecData[[#This Row],[Overall (dBA)]]&lt;$DS$3</f>
        <v>0</v>
      </c>
      <c r="DL9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3" s="2">
        <f>IF(AND(RecData[[#This Row],[Turbines ON/OFF]] = "OFF", NOT(OR(RecData[[#This Row],[Junk?]]="YES",RecData[[#This Row],[Gust?]],RecData[[#This Row],[Rain?]:[Min SPL Threshold?]]))),1,0)</f>
        <v>0</v>
      </c>
      <c r="DN953" s="16">
        <f>RecData[[#This Row],[dBA Sum]]</f>
        <v>39.280749136431218</v>
      </c>
      <c r="DO953" s="16">
        <f>RecData[[#This Row],[LAF90.0]]</f>
        <v>38.700000000000003</v>
      </c>
      <c r="DP953" s="55">
        <f>IF(AND(RecData[[#This Row],[Useable TON Data?]],RecData[[#This Row],[Turbines ON/OFF]]="ON"),RecData[[#This Row],[dBA Sum]],"")</f>
        <v>39.280749136431218</v>
      </c>
      <c r="DQ953" s="55" t="str">
        <f>IF(AND(RecData[[#This Row],[Useable Background Data?]],RecData[[#This Row],[Turbines ON/OFF]]="OFF"),RecData[[#This Row],[dBA Sum]],"")</f>
        <v/>
      </c>
      <c r="DR953" s="3">
        <f>IF(OR(RecData[[#This Row],[Useable TON Data?]],RecData[[#This Row],[Useable Background Data?]]),ROUND(RecData[[#This Row],[WSpd_Avg '[m/s']]],0),"")</f>
        <v>1</v>
      </c>
      <c r="DS953" s="85">
        <f>(0.00002)^2*(10^(RecData[[#This Row],[Overall (dBA)]]/10))</f>
        <v>3.389494277082702E-6</v>
      </c>
    </row>
    <row r="954" spans="1:123" ht="15" x14ac:dyDescent="0.25">
      <c r="A954" s="3" t="s">
        <v>249</v>
      </c>
      <c r="B954" s="12">
        <v>43275.006944444445</v>
      </c>
      <c r="C954" s="3"/>
      <c r="D954" s="3">
        <v>40.1</v>
      </c>
      <c r="E954" s="3"/>
      <c r="F954" s="3"/>
      <c r="G954" s="3"/>
      <c r="H954" s="3"/>
      <c r="I954" s="3"/>
      <c r="J954" s="3"/>
      <c r="K954" s="3">
        <v>37.5</v>
      </c>
      <c r="L954" s="3"/>
      <c r="M954" s="3"/>
      <c r="N954" s="3">
        <v>165.5</v>
      </c>
      <c r="O954" s="3"/>
      <c r="P954" s="3"/>
      <c r="Q954" s="3">
        <v>0.62</v>
      </c>
      <c r="R954" s="3">
        <v>0.1</v>
      </c>
      <c r="S954" s="3">
        <v>1.5</v>
      </c>
      <c r="T954" s="3">
        <v>15.9</v>
      </c>
      <c r="U954" s="3">
        <v>64.5</v>
      </c>
      <c r="V954" s="3">
        <v>966.3</v>
      </c>
      <c r="W954" s="3">
        <v>0</v>
      </c>
      <c r="X954" s="3">
        <v>45.8</v>
      </c>
      <c r="Y954" s="3">
        <v>45</v>
      </c>
      <c r="Z954" s="3">
        <v>44.8</v>
      </c>
      <c r="AA954" s="3">
        <v>40.5</v>
      </c>
      <c r="AB954" s="3">
        <v>35.799999999999997</v>
      </c>
      <c r="AC954" s="3">
        <v>35.299999999999997</v>
      </c>
      <c r="AD954" s="3">
        <v>38</v>
      </c>
      <c r="AE954" s="3">
        <v>39.9</v>
      </c>
      <c r="AF954" s="3">
        <v>44.3</v>
      </c>
      <c r="AG954" s="3">
        <v>38.6</v>
      </c>
      <c r="AH954" s="3">
        <v>37</v>
      </c>
      <c r="AI954" s="3">
        <v>38.1</v>
      </c>
      <c r="AJ954" s="3">
        <v>35.799999999999997</v>
      </c>
      <c r="AK954" s="3">
        <v>34</v>
      </c>
      <c r="AL954" s="3">
        <v>31.7</v>
      </c>
      <c r="AM954" s="3">
        <v>30.9</v>
      </c>
      <c r="AN954" s="3">
        <v>29.5</v>
      </c>
      <c r="AO954" s="3">
        <v>27.6</v>
      </c>
      <c r="AP954" s="3">
        <v>26.7</v>
      </c>
      <c r="AQ954" s="3">
        <v>26</v>
      </c>
      <c r="AR954" s="3">
        <v>25.2</v>
      </c>
      <c r="AS954" s="3">
        <v>24</v>
      </c>
      <c r="AT954" s="3">
        <v>29.6</v>
      </c>
      <c r="AU954" s="3">
        <v>20.7</v>
      </c>
      <c r="AV954" s="3">
        <v>17.899999999999999</v>
      </c>
      <c r="AW954" s="3">
        <v>16.600000000000001</v>
      </c>
      <c r="AX954" s="3">
        <v>12.4</v>
      </c>
      <c r="AY954" s="3">
        <v>10.9</v>
      </c>
      <c r="AZ954" s="3">
        <v>0</v>
      </c>
      <c r="BA954" s="3">
        <v>0</v>
      </c>
      <c r="BB954" s="3">
        <v>0</v>
      </c>
      <c r="BC954" s="3">
        <v>40.089113091163043</v>
      </c>
      <c r="BD954" s="3">
        <v>45.810886908836963</v>
      </c>
      <c r="BE954" s="3">
        <v>45.010886908836952</v>
      </c>
      <c r="BF954" s="3">
        <v>43.570886908836954</v>
      </c>
      <c r="BG954" s="3">
        <v>39.597553575503625</v>
      </c>
      <c r="BH954" s="3">
        <v>35.037553575503622</v>
      </c>
      <c r="BI954" s="3">
        <v>34.950886908836949</v>
      </c>
      <c r="BJ954" s="3">
        <v>38.444220242170289</v>
      </c>
      <c r="BK954" s="3">
        <v>40.217553575503629</v>
      </c>
      <c r="BL954" s="3">
        <v>44.190886908836958</v>
      </c>
      <c r="BM954" s="3">
        <v>38.624220242170296</v>
      </c>
      <c r="BN954" s="3">
        <v>37.307553575503633</v>
      </c>
      <c r="BO954" s="3">
        <v>37.774220242170301</v>
      </c>
      <c r="BP954" s="3">
        <v>35.190886908836958</v>
      </c>
      <c r="BQ954" s="3">
        <v>33.807553575503619</v>
      </c>
      <c r="BR954" s="3">
        <v>31.834220242170289</v>
      </c>
      <c r="BS954" s="3">
        <v>30.83755357550362</v>
      </c>
      <c r="BT954" s="3">
        <v>29.634220242170286</v>
      </c>
      <c r="BU954" s="3">
        <v>27.700886908836964</v>
      </c>
      <c r="BV954" s="3">
        <v>26.517553575503626</v>
      </c>
      <c r="BW954" s="3">
        <v>26.350886908836955</v>
      </c>
      <c r="BX954" s="3">
        <v>25.47088690883696</v>
      </c>
      <c r="BY954" s="3">
        <v>24.090886908836964</v>
      </c>
      <c r="BZ954" s="3">
        <v>29.820886908836968</v>
      </c>
      <c r="CA954" s="3">
        <v>21.02088690883695</v>
      </c>
      <c r="CB954" s="3">
        <v>17.657553575503627</v>
      </c>
      <c r="CC954" s="3">
        <v>16.570886908836954</v>
      </c>
      <c r="CD954" s="3">
        <v>11.67755357550363</v>
      </c>
      <c r="CE954" s="3">
        <v>10.370886908836958</v>
      </c>
      <c r="CF954" s="3">
        <v>-0.91577975782971066</v>
      </c>
      <c r="CG954" s="3">
        <v>-1.4491130911630421</v>
      </c>
      <c r="CH954" s="3">
        <v>-2.5257797578297101</v>
      </c>
      <c r="CI954" s="13">
        <f>[1]!dbasum(RecData[[#This Row],[20]:[2000]],RecData[[#Headers],[20]:[2000]])</f>
        <v>39.192298909312392</v>
      </c>
      <c r="CJ954" s="14">
        <v>10307</v>
      </c>
      <c r="CK954" s="15" t="s">
        <v>249</v>
      </c>
      <c r="CL954" s="15">
        <f>RecData[[#This Row],[Start Time]]</f>
        <v>43275.006944444445</v>
      </c>
      <c r="CM954" s="16">
        <f>RecData[[#This Row],[Wind Speed avg]]</f>
        <v>0.62</v>
      </c>
      <c r="CN954" s="16">
        <f>RecData[[#This Row],[Wind Dir. avg]]</f>
        <v>165.5</v>
      </c>
      <c r="CO954" s="16">
        <f>RecData[[#This Row],[Amb. Humidity]]</f>
        <v>64.5</v>
      </c>
      <c r="CP954" s="16">
        <f>RecData[[#This Row],[Amb. Temperature]]</f>
        <v>15.9</v>
      </c>
      <c r="CQ954" s="17">
        <f>RecData[[#This Row],[Amb. Rain Gauge]]</f>
        <v>0</v>
      </c>
      <c r="CR954" s="4" t="s">
        <v>1</v>
      </c>
      <c r="CS954" s="4" t="s">
        <v>49</v>
      </c>
      <c r="CT954" s="70">
        <v>1536.91857910156</v>
      </c>
      <c r="CU954" s="70">
        <v>21.000179290771399</v>
      </c>
      <c r="CV954" s="70">
        <v>10.115306854248001</v>
      </c>
      <c r="CW954" s="70">
        <v>15.2805166244506</v>
      </c>
      <c r="CX954" s="4"/>
      <c r="CY954" s="69"/>
      <c r="CZ954" s="2" t="b">
        <f>IF($DP$1="YES",IF(RecData[[#This Row],[Power (kW)]]&gt;=$CR$3, TRUE,FALSE),TRUE)</f>
        <v>1</v>
      </c>
      <c r="DA954" s="16">
        <f>MIN(MOD(180-ABS(ABS($DA$1-RecData[Yaw Angle (°)])-180),360),MOD(180-ABS(ABS($DB$1-RecData[Yaw Angle (°)])-180),360))</f>
        <v>13.470252513083835</v>
      </c>
      <c r="DB954" s="2" t="str">
        <f>IF($DP$2="None","None",IF(RecData[[#This Row],[Relative Wind Direction]]&lt;=45,"DW",IF(RecData[[#This Row],[Relative Wind Direction]]&lt;=135,"CW","UW")))</f>
        <v>DW</v>
      </c>
      <c r="DC954" s="61" t="e">
        <f>IF($CL954-$CL953&gt;1/24,#REF!,IF(SUM($CQ953:$CQ954)&gt;$DS$1,$DS$5,#REF!-1))</f>
        <v>#REF!</v>
      </c>
      <c r="DD954" s="61" t="e">
        <f>IF(#REF!-$CL954&gt;1/24,#REF!,IF(SUM($CQ953:$CQ954)&gt;$DS$1,$DS$6,DD953-1))</f>
        <v>#REF!</v>
      </c>
      <c r="DE954" s="18" t="b">
        <v>0</v>
      </c>
      <c r="DF954" s="2" t="b">
        <f>IF(OR(RecData[[#This Row],[WSpd_Avg '[m/s']]]-RecData[[#This Row],[Wind Speed min]]&gt;=$DF$3,RecData[[#This Row],[Wind Speed max]]-RecData[[#This Row],[WSpd_Avg '[m/s']]]&gt;=$DF$2),TRUE,FALSE)</f>
        <v>0</v>
      </c>
      <c r="DG954" s="2" t="b">
        <f>RecData[[#This Row],[Temperature '[°C']]]&lt;=-20</f>
        <v>0</v>
      </c>
      <c r="DH954" s="18" t="b">
        <f>NOT(OR(MOD(RecData[[#This Row],[TIMESTAMP]],1)&gt;0.91632,MOD(RecData[[#This Row],[TIMESTAMP]],1)&lt;0.208681))</f>
        <v>0</v>
      </c>
      <c r="DI954" s="18" t="b">
        <f>RecData[[#This Row],[Overall (dBA)]]-RecData[[#This Row],[L90]]&gt;=$DS$4</f>
        <v>0</v>
      </c>
      <c r="DJ954" s="18" t="b">
        <f>RecData[[#This Row],[Overall (dBA)]]&gt;$DS$2</f>
        <v>0</v>
      </c>
      <c r="DK954" s="18" t="b">
        <f>RecData[[#This Row],[Overall (dBA)]]&lt;$DS$3</f>
        <v>0</v>
      </c>
      <c r="DL9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4" s="2">
        <f>IF(AND(RecData[[#This Row],[Turbines ON/OFF]] = "OFF", NOT(OR(RecData[[#This Row],[Junk?]]="YES",RecData[[#This Row],[Gust?]],RecData[[#This Row],[Rain?]:[Min SPL Threshold?]]))),1,0)</f>
        <v>0</v>
      </c>
      <c r="DN954" s="16">
        <f>RecData[[#This Row],[dBA Sum]]</f>
        <v>39.192298909312392</v>
      </c>
      <c r="DO954" s="16">
        <f>RecData[[#This Row],[LAF90.0]]</f>
        <v>37.5</v>
      </c>
      <c r="DP954" s="55">
        <f>IF(AND(RecData[[#This Row],[Useable TON Data?]],RecData[[#This Row],[Turbines ON/OFF]]="ON"),RecData[[#This Row],[dBA Sum]],"")</f>
        <v>39.192298909312392</v>
      </c>
      <c r="DQ954" s="55" t="str">
        <f>IF(AND(RecData[[#This Row],[Useable Background Data?]],RecData[[#This Row],[Turbines ON/OFF]]="OFF"),RecData[[#This Row],[dBA Sum]],"")</f>
        <v/>
      </c>
      <c r="DR954" s="3">
        <f>IF(OR(RecData[[#This Row],[Useable TON Data?]],RecData[[#This Row],[Useable Background Data?]]),ROUND(RecData[[#This Row],[WSpd_Avg '[m/s']]],0),"")</f>
        <v>1</v>
      </c>
      <c r="DS954" s="85">
        <f>(0.00002)^2*(10^(RecData[[#This Row],[Overall (dBA)]]/10))</f>
        <v>3.3211606394064722E-6</v>
      </c>
    </row>
    <row r="955" spans="1:123" ht="15" x14ac:dyDescent="0.25">
      <c r="A955" s="3" t="s">
        <v>249</v>
      </c>
      <c r="B955" s="12">
        <v>43275.008333333331</v>
      </c>
      <c r="C955" s="3"/>
      <c r="D955" s="3">
        <v>41</v>
      </c>
      <c r="E955" s="3"/>
      <c r="F955" s="3"/>
      <c r="G955" s="3"/>
      <c r="H955" s="3"/>
      <c r="I955" s="3"/>
      <c r="J955" s="3"/>
      <c r="K955" s="3">
        <v>39.299999999999997</v>
      </c>
      <c r="L955" s="3"/>
      <c r="M955" s="3"/>
      <c r="N955" s="3">
        <v>94.3</v>
      </c>
      <c r="O955" s="3"/>
      <c r="P955" s="3"/>
      <c r="Q955" s="3">
        <v>1.19</v>
      </c>
      <c r="R955" s="3">
        <v>0.2</v>
      </c>
      <c r="S955" s="3">
        <v>2</v>
      </c>
      <c r="T955" s="3">
        <v>15.8</v>
      </c>
      <c r="U955" s="3">
        <v>64.599999999999994</v>
      </c>
      <c r="V955" s="3">
        <v>966.2</v>
      </c>
      <c r="W955" s="3">
        <v>0</v>
      </c>
      <c r="X955" s="3">
        <v>45.4</v>
      </c>
      <c r="Y955" s="3">
        <v>45.7</v>
      </c>
      <c r="Z955" s="3">
        <v>45.2</v>
      </c>
      <c r="AA955" s="3">
        <v>40.5</v>
      </c>
      <c r="AB955" s="3">
        <v>35.799999999999997</v>
      </c>
      <c r="AC955" s="3">
        <v>35.200000000000003</v>
      </c>
      <c r="AD955" s="3">
        <v>38.799999999999997</v>
      </c>
      <c r="AE955" s="3">
        <v>41.6</v>
      </c>
      <c r="AF955" s="3">
        <v>45.5</v>
      </c>
      <c r="AG955" s="3">
        <v>38.700000000000003</v>
      </c>
      <c r="AH955" s="3">
        <v>38.4</v>
      </c>
      <c r="AI955" s="3">
        <v>38.299999999999997</v>
      </c>
      <c r="AJ955" s="3">
        <v>36.799999999999997</v>
      </c>
      <c r="AK955" s="3">
        <v>34.700000000000003</v>
      </c>
      <c r="AL955" s="3">
        <v>32.5</v>
      </c>
      <c r="AM955" s="3">
        <v>31.8</v>
      </c>
      <c r="AN955" s="3">
        <v>30.4</v>
      </c>
      <c r="AO955" s="3">
        <v>28.1</v>
      </c>
      <c r="AP955" s="3">
        <v>27.2</v>
      </c>
      <c r="AQ955" s="3">
        <v>26.6</v>
      </c>
      <c r="AR955" s="3">
        <v>26.3</v>
      </c>
      <c r="AS955" s="3">
        <v>25.7</v>
      </c>
      <c r="AT955" s="3">
        <v>30.6</v>
      </c>
      <c r="AU955" s="3">
        <v>22.8</v>
      </c>
      <c r="AV955" s="3">
        <v>20.7</v>
      </c>
      <c r="AW955" s="3">
        <v>19.2</v>
      </c>
      <c r="AX955" s="3">
        <v>14.6</v>
      </c>
      <c r="AY955" s="3">
        <v>12.4</v>
      </c>
      <c r="AZ955" s="3">
        <v>0</v>
      </c>
      <c r="BA955" s="3">
        <v>0</v>
      </c>
      <c r="BB955" s="3">
        <v>0</v>
      </c>
      <c r="BC955" s="3">
        <v>40.985509176664905</v>
      </c>
      <c r="BD955" s="3">
        <v>45.4144908233351</v>
      </c>
      <c r="BE955" s="3">
        <v>45.714490823335098</v>
      </c>
      <c r="BF955" s="3">
        <v>43.974490823335103</v>
      </c>
      <c r="BG955" s="3">
        <v>39.601157490001768</v>
      </c>
      <c r="BH955" s="3">
        <v>35.041157490001765</v>
      </c>
      <c r="BI955" s="3">
        <v>34.854490823335098</v>
      </c>
      <c r="BJ955" s="3">
        <v>39.247824156668415</v>
      </c>
      <c r="BK955" s="3">
        <v>41.921157490001761</v>
      </c>
      <c r="BL955" s="3">
        <v>45.39449082333509</v>
      </c>
      <c r="BM955" s="3">
        <v>38.727824156668433</v>
      </c>
      <c r="BN955" s="3">
        <v>38.711157490001753</v>
      </c>
      <c r="BO955" s="3">
        <v>37.977824156668433</v>
      </c>
      <c r="BP955" s="3">
        <v>36.194490823335101</v>
      </c>
      <c r="BQ955" s="3">
        <v>34.511157490001764</v>
      </c>
      <c r="BR955" s="3">
        <v>32.63782415666843</v>
      </c>
      <c r="BS955" s="3">
        <v>31.741157490001754</v>
      </c>
      <c r="BT955" s="3">
        <v>30.537824156668435</v>
      </c>
      <c r="BU955" s="3">
        <v>28.204490823335092</v>
      </c>
      <c r="BV955" s="3">
        <v>27.021157490001755</v>
      </c>
      <c r="BW955" s="3">
        <v>26.954490823335092</v>
      </c>
      <c r="BX955" s="3">
        <v>26.574490823335097</v>
      </c>
      <c r="BY955" s="3">
        <v>25.794490823335096</v>
      </c>
      <c r="BZ955" s="3">
        <v>30.824490823335097</v>
      </c>
      <c r="CA955" s="3">
        <v>23.12449082333508</v>
      </c>
      <c r="CB955" s="3">
        <v>20.46115749000176</v>
      </c>
      <c r="CC955" s="3">
        <v>19.174490823335091</v>
      </c>
      <c r="CD955" s="3">
        <v>13.881157490001769</v>
      </c>
      <c r="CE955" s="3">
        <v>11.874490823335094</v>
      </c>
      <c r="CF955" s="3">
        <v>-0.91217584333157475</v>
      </c>
      <c r="CG955" s="3">
        <v>-1.4455091766649062</v>
      </c>
      <c r="CH955" s="3">
        <v>-2.5221758433315742</v>
      </c>
      <c r="CI955" s="13">
        <f>[1]!dbasum(RecData[[#This Row],[20]:[2000]],RecData[[#Headers],[20]:[2000]])</f>
        <v>39.987429387212678</v>
      </c>
      <c r="CJ955" s="14">
        <v>10309</v>
      </c>
      <c r="CK955" s="15" t="s">
        <v>249</v>
      </c>
      <c r="CL955" s="15">
        <f>RecData[[#This Row],[Start Time]]</f>
        <v>43275.008333333331</v>
      </c>
      <c r="CM955" s="16">
        <f>RecData[[#This Row],[Wind Speed avg]]</f>
        <v>1.19</v>
      </c>
      <c r="CN955" s="16">
        <f>RecData[[#This Row],[Wind Dir. avg]]</f>
        <v>94.3</v>
      </c>
      <c r="CO955" s="16">
        <f>RecData[[#This Row],[Amb. Humidity]]</f>
        <v>64.599999999999994</v>
      </c>
      <c r="CP955" s="16">
        <f>RecData[[#This Row],[Amb. Temperature]]</f>
        <v>15.8</v>
      </c>
      <c r="CQ955" s="17">
        <f>RecData[[#This Row],[Amb. Rain Gauge]]</f>
        <v>0</v>
      </c>
      <c r="CR955" s="4" t="s">
        <v>1</v>
      </c>
      <c r="CS955" s="4" t="s">
        <v>49</v>
      </c>
      <c r="CT955" s="70">
        <v>1617.36022949218</v>
      </c>
      <c r="CU955" s="70">
        <v>26.2737922668457</v>
      </c>
      <c r="CV955" s="70">
        <v>10.8704414367675</v>
      </c>
      <c r="CW955" s="70">
        <v>15.2883958816528</v>
      </c>
      <c r="CX955" s="4"/>
      <c r="CY955" s="69"/>
      <c r="CZ955" s="2" t="b">
        <f>IF($DP$1="YES",IF(RecData[[#This Row],[Power (kW)]]&gt;=$CR$3, TRUE,FALSE),TRUE)</f>
        <v>1</v>
      </c>
      <c r="DA955" s="16">
        <f>MIN(MOD(180-ABS(ABS($DA$1-RecData[Yaw Angle (°)])-180),360),MOD(180-ABS(ABS($DB$1-RecData[Yaw Angle (°)])-180),360))</f>
        <v>18.743865489158139</v>
      </c>
      <c r="DB955" s="2" t="str">
        <f>IF($DP$2="None","None",IF(RecData[[#This Row],[Relative Wind Direction]]&lt;=45,"DW",IF(RecData[[#This Row],[Relative Wind Direction]]&lt;=135,"CW","UW")))</f>
        <v>DW</v>
      </c>
      <c r="DC955" s="61" t="e">
        <f>IF($CL955-$CL953&gt;1/24,#REF!,IF(SUM($CQ953:$CQ955)&gt;$DS$1,$DS$5,DC956-1))</f>
        <v>#REF!</v>
      </c>
      <c r="DD955" s="61" t="e">
        <f>IF($CL956-$CL955&gt;1/24,#REF!,IF(SUM($CQ953:$CQ955)&gt;$DS$1,$DS$6,#REF!-1))</f>
        <v>#REF!</v>
      </c>
      <c r="DE955" s="18" t="b">
        <v>0</v>
      </c>
      <c r="DF955" s="2" t="b">
        <f>IF(OR(RecData[[#This Row],[WSpd_Avg '[m/s']]]-RecData[[#This Row],[Wind Speed min]]&gt;=$DF$3,RecData[[#This Row],[Wind Speed max]]-RecData[[#This Row],[WSpd_Avg '[m/s']]]&gt;=$DF$2),TRUE,FALSE)</f>
        <v>0</v>
      </c>
      <c r="DG955" s="2" t="b">
        <f>RecData[[#This Row],[Temperature '[°C']]]&lt;=-20</f>
        <v>0</v>
      </c>
      <c r="DH955" s="18" t="b">
        <f>NOT(OR(MOD(RecData[[#This Row],[TIMESTAMP]],1)&gt;0.91632,MOD(RecData[[#This Row],[TIMESTAMP]],1)&lt;0.208681))</f>
        <v>0</v>
      </c>
      <c r="DI955" s="18" t="b">
        <f>RecData[[#This Row],[Overall (dBA)]]-RecData[[#This Row],[L90]]&gt;=$DS$4</f>
        <v>0</v>
      </c>
      <c r="DJ955" s="18" t="b">
        <f>RecData[[#This Row],[Overall (dBA)]]&gt;$DS$2</f>
        <v>0</v>
      </c>
      <c r="DK955" s="18" t="b">
        <f>RecData[[#This Row],[Overall (dBA)]]&lt;$DS$3</f>
        <v>0</v>
      </c>
      <c r="DL9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5" s="2">
        <f>IF(AND(RecData[[#This Row],[Turbines ON/OFF]] = "OFF", NOT(OR(RecData[[#This Row],[Junk?]]="YES",RecData[[#This Row],[Gust?]],RecData[[#This Row],[Rain?]:[Min SPL Threshold?]]))),1,0)</f>
        <v>0</v>
      </c>
      <c r="DN955" s="16">
        <f>RecData[[#This Row],[dBA Sum]]</f>
        <v>39.987429387212678</v>
      </c>
      <c r="DO955" s="16">
        <f>RecData[[#This Row],[LAF90.0]]</f>
        <v>39.299999999999997</v>
      </c>
      <c r="DP955" s="55">
        <f>IF(AND(RecData[[#This Row],[Useable TON Data?]],RecData[[#This Row],[Turbines ON/OFF]]="ON"),RecData[[#This Row],[dBA Sum]],"")</f>
        <v>39.987429387212678</v>
      </c>
      <c r="DQ955" s="55" t="str">
        <f>IF(AND(RecData[[#This Row],[Useable Background Data?]],RecData[[#This Row],[Turbines ON/OFF]]="OFF"),RecData[[#This Row],[dBA Sum]],"")</f>
        <v/>
      </c>
      <c r="DR955" s="3">
        <f>IF(OR(RecData[[#This Row],[Useable TON Data?]],RecData[[#This Row],[Useable Background Data?]]),ROUND(RecData[[#This Row],[WSpd_Avg '[m/s']]],0),"")</f>
        <v>1</v>
      </c>
      <c r="DS955" s="85">
        <f>(0.00002)^2*(10^(RecData[[#This Row],[Overall (dBA)]]/10))</f>
        <v>3.9884387777505222E-6</v>
      </c>
    </row>
    <row r="956" spans="1:123" ht="15" x14ac:dyDescent="0.25">
      <c r="A956" s="3" t="s">
        <v>249</v>
      </c>
      <c r="B956" s="12">
        <v>43275.009027777778</v>
      </c>
      <c r="C956" s="3"/>
      <c r="D956" s="3">
        <v>38.200000000000003</v>
      </c>
      <c r="E956" s="3"/>
      <c r="F956" s="3"/>
      <c r="G956" s="3"/>
      <c r="H956" s="3"/>
      <c r="I956" s="3"/>
      <c r="J956" s="3"/>
      <c r="K956" s="3">
        <v>36.6</v>
      </c>
      <c r="L956" s="3"/>
      <c r="M956" s="3"/>
      <c r="N956" s="3">
        <v>171.9</v>
      </c>
      <c r="O956" s="3"/>
      <c r="P956" s="3"/>
      <c r="Q956" s="3">
        <v>1.21</v>
      </c>
      <c r="R956" s="3">
        <v>0.1</v>
      </c>
      <c r="S956" s="3">
        <v>2.7</v>
      </c>
      <c r="T956" s="3">
        <v>15.8</v>
      </c>
      <c r="U956" s="3">
        <v>64.5</v>
      </c>
      <c r="V956" s="3">
        <v>966.3</v>
      </c>
      <c r="W956" s="3">
        <v>0</v>
      </c>
      <c r="X956" s="3">
        <v>46</v>
      </c>
      <c r="Y956" s="3">
        <v>45.3</v>
      </c>
      <c r="Z956" s="3">
        <v>44.9</v>
      </c>
      <c r="AA956" s="3">
        <v>39.799999999999997</v>
      </c>
      <c r="AB956" s="3">
        <v>35.700000000000003</v>
      </c>
      <c r="AC956" s="3">
        <v>34.4</v>
      </c>
      <c r="AD956" s="3">
        <v>36.799999999999997</v>
      </c>
      <c r="AE956" s="3">
        <v>39.299999999999997</v>
      </c>
      <c r="AF956" s="3">
        <v>42.5</v>
      </c>
      <c r="AG956" s="3">
        <v>37.4</v>
      </c>
      <c r="AH956" s="3">
        <v>35.6</v>
      </c>
      <c r="AI956" s="3">
        <v>35.700000000000003</v>
      </c>
      <c r="AJ956" s="3">
        <v>34.4</v>
      </c>
      <c r="AK956" s="3">
        <v>32.4</v>
      </c>
      <c r="AL956" s="3">
        <v>30.3</v>
      </c>
      <c r="AM956" s="3">
        <v>30.2</v>
      </c>
      <c r="AN956" s="3">
        <v>28.8</v>
      </c>
      <c r="AO956" s="3">
        <v>26</v>
      </c>
      <c r="AP956" s="3">
        <v>24.8</v>
      </c>
      <c r="AQ956" s="3">
        <v>23.7</v>
      </c>
      <c r="AR956" s="3">
        <v>22.7</v>
      </c>
      <c r="AS956" s="3">
        <v>21.2</v>
      </c>
      <c r="AT956" s="3">
        <v>25.2</v>
      </c>
      <c r="AU956" s="3">
        <v>17.2</v>
      </c>
      <c r="AV956" s="3">
        <v>14.6</v>
      </c>
      <c r="AW956" s="3">
        <v>13.1</v>
      </c>
      <c r="AX956" s="3">
        <v>10.3</v>
      </c>
      <c r="AY956" s="3">
        <v>9.8000000000000007</v>
      </c>
      <c r="AZ956" s="3">
        <v>0</v>
      </c>
      <c r="BA956" s="3">
        <v>0</v>
      </c>
      <c r="BB956" s="3">
        <v>0</v>
      </c>
      <c r="BC956" s="3">
        <v>38.229003210050095</v>
      </c>
      <c r="BD956" s="3">
        <v>45.970996789949908</v>
      </c>
      <c r="BE956" s="3">
        <v>45.270996789949905</v>
      </c>
      <c r="BF956" s="3">
        <v>43.630996789949904</v>
      </c>
      <c r="BG956" s="3">
        <v>38.857663456616578</v>
      </c>
      <c r="BH956" s="3">
        <v>34.89766345661657</v>
      </c>
      <c r="BI956" s="3">
        <v>34.010996789949914</v>
      </c>
      <c r="BJ956" s="3">
        <v>37.204330123283242</v>
      </c>
      <c r="BK956" s="3">
        <v>39.577663456616577</v>
      </c>
      <c r="BL956" s="3">
        <v>42.350996789949917</v>
      </c>
      <c r="BM956" s="3">
        <v>37.384330123283249</v>
      </c>
      <c r="BN956" s="3">
        <v>35.867663456616569</v>
      </c>
      <c r="BO956" s="3">
        <v>35.334330123283237</v>
      </c>
      <c r="BP956" s="3">
        <v>33.750996789949909</v>
      </c>
      <c r="BQ956" s="3">
        <v>32.167663456616566</v>
      </c>
      <c r="BR956" s="3">
        <v>30.39433012328324</v>
      </c>
      <c r="BS956" s="3">
        <v>30.097663456616573</v>
      </c>
      <c r="BT956" s="3">
        <v>28.89433012328324</v>
      </c>
      <c r="BU956" s="3">
        <v>26.060996789949911</v>
      </c>
      <c r="BV956" s="3">
        <v>24.577663456616577</v>
      </c>
      <c r="BW956" s="3">
        <v>24.010996789949914</v>
      </c>
      <c r="BX956" s="3">
        <v>22.930996789949916</v>
      </c>
      <c r="BY956" s="3">
        <v>21.250996789949909</v>
      </c>
      <c r="BZ956" s="3">
        <v>25.380996789949911</v>
      </c>
      <c r="CA956" s="3">
        <v>17.480996789949899</v>
      </c>
      <c r="CB956" s="3">
        <v>14.317663456616572</v>
      </c>
      <c r="CC956" s="3">
        <v>13.03099678994991</v>
      </c>
      <c r="CD956" s="3">
        <v>9.5376634566165777</v>
      </c>
      <c r="CE956" s="3">
        <v>9.2309967899499057</v>
      </c>
      <c r="CF956" s="3">
        <v>-0.95566987671676173</v>
      </c>
      <c r="CG956" s="3">
        <v>-1.4890032100500932</v>
      </c>
      <c r="CH956" s="3">
        <v>-2.5656698767167612</v>
      </c>
      <c r="CI956" s="13">
        <f>[1]!dbasum(RecData[[#This Row],[20]:[2000]],RecData[[#Headers],[20]:[2000]])</f>
        <v>37.631807046966543</v>
      </c>
      <c r="CJ956" s="14">
        <v>10310</v>
      </c>
      <c r="CK956" s="15" t="s">
        <v>249</v>
      </c>
      <c r="CL956" s="15">
        <f>RecData[[#This Row],[Start Time]]</f>
        <v>43275.009027777778</v>
      </c>
      <c r="CM956" s="16">
        <f>RecData[[#This Row],[Wind Speed avg]]</f>
        <v>1.21</v>
      </c>
      <c r="CN956" s="16">
        <f>RecData[[#This Row],[Wind Dir. avg]]</f>
        <v>171.9</v>
      </c>
      <c r="CO956" s="16">
        <f>RecData[[#This Row],[Amb. Humidity]]</f>
        <v>64.5</v>
      </c>
      <c r="CP956" s="16">
        <f>RecData[[#This Row],[Amb. Temperature]]</f>
        <v>15.8</v>
      </c>
      <c r="CQ956" s="17">
        <f>RecData[[#This Row],[Amb. Rain Gauge]]</f>
        <v>0</v>
      </c>
      <c r="CR956" s="4" t="s">
        <v>1</v>
      </c>
      <c r="CS956" s="4" t="s">
        <v>49</v>
      </c>
      <c r="CT956" s="70">
        <v>1617.36022949218</v>
      </c>
      <c r="CU956" s="70">
        <v>26.2737922668457</v>
      </c>
      <c r="CV956" s="70">
        <v>10.8704414367675</v>
      </c>
      <c r="CW956" s="70">
        <v>15.2883958816528</v>
      </c>
      <c r="CX956" s="4"/>
      <c r="CY956" s="69"/>
      <c r="CZ956" s="2" t="b">
        <f>IF($DP$1="YES",IF(RecData[[#This Row],[Power (kW)]]&gt;=$CR$3, TRUE,FALSE),TRUE)</f>
        <v>1</v>
      </c>
      <c r="DA956" s="16">
        <f>MIN(MOD(180-ABS(ABS($DA$1-RecData[Yaw Angle (°)])-180),360),MOD(180-ABS(ABS($DB$1-RecData[Yaw Angle (°)])-180),360))</f>
        <v>18.743865489158139</v>
      </c>
      <c r="DB956" s="2" t="str">
        <f>IF($DP$2="None","None",IF(RecData[[#This Row],[Relative Wind Direction]]&lt;=45,"DW",IF(RecData[[#This Row],[Relative Wind Direction]]&lt;=135,"CW","UW")))</f>
        <v>DW</v>
      </c>
      <c r="DC956" s="61" t="e">
        <f>IF($CL956-$CL953&gt;1/24,#REF!,IF(SUM($CQ953:$CQ956)&gt;$DS$1,$DS$5,DC957-1))</f>
        <v>#REF!</v>
      </c>
      <c r="DD956" s="61" t="e">
        <f>IF($CL957-$CL956&gt;1/24,#REF!,IF(SUM($CQ953:$CQ956)&gt;$DS$1,$DS$6,DD955-1))</f>
        <v>#REF!</v>
      </c>
      <c r="DE956" s="18" t="b">
        <v>0</v>
      </c>
      <c r="DF956" s="2" t="b">
        <f>IF(OR(RecData[[#This Row],[WSpd_Avg '[m/s']]]-RecData[[#This Row],[Wind Speed min]]&gt;=$DF$3,RecData[[#This Row],[Wind Speed max]]-RecData[[#This Row],[WSpd_Avg '[m/s']]]&gt;=$DF$2),TRUE,FALSE)</f>
        <v>0</v>
      </c>
      <c r="DG956" s="2" t="b">
        <f>RecData[[#This Row],[Temperature '[°C']]]&lt;=-20</f>
        <v>0</v>
      </c>
      <c r="DH956" s="18" t="b">
        <f>NOT(OR(MOD(RecData[[#This Row],[TIMESTAMP]],1)&gt;0.91632,MOD(RecData[[#This Row],[TIMESTAMP]],1)&lt;0.208681))</f>
        <v>0</v>
      </c>
      <c r="DI956" s="18" t="b">
        <f>RecData[[#This Row],[Overall (dBA)]]-RecData[[#This Row],[L90]]&gt;=$DS$4</f>
        <v>0</v>
      </c>
      <c r="DJ956" s="18" t="b">
        <f>RecData[[#This Row],[Overall (dBA)]]&gt;$DS$2</f>
        <v>0</v>
      </c>
      <c r="DK956" s="18" t="b">
        <f>RecData[[#This Row],[Overall (dBA)]]&lt;$DS$3</f>
        <v>0</v>
      </c>
      <c r="DL9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6" s="2">
        <f>IF(AND(RecData[[#This Row],[Turbines ON/OFF]] = "OFF", NOT(OR(RecData[[#This Row],[Junk?]]="YES",RecData[[#This Row],[Gust?]],RecData[[#This Row],[Rain?]:[Min SPL Threshold?]]))),1,0)</f>
        <v>0</v>
      </c>
      <c r="DN956" s="16">
        <f>RecData[[#This Row],[dBA Sum]]</f>
        <v>37.631807046966543</v>
      </c>
      <c r="DO956" s="16">
        <f>RecData[[#This Row],[LAF90.0]]</f>
        <v>36.6</v>
      </c>
      <c r="DP956" s="55">
        <f>IF(AND(RecData[[#This Row],[Useable TON Data?]],RecData[[#This Row],[Turbines ON/OFF]]="ON"),RecData[[#This Row],[dBA Sum]],"")</f>
        <v>37.631807046966543</v>
      </c>
      <c r="DQ956" s="55" t="str">
        <f>IF(AND(RecData[[#This Row],[Useable Background Data?]],RecData[[#This Row],[Turbines ON/OFF]]="OFF"),RecData[[#This Row],[dBA Sum]],"")</f>
        <v/>
      </c>
      <c r="DR956" s="3">
        <f>IF(OR(RecData[[#This Row],[Useable TON Data?]],RecData[[#This Row],[Useable Background Data?]]),ROUND(RecData[[#This Row],[WSpd_Avg '[m/s']]],0),"")</f>
        <v>1</v>
      </c>
      <c r="DS956" s="85">
        <f>(0.00002)^2*(10^(RecData[[#This Row],[Overall (dBA)]]/10))</f>
        <v>2.3186793595398113E-6</v>
      </c>
    </row>
    <row r="957" spans="1:123" ht="15" x14ac:dyDescent="0.25">
      <c r="A957" s="3" t="s">
        <v>249</v>
      </c>
      <c r="B957" s="12">
        <v>43275.009722222225</v>
      </c>
      <c r="C957" s="3"/>
      <c r="D957" s="3">
        <v>39.1</v>
      </c>
      <c r="E957" s="3"/>
      <c r="F957" s="3"/>
      <c r="G957" s="3"/>
      <c r="H957" s="3"/>
      <c r="I957" s="3"/>
      <c r="J957" s="3"/>
      <c r="K957" s="3">
        <v>37.200000000000003</v>
      </c>
      <c r="L957" s="3"/>
      <c r="M957" s="3"/>
      <c r="N957" s="3">
        <v>210.2</v>
      </c>
      <c r="O957" s="3"/>
      <c r="P957" s="3"/>
      <c r="Q957" s="3">
        <v>1.64</v>
      </c>
      <c r="R957" s="3">
        <v>0.6</v>
      </c>
      <c r="S957" s="3">
        <v>2.5</v>
      </c>
      <c r="T957" s="3">
        <v>15.8</v>
      </c>
      <c r="U957" s="3">
        <v>64.599999999999994</v>
      </c>
      <c r="V957" s="3">
        <v>966.2</v>
      </c>
      <c r="W957" s="3">
        <v>0</v>
      </c>
      <c r="X957" s="3">
        <v>46.1</v>
      </c>
      <c r="Y957" s="3">
        <v>46.2</v>
      </c>
      <c r="Z957" s="3">
        <v>45.7</v>
      </c>
      <c r="AA957" s="3">
        <v>41.1</v>
      </c>
      <c r="AB957" s="3">
        <v>38.299999999999997</v>
      </c>
      <c r="AC957" s="3">
        <v>37.5</v>
      </c>
      <c r="AD957" s="3">
        <v>39.5</v>
      </c>
      <c r="AE957" s="3">
        <v>40.6</v>
      </c>
      <c r="AF957" s="3">
        <v>43.4</v>
      </c>
      <c r="AG957" s="3">
        <v>38.200000000000003</v>
      </c>
      <c r="AH957" s="3">
        <v>37.700000000000003</v>
      </c>
      <c r="AI957" s="3">
        <v>37</v>
      </c>
      <c r="AJ957" s="3">
        <v>35.1</v>
      </c>
      <c r="AK957" s="3">
        <v>32.9</v>
      </c>
      <c r="AL957" s="3">
        <v>30.7</v>
      </c>
      <c r="AM957" s="3">
        <v>30.2</v>
      </c>
      <c r="AN957" s="3">
        <v>28.6</v>
      </c>
      <c r="AO957" s="3">
        <v>26</v>
      </c>
      <c r="AP957" s="3">
        <v>24.3</v>
      </c>
      <c r="AQ957" s="3">
        <v>23.3</v>
      </c>
      <c r="AR957" s="3">
        <v>22</v>
      </c>
      <c r="AS957" s="3">
        <v>21.3</v>
      </c>
      <c r="AT957" s="3">
        <v>29.1</v>
      </c>
      <c r="AU957" s="3">
        <v>19.100000000000001</v>
      </c>
      <c r="AV957" s="3">
        <v>16.899999999999999</v>
      </c>
      <c r="AW957" s="3">
        <v>15.6</v>
      </c>
      <c r="AX957" s="3">
        <v>12.2</v>
      </c>
      <c r="AY957" s="3">
        <v>11.1</v>
      </c>
      <c r="AZ957" s="3">
        <v>0</v>
      </c>
      <c r="BA957" s="3">
        <v>0</v>
      </c>
      <c r="BB957" s="3">
        <v>0</v>
      </c>
      <c r="BC957" s="3">
        <v>39.057940490612367</v>
      </c>
      <c r="BD957" s="3">
        <v>46.142059509387636</v>
      </c>
      <c r="BE957" s="3">
        <v>46.242059509387644</v>
      </c>
      <c r="BF957" s="3">
        <v>44.502059509387635</v>
      </c>
      <c r="BG957" s="3">
        <v>40.228726176054295</v>
      </c>
      <c r="BH957" s="3">
        <v>37.568726176054298</v>
      </c>
      <c r="BI957" s="3">
        <v>37.182059509387642</v>
      </c>
      <c r="BJ957" s="3">
        <v>39.975392842720964</v>
      </c>
      <c r="BK957" s="3">
        <v>40.948726176054294</v>
      </c>
      <c r="BL957" s="3">
        <v>43.322059509387628</v>
      </c>
      <c r="BM957" s="3">
        <v>38.255392842720966</v>
      </c>
      <c r="BN957" s="3">
        <v>38.038726176054297</v>
      </c>
      <c r="BO957" s="3">
        <v>36.705392842720968</v>
      </c>
      <c r="BP957" s="3">
        <v>34.522059509387645</v>
      </c>
      <c r="BQ957" s="3">
        <v>32.738726176054286</v>
      </c>
      <c r="BR957" s="3">
        <v>30.865392842720965</v>
      </c>
      <c r="BS957" s="3">
        <v>30.168726176054292</v>
      </c>
      <c r="BT957" s="3">
        <v>28.765392842720971</v>
      </c>
      <c r="BU957" s="3">
        <v>26.132059509387631</v>
      </c>
      <c r="BV957" s="3">
        <v>24.148726176054303</v>
      </c>
      <c r="BW957" s="3">
        <v>23.682059509387642</v>
      </c>
      <c r="BX957" s="3">
        <v>22.302059509387639</v>
      </c>
      <c r="BY957" s="3">
        <v>21.422059509387637</v>
      </c>
      <c r="BZ957" s="3">
        <v>29.352059509387644</v>
      </c>
      <c r="CA957" s="3">
        <v>19.452059509387624</v>
      </c>
      <c r="CB957" s="3">
        <v>16.688726176054303</v>
      </c>
      <c r="CC957" s="3">
        <v>15.60205950938763</v>
      </c>
      <c r="CD957" s="3">
        <v>11.508726176054303</v>
      </c>
      <c r="CE957" s="3">
        <v>10.60205950938763</v>
      </c>
      <c r="CF957" s="3">
        <v>-0.88460715727903505</v>
      </c>
      <c r="CG957" s="3">
        <v>-1.4179404906123665</v>
      </c>
      <c r="CH957" s="3">
        <v>-2.4946071572790345</v>
      </c>
      <c r="CI957" s="13">
        <f>[1]!dbasum(RecData[[#This Row],[20]:[2000]],RecData[[#Headers],[20]:[2000]])</f>
        <v>38.169107840392883</v>
      </c>
      <c r="CJ957" s="14">
        <v>10311</v>
      </c>
      <c r="CK957" s="15" t="s">
        <v>249</v>
      </c>
      <c r="CL957" s="15">
        <f>RecData[[#This Row],[Start Time]]</f>
        <v>43275.009722222225</v>
      </c>
      <c r="CM957" s="16">
        <f>RecData[[#This Row],[Wind Speed avg]]</f>
        <v>1.64</v>
      </c>
      <c r="CN957" s="16">
        <f>RecData[[#This Row],[Wind Dir. avg]]</f>
        <v>210.2</v>
      </c>
      <c r="CO957" s="16">
        <f>RecData[[#This Row],[Amb. Humidity]]</f>
        <v>64.599999999999994</v>
      </c>
      <c r="CP957" s="16">
        <f>RecData[[#This Row],[Amb. Temperature]]</f>
        <v>15.8</v>
      </c>
      <c r="CQ957" s="17">
        <f>RecData[[#This Row],[Amb. Rain Gauge]]</f>
        <v>0</v>
      </c>
      <c r="CR957" s="4" t="s">
        <v>1</v>
      </c>
      <c r="CS957" s="4" t="s">
        <v>49</v>
      </c>
      <c r="CT957" s="70">
        <v>1617.36022949218</v>
      </c>
      <c r="CU957" s="70">
        <v>26.2737922668457</v>
      </c>
      <c r="CV957" s="70">
        <v>10.8704414367675</v>
      </c>
      <c r="CW957" s="70">
        <v>15.2883958816528</v>
      </c>
      <c r="CX957" s="4"/>
      <c r="CY957" s="69"/>
      <c r="CZ957" s="2" t="b">
        <f>IF($DP$1="YES",IF(RecData[[#This Row],[Power (kW)]]&gt;=$CR$3, TRUE,FALSE),TRUE)</f>
        <v>1</v>
      </c>
      <c r="DA957" s="16">
        <f>MIN(MOD(180-ABS(ABS($DA$1-RecData[Yaw Angle (°)])-180),360),MOD(180-ABS(ABS($DB$1-RecData[Yaw Angle (°)])-180),360))</f>
        <v>18.743865489158139</v>
      </c>
      <c r="DB957" s="2" t="str">
        <f>IF($DP$2="None","None",IF(RecData[[#This Row],[Relative Wind Direction]]&lt;=45,"DW",IF(RecData[[#This Row],[Relative Wind Direction]]&lt;=135,"CW","UW")))</f>
        <v>DW</v>
      </c>
      <c r="DC957" s="61" t="e">
        <f>IF($CL957-$CL954&gt;1/24,#REF!,IF(SUM($CQ954:$CQ957)&gt;$DS$1,$DS$5,DC958-1))</f>
        <v>#REF!</v>
      </c>
      <c r="DD957" s="61" t="e">
        <f>IF($CL958-$CL957&gt;1/24,#REF!,IF(SUM($CQ954:$CQ957)&gt;$DS$1,$DS$6,DD956-1))</f>
        <v>#REF!</v>
      </c>
      <c r="DE957" s="18" t="b">
        <v>0</v>
      </c>
      <c r="DF957" s="2" t="b">
        <f>IF(OR(RecData[[#This Row],[WSpd_Avg '[m/s']]]-RecData[[#This Row],[Wind Speed min]]&gt;=$DF$3,RecData[[#This Row],[Wind Speed max]]-RecData[[#This Row],[WSpd_Avg '[m/s']]]&gt;=$DF$2),TRUE,FALSE)</f>
        <v>0</v>
      </c>
      <c r="DG957" s="2" t="b">
        <f>RecData[[#This Row],[Temperature '[°C']]]&lt;=-20</f>
        <v>0</v>
      </c>
      <c r="DH957" s="18" t="b">
        <f>NOT(OR(MOD(RecData[[#This Row],[TIMESTAMP]],1)&gt;0.91632,MOD(RecData[[#This Row],[TIMESTAMP]],1)&lt;0.208681))</f>
        <v>0</v>
      </c>
      <c r="DI957" s="18" t="b">
        <f>RecData[[#This Row],[Overall (dBA)]]-RecData[[#This Row],[L90]]&gt;=$DS$4</f>
        <v>0</v>
      </c>
      <c r="DJ957" s="18" t="b">
        <f>RecData[[#This Row],[Overall (dBA)]]&gt;$DS$2</f>
        <v>0</v>
      </c>
      <c r="DK957" s="18" t="b">
        <f>RecData[[#This Row],[Overall (dBA)]]&lt;$DS$3</f>
        <v>0</v>
      </c>
      <c r="DL9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7" s="2">
        <f>IF(AND(RecData[[#This Row],[Turbines ON/OFF]] = "OFF", NOT(OR(RecData[[#This Row],[Junk?]]="YES",RecData[[#This Row],[Gust?]],RecData[[#This Row],[Rain?]:[Min SPL Threshold?]]))),1,0)</f>
        <v>0</v>
      </c>
      <c r="DN957" s="16">
        <f>RecData[[#This Row],[dBA Sum]]</f>
        <v>38.169107840392883</v>
      </c>
      <c r="DO957" s="16">
        <f>RecData[[#This Row],[LAF90.0]]</f>
        <v>37.200000000000003</v>
      </c>
      <c r="DP957" s="55">
        <f>IF(AND(RecData[[#This Row],[Useable TON Data?]],RecData[[#This Row],[Turbines ON/OFF]]="ON"),RecData[[#This Row],[dBA Sum]],"")</f>
        <v>38.169107840392883</v>
      </c>
      <c r="DQ957" s="55" t="str">
        <f>IF(AND(RecData[[#This Row],[Useable Background Data?]],RecData[[#This Row],[Turbines ON/OFF]]="OFF"),RecData[[#This Row],[dBA Sum]],"")</f>
        <v/>
      </c>
      <c r="DR957" s="3">
        <f>IF(OR(RecData[[#This Row],[Useable TON Data?]],RecData[[#This Row],[Useable Background Data?]]),ROUND(RecData[[#This Row],[WSpd_Avg '[m/s']]],0),"")</f>
        <v>2</v>
      </c>
      <c r="DS957" s="85">
        <f>(0.00002)^2*(10^(RecData[[#This Row],[Overall (dBA)]]/10))</f>
        <v>2.62404195987704E-6</v>
      </c>
    </row>
    <row r="958" spans="1:123" ht="15" x14ac:dyDescent="0.25">
      <c r="A958" s="3" t="s">
        <v>249</v>
      </c>
      <c r="B958" s="12">
        <v>43275.010416666664</v>
      </c>
      <c r="C958" s="3"/>
      <c r="D958" s="3">
        <v>39.9</v>
      </c>
      <c r="E958" s="3"/>
      <c r="F958" s="3"/>
      <c r="G958" s="3"/>
      <c r="H958" s="3"/>
      <c r="I958" s="3"/>
      <c r="J958" s="3"/>
      <c r="K958" s="3">
        <v>38.6</v>
      </c>
      <c r="L958" s="3"/>
      <c r="M958" s="3"/>
      <c r="N958" s="3">
        <v>101.1</v>
      </c>
      <c r="O958" s="3"/>
      <c r="P958" s="3"/>
      <c r="Q958" s="3">
        <v>0.74</v>
      </c>
      <c r="R958" s="3">
        <v>0.2</v>
      </c>
      <c r="S958" s="3">
        <v>1.3</v>
      </c>
      <c r="T958" s="3">
        <v>15.7</v>
      </c>
      <c r="U958" s="3">
        <v>64.8</v>
      </c>
      <c r="V958" s="3">
        <v>966.3</v>
      </c>
      <c r="W958" s="3">
        <v>0</v>
      </c>
      <c r="X958" s="3">
        <v>46.3</v>
      </c>
      <c r="Y958" s="3">
        <v>46.5</v>
      </c>
      <c r="Z958" s="3">
        <v>46.2</v>
      </c>
      <c r="AA958" s="3">
        <v>43.1</v>
      </c>
      <c r="AB958" s="3">
        <v>42.9</v>
      </c>
      <c r="AC958" s="3">
        <v>40.4</v>
      </c>
      <c r="AD958" s="3">
        <v>39.9</v>
      </c>
      <c r="AE958" s="3">
        <v>42.5</v>
      </c>
      <c r="AF958" s="3">
        <v>46.3</v>
      </c>
      <c r="AG958" s="3">
        <v>40.799999999999997</v>
      </c>
      <c r="AH958" s="3">
        <v>37.799999999999997</v>
      </c>
      <c r="AI958" s="3">
        <v>38.1</v>
      </c>
      <c r="AJ958" s="3">
        <v>36.299999999999997</v>
      </c>
      <c r="AK958" s="3">
        <v>34.1</v>
      </c>
      <c r="AL958" s="3">
        <v>32</v>
      </c>
      <c r="AM958" s="3">
        <v>31.6</v>
      </c>
      <c r="AN958" s="3">
        <v>29.8</v>
      </c>
      <c r="AO958" s="3">
        <v>26.7</v>
      </c>
      <c r="AP958" s="3">
        <v>24.9</v>
      </c>
      <c r="AQ958" s="3">
        <v>23.1</v>
      </c>
      <c r="AR958" s="3">
        <v>20.6</v>
      </c>
      <c r="AS958" s="3">
        <v>18.100000000000001</v>
      </c>
      <c r="AT958" s="3">
        <v>27.8</v>
      </c>
      <c r="AU958" s="3">
        <v>14.3</v>
      </c>
      <c r="AV958" s="3">
        <v>10.9</v>
      </c>
      <c r="AW958" s="3">
        <v>10.5</v>
      </c>
      <c r="AX958" s="3">
        <v>9.4</v>
      </c>
      <c r="AY958" s="3">
        <v>9.4</v>
      </c>
      <c r="AZ958" s="3">
        <v>0</v>
      </c>
      <c r="BA958" s="3">
        <v>0</v>
      </c>
      <c r="BB958" s="3">
        <v>0</v>
      </c>
      <c r="BC958" s="3">
        <v>39.879119873150785</v>
      </c>
      <c r="BD958" s="3">
        <v>46.320880126849204</v>
      </c>
      <c r="BE958" s="3">
        <v>46.520880126849221</v>
      </c>
      <c r="BF958" s="3">
        <v>44.980880126849215</v>
      </c>
      <c r="BG958" s="3">
        <v>42.207546793515888</v>
      </c>
      <c r="BH958" s="3">
        <v>42.147546793515886</v>
      </c>
      <c r="BI958" s="3">
        <v>40.060880126849213</v>
      </c>
      <c r="BJ958" s="3">
        <v>40.354213460182535</v>
      </c>
      <c r="BK958" s="3">
        <v>42.827546793515879</v>
      </c>
      <c r="BL958" s="3">
        <v>46.200880126849214</v>
      </c>
      <c r="BM958" s="3">
        <v>40.834213460182553</v>
      </c>
      <c r="BN958" s="3">
        <v>38.117546793515885</v>
      </c>
      <c r="BO958" s="3">
        <v>37.784213460182542</v>
      </c>
      <c r="BP958" s="3">
        <v>35.700880126849214</v>
      </c>
      <c r="BQ958" s="3">
        <v>33.917546793515868</v>
      </c>
      <c r="BR958" s="3">
        <v>32.144213460182556</v>
      </c>
      <c r="BS958" s="3">
        <v>31.547546793515878</v>
      </c>
      <c r="BT958" s="3">
        <v>29.944213460182553</v>
      </c>
      <c r="BU958" s="3">
        <v>26.810880126849213</v>
      </c>
      <c r="BV958" s="3">
        <v>24.727546793515884</v>
      </c>
      <c r="BW958" s="3">
        <v>23.460880126849219</v>
      </c>
      <c r="BX958" s="3">
        <v>20.88088012684922</v>
      </c>
      <c r="BY958" s="3">
        <v>18.200880126849214</v>
      </c>
      <c r="BZ958" s="3">
        <v>28.030880126849212</v>
      </c>
      <c r="CA958" s="3">
        <v>14.630880126849206</v>
      </c>
      <c r="CB958" s="3">
        <v>10.667546793515882</v>
      </c>
      <c r="CC958" s="3">
        <v>10.480880126849215</v>
      </c>
      <c r="CD958" s="3">
        <v>8.6875467935158852</v>
      </c>
      <c r="CE958" s="3">
        <v>8.8808801268492132</v>
      </c>
      <c r="CF958" s="3">
        <v>-0.9057865398174556</v>
      </c>
      <c r="CG958" s="3">
        <v>-1.439119873150787</v>
      </c>
      <c r="CH958" s="3">
        <v>-2.515786539817455</v>
      </c>
      <c r="CI958" s="13">
        <f>[1]!dbasum(RecData[[#This Row],[20]:[2000]],RecData[[#Headers],[20]:[2000]])</f>
        <v>39.378200912495466</v>
      </c>
      <c r="CJ958" s="14">
        <v>10312</v>
      </c>
      <c r="CK958" s="15" t="s">
        <v>249</v>
      </c>
      <c r="CL958" s="15">
        <f>RecData[[#This Row],[Start Time]]</f>
        <v>43275.010416666664</v>
      </c>
      <c r="CM958" s="16">
        <f>RecData[[#This Row],[Wind Speed avg]]</f>
        <v>0.74</v>
      </c>
      <c r="CN958" s="16">
        <f>RecData[[#This Row],[Wind Dir. avg]]</f>
        <v>101.1</v>
      </c>
      <c r="CO958" s="16">
        <f>RecData[[#This Row],[Amb. Humidity]]</f>
        <v>64.8</v>
      </c>
      <c r="CP958" s="16">
        <f>RecData[[#This Row],[Amb. Temperature]]</f>
        <v>15.7</v>
      </c>
      <c r="CQ958" s="17">
        <f>RecData[[#This Row],[Amb. Rain Gauge]]</f>
        <v>0</v>
      </c>
      <c r="CR958" s="4" t="s">
        <v>1</v>
      </c>
      <c r="CS958" s="4" t="s">
        <v>49</v>
      </c>
      <c r="CT958" s="70">
        <v>1617.36022949218</v>
      </c>
      <c r="CU958" s="70">
        <v>26.2737922668457</v>
      </c>
      <c r="CV958" s="70">
        <v>10.8704414367675</v>
      </c>
      <c r="CW958" s="70">
        <v>15.2883958816528</v>
      </c>
      <c r="CX958" s="4"/>
      <c r="CY958" s="69"/>
      <c r="CZ958" s="2" t="b">
        <f>IF($DP$1="YES",IF(RecData[[#This Row],[Power (kW)]]&gt;=$CR$3, TRUE,FALSE),TRUE)</f>
        <v>1</v>
      </c>
      <c r="DA958" s="16">
        <f>MIN(MOD(180-ABS(ABS($DA$1-RecData[Yaw Angle (°)])-180),360),MOD(180-ABS(ABS($DB$1-RecData[Yaw Angle (°)])-180),360))</f>
        <v>18.743865489158139</v>
      </c>
      <c r="DB958" s="2" t="str">
        <f>IF($DP$2="None","None",IF(RecData[[#This Row],[Relative Wind Direction]]&lt;=45,"DW",IF(RecData[[#This Row],[Relative Wind Direction]]&lt;=135,"CW","UW")))</f>
        <v>DW</v>
      </c>
      <c r="DC958" s="61" t="e">
        <f>IF($CL958-#REF!&gt;1/24,#REF!,IF(SUM($CQ955:$CQ958)&gt;$DS$1,$DS$5,DC959-1))</f>
        <v>#REF!</v>
      </c>
      <c r="DD958" s="61" t="e">
        <f>IF($CL959-$CL958&gt;1/24,#REF!,IF(SUM($CQ955:$CQ958)&gt;$DS$1,$DS$6,DD957-1))</f>
        <v>#REF!</v>
      </c>
      <c r="DE958" s="18" t="b">
        <v>0</v>
      </c>
      <c r="DF958" s="2" t="b">
        <f>IF(OR(RecData[[#This Row],[WSpd_Avg '[m/s']]]-RecData[[#This Row],[Wind Speed min]]&gt;=$DF$3,RecData[[#This Row],[Wind Speed max]]-RecData[[#This Row],[WSpd_Avg '[m/s']]]&gt;=$DF$2),TRUE,FALSE)</f>
        <v>0</v>
      </c>
      <c r="DG958" s="2" t="b">
        <f>RecData[[#This Row],[Temperature '[°C']]]&lt;=-20</f>
        <v>0</v>
      </c>
      <c r="DH958" s="18" t="b">
        <f>NOT(OR(MOD(RecData[[#This Row],[TIMESTAMP]],1)&gt;0.91632,MOD(RecData[[#This Row],[TIMESTAMP]],1)&lt;0.208681))</f>
        <v>0</v>
      </c>
      <c r="DI958" s="18" t="b">
        <f>RecData[[#This Row],[Overall (dBA)]]-RecData[[#This Row],[L90]]&gt;=$DS$4</f>
        <v>0</v>
      </c>
      <c r="DJ958" s="18" t="b">
        <f>RecData[[#This Row],[Overall (dBA)]]&gt;$DS$2</f>
        <v>0</v>
      </c>
      <c r="DK958" s="18" t="b">
        <f>RecData[[#This Row],[Overall (dBA)]]&lt;$DS$3</f>
        <v>0</v>
      </c>
      <c r="DL9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8" s="2">
        <f>IF(AND(RecData[[#This Row],[Turbines ON/OFF]] = "OFF", NOT(OR(RecData[[#This Row],[Junk?]]="YES",RecData[[#This Row],[Gust?]],RecData[[#This Row],[Rain?]:[Min SPL Threshold?]]))),1,0)</f>
        <v>0</v>
      </c>
      <c r="DN958" s="16">
        <f>RecData[[#This Row],[dBA Sum]]</f>
        <v>39.378200912495466</v>
      </c>
      <c r="DO958" s="16">
        <f>RecData[[#This Row],[LAF90.0]]</f>
        <v>38.6</v>
      </c>
      <c r="DP958" s="55">
        <f>IF(AND(RecData[[#This Row],[Useable TON Data?]],RecData[[#This Row],[Turbines ON/OFF]]="ON"),RecData[[#This Row],[dBA Sum]],"")</f>
        <v>39.378200912495466</v>
      </c>
      <c r="DQ958" s="55" t="str">
        <f>IF(AND(RecData[[#This Row],[Useable Background Data?]],RecData[[#This Row],[Turbines ON/OFF]]="OFF"),RecData[[#This Row],[dBA Sum]],"")</f>
        <v/>
      </c>
      <c r="DR958" s="3">
        <f>IF(OR(RecData[[#This Row],[Useable TON Data?]],RecData[[#This Row],[Useable Background Data?]]),ROUND(RecData[[#This Row],[WSpd_Avg '[m/s']]],0),"")</f>
        <v>1</v>
      </c>
      <c r="DS958" s="85">
        <f>(0.00002)^2*(10^(RecData[[#This Row],[Overall (dBA)]]/10))</f>
        <v>3.4664112266610468E-6</v>
      </c>
    </row>
    <row r="959" spans="1:123" ht="15" x14ac:dyDescent="0.25">
      <c r="A959" s="3" t="s">
        <v>249</v>
      </c>
      <c r="B959" s="12">
        <v>43275.011111111111</v>
      </c>
      <c r="C959" s="3"/>
      <c r="D959" s="3">
        <v>39.299999999999997</v>
      </c>
      <c r="E959" s="3"/>
      <c r="F959" s="3"/>
      <c r="G959" s="3"/>
      <c r="H959" s="3"/>
      <c r="I959" s="3"/>
      <c r="J959" s="3"/>
      <c r="K959" s="3">
        <v>37.700000000000003</v>
      </c>
      <c r="L959" s="3"/>
      <c r="M959" s="3"/>
      <c r="N959" s="3">
        <v>195.2</v>
      </c>
      <c r="O959" s="3"/>
      <c r="P959" s="3"/>
      <c r="Q959" s="3">
        <v>0.67</v>
      </c>
      <c r="R959" s="3">
        <v>0.1</v>
      </c>
      <c r="S959" s="3">
        <v>1.3</v>
      </c>
      <c r="T959" s="3">
        <v>15.7</v>
      </c>
      <c r="U959" s="3">
        <v>65.099999999999994</v>
      </c>
      <c r="V959" s="3">
        <v>966.3</v>
      </c>
      <c r="W959" s="3">
        <v>0</v>
      </c>
      <c r="X959" s="3">
        <v>47.4</v>
      </c>
      <c r="Y959" s="3">
        <v>47.2</v>
      </c>
      <c r="Z959" s="3">
        <v>47.1</v>
      </c>
      <c r="AA959" s="3">
        <v>42.5</v>
      </c>
      <c r="AB959" s="3">
        <v>38.4</v>
      </c>
      <c r="AC959" s="3">
        <v>38.299999999999997</v>
      </c>
      <c r="AD959" s="3">
        <v>39.799999999999997</v>
      </c>
      <c r="AE959" s="3">
        <v>41</v>
      </c>
      <c r="AF959" s="3">
        <v>45.2</v>
      </c>
      <c r="AG959" s="3">
        <v>39.200000000000003</v>
      </c>
      <c r="AH959" s="3">
        <v>37.299999999999997</v>
      </c>
      <c r="AI959" s="3">
        <v>37.299999999999997</v>
      </c>
      <c r="AJ959" s="3">
        <v>36.1</v>
      </c>
      <c r="AK959" s="3">
        <v>34.1</v>
      </c>
      <c r="AL959" s="3">
        <v>31.7</v>
      </c>
      <c r="AM959" s="3">
        <v>31</v>
      </c>
      <c r="AN959" s="3">
        <v>29.4</v>
      </c>
      <c r="AO959" s="3">
        <v>26.6</v>
      </c>
      <c r="AP959" s="3">
        <v>24.6</v>
      </c>
      <c r="AQ959" s="3">
        <v>23.3</v>
      </c>
      <c r="AR959" s="3">
        <v>21</v>
      </c>
      <c r="AS959" s="3">
        <v>18.899999999999999</v>
      </c>
      <c r="AT959" s="3">
        <v>26.5</v>
      </c>
      <c r="AU959" s="3">
        <v>13.6</v>
      </c>
      <c r="AV959" s="3">
        <v>11</v>
      </c>
      <c r="AW959" s="3">
        <v>10.4</v>
      </c>
      <c r="AX959" s="3">
        <v>9.3000000000000007</v>
      </c>
      <c r="AY959" s="3">
        <v>9.3000000000000007</v>
      </c>
      <c r="AZ959" s="3">
        <v>0</v>
      </c>
      <c r="BA959" s="3">
        <v>0</v>
      </c>
      <c r="BB959" s="3">
        <v>0</v>
      </c>
      <c r="BC959" s="3">
        <v>39.320631788268074</v>
      </c>
      <c r="BD959" s="3">
        <v>47.379368211731915</v>
      </c>
      <c r="BE959" s="3">
        <v>47.179368211731926</v>
      </c>
      <c r="BF959" s="3">
        <v>45.839368211731923</v>
      </c>
      <c r="BG959" s="3">
        <v>41.566034878398582</v>
      </c>
      <c r="BH959" s="3">
        <v>37.606034878398589</v>
      </c>
      <c r="BI959" s="3">
        <v>37.919368211731921</v>
      </c>
      <c r="BJ959" s="3">
        <v>40.212701545065258</v>
      </c>
      <c r="BK959" s="3">
        <v>41.286034878398581</v>
      </c>
      <c r="BL959" s="3">
        <v>45.059368211731922</v>
      </c>
      <c r="BM959" s="3">
        <v>39.192701545065262</v>
      </c>
      <c r="BN959" s="3">
        <v>37.576034878398588</v>
      </c>
      <c r="BO959" s="3">
        <v>36.942701545065248</v>
      </c>
      <c r="BP959" s="3">
        <v>35.459368211731928</v>
      </c>
      <c r="BQ959" s="3">
        <v>33.876034878398585</v>
      </c>
      <c r="BR959" s="3">
        <v>31.802701545065261</v>
      </c>
      <c r="BS959" s="3">
        <v>30.906034878398586</v>
      </c>
      <c r="BT959" s="3">
        <v>29.50270154506525</v>
      </c>
      <c r="BU959" s="3">
        <v>26.669368211731936</v>
      </c>
      <c r="BV959" s="3">
        <v>24.38603487839859</v>
      </c>
      <c r="BW959" s="3">
        <v>23.619368211731924</v>
      </c>
      <c r="BX959" s="3">
        <v>21.239368211731929</v>
      </c>
      <c r="BY959" s="3">
        <v>18.95936821173192</v>
      </c>
      <c r="BZ959" s="3">
        <v>26.689368211731932</v>
      </c>
      <c r="CA959" s="3">
        <v>13.88936821173192</v>
      </c>
      <c r="CB959" s="3">
        <v>10.726034878398586</v>
      </c>
      <c r="CC959" s="3">
        <v>10.339368211731923</v>
      </c>
      <c r="CD959" s="3">
        <v>8.5460348783985935</v>
      </c>
      <c r="CE959" s="3">
        <v>8.7393682117319216</v>
      </c>
      <c r="CF959" s="3">
        <v>-0.94729845493474585</v>
      </c>
      <c r="CG959" s="3">
        <v>-1.4806317882680773</v>
      </c>
      <c r="CH959" s="3">
        <v>-2.5572984549347453</v>
      </c>
      <c r="CI959" s="13">
        <f>[1]!dbasum(RecData[[#This Row],[20]:[2000]],RecData[[#Headers],[20]:[2000]])</f>
        <v>38.822490844935082</v>
      </c>
      <c r="CJ959" s="14">
        <v>10313</v>
      </c>
      <c r="CK959" s="15" t="s">
        <v>249</v>
      </c>
      <c r="CL959" s="15">
        <f>RecData[[#This Row],[Start Time]]</f>
        <v>43275.011111111111</v>
      </c>
      <c r="CM959" s="16">
        <f>RecData[[#This Row],[Wind Speed avg]]</f>
        <v>0.67</v>
      </c>
      <c r="CN959" s="16">
        <f>RecData[[#This Row],[Wind Dir. avg]]</f>
        <v>195.2</v>
      </c>
      <c r="CO959" s="16">
        <f>RecData[[#This Row],[Amb. Humidity]]</f>
        <v>65.099999999999994</v>
      </c>
      <c r="CP959" s="16">
        <f>RecData[[#This Row],[Amb. Temperature]]</f>
        <v>15.7</v>
      </c>
      <c r="CQ959" s="17">
        <f>RecData[[#This Row],[Amb. Rain Gauge]]</f>
        <v>0</v>
      </c>
      <c r="CR959" s="4" t="s">
        <v>1</v>
      </c>
      <c r="CS959" s="4" t="s">
        <v>49</v>
      </c>
      <c r="CT959" s="70">
        <v>1617.36022949218</v>
      </c>
      <c r="CU959" s="70">
        <v>26.2737922668457</v>
      </c>
      <c r="CV959" s="70">
        <v>10.8704414367675</v>
      </c>
      <c r="CW959" s="70">
        <v>15.2883958816528</v>
      </c>
      <c r="CX959" s="4"/>
      <c r="CY959" s="69"/>
      <c r="CZ959" s="2" t="b">
        <f>IF($DP$1="YES",IF(RecData[[#This Row],[Power (kW)]]&gt;=$CR$3, TRUE,FALSE),TRUE)</f>
        <v>1</v>
      </c>
      <c r="DA959" s="16">
        <f>MIN(MOD(180-ABS(ABS($DA$1-RecData[Yaw Angle (°)])-180),360),MOD(180-ABS(ABS($DB$1-RecData[Yaw Angle (°)])-180),360))</f>
        <v>18.743865489158139</v>
      </c>
      <c r="DB959" s="2" t="str">
        <f>IF($DP$2="None","None",IF(RecData[[#This Row],[Relative Wind Direction]]&lt;=45,"DW",IF(RecData[[#This Row],[Relative Wind Direction]]&lt;=135,"CW","UW")))</f>
        <v>DW</v>
      </c>
      <c r="DC959" s="61">
        <f>IF($CL959-$CL955&gt;1/24,#REF!,IF(SUM($CQ955:$CQ959)&gt;$DS$1,$DS$5,DC960-1))</f>
        <v>-3</v>
      </c>
      <c r="DD959" s="61" t="e">
        <f>IF($CL960-$CL959&gt;1/24,#REF!,IF(SUM($CQ955:$CQ959)&gt;$DS$1,$DS$6,DD958-1))</f>
        <v>#REF!</v>
      </c>
      <c r="DE959" s="18" t="b">
        <v>0</v>
      </c>
      <c r="DF959" s="2" t="b">
        <f>IF(OR(RecData[[#This Row],[WSpd_Avg '[m/s']]]-RecData[[#This Row],[Wind Speed min]]&gt;=$DF$3,RecData[[#This Row],[Wind Speed max]]-RecData[[#This Row],[WSpd_Avg '[m/s']]]&gt;=$DF$2),TRUE,FALSE)</f>
        <v>0</v>
      </c>
      <c r="DG959" s="2" t="b">
        <f>RecData[[#This Row],[Temperature '[°C']]]&lt;=-20</f>
        <v>0</v>
      </c>
      <c r="DH959" s="18" t="b">
        <f>NOT(OR(MOD(RecData[[#This Row],[TIMESTAMP]],1)&gt;0.91632,MOD(RecData[[#This Row],[TIMESTAMP]],1)&lt;0.208681))</f>
        <v>0</v>
      </c>
      <c r="DI959" s="18" t="b">
        <f>RecData[[#This Row],[Overall (dBA)]]-RecData[[#This Row],[L90]]&gt;=$DS$4</f>
        <v>0</v>
      </c>
      <c r="DJ959" s="18" t="b">
        <f>RecData[[#This Row],[Overall (dBA)]]&gt;$DS$2</f>
        <v>0</v>
      </c>
      <c r="DK959" s="18" t="b">
        <f>RecData[[#This Row],[Overall (dBA)]]&lt;$DS$3</f>
        <v>0</v>
      </c>
      <c r="DL9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59" s="2">
        <f>IF(AND(RecData[[#This Row],[Turbines ON/OFF]] = "OFF", NOT(OR(RecData[[#This Row],[Junk?]]="YES",RecData[[#This Row],[Gust?]],RecData[[#This Row],[Rain?]:[Min SPL Threshold?]]))),1,0)</f>
        <v>0</v>
      </c>
      <c r="DN959" s="16">
        <f>RecData[[#This Row],[dBA Sum]]</f>
        <v>38.822490844935082</v>
      </c>
      <c r="DO959" s="16">
        <f>RecData[[#This Row],[LAF90.0]]</f>
        <v>37.700000000000003</v>
      </c>
      <c r="DP959" s="55">
        <f>IF(AND(RecData[[#This Row],[Useable TON Data?]],RecData[[#This Row],[Turbines ON/OFF]]="ON"),RecData[[#This Row],[dBA Sum]],"")</f>
        <v>38.822490844935082</v>
      </c>
      <c r="DQ959" s="55" t="str">
        <f>IF(AND(RecData[[#This Row],[Useable Background Data?]],RecData[[#This Row],[Turbines ON/OFF]]="OFF"),RecData[[#This Row],[dBA Sum]],"")</f>
        <v/>
      </c>
      <c r="DR959" s="3">
        <f>IF(OR(RecData[[#This Row],[Useable TON Data?]],RecData[[#This Row],[Useable Background Data?]]),ROUND(RecData[[#This Row],[WSpd_Avg '[m/s']]],0),"")</f>
        <v>1</v>
      </c>
      <c r="DS959" s="85">
        <f>(0.00002)^2*(10^(RecData[[#This Row],[Overall (dBA)]]/10))</f>
        <v>3.0500648673849985E-6</v>
      </c>
    </row>
    <row r="960" spans="1:123" ht="15" x14ac:dyDescent="0.25">
      <c r="A960" s="3" t="s">
        <v>249</v>
      </c>
      <c r="B960" s="12">
        <v>43275.011805555558</v>
      </c>
      <c r="C960" s="3"/>
      <c r="D960" s="3">
        <v>39.200000000000003</v>
      </c>
      <c r="E960" s="3"/>
      <c r="F960" s="3"/>
      <c r="G960" s="3"/>
      <c r="H960" s="3"/>
      <c r="I960" s="3"/>
      <c r="J960" s="3"/>
      <c r="K960" s="3">
        <v>37.9</v>
      </c>
      <c r="L960" s="3"/>
      <c r="M960" s="3"/>
      <c r="N960" s="3">
        <v>197.9</v>
      </c>
      <c r="O960" s="3"/>
      <c r="P960" s="3"/>
      <c r="Q960" s="3">
        <v>0.78</v>
      </c>
      <c r="R960" s="3">
        <v>0.1</v>
      </c>
      <c r="S960" s="3">
        <v>1.4</v>
      </c>
      <c r="T960" s="3">
        <v>15.7</v>
      </c>
      <c r="U960" s="3">
        <v>64.7</v>
      </c>
      <c r="V960" s="3">
        <v>966.3</v>
      </c>
      <c r="W960" s="3">
        <v>0</v>
      </c>
      <c r="X960" s="3">
        <v>47.4</v>
      </c>
      <c r="Y960" s="3">
        <v>47.1</v>
      </c>
      <c r="Z960" s="3">
        <v>47.4</v>
      </c>
      <c r="AA960" s="3">
        <v>42</v>
      </c>
      <c r="AB960" s="3">
        <v>37.1</v>
      </c>
      <c r="AC960" s="3">
        <v>36</v>
      </c>
      <c r="AD960" s="3">
        <v>38.4</v>
      </c>
      <c r="AE960" s="3">
        <v>40</v>
      </c>
      <c r="AF960" s="3">
        <v>44.9</v>
      </c>
      <c r="AG960" s="3">
        <v>38.5</v>
      </c>
      <c r="AH960" s="3">
        <v>36.299999999999997</v>
      </c>
      <c r="AI960" s="3">
        <v>36.799999999999997</v>
      </c>
      <c r="AJ960" s="3">
        <v>35.200000000000003</v>
      </c>
      <c r="AK960" s="3">
        <v>33.6</v>
      </c>
      <c r="AL960" s="3">
        <v>31.7</v>
      </c>
      <c r="AM960" s="3">
        <v>31.4</v>
      </c>
      <c r="AN960" s="3">
        <v>29.8</v>
      </c>
      <c r="AO960" s="3">
        <v>27.1</v>
      </c>
      <c r="AP960" s="3">
        <v>25.4</v>
      </c>
      <c r="AQ960" s="3">
        <v>23.7</v>
      </c>
      <c r="AR960" s="3">
        <v>21.6</v>
      </c>
      <c r="AS960" s="3">
        <v>19.2</v>
      </c>
      <c r="AT960" s="3">
        <v>26.9</v>
      </c>
      <c r="AU960" s="3">
        <v>14.2</v>
      </c>
      <c r="AV960" s="3">
        <v>11.5</v>
      </c>
      <c r="AW960" s="3">
        <v>10.9</v>
      </c>
      <c r="AX960" s="3">
        <v>9.4</v>
      </c>
      <c r="AY960" s="3">
        <v>9.4</v>
      </c>
      <c r="AZ960" s="3">
        <v>0</v>
      </c>
      <c r="BA960" s="3">
        <v>0</v>
      </c>
      <c r="BB960" s="3">
        <v>0</v>
      </c>
      <c r="BC960" s="3">
        <v>39.216665220795647</v>
      </c>
      <c r="BD960" s="3">
        <v>47.383334779204347</v>
      </c>
      <c r="BE960" s="3">
        <v>47.083334779204364</v>
      </c>
      <c r="BF960" s="3">
        <v>46.143334779204352</v>
      </c>
      <c r="BG960" s="3">
        <v>41.070001445871014</v>
      </c>
      <c r="BH960" s="3">
        <v>36.310001445871023</v>
      </c>
      <c r="BI960" s="3">
        <v>35.623334779204356</v>
      </c>
      <c r="BJ960" s="3">
        <v>38.816668112537684</v>
      </c>
      <c r="BK960" s="3">
        <v>40.290001445871013</v>
      </c>
      <c r="BL960" s="3">
        <v>44.763334779204357</v>
      </c>
      <c r="BM960" s="3">
        <v>38.496668112537691</v>
      </c>
      <c r="BN960" s="3">
        <v>36.580001445871019</v>
      </c>
      <c r="BO960" s="3">
        <v>36.446668112537679</v>
      </c>
      <c r="BP960" s="3">
        <v>34.563334779204354</v>
      </c>
      <c r="BQ960" s="3">
        <v>33.380001445871017</v>
      </c>
      <c r="BR960" s="3">
        <v>31.806668112537693</v>
      </c>
      <c r="BS960" s="3">
        <v>31.310001445871023</v>
      </c>
      <c r="BT960" s="3">
        <v>29.906668112537687</v>
      </c>
      <c r="BU960" s="3">
        <v>27.173334779204367</v>
      </c>
      <c r="BV960" s="3">
        <v>25.190001445871019</v>
      </c>
      <c r="BW960" s="3">
        <v>24.023334779204362</v>
      </c>
      <c r="BX960" s="3">
        <v>21.843334779204362</v>
      </c>
      <c r="BY960" s="3">
        <v>19.263334779204357</v>
      </c>
      <c r="BZ960" s="3">
        <v>27.093334779204355</v>
      </c>
      <c r="CA960" s="3">
        <v>14.493334779204346</v>
      </c>
      <c r="CB960" s="3">
        <v>11.230001445871018</v>
      </c>
      <c r="CC960" s="3">
        <v>10.843334779204355</v>
      </c>
      <c r="CD960" s="3">
        <v>8.6500014458710268</v>
      </c>
      <c r="CE960" s="3">
        <v>8.8433347792043548</v>
      </c>
      <c r="CF960" s="3">
        <v>-0.943331887462314</v>
      </c>
      <c r="CG960" s="3">
        <v>-1.4766652207956454</v>
      </c>
      <c r="CH960" s="3">
        <v>-2.5533318874623134</v>
      </c>
      <c r="CI960" s="13">
        <f>[1]!dbasum(RecData[[#This Row],[20]:[2000]],RecData[[#Headers],[20]:[2000]])</f>
        <v>38.683810301954956</v>
      </c>
      <c r="CJ960" s="14">
        <v>10314</v>
      </c>
      <c r="CK960" s="15" t="s">
        <v>249</v>
      </c>
      <c r="CL960" s="15">
        <f>RecData[[#This Row],[Start Time]]</f>
        <v>43275.011805555558</v>
      </c>
      <c r="CM960" s="16">
        <f>RecData[[#This Row],[Wind Speed avg]]</f>
        <v>0.78</v>
      </c>
      <c r="CN960" s="16">
        <f>RecData[[#This Row],[Wind Dir. avg]]</f>
        <v>197.9</v>
      </c>
      <c r="CO960" s="16">
        <f>RecData[[#This Row],[Amb. Humidity]]</f>
        <v>64.7</v>
      </c>
      <c r="CP960" s="16">
        <f>RecData[[#This Row],[Amb. Temperature]]</f>
        <v>15.7</v>
      </c>
      <c r="CQ960" s="17">
        <f>RecData[[#This Row],[Amb. Rain Gauge]]</f>
        <v>0</v>
      </c>
      <c r="CR960" s="4" t="s">
        <v>1</v>
      </c>
      <c r="CS960" s="4" t="s">
        <v>49</v>
      </c>
      <c r="CT960" s="70">
        <v>1617.36022949218</v>
      </c>
      <c r="CU960" s="70">
        <v>26.2737922668457</v>
      </c>
      <c r="CV960" s="70">
        <v>10.8704414367675</v>
      </c>
      <c r="CW960" s="70">
        <v>15.2883958816528</v>
      </c>
      <c r="CX960" s="4"/>
      <c r="CY960" s="69"/>
      <c r="CZ960" s="2" t="b">
        <f>IF($DP$1="YES",IF(RecData[[#This Row],[Power (kW)]]&gt;=$CR$3, TRUE,FALSE),TRUE)</f>
        <v>1</v>
      </c>
      <c r="DA960" s="16">
        <f>MIN(MOD(180-ABS(ABS($DA$1-RecData[Yaw Angle (°)])-180),360),MOD(180-ABS(ABS($DB$1-RecData[Yaw Angle (°)])-180),360))</f>
        <v>18.743865489158139</v>
      </c>
      <c r="DB960" s="2" t="str">
        <f>IF($DP$2="None","None",IF(RecData[[#This Row],[Relative Wind Direction]]&lt;=45,"DW",IF(RecData[[#This Row],[Relative Wind Direction]]&lt;=135,"CW","UW")))</f>
        <v>DW</v>
      </c>
      <c r="DC960" s="61">
        <f>IF($CL960-$CL956&gt;1/24,#REF!,IF(SUM($CQ956:$CQ960)&gt;$DS$1,$DS$5,DC961-1))</f>
        <v>-2</v>
      </c>
      <c r="DD960" s="61" t="e">
        <f>IF($CL961-$CL960&gt;1/24,#REF!,IF(SUM($CQ956:$CQ960)&gt;$DS$1,$DS$6,DD959-1))</f>
        <v>#REF!</v>
      </c>
      <c r="DE960" s="18" t="b">
        <v>0</v>
      </c>
      <c r="DF960" s="2" t="b">
        <f>IF(OR(RecData[[#This Row],[WSpd_Avg '[m/s']]]-RecData[[#This Row],[Wind Speed min]]&gt;=$DF$3,RecData[[#This Row],[Wind Speed max]]-RecData[[#This Row],[WSpd_Avg '[m/s']]]&gt;=$DF$2),TRUE,FALSE)</f>
        <v>0</v>
      </c>
      <c r="DG960" s="2" t="b">
        <f>RecData[[#This Row],[Temperature '[°C']]]&lt;=-20</f>
        <v>0</v>
      </c>
      <c r="DH960" s="18" t="b">
        <f>NOT(OR(MOD(RecData[[#This Row],[TIMESTAMP]],1)&gt;0.91632,MOD(RecData[[#This Row],[TIMESTAMP]],1)&lt;0.208681))</f>
        <v>0</v>
      </c>
      <c r="DI960" s="18" t="b">
        <f>RecData[[#This Row],[Overall (dBA)]]-RecData[[#This Row],[L90]]&gt;=$DS$4</f>
        <v>0</v>
      </c>
      <c r="DJ960" s="18" t="b">
        <f>RecData[[#This Row],[Overall (dBA)]]&gt;$DS$2</f>
        <v>0</v>
      </c>
      <c r="DK960" s="18" t="b">
        <f>RecData[[#This Row],[Overall (dBA)]]&lt;$DS$3</f>
        <v>0</v>
      </c>
      <c r="DL9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0" s="2">
        <f>IF(AND(RecData[[#This Row],[Turbines ON/OFF]] = "OFF", NOT(OR(RecData[[#This Row],[Junk?]]="YES",RecData[[#This Row],[Gust?]],RecData[[#This Row],[Rain?]:[Min SPL Threshold?]]))),1,0)</f>
        <v>0</v>
      </c>
      <c r="DN960" s="16">
        <f>RecData[[#This Row],[dBA Sum]]</f>
        <v>38.683810301954956</v>
      </c>
      <c r="DO960" s="16">
        <f>RecData[[#This Row],[LAF90.0]]</f>
        <v>37.9</v>
      </c>
      <c r="DP960" s="55">
        <f>IF(AND(RecData[[#This Row],[Useable TON Data?]],RecData[[#This Row],[Turbines ON/OFF]]="ON"),RecData[[#This Row],[dBA Sum]],"")</f>
        <v>38.683810301954956</v>
      </c>
      <c r="DQ960" s="55" t="str">
        <f>IF(AND(RecData[[#This Row],[Useable Background Data?]],RecData[[#This Row],[Turbines ON/OFF]]="OFF"),RecData[[#This Row],[dBA Sum]],"")</f>
        <v/>
      </c>
      <c r="DR960" s="3">
        <f>IF(OR(RecData[[#This Row],[Useable TON Data?]],RecData[[#This Row],[Useable Background Data?]]),ROUND(RecData[[#This Row],[WSpd_Avg '[m/s']]],0),"")</f>
        <v>1</v>
      </c>
      <c r="DS960" s="85">
        <f>(0.00002)^2*(10^(RecData[[#This Row],[Overall (dBA)]]/10))</f>
        <v>2.9542076710878759E-6</v>
      </c>
    </row>
    <row r="961" spans="1:123" ht="15" x14ac:dyDescent="0.25">
      <c r="A961" s="3" t="s">
        <v>249</v>
      </c>
      <c r="B961" s="12">
        <v>43275.012499999997</v>
      </c>
      <c r="C961" s="3"/>
      <c r="D961" s="3">
        <v>39.700000000000003</v>
      </c>
      <c r="E961" s="3"/>
      <c r="F961" s="3"/>
      <c r="G961" s="3"/>
      <c r="H961" s="3"/>
      <c r="I961" s="3"/>
      <c r="J961" s="3"/>
      <c r="K961" s="3">
        <v>38.200000000000003</v>
      </c>
      <c r="L961" s="3"/>
      <c r="M961" s="3"/>
      <c r="N961" s="3">
        <v>178.6</v>
      </c>
      <c r="O961" s="3"/>
      <c r="P961" s="3"/>
      <c r="Q961" s="3">
        <v>1.02</v>
      </c>
      <c r="R961" s="3">
        <v>0.4</v>
      </c>
      <c r="S961" s="3">
        <v>1.6</v>
      </c>
      <c r="T961" s="3">
        <v>15.6</v>
      </c>
      <c r="U961" s="3">
        <v>64.400000000000006</v>
      </c>
      <c r="V961" s="3">
        <v>966.3</v>
      </c>
      <c r="W961" s="3">
        <v>0</v>
      </c>
      <c r="X961" s="3">
        <v>46.9</v>
      </c>
      <c r="Y961" s="3">
        <v>47</v>
      </c>
      <c r="Z961" s="3">
        <v>46.7</v>
      </c>
      <c r="AA961" s="3">
        <v>41</v>
      </c>
      <c r="AB961" s="3">
        <v>35.799999999999997</v>
      </c>
      <c r="AC961" s="3">
        <v>35.799999999999997</v>
      </c>
      <c r="AD961" s="3">
        <v>39.5</v>
      </c>
      <c r="AE961" s="3">
        <v>41</v>
      </c>
      <c r="AF961" s="3">
        <v>43.4</v>
      </c>
      <c r="AG961" s="3">
        <v>36.700000000000003</v>
      </c>
      <c r="AH961" s="3">
        <v>36.9</v>
      </c>
      <c r="AI961" s="3">
        <v>36.299999999999997</v>
      </c>
      <c r="AJ961" s="3">
        <v>35.200000000000003</v>
      </c>
      <c r="AK961" s="3">
        <v>33.4</v>
      </c>
      <c r="AL961" s="3">
        <v>31.6</v>
      </c>
      <c r="AM961" s="3">
        <v>31.4</v>
      </c>
      <c r="AN961" s="3">
        <v>30.1</v>
      </c>
      <c r="AO961" s="3">
        <v>27.5</v>
      </c>
      <c r="AP961" s="3">
        <v>25.8</v>
      </c>
      <c r="AQ961" s="3">
        <v>24.4</v>
      </c>
      <c r="AR961" s="3">
        <v>22.8</v>
      </c>
      <c r="AS961" s="3">
        <v>21.6</v>
      </c>
      <c r="AT961" s="3">
        <v>30.6</v>
      </c>
      <c r="AU961" s="3">
        <v>19.2</v>
      </c>
      <c r="AV961" s="3">
        <v>16.3</v>
      </c>
      <c r="AW961" s="3">
        <v>14.8</v>
      </c>
      <c r="AX961" s="3">
        <v>11.7</v>
      </c>
      <c r="AY961" s="3">
        <v>10.8</v>
      </c>
      <c r="AZ961" s="3">
        <v>0</v>
      </c>
      <c r="BA961" s="3">
        <v>0</v>
      </c>
      <c r="BB961" s="3">
        <v>0</v>
      </c>
      <c r="BC961" s="3">
        <v>39.695468617976289</v>
      </c>
      <c r="BD961" s="3">
        <v>46.904531382023706</v>
      </c>
      <c r="BE961" s="3">
        <v>47.004531382023714</v>
      </c>
      <c r="BF961" s="3">
        <v>45.464531382023708</v>
      </c>
      <c r="BG961" s="3">
        <v>40.091198048690373</v>
      </c>
      <c r="BH961" s="3">
        <v>35.031198048690371</v>
      </c>
      <c r="BI961" s="3">
        <v>35.444531382023712</v>
      </c>
      <c r="BJ961" s="3">
        <v>39.937864715357037</v>
      </c>
      <c r="BK961" s="3">
        <v>41.311198048690372</v>
      </c>
      <c r="BL961" s="3">
        <v>43.284531382023715</v>
      </c>
      <c r="BM961" s="3">
        <v>36.717864715357052</v>
      </c>
      <c r="BN961" s="3">
        <v>37.201198048690387</v>
      </c>
      <c r="BO961" s="3">
        <v>35.967864715357038</v>
      </c>
      <c r="BP961" s="3">
        <v>34.584531382023712</v>
      </c>
      <c r="BQ961" s="3">
        <v>33.201198048690372</v>
      </c>
      <c r="BR961" s="3">
        <v>31.727864715357057</v>
      </c>
      <c r="BS961" s="3">
        <v>31.331198048690382</v>
      </c>
      <c r="BT961" s="3">
        <v>30.227864715357057</v>
      </c>
      <c r="BU961" s="3">
        <v>27.594531382023717</v>
      </c>
      <c r="BV961" s="3">
        <v>25.611198048690383</v>
      </c>
      <c r="BW961" s="3">
        <v>24.744531382023709</v>
      </c>
      <c r="BX961" s="3">
        <v>23.064531382023716</v>
      </c>
      <c r="BY961" s="3">
        <v>21.684531382023714</v>
      </c>
      <c r="BZ961" s="3">
        <v>30.814531382023716</v>
      </c>
      <c r="CA961" s="3">
        <v>19.514531382023705</v>
      </c>
      <c r="CB961" s="3">
        <v>16.051198048690381</v>
      </c>
      <c r="CC961" s="3">
        <v>14.764531382023712</v>
      </c>
      <c r="CD961" s="3">
        <v>10.971198048690383</v>
      </c>
      <c r="CE961" s="3">
        <v>10.264531382023712</v>
      </c>
      <c r="CF961" s="3">
        <v>-0.92213528464295536</v>
      </c>
      <c r="CG961" s="3">
        <v>-1.4554686179762868</v>
      </c>
      <c r="CH961" s="3">
        <v>-2.5321352846429548</v>
      </c>
      <c r="CI961" s="13">
        <f>[1]!dbasum(RecData[[#This Row],[20]:[2000]],RecData[[#Headers],[20]:[2000]])</f>
        <v>38.660885679762544</v>
      </c>
      <c r="CJ961" s="14">
        <v>10315</v>
      </c>
      <c r="CK961" s="15" t="s">
        <v>249</v>
      </c>
      <c r="CL961" s="15">
        <f>RecData[[#This Row],[Start Time]]</f>
        <v>43275.012499999997</v>
      </c>
      <c r="CM961" s="16">
        <f>RecData[[#This Row],[Wind Speed avg]]</f>
        <v>1.02</v>
      </c>
      <c r="CN961" s="16">
        <f>RecData[[#This Row],[Wind Dir. avg]]</f>
        <v>178.6</v>
      </c>
      <c r="CO961" s="16">
        <f>RecData[[#This Row],[Amb. Humidity]]</f>
        <v>64.400000000000006</v>
      </c>
      <c r="CP961" s="16">
        <f>RecData[[#This Row],[Amb. Temperature]]</f>
        <v>15.6</v>
      </c>
      <c r="CQ961" s="17">
        <f>RecData[[#This Row],[Amb. Rain Gauge]]</f>
        <v>0</v>
      </c>
      <c r="CR961" s="4" t="s">
        <v>1</v>
      </c>
      <c r="CS961" s="4" t="s">
        <v>49</v>
      </c>
      <c r="CT961" s="70">
        <v>1617.36022949218</v>
      </c>
      <c r="CU961" s="70">
        <v>26.2737922668457</v>
      </c>
      <c r="CV961" s="70">
        <v>10.8704414367675</v>
      </c>
      <c r="CW961" s="70">
        <v>15.2883958816528</v>
      </c>
      <c r="CX961" s="4"/>
      <c r="CY961" s="69"/>
      <c r="CZ961" s="2" t="b">
        <f>IF($DP$1="YES",IF(RecData[[#This Row],[Power (kW)]]&gt;=$CR$3, TRUE,FALSE),TRUE)</f>
        <v>1</v>
      </c>
      <c r="DA961" s="16">
        <f>MIN(MOD(180-ABS(ABS($DA$1-RecData[Yaw Angle (°)])-180),360),MOD(180-ABS(ABS($DB$1-RecData[Yaw Angle (°)])-180),360))</f>
        <v>18.743865489158139</v>
      </c>
      <c r="DB961" s="2" t="str">
        <f>IF($DP$2="None","None",IF(RecData[[#This Row],[Relative Wind Direction]]&lt;=45,"DW",IF(RecData[[#This Row],[Relative Wind Direction]]&lt;=135,"CW","UW")))</f>
        <v>DW</v>
      </c>
      <c r="DC961" s="61">
        <v>-1</v>
      </c>
      <c r="DD961" s="61">
        <v>-1</v>
      </c>
      <c r="DE961" s="18" t="b">
        <v>0</v>
      </c>
      <c r="DF961" s="2" t="b">
        <f>IF(OR(RecData[[#This Row],[WSpd_Avg '[m/s']]]-RecData[[#This Row],[Wind Speed min]]&gt;=$DF$3,RecData[[#This Row],[Wind Speed max]]-RecData[[#This Row],[WSpd_Avg '[m/s']]]&gt;=$DF$2),TRUE,FALSE)</f>
        <v>0</v>
      </c>
      <c r="DG961" s="2" t="b">
        <f>RecData[[#This Row],[Temperature '[°C']]]&lt;=-20</f>
        <v>0</v>
      </c>
      <c r="DH961" s="18" t="b">
        <f>NOT(OR(MOD(RecData[[#This Row],[TIMESTAMP]],1)&gt;0.91632,MOD(RecData[[#This Row],[TIMESTAMP]],1)&lt;0.208681))</f>
        <v>0</v>
      </c>
      <c r="DI961" s="18" t="b">
        <f>RecData[[#This Row],[Overall (dBA)]]-RecData[[#This Row],[L90]]&gt;=$DS$4</f>
        <v>0</v>
      </c>
      <c r="DJ961" s="18" t="b">
        <f>RecData[[#This Row],[Overall (dBA)]]&gt;$DS$2</f>
        <v>0</v>
      </c>
      <c r="DK961" s="18" t="b">
        <f>RecData[[#This Row],[Overall (dBA)]]&lt;$DS$3</f>
        <v>0</v>
      </c>
      <c r="DL9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1" s="2">
        <f>IF(AND(RecData[[#This Row],[Turbines ON/OFF]] = "OFF", NOT(OR(RecData[[#This Row],[Junk?]]="YES",RecData[[#This Row],[Gust?]],RecData[[#This Row],[Rain?]:[Min SPL Threshold?]]))),1,0)</f>
        <v>0</v>
      </c>
      <c r="DN961" s="16">
        <f>RecData[[#This Row],[dBA Sum]]</f>
        <v>38.660885679762544</v>
      </c>
      <c r="DO961" s="16">
        <f>RecData[[#This Row],[LAF90.0]]</f>
        <v>38.200000000000003</v>
      </c>
      <c r="DP961" s="55">
        <f>IF(AND(RecData[[#This Row],[Useable TON Data?]],RecData[[#This Row],[Turbines ON/OFF]]="ON"),RecData[[#This Row],[dBA Sum]],"")</f>
        <v>38.660885679762544</v>
      </c>
      <c r="DQ961" s="55" t="str">
        <f>IF(AND(RecData[[#This Row],[Useable Background Data?]],RecData[[#This Row],[Turbines ON/OFF]]="OFF"),RecData[[#This Row],[dBA Sum]],"")</f>
        <v/>
      </c>
      <c r="DR961" s="3">
        <f>IF(OR(RecData[[#This Row],[Useable TON Data?]],RecData[[#This Row],[Useable Background Data?]]),ROUND(RecData[[#This Row],[WSpd_Avg '[m/s']]],0),"")</f>
        <v>1</v>
      </c>
      <c r="DS961" s="85">
        <f>(0.00002)^2*(10^(RecData[[#This Row],[Overall (dBA)]]/10))</f>
        <v>2.9386547069585378E-6</v>
      </c>
    </row>
    <row r="962" spans="1:123" ht="15" x14ac:dyDescent="0.25">
      <c r="A962" s="3" t="s">
        <v>249</v>
      </c>
      <c r="B962" s="12">
        <v>43275.013194444444</v>
      </c>
      <c r="C962" s="3"/>
      <c r="D962" s="3">
        <v>39.5</v>
      </c>
      <c r="E962" s="3"/>
      <c r="F962" s="3"/>
      <c r="G962" s="3"/>
      <c r="H962" s="3"/>
      <c r="I962" s="3"/>
      <c r="J962" s="3"/>
      <c r="K962" s="3">
        <v>38.5</v>
      </c>
      <c r="L962" s="3"/>
      <c r="M962" s="3"/>
      <c r="N962" s="3">
        <v>211</v>
      </c>
      <c r="O962" s="3"/>
      <c r="P962" s="3"/>
      <c r="Q962" s="3">
        <v>0.78</v>
      </c>
      <c r="R962" s="3">
        <v>0.2</v>
      </c>
      <c r="S962" s="3">
        <v>1.3</v>
      </c>
      <c r="T962" s="3">
        <v>15.6</v>
      </c>
      <c r="U962" s="3">
        <v>64.400000000000006</v>
      </c>
      <c r="V962" s="3">
        <v>966.3</v>
      </c>
      <c r="W962" s="3">
        <v>0</v>
      </c>
      <c r="X962" s="3">
        <v>48</v>
      </c>
      <c r="Y962" s="3">
        <v>48</v>
      </c>
      <c r="Z962" s="3">
        <v>47.4</v>
      </c>
      <c r="AA962" s="3">
        <v>42.4</v>
      </c>
      <c r="AB962" s="3">
        <v>37.700000000000003</v>
      </c>
      <c r="AC962" s="3">
        <v>35.4</v>
      </c>
      <c r="AD962" s="3">
        <v>39</v>
      </c>
      <c r="AE962" s="3">
        <v>41</v>
      </c>
      <c r="AF962" s="3">
        <v>45.7</v>
      </c>
      <c r="AG962" s="3">
        <v>38.299999999999997</v>
      </c>
      <c r="AH962" s="3">
        <v>37</v>
      </c>
      <c r="AI962" s="3">
        <v>37</v>
      </c>
      <c r="AJ962" s="3">
        <v>35.6</v>
      </c>
      <c r="AK962" s="3">
        <v>33.799999999999997</v>
      </c>
      <c r="AL962" s="3">
        <v>31.7</v>
      </c>
      <c r="AM962" s="3">
        <v>31.3</v>
      </c>
      <c r="AN962" s="3">
        <v>29.6</v>
      </c>
      <c r="AO962" s="3">
        <v>27.4</v>
      </c>
      <c r="AP962" s="3">
        <v>26</v>
      </c>
      <c r="AQ962" s="3">
        <v>24.7</v>
      </c>
      <c r="AR962" s="3">
        <v>23.2</v>
      </c>
      <c r="AS962" s="3">
        <v>21.5</v>
      </c>
      <c r="AT962" s="3">
        <v>25.7</v>
      </c>
      <c r="AU962" s="3">
        <v>16.600000000000001</v>
      </c>
      <c r="AV962" s="3">
        <v>14.1</v>
      </c>
      <c r="AW962" s="3">
        <v>12.8</v>
      </c>
      <c r="AX962" s="3">
        <v>10.199999999999999</v>
      </c>
      <c r="AY962" s="3">
        <v>9.6</v>
      </c>
      <c r="AZ962" s="3">
        <v>0</v>
      </c>
      <c r="BA962" s="3">
        <v>0</v>
      </c>
      <c r="BB962" s="3">
        <v>0</v>
      </c>
      <c r="BC962" s="3">
        <v>39.487691618536168</v>
      </c>
      <c r="BD962" s="3">
        <v>48.012308381463832</v>
      </c>
      <c r="BE962" s="3">
        <v>48.012308381463832</v>
      </c>
      <c r="BF962" s="3">
        <v>46.172308381463829</v>
      </c>
      <c r="BG962" s="3">
        <v>41.498975048130497</v>
      </c>
      <c r="BH962" s="3">
        <v>36.938975048130509</v>
      </c>
      <c r="BI962" s="3">
        <v>35.052308381463824</v>
      </c>
      <c r="BJ962" s="3">
        <v>39.445641714797169</v>
      </c>
      <c r="BK962" s="3">
        <v>41.318975048130504</v>
      </c>
      <c r="BL962" s="3">
        <v>45.592308381463845</v>
      </c>
      <c r="BM962" s="3">
        <v>38.325641714797165</v>
      </c>
      <c r="BN962" s="3">
        <v>37.308975048130499</v>
      </c>
      <c r="BO962" s="3">
        <v>36.675641714797159</v>
      </c>
      <c r="BP962" s="3">
        <v>34.992308381463836</v>
      </c>
      <c r="BQ962" s="3">
        <v>33.608975048130496</v>
      </c>
      <c r="BR962" s="3">
        <v>31.83564171479717</v>
      </c>
      <c r="BS962" s="3">
        <v>31.238975048130492</v>
      </c>
      <c r="BT962" s="3">
        <v>29.735641714797161</v>
      </c>
      <c r="BU962" s="3">
        <v>27.502308381463841</v>
      </c>
      <c r="BV962" s="3">
        <v>25.818975048130504</v>
      </c>
      <c r="BW962" s="3">
        <v>25.052308381463838</v>
      </c>
      <c r="BX962" s="3">
        <v>23.47230838146384</v>
      </c>
      <c r="BY962" s="3">
        <v>21.59230838146383</v>
      </c>
      <c r="BZ962" s="3">
        <v>25.922308381463829</v>
      </c>
      <c r="CA962" s="3">
        <v>16.922308381463829</v>
      </c>
      <c r="CB962" s="3">
        <v>13.858975048130496</v>
      </c>
      <c r="CC962" s="3">
        <v>12.77230838146383</v>
      </c>
      <c r="CD962" s="3">
        <v>9.4789750481305006</v>
      </c>
      <c r="CE962" s="3">
        <v>9.0723083814638343</v>
      </c>
      <c r="CF962" s="3">
        <v>-0.91435828520283735</v>
      </c>
      <c r="CG962" s="3">
        <v>-1.4476916185361688</v>
      </c>
      <c r="CH962" s="3">
        <v>-2.5243582852028368</v>
      </c>
      <c r="CI962" s="13">
        <f>[1]!dbasum(RecData[[#This Row],[20]:[2000]],RecData[[#Headers],[20]:[2000]])</f>
        <v>39.033948223390816</v>
      </c>
      <c r="CJ962" s="14">
        <v>10316</v>
      </c>
      <c r="CK962" s="15" t="s">
        <v>249</v>
      </c>
      <c r="CL962" s="15">
        <f>RecData[[#This Row],[Start Time]]</f>
        <v>43275.013194444444</v>
      </c>
      <c r="CM962" s="16">
        <f>RecData[[#This Row],[Wind Speed avg]]</f>
        <v>0.78</v>
      </c>
      <c r="CN962" s="16">
        <f>RecData[[#This Row],[Wind Dir. avg]]</f>
        <v>211</v>
      </c>
      <c r="CO962" s="16">
        <f>RecData[[#This Row],[Amb. Humidity]]</f>
        <v>64.400000000000006</v>
      </c>
      <c r="CP962" s="16">
        <f>RecData[[#This Row],[Amb. Temperature]]</f>
        <v>15.6</v>
      </c>
      <c r="CQ962" s="17">
        <f>RecData[[#This Row],[Amb. Rain Gauge]]</f>
        <v>0</v>
      </c>
      <c r="CR962" s="4" t="s">
        <v>1</v>
      </c>
      <c r="CS962" s="4" t="s">
        <v>49</v>
      </c>
      <c r="CT962" s="70">
        <v>1617.36022949218</v>
      </c>
      <c r="CU962" s="70">
        <v>26.2737922668457</v>
      </c>
      <c r="CV962" s="70">
        <v>10.8704414367675</v>
      </c>
      <c r="CW962" s="70">
        <v>15.2883958816528</v>
      </c>
      <c r="CX962" s="4"/>
      <c r="CY962" s="69"/>
      <c r="CZ962" s="2" t="b">
        <f>IF($DP$1="YES",IF(RecData[[#This Row],[Power (kW)]]&gt;=$CR$3, TRUE,FALSE),TRUE)</f>
        <v>1</v>
      </c>
      <c r="DA962" s="16">
        <f>MIN(MOD(180-ABS(ABS($DA$1-RecData[Yaw Angle (°)])-180),360),MOD(180-ABS(ABS($DB$1-RecData[Yaw Angle (°)])-180),360))</f>
        <v>18.743865489158139</v>
      </c>
      <c r="DB962" s="2" t="str">
        <f>IF($DP$2="None","None",IF(RecData[[#This Row],[Relative Wind Direction]]&lt;=45,"DW",IF(RecData[[#This Row],[Relative Wind Direction]]&lt;=135,"CW","UW")))</f>
        <v>DW</v>
      </c>
      <c r="DC962" s="61" t="e">
        <f>IF($CL962-$CL961&gt;1/24,#REF!,IF(SUM($CQ961:$CQ962)&gt;$DS$1,$DS$5,#REF!-1))</f>
        <v>#REF!</v>
      </c>
      <c r="DD962" s="61" t="e">
        <f>IF(#REF!-$CL962&gt;1/24,#REF!,IF(SUM($CQ961:$CQ962)&gt;$DS$1,$DS$6,DD961-1))</f>
        <v>#REF!</v>
      </c>
      <c r="DE962" s="18" t="b">
        <v>0</v>
      </c>
      <c r="DF962" s="2" t="b">
        <f>IF(OR(RecData[[#This Row],[WSpd_Avg '[m/s']]]-RecData[[#This Row],[Wind Speed min]]&gt;=$DF$3,RecData[[#This Row],[Wind Speed max]]-RecData[[#This Row],[WSpd_Avg '[m/s']]]&gt;=$DF$2),TRUE,FALSE)</f>
        <v>0</v>
      </c>
      <c r="DG962" s="2" t="b">
        <f>RecData[[#This Row],[Temperature '[°C']]]&lt;=-20</f>
        <v>0</v>
      </c>
      <c r="DH962" s="18" t="b">
        <f>NOT(OR(MOD(RecData[[#This Row],[TIMESTAMP]],1)&gt;0.91632,MOD(RecData[[#This Row],[TIMESTAMP]],1)&lt;0.208681))</f>
        <v>0</v>
      </c>
      <c r="DI962" s="18" t="b">
        <f>RecData[[#This Row],[Overall (dBA)]]-RecData[[#This Row],[L90]]&gt;=$DS$4</f>
        <v>0</v>
      </c>
      <c r="DJ962" s="18" t="b">
        <f>RecData[[#This Row],[Overall (dBA)]]&gt;$DS$2</f>
        <v>0</v>
      </c>
      <c r="DK962" s="18" t="b">
        <f>RecData[[#This Row],[Overall (dBA)]]&lt;$DS$3</f>
        <v>0</v>
      </c>
      <c r="DL9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2" s="2">
        <f>IF(AND(RecData[[#This Row],[Turbines ON/OFF]] = "OFF", NOT(OR(RecData[[#This Row],[Junk?]]="YES",RecData[[#This Row],[Gust?]],RecData[[#This Row],[Rain?]:[Min SPL Threshold?]]))),1,0)</f>
        <v>0</v>
      </c>
      <c r="DN962" s="16">
        <f>RecData[[#This Row],[dBA Sum]]</f>
        <v>39.033948223390816</v>
      </c>
      <c r="DO962" s="16">
        <f>RecData[[#This Row],[LAF90.0]]</f>
        <v>38.5</v>
      </c>
      <c r="DP962" s="55">
        <f>IF(AND(RecData[[#This Row],[Useable TON Data?]],RecData[[#This Row],[Turbines ON/OFF]]="ON"),RecData[[#This Row],[dBA Sum]],"")</f>
        <v>39.033948223390816</v>
      </c>
      <c r="DQ962" s="55" t="str">
        <f>IF(AND(RecData[[#This Row],[Useable Background Data?]],RecData[[#This Row],[Turbines ON/OFF]]="OFF"),RecData[[#This Row],[dBA Sum]],"")</f>
        <v/>
      </c>
      <c r="DR962" s="3">
        <f>IF(OR(RecData[[#This Row],[Useable TON Data?]],RecData[[#This Row],[Useable Background Data?]]),ROUND(RecData[[#This Row],[WSpd_Avg '[m/s']]],0),"")</f>
        <v>1</v>
      </c>
      <c r="DS962" s="85">
        <f>(0.00002)^2*(10^(RecData[[#This Row],[Overall (dBA)]]/10))</f>
        <v>3.2022468983108358E-6</v>
      </c>
    </row>
    <row r="963" spans="1:123" ht="15" x14ac:dyDescent="0.25">
      <c r="A963" s="3" t="s">
        <v>249</v>
      </c>
      <c r="B963" s="12">
        <v>43275.01458333333</v>
      </c>
      <c r="C963" s="3"/>
      <c r="D963" s="3">
        <v>41</v>
      </c>
      <c r="E963" s="3"/>
      <c r="F963" s="3"/>
      <c r="G963" s="3"/>
      <c r="H963" s="3"/>
      <c r="I963" s="3"/>
      <c r="J963" s="3"/>
      <c r="K963" s="3">
        <v>38.799999999999997</v>
      </c>
      <c r="L963" s="3"/>
      <c r="M963" s="3"/>
      <c r="N963" s="3">
        <v>186.2</v>
      </c>
      <c r="O963" s="3"/>
      <c r="P963" s="3"/>
      <c r="Q963" s="3">
        <v>1.29</v>
      </c>
      <c r="R963" s="3">
        <v>0.2</v>
      </c>
      <c r="S963" s="3">
        <v>2.5</v>
      </c>
      <c r="T963" s="3">
        <v>15.6</v>
      </c>
      <c r="U963" s="3">
        <v>64.2</v>
      </c>
      <c r="V963" s="3">
        <v>966.4</v>
      </c>
      <c r="W963" s="3">
        <v>0</v>
      </c>
      <c r="X963" s="3">
        <v>46.8</v>
      </c>
      <c r="Y963" s="3">
        <v>47.7</v>
      </c>
      <c r="Z963" s="3">
        <v>47.3</v>
      </c>
      <c r="AA963" s="3">
        <v>42.8</v>
      </c>
      <c r="AB963" s="3">
        <v>37.6</v>
      </c>
      <c r="AC963" s="3">
        <v>36.1</v>
      </c>
      <c r="AD963" s="3">
        <v>38.700000000000003</v>
      </c>
      <c r="AE963" s="3">
        <v>40.700000000000003</v>
      </c>
      <c r="AF963" s="3">
        <v>46.1</v>
      </c>
      <c r="AG963" s="3">
        <v>38.9</v>
      </c>
      <c r="AH963" s="3">
        <v>36.1</v>
      </c>
      <c r="AI963" s="3">
        <v>37.299999999999997</v>
      </c>
      <c r="AJ963" s="3">
        <v>35.200000000000003</v>
      </c>
      <c r="AK963" s="3">
        <v>33.799999999999997</v>
      </c>
      <c r="AL963" s="3">
        <v>32.299999999999997</v>
      </c>
      <c r="AM963" s="3">
        <v>32.1</v>
      </c>
      <c r="AN963" s="3">
        <v>31.2</v>
      </c>
      <c r="AO963" s="3">
        <v>28.9</v>
      </c>
      <c r="AP963" s="3">
        <v>27.9</v>
      </c>
      <c r="AQ963" s="3">
        <v>27.3</v>
      </c>
      <c r="AR963" s="3">
        <v>27</v>
      </c>
      <c r="AS963" s="3">
        <v>26.8</v>
      </c>
      <c r="AT963" s="3">
        <v>29.8</v>
      </c>
      <c r="AU963" s="3">
        <v>24.9</v>
      </c>
      <c r="AV963" s="3">
        <v>23.6</v>
      </c>
      <c r="AW963" s="3">
        <v>23.2</v>
      </c>
      <c r="AX963" s="3">
        <v>18.7</v>
      </c>
      <c r="AY963" s="3">
        <v>16.8</v>
      </c>
      <c r="AZ963" s="3">
        <v>0</v>
      </c>
      <c r="BA963" s="3">
        <v>0</v>
      </c>
      <c r="BB963" s="3">
        <v>0</v>
      </c>
      <c r="BC963" s="3">
        <v>41.047738391004387</v>
      </c>
      <c r="BD963" s="3">
        <v>46.75226160899561</v>
      </c>
      <c r="BE963" s="3">
        <v>47.652261608995616</v>
      </c>
      <c r="BF963" s="3">
        <v>46.012261608995615</v>
      </c>
      <c r="BG963" s="3">
        <v>41.838928275662269</v>
      </c>
      <c r="BH963" s="3">
        <v>36.778928275662281</v>
      </c>
      <c r="BI963" s="3">
        <v>35.692261608995622</v>
      </c>
      <c r="BJ963" s="3">
        <v>39.085594942328939</v>
      </c>
      <c r="BK963" s="3">
        <v>40.958928275662274</v>
      </c>
      <c r="BL963" s="3">
        <v>45.932261608995617</v>
      </c>
      <c r="BM963" s="3">
        <v>38.86559494232894</v>
      </c>
      <c r="BN963" s="3">
        <v>36.348928275662288</v>
      </c>
      <c r="BO963" s="3">
        <v>36.915594942328951</v>
      </c>
      <c r="BP963" s="3">
        <v>34.532261608995626</v>
      </c>
      <c r="BQ963" s="3">
        <v>33.548928275662277</v>
      </c>
      <c r="BR963" s="3">
        <v>32.375594942328945</v>
      </c>
      <c r="BS963" s="3">
        <v>31.978928275662284</v>
      </c>
      <c r="BT963" s="3">
        <v>31.275594942328951</v>
      </c>
      <c r="BU963" s="3">
        <v>28.942261608995622</v>
      </c>
      <c r="BV963" s="3">
        <v>27.658928275662277</v>
      </c>
      <c r="BW963" s="3">
        <v>27.592261608995614</v>
      </c>
      <c r="BX963" s="3">
        <v>27.212261608995618</v>
      </c>
      <c r="BY963" s="3">
        <v>26.832261608995609</v>
      </c>
      <c r="BZ963" s="3">
        <v>29.962261608995618</v>
      </c>
      <c r="CA963" s="3">
        <v>25.162261608995607</v>
      </c>
      <c r="CB963" s="3">
        <v>23.298928275662277</v>
      </c>
      <c r="CC963" s="3">
        <v>23.11226160899561</v>
      </c>
      <c r="CD963" s="3">
        <v>17.918928275662282</v>
      </c>
      <c r="CE963" s="3">
        <v>16.212261608995611</v>
      </c>
      <c r="CF963" s="3">
        <v>-0.97440505767105634</v>
      </c>
      <c r="CG963" s="3">
        <v>-1.5077383910043878</v>
      </c>
      <c r="CH963" s="3">
        <v>-2.5844050576710558</v>
      </c>
      <c r="CI963" s="13">
        <f>[1]!dbasum(RecData[[#This Row],[20]:[2000]],RecData[[#Headers],[20]:[2000]])</f>
        <v>39.881199142897991</v>
      </c>
      <c r="CJ963" s="14">
        <v>10318</v>
      </c>
      <c r="CK963" s="15" t="s">
        <v>249</v>
      </c>
      <c r="CL963" s="15">
        <f>RecData[[#This Row],[Start Time]]</f>
        <v>43275.01458333333</v>
      </c>
      <c r="CM963" s="16">
        <f>RecData[[#This Row],[Wind Speed avg]]</f>
        <v>1.29</v>
      </c>
      <c r="CN963" s="16">
        <f>RecData[[#This Row],[Wind Dir. avg]]</f>
        <v>186.2</v>
      </c>
      <c r="CO963" s="16">
        <f>RecData[[#This Row],[Amb. Humidity]]</f>
        <v>64.2</v>
      </c>
      <c r="CP963" s="16">
        <f>RecData[[#This Row],[Amb. Temperature]]</f>
        <v>15.6</v>
      </c>
      <c r="CQ963" s="17">
        <f>RecData[[#This Row],[Amb. Rain Gauge]]</f>
        <v>0</v>
      </c>
      <c r="CR963" s="4" t="s">
        <v>1</v>
      </c>
      <c r="CS963" s="4" t="s">
        <v>49</v>
      </c>
      <c r="CT963" s="70">
        <v>1619.431640625</v>
      </c>
      <c r="CU963" s="70">
        <v>27.000228881835898</v>
      </c>
      <c r="CV963" s="70">
        <v>11.5032863616943</v>
      </c>
      <c r="CW963" s="70">
        <v>15.27352809906</v>
      </c>
      <c r="CX963" s="4"/>
      <c r="CY963" s="69"/>
      <c r="CZ963" s="2" t="b">
        <f>IF($DP$1="YES",IF(RecData[[#This Row],[Power (kW)]]&gt;=$CR$3, TRUE,FALSE),TRUE)</f>
        <v>1</v>
      </c>
      <c r="DA963" s="16">
        <f>MIN(MOD(180-ABS(ABS($DA$1-RecData[Yaw Angle (°)])-180),360),MOD(180-ABS(ABS($DB$1-RecData[Yaw Angle (°)])-180),360))</f>
        <v>19.470302104148345</v>
      </c>
      <c r="DB963" s="2" t="str">
        <f>IF($DP$2="None","None",IF(RecData[[#This Row],[Relative Wind Direction]]&lt;=45,"DW",IF(RecData[[#This Row],[Relative Wind Direction]]&lt;=135,"CW","UW")))</f>
        <v>DW</v>
      </c>
      <c r="DC963" s="61" t="e">
        <f>IF($CL963-$CL961&gt;1/24,#REF!,IF(SUM($CQ961:$CQ963)&gt;$DS$1,$DS$5,DC964-1))</f>
        <v>#REF!</v>
      </c>
      <c r="DD963" s="61" t="e">
        <f>IF($CL964-$CL963&gt;1/24,#REF!,IF(SUM($CQ961:$CQ963)&gt;$DS$1,$DS$6,#REF!-1))</f>
        <v>#REF!</v>
      </c>
      <c r="DE963" s="18" t="b">
        <v>0</v>
      </c>
      <c r="DF963" s="2" t="b">
        <f>IF(OR(RecData[[#This Row],[WSpd_Avg '[m/s']]]-RecData[[#This Row],[Wind Speed min]]&gt;=$DF$3,RecData[[#This Row],[Wind Speed max]]-RecData[[#This Row],[WSpd_Avg '[m/s']]]&gt;=$DF$2),TRUE,FALSE)</f>
        <v>0</v>
      </c>
      <c r="DG963" s="2" t="b">
        <f>RecData[[#This Row],[Temperature '[°C']]]&lt;=-20</f>
        <v>0</v>
      </c>
      <c r="DH963" s="18" t="b">
        <f>NOT(OR(MOD(RecData[[#This Row],[TIMESTAMP]],1)&gt;0.91632,MOD(RecData[[#This Row],[TIMESTAMP]],1)&lt;0.208681))</f>
        <v>0</v>
      </c>
      <c r="DI963" s="18" t="b">
        <f>RecData[[#This Row],[Overall (dBA)]]-RecData[[#This Row],[L90]]&gt;=$DS$4</f>
        <v>0</v>
      </c>
      <c r="DJ963" s="18" t="b">
        <f>RecData[[#This Row],[Overall (dBA)]]&gt;$DS$2</f>
        <v>0</v>
      </c>
      <c r="DK963" s="18" t="b">
        <f>RecData[[#This Row],[Overall (dBA)]]&lt;$DS$3</f>
        <v>0</v>
      </c>
      <c r="DL9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3" s="2">
        <f>IF(AND(RecData[[#This Row],[Turbines ON/OFF]] = "OFF", NOT(OR(RecData[[#This Row],[Junk?]]="YES",RecData[[#This Row],[Gust?]],RecData[[#This Row],[Rain?]:[Min SPL Threshold?]]))),1,0)</f>
        <v>0</v>
      </c>
      <c r="DN963" s="16">
        <f>RecData[[#This Row],[dBA Sum]]</f>
        <v>39.881199142897991</v>
      </c>
      <c r="DO963" s="16">
        <f>RecData[[#This Row],[LAF90.0]]</f>
        <v>38.799999999999997</v>
      </c>
      <c r="DP963" s="55">
        <f>IF(AND(RecData[[#This Row],[Useable TON Data?]],RecData[[#This Row],[Turbines ON/OFF]]="ON"),RecData[[#This Row],[dBA Sum]],"")</f>
        <v>39.881199142897991</v>
      </c>
      <c r="DQ963" s="55" t="str">
        <f>IF(AND(RecData[[#This Row],[Useable Background Data?]],RecData[[#This Row],[Turbines ON/OFF]]="OFF"),RecData[[#This Row],[dBA Sum]],"")</f>
        <v/>
      </c>
      <c r="DR963" s="3">
        <f>IF(OR(RecData[[#This Row],[Useable TON Data?]],RecData[[#This Row],[Useable Background Data?]]),ROUND(RecData[[#This Row],[WSpd_Avg '[m/s']]],0),"")</f>
        <v>1</v>
      </c>
      <c r="DS963" s="85">
        <f>(0.00002)^2*(10^(RecData[[#This Row],[Overall (dBA)]]/10))</f>
        <v>3.8920633954997146E-6</v>
      </c>
    </row>
    <row r="964" spans="1:123" ht="15" x14ac:dyDescent="0.25">
      <c r="A964" s="3" t="s">
        <v>249</v>
      </c>
      <c r="B964" s="12">
        <v>43275.015277777777</v>
      </c>
      <c r="C964" s="3"/>
      <c r="D964" s="3">
        <v>40.200000000000003</v>
      </c>
      <c r="E964" s="3"/>
      <c r="F964" s="3"/>
      <c r="G964" s="3"/>
      <c r="H964" s="3"/>
      <c r="I964" s="3"/>
      <c r="J964" s="3"/>
      <c r="K964" s="3">
        <v>38.6</v>
      </c>
      <c r="L964" s="3"/>
      <c r="M964" s="3"/>
      <c r="N964" s="3">
        <v>162.6</v>
      </c>
      <c r="O964" s="3"/>
      <c r="P964" s="3"/>
      <c r="Q964" s="3">
        <v>1.74</v>
      </c>
      <c r="R964" s="3">
        <v>0.5</v>
      </c>
      <c r="S964" s="3">
        <v>3.1</v>
      </c>
      <c r="T964" s="3">
        <v>15.5</v>
      </c>
      <c r="U964" s="3">
        <v>64.3</v>
      </c>
      <c r="V964" s="3">
        <v>966.4</v>
      </c>
      <c r="W964" s="3">
        <v>0</v>
      </c>
      <c r="X964" s="3">
        <v>46.9</v>
      </c>
      <c r="Y964" s="3">
        <v>47.1</v>
      </c>
      <c r="Z964" s="3">
        <v>47.3</v>
      </c>
      <c r="AA964" s="3">
        <v>43</v>
      </c>
      <c r="AB964" s="3">
        <v>37.200000000000003</v>
      </c>
      <c r="AC964" s="3">
        <v>35.799999999999997</v>
      </c>
      <c r="AD964" s="3">
        <v>38.6</v>
      </c>
      <c r="AE964" s="3">
        <v>40.299999999999997</v>
      </c>
      <c r="AF964" s="3">
        <v>45.5</v>
      </c>
      <c r="AG964" s="3">
        <v>39.5</v>
      </c>
      <c r="AH964" s="3">
        <v>35.9</v>
      </c>
      <c r="AI964" s="3">
        <v>36.700000000000003</v>
      </c>
      <c r="AJ964" s="3">
        <v>35</v>
      </c>
      <c r="AK964" s="3">
        <v>33.700000000000003</v>
      </c>
      <c r="AL964" s="3">
        <v>31.9</v>
      </c>
      <c r="AM964" s="3">
        <v>31.9</v>
      </c>
      <c r="AN964" s="3">
        <v>30.7</v>
      </c>
      <c r="AO964" s="3">
        <v>28.4</v>
      </c>
      <c r="AP964" s="3">
        <v>26.9</v>
      </c>
      <c r="AQ964" s="3">
        <v>26</v>
      </c>
      <c r="AR964" s="3">
        <v>24.7</v>
      </c>
      <c r="AS964" s="3">
        <v>23.6</v>
      </c>
      <c r="AT964" s="3">
        <v>29.1</v>
      </c>
      <c r="AU964" s="3">
        <v>20.9</v>
      </c>
      <c r="AV964" s="3">
        <v>18.899999999999999</v>
      </c>
      <c r="AW964" s="3">
        <v>17.600000000000001</v>
      </c>
      <c r="AX964" s="3">
        <v>13.4</v>
      </c>
      <c r="AY964" s="3">
        <v>12</v>
      </c>
      <c r="AZ964" s="3">
        <v>0</v>
      </c>
      <c r="BA964" s="3">
        <v>0</v>
      </c>
      <c r="BB964" s="3">
        <v>0</v>
      </c>
      <c r="BC964" s="3">
        <v>40.186948549487937</v>
      </c>
      <c r="BD964" s="3">
        <v>46.913051450512057</v>
      </c>
      <c r="BE964" s="3">
        <v>47.113051450512074</v>
      </c>
      <c r="BF964" s="3">
        <v>46.073051450512054</v>
      </c>
      <c r="BG964" s="3">
        <v>42.099718117178725</v>
      </c>
      <c r="BH964" s="3">
        <v>36.439718117178728</v>
      </c>
      <c r="BI964" s="3">
        <v>35.453051450512064</v>
      </c>
      <c r="BJ964" s="3">
        <v>39.046384783845397</v>
      </c>
      <c r="BK964" s="3">
        <v>40.619718117178735</v>
      </c>
      <c r="BL964" s="3">
        <v>45.393051450512075</v>
      </c>
      <c r="BM964" s="3">
        <v>39.526384783845401</v>
      </c>
      <c r="BN964" s="3">
        <v>36.209718117178738</v>
      </c>
      <c r="BO964" s="3">
        <v>36.376384783845396</v>
      </c>
      <c r="BP964" s="3">
        <v>34.393051450512075</v>
      </c>
      <c r="BQ964" s="3">
        <v>33.509718117178721</v>
      </c>
      <c r="BR964" s="3">
        <v>32.036384783845392</v>
      </c>
      <c r="BS964" s="3">
        <v>31.839718117178734</v>
      </c>
      <c r="BT964" s="3">
        <v>30.836384783845403</v>
      </c>
      <c r="BU964" s="3">
        <v>28.503051450512061</v>
      </c>
      <c r="BV964" s="3">
        <v>26.719718117178729</v>
      </c>
      <c r="BW964" s="3">
        <v>26.353051450512069</v>
      </c>
      <c r="BX964" s="3">
        <v>24.973051450512074</v>
      </c>
      <c r="BY964" s="3">
        <v>23.693051450512066</v>
      </c>
      <c r="BZ964" s="3">
        <v>29.323051450512068</v>
      </c>
      <c r="CA964" s="3">
        <v>21.22305145051206</v>
      </c>
      <c r="CB964" s="3">
        <v>18.659718117178727</v>
      </c>
      <c r="CC964" s="3">
        <v>17.573051450512068</v>
      </c>
      <c r="CD964" s="3">
        <v>12.679718117178737</v>
      </c>
      <c r="CE964" s="3">
        <v>11.473051450512067</v>
      </c>
      <c r="CF964" s="3">
        <v>-0.91361521615460362</v>
      </c>
      <c r="CG964" s="3">
        <v>-1.4469485494879351</v>
      </c>
      <c r="CH964" s="3">
        <v>-2.523615216154603</v>
      </c>
      <c r="CI964" s="13">
        <f>[1]!dbasum(RecData[[#This Row],[20]:[2000]],RecData[[#Headers],[20]:[2000]])</f>
        <v>39.38953169507753</v>
      </c>
      <c r="CJ964" s="14">
        <v>10319</v>
      </c>
      <c r="CK964" s="15" t="s">
        <v>249</v>
      </c>
      <c r="CL964" s="15">
        <f>RecData[[#This Row],[Start Time]]</f>
        <v>43275.015277777777</v>
      </c>
      <c r="CM964" s="16">
        <f>RecData[[#This Row],[Wind Speed avg]]</f>
        <v>1.74</v>
      </c>
      <c r="CN964" s="16">
        <f>RecData[[#This Row],[Wind Dir. avg]]</f>
        <v>162.6</v>
      </c>
      <c r="CO964" s="16">
        <f>RecData[[#This Row],[Amb. Humidity]]</f>
        <v>64.3</v>
      </c>
      <c r="CP964" s="16">
        <f>RecData[[#This Row],[Amb. Temperature]]</f>
        <v>15.5</v>
      </c>
      <c r="CQ964" s="17">
        <f>RecData[[#This Row],[Amb. Rain Gauge]]</f>
        <v>0</v>
      </c>
      <c r="CR964" s="4" t="s">
        <v>1</v>
      </c>
      <c r="CS964" s="4" t="s">
        <v>49</v>
      </c>
      <c r="CT964" s="70">
        <v>1619.431640625</v>
      </c>
      <c r="CU964" s="70">
        <v>27.000228881835898</v>
      </c>
      <c r="CV964" s="70">
        <v>11.5032863616943</v>
      </c>
      <c r="CW964" s="70">
        <v>15.27352809906</v>
      </c>
      <c r="CX964" s="4"/>
      <c r="CY964" s="69"/>
      <c r="CZ964" s="2" t="b">
        <f>IF($DP$1="YES",IF(RecData[[#This Row],[Power (kW)]]&gt;=$CR$3, TRUE,FALSE),TRUE)</f>
        <v>1</v>
      </c>
      <c r="DA964" s="16">
        <f>MIN(MOD(180-ABS(ABS($DA$1-RecData[Yaw Angle (°)])-180),360),MOD(180-ABS(ABS($DB$1-RecData[Yaw Angle (°)])-180),360))</f>
        <v>19.470302104148345</v>
      </c>
      <c r="DB964" s="2" t="str">
        <f>IF($DP$2="None","None",IF(RecData[[#This Row],[Relative Wind Direction]]&lt;=45,"DW",IF(RecData[[#This Row],[Relative Wind Direction]]&lt;=135,"CW","UW")))</f>
        <v>DW</v>
      </c>
      <c r="DC964" s="61" t="e">
        <f>IF($CL964-$CL961&gt;1/24,#REF!,IF(SUM($CQ961:$CQ964)&gt;$DS$1,$DS$5,DC965-1))</f>
        <v>#REF!</v>
      </c>
      <c r="DD964" s="61" t="e">
        <f>IF($CL965-$CL964&gt;1/24,#REF!,IF(SUM($CQ961:$CQ964)&gt;$DS$1,$DS$6,DD963-1))</f>
        <v>#REF!</v>
      </c>
      <c r="DE964" s="18" t="b">
        <v>0</v>
      </c>
      <c r="DF964" s="2" t="b">
        <f>IF(OR(RecData[[#This Row],[WSpd_Avg '[m/s']]]-RecData[[#This Row],[Wind Speed min]]&gt;=$DF$3,RecData[[#This Row],[Wind Speed max]]-RecData[[#This Row],[WSpd_Avg '[m/s']]]&gt;=$DF$2),TRUE,FALSE)</f>
        <v>0</v>
      </c>
      <c r="DG964" s="2" t="b">
        <f>RecData[[#This Row],[Temperature '[°C']]]&lt;=-20</f>
        <v>0</v>
      </c>
      <c r="DH964" s="18" t="b">
        <f>NOT(OR(MOD(RecData[[#This Row],[TIMESTAMP]],1)&gt;0.91632,MOD(RecData[[#This Row],[TIMESTAMP]],1)&lt;0.208681))</f>
        <v>0</v>
      </c>
      <c r="DI964" s="18" t="b">
        <f>RecData[[#This Row],[Overall (dBA)]]-RecData[[#This Row],[L90]]&gt;=$DS$4</f>
        <v>0</v>
      </c>
      <c r="DJ964" s="18" t="b">
        <f>RecData[[#This Row],[Overall (dBA)]]&gt;$DS$2</f>
        <v>0</v>
      </c>
      <c r="DK964" s="18" t="b">
        <f>RecData[[#This Row],[Overall (dBA)]]&lt;$DS$3</f>
        <v>0</v>
      </c>
      <c r="DL9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4" s="2">
        <f>IF(AND(RecData[[#This Row],[Turbines ON/OFF]] = "OFF", NOT(OR(RecData[[#This Row],[Junk?]]="YES",RecData[[#This Row],[Gust?]],RecData[[#This Row],[Rain?]:[Min SPL Threshold?]]))),1,0)</f>
        <v>0</v>
      </c>
      <c r="DN964" s="16">
        <f>RecData[[#This Row],[dBA Sum]]</f>
        <v>39.38953169507753</v>
      </c>
      <c r="DO964" s="16">
        <f>RecData[[#This Row],[LAF90.0]]</f>
        <v>38.6</v>
      </c>
      <c r="DP964" s="55">
        <f>IF(AND(RecData[[#This Row],[Useable TON Data?]],RecData[[#This Row],[Turbines ON/OFF]]="ON"),RecData[[#This Row],[dBA Sum]],"")</f>
        <v>39.38953169507753</v>
      </c>
      <c r="DQ964" s="55" t="str">
        <f>IF(AND(RecData[[#This Row],[Useable Background Data?]],RecData[[#This Row],[Turbines ON/OFF]]="OFF"),RecData[[#This Row],[dBA Sum]],"")</f>
        <v/>
      </c>
      <c r="DR964" s="3">
        <f>IF(OR(RecData[[#This Row],[Useable TON Data?]],RecData[[#This Row],[Useable Background Data?]]),ROUND(RecData[[#This Row],[WSpd_Avg '[m/s']]],0),"")</f>
        <v>2</v>
      </c>
      <c r="DS964" s="85">
        <f>(0.00002)^2*(10^(RecData[[#This Row],[Overall (dBA)]]/10))</f>
        <v>3.4754669331920353E-6</v>
      </c>
    </row>
    <row r="965" spans="1:123" ht="15" x14ac:dyDescent="0.25">
      <c r="A965" s="3" t="s">
        <v>249</v>
      </c>
      <c r="B965" s="12">
        <v>43275.015972222223</v>
      </c>
      <c r="C965" s="3"/>
      <c r="D965" s="3">
        <v>39.6</v>
      </c>
      <c r="E965" s="3"/>
      <c r="F965" s="3"/>
      <c r="G965" s="3"/>
      <c r="H965" s="3"/>
      <c r="I965" s="3"/>
      <c r="J965" s="3"/>
      <c r="K965" s="3">
        <v>38.1</v>
      </c>
      <c r="L965" s="3"/>
      <c r="M965" s="3"/>
      <c r="N965" s="3">
        <v>156.6</v>
      </c>
      <c r="O965" s="3"/>
      <c r="P965" s="3"/>
      <c r="Q965" s="3">
        <v>1.26</v>
      </c>
      <c r="R965" s="3">
        <v>0.5</v>
      </c>
      <c r="S965" s="3">
        <v>1.9</v>
      </c>
      <c r="T965" s="3">
        <v>15.5</v>
      </c>
      <c r="U965" s="3">
        <v>64.400000000000006</v>
      </c>
      <c r="V965" s="3">
        <v>966.5</v>
      </c>
      <c r="W965" s="3">
        <v>0</v>
      </c>
      <c r="X965" s="3">
        <v>46.4</v>
      </c>
      <c r="Y965" s="3">
        <v>46.4</v>
      </c>
      <c r="Z965" s="3">
        <v>46.7</v>
      </c>
      <c r="AA965" s="3">
        <v>41.8</v>
      </c>
      <c r="AB965" s="3">
        <v>36.4</v>
      </c>
      <c r="AC965" s="3">
        <v>35</v>
      </c>
      <c r="AD965" s="3">
        <v>38.200000000000003</v>
      </c>
      <c r="AE965" s="3">
        <v>39.799999999999997</v>
      </c>
      <c r="AF965" s="3">
        <v>44.2</v>
      </c>
      <c r="AG965" s="3">
        <v>38.200000000000003</v>
      </c>
      <c r="AH965" s="3">
        <v>35.9</v>
      </c>
      <c r="AI965" s="3">
        <v>36.6</v>
      </c>
      <c r="AJ965" s="3">
        <v>34.799999999999997</v>
      </c>
      <c r="AK965" s="3">
        <v>33.4</v>
      </c>
      <c r="AL965" s="3">
        <v>31.7</v>
      </c>
      <c r="AM965" s="3">
        <v>31.6</v>
      </c>
      <c r="AN965" s="3">
        <v>30.1</v>
      </c>
      <c r="AO965" s="3">
        <v>27.8</v>
      </c>
      <c r="AP965" s="3">
        <v>26.3</v>
      </c>
      <c r="AQ965" s="3">
        <v>25.1</v>
      </c>
      <c r="AR965" s="3">
        <v>23.5</v>
      </c>
      <c r="AS965" s="3">
        <v>22.3</v>
      </c>
      <c r="AT965" s="3">
        <v>28.9</v>
      </c>
      <c r="AU965" s="3">
        <v>19.5</v>
      </c>
      <c r="AV965" s="3">
        <v>16.8</v>
      </c>
      <c r="AW965" s="3">
        <v>15.5</v>
      </c>
      <c r="AX965" s="3">
        <v>12.1</v>
      </c>
      <c r="AY965" s="3">
        <v>11.1</v>
      </c>
      <c r="AZ965" s="3">
        <v>0</v>
      </c>
      <c r="BA965" s="3">
        <v>0</v>
      </c>
      <c r="BB965" s="3">
        <v>0</v>
      </c>
      <c r="BC965" s="3">
        <v>39.630576545975707</v>
      </c>
      <c r="BD965" s="3">
        <v>46.369423454024293</v>
      </c>
      <c r="BE965" s="3">
        <v>46.369423454024293</v>
      </c>
      <c r="BF965" s="3">
        <v>45.429423454024295</v>
      </c>
      <c r="BG965" s="3">
        <v>40.856090120690958</v>
      </c>
      <c r="BH965" s="3">
        <v>35.596090120690953</v>
      </c>
      <c r="BI965" s="3">
        <v>34.609423454024302</v>
      </c>
      <c r="BJ965" s="3">
        <v>38.602756787357627</v>
      </c>
      <c r="BK965" s="3">
        <v>40.076090120690957</v>
      </c>
      <c r="BL965" s="3">
        <v>44.0494234540243</v>
      </c>
      <c r="BM965" s="3">
        <v>38.182756787357626</v>
      </c>
      <c r="BN965" s="3">
        <v>36.16609012069096</v>
      </c>
      <c r="BO965" s="3">
        <v>36.232756787357637</v>
      </c>
      <c r="BP965" s="3">
        <v>34.149423454024294</v>
      </c>
      <c r="BQ965" s="3">
        <v>33.166090120690946</v>
      </c>
      <c r="BR965" s="3">
        <v>31.792756787357625</v>
      </c>
      <c r="BS965" s="3">
        <v>31.496090120690958</v>
      </c>
      <c r="BT965" s="3">
        <v>30.192756787357631</v>
      </c>
      <c r="BU965" s="3">
        <v>27.859423454024302</v>
      </c>
      <c r="BV965" s="3">
        <v>26.076090120690971</v>
      </c>
      <c r="BW965" s="3">
        <v>25.409423454024299</v>
      </c>
      <c r="BX965" s="3">
        <v>23.7294234540243</v>
      </c>
      <c r="BY965" s="3">
        <v>22.349423454024297</v>
      </c>
      <c r="BZ965" s="3">
        <v>29.079423454024301</v>
      </c>
      <c r="CA965" s="3">
        <v>19.77942345402429</v>
      </c>
      <c r="CB965" s="3">
        <v>16.516090120690961</v>
      </c>
      <c r="CC965" s="3">
        <v>15.429423454024295</v>
      </c>
      <c r="CD965" s="3">
        <v>11.336090120690962</v>
      </c>
      <c r="CE965" s="3">
        <v>10.52942345402429</v>
      </c>
      <c r="CF965" s="3">
        <v>-0.95724321264237489</v>
      </c>
      <c r="CG965" s="3">
        <v>-1.4905765459757063</v>
      </c>
      <c r="CH965" s="3">
        <v>-2.5672432126423743</v>
      </c>
      <c r="CI965" s="13">
        <f>[1]!dbasum(RecData[[#This Row],[20]:[2000]],RecData[[#Headers],[20]:[2000]])</f>
        <v>38.79770922903198</v>
      </c>
      <c r="CJ965" s="14">
        <v>10320</v>
      </c>
      <c r="CK965" s="15" t="s">
        <v>249</v>
      </c>
      <c r="CL965" s="15">
        <f>RecData[[#This Row],[Start Time]]</f>
        <v>43275.015972222223</v>
      </c>
      <c r="CM965" s="16">
        <f>RecData[[#This Row],[Wind Speed avg]]</f>
        <v>1.26</v>
      </c>
      <c r="CN965" s="16">
        <f>RecData[[#This Row],[Wind Dir. avg]]</f>
        <v>156.6</v>
      </c>
      <c r="CO965" s="16">
        <f>RecData[[#This Row],[Amb. Humidity]]</f>
        <v>64.400000000000006</v>
      </c>
      <c r="CP965" s="16">
        <f>RecData[[#This Row],[Amb. Temperature]]</f>
        <v>15.5</v>
      </c>
      <c r="CQ965" s="17">
        <f>RecData[[#This Row],[Amb. Rain Gauge]]</f>
        <v>0</v>
      </c>
      <c r="CR965" s="4" t="s">
        <v>1</v>
      </c>
      <c r="CS965" s="4" t="s">
        <v>49</v>
      </c>
      <c r="CT965" s="70">
        <v>1619.431640625</v>
      </c>
      <c r="CU965" s="70">
        <v>27.000228881835898</v>
      </c>
      <c r="CV965" s="70">
        <v>11.5032863616943</v>
      </c>
      <c r="CW965" s="70">
        <v>15.27352809906</v>
      </c>
      <c r="CX965" s="4"/>
      <c r="CY965" s="69"/>
      <c r="CZ965" s="2" t="b">
        <f>IF($DP$1="YES",IF(RecData[[#This Row],[Power (kW)]]&gt;=$CR$3, TRUE,FALSE),TRUE)</f>
        <v>1</v>
      </c>
      <c r="DA965" s="16">
        <f>MIN(MOD(180-ABS(ABS($DA$1-RecData[Yaw Angle (°)])-180),360),MOD(180-ABS(ABS($DB$1-RecData[Yaw Angle (°)])-180),360))</f>
        <v>19.470302104148345</v>
      </c>
      <c r="DB965" s="2" t="str">
        <f>IF($DP$2="None","None",IF(RecData[[#This Row],[Relative Wind Direction]]&lt;=45,"DW",IF(RecData[[#This Row],[Relative Wind Direction]]&lt;=135,"CW","UW")))</f>
        <v>DW</v>
      </c>
      <c r="DC965" s="61" t="e">
        <f>IF($CL965-$CL962&gt;1/24,#REF!,IF(SUM($CQ962:$CQ965)&gt;$DS$1,$DS$5,#REF!-1))</f>
        <v>#REF!</v>
      </c>
      <c r="DD965" s="61" t="e">
        <f>IF(#REF!-$CL965&gt;1/24,#REF!,IF(SUM($CQ962:$CQ965)&gt;$DS$1,$DS$6,DD964-1))</f>
        <v>#REF!</v>
      </c>
      <c r="DE965" s="18" t="b">
        <v>0</v>
      </c>
      <c r="DF965" s="2" t="b">
        <f>IF(OR(RecData[[#This Row],[WSpd_Avg '[m/s']]]-RecData[[#This Row],[Wind Speed min]]&gt;=$DF$3,RecData[[#This Row],[Wind Speed max]]-RecData[[#This Row],[WSpd_Avg '[m/s']]]&gt;=$DF$2),TRUE,FALSE)</f>
        <v>0</v>
      </c>
      <c r="DG965" s="2" t="b">
        <f>RecData[[#This Row],[Temperature '[°C']]]&lt;=-20</f>
        <v>0</v>
      </c>
      <c r="DH965" s="18" t="b">
        <f>NOT(OR(MOD(RecData[[#This Row],[TIMESTAMP]],1)&gt;0.91632,MOD(RecData[[#This Row],[TIMESTAMP]],1)&lt;0.208681))</f>
        <v>0</v>
      </c>
      <c r="DI965" s="18" t="b">
        <f>RecData[[#This Row],[Overall (dBA)]]-RecData[[#This Row],[L90]]&gt;=$DS$4</f>
        <v>0</v>
      </c>
      <c r="DJ965" s="18" t="b">
        <f>RecData[[#This Row],[Overall (dBA)]]&gt;$DS$2</f>
        <v>0</v>
      </c>
      <c r="DK965" s="18" t="b">
        <f>RecData[[#This Row],[Overall (dBA)]]&lt;$DS$3</f>
        <v>0</v>
      </c>
      <c r="DL9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5" s="2">
        <f>IF(AND(RecData[[#This Row],[Turbines ON/OFF]] = "OFF", NOT(OR(RecData[[#This Row],[Junk?]]="YES",RecData[[#This Row],[Gust?]],RecData[[#This Row],[Rain?]:[Min SPL Threshold?]]))),1,0)</f>
        <v>0</v>
      </c>
      <c r="DN965" s="16">
        <f>RecData[[#This Row],[dBA Sum]]</f>
        <v>38.79770922903198</v>
      </c>
      <c r="DO965" s="16">
        <f>RecData[[#This Row],[LAF90.0]]</f>
        <v>38.1</v>
      </c>
      <c r="DP965" s="55">
        <f>IF(AND(RecData[[#This Row],[Useable TON Data?]],RecData[[#This Row],[Turbines ON/OFF]]="ON"),RecData[[#This Row],[dBA Sum]],"")</f>
        <v>38.79770922903198</v>
      </c>
      <c r="DQ965" s="55" t="str">
        <f>IF(AND(RecData[[#This Row],[Useable Background Data?]],RecData[[#This Row],[Turbines ON/OFF]]="OFF"),RecData[[#This Row],[dBA Sum]],"")</f>
        <v/>
      </c>
      <c r="DR965" s="3">
        <f>IF(OR(RecData[[#This Row],[Useable TON Data?]],RecData[[#This Row],[Useable Background Data?]]),ROUND(RecData[[#This Row],[WSpd_Avg '[m/s']]],0),"")</f>
        <v>1</v>
      </c>
      <c r="DS965" s="85">
        <f>(0.00002)^2*(10^(RecData[[#This Row],[Overall (dBA)]]/10))</f>
        <v>3.0327102159897725E-6</v>
      </c>
    </row>
    <row r="966" spans="1:123" ht="15" x14ac:dyDescent="0.25">
      <c r="A966" s="3" t="s">
        <v>249</v>
      </c>
      <c r="B966" s="12">
        <v>43275.017361111109</v>
      </c>
      <c r="C966" s="3"/>
      <c r="D966" s="3">
        <v>41.7</v>
      </c>
      <c r="E966" s="3"/>
      <c r="F966" s="3"/>
      <c r="G966" s="3"/>
      <c r="H966" s="3"/>
      <c r="I966" s="3"/>
      <c r="J966" s="3"/>
      <c r="K966" s="3">
        <v>39.4</v>
      </c>
      <c r="L966" s="3"/>
      <c r="M966" s="3"/>
      <c r="N966" s="3">
        <v>182.1</v>
      </c>
      <c r="O966" s="3"/>
      <c r="P966" s="3"/>
      <c r="Q966" s="3">
        <v>0.87</v>
      </c>
      <c r="R966" s="3">
        <v>0.2</v>
      </c>
      <c r="S966" s="3">
        <v>2</v>
      </c>
      <c r="T966" s="3">
        <v>15.5</v>
      </c>
      <c r="U966" s="3">
        <v>64.5</v>
      </c>
      <c r="V966" s="3">
        <v>966.5</v>
      </c>
      <c r="W966" s="3">
        <v>0</v>
      </c>
      <c r="X966" s="3">
        <v>46.8</v>
      </c>
      <c r="Y966" s="3">
        <v>47</v>
      </c>
      <c r="Z966" s="3">
        <v>46.5</v>
      </c>
      <c r="AA966" s="3">
        <v>41.8</v>
      </c>
      <c r="AB966" s="3">
        <v>37.1</v>
      </c>
      <c r="AC966" s="3">
        <v>36.200000000000003</v>
      </c>
      <c r="AD966" s="3">
        <v>39</v>
      </c>
      <c r="AE966" s="3">
        <v>40.9</v>
      </c>
      <c r="AF966" s="3">
        <v>45.4</v>
      </c>
      <c r="AG966" s="3">
        <v>39.799999999999997</v>
      </c>
      <c r="AH966" s="3">
        <v>37.6</v>
      </c>
      <c r="AI966" s="3">
        <v>38.4</v>
      </c>
      <c r="AJ966" s="3">
        <v>36.700000000000003</v>
      </c>
      <c r="AK966" s="3">
        <v>35.1</v>
      </c>
      <c r="AL966" s="3">
        <v>33</v>
      </c>
      <c r="AM966" s="3">
        <v>32.1</v>
      </c>
      <c r="AN966" s="3">
        <v>30.6</v>
      </c>
      <c r="AO966" s="3">
        <v>29</v>
      </c>
      <c r="AP966" s="3">
        <v>27.9</v>
      </c>
      <c r="AQ966" s="3">
        <v>27.6</v>
      </c>
      <c r="AR966" s="3">
        <v>27.7</v>
      </c>
      <c r="AS966" s="3">
        <v>27.9</v>
      </c>
      <c r="AT966" s="3">
        <v>31</v>
      </c>
      <c r="AU966" s="3">
        <v>26.5</v>
      </c>
      <c r="AV966" s="3">
        <v>24.6</v>
      </c>
      <c r="AW966" s="3">
        <v>23.5</v>
      </c>
      <c r="AX966" s="3">
        <v>19.2</v>
      </c>
      <c r="AY966" s="3">
        <v>17.5</v>
      </c>
      <c r="AZ966" s="3">
        <v>0</v>
      </c>
      <c r="BA966" s="3">
        <v>0</v>
      </c>
      <c r="BB966" s="3">
        <v>0</v>
      </c>
      <c r="BC966" s="3">
        <v>41.651640424323581</v>
      </c>
      <c r="BD966" s="3">
        <v>46.848359575676419</v>
      </c>
      <c r="BE966" s="3">
        <v>47.048359575676422</v>
      </c>
      <c r="BF966" s="3">
        <v>45.308359575676427</v>
      </c>
      <c r="BG966" s="3">
        <v>40.935026242343092</v>
      </c>
      <c r="BH966" s="3">
        <v>36.37502624234309</v>
      </c>
      <c r="BI966" s="3">
        <v>35.888359575676425</v>
      </c>
      <c r="BJ966" s="3">
        <v>39.481692909009745</v>
      </c>
      <c r="BK966" s="3">
        <v>41.255026242343085</v>
      </c>
      <c r="BL966" s="3">
        <v>45.328359575676423</v>
      </c>
      <c r="BM966" s="3">
        <v>39.861692909009754</v>
      </c>
      <c r="BN966" s="3">
        <v>37.945026242343083</v>
      </c>
      <c r="BO966" s="3">
        <v>38.111692909009754</v>
      </c>
      <c r="BP966" s="3">
        <v>36.12835957567642</v>
      </c>
      <c r="BQ966" s="3">
        <v>34.945026242343083</v>
      </c>
      <c r="BR966" s="3">
        <v>33.171692909009757</v>
      </c>
      <c r="BS966" s="3">
        <v>32.075026242343093</v>
      </c>
      <c r="BT966" s="3">
        <v>30.771692909009765</v>
      </c>
      <c r="BU966" s="3">
        <v>29.138359575676425</v>
      </c>
      <c r="BV966" s="3">
        <v>27.755026242343085</v>
      </c>
      <c r="BW966" s="3">
        <v>27.988359575676434</v>
      </c>
      <c r="BX966" s="3">
        <v>28.00835957567643</v>
      </c>
      <c r="BY966" s="3">
        <v>28.028359575676426</v>
      </c>
      <c r="BZ966" s="3">
        <v>31.25835957567643</v>
      </c>
      <c r="CA966" s="3">
        <v>26.85835957567641</v>
      </c>
      <c r="CB966" s="3">
        <v>24.395026242343086</v>
      </c>
      <c r="CC966" s="3">
        <v>23.508359575676415</v>
      </c>
      <c r="CD966" s="3">
        <v>18.51502624234309</v>
      </c>
      <c r="CE966" s="3">
        <v>17.008359575676415</v>
      </c>
      <c r="CF966" s="3">
        <v>-0.87830709099024773</v>
      </c>
      <c r="CG966" s="3">
        <v>-1.4116404243235792</v>
      </c>
      <c r="CH966" s="3">
        <v>-2.4883070909902472</v>
      </c>
      <c r="CI966" s="13">
        <f>[1]!dbasum(RecData[[#This Row],[20]:[2000]],RecData[[#Headers],[20]:[2000]])</f>
        <v>40.400772831703563</v>
      </c>
      <c r="CJ966" s="14">
        <v>10322</v>
      </c>
      <c r="CK966" s="15" t="s">
        <v>249</v>
      </c>
      <c r="CL966" s="15">
        <f>RecData[[#This Row],[Start Time]]</f>
        <v>43275.017361111109</v>
      </c>
      <c r="CM966" s="16">
        <f>RecData[[#This Row],[Wind Speed avg]]</f>
        <v>0.87</v>
      </c>
      <c r="CN966" s="16">
        <f>RecData[[#This Row],[Wind Dir. avg]]</f>
        <v>182.1</v>
      </c>
      <c r="CO966" s="16">
        <f>RecData[[#This Row],[Amb. Humidity]]</f>
        <v>64.5</v>
      </c>
      <c r="CP966" s="16">
        <f>RecData[[#This Row],[Amb. Temperature]]</f>
        <v>15.5</v>
      </c>
      <c r="CQ966" s="17">
        <f>RecData[[#This Row],[Amb. Rain Gauge]]</f>
        <v>0</v>
      </c>
      <c r="CR966" s="4" t="s">
        <v>1</v>
      </c>
      <c r="CS966" s="4" t="s">
        <v>49</v>
      </c>
      <c r="CT966" s="70">
        <v>1619.431640625</v>
      </c>
      <c r="CU966" s="70">
        <v>27.000228881835898</v>
      </c>
      <c r="CV966" s="70">
        <v>11.5032863616943</v>
      </c>
      <c r="CW966" s="70">
        <v>15.27352809906</v>
      </c>
      <c r="CX966" s="4"/>
      <c r="CY966" s="69"/>
      <c r="CZ966" s="2" t="b">
        <f>IF($DP$1="YES",IF(RecData[[#This Row],[Power (kW)]]&gt;=$CR$3, TRUE,FALSE),TRUE)</f>
        <v>1</v>
      </c>
      <c r="DA966" s="16">
        <f>MIN(MOD(180-ABS(ABS($DA$1-RecData[Yaw Angle (°)])-180),360),MOD(180-ABS(ABS($DB$1-RecData[Yaw Angle (°)])-180),360))</f>
        <v>19.470302104148345</v>
      </c>
      <c r="DB966" s="2" t="str">
        <f>IF($DP$2="None","None",IF(RecData[[#This Row],[Relative Wind Direction]]&lt;=45,"DW",IF(RecData[[#This Row],[Relative Wind Direction]]&lt;=135,"CW","UW")))</f>
        <v>DW</v>
      </c>
      <c r="DC966" s="61">
        <f>IF($CL966-$CL963&gt;1/24,#REF!,IF(SUM($CQ963:$CQ966)&gt;$DS$1,$DS$5,DC967-1))</f>
        <v>-3</v>
      </c>
      <c r="DD966" s="61" t="e">
        <f>IF($CL967-$CL966&gt;1/24,#REF!,IF(SUM($CQ963:$CQ966)&gt;$DS$1,$DS$6,#REF!-1))</f>
        <v>#REF!</v>
      </c>
      <c r="DE966" s="18" t="b">
        <v>0</v>
      </c>
      <c r="DF966" s="2" t="b">
        <f>IF(OR(RecData[[#This Row],[WSpd_Avg '[m/s']]]-RecData[[#This Row],[Wind Speed min]]&gt;=$DF$3,RecData[[#This Row],[Wind Speed max]]-RecData[[#This Row],[WSpd_Avg '[m/s']]]&gt;=$DF$2),TRUE,FALSE)</f>
        <v>0</v>
      </c>
      <c r="DG966" s="2" t="b">
        <f>RecData[[#This Row],[Temperature '[°C']]]&lt;=-20</f>
        <v>0</v>
      </c>
      <c r="DH966" s="18" t="b">
        <f>NOT(OR(MOD(RecData[[#This Row],[TIMESTAMP]],1)&gt;0.91632,MOD(RecData[[#This Row],[TIMESTAMP]],1)&lt;0.208681))</f>
        <v>0</v>
      </c>
      <c r="DI966" s="18" t="b">
        <f>RecData[[#This Row],[Overall (dBA)]]-RecData[[#This Row],[L90]]&gt;=$DS$4</f>
        <v>0</v>
      </c>
      <c r="DJ966" s="18" t="b">
        <f>RecData[[#This Row],[Overall (dBA)]]&gt;$DS$2</f>
        <v>0</v>
      </c>
      <c r="DK966" s="18" t="b">
        <f>RecData[[#This Row],[Overall (dBA)]]&lt;$DS$3</f>
        <v>0</v>
      </c>
      <c r="DL9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6" s="2">
        <f>IF(AND(RecData[[#This Row],[Turbines ON/OFF]] = "OFF", NOT(OR(RecData[[#This Row],[Junk?]]="YES",RecData[[#This Row],[Gust?]],RecData[[#This Row],[Rain?]:[Min SPL Threshold?]]))),1,0)</f>
        <v>0</v>
      </c>
      <c r="DN966" s="16">
        <f>RecData[[#This Row],[dBA Sum]]</f>
        <v>40.400772831703563</v>
      </c>
      <c r="DO966" s="16">
        <f>RecData[[#This Row],[LAF90.0]]</f>
        <v>39.4</v>
      </c>
      <c r="DP966" s="55">
        <f>IF(AND(RecData[[#This Row],[Useable TON Data?]],RecData[[#This Row],[Turbines ON/OFF]]="ON"),RecData[[#This Row],[dBA Sum]],"")</f>
        <v>40.400772831703563</v>
      </c>
      <c r="DQ966" s="55" t="str">
        <f>IF(AND(RecData[[#This Row],[Useable Background Data?]],RecData[[#This Row],[Turbines ON/OFF]]="OFF"),RecData[[#This Row],[dBA Sum]],"")</f>
        <v/>
      </c>
      <c r="DR966" s="3">
        <f>IF(OR(RecData[[#This Row],[Useable TON Data?]],RecData[[#This Row],[Useable Background Data?]]),ROUND(RecData[[#This Row],[WSpd_Avg '[m/s']]],0),"")</f>
        <v>1</v>
      </c>
      <c r="DS966" s="85">
        <f>(0.00002)^2*(10^(RecData[[#This Row],[Overall (dBA)]]/10))</f>
        <v>4.3866933319195723E-6</v>
      </c>
    </row>
    <row r="967" spans="1:123" ht="15" x14ac:dyDescent="0.25">
      <c r="A967" s="3" t="s">
        <v>249</v>
      </c>
      <c r="B967" s="12">
        <v>43275.018055555556</v>
      </c>
      <c r="C967" s="3"/>
      <c r="D967" s="3">
        <v>41.9</v>
      </c>
      <c r="E967" s="3"/>
      <c r="F967" s="3"/>
      <c r="G967" s="3"/>
      <c r="H967" s="3"/>
      <c r="I967" s="3"/>
      <c r="J967" s="3"/>
      <c r="K967" s="3">
        <v>39.6</v>
      </c>
      <c r="L967" s="3"/>
      <c r="M967" s="3"/>
      <c r="N967" s="3">
        <v>180.6</v>
      </c>
      <c r="O967" s="3"/>
      <c r="P967" s="3"/>
      <c r="Q967" s="3">
        <v>0.7</v>
      </c>
      <c r="R967" s="3">
        <v>0.1</v>
      </c>
      <c r="S967" s="3">
        <v>1.8</v>
      </c>
      <c r="T967" s="3">
        <v>15.4</v>
      </c>
      <c r="U967" s="3">
        <v>64.5</v>
      </c>
      <c r="V967" s="3">
        <v>966.5</v>
      </c>
      <c r="W967" s="3">
        <v>0</v>
      </c>
      <c r="X967" s="3">
        <v>47.4</v>
      </c>
      <c r="Y967" s="3">
        <v>46.7</v>
      </c>
      <c r="Z967" s="3">
        <v>46.5</v>
      </c>
      <c r="AA967" s="3">
        <v>42.7</v>
      </c>
      <c r="AB967" s="3">
        <v>37.299999999999997</v>
      </c>
      <c r="AC967" s="3">
        <v>36.200000000000003</v>
      </c>
      <c r="AD967" s="3">
        <v>39.4</v>
      </c>
      <c r="AE967" s="3">
        <v>41.3</v>
      </c>
      <c r="AF967" s="3">
        <v>45.4</v>
      </c>
      <c r="AG967" s="3">
        <v>40.700000000000003</v>
      </c>
      <c r="AH967" s="3">
        <v>38</v>
      </c>
      <c r="AI967" s="3">
        <v>38.6</v>
      </c>
      <c r="AJ967" s="3">
        <v>37.200000000000003</v>
      </c>
      <c r="AK967" s="3">
        <v>35.6</v>
      </c>
      <c r="AL967" s="3">
        <v>33.700000000000003</v>
      </c>
      <c r="AM967" s="3">
        <v>33.200000000000003</v>
      </c>
      <c r="AN967" s="3">
        <v>32</v>
      </c>
      <c r="AO967" s="3">
        <v>30.2</v>
      </c>
      <c r="AP967" s="3">
        <v>28.9</v>
      </c>
      <c r="AQ967" s="3">
        <v>28.3</v>
      </c>
      <c r="AR967" s="3">
        <v>27.8</v>
      </c>
      <c r="AS967" s="3">
        <v>27.2</v>
      </c>
      <c r="AT967" s="3">
        <v>30.1</v>
      </c>
      <c r="AU967" s="3">
        <v>24</v>
      </c>
      <c r="AV967" s="3">
        <v>22.8</v>
      </c>
      <c r="AW967" s="3">
        <v>20.399999999999999</v>
      </c>
      <c r="AX967" s="3">
        <v>15.6</v>
      </c>
      <c r="AY967" s="3">
        <v>12.1</v>
      </c>
      <c r="AZ967" s="3">
        <v>0</v>
      </c>
      <c r="BA967" s="3">
        <v>0</v>
      </c>
      <c r="BB967" s="3">
        <v>0</v>
      </c>
      <c r="BC967" s="3">
        <v>41.916418390084552</v>
      </c>
      <c r="BD967" s="3">
        <v>47.383581609915446</v>
      </c>
      <c r="BE967" s="3">
        <v>46.683581609915443</v>
      </c>
      <c r="BF967" s="3">
        <v>45.243581609915445</v>
      </c>
      <c r="BG967" s="3">
        <v>41.770248276582116</v>
      </c>
      <c r="BH967" s="3">
        <v>36.510248276582111</v>
      </c>
      <c r="BI967" s="3">
        <v>35.823581609915458</v>
      </c>
      <c r="BJ967" s="3">
        <v>39.816914943248769</v>
      </c>
      <c r="BK967" s="3">
        <v>41.590248276582109</v>
      </c>
      <c r="BL967" s="3">
        <v>45.263581609915455</v>
      </c>
      <c r="BM967" s="3">
        <v>40.696914943248792</v>
      </c>
      <c r="BN967" s="3">
        <v>38.280248276582107</v>
      </c>
      <c r="BO967" s="3">
        <v>38.246914943248775</v>
      </c>
      <c r="BP967" s="3">
        <v>36.563581609915452</v>
      </c>
      <c r="BQ967" s="3">
        <v>35.380248276582101</v>
      </c>
      <c r="BR967" s="3">
        <v>33.806914943248778</v>
      </c>
      <c r="BS967" s="3">
        <v>33.110248276582119</v>
      </c>
      <c r="BT967" s="3">
        <v>32.106914943248789</v>
      </c>
      <c r="BU967" s="3">
        <v>30.273581609915446</v>
      </c>
      <c r="BV967" s="3">
        <v>28.690248276582118</v>
      </c>
      <c r="BW967" s="3">
        <v>28.623581609915455</v>
      </c>
      <c r="BX967" s="3">
        <v>28.043581609915456</v>
      </c>
      <c r="BY967" s="3">
        <v>27.263581609915441</v>
      </c>
      <c r="BZ967" s="3">
        <v>30.293581609915456</v>
      </c>
      <c r="CA967" s="3">
        <v>24.293581609915442</v>
      </c>
      <c r="CB967" s="3">
        <v>22.530248276582107</v>
      </c>
      <c r="CC967" s="3">
        <v>20.343581609915439</v>
      </c>
      <c r="CD967" s="3">
        <v>14.850248276582114</v>
      </c>
      <c r="CE967" s="3">
        <v>11.543581609915442</v>
      </c>
      <c r="CF967" s="3">
        <v>-0.94308505675122234</v>
      </c>
      <c r="CG967" s="3">
        <v>-1.4764183900845538</v>
      </c>
      <c r="CH967" s="3">
        <v>-2.5530850567512218</v>
      </c>
      <c r="CI967" s="13">
        <f>[1]!dbasum(RecData[[#This Row],[20]:[2000]],RecData[[#Headers],[20]:[2000]])</f>
        <v>41.028726297431547</v>
      </c>
      <c r="CJ967" s="14">
        <v>10323</v>
      </c>
      <c r="CK967" s="15" t="s">
        <v>249</v>
      </c>
      <c r="CL967" s="15">
        <f>RecData[[#This Row],[Start Time]]</f>
        <v>43275.018055555556</v>
      </c>
      <c r="CM967" s="16">
        <f>RecData[[#This Row],[Wind Speed avg]]</f>
        <v>0.7</v>
      </c>
      <c r="CN967" s="16">
        <f>RecData[[#This Row],[Wind Dir. avg]]</f>
        <v>180.6</v>
      </c>
      <c r="CO967" s="16">
        <f>RecData[[#This Row],[Amb. Humidity]]</f>
        <v>64.5</v>
      </c>
      <c r="CP967" s="16">
        <f>RecData[[#This Row],[Amb. Temperature]]</f>
        <v>15.4</v>
      </c>
      <c r="CQ967" s="17">
        <f>RecData[[#This Row],[Amb. Rain Gauge]]</f>
        <v>0</v>
      </c>
      <c r="CR967" s="4" t="s">
        <v>1</v>
      </c>
      <c r="CS967" s="4" t="s">
        <v>49</v>
      </c>
      <c r="CT967" s="70">
        <v>1619.431640625</v>
      </c>
      <c r="CU967" s="70">
        <v>27.000228881835898</v>
      </c>
      <c r="CV967" s="70">
        <v>11.5032863616943</v>
      </c>
      <c r="CW967" s="70">
        <v>15.27352809906</v>
      </c>
      <c r="CX967" s="4"/>
      <c r="CY967" s="69"/>
      <c r="CZ967" s="2" t="b">
        <f>IF($DP$1="YES",IF(RecData[[#This Row],[Power (kW)]]&gt;=$CR$3, TRUE,FALSE),TRUE)</f>
        <v>1</v>
      </c>
      <c r="DA967" s="16">
        <f>MIN(MOD(180-ABS(ABS($DA$1-RecData[Yaw Angle (°)])-180),360),MOD(180-ABS(ABS($DB$1-RecData[Yaw Angle (°)])-180),360))</f>
        <v>19.470302104148345</v>
      </c>
      <c r="DB967" s="2" t="str">
        <f>IF($DP$2="None","None",IF(RecData[[#This Row],[Relative Wind Direction]]&lt;=45,"DW",IF(RecData[[#This Row],[Relative Wind Direction]]&lt;=135,"CW","UW")))</f>
        <v>DW</v>
      </c>
      <c r="DC967" s="61">
        <f>IF($CL967-$CL964&gt;1/24,#REF!,IF(SUM($CQ964:$CQ967)&gt;$DS$1,$DS$5,DC968-1))</f>
        <v>-2</v>
      </c>
      <c r="DD967" s="61" t="e">
        <f>IF($CL968-$CL967&gt;1/24,#REF!,IF(SUM($CQ964:$CQ967)&gt;$DS$1,$DS$6,DD966-1))</f>
        <v>#REF!</v>
      </c>
      <c r="DE967" s="18" t="b">
        <v>0</v>
      </c>
      <c r="DF967" s="2" t="b">
        <f>IF(OR(RecData[[#This Row],[WSpd_Avg '[m/s']]]-RecData[[#This Row],[Wind Speed min]]&gt;=$DF$3,RecData[[#This Row],[Wind Speed max]]-RecData[[#This Row],[WSpd_Avg '[m/s']]]&gt;=$DF$2),TRUE,FALSE)</f>
        <v>0</v>
      </c>
      <c r="DG967" s="2" t="b">
        <f>RecData[[#This Row],[Temperature '[°C']]]&lt;=-20</f>
        <v>0</v>
      </c>
      <c r="DH967" s="18" t="b">
        <f>NOT(OR(MOD(RecData[[#This Row],[TIMESTAMP]],1)&gt;0.91632,MOD(RecData[[#This Row],[TIMESTAMP]],1)&lt;0.208681))</f>
        <v>0</v>
      </c>
      <c r="DI967" s="18" t="b">
        <f>RecData[[#This Row],[Overall (dBA)]]-RecData[[#This Row],[L90]]&gt;=$DS$4</f>
        <v>0</v>
      </c>
      <c r="DJ967" s="18" t="b">
        <f>RecData[[#This Row],[Overall (dBA)]]&gt;$DS$2</f>
        <v>0</v>
      </c>
      <c r="DK967" s="18" t="b">
        <f>RecData[[#This Row],[Overall (dBA)]]&lt;$DS$3</f>
        <v>0</v>
      </c>
      <c r="DL9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7" s="2">
        <f>IF(AND(RecData[[#This Row],[Turbines ON/OFF]] = "OFF", NOT(OR(RecData[[#This Row],[Junk?]]="YES",RecData[[#This Row],[Gust?]],RecData[[#This Row],[Rain?]:[Min SPL Threshold?]]))),1,0)</f>
        <v>0</v>
      </c>
      <c r="DN967" s="16">
        <f>RecData[[#This Row],[dBA Sum]]</f>
        <v>41.028726297431547</v>
      </c>
      <c r="DO967" s="16">
        <f>RecData[[#This Row],[LAF90.0]]</f>
        <v>39.6</v>
      </c>
      <c r="DP967" s="55">
        <f>IF(AND(RecData[[#This Row],[Useable TON Data?]],RecData[[#This Row],[Turbines ON/OFF]]="ON"),RecData[[#This Row],[dBA Sum]],"")</f>
        <v>41.028726297431547</v>
      </c>
      <c r="DQ967" s="55" t="str">
        <f>IF(AND(RecData[[#This Row],[Useable Background Data?]],RecData[[#This Row],[Turbines ON/OFF]]="OFF"),RecData[[#This Row],[dBA Sum]],"")</f>
        <v/>
      </c>
      <c r="DR967" s="3">
        <f>IF(OR(RecData[[#This Row],[Useable TON Data?]],RecData[[#This Row],[Useable Background Data?]]),ROUND(RecData[[#This Row],[WSpd_Avg '[m/s']]],0),"")</f>
        <v>1</v>
      </c>
      <c r="DS967" s="85">
        <f>(0.00002)^2*(10^(RecData[[#This Row],[Overall (dBA)]]/10))</f>
        <v>5.0691205693900848E-6</v>
      </c>
    </row>
    <row r="968" spans="1:123" ht="15" x14ac:dyDescent="0.25">
      <c r="A968" s="3" t="s">
        <v>249</v>
      </c>
      <c r="B968" s="12">
        <v>43275.018750000003</v>
      </c>
      <c r="C968" s="3"/>
      <c r="D968" s="3">
        <v>40.9</v>
      </c>
      <c r="E968" s="3"/>
      <c r="F968" s="3"/>
      <c r="G968" s="3"/>
      <c r="H968" s="3"/>
      <c r="I968" s="3"/>
      <c r="J968" s="3"/>
      <c r="K968" s="3">
        <v>39</v>
      </c>
      <c r="L968" s="3"/>
      <c r="M968" s="3"/>
      <c r="N968" s="3">
        <v>201.6</v>
      </c>
      <c r="O968" s="3"/>
      <c r="P968" s="3"/>
      <c r="Q968" s="3">
        <v>0.53</v>
      </c>
      <c r="R968" s="3">
        <v>0.2</v>
      </c>
      <c r="S968" s="3">
        <v>1.3</v>
      </c>
      <c r="T968" s="3">
        <v>15.4</v>
      </c>
      <c r="U968" s="3">
        <v>64.599999999999994</v>
      </c>
      <c r="V968" s="3">
        <v>966.5</v>
      </c>
      <c r="W968" s="3">
        <v>0</v>
      </c>
      <c r="X968" s="3">
        <v>47</v>
      </c>
      <c r="Y968" s="3">
        <v>46.2</v>
      </c>
      <c r="Z968" s="3">
        <v>46</v>
      </c>
      <c r="AA968" s="3">
        <v>41.5</v>
      </c>
      <c r="AB968" s="3">
        <v>35.700000000000003</v>
      </c>
      <c r="AC968" s="3">
        <v>35.6</v>
      </c>
      <c r="AD968" s="3">
        <v>38.9</v>
      </c>
      <c r="AE968" s="3">
        <v>40.9</v>
      </c>
      <c r="AF968" s="3">
        <v>46.3</v>
      </c>
      <c r="AG968" s="3">
        <v>39.200000000000003</v>
      </c>
      <c r="AH968" s="3">
        <v>38.200000000000003</v>
      </c>
      <c r="AI968" s="3">
        <v>38.200000000000003</v>
      </c>
      <c r="AJ968" s="3">
        <v>36.9</v>
      </c>
      <c r="AK968" s="3">
        <v>35.1</v>
      </c>
      <c r="AL968" s="3">
        <v>33</v>
      </c>
      <c r="AM968" s="3">
        <v>32.4</v>
      </c>
      <c r="AN968" s="3">
        <v>30.8</v>
      </c>
      <c r="AO968" s="3">
        <v>28.3</v>
      </c>
      <c r="AP968" s="3">
        <v>26.9</v>
      </c>
      <c r="AQ968" s="3">
        <v>25.6</v>
      </c>
      <c r="AR968" s="3">
        <v>24.5</v>
      </c>
      <c r="AS968" s="3">
        <v>23.3</v>
      </c>
      <c r="AT968" s="3">
        <v>30.2</v>
      </c>
      <c r="AU968" s="3">
        <v>20.3</v>
      </c>
      <c r="AV968" s="3">
        <v>17.899999999999999</v>
      </c>
      <c r="AW968" s="3">
        <v>16.7</v>
      </c>
      <c r="AX968" s="3">
        <v>12.9</v>
      </c>
      <c r="AY968" s="3">
        <v>11.3</v>
      </c>
      <c r="AZ968" s="3">
        <v>0</v>
      </c>
      <c r="BA968" s="3">
        <v>0</v>
      </c>
      <c r="BB968" s="3">
        <v>0</v>
      </c>
      <c r="BC968" s="3">
        <v>40.889410173411768</v>
      </c>
      <c r="BD968" s="3">
        <v>47.010589826588237</v>
      </c>
      <c r="BE968" s="3">
        <v>46.210589826588226</v>
      </c>
      <c r="BF968" s="3">
        <v>44.770589826588228</v>
      </c>
      <c r="BG968" s="3">
        <v>40.597256493254896</v>
      </c>
      <c r="BH968" s="3">
        <v>34.9372564932549</v>
      </c>
      <c r="BI968" s="3">
        <v>35.250589826588232</v>
      </c>
      <c r="BJ968" s="3">
        <v>39.343923159921552</v>
      </c>
      <c r="BK968" s="3">
        <v>41.217256493254887</v>
      </c>
      <c r="BL968" s="3">
        <v>46.19058982658823</v>
      </c>
      <c r="BM968" s="3">
        <v>39.223923159921576</v>
      </c>
      <c r="BN968" s="3">
        <v>38.507256493254907</v>
      </c>
      <c r="BO968" s="3">
        <v>37.873923159921567</v>
      </c>
      <c r="BP968" s="3">
        <v>36.290589826588239</v>
      </c>
      <c r="BQ968" s="3">
        <v>34.907256493254884</v>
      </c>
      <c r="BR968" s="3">
        <v>33.133923159921572</v>
      </c>
      <c r="BS968" s="3">
        <v>32.337256493254891</v>
      </c>
      <c r="BT968" s="3">
        <v>30.933923159921569</v>
      </c>
      <c r="BU968" s="3">
        <v>28.400589826588238</v>
      </c>
      <c r="BV968" s="3">
        <v>26.717256493254901</v>
      </c>
      <c r="BW968" s="3">
        <v>25.950589826588235</v>
      </c>
      <c r="BX968" s="3">
        <v>24.770589826588228</v>
      </c>
      <c r="BY968" s="3">
        <v>23.390589826588233</v>
      </c>
      <c r="BZ968" s="3">
        <v>30.420589826588234</v>
      </c>
      <c r="CA968" s="3">
        <v>20.620589826588223</v>
      </c>
      <c r="CB968" s="3">
        <v>17.657256493254899</v>
      </c>
      <c r="CC968" s="3">
        <v>16.670589826588227</v>
      </c>
      <c r="CD968" s="3">
        <v>12.177256493254902</v>
      </c>
      <c r="CE968" s="3">
        <v>10.770589826588228</v>
      </c>
      <c r="CF968" s="3">
        <v>-0.91607684007843915</v>
      </c>
      <c r="CG968" s="3">
        <v>-1.4494101734117706</v>
      </c>
      <c r="CH968" s="3">
        <v>-2.5260768400784386</v>
      </c>
      <c r="CI968" s="13">
        <f>[1]!dbasum(RecData[[#This Row],[20]:[2000]],RecData[[#Headers],[20]:[2000]])</f>
        <v>40.092005463814147</v>
      </c>
      <c r="CJ968" s="14">
        <v>10324</v>
      </c>
      <c r="CK968" s="15" t="s">
        <v>249</v>
      </c>
      <c r="CL968" s="15">
        <f>RecData[[#This Row],[Start Time]]</f>
        <v>43275.018750000003</v>
      </c>
      <c r="CM968" s="16">
        <f>RecData[[#This Row],[Wind Speed avg]]</f>
        <v>0.53</v>
      </c>
      <c r="CN968" s="16">
        <f>RecData[[#This Row],[Wind Dir. avg]]</f>
        <v>201.6</v>
      </c>
      <c r="CO968" s="16">
        <f>RecData[[#This Row],[Amb. Humidity]]</f>
        <v>64.599999999999994</v>
      </c>
      <c r="CP968" s="16">
        <f>RecData[[#This Row],[Amb. Temperature]]</f>
        <v>15.4</v>
      </c>
      <c r="CQ968" s="17">
        <f>RecData[[#This Row],[Amb. Rain Gauge]]</f>
        <v>0</v>
      </c>
      <c r="CR968" s="4" t="s">
        <v>1</v>
      </c>
      <c r="CS968" s="4" t="s">
        <v>49</v>
      </c>
      <c r="CT968" s="70">
        <v>1619.431640625</v>
      </c>
      <c r="CU968" s="70">
        <v>27.000228881835898</v>
      </c>
      <c r="CV968" s="70">
        <v>11.5032863616943</v>
      </c>
      <c r="CW968" s="70">
        <v>15.27352809906</v>
      </c>
      <c r="CX968" s="4"/>
      <c r="CY968" s="69"/>
      <c r="CZ968" s="2" t="b">
        <f>IF($DP$1="YES",IF(RecData[[#This Row],[Power (kW)]]&gt;=$CR$3, TRUE,FALSE),TRUE)</f>
        <v>1</v>
      </c>
      <c r="DA968" s="16">
        <f>MIN(MOD(180-ABS(ABS($DA$1-RecData[Yaw Angle (°)])-180),360),MOD(180-ABS(ABS($DB$1-RecData[Yaw Angle (°)])-180),360))</f>
        <v>19.470302104148345</v>
      </c>
      <c r="DB968" s="2" t="str">
        <f>IF($DP$2="None","None",IF(RecData[[#This Row],[Relative Wind Direction]]&lt;=45,"DW",IF(RecData[[#This Row],[Relative Wind Direction]]&lt;=135,"CW","UW")))</f>
        <v>DW</v>
      </c>
      <c r="DC968" s="61">
        <v>-1</v>
      </c>
      <c r="DD968" s="61">
        <v>-1</v>
      </c>
      <c r="DE968" s="18" t="b">
        <v>0</v>
      </c>
      <c r="DF968" s="2" t="b">
        <f>IF(OR(RecData[[#This Row],[WSpd_Avg '[m/s']]]-RecData[[#This Row],[Wind Speed min]]&gt;=$DF$3,RecData[[#This Row],[Wind Speed max]]-RecData[[#This Row],[WSpd_Avg '[m/s']]]&gt;=$DF$2),TRUE,FALSE)</f>
        <v>0</v>
      </c>
      <c r="DG968" s="2" t="b">
        <f>RecData[[#This Row],[Temperature '[°C']]]&lt;=-20</f>
        <v>0</v>
      </c>
      <c r="DH968" s="18" t="b">
        <f>NOT(OR(MOD(RecData[[#This Row],[TIMESTAMP]],1)&gt;0.91632,MOD(RecData[[#This Row],[TIMESTAMP]],1)&lt;0.208681))</f>
        <v>0</v>
      </c>
      <c r="DI968" s="18" t="b">
        <f>RecData[[#This Row],[Overall (dBA)]]-RecData[[#This Row],[L90]]&gt;=$DS$4</f>
        <v>0</v>
      </c>
      <c r="DJ968" s="18" t="b">
        <f>RecData[[#This Row],[Overall (dBA)]]&gt;$DS$2</f>
        <v>0</v>
      </c>
      <c r="DK968" s="18" t="b">
        <f>RecData[[#This Row],[Overall (dBA)]]&lt;$DS$3</f>
        <v>0</v>
      </c>
      <c r="DL9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8" s="2">
        <f>IF(AND(RecData[[#This Row],[Turbines ON/OFF]] = "OFF", NOT(OR(RecData[[#This Row],[Junk?]]="YES",RecData[[#This Row],[Gust?]],RecData[[#This Row],[Rain?]:[Min SPL Threshold?]]))),1,0)</f>
        <v>0</v>
      </c>
      <c r="DN968" s="16">
        <f>RecData[[#This Row],[dBA Sum]]</f>
        <v>40.092005463814147</v>
      </c>
      <c r="DO968" s="16">
        <f>RecData[[#This Row],[LAF90.0]]</f>
        <v>39</v>
      </c>
      <c r="DP968" s="55">
        <f>IF(AND(RecData[[#This Row],[Useable TON Data?]],RecData[[#This Row],[Turbines ON/OFF]]="ON"),RecData[[#This Row],[dBA Sum]],"")</f>
        <v>40.092005463814147</v>
      </c>
      <c r="DQ968" s="55" t="str">
        <f>IF(AND(RecData[[#This Row],[Useable Background Data?]],RecData[[#This Row],[Turbines ON/OFF]]="OFF"),RecData[[#This Row],[dBA Sum]],"")</f>
        <v/>
      </c>
      <c r="DR968" s="3">
        <f>IF(OR(RecData[[#This Row],[Useable TON Data?]],RecData[[#This Row],[Useable Background Data?]]),ROUND(RecData[[#This Row],[WSpd_Avg '[m/s']]],0),"")</f>
        <v>1</v>
      </c>
      <c r="DS968" s="85">
        <f>(0.00002)^2*(10^(RecData[[#This Row],[Overall (dBA)]]/10))</f>
        <v>4.0856441480629929E-6</v>
      </c>
    </row>
    <row r="969" spans="1:123" ht="15" x14ac:dyDescent="0.25">
      <c r="A969" s="3" t="s">
        <v>249</v>
      </c>
      <c r="B969" s="12">
        <v>43275.025000000001</v>
      </c>
      <c r="C969" s="3"/>
      <c r="D969" s="3">
        <v>43.8</v>
      </c>
      <c r="E969" s="3"/>
      <c r="F969" s="3"/>
      <c r="G969" s="3"/>
      <c r="H969" s="3"/>
      <c r="I969" s="3"/>
      <c r="J969" s="3"/>
      <c r="K969" s="3">
        <v>42.8</v>
      </c>
      <c r="L969" s="3"/>
      <c r="M969" s="3"/>
      <c r="N969" s="3">
        <v>192.6</v>
      </c>
      <c r="O969" s="3"/>
      <c r="P969" s="3"/>
      <c r="Q969" s="3">
        <v>1.98</v>
      </c>
      <c r="R969" s="3">
        <v>0.7</v>
      </c>
      <c r="S969" s="3">
        <v>3.1</v>
      </c>
      <c r="T969" s="3">
        <v>15.2</v>
      </c>
      <c r="U969" s="3">
        <v>64.400000000000006</v>
      </c>
      <c r="V969" s="3">
        <v>966.6</v>
      </c>
      <c r="W969" s="3">
        <v>0</v>
      </c>
      <c r="X969" s="3">
        <v>47.7</v>
      </c>
      <c r="Y969" s="3">
        <v>47.2</v>
      </c>
      <c r="Z969" s="3">
        <v>47.7</v>
      </c>
      <c r="AA969" s="3">
        <v>44.7</v>
      </c>
      <c r="AB969" s="3">
        <v>39.299999999999997</v>
      </c>
      <c r="AC969" s="3">
        <v>37</v>
      </c>
      <c r="AD969" s="3">
        <v>40.299999999999997</v>
      </c>
      <c r="AE969" s="3">
        <v>42.5</v>
      </c>
      <c r="AF969" s="3">
        <v>48.4</v>
      </c>
      <c r="AG969" s="3">
        <v>41.6</v>
      </c>
      <c r="AH969" s="3">
        <v>39.4</v>
      </c>
      <c r="AI969" s="3">
        <v>40.1</v>
      </c>
      <c r="AJ969" s="3">
        <v>38.200000000000003</v>
      </c>
      <c r="AK969" s="3">
        <v>36.200000000000003</v>
      </c>
      <c r="AL969" s="3">
        <v>34.200000000000003</v>
      </c>
      <c r="AM969" s="3">
        <v>33.299999999999997</v>
      </c>
      <c r="AN969" s="3">
        <v>32.200000000000003</v>
      </c>
      <c r="AO969" s="3">
        <v>31</v>
      </c>
      <c r="AP969" s="3">
        <v>30.5</v>
      </c>
      <c r="AQ969" s="3">
        <v>30.6</v>
      </c>
      <c r="AR969" s="3">
        <v>31.1</v>
      </c>
      <c r="AS969" s="3">
        <v>31.3</v>
      </c>
      <c r="AT969" s="3">
        <v>32.799999999999997</v>
      </c>
      <c r="AU969" s="3">
        <v>29.8</v>
      </c>
      <c r="AV969" s="3">
        <v>28.3</v>
      </c>
      <c r="AW969" s="3">
        <v>27.3</v>
      </c>
      <c r="AX969" s="3">
        <v>22.5</v>
      </c>
      <c r="AY969" s="3">
        <v>20.100000000000001</v>
      </c>
      <c r="AZ969" s="3">
        <v>0</v>
      </c>
      <c r="BA969" s="3">
        <v>0</v>
      </c>
      <c r="BB969" s="3">
        <v>0</v>
      </c>
      <c r="BC969" s="3">
        <v>43.847535465615302</v>
      </c>
      <c r="BD969" s="3">
        <v>47.652464534384698</v>
      </c>
      <c r="BE969" s="3">
        <v>47.152464534384698</v>
      </c>
      <c r="BF969" s="3">
        <v>46.412464534384689</v>
      </c>
      <c r="BG969" s="3">
        <v>43.739131201051372</v>
      </c>
      <c r="BH969" s="3">
        <v>38.479131201051352</v>
      </c>
      <c r="BI969" s="3">
        <v>36.592464534384696</v>
      </c>
      <c r="BJ969" s="3">
        <v>40.68579786771803</v>
      </c>
      <c r="BK969" s="3">
        <v>42.759131201051353</v>
      </c>
      <c r="BL969" s="3">
        <v>48.232464534384697</v>
      </c>
      <c r="BM969" s="3">
        <v>41.565797867718025</v>
      </c>
      <c r="BN969" s="3">
        <v>39.649131201051368</v>
      </c>
      <c r="BO969" s="3">
        <v>39.715797867718031</v>
      </c>
      <c r="BP969" s="3">
        <v>37.532464534384694</v>
      </c>
      <c r="BQ969" s="3">
        <v>35.949131201051351</v>
      </c>
      <c r="BR969" s="3">
        <v>34.275797867718033</v>
      </c>
      <c r="BS969" s="3">
        <v>33.179131201051369</v>
      </c>
      <c r="BT969" s="3">
        <v>32.275797867718033</v>
      </c>
      <c r="BU969" s="3">
        <v>31.042464534384699</v>
      </c>
      <c r="BV969" s="3">
        <v>30.259131201051368</v>
      </c>
      <c r="BW969" s="3">
        <v>30.892464534384708</v>
      </c>
      <c r="BX969" s="3">
        <v>31.312464534384695</v>
      </c>
      <c r="BY969" s="3">
        <v>31.332464534384691</v>
      </c>
      <c r="BZ969" s="3">
        <v>32.962464534384701</v>
      </c>
      <c r="CA969" s="3">
        <v>30.062464534384695</v>
      </c>
      <c r="CB969" s="3">
        <v>27.999131201051362</v>
      </c>
      <c r="CC969" s="3">
        <v>27.212464534384701</v>
      </c>
      <c r="CD969" s="3">
        <v>21.719131201051361</v>
      </c>
      <c r="CE969" s="3">
        <v>19.512464534384698</v>
      </c>
      <c r="CF969" s="3">
        <v>-0.97420213228197383</v>
      </c>
      <c r="CG969" s="3">
        <v>-1.5075354656153053</v>
      </c>
      <c r="CH969" s="3">
        <v>-2.5842021322819733</v>
      </c>
      <c r="CI969" s="13">
        <f>[1]!dbasum(RecData[[#This Row],[20]:[2000]],RecData[[#Headers],[20]:[2000]])</f>
        <v>42.300779554509035</v>
      </c>
      <c r="CJ969" s="14">
        <v>10333</v>
      </c>
      <c r="CK969" s="15" t="s">
        <v>249</v>
      </c>
      <c r="CL969" s="15">
        <f>RecData[[#This Row],[Start Time]]</f>
        <v>43275.025000000001</v>
      </c>
      <c r="CM969" s="16">
        <f>RecData[[#This Row],[Wind Speed avg]]</f>
        <v>1.98</v>
      </c>
      <c r="CN969" s="16">
        <f>RecData[[#This Row],[Wind Dir. avg]]</f>
        <v>192.6</v>
      </c>
      <c r="CO969" s="16">
        <f>RecData[[#This Row],[Amb. Humidity]]</f>
        <v>64.400000000000006</v>
      </c>
      <c r="CP969" s="16">
        <f>RecData[[#This Row],[Amb. Temperature]]</f>
        <v>15.2</v>
      </c>
      <c r="CQ969" s="17">
        <f>RecData[[#This Row],[Amb. Rain Gauge]]</f>
        <v>0</v>
      </c>
      <c r="CR969" s="4" t="s">
        <v>1</v>
      </c>
      <c r="CS969" s="4" t="s">
        <v>49</v>
      </c>
      <c r="CT969" s="70">
        <v>1599.65454101562</v>
      </c>
      <c r="CU969" s="70">
        <v>27.000228881835898</v>
      </c>
      <c r="CV969" s="70">
        <v>10.182620048522899</v>
      </c>
      <c r="CW969" s="70">
        <v>15.187227249145501</v>
      </c>
      <c r="CX969" s="4"/>
      <c r="CY969" s="69"/>
      <c r="CZ969" s="2" t="b">
        <f>IF($DP$1="YES",IF(RecData[[#This Row],[Power (kW)]]&gt;=$CR$3, TRUE,FALSE),TRUE)</f>
        <v>1</v>
      </c>
      <c r="DA969" s="16">
        <f>MIN(MOD(180-ABS(ABS($DA$1-RecData[Yaw Angle (°)])-180),360),MOD(180-ABS(ABS($DB$1-RecData[Yaw Angle (°)])-180),360))</f>
        <v>19.470302104148345</v>
      </c>
      <c r="DB969" s="2" t="str">
        <f>IF($DP$2="None","None",IF(RecData[[#This Row],[Relative Wind Direction]]&lt;=45,"DW",IF(RecData[[#This Row],[Relative Wind Direction]]&lt;=135,"CW","UW")))</f>
        <v>DW</v>
      </c>
      <c r="DC969" s="61">
        <v>-1</v>
      </c>
      <c r="DD969" s="61">
        <v>-1</v>
      </c>
      <c r="DE969" s="18" t="b">
        <v>0</v>
      </c>
      <c r="DF969" s="2" t="b">
        <f>IF(OR(RecData[[#This Row],[WSpd_Avg '[m/s']]]-RecData[[#This Row],[Wind Speed min]]&gt;=$DF$3,RecData[[#This Row],[Wind Speed max]]-RecData[[#This Row],[WSpd_Avg '[m/s']]]&gt;=$DF$2),TRUE,FALSE)</f>
        <v>0</v>
      </c>
      <c r="DG969" s="2" t="b">
        <f>RecData[[#This Row],[Temperature '[°C']]]&lt;=-20</f>
        <v>0</v>
      </c>
      <c r="DH969" s="18" t="b">
        <f>NOT(OR(MOD(RecData[[#This Row],[TIMESTAMP]],1)&gt;0.91632,MOD(RecData[[#This Row],[TIMESTAMP]],1)&lt;0.208681))</f>
        <v>0</v>
      </c>
      <c r="DI969" s="18" t="b">
        <f>RecData[[#This Row],[Overall (dBA)]]-RecData[[#This Row],[L90]]&gt;=$DS$4</f>
        <v>0</v>
      </c>
      <c r="DJ969" s="18" t="b">
        <f>RecData[[#This Row],[Overall (dBA)]]&gt;$DS$2</f>
        <v>0</v>
      </c>
      <c r="DK969" s="18" t="b">
        <f>RecData[[#This Row],[Overall (dBA)]]&lt;$DS$3</f>
        <v>0</v>
      </c>
      <c r="DL9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69" s="2">
        <f>IF(AND(RecData[[#This Row],[Turbines ON/OFF]] = "OFF", NOT(OR(RecData[[#This Row],[Junk?]]="YES",RecData[[#This Row],[Gust?]],RecData[[#This Row],[Rain?]:[Min SPL Threshold?]]))),1,0)</f>
        <v>0</v>
      </c>
      <c r="DN969" s="16">
        <f>RecData[[#This Row],[dBA Sum]]</f>
        <v>42.300779554509035</v>
      </c>
      <c r="DO969" s="16">
        <f>RecData[[#This Row],[LAF90.0]]</f>
        <v>42.8</v>
      </c>
      <c r="DP969" s="55">
        <f>IF(AND(RecData[[#This Row],[Useable TON Data?]],RecData[[#This Row],[Turbines ON/OFF]]="ON"),RecData[[#This Row],[dBA Sum]],"")</f>
        <v>42.300779554509035</v>
      </c>
      <c r="DQ969" s="55" t="str">
        <f>IF(AND(RecData[[#This Row],[Useable Background Data?]],RecData[[#This Row],[Turbines ON/OFF]]="OFF"),RecData[[#This Row],[dBA Sum]],"")</f>
        <v/>
      </c>
      <c r="DR969" s="3">
        <f>IF(OR(RecData[[#This Row],[Useable TON Data?]],RecData[[#This Row],[Useable Background Data?]]),ROUND(RecData[[#This Row],[WSpd_Avg '[m/s']]],0),"")</f>
        <v>2</v>
      </c>
      <c r="DS969" s="85">
        <f>(0.00002)^2*(10^(RecData[[#This Row],[Overall (dBA)]]/10))</f>
        <v>6.7941940518394747E-6</v>
      </c>
    </row>
    <row r="970" spans="1:123" ht="15" x14ac:dyDescent="0.25">
      <c r="A970" s="3" t="s">
        <v>249</v>
      </c>
      <c r="B970" s="12">
        <v>43275.026388888888</v>
      </c>
      <c r="C970" s="3"/>
      <c r="D970" s="3">
        <v>40.5</v>
      </c>
      <c r="E970" s="3"/>
      <c r="F970" s="3"/>
      <c r="G970" s="3"/>
      <c r="H970" s="3"/>
      <c r="I970" s="3"/>
      <c r="J970" s="3"/>
      <c r="K970" s="3">
        <v>39.700000000000003</v>
      </c>
      <c r="L970" s="3"/>
      <c r="M970" s="3"/>
      <c r="N970" s="3">
        <v>177.7</v>
      </c>
      <c r="O970" s="3"/>
      <c r="P970" s="3"/>
      <c r="Q970" s="3">
        <v>1.07</v>
      </c>
      <c r="R970" s="3">
        <v>0.3</v>
      </c>
      <c r="S970" s="3">
        <v>2.5</v>
      </c>
      <c r="T970" s="3">
        <v>15.2</v>
      </c>
      <c r="U970" s="3">
        <v>64.5</v>
      </c>
      <c r="V970" s="3">
        <v>966.7</v>
      </c>
      <c r="W970" s="3">
        <v>0</v>
      </c>
      <c r="X970" s="3">
        <v>47.3</v>
      </c>
      <c r="Y970" s="3">
        <v>45.8</v>
      </c>
      <c r="Z970" s="3">
        <v>46.2</v>
      </c>
      <c r="AA970" s="3">
        <v>43</v>
      </c>
      <c r="AB970" s="3">
        <v>37.700000000000003</v>
      </c>
      <c r="AC970" s="3">
        <v>35.6</v>
      </c>
      <c r="AD970" s="3">
        <v>38.6</v>
      </c>
      <c r="AE970" s="3">
        <v>40.299999999999997</v>
      </c>
      <c r="AF970" s="3">
        <v>45.8</v>
      </c>
      <c r="AG970" s="3">
        <v>39.299999999999997</v>
      </c>
      <c r="AH970" s="3">
        <v>36.9</v>
      </c>
      <c r="AI970" s="3">
        <v>37.299999999999997</v>
      </c>
      <c r="AJ970" s="3">
        <v>35.9</v>
      </c>
      <c r="AK970" s="3">
        <v>34.299999999999997</v>
      </c>
      <c r="AL970" s="3">
        <v>32.4</v>
      </c>
      <c r="AM970" s="3">
        <v>32</v>
      </c>
      <c r="AN970" s="3">
        <v>30.5</v>
      </c>
      <c r="AO970" s="3">
        <v>28.3</v>
      </c>
      <c r="AP970" s="3">
        <v>27.1</v>
      </c>
      <c r="AQ970" s="3">
        <v>26.4</v>
      </c>
      <c r="AR970" s="3">
        <v>26.1</v>
      </c>
      <c r="AS970" s="3">
        <v>25.7</v>
      </c>
      <c r="AT970" s="3">
        <v>26.4</v>
      </c>
      <c r="AU970" s="3">
        <v>23.8</v>
      </c>
      <c r="AV970" s="3">
        <v>22.4</v>
      </c>
      <c r="AW970" s="3">
        <v>21.4</v>
      </c>
      <c r="AX970" s="3">
        <v>16.8</v>
      </c>
      <c r="AY970" s="3">
        <v>14.6</v>
      </c>
      <c r="AZ970" s="3">
        <v>0</v>
      </c>
      <c r="BA970" s="3">
        <v>0</v>
      </c>
      <c r="BB970" s="3">
        <v>0</v>
      </c>
      <c r="BC970" s="3">
        <v>40.515738116074481</v>
      </c>
      <c r="BD970" s="3">
        <v>47.284261883925517</v>
      </c>
      <c r="BE970" s="3">
        <v>45.784261883925517</v>
      </c>
      <c r="BF970" s="3">
        <v>44.944261883925527</v>
      </c>
      <c r="BG970" s="3">
        <v>42.070928550592193</v>
      </c>
      <c r="BH970" s="3">
        <v>36.910928550592196</v>
      </c>
      <c r="BI970" s="3">
        <v>35.224261883925529</v>
      </c>
      <c r="BJ970" s="3">
        <v>39.017595217258851</v>
      </c>
      <c r="BK970" s="3">
        <v>40.590928550592174</v>
      </c>
      <c r="BL970" s="3">
        <v>45.664261883925526</v>
      </c>
      <c r="BM970" s="3">
        <v>39.297595217258852</v>
      </c>
      <c r="BN970" s="3">
        <v>37.180928550592178</v>
      </c>
      <c r="BO970" s="3">
        <v>36.947595217258858</v>
      </c>
      <c r="BP970" s="3">
        <v>35.264261883925521</v>
      </c>
      <c r="BQ970" s="3">
        <v>34.080928550592184</v>
      </c>
      <c r="BR970" s="3">
        <v>32.50759521725886</v>
      </c>
      <c r="BS970" s="3">
        <v>31.910928550592182</v>
      </c>
      <c r="BT970" s="3">
        <v>30.607595217258854</v>
      </c>
      <c r="BU970" s="3">
        <v>28.37426188392552</v>
      </c>
      <c r="BV970" s="3">
        <v>26.890928550592186</v>
      </c>
      <c r="BW970" s="3">
        <v>26.724261883925529</v>
      </c>
      <c r="BX970" s="3">
        <v>26.344261883925533</v>
      </c>
      <c r="BY970" s="3">
        <v>25.764261883925521</v>
      </c>
      <c r="BZ970" s="3">
        <v>26.594261883925519</v>
      </c>
      <c r="CA970" s="3">
        <v>24.094261883925505</v>
      </c>
      <c r="CB970" s="3">
        <v>22.130928550592181</v>
      </c>
      <c r="CC970" s="3">
        <v>21.344261883925519</v>
      </c>
      <c r="CD970" s="3">
        <v>16.050928550592189</v>
      </c>
      <c r="CE970" s="3">
        <v>14.044261883925522</v>
      </c>
      <c r="CF970" s="3">
        <v>-0.94240478274114992</v>
      </c>
      <c r="CG970" s="3">
        <v>-1.4757381160744814</v>
      </c>
      <c r="CH970" s="3">
        <v>-2.5524047827411493</v>
      </c>
      <c r="CI970" s="13">
        <f>[1]!dbasum(RecData[[#This Row],[20]:[2000]],RecData[[#Headers],[20]:[2000]])</f>
        <v>39.721017837992349</v>
      </c>
      <c r="CJ970" s="14">
        <v>10335</v>
      </c>
      <c r="CK970" s="15" t="s">
        <v>249</v>
      </c>
      <c r="CL970" s="15">
        <f>RecData[[#This Row],[Start Time]]</f>
        <v>43275.026388888888</v>
      </c>
      <c r="CM970" s="16">
        <f>RecData[[#This Row],[Wind Speed avg]]</f>
        <v>1.07</v>
      </c>
      <c r="CN970" s="16">
        <f>RecData[[#This Row],[Wind Dir. avg]]</f>
        <v>177.7</v>
      </c>
      <c r="CO970" s="16">
        <f>RecData[[#This Row],[Amb. Humidity]]</f>
        <v>64.5</v>
      </c>
      <c r="CP970" s="16">
        <f>RecData[[#This Row],[Amb. Temperature]]</f>
        <v>15.2</v>
      </c>
      <c r="CQ970" s="17">
        <f>RecData[[#This Row],[Amb. Rain Gauge]]</f>
        <v>0</v>
      </c>
      <c r="CR970" s="4" t="s">
        <v>1</v>
      </c>
      <c r="CS970" s="4" t="s">
        <v>49</v>
      </c>
      <c r="CT970" s="70">
        <v>1599.65454101562</v>
      </c>
      <c r="CU970" s="70">
        <v>27.000228881835898</v>
      </c>
      <c r="CV970" s="70">
        <v>10.182620048522899</v>
      </c>
      <c r="CW970" s="70">
        <v>15.187227249145501</v>
      </c>
      <c r="CX970" s="4"/>
      <c r="CY970" s="69"/>
      <c r="CZ970" s="2" t="b">
        <f>IF($DP$1="YES",IF(RecData[[#This Row],[Power (kW)]]&gt;=$CR$3, TRUE,FALSE),TRUE)</f>
        <v>1</v>
      </c>
      <c r="DA970" s="16">
        <f>MIN(MOD(180-ABS(ABS($DA$1-RecData[Yaw Angle (°)])-180),360),MOD(180-ABS(ABS($DB$1-RecData[Yaw Angle (°)])-180),360))</f>
        <v>19.470302104148345</v>
      </c>
      <c r="DB970" s="2" t="str">
        <f>IF($DP$2="None","None",IF(RecData[[#This Row],[Relative Wind Direction]]&lt;=45,"DW",IF(RecData[[#This Row],[Relative Wind Direction]]&lt;=135,"CW","UW")))</f>
        <v>DW</v>
      </c>
      <c r="DC970" s="61" t="e">
        <f>IF($CL970-$CL969&gt;1/24,#REF!,IF(SUM($CQ969:$CQ970)&gt;$DS$1,$DS$5,#REF!-1))</f>
        <v>#REF!</v>
      </c>
      <c r="DD970" s="61" t="e">
        <f>IF(#REF!-$CL970&gt;1/24,#REF!,IF(SUM($CQ969:$CQ970)&gt;$DS$1,$DS$6,#REF!-1))</f>
        <v>#REF!</v>
      </c>
      <c r="DE970" s="18" t="b">
        <v>0</v>
      </c>
      <c r="DF970" s="2" t="b">
        <f>IF(OR(RecData[[#This Row],[WSpd_Avg '[m/s']]]-RecData[[#This Row],[Wind Speed min]]&gt;=$DF$3,RecData[[#This Row],[Wind Speed max]]-RecData[[#This Row],[WSpd_Avg '[m/s']]]&gt;=$DF$2),TRUE,FALSE)</f>
        <v>0</v>
      </c>
      <c r="DG970" s="2" t="b">
        <f>RecData[[#This Row],[Temperature '[°C']]]&lt;=-20</f>
        <v>0</v>
      </c>
      <c r="DH970" s="18" t="b">
        <f>NOT(OR(MOD(RecData[[#This Row],[TIMESTAMP]],1)&gt;0.91632,MOD(RecData[[#This Row],[TIMESTAMP]],1)&lt;0.208681))</f>
        <v>0</v>
      </c>
      <c r="DI970" s="18" t="b">
        <f>RecData[[#This Row],[Overall (dBA)]]-RecData[[#This Row],[L90]]&gt;=$DS$4</f>
        <v>0</v>
      </c>
      <c r="DJ970" s="18" t="b">
        <f>RecData[[#This Row],[Overall (dBA)]]&gt;$DS$2</f>
        <v>0</v>
      </c>
      <c r="DK970" s="18" t="b">
        <f>RecData[[#This Row],[Overall (dBA)]]&lt;$DS$3</f>
        <v>0</v>
      </c>
      <c r="DL9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0" s="2">
        <f>IF(AND(RecData[[#This Row],[Turbines ON/OFF]] = "OFF", NOT(OR(RecData[[#This Row],[Junk?]]="YES",RecData[[#This Row],[Gust?]],RecData[[#This Row],[Rain?]:[Min SPL Threshold?]]))),1,0)</f>
        <v>0</v>
      </c>
      <c r="DN970" s="16">
        <f>RecData[[#This Row],[dBA Sum]]</f>
        <v>39.721017837992349</v>
      </c>
      <c r="DO970" s="16">
        <f>RecData[[#This Row],[LAF90.0]]</f>
        <v>39.700000000000003</v>
      </c>
      <c r="DP970" s="55">
        <f>IF(AND(RecData[[#This Row],[Useable TON Data?]],RecData[[#This Row],[Turbines ON/OFF]]="ON"),RecData[[#This Row],[dBA Sum]],"")</f>
        <v>39.721017837992349</v>
      </c>
      <c r="DQ970" s="55" t="str">
        <f>IF(AND(RecData[[#This Row],[Useable Background Data?]],RecData[[#This Row],[Turbines ON/OFF]]="OFF"),RecData[[#This Row],[dBA Sum]],"")</f>
        <v/>
      </c>
      <c r="DR970" s="3">
        <f>IF(OR(RecData[[#This Row],[Useable TON Data?]],RecData[[#This Row],[Useable Background Data?]]),ROUND(RecData[[#This Row],[WSpd_Avg '[m/s']]],0),"")</f>
        <v>1</v>
      </c>
      <c r="DS970" s="85">
        <f>(0.00002)^2*(10^(RecData[[#This Row],[Overall (dBA)]]/10))</f>
        <v>3.7511270608070008E-6</v>
      </c>
    </row>
    <row r="971" spans="1:123" ht="15" x14ac:dyDescent="0.25">
      <c r="A971" s="3" t="s">
        <v>249</v>
      </c>
      <c r="B971" s="12">
        <v>43275.030555555553</v>
      </c>
      <c r="C971" s="3"/>
      <c r="D971" s="3">
        <v>42.2</v>
      </c>
      <c r="E971" s="3"/>
      <c r="F971" s="3"/>
      <c r="G971" s="3"/>
      <c r="H971" s="3"/>
      <c r="I971" s="3"/>
      <c r="J971" s="3"/>
      <c r="K971" s="3">
        <v>39.5</v>
      </c>
      <c r="L971" s="3"/>
      <c r="M971" s="3"/>
      <c r="N971" s="3">
        <v>193.2</v>
      </c>
      <c r="O971" s="3"/>
      <c r="P971" s="3"/>
      <c r="Q971" s="3">
        <v>1.75</v>
      </c>
      <c r="R971" s="3">
        <v>0.6</v>
      </c>
      <c r="S971" s="3">
        <v>2.7</v>
      </c>
      <c r="T971" s="3">
        <v>15</v>
      </c>
      <c r="U971" s="3">
        <v>64.900000000000006</v>
      </c>
      <c r="V971" s="3">
        <v>966.8</v>
      </c>
      <c r="W971" s="3">
        <v>0</v>
      </c>
      <c r="X971" s="3">
        <v>46.8</v>
      </c>
      <c r="Y971" s="3">
        <v>46.9</v>
      </c>
      <c r="Z971" s="3">
        <v>46.7</v>
      </c>
      <c r="AA971" s="3">
        <v>41.6</v>
      </c>
      <c r="AB971" s="3">
        <v>37.200000000000003</v>
      </c>
      <c r="AC971" s="3">
        <v>36</v>
      </c>
      <c r="AD971" s="3">
        <v>38.4</v>
      </c>
      <c r="AE971" s="3">
        <v>40.6</v>
      </c>
      <c r="AF971" s="3">
        <v>45.5</v>
      </c>
      <c r="AG971" s="3">
        <v>39.5</v>
      </c>
      <c r="AH971" s="3">
        <v>37.200000000000003</v>
      </c>
      <c r="AI971" s="3">
        <v>38.1</v>
      </c>
      <c r="AJ971" s="3">
        <v>36.299999999999997</v>
      </c>
      <c r="AK971" s="3">
        <v>34.799999999999997</v>
      </c>
      <c r="AL971" s="3">
        <v>32.799999999999997</v>
      </c>
      <c r="AM971" s="3">
        <v>32.200000000000003</v>
      </c>
      <c r="AN971" s="3">
        <v>31.1</v>
      </c>
      <c r="AO971" s="3">
        <v>29.8</v>
      </c>
      <c r="AP971" s="3">
        <v>29.2</v>
      </c>
      <c r="AQ971" s="3">
        <v>29.2</v>
      </c>
      <c r="AR971" s="3">
        <v>29.6</v>
      </c>
      <c r="AS971" s="3">
        <v>29.7</v>
      </c>
      <c r="AT971" s="3">
        <v>31.4</v>
      </c>
      <c r="AU971" s="3">
        <v>27.7</v>
      </c>
      <c r="AV971" s="3">
        <v>26.3</v>
      </c>
      <c r="AW971" s="3">
        <v>25</v>
      </c>
      <c r="AX971" s="3">
        <v>20</v>
      </c>
      <c r="AY971" s="3">
        <v>17.2</v>
      </c>
      <c r="AZ971" s="3">
        <v>0</v>
      </c>
      <c r="BA971" s="3">
        <v>0</v>
      </c>
      <c r="BB971" s="3">
        <v>0</v>
      </c>
      <c r="BC971" s="3">
        <v>42.202644291873796</v>
      </c>
      <c r="BD971" s="3">
        <v>46.797355708126204</v>
      </c>
      <c r="BE971" s="3">
        <v>46.897355708126199</v>
      </c>
      <c r="BF971" s="3">
        <v>45.457355708126201</v>
      </c>
      <c r="BG971" s="3">
        <v>40.684022374792875</v>
      </c>
      <c r="BH971" s="3">
        <v>36.42402237479287</v>
      </c>
      <c r="BI971" s="3">
        <v>35.637355708126208</v>
      </c>
      <c r="BJ971" s="3">
        <v>38.830689041459536</v>
      </c>
      <c r="BK971" s="3">
        <v>40.904022374792874</v>
      </c>
      <c r="BL971" s="3">
        <v>45.377355708126217</v>
      </c>
      <c r="BM971" s="3">
        <v>39.510689041459543</v>
      </c>
      <c r="BN971" s="3">
        <v>37.494022374792877</v>
      </c>
      <c r="BO971" s="3">
        <v>37.760689041459543</v>
      </c>
      <c r="BP971" s="3">
        <v>35.6773557081262</v>
      </c>
      <c r="BQ971" s="3">
        <v>34.594022374792857</v>
      </c>
      <c r="BR971" s="3">
        <v>32.920689041459539</v>
      </c>
      <c r="BS971" s="3">
        <v>32.124022374792887</v>
      </c>
      <c r="BT971" s="3">
        <v>31.220689041459551</v>
      </c>
      <c r="BU971" s="3">
        <v>29.887355708126208</v>
      </c>
      <c r="BV971" s="3">
        <v>29.004022374792882</v>
      </c>
      <c r="BW971" s="3">
        <v>29.537355708126213</v>
      </c>
      <c r="BX971" s="3">
        <v>29.857355708126207</v>
      </c>
      <c r="BY971" s="3">
        <v>29.777355708126208</v>
      </c>
      <c r="BZ971" s="3">
        <v>31.607355708126207</v>
      </c>
      <c r="CA971" s="3">
        <v>28.007355708126198</v>
      </c>
      <c r="CB971" s="3">
        <v>26.044022374792874</v>
      </c>
      <c r="CC971" s="3">
        <v>24.957355708126201</v>
      </c>
      <c r="CD971" s="3">
        <v>19.264022374792873</v>
      </c>
      <c r="CE971" s="3">
        <v>16.657355708126204</v>
      </c>
      <c r="CF971" s="3">
        <v>-0.9293109585404622</v>
      </c>
      <c r="CG971" s="3">
        <v>-1.4626442918737936</v>
      </c>
      <c r="CH971" s="3">
        <v>-2.5393109585404616</v>
      </c>
      <c r="CI971" s="13">
        <f>[1]!dbasum(RecData[[#This Row],[20]:[2000]],RecData[[#Headers],[20]:[2000]])</f>
        <v>40.740736344549532</v>
      </c>
      <c r="CJ971" s="14">
        <v>10341</v>
      </c>
      <c r="CK971" s="15" t="s">
        <v>249</v>
      </c>
      <c r="CL971" s="15">
        <f>RecData[[#This Row],[Start Time]]</f>
        <v>43275.030555555553</v>
      </c>
      <c r="CM971" s="16">
        <f>RecData[[#This Row],[Wind Speed avg]]</f>
        <v>1.75</v>
      </c>
      <c r="CN971" s="16">
        <f>RecData[[#This Row],[Wind Dir. avg]]</f>
        <v>193.2</v>
      </c>
      <c r="CO971" s="16">
        <f>RecData[[#This Row],[Amb. Humidity]]</f>
        <v>64.900000000000006</v>
      </c>
      <c r="CP971" s="16">
        <f>RecData[[#This Row],[Amb. Temperature]]</f>
        <v>15</v>
      </c>
      <c r="CQ971" s="17">
        <f>RecData[[#This Row],[Amb. Rain Gauge]]</f>
        <v>0</v>
      </c>
      <c r="CR971" s="4" t="s">
        <v>1</v>
      </c>
      <c r="CS971" s="4" t="s">
        <v>49</v>
      </c>
      <c r="CT971" s="70">
        <v>1607.13977050781</v>
      </c>
      <c r="CU971" s="70">
        <v>27.000228881835898</v>
      </c>
      <c r="CV971" s="70">
        <v>10.586530685424799</v>
      </c>
      <c r="CW971" s="70">
        <v>15.276165962219199</v>
      </c>
      <c r="CX971" s="4"/>
      <c r="CY971" s="69"/>
      <c r="CZ971" s="2" t="b">
        <f>IF($DP$1="YES",IF(RecData[[#This Row],[Power (kW)]]&gt;=$CR$3, TRUE,FALSE),TRUE)</f>
        <v>1</v>
      </c>
      <c r="DA971" s="16">
        <f>MIN(MOD(180-ABS(ABS($DA$1-RecData[Yaw Angle (°)])-180),360),MOD(180-ABS(ABS($DB$1-RecData[Yaw Angle (°)])-180),360))</f>
        <v>19.470302104148345</v>
      </c>
      <c r="DB971" s="2" t="str">
        <f>IF($DP$2="None","None",IF(RecData[[#This Row],[Relative Wind Direction]]&lt;=45,"DW",IF(RecData[[#This Row],[Relative Wind Direction]]&lt;=135,"CW","UW")))</f>
        <v>DW</v>
      </c>
      <c r="DC971" s="61" t="e">
        <f>IF($CL971-#REF!&gt;1/24,#REF!,IF(SUM($CQ971:$CQ971)&gt;$DS$1,$DS$5,#REF!-1))</f>
        <v>#REF!</v>
      </c>
      <c r="DD971" s="61" t="e">
        <f>IF(#REF!-$CL971&gt;1/24,#REF!,IF(SUM($CQ971:$CQ971)&gt;$DS$1,$DS$6,#REF!-1))</f>
        <v>#REF!</v>
      </c>
      <c r="DE971" s="18" t="b">
        <v>0</v>
      </c>
      <c r="DF971" s="2" t="b">
        <f>IF(OR(RecData[[#This Row],[WSpd_Avg '[m/s']]]-RecData[[#This Row],[Wind Speed min]]&gt;=$DF$3,RecData[[#This Row],[Wind Speed max]]-RecData[[#This Row],[WSpd_Avg '[m/s']]]&gt;=$DF$2),TRUE,FALSE)</f>
        <v>0</v>
      </c>
      <c r="DG971" s="2" t="b">
        <f>RecData[[#This Row],[Temperature '[°C']]]&lt;=-20</f>
        <v>0</v>
      </c>
      <c r="DH971" s="18" t="b">
        <f>NOT(OR(MOD(RecData[[#This Row],[TIMESTAMP]],1)&gt;0.91632,MOD(RecData[[#This Row],[TIMESTAMP]],1)&lt;0.208681))</f>
        <v>0</v>
      </c>
      <c r="DI971" s="18" t="b">
        <f>RecData[[#This Row],[Overall (dBA)]]-RecData[[#This Row],[L90]]&gt;=$DS$4</f>
        <v>0</v>
      </c>
      <c r="DJ971" s="18" t="b">
        <f>RecData[[#This Row],[Overall (dBA)]]&gt;$DS$2</f>
        <v>0</v>
      </c>
      <c r="DK971" s="18" t="b">
        <f>RecData[[#This Row],[Overall (dBA)]]&lt;$DS$3</f>
        <v>0</v>
      </c>
      <c r="DL9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1" s="2">
        <f>IF(AND(RecData[[#This Row],[Turbines ON/OFF]] = "OFF", NOT(OR(RecData[[#This Row],[Junk?]]="YES",RecData[[#This Row],[Gust?]],RecData[[#This Row],[Rain?]:[Min SPL Threshold?]]))),1,0)</f>
        <v>0</v>
      </c>
      <c r="DN971" s="16">
        <f>RecData[[#This Row],[dBA Sum]]</f>
        <v>40.740736344549532</v>
      </c>
      <c r="DO971" s="16">
        <f>RecData[[#This Row],[LAF90.0]]</f>
        <v>39.5</v>
      </c>
      <c r="DP971" s="55">
        <f>IF(AND(RecData[[#This Row],[Useable TON Data?]],RecData[[#This Row],[Turbines ON/OFF]]="ON"),RecData[[#This Row],[dBA Sum]],"")</f>
        <v>40.740736344549532</v>
      </c>
      <c r="DQ971" s="55" t="str">
        <f>IF(AND(RecData[[#This Row],[Useable Background Data?]],RecData[[#This Row],[Turbines ON/OFF]]="OFF"),RecData[[#This Row],[dBA Sum]],"")</f>
        <v/>
      </c>
      <c r="DR971" s="3">
        <f>IF(OR(RecData[[#This Row],[Useable TON Data?]],RecData[[#This Row],[Useable Background Data?]]),ROUND(RecData[[#This Row],[WSpd_Avg '[m/s']]],0),"")</f>
        <v>2</v>
      </c>
      <c r="DS971" s="85">
        <f>(0.00002)^2*(10^(RecData[[#This Row],[Overall (dBA)]]/10))</f>
        <v>4.7438792473069802E-6</v>
      </c>
    </row>
    <row r="972" spans="1:123" ht="15" x14ac:dyDescent="0.25">
      <c r="A972" s="3" t="s">
        <v>249</v>
      </c>
      <c r="B972" s="12">
        <v>43275.031944444447</v>
      </c>
      <c r="C972" s="3"/>
      <c r="D972" s="3">
        <v>40.700000000000003</v>
      </c>
      <c r="E972" s="3"/>
      <c r="F972" s="3"/>
      <c r="G972" s="3"/>
      <c r="H972" s="3"/>
      <c r="I972" s="3"/>
      <c r="J972" s="3"/>
      <c r="K972" s="3">
        <v>38.799999999999997</v>
      </c>
      <c r="L972" s="3"/>
      <c r="M972" s="3"/>
      <c r="N972" s="3">
        <v>130.69999999999999</v>
      </c>
      <c r="O972" s="3"/>
      <c r="P972" s="3"/>
      <c r="Q972" s="3">
        <v>1.93</v>
      </c>
      <c r="R972" s="3">
        <v>0.8</v>
      </c>
      <c r="S972" s="3">
        <v>3.3</v>
      </c>
      <c r="T972" s="3">
        <v>14.9</v>
      </c>
      <c r="U972" s="3">
        <v>64.7</v>
      </c>
      <c r="V972" s="3">
        <v>966.7</v>
      </c>
      <c r="W972" s="3">
        <v>0</v>
      </c>
      <c r="X972" s="3">
        <v>47.2</v>
      </c>
      <c r="Y972" s="3">
        <v>46.5</v>
      </c>
      <c r="Z972" s="3">
        <v>46.1</v>
      </c>
      <c r="AA972" s="3">
        <v>42.5</v>
      </c>
      <c r="AB972" s="3">
        <v>37.6</v>
      </c>
      <c r="AC972" s="3">
        <v>35.9</v>
      </c>
      <c r="AD972" s="3">
        <v>38.6</v>
      </c>
      <c r="AE972" s="3">
        <v>39.6</v>
      </c>
      <c r="AF972" s="3">
        <v>44.2</v>
      </c>
      <c r="AG972" s="3">
        <v>39.299999999999997</v>
      </c>
      <c r="AH972" s="3">
        <v>36.4</v>
      </c>
      <c r="AI972" s="3">
        <v>37.200000000000003</v>
      </c>
      <c r="AJ972" s="3">
        <v>35.700000000000003</v>
      </c>
      <c r="AK972" s="3">
        <v>34.200000000000003</v>
      </c>
      <c r="AL972" s="3">
        <v>32.299999999999997</v>
      </c>
      <c r="AM972" s="3">
        <v>32</v>
      </c>
      <c r="AN972" s="3">
        <v>30.6</v>
      </c>
      <c r="AO972" s="3">
        <v>28.3</v>
      </c>
      <c r="AP972" s="3">
        <v>27</v>
      </c>
      <c r="AQ972" s="3">
        <v>26.4</v>
      </c>
      <c r="AR972" s="3">
        <v>26.1</v>
      </c>
      <c r="AS972" s="3">
        <v>26.2</v>
      </c>
      <c r="AT972" s="3">
        <v>29.3</v>
      </c>
      <c r="AU972" s="3">
        <v>25.2</v>
      </c>
      <c r="AV972" s="3">
        <v>23.7</v>
      </c>
      <c r="AW972" s="3">
        <v>22.3</v>
      </c>
      <c r="AX972" s="3">
        <v>17.7</v>
      </c>
      <c r="AY972" s="3">
        <v>15.6</v>
      </c>
      <c r="AZ972" s="3">
        <v>0</v>
      </c>
      <c r="BA972" s="3">
        <v>0</v>
      </c>
      <c r="BB972" s="3">
        <v>0</v>
      </c>
      <c r="BC972" s="3">
        <v>40.668565091343673</v>
      </c>
      <c r="BD972" s="3">
        <v>47.231434908656333</v>
      </c>
      <c r="BE972" s="3">
        <v>46.53143490865633</v>
      </c>
      <c r="BF972" s="3">
        <v>44.891434908656329</v>
      </c>
      <c r="BG972" s="3">
        <v>41.618101575322989</v>
      </c>
      <c r="BH972" s="3">
        <v>36.858101575322998</v>
      </c>
      <c r="BI972" s="3">
        <v>35.571434908656336</v>
      </c>
      <c r="BJ972" s="3">
        <v>39.064768241989661</v>
      </c>
      <c r="BK972" s="3">
        <v>39.938101575322996</v>
      </c>
      <c r="BL972" s="3">
        <v>44.111434908656328</v>
      </c>
      <c r="BM972" s="3">
        <v>39.344768241989662</v>
      </c>
      <c r="BN972" s="3">
        <v>36.728101575323002</v>
      </c>
      <c r="BO972" s="3">
        <v>36.894768241989659</v>
      </c>
      <c r="BP972" s="3">
        <v>35.111434908656328</v>
      </c>
      <c r="BQ972" s="3">
        <v>34.028101575322985</v>
      </c>
      <c r="BR972" s="3">
        <v>32.454768241989662</v>
      </c>
      <c r="BS972" s="3">
        <v>31.958101575322992</v>
      </c>
      <c r="BT972" s="3">
        <v>30.754768241989673</v>
      </c>
      <c r="BU972" s="3">
        <v>28.42143490865633</v>
      </c>
      <c r="BV972" s="3">
        <v>26.838101575323002</v>
      </c>
      <c r="BW972" s="3">
        <v>26.771434908656325</v>
      </c>
      <c r="BX972" s="3">
        <v>26.391434908656329</v>
      </c>
      <c r="BY972" s="3">
        <v>26.311434908656331</v>
      </c>
      <c r="BZ972" s="3">
        <v>29.541434908656335</v>
      </c>
      <c r="CA972" s="3">
        <v>25.541434908656321</v>
      </c>
      <c r="CB972" s="3">
        <v>23.478101575323002</v>
      </c>
      <c r="CC972" s="3">
        <v>22.291434908656328</v>
      </c>
      <c r="CD972" s="3">
        <v>16.998101575322998</v>
      </c>
      <c r="CE972" s="3">
        <v>15.091434908656332</v>
      </c>
      <c r="CF972" s="3">
        <v>-0.89523175801033972</v>
      </c>
      <c r="CG972" s="3">
        <v>-1.4285650913436712</v>
      </c>
      <c r="CH972" s="3">
        <v>-2.5052317580103391</v>
      </c>
      <c r="CI972" s="13">
        <f>[1]!dbasum(RecData[[#This Row],[20]:[2000]],RecData[[#Headers],[20]:[2000]])</f>
        <v>39.570540352784889</v>
      </c>
      <c r="CJ972" s="14">
        <v>10343</v>
      </c>
      <c r="CK972" s="15" t="s">
        <v>249</v>
      </c>
      <c r="CL972" s="15">
        <f>RecData[[#This Row],[Start Time]]</f>
        <v>43275.031944444447</v>
      </c>
      <c r="CM972" s="16">
        <f>RecData[[#This Row],[Wind Speed avg]]</f>
        <v>1.93</v>
      </c>
      <c r="CN972" s="16">
        <f>RecData[[#This Row],[Wind Dir. avg]]</f>
        <v>130.69999999999999</v>
      </c>
      <c r="CO972" s="16">
        <f>RecData[[#This Row],[Amb. Humidity]]</f>
        <v>64.7</v>
      </c>
      <c r="CP972" s="16">
        <f>RecData[[#This Row],[Amb. Temperature]]</f>
        <v>14.9</v>
      </c>
      <c r="CQ972" s="17">
        <f>RecData[[#This Row],[Amb. Rain Gauge]]</f>
        <v>0</v>
      </c>
      <c r="CR972" s="4" t="s">
        <v>1</v>
      </c>
      <c r="CS972" s="4" t="s">
        <v>49</v>
      </c>
      <c r="CT972" s="70">
        <v>1607.13977050781</v>
      </c>
      <c r="CU972" s="70">
        <v>27.000228881835898</v>
      </c>
      <c r="CV972" s="70">
        <v>10.586530685424799</v>
      </c>
      <c r="CW972" s="70">
        <v>15.276165962219199</v>
      </c>
      <c r="CX972" s="4"/>
      <c r="CY972" s="69"/>
      <c r="CZ972" s="2" t="b">
        <f>IF($DP$1="YES",IF(RecData[[#This Row],[Power (kW)]]&gt;=$CR$3, TRUE,FALSE),TRUE)</f>
        <v>1</v>
      </c>
      <c r="DA972" s="16">
        <f>MIN(MOD(180-ABS(ABS($DA$1-RecData[Yaw Angle (°)])-180),360),MOD(180-ABS(ABS($DB$1-RecData[Yaw Angle (°)])-180),360))</f>
        <v>19.470302104148345</v>
      </c>
      <c r="DB972" s="2" t="str">
        <f>IF($DP$2="None","None",IF(RecData[[#This Row],[Relative Wind Direction]]&lt;=45,"DW",IF(RecData[[#This Row],[Relative Wind Direction]]&lt;=135,"CW","UW")))</f>
        <v>DW</v>
      </c>
      <c r="DC972" s="61" t="e">
        <f>IF($CL972-#REF!&gt;1/24,#REF!,IF(SUM($CQ972:$CQ972)&gt;$DS$1,$DS$5,DC973-1))</f>
        <v>#REF!</v>
      </c>
      <c r="DD972" s="61" t="e">
        <f>IF($CL973-$CL972&gt;1/24,#REF!,IF(SUM($CQ972:$CQ972)&gt;$DS$1,$DS$6,#REF!-1))</f>
        <v>#REF!</v>
      </c>
      <c r="DE972" s="18" t="b">
        <v>0</v>
      </c>
      <c r="DF972" s="2" t="b">
        <f>IF(OR(RecData[[#This Row],[WSpd_Avg '[m/s']]]-RecData[[#This Row],[Wind Speed min]]&gt;=$DF$3,RecData[[#This Row],[Wind Speed max]]-RecData[[#This Row],[WSpd_Avg '[m/s']]]&gt;=$DF$2),TRUE,FALSE)</f>
        <v>0</v>
      </c>
      <c r="DG972" s="2" t="b">
        <f>RecData[[#This Row],[Temperature '[°C']]]&lt;=-20</f>
        <v>0</v>
      </c>
      <c r="DH972" s="18" t="b">
        <f>NOT(OR(MOD(RecData[[#This Row],[TIMESTAMP]],1)&gt;0.91632,MOD(RecData[[#This Row],[TIMESTAMP]],1)&lt;0.208681))</f>
        <v>0</v>
      </c>
      <c r="DI972" s="18" t="b">
        <f>RecData[[#This Row],[Overall (dBA)]]-RecData[[#This Row],[L90]]&gt;=$DS$4</f>
        <v>0</v>
      </c>
      <c r="DJ972" s="18" t="b">
        <f>RecData[[#This Row],[Overall (dBA)]]&gt;$DS$2</f>
        <v>0</v>
      </c>
      <c r="DK972" s="18" t="b">
        <f>RecData[[#This Row],[Overall (dBA)]]&lt;$DS$3</f>
        <v>0</v>
      </c>
      <c r="DL9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2" s="2">
        <f>IF(AND(RecData[[#This Row],[Turbines ON/OFF]] = "OFF", NOT(OR(RecData[[#This Row],[Junk?]]="YES",RecData[[#This Row],[Gust?]],RecData[[#This Row],[Rain?]:[Min SPL Threshold?]]))),1,0)</f>
        <v>0</v>
      </c>
      <c r="DN972" s="16">
        <f>RecData[[#This Row],[dBA Sum]]</f>
        <v>39.570540352784889</v>
      </c>
      <c r="DO972" s="16">
        <f>RecData[[#This Row],[LAF90.0]]</f>
        <v>38.799999999999997</v>
      </c>
      <c r="DP972" s="55">
        <f>IF(AND(RecData[[#This Row],[Useable TON Data?]],RecData[[#This Row],[Turbines ON/OFF]]="ON"),RecData[[#This Row],[dBA Sum]],"")</f>
        <v>39.570540352784889</v>
      </c>
      <c r="DQ972" s="55" t="str">
        <f>IF(AND(RecData[[#This Row],[Useable Background Data?]],RecData[[#This Row],[Turbines ON/OFF]]="OFF"),RecData[[#This Row],[dBA Sum]],"")</f>
        <v/>
      </c>
      <c r="DR972" s="3">
        <f>IF(OR(RecData[[#This Row],[Useable TON Data?]],RecData[[#This Row],[Useable Background Data?]]),ROUND(RecData[[#This Row],[WSpd_Avg '[m/s']]],0),"")</f>
        <v>2</v>
      </c>
      <c r="DS972" s="85">
        <f>(0.00002)^2*(10^(RecData[[#This Row],[Overall (dBA)]]/10))</f>
        <v>3.6233811996324808E-6</v>
      </c>
    </row>
    <row r="973" spans="1:123" ht="15" x14ac:dyDescent="0.25">
      <c r="A973" s="3" t="s">
        <v>249</v>
      </c>
      <c r="B973" s="12">
        <v>43275.032638888886</v>
      </c>
      <c r="C973" s="3"/>
      <c r="D973" s="3">
        <v>40.4</v>
      </c>
      <c r="E973" s="3"/>
      <c r="F973" s="3"/>
      <c r="G973" s="3"/>
      <c r="H973" s="3"/>
      <c r="I973" s="3"/>
      <c r="J973" s="3"/>
      <c r="K973" s="3">
        <v>39</v>
      </c>
      <c r="L973" s="3"/>
      <c r="M973" s="3"/>
      <c r="N973" s="3">
        <v>138.80000000000001</v>
      </c>
      <c r="O973" s="3"/>
      <c r="P973" s="3"/>
      <c r="Q973" s="3">
        <v>1.07</v>
      </c>
      <c r="R973" s="3">
        <v>0.2</v>
      </c>
      <c r="S973" s="3">
        <v>2.2000000000000002</v>
      </c>
      <c r="T973" s="3">
        <v>14.9</v>
      </c>
      <c r="U973" s="3">
        <v>64.900000000000006</v>
      </c>
      <c r="V973" s="3">
        <v>966.8</v>
      </c>
      <c r="W973" s="3">
        <v>0</v>
      </c>
      <c r="X973" s="3">
        <v>46.3</v>
      </c>
      <c r="Y973" s="3">
        <v>45.8</v>
      </c>
      <c r="Z973" s="3">
        <v>46.1</v>
      </c>
      <c r="AA973" s="3">
        <v>41.6</v>
      </c>
      <c r="AB973" s="3">
        <v>35.799999999999997</v>
      </c>
      <c r="AC973" s="3">
        <v>35.9</v>
      </c>
      <c r="AD973" s="3">
        <v>39.4</v>
      </c>
      <c r="AE973" s="3">
        <v>41.4</v>
      </c>
      <c r="AF973" s="3">
        <v>46.3</v>
      </c>
      <c r="AG973" s="3">
        <v>38.6</v>
      </c>
      <c r="AH973" s="3">
        <v>38.200000000000003</v>
      </c>
      <c r="AI973" s="3">
        <v>37.799999999999997</v>
      </c>
      <c r="AJ973" s="3">
        <v>36.6</v>
      </c>
      <c r="AK973" s="3">
        <v>34.700000000000003</v>
      </c>
      <c r="AL973" s="3">
        <v>32.700000000000003</v>
      </c>
      <c r="AM973" s="3">
        <v>32.200000000000003</v>
      </c>
      <c r="AN973" s="3">
        <v>30.7</v>
      </c>
      <c r="AO973" s="3">
        <v>28.2</v>
      </c>
      <c r="AP973" s="3">
        <v>26.7</v>
      </c>
      <c r="AQ973" s="3">
        <v>25.5</v>
      </c>
      <c r="AR973" s="3">
        <v>24.7</v>
      </c>
      <c r="AS973" s="3">
        <v>23.6</v>
      </c>
      <c r="AT973" s="3">
        <v>26.5</v>
      </c>
      <c r="AU973" s="3">
        <v>20.399999999999999</v>
      </c>
      <c r="AV973" s="3">
        <v>18.5</v>
      </c>
      <c r="AW973" s="3">
        <v>17.100000000000001</v>
      </c>
      <c r="AX973" s="3">
        <v>13.1</v>
      </c>
      <c r="AY973" s="3">
        <v>11.5</v>
      </c>
      <c r="AZ973" s="3">
        <v>0</v>
      </c>
      <c r="BA973" s="3">
        <v>0</v>
      </c>
      <c r="BB973" s="3">
        <v>0</v>
      </c>
      <c r="BC973" s="3">
        <v>40.445747984648406</v>
      </c>
      <c r="BD973" s="3">
        <v>46.254252015351582</v>
      </c>
      <c r="BE973" s="3">
        <v>45.754252015351582</v>
      </c>
      <c r="BF973" s="3">
        <v>44.814252015351585</v>
      </c>
      <c r="BG973" s="3">
        <v>40.640918682018267</v>
      </c>
      <c r="BH973" s="3">
        <v>34.980918682018256</v>
      </c>
      <c r="BI973" s="3">
        <v>35.494252015351591</v>
      </c>
      <c r="BJ973" s="3">
        <v>39.787585348684914</v>
      </c>
      <c r="BK973" s="3">
        <v>41.660918682018249</v>
      </c>
      <c r="BL973" s="3">
        <v>46.134252015351592</v>
      </c>
      <c r="BM973" s="3">
        <v>38.567585348684929</v>
      </c>
      <c r="BN973" s="3">
        <v>38.450918682018269</v>
      </c>
      <c r="BO973" s="3">
        <v>37.417585348684923</v>
      </c>
      <c r="BP973" s="3">
        <v>35.934252015351589</v>
      </c>
      <c r="BQ973" s="3">
        <v>34.450918682018255</v>
      </c>
      <c r="BR973" s="3">
        <v>32.777585348684923</v>
      </c>
      <c r="BS973" s="3">
        <v>32.080918682018265</v>
      </c>
      <c r="BT973" s="3">
        <v>30.777585348684923</v>
      </c>
      <c r="BU973" s="3">
        <v>28.244252015351591</v>
      </c>
      <c r="BV973" s="3">
        <v>26.46091868201826</v>
      </c>
      <c r="BW973" s="3">
        <v>25.794252015351603</v>
      </c>
      <c r="BX973" s="3">
        <v>24.914252015351593</v>
      </c>
      <c r="BY973" s="3">
        <v>23.634252015351592</v>
      </c>
      <c r="BZ973" s="3">
        <v>26.664252015351593</v>
      </c>
      <c r="CA973" s="3">
        <v>20.664252015351579</v>
      </c>
      <c r="CB973" s="3">
        <v>18.200918682018255</v>
      </c>
      <c r="CC973" s="3">
        <v>17.014252015351587</v>
      </c>
      <c r="CD973" s="3">
        <v>12.320918682018259</v>
      </c>
      <c r="CE973" s="3">
        <v>10.914252015351593</v>
      </c>
      <c r="CF973" s="3">
        <v>-0.97241465131507709</v>
      </c>
      <c r="CG973" s="3">
        <v>-1.5057479846484085</v>
      </c>
      <c r="CH973" s="3">
        <v>-2.5824146513150765</v>
      </c>
      <c r="CI973" s="13">
        <f>[1]!dbasum(RecData[[#This Row],[20]:[2000]],RecData[[#Headers],[20]:[2000]])</f>
        <v>39.853081100051412</v>
      </c>
      <c r="CJ973" s="14">
        <v>10344</v>
      </c>
      <c r="CK973" s="15" t="s">
        <v>249</v>
      </c>
      <c r="CL973" s="15">
        <f>RecData[[#This Row],[Start Time]]</f>
        <v>43275.032638888886</v>
      </c>
      <c r="CM973" s="16">
        <f>RecData[[#This Row],[Wind Speed avg]]</f>
        <v>1.07</v>
      </c>
      <c r="CN973" s="16">
        <f>RecData[[#This Row],[Wind Dir. avg]]</f>
        <v>138.80000000000001</v>
      </c>
      <c r="CO973" s="16">
        <f>RecData[[#This Row],[Amb. Humidity]]</f>
        <v>64.900000000000006</v>
      </c>
      <c r="CP973" s="16">
        <f>RecData[[#This Row],[Amb. Temperature]]</f>
        <v>14.9</v>
      </c>
      <c r="CQ973" s="17">
        <f>RecData[[#This Row],[Amb. Rain Gauge]]</f>
        <v>0</v>
      </c>
      <c r="CR973" s="4" t="s">
        <v>1</v>
      </c>
      <c r="CS973" s="4" t="s">
        <v>49</v>
      </c>
      <c r="CT973" s="70">
        <v>1607.13977050781</v>
      </c>
      <c r="CU973" s="70">
        <v>27.000228881835898</v>
      </c>
      <c r="CV973" s="70">
        <v>10.586530685424799</v>
      </c>
      <c r="CW973" s="70">
        <v>15.276165962219199</v>
      </c>
      <c r="CX973" s="4"/>
      <c r="CY973" s="69"/>
      <c r="CZ973" s="2" t="b">
        <f>IF($DP$1="YES",IF(RecData[[#This Row],[Power (kW)]]&gt;=$CR$3, TRUE,FALSE),TRUE)</f>
        <v>1</v>
      </c>
      <c r="DA973" s="16">
        <f>MIN(MOD(180-ABS(ABS($DA$1-RecData[Yaw Angle (°)])-180),360),MOD(180-ABS(ABS($DB$1-RecData[Yaw Angle (°)])-180),360))</f>
        <v>19.470302104148345</v>
      </c>
      <c r="DB973" s="2" t="str">
        <f>IF($DP$2="None","None",IF(RecData[[#This Row],[Relative Wind Direction]]&lt;=45,"DW",IF(RecData[[#This Row],[Relative Wind Direction]]&lt;=135,"CW","UW")))</f>
        <v>DW</v>
      </c>
      <c r="DC973" s="61" t="e">
        <f>IF($CL973-#REF!&gt;1/24,#REF!,IF(SUM($CQ972:$CQ973)&gt;$DS$1,$DS$5,DC974-1))</f>
        <v>#REF!</v>
      </c>
      <c r="DD973" s="61" t="e">
        <f>IF($CL974-$CL973&gt;1/24,#REF!,IF(SUM($CQ972:$CQ973)&gt;$DS$1,$DS$6,DD972-1))</f>
        <v>#REF!</v>
      </c>
      <c r="DE973" s="18" t="b">
        <v>0</v>
      </c>
      <c r="DF973" s="2" t="b">
        <f>IF(OR(RecData[[#This Row],[WSpd_Avg '[m/s']]]-RecData[[#This Row],[Wind Speed min]]&gt;=$DF$3,RecData[[#This Row],[Wind Speed max]]-RecData[[#This Row],[WSpd_Avg '[m/s']]]&gt;=$DF$2),TRUE,FALSE)</f>
        <v>0</v>
      </c>
      <c r="DG973" s="2" t="b">
        <f>RecData[[#This Row],[Temperature '[°C']]]&lt;=-20</f>
        <v>0</v>
      </c>
      <c r="DH973" s="18" t="b">
        <f>NOT(OR(MOD(RecData[[#This Row],[TIMESTAMP]],1)&gt;0.91632,MOD(RecData[[#This Row],[TIMESTAMP]],1)&lt;0.208681))</f>
        <v>0</v>
      </c>
      <c r="DI973" s="18" t="b">
        <f>RecData[[#This Row],[Overall (dBA)]]-RecData[[#This Row],[L90]]&gt;=$DS$4</f>
        <v>0</v>
      </c>
      <c r="DJ973" s="18" t="b">
        <f>RecData[[#This Row],[Overall (dBA)]]&gt;$DS$2</f>
        <v>0</v>
      </c>
      <c r="DK973" s="18" t="b">
        <f>RecData[[#This Row],[Overall (dBA)]]&lt;$DS$3</f>
        <v>0</v>
      </c>
      <c r="DL9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3" s="2">
        <f>IF(AND(RecData[[#This Row],[Turbines ON/OFF]] = "OFF", NOT(OR(RecData[[#This Row],[Junk?]]="YES",RecData[[#This Row],[Gust?]],RecData[[#This Row],[Rain?]:[Min SPL Threshold?]]))),1,0)</f>
        <v>0</v>
      </c>
      <c r="DN973" s="16">
        <f>RecData[[#This Row],[dBA Sum]]</f>
        <v>39.853081100051412</v>
      </c>
      <c r="DO973" s="16">
        <f>RecData[[#This Row],[LAF90.0]]</f>
        <v>39</v>
      </c>
      <c r="DP973" s="55">
        <f>IF(AND(RecData[[#This Row],[Useable TON Data?]],RecData[[#This Row],[Turbines ON/OFF]]="ON"),RecData[[#This Row],[dBA Sum]],"")</f>
        <v>39.853081100051412</v>
      </c>
      <c r="DQ973" s="55" t="str">
        <f>IF(AND(RecData[[#This Row],[Useable Background Data?]],RecData[[#This Row],[Turbines ON/OFF]]="OFF"),RecData[[#This Row],[dBA Sum]],"")</f>
        <v/>
      </c>
      <c r="DR973" s="3">
        <f>IF(OR(RecData[[#This Row],[Useable TON Data?]],RecData[[#This Row],[Useable Background Data?]]),ROUND(RecData[[#This Row],[WSpd_Avg '[m/s']]],0),"")</f>
        <v>1</v>
      </c>
      <c r="DS973" s="85">
        <f>(0.00002)^2*(10^(RecData[[#This Row],[Overall (dBA)]]/10))</f>
        <v>3.866945945923024E-6</v>
      </c>
    </row>
    <row r="974" spans="1:123" ht="15" x14ac:dyDescent="0.25">
      <c r="A974" s="3" t="s">
        <v>249</v>
      </c>
      <c r="B974" s="12">
        <v>43275.033333333333</v>
      </c>
      <c r="C974" s="3"/>
      <c r="D974" s="3">
        <v>40.4</v>
      </c>
      <c r="E974" s="3"/>
      <c r="F974" s="3"/>
      <c r="G974" s="3"/>
      <c r="H974" s="3"/>
      <c r="I974" s="3"/>
      <c r="J974" s="3"/>
      <c r="K974" s="3">
        <v>38.799999999999997</v>
      </c>
      <c r="L974" s="3"/>
      <c r="M974" s="3"/>
      <c r="N974" s="3">
        <v>161.9</v>
      </c>
      <c r="O974" s="3"/>
      <c r="P974" s="3"/>
      <c r="Q974" s="3">
        <v>1.63</v>
      </c>
      <c r="R974" s="3">
        <v>0.4</v>
      </c>
      <c r="S974" s="3">
        <v>2.6</v>
      </c>
      <c r="T974" s="3">
        <v>14.8</v>
      </c>
      <c r="U974" s="3">
        <v>64.900000000000006</v>
      </c>
      <c r="V974" s="3">
        <v>966.8</v>
      </c>
      <c r="W974" s="3">
        <v>0</v>
      </c>
      <c r="X974" s="3">
        <v>46.6</v>
      </c>
      <c r="Y974" s="3">
        <v>45.6</v>
      </c>
      <c r="Z974" s="3">
        <v>45.3</v>
      </c>
      <c r="AA974" s="3">
        <v>41.7</v>
      </c>
      <c r="AB974" s="3">
        <v>37.1</v>
      </c>
      <c r="AC974" s="3">
        <v>35.4</v>
      </c>
      <c r="AD974" s="3">
        <v>38</v>
      </c>
      <c r="AE974" s="3">
        <v>39.9</v>
      </c>
      <c r="AF974" s="3">
        <v>44.4</v>
      </c>
      <c r="AG974" s="3">
        <v>38.5</v>
      </c>
      <c r="AH974" s="3">
        <v>36</v>
      </c>
      <c r="AI974" s="3">
        <v>36.9</v>
      </c>
      <c r="AJ974" s="3">
        <v>35.4</v>
      </c>
      <c r="AK974" s="3">
        <v>33.799999999999997</v>
      </c>
      <c r="AL974" s="3">
        <v>31.8</v>
      </c>
      <c r="AM974" s="3">
        <v>31.3</v>
      </c>
      <c r="AN974" s="3">
        <v>29.7</v>
      </c>
      <c r="AO974" s="3">
        <v>27.6</v>
      </c>
      <c r="AP974" s="3">
        <v>26.5</v>
      </c>
      <c r="AQ974" s="3">
        <v>25.9</v>
      </c>
      <c r="AR974" s="3">
        <v>25.9</v>
      </c>
      <c r="AS974" s="3">
        <v>26</v>
      </c>
      <c r="AT974" s="3">
        <v>29.9</v>
      </c>
      <c r="AU974" s="3">
        <v>25.2</v>
      </c>
      <c r="AV974" s="3">
        <v>23.6</v>
      </c>
      <c r="AW974" s="3">
        <v>22.5</v>
      </c>
      <c r="AX974" s="3">
        <v>18</v>
      </c>
      <c r="AY974" s="3">
        <v>16.100000000000001</v>
      </c>
      <c r="AZ974" s="3">
        <v>0</v>
      </c>
      <c r="BA974" s="3">
        <v>0</v>
      </c>
      <c r="BB974" s="3">
        <v>0</v>
      </c>
      <c r="BC974" s="3">
        <v>40.373993493817565</v>
      </c>
      <c r="BD974" s="3">
        <v>46.626006506182435</v>
      </c>
      <c r="BE974" s="3">
        <v>45.626006506182435</v>
      </c>
      <c r="BF974" s="3">
        <v>44.086006506182429</v>
      </c>
      <c r="BG974" s="3">
        <v>40.812673172849102</v>
      </c>
      <c r="BH974" s="3">
        <v>36.352673172849094</v>
      </c>
      <c r="BI974" s="3">
        <v>35.066006506182433</v>
      </c>
      <c r="BJ974" s="3">
        <v>38.459339839515764</v>
      </c>
      <c r="BK974" s="3">
        <v>40.23267317284909</v>
      </c>
      <c r="BL974" s="3">
        <v>44.306006506182442</v>
      </c>
      <c r="BM974" s="3">
        <v>38.539339839515762</v>
      </c>
      <c r="BN974" s="3">
        <v>36.322673172849093</v>
      </c>
      <c r="BO974" s="3">
        <v>36.589339839515773</v>
      </c>
      <c r="BP974" s="3">
        <v>34.806006506182442</v>
      </c>
      <c r="BQ974" s="3">
        <v>33.62267317284909</v>
      </c>
      <c r="BR974" s="3">
        <v>31.949339839515773</v>
      </c>
      <c r="BS974" s="3">
        <v>31.2526731728491</v>
      </c>
      <c r="BT974" s="3">
        <v>29.849339839515764</v>
      </c>
      <c r="BU974" s="3">
        <v>27.716006506182438</v>
      </c>
      <c r="BV974" s="3">
        <v>26.332673172849098</v>
      </c>
      <c r="BW974" s="3">
        <v>26.266006506182435</v>
      </c>
      <c r="BX974" s="3">
        <v>26.186006506182437</v>
      </c>
      <c r="BY974" s="3">
        <v>26.106006506182425</v>
      </c>
      <c r="BZ974" s="3">
        <v>30.13600650618244</v>
      </c>
      <c r="CA974" s="3">
        <v>25.536006506182432</v>
      </c>
      <c r="CB974" s="3">
        <v>23.372673172849105</v>
      </c>
      <c r="CC974" s="3">
        <v>22.486006506182434</v>
      </c>
      <c r="CD974" s="3">
        <v>17.292673172849106</v>
      </c>
      <c r="CE974" s="3">
        <v>15.586006506182436</v>
      </c>
      <c r="CF974" s="3">
        <v>-0.90066016048423592</v>
      </c>
      <c r="CG974" s="3">
        <v>-1.4339934938175674</v>
      </c>
      <c r="CH974" s="3">
        <v>-2.5106601604842353</v>
      </c>
      <c r="CI974" s="13">
        <f>[1]!dbasum(RecData[[#This Row],[20]:[2000]],RecData[[#Headers],[20]:[2000]])</f>
        <v>39.100327788179442</v>
      </c>
      <c r="CJ974" s="14">
        <v>10345</v>
      </c>
      <c r="CK974" s="15" t="s">
        <v>249</v>
      </c>
      <c r="CL974" s="15">
        <f>RecData[[#This Row],[Start Time]]</f>
        <v>43275.033333333333</v>
      </c>
      <c r="CM974" s="16">
        <f>RecData[[#This Row],[Wind Speed avg]]</f>
        <v>1.63</v>
      </c>
      <c r="CN974" s="16">
        <f>RecData[[#This Row],[Wind Dir. avg]]</f>
        <v>161.9</v>
      </c>
      <c r="CO974" s="16">
        <f>RecData[[#This Row],[Amb. Humidity]]</f>
        <v>64.900000000000006</v>
      </c>
      <c r="CP974" s="16">
        <f>RecData[[#This Row],[Amb. Temperature]]</f>
        <v>14.8</v>
      </c>
      <c r="CQ974" s="17">
        <f>RecData[[#This Row],[Amb. Rain Gauge]]</f>
        <v>0</v>
      </c>
      <c r="CR974" s="4" t="s">
        <v>1</v>
      </c>
      <c r="CS974" s="4" t="s">
        <v>49</v>
      </c>
      <c r="CT974" s="70">
        <v>1607.13977050781</v>
      </c>
      <c r="CU974" s="70">
        <v>27.000228881835898</v>
      </c>
      <c r="CV974" s="70">
        <v>10.586530685424799</v>
      </c>
      <c r="CW974" s="70">
        <v>15.276165962219199</v>
      </c>
      <c r="CX974" s="4"/>
      <c r="CY974" s="69"/>
      <c r="CZ974" s="2" t="b">
        <f>IF($DP$1="YES",IF(RecData[[#This Row],[Power (kW)]]&gt;=$CR$3, TRUE,FALSE),TRUE)</f>
        <v>1</v>
      </c>
      <c r="DA974" s="16">
        <f>MIN(MOD(180-ABS(ABS($DA$1-RecData[Yaw Angle (°)])-180),360),MOD(180-ABS(ABS($DB$1-RecData[Yaw Angle (°)])-180),360))</f>
        <v>19.470302104148345</v>
      </c>
      <c r="DB974" s="2" t="str">
        <f>IF($DP$2="None","None",IF(RecData[[#This Row],[Relative Wind Direction]]&lt;=45,"DW",IF(RecData[[#This Row],[Relative Wind Direction]]&lt;=135,"CW","UW")))</f>
        <v>DW</v>
      </c>
      <c r="DC974" s="61" t="e">
        <f>IF($CL974-#REF!&gt;1/24,#REF!,IF(SUM($CQ972:$CQ974)&gt;$DS$1,$DS$5,DC975-1))</f>
        <v>#REF!</v>
      </c>
      <c r="DD974" s="61" t="e">
        <f>IF($CL975-$CL974&gt;1/24,#REF!,IF(SUM($CQ972:$CQ974)&gt;$DS$1,$DS$6,DD973-1))</f>
        <v>#REF!</v>
      </c>
      <c r="DE974" s="18" t="b">
        <v>0</v>
      </c>
      <c r="DF974" s="2" t="b">
        <f>IF(OR(RecData[[#This Row],[WSpd_Avg '[m/s']]]-RecData[[#This Row],[Wind Speed min]]&gt;=$DF$3,RecData[[#This Row],[Wind Speed max]]-RecData[[#This Row],[WSpd_Avg '[m/s']]]&gt;=$DF$2),TRUE,FALSE)</f>
        <v>0</v>
      </c>
      <c r="DG974" s="2" t="b">
        <f>RecData[[#This Row],[Temperature '[°C']]]&lt;=-20</f>
        <v>0</v>
      </c>
      <c r="DH974" s="18" t="b">
        <f>NOT(OR(MOD(RecData[[#This Row],[TIMESTAMP]],1)&gt;0.91632,MOD(RecData[[#This Row],[TIMESTAMP]],1)&lt;0.208681))</f>
        <v>0</v>
      </c>
      <c r="DI974" s="18" t="b">
        <f>RecData[[#This Row],[Overall (dBA)]]-RecData[[#This Row],[L90]]&gt;=$DS$4</f>
        <v>0</v>
      </c>
      <c r="DJ974" s="18" t="b">
        <f>RecData[[#This Row],[Overall (dBA)]]&gt;$DS$2</f>
        <v>0</v>
      </c>
      <c r="DK974" s="18" t="b">
        <f>RecData[[#This Row],[Overall (dBA)]]&lt;$DS$3</f>
        <v>0</v>
      </c>
      <c r="DL9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4" s="2">
        <f>IF(AND(RecData[[#This Row],[Turbines ON/OFF]] = "OFF", NOT(OR(RecData[[#This Row],[Junk?]]="YES",RecData[[#This Row],[Gust?]],RecData[[#This Row],[Rain?]:[Min SPL Threshold?]]))),1,0)</f>
        <v>0</v>
      </c>
      <c r="DN974" s="16">
        <f>RecData[[#This Row],[dBA Sum]]</f>
        <v>39.100327788179442</v>
      </c>
      <c r="DO974" s="16">
        <f>RecData[[#This Row],[LAF90.0]]</f>
        <v>38.799999999999997</v>
      </c>
      <c r="DP974" s="55">
        <f>IF(AND(RecData[[#This Row],[Useable TON Data?]],RecData[[#This Row],[Turbines ON/OFF]]="ON"),RecData[[#This Row],[dBA Sum]],"")</f>
        <v>39.100327788179442</v>
      </c>
      <c r="DQ974" s="55" t="str">
        <f>IF(AND(RecData[[#This Row],[Useable Background Data?]],RecData[[#This Row],[Turbines ON/OFF]]="OFF"),RecData[[#This Row],[dBA Sum]],"")</f>
        <v/>
      </c>
      <c r="DR974" s="3">
        <f>IF(OR(RecData[[#This Row],[Useable TON Data?]],RecData[[#This Row],[Useable Background Data?]]),ROUND(RecData[[#This Row],[WSpd_Avg '[m/s']]],0),"")</f>
        <v>2</v>
      </c>
      <c r="DS974" s="85">
        <f>(0.00002)^2*(10^(RecData[[#This Row],[Overall (dBA)]]/10))</f>
        <v>3.2515674707586822E-6</v>
      </c>
    </row>
    <row r="975" spans="1:123" ht="15" x14ac:dyDescent="0.25">
      <c r="A975" s="3" t="s">
        <v>249</v>
      </c>
      <c r="B975" s="12">
        <v>43275.03402777778</v>
      </c>
      <c r="C975" s="3"/>
      <c r="D975" s="3">
        <v>40.4</v>
      </c>
      <c r="E975" s="3"/>
      <c r="F975" s="3"/>
      <c r="G975" s="3"/>
      <c r="H975" s="3"/>
      <c r="I975" s="3"/>
      <c r="J975" s="3"/>
      <c r="K975" s="3">
        <v>39</v>
      </c>
      <c r="L975" s="3"/>
      <c r="M975" s="3"/>
      <c r="N975" s="3">
        <v>149.4</v>
      </c>
      <c r="O975" s="3"/>
      <c r="P975" s="3"/>
      <c r="Q975" s="3">
        <v>1.23</v>
      </c>
      <c r="R975" s="3">
        <v>0.1</v>
      </c>
      <c r="S975" s="3">
        <v>2.4</v>
      </c>
      <c r="T975" s="3">
        <v>14.8</v>
      </c>
      <c r="U975" s="3">
        <v>65</v>
      </c>
      <c r="V975" s="3">
        <v>966.8</v>
      </c>
      <c r="W975" s="3">
        <v>0</v>
      </c>
      <c r="X975" s="3">
        <v>47</v>
      </c>
      <c r="Y975" s="3">
        <v>46.3</v>
      </c>
      <c r="Z975" s="3">
        <v>46.1</v>
      </c>
      <c r="AA975" s="3">
        <v>42.4</v>
      </c>
      <c r="AB975" s="3">
        <v>38.1</v>
      </c>
      <c r="AC975" s="3">
        <v>35.299999999999997</v>
      </c>
      <c r="AD975" s="3">
        <v>38.5</v>
      </c>
      <c r="AE975" s="3">
        <v>40.799999999999997</v>
      </c>
      <c r="AF975" s="3">
        <v>45.7</v>
      </c>
      <c r="AG975" s="3">
        <v>39.9</v>
      </c>
      <c r="AH975" s="3">
        <v>37.200000000000003</v>
      </c>
      <c r="AI975" s="3">
        <v>38.4</v>
      </c>
      <c r="AJ975" s="3">
        <v>36.1</v>
      </c>
      <c r="AK975" s="3">
        <v>34.5</v>
      </c>
      <c r="AL975" s="3">
        <v>32.299999999999997</v>
      </c>
      <c r="AM975" s="3">
        <v>31.7</v>
      </c>
      <c r="AN975" s="3">
        <v>30.3</v>
      </c>
      <c r="AO975" s="3">
        <v>28.3</v>
      </c>
      <c r="AP975" s="3">
        <v>27</v>
      </c>
      <c r="AQ975" s="3">
        <v>26.1</v>
      </c>
      <c r="AR975" s="3">
        <v>24.9</v>
      </c>
      <c r="AS975" s="3">
        <v>23.7</v>
      </c>
      <c r="AT975" s="3">
        <v>27.5</v>
      </c>
      <c r="AU975" s="3">
        <v>20.3</v>
      </c>
      <c r="AV975" s="3">
        <v>17.8</v>
      </c>
      <c r="AW975" s="3">
        <v>16.3</v>
      </c>
      <c r="AX975" s="3">
        <v>12.5</v>
      </c>
      <c r="AY975" s="3">
        <v>11.3</v>
      </c>
      <c r="AZ975" s="3">
        <v>0</v>
      </c>
      <c r="BA975" s="3">
        <v>0</v>
      </c>
      <c r="BB975" s="3">
        <v>0</v>
      </c>
      <c r="BC975" s="3">
        <v>40.369974529466781</v>
      </c>
      <c r="BD975" s="3">
        <v>47.030025470533225</v>
      </c>
      <c r="BE975" s="3">
        <v>46.330025470533208</v>
      </c>
      <c r="BF975" s="3">
        <v>44.89002547053321</v>
      </c>
      <c r="BG975" s="3">
        <v>41.516692137199875</v>
      </c>
      <c r="BH975" s="3">
        <v>37.356692137199879</v>
      </c>
      <c r="BI975" s="3">
        <v>34.970025470533223</v>
      </c>
      <c r="BJ975" s="3">
        <v>38.963358803866548</v>
      </c>
      <c r="BK975" s="3">
        <v>41.13669213719988</v>
      </c>
      <c r="BL975" s="3">
        <v>45.610025470533223</v>
      </c>
      <c r="BM975" s="3">
        <v>39.943358803866552</v>
      </c>
      <c r="BN975" s="3">
        <v>37.526692137199895</v>
      </c>
      <c r="BO975" s="3">
        <v>38.093358803866558</v>
      </c>
      <c r="BP975" s="3">
        <v>35.510025470533215</v>
      </c>
      <c r="BQ975" s="3">
        <v>34.326692137199878</v>
      </c>
      <c r="BR975" s="3">
        <v>32.453358803866543</v>
      </c>
      <c r="BS975" s="3">
        <v>31.65669213719989</v>
      </c>
      <c r="BT975" s="3">
        <v>30.453358803866557</v>
      </c>
      <c r="BU975" s="3">
        <v>28.420025470533226</v>
      </c>
      <c r="BV975" s="3">
        <v>26.836692137199883</v>
      </c>
      <c r="BW975" s="3">
        <v>26.470025470533223</v>
      </c>
      <c r="BX975" s="3">
        <v>25.190025470533222</v>
      </c>
      <c r="BY975" s="3">
        <v>23.810025470533212</v>
      </c>
      <c r="BZ975" s="3">
        <v>27.740025470533219</v>
      </c>
      <c r="CA975" s="3">
        <v>20.64002547053321</v>
      </c>
      <c r="CB975" s="3">
        <v>17.576692137199885</v>
      </c>
      <c r="CC975" s="3">
        <v>16.290025470533216</v>
      </c>
      <c r="CD975" s="3">
        <v>11.796692137199891</v>
      </c>
      <c r="CE975" s="3">
        <v>10.790025470533216</v>
      </c>
      <c r="CF975" s="3">
        <v>-0.8966411961334515</v>
      </c>
      <c r="CG975" s="3">
        <v>-1.4299745294667829</v>
      </c>
      <c r="CH975" s="3">
        <v>-2.5066411961334509</v>
      </c>
      <c r="CI975" s="13">
        <f>[1]!dbasum(RecData[[#This Row],[20]:[2000]],RecData[[#Headers],[20]:[2000]])</f>
        <v>39.783018713579764</v>
      </c>
      <c r="CJ975" s="14">
        <v>10346</v>
      </c>
      <c r="CK975" s="15" t="s">
        <v>249</v>
      </c>
      <c r="CL975" s="15">
        <f>RecData[[#This Row],[Start Time]]</f>
        <v>43275.03402777778</v>
      </c>
      <c r="CM975" s="16">
        <f>RecData[[#This Row],[Wind Speed avg]]</f>
        <v>1.23</v>
      </c>
      <c r="CN975" s="16">
        <f>RecData[[#This Row],[Wind Dir. avg]]</f>
        <v>149.4</v>
      </c>
      <c r="CO975" s="16">
        <f>RecData[[#This Row],[Amb. Humidity]]</f>
        <v>65</v>
      </c>
      <c r="CP975" s="16">
        <f>RecData[[#This Row],[Amb. Temperature]]</f>
        <v>14.8</v>
      </c>
      <c r="CQ975" s="17">
        <f>RecData[[#This Row],[Amb. Rain Gauge]]</f>
        <v>0</v>
      </c>
      <c r="CR975" s="4" t="s">
        <v>1</v>
      </c>
      <c r="CS975" s="4" t="s">
        <v>49</v>
      </c>
      <c r="CT975" s="70">
        <v>1607.13977050781</v>
      </c>
      <c r="CU975" s="70">
        <v>27.000228881835898</v>
      </c>
      <c r="CV975" s="70">
        <v>10.586530685424799</v>
      </c>
      <c r="CW975" s="70">
        <v>15.276165962219199</v>
      </c>
      <c r="CX975" s="4"/>
      <c r="CY975" s="69"/>
      <c r="CZ975" s="2" t="b">
        <f>IF($DP$1="YES",IF(RecData[[#This Row],[Power (kW)]]&gt;=$CR$3, TRUE,FALSE),TRUE)</f>
        <v>1</v>
      </c>
      <c r="DA975" s="16">
        <f>MIN(MOD(180-ABS(ABS($DA$1-RecData[Yaw Angle (°)])-180),360),MOD(180-ABS(ABS($DB$1-RecData[Yaw Angle (°)])-180),360))</f>
        <v>19.470302104148345</v>
      </c>
      <c r="DB975" s="2" t="str">
        <f>IF($DP$2="None","None",IF(RecData[[#This Row],[Relative Wind Direction]]&lt;=45,"DW",IF(RecData[[#This Row],[Relative Wind Direction]]&lt;=135,"CW","UW")))</f>
        <v>DW</v>
      </c>
      <c r="DC975" s="61" t="e">
        <f>IF($CL975-#REF!&gt;1/24,#REF!,IF(SUM($CQ972:$CQ975)&gt;$DS$1,$DS$5,#REF!-1))</f>
        <v>#REF!</v>
      </c>
      <c r="DD975" s="61" t="e">
        <f>IF(#REF!-$CL975&gt;1/24,#REF!,IF(SUM($CQ972:$CQ975)&gt;$DS$1,$DS$6,DD974-1))</f>
        <v>#REF!</v>
      </c>
      <c r="DE975" s="18" t="b">
        <v>0</v>
      </c>
      <c r="DF975" s="2" t="b">
        <f>IF(OR(RecData[[#This Row],[WSpd_Avg '[m/s']]]-RecData[[#This Row],[Wind Speed min]]&gt;=$DF$3,RecData[[#This Row],[Wind Speed max]]-RecData[[#This Row],[WSpd_Avg '[m/s']]]&gt;=$DF$2),TRUE,FALSE)</f>
        <v>0</v>
      </c>
      <c r="DG975" s="2" t="b">
        <f>RecData[[#This Row],[Temperature '[°C']]]&lt;=-20</f>
        <v>0</v>
      </c>
      <c r="DH975" s="18" t="b">
        <f>NOT(OR(MOD(RecData[[#This Row],[TIMESTAMP]],1)&gt;0.91632,MOD(RecData[[#This Row],[TIMESTAMP]],1)&lt;0.208681))</f>
        <v>0</v>
      </c>
      <c r="DI975" s="18" t="b">
        <f>RecData[[#This Row],[Overall (dBA)]]-RecData[[#This Row],[L90]]&gt;=$DS$4</f>
        <v>0</v>
      </c>
      <c r="DJ975" s="18" t="b">
        <f>RecData[[#This Row],[Overall (dBA)]]&gt;$DS$2</f>
        <v>0</v>
      </c>
      <c r="DK975" s="18" t="b">
        <f>RecData[[#This Row],[Overall (dBA)]]&lt;$DS$3</f>
        <v>0</v>
      </c>
      <c r="DL9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5" s="2">
        <f>IF(AND(RecData[[#This Row],[Turbines ON/OFF]] = "OFF", NOT(OR(RecData[[#This Row],[Junk?]]="YES",RecData[[#This Row],[Gust?]],RecData[[#This Row],[Rain?]:[Min SPL Threshold?]]))),1,0)</f>
        <v>0</v>
      </c>
      <c r="DN975" s="16">
        <f>RecData[[#This Row],[dBA Sum]]</f>
        <v>39.783018713579764</v>
      </c>
      <c r="DO975" s="16">
        <f>RecData[[#This Row],[LAF90.0]]</f>
        <v>39</v>
      </c>
      <c r="DP975" s="55">
        <f>IF(AND(RecData[[#This Row],[Useable TON Data?]],RecData[[#This Row],[Turbines ON/OFF]]="ON"),RecData[[#This Row],[dBA Sum]],"")</f>
        <v>39.783018713579764</v>
      </c>
      <c r="DQ975" s="55" t="str">
        <f>IF(AND(RecData[[#This Row],[Useable Background Data?]],RecData[[#This Row],[Turbines ON/OFF]]="OFF"),RecData[[#This Row],[dBA Sum]],"")</f>
        <v/>
      </c>
      <c r="DR975" s="3">
        <f>IF(OR(RecData[[#This Row],[Useable TON Data?]],RecData[[#This Row],[Useable Background Data?]]),ROUND(RecData[[#This Row],[WSpd_Avg '[m/s']]],0),"")</f>
        <v>1</v>
      </c>
      <c r="DS975" s="85">
        <f>(0.00002)^2*(10^(RecData[[#This Row],[Overall (dBA)]]/10))</f>
        <v>3.8050630959815412E-6</v>
      </c>
    </row>
    <row r="976" spans="1:123" ht="15" x14ac:dyDescent="0.25">
      <c r="A976" s="3" t="s">
        <v>249</v>
      </c>
      <c r="B976" s="12">
        <v>43275.036111111112</v>
      </c>
      <c r="C976" s="3"/>
      <c r="D976" s="3">
        <v>39.799999999999997</v>
      </c>
      <c r="E976" s="3"/>
      <c r="F976" s="3"/>
      <c r="G976" s="3"/>
      <c r="H976" s="3"/>
      <c r="I976" s="3"/>
      <c r="J976" s="3"/>
      <c r="K976" s="3">
        <v>38.4</v>
      </c>
      <c r="L976" s="3"/>
      <c r="M976" s="3"/>
      <c r="N976" s="3">
        <v>202</v>
      </c>
      <c r="O976" s="3"/>
      <c r="P976" s="3"/>
      <c r="Q976" s="3">
        <v>1.1100000000000001</v>
      </c>
      <c r="R976" s="3">
        <v>0.2</v>
      </c>
      <c r="S976" s="3">
        <v>2</v>
      </c>
      <c r="T976" s="3">
        <v>14.7</v>
      </c>
      <c r="U976" s="3">
        <v>65.5</v>
      </c>
      <c r="V976" s="3">
        <v>966.8</v>
      </c>
      <c r="W976" s="3">
        <v>0</v>
      </c>
      <c r="X976" s="3">
        <v>46.9</v>
      </c>
      <c r="Y976" s="3">
        <v>46.5</v>
      </c>
      <c r="Z976" s="3">
        <v>46.3</v>
      </c>
      <c r="AA976" s="3">
        <v>41.6</v>
      </c>
      <c r="AB976" s="3">
        <v>37.200000000000003</v>
      </c>
      <c r="AC976" s="3">
        <v>34.9</v>
      </c>
      <c r="AD976" s="3">
        <v>37.1</v>
      </c>
      <c r="AE976" s="3">
        <v>38.9</v>
      </c>
      <c r="AF976" s="3">
        <v>45.6</v>
      </c>
      <c r="AG976" s="3">
        <v>38.5</v>
      </c>
      <c r="AH976" s="3">
        <v>35.5</v>
      </c>
      <c r="AI976" s="3">
        <v>36.700000000000003</v>
      </c>
      <c r="AJ976" s="3">
        <v>34.799999999999997</v>
      </c>
      <c r="AK976" s="3">
        <v>33.4</v>
      </c>
      <c r="AL976" s="3">
        <v>31.4</v>
      </c>
      <c r="AM976" s="3">
        <v>30.8</v>
      </c>
      <c r="AN976" s="3">
        <v>29.3</v>
      </c>
      <c r="AO976" s="3">
        <v>27.6</v>
      </c>
      <c r="AP976" s="3">
        <v>26.4</v>
      </c>
      <c r="AQ976" s="3">
        <v>25.8</v>
      </c>
      <c r="AR976" s="3">
        <v>25.4</v>
      </c>
      <c r="AS976" s="3">
        <v>25.1</v>
      </c>
      <c r="AT976" s="3">
        <v>28.2</v>
      </c>
      <c r="AU976" s="3">
        <v>22.5</v>
      </c>
      <c r="AV976" s="3">
        <v>20.9</v>
      </c>
      <c r="AW976" s="3">
        <v>20.100000000000001</v>
      </c>
      <c r="AX976" s="3">
        <v>15.4</v>
      </c>
      <c r="AY976" s="3">
        <v>13.4</v>
      </c>
      <c r="AZ976" s="3">
        <v>0</v>
      </c>
      <c r="BA976" s="3">
        <v>0</v>
      </c>
      <c r="BB976" s="3">
        <v>0</v>
      </c>
      <c r="BC976" s="3">
        <v>39.826303211156244</v>
      </c>
      <c r="BD976" s="3">
        <v>46.873696788843745</v>
      </c>
      <c r="BE976" s="3">
        <v>46.473696788843753</v>
      </c>
      <c r="BF976" s="3">
        <v>45.033696788843741</v>
      </c>
      <c r="BG976" s="3">
        <v>40.660363455510421</v>
      </c>
      <c r="BH976" s="3">
        <v>36.400363455510416</v>
      </c>
      <c r="BI976" s="3">
        <v>34.51369678884376</v>
      </c>
      <c r="BJ976" s="3">
        <v>37.507030122177085</v>
      </c>
      <c r="BK976" s="3">
        <v>39.180363455510417</v>
      </c>
      <c r="BL976" s="3">
        <v>45.453696788843757</v>
      </c>
      <c r="BM976" s="3">
        <v>38.487030122177089</v>
      </c>
      <c r="BN976" s="3">
        <v>35.77036345551042</v>
      </c>
      <c r="BO976" s="3">
        <v>36.337030122177083</v>
      </c>
      <c r="BP976" s="3">
        <v>34.153696788843746</v>
      </c>
      <c r="BQ976" s="3">
        <v>33.170363455510412</v>
      </c>
      <c r="BR976" s="3">
        <v>31.49703012217708</v>
      </c>
      <c r="BS976" s="3">
        <v>30.700363455510427</v>
      </c>
      <c r="BT976" s="3">
        <v>29.397030122177085</v>
      </c>
      <c r="BU976" s="3">
        <v>27.663696788843765</v>
      </c>
      <c r="BV976" s="3">
        <v>26.180363455510417</v>
      </c>
      <c r="BW976" s="3">
        <v>26.113696788843754</v>
      </c>
      <c r="BX976" s="3">
        <v>25.633696788843764</v>
      </c>
      <c r="BY976" s="3">
        <v>25.153696788843746</v>
      </c>
      <c r="BZ976" s="3">
        <v>28.383696788843764</v>
      </c>
      <c r="CA976" s="3">
        <v>22.783696788843741</v>
      </c>
      <c r="CB976" s="3">
        <v>20.620363455510414</v>
      </c>
      <c r="CC976" s="3">
        <v>20.033696788843756</v>
      </c>
      <c r="CD976" s="3">
        <v>14.640363455510425</v>
      </c>
      <c r="CE976" s="3">
        <v>12.833696788843753</v>
      </c>
      <c r="CF976" s="3">
        <v>-0.95296987782291609</v>
      </c>
      <c r="CG976" s="3">
        <v>-1.4863032111562475</v>
      </c>
      <c r="CH976" s="3">
        <v>-2.5629698778229155</v>
      </c>
      <c r="CI976" s="13">
        <f>[1]!dbasum(RecData[[#This Row],[20]:[2000]],RecData[[#Headers],[20]:[2000]])</f>
        <v>38.852529877477359</v>
      </c>
      <c r="CJ976" s="14">
        <v>10349</v>
      </c>
      <c r="CK976" s="15" t="s">
        <v>249</v>
      </c>
      <c r="CL976" s="15">
        <f>RecData[[#This Row],[Start Time]]</f>
        <v>43275.036111111112</v>
      </c>
      <c r="CM976" s="16">
        <f>RecData[[#This Row],[Wind Speed avg]]</f>
        <v>1.1100000000000001</v>
      </c>
      <c r="CN976" s="16">
        <f>RecData[[#This Row],[Wind Dir. avg]]</f>
        <v>202</v>
      </c>
      <c r="CO976" s="16">
        <f>RecData[[#This Row],[Amb. Humidity]]</f>
        <v>65.5</v>
      </c>
      <c r="CP976" s="16">
        <f>RecData[[#This Row],[Amb. Temperature]]</f>
        <v>14.7</v>
      </c>
      <c r="CQ976" s="17">
        <f>RecData[[#This Row],[Amb. Rain Gauge]]</f>
        <v>0</v>
      </c>
      <c r="CR976" s="4" t="s">
        <v>1</v>
      </c>
      <c r="CS976" s="4" t="s">
        <v>49</v>
      </c>
      <c r="CT976" s="70">
        <v>1601.90112304687</v>
      </c>
      <c r="CU976" s="70">
        <v>27.000230789184499</v>
      </c>
      <c r="CV976" s="70">
        <v>11.4502830505371</v>
      </c>
      <c r="CW976" s="70">
        <v>15.2027244567871</v>
      </c>
      <c r="CX976" s="4"/>
      <c r="CY976" s="69"/>
      <c r="CZ976" s="2" t="b">
        <f>IF($DP$1="YES",IF(RecData[[#This Row],[Power (kW)]]&gt;=$CR$3, TRUE,FALSE),TRUE)</f>
        <v>1</v>
      </c>
      <c r="DA976" s="16">
        <f>MIN(MOD(180-ABS(ABS($DA$1-RecData[Yaw Angle (°)])-180),360),MOD(180-ABS(ABS($DB$1-RecData[Yaw Angle (°)])-180),360))</f>
        <v>19.47030401149695</v>
      </c>
      <c r="DB976" s="2" t="str">
        <f>IF($DP$2="None","None",IF(RecData[[#This Row],[Relative Wind Direction]]&lt;=45,"DW",IF(RecData[[#This Row],[Relative Wind Direction]]&lt;=135,"CW","UW")))</f>
        <v>DW</v>
      </c>
      <c r="DC976" s="61">
        <f>IF($CL976-$CL974&gt;1/24,#REF!,IF(SUM($CQ974:$CQ976)&gt;$DS$1,$DS$5,DC977-1))</f>
        <v>-3</v>
      </c>
      <c r="DD976" s="61" t="e">
        <f>IF($CL977-$CL976&gt;1/24,#REF!,IF(SUM($CQ974:$CQ976)&gt;$DS$1,$DS$6,#REF!-1))</f>
        <v>#REF!</v>
      </c>
      <c r="DE976" s="18" t="b">
        <v>0</v>
      </c>
      <c r="DF976" s="2" t="b">
        <f>IF(OR(RecData[[#This Row],[WSpd_Avg '[m/s']]]-RecData[[#This Row],[Wind Speed min]]&gt;=$DF$3,RecData[[#This Row],[Wind Speed max]]-RecData[[#This Row],[WSpd_Avg '[m/s']]]&gt;=$DF$2),TRUE,FALSE)</f>
        <v>0</v>
      </c>
      <c r="DG976" s="2" t="b">
        <f>RecData[[#This Row],[Temperature '[°C']]]&lt;=-20</f>
        <v>0</v>
      </c>
      <c r="DH976" s="18" t="b">
        <f>NOT(OR(MOD(RecData[[#This Row],[TIMESTAMP]],1)&gt;0.91632,MOD(RecData[[#This Row],[TIMESTAMP]],1)&lt;0.208681))</f>
        <v>0</v>
      </c>
      <c r="DI976" s="18" t="b">
        <f>RecData[[#This Row],[Overall (dBA)]]-RecData[[#This Row],[L90]]&gt;=$DS$4</f>
        <v>0</v>
      </c>
      <c r="DJ976" s="18" t="b">
        <f>RecData[[#This Row],[Overall (dBA)]]&gt;$DS$2</f>
        <v>0</v>
      </c>
      <c r="DK976" s="18" t="b">
        <f>RecData[[#This Row],[Overall (dBA)]]&lt;$DS$3</f>
        <v>0</v>
      </c>
      <c r="DL9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6" s="2">
        <f>IF(AND(RecData[[#This Row],[Turbines ON/OFF]] = "OFF", NOT(OR(RecData[[#This Row],[Junk?]]="YES",RecData[[#This Row],[Gust?]],RecData[[#This Row],[Rain?]:[Min SPL Threshold?]]))),1,0)</f>
        <v>0</v>
      </c>
      <c r="DN976" s="16">
        <f>RecData[[#This Row],[dBA Sum]]</f>
        <v>38.852529877477359</v>
      </c>
      <c r="DO976" s="16">
        <f>RecData[[#This Row],[LAF90.0]]</f>
        <v>38.4</v>
      </c>
      <c r="DP976" s="55">
        <f>IF(AND(RecData[[#This Row],[Useable TON Data?]],RecData[[#This Row],[Turbines ON/OFF]]="ON"),RecData[[#This Row],[dBA Sum]],"")</f>
        <v>38.852529877477359</v>
      </c>
      <c r="DQ976" s="55" t="str">
        <f>IF(AND(RecData[[#This Row],[Useable Background Data?]],RecData[[#This Row],[Turbines ON/OFF]]="OFF"),RecData[[#This Row],[dBA Sum]],"")</f>
        <v/>
      </c>
      <c r="DR976" s="3">
        <f>IF(OR(RecData[[#This Row],[Useable TON Data?]],RecData[[#This Row],[Useable Background Data?]]),ROUND(RecData[[#This Row],[WSpd_Avg '[m/s']]],0),"")</f>
        <v>1</v>
      </c>
      <c r="DS976" s="85">
        <f>(0.00002)^2*(10^(RecData[[#This Row],[Overall (dBA)]]/10))</f>
        <v>3.0712345098486945E-6</v>
      </c>
    </row>
    <row r="977" spans="1:123" ht="15" x14ac:dyDescent="0.25">
      <c r="A977" s="3" t="s">
        <v>249</v>
      </c>
      <c r="B977" s="12">
        <v>43275.036805555559</v>
      </c>
      <c r="C977" s="3"/>
      <c r="D977" s="3">
        <v>39.5</v>
      </c>
      <c r="E977" s="3"/>
      <c r="F977" s="3"/>
      <c r="G977" s="3"/>
      <c r="H977" s="3"/>
      <c r="I977" s="3"/>
      <c r="J977" s="3"/>
      <c r="K977" s="3">
        <v>38.1</v>
      </c>
      <c r="L977" s="3"/>
      <c r="M977" s="3"/>
      <c r="N977" s="3">
        <v>189</v>
      </c>
      <c r="O977" s="3"/>
      <c r="P977" s="3"/>
      <c r="Q977" s="3">
        <v>0.56000000000000005</v>
      </c>
      <c r="R977" s="3">
        <v>0.1</v>
      </c>
      <c r="S977" s="3">
        <v>1.2</v>
      </c>
      <c r="T977" s="3">
        <v>14.6</v>
      </c>
      <c r="U977" s="3">
        <v>65.400000000000006</v>
      </c>
      <c r="V977" s="3">
        <v>966.9</v>
      </c>
      <c r="W977" s="3">
        <v>0</v>
      </c>
      <c r="X977" s="3">
        <v>46.4</v>
      </c>
      <c r="Y977" s="3">
        <v>46.2</v>
      </c>
      <c r="Z977" s="3">
        <v>46.2</v>
      </c>
      <c r="AA977" s="3">
        <v>42.4</v>
      </c>
      <c r="AB977" s="3">
        <v>36.299999999999997</v>
      </c>
      <c r="AC977" s="3">
        <v>34.6</v>
      </c>
      <c r="AD977" s="3">
        <v>38</v>
      </c>
      <c r="AE977" s="3">
        <v>40.299999999999997</v>
      </c>
      <c r="AF977" s="3">
        <v>43.6</v>
      </c>
      <c r="AG977" s="3">
        <v>39.4</v>
      </c>
      <c r="AH977" s="3">
        <v>36.200000000000003</v>
      </c>
      <c r="AI977" s="3">
        <v>36.6</v>
      </c>
      <c r="AJ977" s="3">
        <v>35.6</v>
      </c>
      <c r="AK977" s="3">
        <v>33.700000000000003</v>
      </c>
      <c r="AL977" s="3">
        <v>32.1</v>
      </c>
      <c r="AM977" s="3">
        <v>31.8</v>
      </c>
      <c r="AN977" s="3">
        <v>30.4</v>
      </c>
      <c r="AO977" s="3">
        <v>27.8</v>
      </c>
      <c r="AP977" s="3">
        <v>26.1</v>
      </c>
      <c r="AQ977" s="3">
        <v>24.6</v>
      </c>
      <c r="AR977" s="3">
        <v>22.6</v>
      </c>
      <c r="AS977" s="3">
        <v>20.6</v>
      </c>
      <c r="AT977" s="3">
        <v>26.5</v>
      </c>
      <c r="AU977" s="3">
        <v>16.100000000000001</v>
      </c>
      <c r="AV977" s="3">
        <v>13.1</v>
      </c>
      <c r="AW977" s="3">
        <v>12.1</v>
      </c>
      <c r="AX977" s="3">
        <v>9.8000000000000007</v>
      </c>
      <c r="AY977" s="3">
        <v>9.6</v>
      </c>
      <c r="AZ977" s="3">
        <v>0</v>
      </c>
      <c r="BA977" s="3">
        <v>0</v>
      </c>
      <c r="BB977" s="3">
        <v>0</v>
      </c>
      <c r="BC977" s="3">
        <v>39.467999481778897</v>
      </c>
      <c r="BD977" s="3">
        <v>46.432000518221109</v>
      </c>
      <c r="BE977" s="3">
        <v>46.232000518221106</v>
      </c>
      <c r="BF977" s="3">
        <v>44.992000518221111</v>
      </c>
      <c r="BG977" s="3">
        <v>41.518667184887768</v>
      </c>
      <c r="BH977" s="3">
        <v>35.558667184887774</v>
      </c>
      <c r="BI977" s="3">
        <v>34.272000518221112</v>
      </c>
      <c r="BJ977" s="3">
        <v>38.465333851554441</v>
      </c>
      <c r="BK977" s="3">
        <v>40.638667184887758</v>
      </c>
      <c r="BL977" s="3">
        <v>43.512000518221107</v>
      </c>
      <c r="BM977" s="3">
        <v>39.44533385155443</v>
      </c>
      <c r="BN977" s="3">
        <v>36.528667184887773</v>
      </c>
      <c r="BO977" s="3">
        <v>36.295333851554439</v>
      </c>
      <c r="BP977" s="3">
        <v>35.012000518221107</v>
      </c>
      <c r="BQ977" s="3">
        <v>33.528667184887773</v>
      </c>
      <c r="BR977" s="3">
        <v>32.255333851554433</v>
      </c>
      <c r="BS977" s="3">
        <v>31.758667184887763</v>
      </c>
      <c r="BT977" s="3">
        <v>30.555333851554444</v>
      </c>
      <c r="BU977" s="3">
        <v>27.922000518221104</v>
      </c>
      <c r="BV977" s="3">
        <v>25.93866718488777</v>
      </c>
      <c r="BW977" s="3">
        <v>24.972000518221101</v>
      </c>
      <c r="BX977" s="3">
        <v>22.89200051822111</v>
      </c>
      <c r="BY977" s="3">
        <v>20.712000518221103</v>
      </c>
      <c r="BZ977" s="3">
        <v>26.742000518221111</v>
      </c>
      <c r="CA977" s="3">
        <v>16.4420005182211</v>
      </c>
      <c r="CB977" s="3">
        <v>12.878667184887767</v>
      </c>
      <c r="CC977" s="3">
        <v>12.092000518221106</v>
      </c>
      <c r="CD977" s="3">
        <v>9.0986671848877734</v>
      </c>
      <c r="CE977" s="3">
        <v>9.0920005182211057</v>
      </c>
      <c r="CF977" s="3">
        <v>-0.89466614844556602</v>
      </c>
      <c r="CG977" s="3">
        <v>-1.4279994817788975</v>
      </c>
      <c r="CH977" s="3">
        <v>-2.5046661484455655</v>
      </c>
      <c r="CI977" s="13">
        <f>[1]!dbasum(RecData[[#This Row],[20]:[2000]],RecData[[#Headers],[20]:[2000]])</f>
        <v>39.011151165031947</v>
      </c>
      <c r="CJ977" s="14">
        <v>10350</v>
      </c>
      <c r="CK977" s="15" t="s">
        <v>249</v>
      </c>
      <c r="CL977" s="15">
        <f>RecData[[#This Row],[Start Time]]</f>
        <v>43275.036805555559</v>
      </c>
      <c r="CM977" s="16">
        <f>RecData[[#This Row],[Wind Speed avg]]</f>
        <v>0.56000000000000005</v>
      </c>
      <c r="CN977" s="16">
        <f>RecData[[#This Row],[Wind Dir. avg]]</f>
        <v>189</v>
      </c>
      <c r="CO977" s="16">
        <f>RecData[[#This Row],[Amb. Humidity]]</f>
        <v>65.400000000000006</v>
      </c>
      <c r="CP977" s="16">
        <f>RecData[[#This Row],[Amb. Temperature]]</f>
        <v>14.6</v>
      </c>
      <c r="CQ977" s="17">
        <f>RecData[[#This Row],[Amb. Rain Gauge]]</f>
        <v>0</v>
      </c>
      <c r="CR977" s="4" t="s">
        <v>1</v>
      </c>
      <c r="CS977" s="4" t="s">
        <v>49</v>
      </c>
      <c r="CT977" s="70">
        <v>1601.90112304687</v>
      </c>
      <c r="CU977" s="70">
        <v>27.000230789184499</v>
      </c>
      <c r="CV977" s="70">
        <v>11.4502830505371</v>
      </c>
      <c r="CW977" s="70">
        <v>15.2027244567871</v>
      </c>
      <c r="CX977" s="4"/>
      <c r="CY977" s="69"/>
      <c r="CZ977" s="2" t="b">
        <f>IF($DP$1="YES",IF(RecData[[#This Row],[Power (kW)]]&gt;=$CR$3, TRUE,FALSE),TRUE)</f>
        <v>1</v>
      </c>
      <c r="DA977" s="16">
        <f>MIN(MOD(180-ABS(ABS($DA$1-RecData[Yaw Angle (°)])-180),360),MOD(180-ABS(ABS($DB$1-RecData[Yaw Angle (°)])-180),360))</f>
        <v>19.47030401149695</v>
      </c>
      <c r="DB977" s="2" t="str">
        <f>IF($DP$2="None","None",IF(RecData[[#This Row],[Relative Wind Direction]]&lt;=45,"DW",IF(RecData[[#This Row],[Relative Wind Direction]]&lt;=135,"CW","UW")))</f>
        <v>DW</v>
      </c>
      <c r="DC977" s="61">
        <f>IF($CL977-$CL975&gt;1/24,#REF!,IF(SUM($CQ975:$CQ977)&gt;$DS$1,$DS$5,DC978-1))</f>
        <v>-2</v>
      </c>
      <c r="DD977" s="61" t="e">
        <f>IF($CL978-$CL977&gt;1/24,#REF!,IF(SUM($CQ975:$CQ977)&gt;$DS$1,$DS$6,DD976-1))</f>
        <v>#REF!</v>
      </c>
      <c r="DE977" s="18" t="b">
        <v>0</v>
      </c>
      <c r="DF977" s="2" t="b">
        <f>IF(OR(RecData[[#This Row],[WSpd_Avg '[m/s']]]-RecData[[#This Row],[Wind Speed min]]&gt;=$DF$3,RecData[[#This Row],[Wind Speed max]]-RecData[[#This Row],[WSpd_Avg '[m/s']]]&gt;=$DF$2),TRUE,FALSE)</f>
        <v>0</v>
      </c>
      <c r="DG977" s="2" t="b">
        <f>RecData[[#This Row],[Temperature '[°C']]]&lt;=-20</f>
        <v>0</v>
      </c>
      <c r="DH977" s="18" t="b">
        <f>NOT(OR(MOD(RecData[[#This Row],[TIMESTAMP]],1)&gt;0.91632,MOD(RecData[[#This Row],[TIMESTAMP]],1)&lt;0.208681))</f>
        <v>0</v>
      </c>
      <c r="DI977" s="18" t="b">
        <f>RecData[[#This Row],[Overall (dBA)]]-RecData[[#This Row],[L90]]&gt;=$DS$4</f>
        <v>0</v>
      </c>
      <c r="DJ977" s="18" t="b">
        <f>RecData[[#This Row],[Overall (dBA)]]&gt;$DS$2</f>
        <v>0</v>
      </c>
      <c r="DK977" s="18" t="b">
        <f>RecData[[#This Row],[Overall (dBA)]]&lt;$DS$3</f>
        <v>0</v>
      </c>
      <c r="DL9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7" s="2">
        <f>IF(AND(RecData[[#This Row],[Turbines ON/OFF]] = "OFF", NOT(OR(RecData[[#This Row],[Junk?]]="YES",RecData[[#This Row],[Gust?]],RecData[[#This Row],[Rain?]:[Min SPL Threshold?]]))),1,0)</f>
        <v>0</v>
      </c>
      <c r="DN977" s="16">
        <f>RecData[[#This Row],[dBA Sum]]</f>
        <v>39.011151165031947</v>
      </c>
      <c r="DO977" s="16">
        <f>RecData[[#This Row],[LAF90.0]]</f>
        <v>38.1</v>
      </c>
      <c r="DP977" s="55">
        <f>IF(AND(RecData[[#This Row],[Useable TON Data?]],RecData[[#This Row],[Turbines ON/OFF]]="ON"),RecData[[#This Row],[dBA Sum]],"")</f>
        <v>39.011151165031947</v>
      </c>
      <c r="DQ977" s="55" t="str">
        <f>IF(AND(RecData[[#This Row],[Useable Background Data?]],RecData[[#This Row],[Turbines ON/OFF]]="OFF"),RecData[[#This Row],[dBA Sum]],"")</f>
        <v/>
      </c>
      <c r="DR977" s="3">
        <f>IF(OR(RecData[[#This Row],[Useable TON Data?]],RecData[[#This Row],[Useable Background Data?]]),ROUND(RecData[[#This Row],[WSpd_Avg '[m/s']]],0),"")</f>
        <v>1</v>
      </c>
      <c r="DS977" s="85">
        <f>(0.00002)^2*(10^(RecData[[#This Row],[Overall (dBA)]]/10))</f>
        <v>3.1854816512010639E-6</v>
      </c>
    </row>
    <row r="978" spans="1:123" ht="15" x14ac:dyDescent="0.25">
      <c r="A978" s="3" t="s">
        <v>249</v>
      </c>
      <c r="B978" s="12">
        <v>43275.037499999999</v>
      </c>
      <c r="C978" s="3"/>
      <c r="D978" s="3">
        <v>38.799999999999997</v>
      </c>
      <c r="E978" s="3"/>
      <c r="F978" s="3"/>
      <c r="G978" s="3"/>
      <c r="H978" s="3"/>
      <c r="I978" s="3"/>
      <c r="J978" s="3"/>
      <c r="K978" s="3">
        <v>37.700000000000003</v>
      </c>
      <c r="L978" s="3"/>
      <c r="M978" s="3"/>
      <c r="N978" s="3">
        <v>254.1</v>
      </c>
      <c r="O978" s="3"/>
      <c r="P978" s="3"/>
      <c r="Q978" s="3">
        <v>0.69</v>
      </c>
      <c r="R978" s="3">
        <v>0.1</v>
      </c>
      <c r="S978" s="3">
        <v>1.1000000000000001</v>
      </c>
      <c r="T978" s="3">
        <v>14.6</v>
      </c>
      <c r="U978" s="3">
        <v>65.5</v>
      </c>
      <c r="V978" s="3">
        <v>966.9</v>
      </c>
      <c r="W978" s="3">
        <v>0</v>
      </c>
      <c r="X978" s="3">
        <v>46.4</v>
      </c>
      <c r="Y978" s="3">
        <v>47.2</v>
      </c>
      <c r="Z978" s="3">
        <v>46.2</v>
      </c>
      <c r="AA978" s="3">
        <v>41.1</v>
      </c>
      <c r="AB978" s="3">
        <v>37</v>
      </c>
      <c r="AC978" s="3">
        <v>34.700000000000003</v>
      </c>
      <c r="AD978" s="3">
        <v>37.799999999999997</v>
      </c>
      <c r="AE978" s="3">
        <v>39.700000000000003</v>
      </c>
      <c r="AF978" s="3">
        <v>44.4</v>
      </c>
      <c r="AG978" s="3">
        <v>37.799999999999997</v>
      </c>
      <c r="AH978" s="3">
        <v>35.299999999999997</v>
      </c>
      <c r="AI978" s="3">
        <v>36.5</v>
      </c>
      <c r="AJ978" s="3">
        <v>34.799999999999997</v>
      </c>
      <c r="AK978" s="3">
        <v>33.299999999999997</v>
      </c>
      <c r="AL978" s="3">
        <v>31.4</v>
      </c>
      <c r="AM978" s="3">
        <v>30.8</v>
      </c>
      <c r="AN978" s="3">
        <v>29.2</v>
      </c>
      <c r="AO978" s="3">
        <v>26.9</v>
      </c>
      <c r="AP978" s="3">
        <v>25.3</v>
      </c>
      <c r="AQ978" s="3">
        <v>24.3</v>
      </c>
      <c r="AR978" s="3">
        <v>22.8</v>
      </c>
      <c r="AS978" s="3">
        <v>21</v>
      </c>
      <c r="AT978" s="3">
        <v>23.5</v>
      </c>
      <c r="AU978" s="3">
        <v>15.3</v>
      </c>
      <c r="AV978" s="3">
        <v>13.4</v>
      </c>
      <c r="AW978" s="3">
        <v>12.1</v>
      </c>
      <c r="AX978" s="3">
        <v>9.6999999999999993</v>
      </c>
      <c r="AY978" s="3">
        <v>9.4</v>
      </c>
      <c r="AZ978" s="3">
        <v>0</v>
      </c>
      <c r="BA978" s="3">
        <v>0</v>
      </c>
      <c r="BB978" s="3">
        <v>0</v>
      </c>
      <c r="BC978" s="3">
        <v>38.755787598057921</v>
      </c>
      <c r="BD978" s="3">
        <v>46.444212401942067</v>
      </c>
      <c r="BE978" s="3">
        <v>47.244212401942079</v>
      </c>
      <c r="BF978" s="3">
        <v>45.00421240194207</v>
      </c>
      <c r="BG978" s="3">
        <v>40.230879068608743</v>
      </c>
      <c r="BH978" s="3">
        <v>36.27087906860875</v>
      </c>
      <c r="BI978" s="3">
        <v>34.384212401942079</v>
      </c>
      <c r="BJ978" s="3">
        <v>38.27754573527541</v>
      </c>
      <c r="BK978" s="3">
        <v>40.050879068608751</v>
      </c>
      <c r="BL978" s="3">
        <v>44.324212401942077</v>
      </c>
      <c r="BM978" s="3">
        <v>37.857545735275409</v>
      </c>
      <c r="BN978" s="3">
        <v>35.64087906860874</v>
      </c>
      <c r="BO978" s="3">
        <v>36.207545735275417</v>
      </c>
      <c r="BP978" s="3">
        <v>34.224212401942069</v>
      </c>
      <c r="BQ978" s="3">
        <v>33.140879068608726</v>
      </c>
      <c r="BR978" s="3">
        <v>31.567545735275402</v>
      </c>
      <c r="BS978" s="3">
        <v>30.77087906860875</v>
      </c>
      <c r="BT978" s="3">
        <v>29.367545735275414</v>
      </c>
      <c r="BU978" s="3">
        <v>27.034212401942071</v>
      </c>
      <c r="BV978" s="3">
        <v>25.150879068608745</v>
      </c>
      <c r="BW978" s="3">
        <v>24.684212401942077</v>
      </c>
      <c r="BX978" s="3">
        <v>23.104212401942078</v>
      </c>
      <c r="BY978" s="3">
        <v>21.124212401942074</v>
      </c>
      <c r="BZ978" s="3">
        <v>23.754212401942084</v>
      </c>
      <c r="CA978" s="3">
        <v>15.654212401942068</v>
      </c>
      <c r="CB978" s="3">
        <v>13.190879068608737</v>
      </c>
      <c r="CC978" s="3">
        <v>12.104212401942078</v>
      </c>
      <c r="CD978" s="3">
        <v>9.0108790686087445</v>
      </c>
      <c r="CE978" s="3">
        <v>8.9042124019420754</v>
      </c>
      <c r="CF978" s="3">
        <v>-0.88245426472459343</v>
      </c>
      <c r="CG978" s="3">
        <v>-1.4157875980579249</v>
      </c>
      <c r="CH978" s="3">
        <v>-2.4924542647245929</v>
      </c>
      <c r="CI978" s="13">
        <f>[1]!dbasum(RecData[[#This Row],[20]:[2000]],RecData[[#Headers],[20]:[2000]])</f>
        <v>38.406950273654068</v>
      </c>
      <c r="CJ978" s="14">
        <v>10351</v>
      </c>
      <c r="CK978" s="15" t="s">
        <v>249</v>
      </c>
      <c r="CL978" s="15">
        <f>RecData[[#This Row],[Start Time]]</f>
        <v>43275.037499999999</v>
      </c>
      <c r="CM978" s="16">
        <f>RecData[[#This Row],[Wind Speed avg]]</f>
        <v>0.69</v>
      </c>
      <c r="CN978" s="16">
        <f>RecData[[#This Row],[Wind Dir. avg]]</f>
        <v>254.1</v>
      </c>
      <c r="CO978" s="16">
        <f>RecData[[#This Row],[Amb. Humidity]]</f>
        <v>65.5</v>
      </c>
      <c r="CP978" s="16">
        <f>RecData[[#This Row],[Amb. Temperature]]</f>
        <v>14.6</v>
      </c>
      <c r="CQ978" s="17">
        <f>RecData[[#This Row],[Amb. Rain Gauge]]</f>
        <v>0</v>
      </c>
      <c r="CR978" s="4" t="s">
        <v>1</v>
      </c>
      <c r="CS978" s="4" t="s">
        <v>49</v>
      </c>
      <c r="CT978" s="70">
        <v>1601.90112304687</v>
      </c>
      <c r="CU978" s="70">
        <v>27.000230789184499</v>
      </c>
      <c r="CV978" s="70">
        <v>11.4502830505371</v>
      </c>
      <c r="CW978" s="70">
        <v>15.2027244567871</v>
      </c>
      <c r="CX978" s="4"/>
      <c r="CY978" s="69"/>
      <c r="CZ978" s="2" t="b">
        <f>IF($DP$1="YES",IF(RecData[[#This Row],[Power (kW)]]&gt;=$CR$3, TRUE,FALSE),TRUE)</f>
        <v>1</v>
      </c>
      <c r="DA978" s="16">
        <f>MIN(MOD(180-ABS(ABS($DA$1-RecData[Yaw Angle (°)])-180),360),MOD(180-ABS(ABS($DB$1-RecData[Yaw Angle (°)])-180),360))</f>
        <v>19.47030401149695</v>
      </c>
      <c r="DB978" s="2" t="str">
        <f>IF($DP$2="None","None",IF(RecData[[#This Row],[Relative Wind Direction]]&lt;=45,"DW",IF(RecData[[#This Row],[Relative Wind Direction]]&lt;=135,"CW","UW")))</f>
        <v>DW</v>
      </c>
      <c r="DC978" s="61">
        <v>-1</v>
      </c>
      <c r="DD978" s="61">
        <v>-1</v>
      </c>
      <c r="DE978" s="18" t="b">
        <v>0</v>
      </c>
      <c r="DF978" s="2" t="b">
        <f>IF(OR(RecData[[#This Row],[WSpd_Avg '[m/s']]]-RecData[[#This Row],[Wind Speed min]]&gt;=$DF$3,RecData[[#This Row],[Wind Speed max]]-RecData[[#This Row],[WSpd_Avg '[m/s']]]&gt;=$DF$2),TRUE,FALSE)</f>
        <v>0</v>
      </c>
      <c r="DG978" s="2" t="b">
        <f>RecData[[#This Row],[Temperature '[°C']]]&lt;=-20</f>
        <v>0</v>
      </c>
      <c r="DH978" s="18" t="b">
        <f>NOT(OR(MOD(RecData[[#This Row],[TIMESTAMP]],1)&gt;0.91632,MOD(RecData[[#This Row],[TIMESTAMP]],1)&lt;0.208681))</f>
        <v>0</v>
      </c>
      <c r="DI978" s="18" t="b">
        <f>RecData[[#This Row],[Overall (dBA)]]-RecData[[#This Row],[L90]]&gt;=$DS$4</f>
        <v>0</v>
      </c>
      <c r="DJ978" s="18" t="b">
        <f>RecData[[#This Row],[Overall (dBA)]]&gt;$DS$2</f>
        <v>0</v>
      </c>
      <c r="DK978" s="18" t="b">
        <f>RecData[[#This Row],[Overall (dBA)]]&lt;$DS$3</f>
        <v>0</v>
      </c>
      <c r="DL9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8" s="2">
        <f>IF(AND(RecData[[#This Row],[Turbines ON/OFF]] = "OFF", NOT(OR(RecData[[#This Row],[Junk?]]="YES",RecData[[#This Row],[Gust?]],RecData[[#This Row],[Rain?]:[Min SPL Threshold?]]))),1,0)</f>
        <v>0</v>
      </c>
      <c r="DN978" s="16">
        <f>RecData[[#This Row],[dBA Sum]]</f>
        <v>38.406950273654068</v>
      </c>
      <c r="DO978" s="16">
        <f>RecData[[#This Row],[LAF90.0]]</f>
        <v>37.700000000000003</v>
      </c>
      <c r="DP978" s="55">
        <f>IF(AND(RecData[[#This Row],[Useable TON Data?]],RecData[[#This Row],[Turbines ON/OFF]]="ON"),RecData[[#This Row],[dBA Sum]],"")</f>
        <v>38.406950273654068</v>
      </c>
      <c r="DQ978" s="55" t="str">
        <f>IF(AND(RecData[[#This Row],[Useable Background Data?]],RecData[[#This Row],[Turbines ON/OFF]]="OFF"),RecData[[#This Row],[dBA Sum]],"")</f>
        <v/>
      </c>
      <c r="DR978" s="3">
        <f>IF(OR(RecData[[#This Row],[Useable TON Data?]],RecData[[#This Row],[Useable Background Data?]]),ROUND(RecData[[#This Row],[WSpd_Avg '[m/s']]],0),"")</f>
        <v>1</v>
      </c>
      <c r="DS978" s="85">
        <f>(0.00002)^2*(10^(RecData[[#This Row],[Overall (dBA)]]/10))</f>
        <v>2.7717561428182743E-6</v>
      </c>
    </row>
    <row r="979" spans="1:123" ht="15" x14ac:dyDescent="0.25">
      <c r="A979" s="3" t="s">
        <v>249</v>
      </c>
      <c r="B979" s="12">
        <v>43275.038194444445</v>
      </c>
      <c r="C979" s="3"/>
      <c r="D979" s="3">
        <v>40.4</v>
      </c>
      <c r="E979" s="3"/>
      <c r="F979" s="3"/>
      <c r="G979" s="3"/>
      <c r="H979" s="3"/>
      <c r="I979" s="3"/>
      <c r="J979" s="3"/>
      <c r="K979" s="3">
        <v>38.799999999999997</v>
      </c>
      <c r="L979" s="3"/>
      <c r="M979" s="3"/>
      <c r="N979" s="3">
        <v>178</v>
      </c>
      <c r="O979" s="3"/>
      <c r="P979" s="3"/>
      <c r="Q979" s="3">
        <v>0.82</v>
      </c>
      <c r="R979" s="3">
        <v>0.1</v>
      </c>
      <c r="S979" s="3">
        <v>2.2999999999999998</v>
      </c>
      <c r="T979" s="3">
        <v>14.5</v>
      </c>
      <c r="U979" s="3">
        <v>65.5</v>
      </c>
      <c r="V979" s="3">
        <v>966.9</v>
      </c>
      <c r="W979" s="3">
        <v>0</v>
      </c>
      <c r="X979" s="3">
        <v>46.7</v>
      </c>
      <c r="Y979" s="3">
        <v>46.4</v>
      </c>
      <c r="Z979" s="3">
        <v>46.5</v>
      </c>
      <c r="AA979" s="3">
        <v>42.4</v>
      </c>
      <c r="AB979" s="3">
        <v>36.4</v>
      </c>
      <c r="AC979" s="3">
        <v>36.9</v>
      </c>
      <c r="AD979" s="3">
        <v>40.200000000000003</v>
      </c>
      <c r="AE979" s="3">
        <v>42</v>
      </c>
      <c r="AF979" s="3">
        <v>46.4</v>
      </c>
      <c r="AG979" s="3">
        <v>39.4</v>
      </c>
      <c r="AH979" s="3">
        <v>38.299999999999997</v>
      </c>
      <c r="AI979" s="3">
        <v>38.299999999999997</v>
      </c>
      <c r="AJ979" s="3">
        <v>36.9</v>
      </c>
      <c r="AK979" s="3">
        <v>34.9</v>
      </c>
      <c r="AL979" s="3">
        <v>32.6</v>
      </c>
      <c r="AM979" s="3">
        <v>31.9</v>
      </c>
      <c r="AN979" s="3">
        <v>30.2</v>
      </c>
      <c r="AO979" s="3">
        <v>27.7</v>
      </c>
      <c r="AP979" s="3">
        <v>26.1</v>
      </c>
      <c r="AQ979" s="3">
        <v>24.8</v>
      </c>
      <c r="AR979" s="3">
        <v>23.4</v>
      </c>
      <c r="AS979" s="3">
        <v>22.1</v>
      </c>
      <c r="AT979" s="3">
        <v>28.3</v>
      </c>
      <c r="AU979" s="3">
        <v>18.2</v>
      </c>
      <c r="AV979" s="3">
        <v>16.8</v>
      </c>
      <c r="AW979" s="3">
        <v>15.1</v>
      </c>
      <c r="AX979" s="3">
        <v>11.7</v>
      </c>
      <c r="AY979" s="3">
        <v>10.9</v>
      </c>
      <c r="AZ979" s="3">
        <v>0</v>
      </c>
      <c r="BA979" s="3">
        <v>0</v>
      </c>
      <c r="BB979" s="3">
        <v>0</v>
      </c>
      <c r="BC979" s="3">
        <v>40.432199930503785</v>
      </c>
      <c r="BD979" s="3">
        <v>46.667800069496209</v>
      </c>
      <c r="BE979" s="3">
        <v>46.367800069496212</v>
      </c>
      <c r="BF979" s="3">
        <v>45.227800069496212</v>
      </c>
      <c r="BG979" s="3">
        <v>41.454466736162871</v>
      </c>
      <c r="BH979" s="3">
        <v>35.594466736162886</v>
      </c>
      <c r="BI979" s="3">
        <v>36.507800069496213</v>
      </c>
      <c r="BJ979" s="3">
        <v>40.601133402829547</v>
      </c>
      <c r="BK979" s="3">
        <v>42.274466736162879</v>
      </c>
      <c r="BL979" s="3">
        <v>46.247800069496222</v>
      </c>
      <c r="BM979" s="3">
        <v>39.381133402829548</v>
      </c>
      <c r="BN979" s="3">
        <v>38.564466736162885</v>
      </c>
      <c r="BO979" s="3">
        <v>37.931133402829545</v>
      </c>
      <c r="BP979" s="3">
        <v>36.247800069496222</v>
      </c>
      <c r="BQ979" s="3">
        <v>34.664466736162879</v>
      </c>
      <c r="BR979" s="3">
        <v>32.69113340282955</v>
      </c>
      <c r="BS979" s="3">
        <v>31.794466736162875</v>
      </c>
      <c r="BT979" s="3">
        <v>30.291133402829544</v>
      </c>
      <c r="BU979" s="3">
        <v>27.757800069496213</v>
      </c>
      <c r="BV979" s="3">
        <v>25.874466736162887</v>
      </c>
      <c r="BW979" s="3">
        <v>25.107800069496221</v>
      </c>
      <c r="BX979" s="3">
        <v>23.627800069496217</v>
      </c>
      <c r="BY979" s="3">
        <v>22.147800069496213</v>
      </c>
      <c r="BZ979" s="3">
        <v>28.477800069496212</v>
      </c>
      <c r="CA979" s="3">
        <v>18.477800069496205</v>
      </c>
      <c r="CB979" s="3">
        <v>16.514466736162881</v>
      </c>
      <c r="CC979" s="3">
        <v>15.027800069496209</v>
      </c>
      <c r="CD979" s="3">
        <v>10.934466736162882</v>
      </c>
      <c r="CE979" s="3">
        <v>10.327800069496213</v>
      </c>
      <c r="CF979" s="3">
        <v>-0.95886659717045575</v>
      </c>
      <c r="CG979" s="3">
        <v>-1.4921999305037872</v>
      </c>
      <c r="CH979" s="3">
        <v>-2.5688665971704552</v>
      </c>
      <c r="CI979" s="13">
        <f>[1]!dbasum(RecData[[#This Row],[20]:[2000]],RecData[[#Headers],[20]:[2000]])</f>
        <v>39.789586678070251</v>
      </c>
      <c r="CJ979" s="14">
        <v>10352</v>
      </c>
      <c r="CK979" s="15" t="s">
        <v>249</v>
      </c>
      <c r="CL979" s="15">
        <f>RecData[[#This Row],[Start Time]]</f>
        <v>43275.038194444445</v>
      </c>
      <c r="CM979" s="16">
        <f>RecData[[#This Row],[Wind Speed avg]]</f>
        <v>0.82</v>
      </c>
      <c r="CN979" s="16">
        <f>RecData[[#This Row],[Wind Dir. avg]]</f>
        <v>178</v>
      </c>
      <c r="CO979" s="16">
        <f>RecData[[#This Row],[Amb. Humidity]]</f>
        <v>65.5</v>
      </c>
      <c r="CP979" s="16">
        <f>RecData[[#This Row],[Amb. Temperature]]</f>
        <v>14.5</v>
      </c>
      <c r="CQ979" s="17">
        <f>RecData[[#This Row],[Amb. Rain Gauge]]</f>
        <v>0</v>
      </c>
      <c r="CR979" s="4" t="s">
        <v>1</v>
      </c>
      <c r="CS979" s="4" t="s">
        <v>49</v>
      </c>
      <c r="CT979" s="70">
        <v>1601.90112304687</v>
      </c>
      <c r="CU979" s="70">
        <v>27.000230789184499</v>
      </c>
      <c r="CV979" s="70">
        <v>11.4502830505371</v>
      </c>
      <c r="CW979" s="70">
        <v>15.2027244567871</v>
      </c>
      <c r="CX979" s="4"/>
      <c r="CY979" s="69"/>
      <c r="CZ979" s="2" t="b">
        <f>IF($DP$1="YES",IF(RecData[[#This Row],[Power (kW)]]&gt;=$CR$3, TRUE,FALSE),TRUE)</f>
        <v>1</v>
      </c>
      <c r="DA979" s="16">
        <f>MIN(MOD(180-ABS(ABS($DA$1-RecData[Yaw Angle (°)])-180),360),MOD(180-ABS(ABS($DB$1-RecData[Yaw Angle (°)])-180),360))</f>
        <v>19.47030401149695</v>
      </c>
      <c r="DB979" s="2" t="str">
        <f>IF($DP$2="None","None",IF(RecData[[#This Row],[Relative Wind Direction]]&lt;=45,"DW",IF(RecData[[#This Row],[Relative Wind Direction]]&lt;=135,"CW","UW")))</f>
        <v>DW</v>
      </c>
      <c r="DC979" s="61" t="e">
        <f>IF($CL979-$CL978&gt;1/24,#REF!,IF(SUM($CQ978:$CQ979)&gt;$DS$1,$DS$5,#REF!-1))</f>
        <v>#REF!</v>
      </c>
      <c r="DD979" s="61" t="e">
        <f>IF(#REF!-$CL979&gt;1/24,#REF!,IF(SUM($CQ978:$CQ979)&gt;$DS$1,$DS$6,DD978-1))</f>
        <v>#REF!</v>
      </c>
      <c r="DE979" s="18" t="b">
        <v>0</v>
      </c>
      <c r="DF979" s="2" t="b">
        <f>IF(OR(RecData[[#This Row],[WSpd_Avg '[m/s']]]-RecData[[#This Row],[Wind Speed min]]&gt;=$DF$3,RecData[[#This Row],[Wind Speed max]]-RecData[[#This Row],[WSpd_Avg '[m/s']]]&gt;=$DF$2),TRUE,FALSE)</f>
        <v>0</v>
      </c>
      <c r="DG979" s="2" t="b">
        <f>RecData[[#This Row],[Temperature '[°C']]]&lt;=-20</f>
        <v>0</v>
      </c>
      <c r="DH979" s="18" t="b">
        <f>NOT(OR(MOD(RecData[[#This Row],[TIMESTAMP]],1)&gt;0.91632,MOD(RecData[[#This Row],[TIMESTAMP]],1)&lt;0.208681))</f>
        <v>0</v>
      </c>
      <c r="DI979" s="18" t="b">
        <f>RecData[[#This Row],[Overall (dBA)]]-RecData[[#This Row],[L90]]&gt;=$DS$4</f>
        <v>0</v>
      </c>
      <c r="DJ979" s="18" t="b">
        <f>RecData[[#This Row],[Overall (dBA)]]&gt;$DS$2</f>
        <v>0</v>
      </c>
      <c r="DK979" s="18" t="b">
        <f>RecData[[#This Row],[Overall (dBA)]]&lt;$DS$3</f>
        <v>0</v>
      </c>
      <c r="DL9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79" s="2">
        <f>IF(AND(RecData[[#This Row],[Turbines ON/OFF]] = "OFF", NOT(OR(RecData[[#This Row],[Junk?]]="YES",RecData[[#This Row],[Gust?]],RecData[[#This Row],[Rain?]:[Min SPL Threshold?]]))),1,0)</f>
        <v>0</v>
      </c>
      <c r="DN979" s="16">
        <f>RecData[[#This Row],[dBA Sum]]</f>
        <v>39.789586678070251</v>
      </c>
      <c r="DO979" s="16">
        <f>RecData[[#This Row],[LAF90.0]]</f>
        <v>38.799999999999997</v>
      </c>
      <c r="DP979" s="55">
        <f>IF(AND(RecData[[#This Row],[Useable TON Data?]],RecData[[#This Row],[Turbines ON/OFF]]="ON"),RecData[[#This Row],[dBA Sum]],"")</f>
        <v>39.789586678070251</v>
      </c>
      <c r="DQ979" s="55" t="str">
        <f>IF(AND(RecData[[#This Row],[Useable Background Data?]],RecData[[#This Row],[Turbines ON/OFF]]="OFF"),RecData[[#This Row],[dBA Sum]],"")</f>
        <v/>
      </c>
      <c r="DR979" s="3">
        <f>IF(OR(RecData[[#This Row],[Useable TON Data?]],RecData[[#This Row],[Useable Background Data?]]),ROUND(RecData[[#This Row],[WSpd_Avg '[m/s']]],0),"")</f>
        <v>1</v>
      </c>
      <c r="DS979" s="85">
        <f>(0.00002)^2*(10^(RecData[[#This Row],[Overall (dBA)]]/10))</f>
        <v>3.8108219595129353E-6</v>
      </c>
    </row>
    <row r="980" spans="1:123" ht="15" x14ac:dyDescent="0.25">
      <c r="A980" s="3" t="s">
        <v>249</v>
      </c>
      <c r="B980" s="12">
        <v>43275.046527777784</v>
      </c>
      <c r="C980" s="3"/>
      <c r="D980" s="3">
        <v>41.1</v>
      </c>
      <c r="E980" s="3"/>
      <c r="F980" s="3"/>
      <c r="G980" s="3"/>
      <c r="H980" s="3"/>
      <c r="I980" s="3"/>
      <c r="J980" s="3"/>
      <c r="K980" s="3">
        <v>39.700000000000003</v>
      </c>
      <c r="L980" s="3"/>
      <c r="M980" s="3"/>
      <c r="N980" s="3">
        <v>178.4</v>
      </c>
      <c r="O980" s="3"/>
      <c r="P980" s="3"/>
      <c r="Q980" s="3">
        <v>1.99</v>
      </c>
      <c r="R980" s="3">
        <v>1.3</v>
      </c>
      <c r="S980" s="3">
        <v>3.1</v>
      </c>
      <c r="T980" s="3">
        <v>13.9</v>
      </c>
      <c r="U980" s="3">
        <v>66.3</v>
      </c>
      <c r="V980" s="3">
        <v>966.9</v>
      </c>
      <c r="W980" s="3">
        <v>0</v>
      </c>
      <c r="X980" s="3">
        <v>47.6</v>
      </c>
      <c r="Y980" s="3">
        <v>47.8</v>
      </c>
      <c r="Z980" s="3">
        <v>47.1</v>
      </c>
      <c r="AA980" s="3">
        <v>43.8</v>
      </c>
      <c r="AB980" s="3">
        <v>39.1</v>
      </c>
      <c r="AC980" s="3">
        <v>38</v>
      </c>
      <c r="AD980" s="3">
        <v>40.6</v>
      </c>
      <c r="AE980" s="3">
        <v>42.4</v>
      </c>
      <c r="AF980" s="3">
        <v>46.3</v>
      </c>
      <c r="AG980" s="3">
        <v>41.2</v>
      </c>
      <c r="AH980" s="3">
        <v>38.299999999999997</v>
      </c>
      <c r="AI980" s="3">
        <v>38.799999999999997</v>
      </c>
      <c r="AJ980" s="3">
        <v>36.9</v>
      </c>
      <c r="AK980" s="3">
        <v>34.9</v>
      </c>
      <c r="AL980" s="3">
        <v>32.799999999999997</v>
      </c>
      <c r="AM980" s="3">
        <v>31.9</v>
      </c>
      <c r="AN980" s="3">
        <v>30.5</v>
      </c>
      <c r="AO980" s="3">
        <v>28.3</v>
      </c>
      <c r="AP980" s="3">
        <v>27.1</v>
      </c>
      <c r="AQ980" s="3">
        <v>26.7</v>
      </c>
      <c r="AR980" s="3">
        <v>26.5</v>
      </c>
      <c r="AS980" s="3">
        <v>26.3</v>
      </c>
      <c r="AT980" s="3">
        <v>26.2</v>
      </c>
      <c r="AU980" s="3">
        <v>24.5</v>
      </c>
      <c r="AV980" s="3">
        <v>23</v>
      </c>
      <c r="AW980" s="3">
        <v>21.8</v>
      </c>
      <c r="AX980" s="3">
        <v>17.100000000000001</v>
      </c>
      <c r="AY980" s="3">
        <v>15.2</v>
      </c>
      <c r="AZ980" s="3">
        <v>0</v>
      </c>
      <c r="BA980" s="3">
        <v>0</v>
      </c>
      <c r="BB980" s="3">
        <v>0</v>
      </c>
      <c r="BC980" s="3">
        <v>41.07518155789986</v>
      </c>
      <c r="BD980" s="3">
        <v>47.624818442100143</v>
      </c>
      <c r="BE980" s="3">
        <v>47.824818442100145</v>
      </c>
      <c r="BF980" s="3">
        <v>45.884818442100148</v>
      </c>
      <c r="BG980" s="3">
        <v>42.911485108766804</v>
      </c>
      <c r="BH980" s="3">
        <v>38.351485108766816</v>
      </c>
      <c r="BI980" s="3">
        <v>37.664818442100149</v>
      </c>
      <c r="BJ980" s="3">
        <v>41.058151775433466</v>
      </c>
      <c r="BK980" s="3">
        <v>42.731485108766812</v>
      </c>
      <c r="BL980" s="3">
        <v>46.204818442100141</v>
      </c>
      <c r="BM980" s="3">
        <v>41.238151775433472</v>
      </c>
      <c r="BN980" s="3">
        <v>38.621485108766798</v>
      </c>
      <c r="BO980" s="3">
        <v>38.488151775433472</v>
      </c>
      <c r="BP980" s="3">
        <v>36.304818442100135</v>
      </c>
      <c r="BQ980" s="3">
        <v>34.721485108766792</v>
      </c>
      <c r="BR980" s="3">
        <v>32.94815177543348</v>
      </c>
      <c r="BS980" s="3">
        <v>31.851485108766802</v>
      </c>
      <c r="BT980" s="3">
        <v>30.648151775433469</v>
      </c>
      <c r="BU980" s="3">
        <v>28.414818442100149</v>
      </c>
      <c r="BV980" s="3">
        <v>26.931485108766815</v>
      </c>
      <c r="BW980" s="3">
        <v>27.06481844210014</v>
      </c>
      <c r="BX980" s="3">
        <v>26.784818442100153</v>
      </c>
      <c r="BY980" s="3">
        <v>26.404818442100144</v>
      </c>
      <c r="BZ980" s="3">
        <v>26.434818442100145</v>
      </c>
      <c r="CA980" s="3">
        <v>24.834818442100136</v>
      </c>
      <c r="CB980" s="3">
        <v>22.771485108766804</v>
      </c>
      <c r="CC980" s="3">
        <v>21.784818442100139</v>
      </c>
      <c r="CD980" s="3">
        <v>16.391485108766808</v>
      </c>
      <c r="CE980" s="3">
        <v>14.684818442100138</v>
      </c>
      <c r="CF980" s="3">
        <v>-0.90184822456652824</v>
      </c>
      <c r="CG980" s="3">
        <v>-1.4351815578998597</v>
      </c>
      <c r="CH980" s="3">
        <v>-2.5118482245665277</v>
      </c>
      <c r="CI980" s="13">
        <f>[1]!dbasum(RecData[[#This Row],[20]:[2000]],RecData[[#Headers],[20]:[2000]])</f>
        <v>40.35093868628131</v>
      </c>
      <c r="CJ980" s="14">
        <v>10364</v>
      </c>
      <c r="CK980" s="15" t="s">
        <v>249</v>
      </c>
      <c r="CL980" s="15">
        <f>RecData[[#This Row],[Start Time]]</f>
        <v>43275.046527777784</v>
      </c>
      <c r="CM980" s="16">
        <f>RecData[[#This Row],[Wind Speed avg]]</f>
        <v>1.99</v>
      </c>
      <c r="CN980" s="16">
        <f>RecData[[#This Row],[Wind Dir. avg]]</f>
        <v>178.4</v>
      </c>
      <c r="CO980" s="16">
        <f>RecData[[#This Row],[Amb. Humidity]]</f>
        <v>66.3</v>
      </c>
      <c r="CP980" s="16">
        <f>RecData[[#This Row],[Amb. Temperature]]</f>
        <v>13.9</v>
      </c>
      <c r="CQ980" s="17">
        <f>RecData[[#This Row],[Amb. Rain Gauge]]</f>
        <v>0</v>
      </c>
      <c r="CR980" s="4" t="s">
        <v>1</v>
      </c>
      <c r="CS980" s="4" t="s">
        <v>49</v>
      </c>
      <c r="CT980" s="70">
        <v>1601.14575195312</v>
      </c>
      <c r="CU980" s="70">
        <v>37.319332122802699</v>
      </c>
      <c r="CV980" s="70">
        <v>11.0164337158203</v>
      </c>
      <c r="CW980" s="70">
        <v>15.232529640197701</v>
      </c>
      <c r="CX980" s="4"/>
      <c r="CY980" s="69"/>
      <c r="CZ980" s="2" t="b">
        <f>IF($DP$1="YES",IF(RecData[[#This Row],[Power (kW)]]&gt;=$CR$3, TRUE,FALSE),TRUE)</f>
        <v>1</v>
      </c>
      <c r="DA980" s="16">
        <f>MIN(MOD(180-ABS(ABS($DA$1-RecData[Yaw Angle (°)])-180),360),MOD(180-ABS(ABS($DB$1-RecData[Yaw Angle (°)])-180),360))</f>
        <v>29.789405345115142</v>
      </c>
      <c r="DB980" s="2" t="str">
        <f>IF($DP$2="None","None",IF(RecData[[#This Row],[Relative Wind Direction]]&lt;=45,"DW",IF(RecData[[#This Row],[Relative Wind Direction]]&lt;=135,"CW","UW")))</f>
        <v>DW</v>
      </c>
      <c r="DC980" s="61" t="e">
        <f>IF($CL980-#REF!&gt;1/24,#REF!,IF(SUM($CQ980:$CQ980)&gt;$DS$1,$DS$5,DC981-1))</f>
        <v>#REF!</v>
      </c>
      <c r="DD980" s="61" t="e">
        <f>IF($CL981-$CL980&gt;1/24,#REF!,IF(SUM($CQ980:$CQ980)&gt;$DS$1,$DS$6,#REF!-1))</f>
        <v>#REF!</v>
      </c>
      <c r="DE980" s="18" t="b">
        <v>0</v>
      </c>
      <c r="DF980" s="2" t="b">
        <f>IF(OR(RecData[[#This Row],[WSpd_Avg '[m/s']]]-RecData[[#This Row],[Wind Speed min]]&gt;=$DF$3,RecData[[#This Row],[Wind Speed max]]-RecData[[#This Row],[WSpd_Avg '[m/s']]]&gt;=$DF$2),TRUE,FALSE)</f>
        <v>0</v>
      </c>
      <c r="DG980" s="2" t="b">
        <f>RecData[[#This Row],[Temperature '[°C']]]&lt;=-20</f>
        <v>0</v>
      </c>
      <c r="DH980" s="18" t="b">
        <f>NOT(OR(MOD(RecData[[#This Row],[TIMESTAMP]],1)&gt;0.91632,MOD(RecData[[#This Row],[TIMESTAMP]],1)&lt;0.208681))</f>
        <v>0</v>
      </c>
      <c r="DI980" s="18" t="b">
        <f>RecData[[#This Row],[Overall (dBA)]]-RecData[[#This Row],[L90]]&gt;=$DS$4</f>
        <v>0</v>
      </c>
      <c r="DJ980" s="18" t="b">
        <f>RecData[[#This Row],[Overall (dBA)]]&gt;$DS$2</f>
        <v>0</v>
      </c>
      <c r="DK980" s="18" t="b">
        <f>RecData[[#This Row],[Overall (dBA)]]&lt;$DS$3</f>
        <v>0</v>
      </c>
      <c r="DL9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0" s="2">
        <f>IF(AND(RecData[[#This Row],[Turbines ON/OFF]] = "OFF", NOT(OR(RecData[[#This Row],[Junk?]]="YES",RecData[[#This Row],[Gust?]],RecData[[#This Row],[Rain?]:[Min SPL Threshold?]]))),1,0)</f>
        <v>0</v>
      </c>
      <c r="DN980" s="16">
        <f>RecData[[#This Row],[dBA Sum]]</f>
        <v>40.35093868628131</v>
      </c>
      <c r="DO980" s="16">
        <f>RecData[[#This Row],[LAF90.0]]</f>
        <v>39.700000000000003</v>
      </c>
      <c r="DP980" s="55">
        <f>IF(AND(RecData[[#This Row],[Useable TON Data?]],RecData[[#This Row],[Turbines ON/OFF]]="ON"),RecData[[#This Row],[dBA Sum]],"")</f>
        <v>40.35093868628131</v>
      </c>
      <c r="DQ980" s="55" t="str">
        <f>IF(AND(RecData[[#This Row],[Useable Background Data?]],RecData[[#This Row],[Turbines ON/OFF]]="OFF"),RecData[[#This Row],[dBA Sum]],"")</f>
        <v/>
      </c>
      <c r="DR980" s="3">
        <f>IF(OR(RecData[[#This Row],[Useable TON Data?]],RecData[[#This Row],[Useable Background Data?]]),ROUND(RecData[[#This Row],[WSpd_Avg '[m/s']]],0),"")</f>
        <v>2</v>
      </c>
      <c r="DS980" s="85">
        <f>(0.00002)^2*(10^(RecData[[#This Row],[Overall (dBA)]]/10))</f>
        <v>4.3366448794043938E-6</v>
      </c>
    </row>
    <row r="981" spans="1:123" ht="15" x14ac:dyDescent="0.25">
      <c r="A981" s="3" t="s">
        <v>249</v>
      </c>
      <c r="B981" s="12">
        <v>43275.047222222231</v>
      </c>
      <c r="C981" s="3"/>
      <c r="D981" s="3">
        <v>41.6</v>
      </c>
      <c r="E981" s="3"/>
      <c r="F981" s="3"/>
      <c r="G981" s="3"/>
      <c r="H981" s="3"/>
      <c r="I981" s="3"/>
      <c r="J981" s="3"/>
      <c r="K981" s="3">
        <v>40.299999999999997</v>
      </c>
      <c r="L981" s="3"/>
      <c r="M981" s="3"/>
      <c r="N981" s="3">
        <v>169.3</v>
      </c>
      <c r="O981" s="3"/>
      <c r="P981" s="3"/>
      <c r="Q981" s="3">
        <v>1.1399999999999999</v>
      </c>
      <c r="R981" s="3">
        <v>0.2</v>
      </c>
      <c r="S981" s="3">
        <v>2.2000000000000002</v>
      </c>
      <c r="T981" s="3">
        <v>13.9</v>
      </c>
      <c r="U981" s="3">
        <v>66.3</v>
      </c>
      <c r="V981" s="3">
        <v>966.9</v>
      </c>
      <c r="W981" s="3">
        <v>0</v>
      </c>
      <c r="X981" s="3">
        <v>49.6</v>
      </c>
      <c r="Y981" s="3">
        <v>48.6</v>
      </c>
      <c r="Z981" s="3">
        <v>48.6</v>
      </c>
      <c r="AA981" s="3">
        <v>44.9</v>
      </c>
      <c r="AB981" s="3">
        <v>39.700000000000003</v>
      </c>
      <c r="AC981" s="3">
        <v>38.6</v>
      </c>
      <c r="AD981" s="3">
        <v>40.799999999999997</v>
      </c>
      <c r="AE981" s="3">
        <v>41.5</v>
      </c>
      <c r="AF981" s="3">
        <v>47.2</v>
      </c>
      <c r="AG981" s="3">
        <v>41.5</v>
      </c>
      <c r="AH981" s="3">
        <v>37.700000000000003</v>
      </c>
      <c r="AI981" s="3">
        <v>38.299999999999997</v>
      </c>
      <c r="AJ981" s="3">
        <v>37</v>
      </c>
      <c r="AK981" s="3">
        <v>35.200000000000003</v>
      </c>
      <c r="AL981" s="3">
        <v>33.299999999999997</v>
      </c>
      <c r="AM981" s="3">
        <v>33.200000000000003</v>
      </c>
      <c r="AN981" s="3">
        <v>31.9</v>
      </c>
      <c r="AO981" s="3">
        <v>29.3</v>
      </c>
      <c r="AP981" s="3">
        <v>27.9</v>
      </c>
      <c r="AQ981" s="3">
        <v>27.3</v>
      </c>
      <c r="AR981" s="3">
        <v>26.8</v>
      </c>
      <c r="AS981" s="3">
        <v>26.5</v>
      </c>
      <c r="AT981" s="3">
        <v>26.4</v>
      </c>
      <c r="AU981" s="3">
        <v>24.7</v>
      </c>
      <c r="AV981" s="3">
        <v>23.2</v>
      </c>
      <c r="AW981" s="3">
        <v>21.8</v>
      </c>
      <c r="AX981" s="3">
        <v>17.3</v>
      </c>
      <c r="AY981" s="3">
        <v>15</v>
      </c>
      <c r="AZ981" s="3">
        <v>0</v>
      </c>
      <c r="BA981" s="3">
        <v>0</v>
      </c>
      <c r="BB981" s="3">
        <v>0</v>
      </c>
      <c r="BC981" s="3">
        <v>41.5512732735938</v>
      </c>
      <c r="BD981" s="3">
        <v>49.648726726406203</v>
      </c>
      <c r="BE981" s="3">
        <v>48.648726726406203</v>
      </c>
      <c r="BF981" s="3">
        <v>47.408726726406208</v>
      </c>
      <c r="BG981" s="3">
        <v>44.035393393072873</v>
      </c>
      <c r="BH981" s="3">
        <v>38.975393393072871</v>
      </c>
      <c r="BI981" s="3">
        <v>38.288726726406203</v>
      </c>
      <c r="BJ981" s="3">
        <v>41.282060059739528</v>
      </c>
      <c r="BK981" s="3">
        <v>41.855393393072866</v>
      </c>
      <c r="BL981" s="3">
        <v>47.128726726406207</v>
      </c>
      <c r="BM981" s="3">
        <v>41.562060059739544</v>
      </c>
      <c r="BN981" s="3">
        <v>38.045393393072864</v>
      </c>
      <c r="BO981" s="3">
        <v>38.012060059739532</v>
      </c>
      <c r="BP981" s="3">
        <v>36.428726726406204</v>
      </c>
      <c r="BQ981" s="3">
        <v>35.045393393072864</v>
      </c>
      <c r="BR981" s="3">
        <v>33.47206005973954</v>
      </c>
      <c r="BS981" s="3">
        <v>33.175393393072873</v>
      </c>
      <c r="BT981" s="3">
        <v>32.072060059739535</v>
      </c>
      <c r="BU981" s="3">
        <v>29.438726726406209</v>
      </c>
      <c r="BV981" s="3">
        <v>27.755393393072872</v>
      </c>
      <c r="BW981" s="3">
        <v>27.688726726406209</v>
      </c>
      <c r="BX981" s="3">
        <v>27.108726726406211</v>
      </c>
      <c r="BY981" s="3">
        <v>26.628726726406207</v>
      </c>
      <c r="BZ981" s="3">
        <v>26.658726726406208</v>
      </c>
      <c r="CA981" s="3">
        <v>25.058726726406185</v>
      </c>
      <c r="CB981" s="3">
        <v>22.995393393072867</v>
      </c>
      <c r="CC981" s="3">
        <v>21.808726726406199</v>
      </c>
      <c r="CD981" s="3">
        <v>16.615393393072871</v>
      </c>
      <c r="CE981" s="3">
        <v>14.508726726406202</v>
      </c>
      <c r="CF981" s="3">
        <v>-0.87793994026046818</v>
      </c>
      <c r="CG981" s="3">
        <v>-1.4112732735937996</v>
      </c>
      <c r="CH981" s="3">
        <v>-2.4879399402604676</v>
      </c>
      <c r="CI981" s="13">
        <f>[1]!dbasum(RecData[[#This Row],[20]:[2000]],RecData[[#Headers],[20]:[2000]])</f>
        <v>40.906958298464289</v>
      </c>
      <c r="CJ981" s="14">
        <v>10365</v>
      </c>
      <c r="CK981" s="15" t="s">
        <v>249</v>
      </c>
      <c r="CL981" s="15">
        <f>RecData[[#This Row],[Start Time]]</f>
        <v>43275.047222222231</v>
      </c>
      <c r="CM981" s="16">
        <f>RecData[[#This Row],[Wind Speed avg]]</f>
        <v>1.1399999999999999</v>
      </c>
      <c r="CN981" s="16">
        <f>RecData[[#This Row],[Wind Dir. avg]]</f>
        <v>169.3</v>
      </c>
      <c r="CO981" s="16">
        <f>RecData[[#This Row],[Amb. Humidity]]</f>
        <v>66.3</v>
      </c>
      <c r="CP981" s="16">
        <f>RecData[[#This Row],[Amb. Temperature]]</f>
        <v>13.9</v>
      </c>
      <c r="CQ981" s="17">
        <f>RecData[[#This Row],[Amb. Rain Gauge]]</f>
        <v>0</v>
      </c>
      <c r="CR981" s="4" t="s">
        <v>1</v>
      </c>
      <c r="CS981" s="4" t="s">
        <v>49</v>
      </c>
      <c r="CT981" s="70">
        <v>1601.14575195312</v>
      </c>
      <c r="CU981" s="70">
        <v>37.319332122802699</v>
      </c>
      <c r="CV981" s="70">
        <v>11.0164337158203</v>
      </c>
      <c r="CW981" s="70">
        <v>15.232529640197701</v>
      </c>
      <c r="CX981" s="4"/>
      <c r="CY981" s="69"/>
      <c r="CZ981" s="2" t="b">
        <f>IF($DP$1="YES",IF(RecData[[#This Row],[Power (kW)]]&gt;=$CR$3, TRUE,FALSE),TRUE)</f>
        <v>1</v>
      </c>
      <c r="DA981" s="16">
        <f>MIN(MOD(180-ABS(ABS($DA$1-RecData[Yaw Angle (°)])-180),360),MOD(180-ABS(ABS($DB$1-RecData[Yaw Angle (°)])-180),360))</f>
        <v>29.789405345115142</v>
      </c>
      <c r="DB981" s="2" t="str">
        <f>IF($DP$2="None","None",IF(RecData[[#This Row],[Relative Wind Direction]]&lt;=45,"DW",IF(RecData[[#This Row],[Relative Wind Direction]]&lt;=135,"CW","UW")))</f>
        <v>DW</v>
      </c>
      <c r="DC981" s="61" t="e">
        <f>IF($CL981-#REF!&gt;1/24,#REF!,IF(SUM($CQ980:$CQ981)&gt;$DS$1,$DS$5,DC982-1))</f>
        <v>#REF!</v>
      </c>
      <c r="DD981" s="61" t="e">
        <f>IF($CL982-$CL981&gt;1/24,#REF!,IF(SUM($CQ980:$CQ981)&gt;$DS$1,$DS$6,DD980-1))</f>
        <v>#REF!</v>
      </c>
      <c r="DE981" s="18" t="b">
        <v>0</v>
      </c>
      <c r="DF981" s="2" t="b">
        <f>IF(OR(RecData[[#This Row],[WSpd_Avg '[m/s']]]-RecData[[#This Row],[Wind Speed min]]&gt;=$DF$3,RecData[[#This Row],[Wind Speed max]]-RecData[[#This Row],[WSpd_Avg '[m/s']]]&gt;=$DF$2),TRUE,FALSE)</f>
        <v>0</v>
      </c>
      <c r="DG981" s="2" t="b">
        <f>RecData[[#This Row],[Temperature '[°C']]]&lt;=-20</f>
        <v>0</v>
      </c>
      <c r="DH981" s="18" t="b">
        <f>NOT(OR(MOD(RecData[[#This Row],[TIMESTAMP]],1)&gt;0.91632,MOD(RecData[[#This Row],[TIMESTAMP]],1)&lt;0.208681))</f>
        <v>0</v>
      </c>
      <c r="DI981" s="18" t="b">
        <f>RecData[[#This Row],[Overall (dBA)]]-RecData[[#This Row],[L90]]&gt;=$DS$4</f>
        <v>0</v>
      </c>
      <c r="DJ981" s="18" t="b">
        <f>RecData[[#This Row],[Overall (dBA)]]&gt;$DS$2</f>
        <v>0</v>
      </c>
      <c r="DK981" s="18" t="b">
        <f>RecData[[#This Row],[Overall (dBA)]]&lt;$DS$3</f>
        <v>0</v>
      </c>
      <c r="DL9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1" s="2">
        <f>IF(AND(RecData[[#This Row],[Turbines ON/OFF]] = "OFF", NOT(OR(RecData[[#This Row],[Junk?]]="YES",RecData[[#This Row],[Gust?]],RecData[[#This Row],[Rain?]:[Min SPL Threshold?]]))),1,0)</f>
        <v>0</v>
      </c>
      <c r="DN981" s="16">
        <f>RecData[[#This Row],[dBA Sum]]</f>
        <v>40.906958298464289</v>
      </c>
      <c r="DO981" s="16">
        <f>RecData[[#This Row],[LAF90.0]]</f>
        <v>40.299999999999997</v>
      </c>
      <c r="DP981" s="55">
        <f>IF(AND(RecData[[#This Row],[Useable TON Data?]],RecData[[#This Row],[Turbines ON/OFF]]="ON"),RecData[[#This Row],[dBA Sum]],"")</f>
        <v>40.906958298464289</v>
      </c>
      <c r="DQ981" s="55" t="str">
        <f>IF(AND(RecData[[#This Row],[Useable Background Data?]],RecData[[#This Row],[Turbines ON/OFF]]="OFF"),RecData[[#This Row],[dBA Sum]],"")</f>
        <v/>
      </c>
      <c r="DR981" s="3">
        <f>IF(OR(RecData[[#This Row],[Useable TON Data?]],RecData[[#This Row],[Useable Background Data?]]),ROUND(RecData[[#This Row],[WSpd_Avg '[m/s']]],0),"")</f>
        <v>1</v>
      </c>
      <c r="DS981" s="85">
        <f>(0.00002)^2*(10^(RecData[[#This Row],[Overall (dBA)]]/10))</f>
        <v>4.9289659860631359E-6</v>
      </c>
    </row>
    <row r="982" spans="1:123" ht="15" x14ac:dyDescent="0.25">
      <c r="A982" s="3" t="s">
        <v>249</v>
      </c>
      <c r="B982" s="12">
        <v>43275.04791666667</v>
      </c>
      <c r="C982" s="3"/>
      <c r="D982" s="3">
        <v>43.2</v>
      </c>
      <c r="E982" s="3"/>
      <c r="F982" s="3"/>
      <c r="G982" s="3"/>
      <c r="H982" s="3"/>
      <c r="I982" s="3"/>
      <c r="J982" s="3"/>
      <c r="K982" s="3">
        <v>40.1</v>
      </c>
      <c r="L982" s="3"/>
      <c r="M982" s="3"/>
      <c r="N982" s="3">
        <v>173.8</v>
      </c>
      <c r="O982" s="3"/>
      <c r="P982" s="3"/>
      <c r="Q982" s="3">
        <v>0.84</v>
      </c>
      <c r="R982" s="3">
        <v>0.3</v>
      </c>
      <c r="S982" s="3">
        <v>1.6</v>
      </c>
      <c r="T982" s="3">
        <v>13.9</v>
      </c>
      <c r="U982" s="3">
        <v>66.400000000000006</v>
      </c>
      <c r="V982" s="3">
        <v>966.9</v>
      </c>
      <c r="W982" s="3">
        <v>0</v>
      </c>
      <c r="X982" s="3">
        <v>47.7</v>
      </c>
      <c r="Y982" s="3">
        <v>47.2</v>
      </c>
      <c r="Z982" s="3">
        <v>47.1</v>
      </c>
      <c r="AA982" s="3">
        <v>43.6</v>
      </c>
      <c r="AB982" s="3">
        <v>38.700000000000003</v>
      </c>
      <c r="AC982" s="3">
        <v>36.5</v>
      </c>
      <c r="AD982" s="3">
        <v>39.799999999999997</v>
      </c>
      <c r="AE982" s="3">
        <v>41.7</v>
      </c>
      <c r="AF982" s="3">
        <v>47</v>
      </c>
      <c r="AG982" s="3">
        <v>40.299999999999997</v>
      </c>
      <c r="AH982" s="3">
        <v>37.700000000000003</v>
      </c>
      <c r="AI982" s="3">
        <v>38.799999999999997</v>
      </c>
      <c r="AJ982" s="3">
        <v>37.200000000000003</v>
      </c>
      <c r="AK982" s="3">
        <v>36</v>
      </c>
      <c r="AL982" s="3">
        <v>34.6</v>
      </c>
      <c r="AM982" s="3">
        <v>34.5</v>
      </c>
      <c r="AN982" s="3">
        <v>33.4</v>
      </c>
      <c r="AO982" s="3">
        <v>32.1</v>
      </c>
      <c r="AP982" s="3">
        <v>31.4</v>
      </c>
      <c r="AQ982" s="3">
        <v>31.1</v>
      </c>
      <c r="AR982" s="3">
        <v>30.9</v>
      </c>
      <c r="AS982" s="3">
        <v>30.1</v>
      </c>
      <c r="AT982" s="3">
        <v>28.9</v>
      </c>
      <c r="AU982" s="3">
        <v>26.6</v>
      </c>
      <c r="AV982" s="3">
        <v>24.9</v>
      </c>
      <c r="AW982" s="3">
        <v>23.1</v>
      </c>
      <c r="AX982" s="3">
        <v>17.8</v>
      </c>
      <c r="AY982" s="3">
        <v>14.9</v>
      </c>
      <c r="AZ982" s="3">
        <v>0</v>
      </c>
      <c r="BA982" s="3">
        <v>0</v>
      </c>
      <c r="BB982" s="3">
        <v>0</v>
      </c>
      <c r="BC982" s="3">
        <v>43.213904708292574</v>
      </c>
      <c r="BD982" s="3">
        <v>47.686095291707431</v>
      </c>
      <c r="BE982" s="3">
        <v>47.186095291707431</v>
      </c>
      <c r="BF982" s="3">
        <v>45.846095291707428</v>
      </c>
      <c r="BG982" s="3">
        <v>42.672761958374096</v>
      </c>
      <c r="BH982" s="3">
        <v>37.912761958374091</v>
      </c>
      <c r="BI982" s="3">
        <v>36.126095291707429</v>
      </c>
      <c r="BJ982" s="3">
        <v>40.219428625040763</v>
      </c>
      <c r="BK982" s="3">
        <v>41.992761958374103</v>
      </c>
      <c r="BL982" s="3">
        <v>46.866095291707438</v>
      </c>
      <c r="BM982" s="3">
        <v>40.299428625040761</v>
      </c>
      <c r="BN982" s="3">
        <v>37.982761958374098</v>
      </c>
      <c r="BO982" s="3">
        <v>38.449428625040753</v>
      </c>
      <c r="BP982" s="3">
        <v>36.566095291707427</v>
      </c>
      <c r="BQ982" s="3">
        <v>35.782761958374095</v>
      </c>
      <c r="BR982" s="3">
        <v>34.709428625040772</v>
      </c>
      <c r="BS982" s="3">
        <v>34.412761958374091</v>
      </c>
      <c r="BT982" s="3">
        <v>33.509428625040755</v>
      </c>
      <c r="BU982" s="3">
        <v>32.176095291707441</v>
      </c>
      <c r="BV982" s="3">
        <v>31.192761958374092</v>
      </c>
      <c r="BW982" s="3">
        <v>31.426095291707441</v>
      </c>
      <c r="BX982" s="3">
        <v>31.146095291707439</v>
      </c>
      <c r="BY982" s="3">
        <v>30.166095291707421</v>
      </c>
      <c r="BZ982" s="3">
        <v>29.096095291707428</v>
      </c>
      <c r="CA982" s="3">
        <v>26.896095291707425</v>
      </c>
      <c r="CB982" s="3">
        <v>24.63276195837409</v>
      </c>
      <c r="CC982" s="3">
        <v>23.046095291707431</v>
      </c>
      <c r="CD982" s="3">
        <v>17.052761958374099</v>
      </c>
      <c r="CE982" s="3">
        <v>14.346095291707428</v>
      </c>
      <c r="CF982" s="3">
        <v>-0.94057137495924081</v>
      </c>
      <c r="CG982" s="3">
        <v>-1.4739047082925723</v>
      </c>
      <c r="CH982" s="3">
        <v>-2.5505713749592402</v>
      </c>
      <c r="CI982" s="13">
        <f>[1]!dbasum(RecData[[#This Row],[20]:[2000]],RecData[[#Headers],[20]:[2000]])</f>
        <v>42.384343534805907</v>
      </c>
      <c r="CJ982" s="14">
        <v>10366</v>
      </c>
      <c r="CK982" s="15" t="s">
        <v>249</v>
      </c>
      <c r="CL982" s="15">
        <f>RecData[[#This Row],[Start Time]]</f>
        <v>43275.04791666667</v>
      </c>
      <c r="CM982" s="16">
        <f>RecData[[#This Row],[Wind Speed avg]]</f>
        <v>0.84</v>
      </c>
      <c r="CN982" s="16">
        <f>RecData[[#This Row],[Wind Dir. avg]]</f>
        <v>173.8</v>
      </c>
      <c r="CO982" s="16">
        <f>RecData[[#This Row],[Amb. Humidity]]</f>
        <v>66.400000000000006</v>
      </c>
      <c r="CP982" s="16">
        <f>RecData[[#This Row],[Amb. Temperature]]</f>
        <v>13.9</v>
      </c>
      <c r="CQ982" s="17">
        <f>RecData[[#This Row],[Amb. Rain Gauge]]</f>
        <v>0</v>
      </c>
      <c r="CR982" s="4" t="s">
        <v>1</v>
      </c>
      <c r="CS982" s="4" t="s">
        <v>49</v>
      </c>
      <c r="CT982" s="70">
        <v>1601.14575195312</v>
      </c>
      <c r="CU982" s="70">
        <v>37.319332122802699</v>
      </c>
      <c r="CV982" s="70">
        <v>11.0164337158203</v>
      </c>
      <c r="CW982" s="70">
        <v>15.232529640197701</v>
      </c>
      <c r="CX982" s="4"/>
      <c r="CY982" s="69"/>
      <c r="CZ982" s="2" t="b">
        <f>IF($DP$1="YES",IF(RecData[[#This Row],[Power (kW)]]&gt;=$CR$3, TRUE,FALSE),TRUE)</f>
        <v>1</v>
      </c>
      <c r="DA982" s="16">
        <f>MIN(MOD(180-ABS(ABS($DA$1-RecData[Yaw Angle (°)])-180),360),MOD(180-ABS(ABS($DB$1-RecData[Yaw Angle (°)])-180),360))</f>
        <v>29.789405345115142</v>
      </c>
      <c r="DB982" s="2" t="str">
        <f>IF($DP$2="None","None",IF(RecData[[#This Row],[Relative Wind Direction]]&lt;=45,"DW",IF(RecData[[#This Row],[Relative Wind Direction]]&lt;=135,"CW","UW")))</f>
        <v>DW</v>
      </c>
      <c r="DC982" s="61" t="e">
        <f>IF($CL982-#REF!&gt;1/24,#REF!,IF(SUM($CQ980:$CQ982)&gt;$DS$1,$DS$5,#REF!-1))</f>
        <v>#REF!</v>
      </c>
      <c r="DD982" s="61" t="e">
        <f>IF(#REF!-$CL982&gt;1/24,#REF!,IF(SUM($CQ980:$CQ982)&gt;$DS$1,$DS$6,DD981-1))</f>
        <v>#REF!</v>
      </c>
      <c r="DE982" s="18" t="b">
        <v>0</v>
      </c>
      <c r="DF982" s="2" t="b">
        <f>IF(OR(RecData[[#This Row],[WSpd_Avg '[m/s']]]-RecData[[#This Row],[Wind Speed min]]&gt;=$DF$3,RecData[[#This Row],[Wind Speed max]]-RecData[[#This Row],[WSpd_Avg '[m/s']]]&gt;=$DF$2),TRUE,FALSE)</f>
        <v>0</v>
      </c>
      <c r="DG982" s="2" t="b">
        <f>RecData[[#This Row],[Temperature '[°C']]]&lt;=-20</f>
        <v>0</v>
      </c>
      <c r="DH982" s="18" t="b">
        <f>NOT(OR(MOD(RecData[[#This Row],[TIMESTAMP]],1)&gt;0.91632,MOD(RecData[[#This Row],[TIMESTAMP]],1)&lt;0.208681))</f>
        <v>0</v>
      </c>
      <c r="DI982" s="18" t="b">
        <f>RecData[[#This Row],[Overall (dBA)]]-RecData[[#This Row],[L90]]&gt;=$DS$4</f>
        <v>0</v>
      </c>
      <c r="DJ982" s="18" t="b">
        <f>RecData[[#This Row],[Overall (dBA)]]&gt;$DS$2</f>
        <v>0</v>
      </c>
      <c r="DK982" s="18" t="b">
        <f>RecData[[#This Row],[Overall (dBA)]]&lt;$DS$3</f>
        <v>0</v>
      </c>
      <c r="DL9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2" s="2">
        <f>IF(AND(RecData[[#This Row],[Turbines ON/OFF]] = "OFF", NOT(OR(RecData[[#This Row],[Junk?]]="YES",RecData[[#This Row],[Gust?]],RecData[[#This Row],[Rain?]:[Min SPL Threshold?]]))),1,0)</f>
        <v>0</v>
      </c>
      <c r="DN982" s="16">
        <f>RecData[[#This Row],[dBA Sum]]</f>
        <v>42.384343534805907</v>
      </c>
      <c r="DO982" s="16">
        <f>RecData[[#This Row],[LAF90.0]]</f>
        <v>40.1</v>
      </c>
      <c r="DP982" s="55">
        <f>IF(AND(RecData[[#This Row],[Useable TON Data?]],RecData[[#This Row],[Turbines ON/OFF]]="ON"),RecData[[#This Row],[dBA Sum]],"")</f>
        <v>42.384343534805907</v>
      </c>
      <c r="DQ982" s="55" t="str">
        <f>IF(AND(RecData[[#This Row],[Useable Background Data?]],RecData[[#This Row],[Turbines ON/OFF]]="OFF"),RecData[[#This Row],[dBA Sum]],"")</f>
        <v/>
      </c>
      <c r="DR982" s="3">
        <f>IF(OR(RecData[[#This Row],[Useable TON Data?]],RecData[[#This Row],[Useable Background Data?]]),ROUND(RecData[[#This Row],[WSpd_Avg '[m/s']]],0),"")</f>
        <v>1</v>
      </c>
      <c r="DS982" s="85">
        <f>(0.00002)^2*(10^(RecData[[#This Row],[Overall (dBA)]]/10))</f>
        <v>6.9261891040027403E-6</v>
      </c>
    </row>
    <row r="983" spans="1:123" ht="15" x14ac:dyDescent="0.25">
      <c r="A983" s="3" t="s">
        <v>249</v>
      </c>
      <c r="B983" s="12">
        <v>43275.05</v>
      </c>
      <c r="C983" s="3"/>
      <c r="D983" s="3">
        <v>40.4</v>
      </c>
      <c r="E983" s="3"/>
      <c r="F983" s="3"/>
      <c r="G983" s="3"/>
      <c r="H983" s="3"/>
      <c r="I983" s="3"/>
      <c r="J983" s="3"/>
      <c r="K983" s="3">
        <v>38.6</v>
      </c>
      <c r="L983" s="3"/>
      <c r="M983" s="3"/>
      <c r="N983" s="3">
        <v>162.19999999999999</v>
      </c>
      <c r="O983" s="3"/>
      <c r="P983" s="3"/>
      <c r="Q983" s="3">
        <v>1.96</v>
      </c>
      <c r="R983" s="3">
        <v>0.9</v>
      </c>
      <c r="S983" s="3">
        <v>3</v>
      </c>
      <c r="T983" s="3">
        <v>13.9</v>
      </c>
      <c r="U983" s="3">
        <v>66</v>
      </c>
      <c r="V983" s="3">
        <v>967</v>
      </c>
      <c r="W983" s="3">
        <v>0</v>
      </c>
      <c r="X983" s="3">
        <v>46.2</v>
      </c>
      <c r="Y983" s="3">
        <v>46.3</v>
      </c>
      <c r="Z983" s="3">
        <v>46.9</v>
      </c>
      <c r="AA983" s="3">
        <v>43</v>
      </c>
      <c r="AB983" s="3">
        <v>37.5</v>
      </c>
      <c r="AC983" s="3">
        <v>36</v>
      </c>
      <c r="AD983" s="3">
        <v>38.200000000000003</v>
      </c>
      <c r="AE983" s="3">
        <v>39.200000000000003</v>
      </c>
      <c r="AF983" s="3">
        <v>43.6</v>
      </c>
      <c r="AG983" s="3">
        <v>38.200000000000003</v>
      </c>
      <c r="AH983" s="3">
        <v>35.700000000000003</v>
      </c>
      <c r="AI983" s="3">
        <v>36.299999999999997</v>
      </c>
      <c r="AJ983" s="3">
        <v>34.9</v>
      </c>
      <c r="AK983" s="3">
        <v>33.5</v>
      </c>
      <c r="AL983" s="3">
        <v>32</v>
      </c>
      <c r="AM983" s="3">
        <v>31.5</v>
      </c>
      <c r="AN983" s="3">
        <v>30.3</v>
      </c>
      <c r="AO983" s="3">
        <v>28.6</v>
      </c>
      <c r="AP983" s="3">
        <v>27.7</v>
      </c>
      <c r="AQ983" s="3">
        <v>27.1</v>
      </c>
      <c r="AR983" s="3">
        <v>27.2</v>
      </c>
      <c r="AS983" s="3">
        <v>27.2</v>
      </c>
      <c r="AT983" s="3">
        <v>27.2</v>
      </c>
      <c r="AU983" s="3">
        <v>25.6</v>
      </c>
      <c r="AV983" s="3">
        <v>23.9</v>
      </c>
      <c r="AW983" s="3">
        <v>22.5</v>
      </c>
      <c r="AX983" s="3">
        <v>17.8</v>
      </c>
      <c r="AY983" s="3">
        <v>15.9</v>
      </c>
      <c r="AZ983" s="3">
        <v>0</v>
      </c>
      <c r="BA983" s="3">
        <v>0</v>
      </c>
      <c r="BB983" s="3">
        <v>0</v>
      </c>
      <c r="BC983" s="3">
        <v>40.404629098145143</v>
      </c>
      <c r="BD983" s="3">
        <v>46.195370901854851</v>
      </c>
      <c r="BE983" s="3">
        <v>46.295370901854845</v>
      </c>
      <c r="BF983" s="3">
        <v>45.655370901854859</v>
      </c>
      <c r="BG983" s="3">
        <v>42.082037568521521</v>
      </c>
      <c r="BH983" s="3">
        <v>36.722037568521522</v>
      </c>
      <c r="BI983" s="3">
        <v>35.635370901854849</v>
      </c>
      <c r="BJ983" s="3">
        <v>38.628704235188188</v>
      </c>
      <c r="BK983" s="3">
        <v>39.502037568521523</v>
      </c>
      <c r="BL983" s="3">
        <v>43.475370901854852</v>
      </c>
      <c r="BM983" s="3">
        <v>38.2087042351882</v>
      </c>
      <c r="BN983" s="3">
        <v>35.992037568521532</v>
      </c>
      <c r="BO983" s="3">
        <v>35.958704235188186</v>
      </c>
      <c r="BP983" s="3">
        <v>34.275370901854863</v>
      </c>
      <c r="BQ983" s="3">
        <v>33.292037568521515</v>
      </c>
      <c r="BR983" s="3">
        <v>32.118704235188197</v>
      </c>
      <c r="BS983" s="3">
        <v>31.422037568521525</v>
      </c>
      <c r="BT983" s="3">
        <v>30.418704235188194</v>
      </c>
      <c r="BU983" s="3">
        <v>28.68537090185486</v>
      </c>
      <c r="BV983" s="3">
        <v>27.502037568521523</v>
      </c>
      <c r="BW983" s="3">
        <v>27.43537090185486</v>
      </c>
      <c r="BX983" s="3">
        <v>27.455370901854856</v>
      </c>
      <c r="BY983" s="3">
        <v>27.275370901854849</v>
      </c>
      <c r="BZ983" s="3">
        <v>27.405370901854859</v>
      </c>
      <c r="CA983" s="3">
        <v>25.905370901854845</v>
      </c>
      <c r="CB983" s="3">
        <v>23.642037568521523</v>
      </c>
      <c r="CC983" s="3">
        <v>22.455370901854856</v>
      </c>
      <c r="CD983" s="3">
        <v>17.062037568521525</v>
      </c>
      <c r="CE983" s="3">
        <v>15.355370901854855</v>
      </c>
      <c r="CF983" s="3">
        <v>-0.93129576481181431</v>
      </c>
      <c r="CG983" s="3">
        <v>-1.4646290981451457</v>
      </c>
      <c r="CH983" s="3">
        <v>-2.5412957648118137</v>
      </c>
      <c r="CI983" s="13">
        <f>[1]!dbasum(RecData[[#This Row],[20]:[2000]],RecData[[#Headers],[20]:[2000]])</f>
        <v>39.32577623980292</v>
      </c>
      <c r="CJ983" s="14">
        <v>10369</v>
      </c>
      <c r="CK983" s="15" t="s">
        <v>249</v>
      </c>
      <c r="CL983" s="15">
        <f>RecData[[#This Row],[Start Time]]</f>
        <v>43275.05</v>
      </c>
      <c r="CM983" s="16">
        <f>RecData[[#This Row],[Wind Speed avg]]</f>
        <v>1.96</v>
      </c>
      <c r="CN983" s="16">
        <f>RecData[[#This Row],[Wind Dir. avg]]</f>
        <v>162.19999999999999</v>
      </c>
      <c r="CO983" s="16">
        <f>RecData[[#This Row],[Amb. Humidity]]</f>
        <v>66</v>
      </c>
      <c r="CP983" s="16">
        <f>RecData[[#This Row],[Amb. Temperature]]</f>
        <v>13.9</v>
      </c>
      <c r="CQ983" s="17">
        <f>RecData[[#This Row],[Amb. Rain Gauge]]</f>
        <v>0</v>
      </c>
      <c r="CR983" s="4" t="s">
        <v>1</v>
      </c>
      <c r="CS983" s="4" t="s">
        <v>49</v>
      </c>
      <c r="CT983" s="70">
        <v>1606.62854003906</v>
      </c>
      <c r="CU983" s="70">
        <v>36.0003051757812</v>
      </c>
      <c r="CV983" s="70">
        <v>11.514792442321699</v>
      </c>
      <c r="CW983" s="70">
        <v>15.2196493148803</v>
      </c>
      <c r="CX983" s="4"/>
      <c r="CY983" s="69"/>
      <c r="CZ983" s="2" t="b">
        <f>IF($DP$1="YES",IF(RecData[[#This Row],[Power (kW)]]&gt;=$CR$3, TRUE,FALSE),TRUE)</f>
        <v>1</v>
      </c>
      <c r="DA983" s="16">
        <f>MIN(MOD(180-ABS(ABS($DA$1-RecData[Yaw Angle (°)])-180),360),MOD(180-ABS(ABS($DB$1-RecData[Yaw Angle (°)])-180),360))</f>
        <v>28.470378398093658</v>
      </c>
      <c r="DB983" s="2" t="str">
        <f>IF($DP$2="None","None",IF(RecData[[#This Row],[Relative Wind Direction]]&lt;=45,"DW",IF(RecData[[#This Row],[Relative Wind Direction]]&lt;=135,"CW","UW")))</f>
        <v>DW</v>
      </c>
      <c r="DC983" s="61">
        <v>-1</v>
      </c>
      <c r="DD983" s="61">
        <v>-1</v>
      </c>
      <c r="DE983" s="18" t="b">
        <v>0</v>
      </c>
      <c r="DF983" s="2" t="b">
        <f>IF(OR(RecData[[#This Row],[WSpd_Avg '[m/s']]]-RecData[[#This Row],[Wind Speed min]]&gt;=$DF$3,RecData[[#This Row],[Wind Speed max]]-RecData[[#This Row],[WSpd_Avg '[m/s']]]&gt;=$DF$2),TRUE,FALSE)</f>
        <v>0</v>
      </c>
      <c r="DG983" s="2" t="b">
        <f>RecData[[#This Row],[Temperature '[°C']]]&lt;=-20</f>
        <v>0</v>
      </c>
      <c r="DH983" s="18" t="b">
        <f>NOT(OR(MOD(RecData[[#This Row],[TIMESTAMP]],1)&gt;0.91632,MOD(RecData[[#This Row],[TIMESTAMP]],1)&lt;0.208681))</f>
        <v>0</v>
      </c>
      <c r="DI983" s="18" t="b">
        <f>RecData[[#This Row],[Overall (dBA)]]-RecData[[#This Row],[L90]]&gt;=$DS$4</f>
        <v>0</v>
      </c>
      <c r="DJ983" s="18" t="b">
        <f>RecData[[#This Row],[Overall (dBA)]]&gt;$DS$2</f>
        <v>0</v>
      </c>
      <c r="DK983" s="18" t="b">
        <f>RecData[[#This Row],[Overall (dBA)]]&lt;$DS$3</f>
        <v>0</v>
      </c>
      <c r="DL9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3" s="2">
        <f>IF(AND(RecData[[#This Row],[Turbines ON/OFF]] = "OFF", NOT(OR(RecData[[#This Row],[Junk?]]="YES",RecData[[#This Row],[Gust?]],RecData[[#This Row],[Rain?]:[Min SPL Threshold?]]))),1,0)</f>
        <v>0</v>
      </c>
      <c r="DN983" s="16">
        <f>RecData[[#This Row],[dBA Sum]]</f>
        <v>39.32577623980292</v>
      </c>
      <c r="DO983" s="16">
        <f>RecData[[#This Row],[LAF90.0]]</f>
        <v>38.6</v>
      </c>
      <c r="DP983" s="55">
        <f>IF(AND(RecData[[#This Row],[Useable TON Data?]],RecData[[#This Row],[Turbines ON/OFF]]="ON"),RecData[[#This Row],[dBA Sum]],"")</f>
        <v>39.32577623980292</v>
      </c>
      <c r="DQ983" s="55" t="str">
        <f>IF(AND(RecData[[#This Row],[Useable Background Data?]],RecData[[#This Row],[Turbines ON/OFF]]="OFF"),RecData[[#This Row],[dBA Sum]],"")</f>
        <v/>
      </c>
      <c r="DR983" s="3">
        <f>IF(OR(RecData[[#This Row],[Useable TON Data?]],RecData[[#This Row],[Useable Background Data?]]),ROUND(RecData[[#This Row],[WSpd_Avg '[m/s']]],0),"")</f>
        <v>2</v>
      </c>
      <c r="DS983" s="85">
        <f>(0.00002)^2*(10^(RecData[[#This Row],[Overall (dBA)]]/10))</f>
        <v>3.4248189299975526E-6</v>
      </c>
    </row>
    <row r="984" spans="1:123" ht="15" x14ac:dyDescent="0.25">
      <c r="A984" s="3" t="s">
        <v>249</v>
      </c>
      <c r="B984" s="12">
        <v>43275.05069444445</v>
      </c>
      <c r="C984" s="3"/>
      <c r="D984" s="3">
        <v>41.3</v>
      </c>
      <c r="E984" s="3"/>
      <c r="F984" s="3"/>
      <c r="G984" s="3"/>
      <c r="H984" s="3"/>
      <c r="I984" s="3"/>
      <c r="J984" s="3"/>
      <c r="K984" s="3">
        <v>39.799999999999997</v>
      </c>
      <c r="L984" s="3"/>
      <c r="M984" s="3"/>
      <c r="N984" s="3">
        <v>176.1</v>
      </c>
      <c r="O984" s="3"/>
      <c r="P984" s="3"/>
      <c r="Q984" s="3">
        <v>1.01</v>
      </c>
      <c r="R984" s="3">
        <v>0.1</v>
      </c>
      <c r="S984" s="3">
        <v>2</v>
      </c>
      <c r="T984" s="3">
        <v>13.9</v>
      </c>
      <c r="U984" s="3">
        <v>65.900000000000006</v>
      </c>
      <c r="V984" s="3">
        <v>967</v>
      </c>
      <c r="W984" s="3">
        <v>0</v>
      </c>
      <c r="X984" s="3">
        <v>48.9</v>
      </c>
      <c r="Y984" s="3">
        <v>47.7</v>
      </c>
      <c r="Z984" s="3">
        <v>47.6</v>
      </c>
      <c r="AA984" s="3">
        <v>44.8</v>
      </c>
      <c r="AB984" s="3">
        <v>39.799999999999997</v>
      </c>
      <c r="AC984" s="3">
        <v>38.5</v>
      </c>
      <c r="AD984" s="3">
        <v>41.5</v>
      </c>
      <c r="AE984" s="3">
        <v>42.3</v>
      </c>
      <c r="AF984" s="3">
        <v>46</v>
      </c>
      <c r="AG984" s="3">
        <v>41.4</v>
      </c>
      <c r="AH984" s="3">
        <v>38.1</v>
      </c>
      <c r="AI984" s="3">
        <v>38.5</v>
      </c>
      <c r="AJ984" s="3">
        <v>36.6</v>
      </c>
      <c r="AK984" s="3">
        <v>34.9</v>
      </c>
      <c r="AL984" s="3">
        <v>33</v>
      </c>
      <c r="AM984" s="3">
        <v>32.700000000000003</v>
      </c>
      <c r="AN984" s="3">
        <v>31.4</v>
      </c>
      <c r="AO984" s="3">
        <v>29.5</v>
      </c>
      <c r="AP984" s="3">
        <v>28.2</v>
      </c>
      <c r="AQ984" s="3">
        <v>27.8</v>
      </c>
      <c r="AR984" s="3">
        <v>27.2</v>
      </c>
      <c r="AS984" s="3">
        <v>26.7</v>
      </c>
      <c r="AT984" s="3">
        <v>26.2</v>
      </c>
      <c r="AU984" s="3">
        <v>23.4</v>
      </c>
      <c r="AV984" s="3">
        <v>21.2</v>
      </c>
      <c r="AW984" s="3">
        <v>19.5</v>
      </c>
      <c r="AX984" s="3">
        <v>14.8</v>
      </c>
      <c r="AY984" s="3">
        <v>12.6</v>
      </c>
      <c r="AZ984" s="3">
        <v>0</v>
      </c>
      <c r="BA984" s="3">
        <v>0</v>
      </c>
      <c r="BB984" s="3">
        <v>0</v>
      </c>
      <c r="BC984" s="3">
        <v>41.319920158740757</v>
      </c>
      <c r="BD984" s="3">
        <v>48.880079841259231</v>
      </c>
      <c r="BE984" s="3">
        <v>47.680079841259243</v>
      </c>
      <c r="BF984" s="3">
        <v>46.340079841259239</v>
      </c>
      <c r="BG984" s="3">
        <v>43.86674650792591</v>
      </c>
      <c r="BH984" s="3">
        <v>39.006746507925897</v>
      </c>
      <c r="BI984" s="3">
        <v>38.120079841259241</v>
      </c>
      <c r="BJ984" s="3">
        <v>41.913413174592563</v>
      </c>
      <c r="BK984" s="3">
        <v>42.586746507925909</v>
      </c>
      <c r="BL984" s="3">
        <v>45.86007984125925</v>
      </c>
      <c r="BM984" s="3">
        <v>41.393413174592581</v>
      </c>
      <c r="BN984" s="3">
        <v>38.376746507925901</v>
      </c>
      <c r="BO984" s="3">
        <v>38.143413174592581</v>
      </c>
      <c r="BP984" s="3">
        <v>35.960079841259244</v>
      </c>
      <c r="BQ984" s="3">
        <v>34.676746507925898</v>
      </c>
      <c r="BR984" s="3">
        <v>33.103413174592575</v>
      </c>
      <c r="BS984" s="3">
        <v>32.606746507925919</v>
      </c>
      <c r="BT984" s="3">
        <v>31.503413174592566</v>
      </c>
      <c r="BU984" s="3">
        <v>29.570079841259243</v>
      </c>
      <c r="BV984" s="3">
        <v>27.986746507925915</v>
      </c>
      <c r="BW984" s="3">
        <v>28.120079841259241</v>
      </c>
      <c r="BX984" s="3">
        <v>27.440079841259248</v>
      </c>
      <c r="BY984" s="3">
        <v>26.760079841259241</v>
      </c>
      <c r="BZ984" s="3">
        <v>26.390079841259251</v>
      </c>
      <c r="CA984" s="3">
        <v>23.690079841259234</v>
      </c>
      <c r="CB984" s="3">
        <v>20.926746507925905</v>
      </c>
      <c r="CC984" s="3">
        <v>19.440079841259234</v>
      </c>
      <c r="CD984" s="3">
        <v>14.04674650792591</v>
      </c>
      <c r="CE984" s="3">
        <v>12.040079841259242</v>
      </c>
      <c r="CF984" s="3">
        <v>-0.94658682540742944</v>
      </c>
      <c r="CG984" s="3">
        <v>-1.4799201587407609</v>
      </c>
      <c r="CH984" s="3">
        <v>-2.5565868254074289</v>
      </c>
      <c r="CI984" s="13">
        <f>[1]!dbasum(RecData[[#This Row],[20]:[2000]],RecData[[#Headers],[20]:[2000]])</f>
        <v>40.678356128233929</v>
      </c>
      <c r="CJ984" s="14">
        <v>10370</v>
      </c>
      <c r="CK984" s="15" t="s">
        <v>249</v>
      </c>
      <c r="CL984" s="15">
        <f>RecData[[#This Row],[Start Time]]</f>
        <v>43275.05069444445</v>
      </c>
      <c r="CM984" s="16">
        <f>RecData[[#This Row],[Wind Speed avg]]</f>
        <v>1.01</v>
      </c>
      <c r="CN984" s="16">
        <f>RecData[[#This Row],[Wind Dir. avg]]</f>
        <v>176.1</v>
      </c>
      <c r="CO984" s="16">
        <f>RecData[[#This Row],[Amb. Humidity]]</f>
        <v>65.900000000000006</v>
      </c>
      <c r="CP984" s="16">
        <f>RecData[[#This Row],[Amb. Temperature]]</f>
        <v>13.9</v>
      </c>
      <c r="CQ984" s="17">
        <f>RecData[[#This Row],[Amb. Rain Gauge]]</f>
        <v>0</v>
      </c>
      <c r="CR984" s="4" t="s">
        <v>1</v>
      </c>
      <c r="CS984" s="4" t="s">
        <v>49</v>
      </c>
      <c r="CT984" s="70">
        <v>1606.62854003906</v>
      </c>
      <c r="CU984" s="70">
        <v>36.0003051757812</v>
      </c>
      <c r="CV984" s="70">
        <v>11.514792442321699</v>
      </c>
      <c r="CW984" s="70">
        <v>15.2196493148803</v>
      </c>
      <c r="CX984" s="4"/>
      <c r="CY984" s="69"/>
      <c r="CZ984" s="2" t="b">
        <f>IF($DP$1="YES",IF(RecData[[#This Row],[Power (kW)]]&gt;=$CR$3, TRUE,FALSE),TRUE)</f>
        <v>1</v>
      </c>
      <c r="DA984" s="16">
        <f>MIN(MOD(180-ABS(ABS($DA$1-RecData[Yaw Angle (°)])-180),360),MOD(180-ABS(ABS($DB$1-RecData[Yaw Angle (°)])-180),360))</f>
        <v>28.470378398093658</v>
      </c>
      <c r="DB984" s="2" t="str">
        <f>IF($DP$2="None","None",IF(RecData[[#This Row],[Relative Wind Direction]]&lt;=45,"DW",IF(RecData[[#This Row],[Relative Wind Direction]]&lt;=135,"CW","UW")))</f>
        <v>DW</v>
      </c>
      <c r="DC984" s="61" t="e">
        <f>IF($CL984-$CL983&gt;1/24,#REF!,IF(SUM($CQ983:$CQ984)&gt;$DS$1,$DS$5,DC985-1))</f>
        <v>#REF!</v>
      </c>
      <c r="DD984" s="61">
        <f>IF($CL985-$CL984&gt;1/24,#REF!,IF(SUM($CQ983:$CQ984)&gt;$DS$1,$DS$6,DD983-1))</f>
        <v>-2</v>
      </c>
      <c r="DE984" s="18" t="b">
        <v>0</v>
      </c>
      <c r="DF984" s="2" t="b">
        <f>IF(OR(RecData[[#This Row],[WSpd_Avg '[m/s']]]-RecData[[#This Row],[Wind Speed min]]&gt;=$DF$3,RecData[[#This Row],[Wind Speed max]]-RecData[[#This Row],[WSpd_Avg '[m/s']]]&gt;=$DF$2),TRUE,FALSE)</f>
        <v>0</v>
      </c>
      <c r="DG984" s="2" t="b">
        <f>RecData[[#This Row],[Temperature '[°C']]]&lt;=-20</f>
        <v>0</v>
      </c>
      <c r="DH984" s="18" t="b">
        <f>NOT(OR(MOD(RecData[[#This Row],[TIMESTAMP]],1)&gt;0.91632,MOD(RecData[[#This Row],[TIMESTAMP]],1)&lt;0.208681))</f>
        <v>0</v>
      </c>
      <c r="DI984" s="18" t="b">
        <f>RecData[[#This Row],[Overall (dBA)]]-RecData[[#This Row],[L90]]&gt;=$DS$4</f>
        <v>0</v>
      </c>
      <c r="DJ984" s="18" t="b">
        <f>RecData[[#This Row],[Overall (dBA)]]&gt;$DS$2</f>
        <v>0</v>
      </c>
      <c r="DK984" s="18" t="b">
        <f>RecData[[#This Row],[Overall (dBA)]]&lt;$DS$3</f>
        <v>0</v>
      </c>
      <c r="DL9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4" s="2">
        <f>IF(AND(RecData[[#This Row],[Turbines ON/OFF]] = "OFF", NOT(OR(RecData[[#This Row],[Junk?]]="YES",RecData[[#This Row],[Gust?]],RecData[[#This Row],[Rain?]:[Min SPL Threshold?]]))),1,0)</f>
        <v>0</v>
      </c>
      <c r="DN984" s="16">
        <f>RecData[[#This Row],[dBA Sum]]</f>
        <v>40.678356128233929</v>
      </c>
      <c r="DO984" s="16">
        <f>RecData[[#This Row],[LAF90.0]]</f>
        <v>39.799999999999997</v>
      </c>
      <c r="DP984" s="55">
        <f>IF(AND(RecData[[#This Row],[Useable TON Data?]],RecData[[#This Row],[Turbines ON/OFF]]="ON"),RecData[[#This Row],[dBA Sum]],"")</f>
        <v>40.678356128233929</v>
      </c>
      <c r="DQ984" s="55" t="str">
        <f>IF(AND(RecData[[#This Row],[Useable Background Data?]],RecData[[#This Row],[Turbines ON/OFF]]="OFF"),RecData[[#This Row],[dBA Sum]],"")</f>
        <v/>
      </c>
      <c r="DR984" s="3">
        <f>IF(OR(RecData[[#This Row],[Useable TON Data?]],RecData[[#This Row],[Useable Background Data?]]),ROUND(RecData[[#This Row],[WSpd_Avg '[m/s']]],0),"")</f>
        <v>1</v>
      </c>
      <c r="DS984" s="85">
        <f>(0.00002)^2*(10^(RecData[[#This Row],[Overall (dBA)]]/10))</f>
        <v>4.6762272047440441E-6</v>
      </c>
    </row>
    <row r="985" spans="1:123" ht="15" x14ac:dyDescent="0.25">
      <c r="A985" s="3" t="s">
        <v>249</v>
      </c>
      <c r="B985" s="12">
        <v>43275.051388888896</v>
      </c>
      <c r="C985" s="3"/>
      <c r="D985" s="3">
        <v>40.6</v>
      </c>
      <c r="E985" s="3"/>
      <c r="F985" s="3"/>
      <c r="G985" s="3"/>
      <c r="H985" s="3"/>
      <c r="I985" s="3"/>
      <c r="J985" s="3"/>
      <c r="K985" s="3">
        <v>39.299999999999997</v>
      </c>
      <c r="L985" s="3"/>
      <c r="M985" s="3"/>
      <c r="N985" s="3">
        <v>201.9</v>
      </c>
      <c r="O985" s="3"/>
      <c r="P985" s="3"/>
      <c r="Q985" s="3">
        <v>1.3</v>
      </c>
      <c r="R985" s="3">
        <v>0.2</v>
      </c>
      <c r="S985" s="3">
        <v>2.7</v>
      </c>
      <c r="T985" s="3">
        <v>13.9</v>
      </c>
      <c r="U985" s="3">
        <v>65.900000000000006</v>
      </c>
      <c r="V985" s="3">
        <v>967</v>
      </c>
      <c r="W985" s="3">
        <v>0</v>
      </c>
      <c r="X985" s="3">
        <v>49</v>
      </c>
      <c r="Y985" s="3">
        <v>48.8</v>
      </c>
      <c r="Z985" s="3">
        <v>48.2</v>
      </c>
      <c r="AA985" s="3">
        <v>44.5</v>
      </c>
      <c r="AB985" s="3">
        <v>39.1</v>
      </c>
      <c r="AC985" s="3">
        <v>38</v>
      </c>
      <c r="AD985" s="3">
        <v>40.5</v>
      </c>
      <c r="AE985" s="3">
        <v>41.4</v>
      </c>
      <c r="AF985" s="3">
        <v>45.6</v>
      </c>
      <c r="AG985" s="3">
        <v>39.700000000000003</v>
      </c>
      <c r="AH985" s="3">
        <v>37.1</v>
      </c>
      <c r="AI985" s="3">
        <v>37.299999999999997</v>
      </c>
      <c r="AJ985" s="3">
        <v>36</v>
      </c>
      <c r="AK985" s="3">
        <v>34.4</v>
      </c>
      <c r="AL985" s="3">
        <v>32.5</v>
      </c>
      <c r="AM985" s="3">
        <v>32.6</v>
      </c>
      <c r="AN985" s="3">
        <v>31</v>
      </c>
      <c r="AO985" s="3">
        <v>28.8</v>
      </c>
      <c r="AP985" s="3">
        <v>27.7</v>
      </c>
      <c r="AQ985" s="3">
        <v>26.5</v>
      </c>
      <c r="AR985" s="3">
        <v>25.7</v>
      </c>
      <c r="AS985" s="3">
        <v>25.2</v>
      </c>
      <c r="AT985" s="3">
        <v>24.8</v>
      </c>
      <c r="AU985" s="3">
        <v>22.7</v>
      </c>
      <c r="AV985" s="3">
        <v>21</v>
      </c>
      <c r="AW985" s="3">
        <v>19.5</v>
      </c>
      <c r="AX985" s="3">
        <v>15.4</v>
      </c>
      <c r="AY985" s="3">
        <v>13.8</v>
      </c>
      <c r="AZ985" s="3">
        <v>0</v>
      </c>
      <c r="BA985" s="3">
        <v>0</v>
      </c>
      <c r="BB985" s="3">
        <v>0</v>
      </c>
      <c r="BC985" s="3">
        <v>40.56899773787508</v>
      </c>
      <c r="BD985" s="3">
        <v>49.031002262124915</v>
      </c>
      <c r="BE985" s="3">
        <v>48.831002262124926</v>
      </c>
      <c r="BF985" s="3">
        <v>46.991002262124923</v>
      </c>
      <c r="BG985" s="3">
        <v>43.617668928791588</v>
      </c>
      <c r="BH985" s="3">
        <v>38.357668928791597</v>
      </c>
      <c r="BI985" s="3">
        <v>37.671002262124929</v>
      </c>
      <c r="BJ985" s="3">
        <v>40.964335595458252</v>
      </c>
      <c r="BK985" s="3">
        <v>41.737668928791592</v>
      </c>
      <c r="BL985" s="3">
        <v>45.511002262124933</v>
      </c>
      <c r="BM985" s="3">
        <v>39.744335595458253</v>
      </c>
      <c r="BN985" s="3">
        <v>37.42766892879159</v>
      </c>
      <c r="BO985" s="3">
        <v>36.994335595458253</v>
      </c>
      <c r="BP985" s="3">
        <v>35.411002262124924</v>
      </c>
      <c r="BQ985" s="3">
        <v>34.227668928791573</v>
      </c>
      <c r="BR985" s="3">
        <v>32.654335595458249</v>
      </c>
      <c r="BS985" s="3">
        <v>32.557668928791585</v>
      </c>
      <c r="BT985" s="3">
        <v>31.154335595458249</v>
      </c>
      <c r="BU985" s="3">
        <v>28.921002262124929</v>
      </c>
      <c r="BV985" s="3">
        <v>27.537668928791589</v>
      </c>
      <c r="BW985" s="3">
        <v>26.871002262124918</v>
      </c>
      <c r="BX985" s="3">
        <v>25.991002262124923</v>
      </c>
      <c r="BY985" s="3">
        <v>25.311002262124916</v>
      </c>
      <c r="BZ985" s="3">
        <v>25.041002262124934</v>
      </c>
      <c r="CA985" s="3">
        <v>23.041002262124913</v>
      </c>
      <c r="CB985" s="3">
        <v>20.777668928791584</v>
      </c>
      <c r="CC985" s="3">
        <v>19.491002262124923</v>
      </c>
      <c r="CD985" s="3">
        <v>14.697668928791593</v>
      </c>
      <c r="CE985" s="3">
        <v>13.29100226212492</v>
      </c>
      <c r="CF985" s="3">
        <v>-0.89566440454174767</v>
      </c>
      <c r="CG985" s="3">
        <v>-1.4289977378750791</v>
      </c>
      <c r="CH985" s="3">
        <v>-2.5056644045417471</v>
      </c>
      <c r="CI985" s="13">
        <f>[1]!dbasum(RecData[[#This Row],[20]:[2000]],RecData[[#Headers],[20]:[2000]])</f>
        <v>40.015072612770275</v>
      </c>
      <c r="CJ985" s="14">
        <v>10371</v>
      </c>
      <c r="CK985" s="15" t="s">
        <v>249</v>
      </c>
      <c r="CL985" s="15">
        <f>RecData[[#This Row],[Start Time]]</f>
        <v>43275.051388888896</v>
      </c>
      <c r="CM985" s="16">
        <f>RecData[[#This Row],[Wind Speed avg]]</f>
        <v>1.3</v>
      </c>
      <c r="CN985" s="16">
        <f>RecData[[#This Row],[Wind Dir. avg]]</f>
        <v>201.9</v>
      </c>
      <c r="CO985" s="16">
        <f>RecData[[#This Row],[Amb. Humidity]]</f>
        <v>65.900000000000006</v>
      </c>
      <c r="CP985" s="16">
        <f>RecData[[#This Row],[Amb. Temperature]]</f>
        <v>13.9</v>
      </c>
      <c r="CQ985" s="17">
        <f>RecData[[#This Row],[Amb. Rain Gauge]]</f>
        <v>0</v>
      </c>
      <c r="CR985" s="4" t="s">
        <v>1</v>
      </c>
      <c r="CS985" s="4" t="s">
        <v>49</v>
      </c>
      <c r="CT985" s="70">
        <v>1606.62854003906</v>
      </c>
      <c r="CU985" s="70">
        <v>36.0003051757812</v>
      </c>
      <c r="CV985" s="70">
        <v>11.514792442321699</v>
      </c>
      <c r="CW985" s="70">
        <v>15.2196493148803</v>
      </c>
      <c r="CX985" s="4"/>
      <c r="CY985" s="69"/>
      <c r="CZ985" s="2" t="b">
        <f>IF($DP$1="YES",IF(RecData[[#This Row],[Power (kW)]]&gt;=$CR$3, TRUE,FALSE),TRUE)</f>
        <v>1</v>
      </c>
      <c r="DA985" s="16">
        <f>MIN(MOD(180-ABS(ABS($DA$1-RecData[Yaw Angle (°)])-180),360),MOD(180-ABS(ABS($DB$1-RecData[Yaw Angle (°)])-180),360))</f>
        <v>28.470378398093658</v>
      </c>
      <c r="DB985" s="2" t="str">
        <f>IF($DP$2="None","None",IF(RecData[[#This Row],[Relative Wind Direction]]&lt;=45,"DW",IF(RecData[[#This Row],[Relative Wind Direction]]&lt;=135,"CW","UW")))</f>
        <v>DW</v>
      </c>
      <c r="DC985" s="61" t="e">
        <f>IF($CL985-$CL983&gt;1/24,#REF!,IF(SUM($CQ983:$CQ985)&gt;$DS$1,$DS$5,DC986-1))</f>
        <v>#REF!</v>
      </c>
      <c r="DD985" s="61">
        <f>IF($CL986-$CL985&gt;1/24,#REF!,IF(SUM($CQ983:$CQ985)&gt;$DS$1,$DS$6,DD984-1))</f>
        <v>-3</v>
      </c>
      <c r="DE985" s="18" t="b">
        <v>0</v>
      </c>
      <c r="DF985" s="2" t="b">
        <f>IF(OR(RecData[[#This Row],[WSpd_Avg '[m/s']]]-RecData[[#This Row],[Wind Speed min]]&gt;=$DF$3,RecData[[#This Row],[Wind Speed max]]-RecData[[#This Row],[WSpd_Avg '[m/s']]]&gt;=$DF$2),TRUE,FALSE)</f>
        <v>0</v>
      </c>
      <c r="DG985" s="2" t="b">
        <f>RecData[[#This Row],[Temperature '[°C']]]&lt;=-20</f>
        <v>0</v>
      </c>
      <c r="DH985" s="18" t="b">
        <f>NOT(OR(MOD(RecData[[#This Row],[TIMESTAMP]],1)&gt;0.91632,MOD(RecData[[#This Row],[TIMESTAMP]],1)&lt;0.208681))</f>
        <v>0</v>
      </c>
      <c r="DI985" s="18" t="b">
        <f>RecData[[#This Row],[Overall (dBA)]]-RecData[[#This Row],[L90]]&gt;=$DS$4</f>
        <v>0</v>
      </c>
      <c r="DJ985" s="18" t="b">
        <f>RecData[[#This Row],[Overall (dBA)]]&gt;$DS$2</f>
        <v>0</v>
      </c>
      <c r="DK985" s="18" t="b">
        <f>RecData[[#This Row],[Overall (dBA)]]&lt;$DS$3</f>
        <v>0</v>
      </c>
      <c r="DL9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5" s="2">
        <f>IF(AND(RecData[[#This Row],[Turbines ON/OFF]] = "OFF", NOT(OR(RecData[[#This Row],[Junk?]]="YES",RecData[[#This Row],[Gust?]],RecData[[#This Row],[Rain?]:[Min SPL Threshold?]]))),1,0)</f>
        <v>0</v>
      </c>
      <c r="DN985" s="16">
        <f>RecData[[#This Row],[dBA Sum]]</f>
        <v>40.015072612770275</v>
      </c>
      <c r="DO985" s="16">
        <f>RecData[[#This Row],[LAF90.0]]</f>
        <v>39.299999999999997</v>
      </c>
      <c r="DP985" s="55">
        <f>IF(AND(RecData[[#This Row],[Useable TON Data?]],RecData[[#This Row],[Turbines ON/OFF]]="ON"),RecData[[#This Row],[dBA Sum]],"")</f>
        <v>40.015072612770275</v>
      </c>
      <c r="DQ985" s="55" t="str">
        <f>IF(AND(RecData[[#This Row],[Useable Background Data?]],RecData[[#This Row],[Turbines ON/OFF]]="OFF"),RecData[[#This Row],[dBA Sum]],"")</f>
        <v/>
      </c>
      <c r="DR985" s="3">
        <f>IF(OR(RecData[[#This Row],[Useable TON Data?]],RecData[[#This Row],[Useable Background Data?]]),ROUND(RecData[[#This Row],[WSpd_Avg '[m/s']]],0),"")</f>
        <v>1</v>
      </c>
      <c r="DS985" s="85">
        <f>(0.00002)^2*(10^(RecData[[#This Row],[Overall (dBA)]]/10))</f>
        <v>4.0139065073760265E-6</v>
      </c>
    </row>
    <row r="986" spans="1:123" ht="15" x14ac:dyDescent="0.25">
      <c r="A986" s="3" t="s">
        <v>249</v>
      </c>
      <c r="B986" s="12">
        <v>43275.052083333336</v>
      </c>
      <c r="C986" s="3"/>
      <c r="D986" s="3">
        <v>41</v>
      </c>
      <c r="E986" s="3"/>
      <c r="F986" s="3"/>
      <c r="G986" s="3"/>
      <c r="H986" s="3"/>
      <c r="I986" s="3"/>
      <c r="J986" s="3"/>
      <c r="K986" s="3">
        <v>39.9</v>
      </c>
      <c r="L986" s="3"/>
      <c r="M986" s="3"/>
      <c r="N986" s="3">
        <v>154.5</v>
      </c>
      <c r="O986" s="3"/>
      <c r="P986" s="3"/>
      <c r="Q986" s="3">
        <v>1.1000000000000001</v>
      </c>
      <c r="R986" s="3">
        <v>0.2</v>
      </c>
      <c r="S986" s="3">
        <v>1.6</v>
      </c>
      <c r="T986" s="3">
        <v>13.9</v>
      </c>
      <c r="U986" s="3">
        <v>66</v>
      </c>
      <c r="V986" s="3">
        <v>967</v>
      </c>
      <c r="W986" s="3">
        <v>0</v>
      </c>
      <c r="X986" s="3">
        <v>48.4</v>
      </c>
      <c r="Y986" s="3">
        <v>47.3</v>
      </c>
      <c r="Z986" s="3">
        <v>47.5</v>
      </c>
      <c r="AA986" s="3">
        <v>44.2</v>
      </c>
      <c r="AB986" s="3">
        <v>38.4</v>
      </c>
      <c r="AC986" s="3">
        <v>38</v>
      </c>
      <c r="AD986" s="3">
        <v>41.2</v>
      </c>
      <c r="AE986" s="3">
        <v>42.5</v>
      </c>
      <c r="AF986" s="3">
        <v>45.2</v>
      </c>
      <c r="AG986" s="3">
        <v>39.9</v>
      </c>
      <c r="AH986" s="3">
        <v>38.1</v>
      </c>
      <c r="AI986" s="3">
        <v>37.4</v>
      </c>
      <c r="AJ986" s="3">
        <v>36.6</v>
      </c>
      <c r="AK986" s="3">
        <v>34.9</v>
      </c>
      <c r="AL986" s="3">
        <v>33.4</v>
      </c>
      <c r="AM986" s="3">
        <v>33.4</v>
      </c>
      <c r="AN986" s="3">
        <v>32.299999999999997</v>
      </c>
      <c r="AO986" s="3">
        <v>29.9</v>
      </c>
      <c r="AP986" s="3">
        <v>28.1</v>
      </c>
      <c r="AQ986" s="3">
        <v>26.9</v>
      </c>
      <c r="AR986" s="3">
        <v>25.4</v>
      </c>
      <c r="AS986" s="3">
        <v>24.2</v>
      </c>
      <c r="AT986" s="3">
        <v>23.5</v>
      </c>
      <c r="AU986" s="3">
        <v>20.7</v>
      </c>
      <c r="AV986" s="3">
        <v>19</v>
      </c>
      <c r="AW986" s="3">
        <v>17.2</v>
      </c>
      <c r="AX986" s="3">
        <v>13.2</v>
      </c>
      <c r="AY986" s="3">
        <v>11.4</v>
      </c>
      <c r="AZ986" s="3">
        <v>0</v>
      </c>
      <c r="BA986" s="3">
        <v>0</v>
      </c>
      <c r="BB986" s="3">
        <v>0</v>
      </c>
      <c r="BC986" s="3">
        <v>40.96274278679509</v>
      </c>
      <c r="BD986" s="3">
        <v>48.437257213204916</v>
      </c>
      <c r="BE986" s="3">
        <v>47.337257213204907</v>
      </c>
      <c r="BF986" s="3">
        <v>46.297257213204901</v>
      </c>
      <c r="BG986" s="3">
        <v>43.323923879871572</v>
      </c>
      <c r="BH986" s="3">
        <v>37.663923879871575</v>
      </c>
      <c r="BI986" s="3">
        <v>37.677257213204911</v>
      </c>
      <c r="BJ986" s="3">
        <v>41.670590546538236</v>
      </c>
      <c r="BK986" s="3">
        <v>42.843923879871582</v>
      </c>
      <c r="BL986" s="3">
        <v>45.117257213204923</v>
      </c>
      <c r="BM986" s="3">
        <v>39.950590546538237</v>
      </c>
      <c r="BN986" s="3">
        <v>38.433923879871585</v>
      </c>
      <c r="BO986" s="3">
        <v>37.100590546538243</v>
      </c>
      <c r="BP986" s="3">
        <v>36.017257213204914</v>
      </c>
      <c r="BQ986" s="3">
        <v>34.733923879871568</v>
      </c>
      <c r="BR986" s="3">
        <v>33.560590546538251</v>
      </c>
      <c r="BS986" s="3">
        <v>33.363923879871578</v>
      </c>
      <c r="BT986" s="3">
        <v>32.460590546538242</v>
      </c>
      <c r="BU986" s="3">
        <v>30.027257213204919</v>
      </c>
      <c r="BV986" s="3">
        <v>27.943923879871576</v>
      </c>
      <c r="BW986" s="3">
        <v>27.277257213204919</v>
      </c>
      <c r="BX986" s="3">
        <v>25.697257213204907</v>
      </c>
      <c r="BY986" s="3">
        <v>24.317257213204911</v>
      </c>
      <c r="BZ986" s="3">
        <v>23.747257213204918</v>
      </c>
      <c r="CA986" s="3">
        <v>21.047257213204901</v>
      </c>
      <c r="CB986" s="3">
        <v>18.78392387987158</v>
      </c>
      <c r="CC986" s="3">
        <v>17.197257213204907</v>
      </c>
      <c r="CD986" s="3">
        <v>12.503923879871579</v>
      </c>
      <c r="CE986" s="3">
        <v>10.897257213204909</v>
      </c>
      <c r="CF986" s="3">
        <v>-0.88940945346175937</v>
      </c>
      <c r="CG986" s="3">
        <v>-1.4227427867950908</v>
      </c>
      <c r="CH986" s="3">
        <v>-2.4994094534617588</v>
      </c>
      <c r="CI986" s="13">
        <f>[1]!dbasum(RecData[[#This Row],[20]:[2000]],RecData[[#Headers],[20]:[2000]])</f>
        <v>40.620715083593865</v>
      </c>
      <c r="CJ986" s="14">
        <v>10372</v>
      </c>
      <c r="CK986" s="15" t="s">
        <v>249</v>
      </c>
      <c r="CL986" s="15">
        <f>RecData[[#This Row],[Start Time]]</f>
        <v>43275.052083333336</v>
      </c>
      <c r="CM986" s="16">
        <f>RecData[[#This Row],[Wind Speed avg]]</f>
        <v>1.1000000000000001</v>
      </c>
      <c r="CN986" s="16">
        <f>RecData[[#This Row],[Wind Dir. avg]]</f>
        <v>154.5</v>
      </c>
      <c r="CO986" s="16">
        <f>RecData[[#This Row],[Amb. Humidity]]</f>
        <v>66</v>
      </c>
      <c r="CP986" s="16">
        <f>RecData[[#This Row],[Amb. Temperature]]</f>
        <v>13.9</v>
      </c>
      <c r="CQ986" s="17">
        <f>RecData[[#This Row],[Amb. Rain Gauge]]</f>
        <v>0</v>
      </c>
      <c r="CR986" s="4" t="s">
        <v>1</v>
      </c>
      <c r="CS986" s="4" t="s">
        <v>49</v>
      </c>
      <c r="CT986" s="70">
        <v>1606.62854003906</v>
      </c>
      <c r="CU986" s="70">
        <v>36.0003051757812</v>
      </c>
      <c r="CV986" s="70">
        <v>11.514792442321699</v>
      </c>
      <c r="CW986" s="70">
        <v>15.2196493148803</v>
      </c>
      <c r="CX986" s="4"/>
      <c r="CY986" s="69"/>
      <c r="CZ986" s="2" t="b">
        <f>IF($DP$1="YES",IF(RecData[[#This Row],[Power (kW)]]&gt;=$CR$3, TRUE,FALSE),TRUE)</f>
        <v>1</v>
      </c>
      <c r="DA986" s="16">
        <f>MIN(MOD(180-ABS(ABS($DA$1-RecData[Yaw Angle (°)])-180),360),MOD(180-ABS(ABS($DB$1-RecData[Yaw Angle (°)])-180),360))</f>
        <v>28.470378398093658</v>
      </c>
      <c r="DB986" s="2" t="str">
        <f>IF($DP$2="None","None",IF(RecData[[#This Row],[Relative Wind Direction]]&lt;=45,"DW",IF(RecData[[#This Row],[Relative Wind Direction]]&lt;=135,"CW","UW")))</f>
        <v>DW</v>
      </c>
      <c r="DC986" s="61" t="e">
        <f>IF($CL986-$CL983&gt;1/24,#REF!,IF(SUM($CQ983:$CQ986)&gt;$DS$1,$DS$5,DC987-1))</f>
        <v>#REF!</v>
      </c>
      <c r="DD986" s="61">
        <f>IF($CL987-$CL986&gt;1/24,#REF!,IF(SUM($CQ983:$CQ986)&gt;$DS$1,$DS$6,DD985-1))</f>
        <v>-4</v>
      </c>
      <c r="DE986" s="18" t="b">
        <v>0</v>
      </c>
      <c r="DF986" s="2" t="b">
        <f>IF(OR(RecData[[#This Row],[WSpd_Avg '[m/s']]]-RecData[[#This Row],[Wind Speed min]]&gt;=$DF$3,RecData[[#This Row],[Wind Speed max]]-RecData[[#This Row],[WSpd_Avg '[m/s']]]&gt;=$DF$2),TRUE,FALSE)</f>
        <v>0</v>
      </c>
      <c r="DG986" s="2" t="b">
        <f>RecData[[#This Row],[Temperature '[°C']]]&lt;=-20</f>
        <v>0</v>
      </c>
      <c r="DH986" s="18" t="b">
        <f>NOT(OR(MOD(RecData[[#This Row],[TIMESTAMP]],1)&gt;0.91632,MOD(RecData[[#This Row],[TIMESTAMP]],1)&lt;0.208681))</f>
        <v>0</v>
      </c>
      <c r="DI986" s="18" t="b">
        <f>RecData[[#This Row],[Overall (dBA)]]-RecData[[#This Row],[L90]]&gt;=$DS$4</f>
        <v>0</v>
      </c>
      <c r="DJ986" s="18" t="b">
        <f>RecData[[#This Row],[Overall (dBA)]]&gt;$DS$2</f>
        <v>0</v>
      </c>
      <c r="DK986" s="18" t="b">
        <f>RecData[[#This Row],[Overall (dBA)]]&lt;$DS$3</f>
        <v>0</v>
      </c>
      <c r="DL9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6" s="2">
        <f>IF(AND(RecData[[#This Row],[Turbines ON/OFF]] = "OFF", NOT(OR(RecData[[#This Row],[Junk?]]="YES",RecData[[#This Row],[Gust?]],RecData[[#This Row],[Rain?]:[Min SPL Threshold?]]))),1,0)</f>
        <v>0</v>
      </c>
      <c r="DN986" s="16">
        <f>RecData[[#This Row],[dBA Sum]]</f>
        <v>40.620715083593865</v>
      </c>
      <c r="DO986" s="16">
        <f>RecData[[#This Row],[LAF90.0]]</f>
        <v>39.9</v>
      </c>
      <c r="DP986" s="55">
        <f>IF(AND(RecData[[#This Row],[Useable TON Data?]],RecData[[#This Row],[Turbines ON/OFF]]="ON"),RecData[[#This Row],[dBA Sum]],"")</f>
        <v>40.620715083593865</v>
      </c>
      <c r="DQ986" s="55" t="str">
        <f>IF(AND(RecData[[#This Row],[Useable Background Data?]],RecData[[#This Row],[Turbines ON/OFF]]="OFF"),RecData[[#This Row],[dBA Sum]],"")</f>
        <v/>
      </c>
      <c r="DR986" s="3">
        <f>IF(OR(RecData[[#This Row],[Useable TON Data?]],RecData[[#This Row],[Useable Background Data?]]),ROUND(RecData[[#This Row],[WSpd_Avg '[m/s']]],0),"")</f>
        <v>1</v>
      </c>
      <c r="DS986" s="85">
        <f>(0.00002)^2*(10^(RecData[[#This Row],[Overall (dBA)]]/10))</f>
        <v>4.6145727769810558E-6</v>
      </c>
    </row>
    <row r="987" spans="1:123" ht="15" x14ac:dyDescent="0.25">
      <c r="A987" s="3" t="s">
        <v>249</v>
      </c>
      <c r="B987" s="12">
        <v>43275.052777777782</v>
      </c>
      <c r="C987" s="3"/>
      <c r="D987" s="3">
        <v>39.200000000000003</v>
      </c>
      <c r="E987" s="3"/>
      <c r="F987" s="3"/>
      <c r="G987" s="3"/>
      <c r="H987" s="3"/>
      <c r="I987" s="3"/>
      <c r="J987" s="3"/>
      <c r="K987" s="3">
        <v>37.799999999999997</v>
      </c>
      <c r="L987" s="3"/>
      <c r="M987" s="3"/>
      <c r="N987" s="3">
        <v>193.4</v>
      </c>
      <c r="O987" s="3"/>
      <c r="P987" s="3"/>
      <c r="Q987" s="3">
        <v>1.27</v>
      </c>
      <c r="R987" s="3">
        <v>0.2</v>
      </c>
      <c r="S987" s="3">
        <v>1.9</v>
      </c>
      <c r="T987" s="3">
        <v>13.9</v>
      </c>
      <c r="U987" s="3">
        <v>65.7</v>
      </c>
      <c r="V987" s="3">
        <v>967</v>
      </c>
      <c r="W987" s="3">
        <v>0</v>
      </c>
      <c r="X987" s="3">
        <v>47</v>
      </c>
      <c r="Y987" s="3">
        <v>46.8</v>
      </c>
      <c r="Z987" s="3">
        <v>45.9</v>
      </c>
      <c r="AA987" s="3">
        <v>42</v>
      </c>
      <c r="AB987" s="3">
        <v>37</v>
      </c>
      <c r="AC987" s="3">
        <v>36.200000000000003</v>
      </c>
      <c r="AD987" s="3">
        <v>38.9</v>
      </c>
      <c r="AE987" s="3">
        <v>39.5</v>
      </c>
      <c r="AF987" s="3">
        <v>44.6</v>
      </c>
      <c r="AG987" s="3">
        <v>38.6</v>
      </c>
      <c r="AH987" s="3">
        <v>35.6</v>
      </c>
      <c r="AI987" s="3">
        <v>35.9</v>
      </c>
      <c r="AJ987" s="3">
        <v>34.700000000000003</v>
      </c>
      <c r="AK987" s="3">
        <v>33</v>
      </c>
      <c r="AL987" s="3">
        <v>31.4</v>
      </c>
      <c r="AM987" s="3">
        <v>31.5</v>
      </c>
      <c r="AN987" s="3">
        <v>30</v>
      </c>
      <c r="AO987" s="3">
        <v>27.6</v>
      </c>
      <c r="AP987" s="3">
        <v>26.3</v>
      </c>
      <c r="AQ987" s="3">
        <v>24.7</v>
      </c>
      <c r="AR987" s="3">
        <v>23.6</v>
      </c>
      <c r="AS987" s="3">
        <v>22.6</v>
      </c>
      <c r="AT987" s="3">
        <v>22.2</v>
      </c>
      <c r="AU987" s="3">
        <v>20.5</v>
      </c>
      <c r="AV987" s="3">
        <v>19.3</v>
      </c>
      <c r="AW987" s="3">
        <v>18.100000000000001</v>
      </c>
      <c r="AX987" s="3">
        <v>14.3</v>
      </c>
      <c r="AY987" s="3">
        <v>12.6</v>
      </c>
      <c r="AZ987" s="3">
        <v>0</v>
      </c>
      <c r="BA987" s="3">
        <v>0</v>
      </c>
      <c r="BB987" s="3">
        <v>0</v>
      </c>
      <c r="BC987" s="3">
        <v>39.172000942206402</v>
      </c>
      <c r="BD987" s="3">
        <v>47.0279990577936</v>
      </c>
      <c r="BE987" s="3">
        <v>46.827999057793598</v>
      </c>
      <c r="BF987" s="3">
        <v>44.687999057793597</v>
      </c>
      <c r="BG987" s="3">
        <v>41.114665724460259</v>
      </c>
      <c r="BH987" s="3">
        <v>36.254665724460274</v>
      </c>
      <c r="BI987" s="3">
        <v>35.867999057793604</v>
      </c>
      <c r="BJ987" s="3">
        <v>39.361332391126929</v>
      </c>
      <c r="BK987" s="3">
        <v>39.834665724460258</v>
      </c>
      <c r="BL987" s="3">
        <v>44.507999057793604</v>
      </c>
      <c r="BM987" s="3">
        <v>38.64133239112693</v>
      </c>
      <c r="BN987" s="3">
        <v>35.924665724460262</v>
      </c>
      <c r="BO987" s="3">
        <v>35.591332391126933</v>
      </c>
      <c r="BP987" s="3">
        <v>34.107999057793599</v>
      </c>
      <c r="BQ987" s="3">
        <v>32.824665724460267</v>
      </c>
      <c r="BR987" s="3">
        <v>31.551332391126927</v>
      </c>
      <c r="BS987" s="3">
        <v>31.454665724460263</v>
      </c>
      <c r="BT987" s="3">
        <v>30.151332391126935</v>
      </c>
      <c r="BU987" s="3">
        <v>27.717999057793612</v>
      </c>
      <c r="BV987" s="3">
        <v>26.13466572446027</v>
      </c>
      <c r="BW987" s="3">
        <v>25.067999057793607</v>
      </c>
      <c r="BX987" s="3">
        <v>23.887999057793607</v>
      </c>
      <c r="BY987" s="3">
        <v>22.7079990577936</v>
      </c>
      <c r="BZ987" s="3">
        <v>22.437999057793604</v>
      </c>
      <c r="CA987" s="3">
        <v>20.837999057793589</v>
      </c>
      <c r="CB987" s="3">
        <v>19.074665724460267</v>
      </c>
      <c r="CC987" s="3">
        <v>18.087999057793603</v>
      </c>
      <c r="CD987" s="3">
        <v>13.59466572446027</v>
      </c>
      <c r="CE987" s="3">
        <v>12.087999057793603</v>
      </c>
      <c r="CF987" s="3">
        <v>-0.89866760887306896</v>
      </c>
      <c r="CG987" s="3">
        <v>-1.4320009422064004</v>
      </c>
      <c r="CH987" s="3">
        <v>-2.5086676088730684</v>
      </c>
      <c r="CI987" s="13">
        <f>[1]!dbasum(RecData[[#This Row],[20]:[2000]],RecData[[#Headers],[20]:[2000]])</f>
        <v>38.718159436146465</v>
      </c>
      <c r="CJ987" s="14">
        <v>10373</v>
      </c>
      <c r="CK987" s="15" t="s">
        <v>249</v>
      </c>
      <c r="CL987" s="15">
        <f>RecData[[#This Row],[Start Time]]</f>
        <v>43275.052777777782</v>
      </c>
      <c r="CM987" s="16">
        <f>RecData[[#This Row],[Wind Speed avg]]</f>
        <v>1.27</v>
      </c>
      <c r="CN987" s="16">
        <f>RecData[[#This Row],[Wind Dir. avg]]</f>
        <v>193.4</v>
      </c>
      <c r="CO987" s="16">
        <f>RecData[[#This Row],[Amb. Humidity]]</f>
        <v>65.7</v>
      </c>
      <c r="CP987" s="16">
        <f>RecData[[#This Row],[Amb. Temperature]]</f>
        <v>13.9</v>
      </c>
      <c r="CQ987" s="17">
        <f>RecData[[#This Row],[Amb. Rain Gauge]]</f>
        <v>0</v>
      </c>
      <c r="CR987" s="4" t="s">
        <v>1</v>
      </c>
      <c r="CS987" s="4" t="s">
        <v>49</v>
      </c>
      <c r="CT987" s="70">
        <v>1606.62854003906</v>
      </c>
      <c r="CU987" s="70">
        <v>36.0003051757812</v>
      </c>
      <c r="CV987" s="70">
        <v>11.514792442321699</v>
      </c>
      <c r="CW987" s="70">
        <v>15.2196493148803</v>
      </c>
      <c r="CX987" s="4"/>
      <c r="CY987" s="69"/>
      <c r="CZ987" s="2" t="b">
        <f>IF($DP$1="YES",IF(RecData[[#This Row],[Power (kW)]]&gt;=$CR$3, TRUE,FALSE),TRUE)</f>
        <v>1</v>
      </c>
      <c r="DA987" s="16">
        <f>MIN(MOD(180-ABS(ABS($DA$1-RecData[Yaw Angle (°)])-180),360),MOD(180-ABS(ABS($DB$1-RecData[Yaw Angle (°)])-180),360))</f>
        <v>28.470378398093658</v>
      </c>
      <c r="DB987" s="2" t="str">
        <f>IF($DP$2="None","None",IF(RecData[[#This Row],[Relative Wind Direction]]&lt;=45,"DW",IF(RecData[[#This Row],[Relative Wind Direction]]&lt;=135,"CW","UW")))</f>
        <v>DW</v>
      </c>
      <c r="DC987" s="61" t="e">
        <f>IF($CL987-$CL983&gt;1/24,#REF!,IF(SUM($CQ983:$CQ987)&gt;$DS$1,$DS$5,DC988-1))</f>
        <v>#REF!</v>
      </c>
      <c r="DD987" s="61">
        <f>IF($CL988-$CL987&gt;1/24,#REF!,IF(SUM($CQ983:$CQ987)&gt;$DS$1,$DS$6,DD986-1))</f>
        <v>-5</v>
      </c>
      <c r="DE987" s="18" t="b">
        <v>0</v>
      </c>
      <c r="DF987" s="2" t="b">
        <f>IF(OR(RecData[[#This Row],[WSpd_Avg '[m/s']]]-RecData[[#This Row],[Wind Speed min]]&gt;=$DF$3,RecData[[#This Row],[Wind Speed max]]-RecData[[#This Row],[WSpd_Avg '[m/s']]]&gt;=$DF$2),TRUE,FALSE)</f>
        <v>0</v>
      </c>
      <c r="DG987" s="2" t="b">
        <f>RecData[[#This Row],[Temperature '[°C']]]&lt;=-20</f>
        <v>0</v>
      </c>
      <c r="DH987" s="18" t="b">
        <f>NOT(OR(MOD(RecData[[#This Row],[TIMESTAMP]],1)&gt;0.91632,MOD(RecData[[#This Row],[TIMESTAMP]],1)&lt;0.208681))</f>
        <v>0</v>
      </c>
      <c r="DI987" s="18" t="b">
        <f>RecData[[#This Row],[Overall (dBA)]]-RecData[[#This Row],[L90]]&gt;=$DS$4</f>
        <v>0</v>
      </c>
      <c r="DJ987" s="18" t="b">
        <f>RecData[[#This Row],[Overall (dBA)]]&gt;$DS$2</f>
        <v>0</v>
      </c>
      <c r="DK987" s="18" t="b">
        <f>RecData[[#This Row],[Overall (dBA)]]&lt;$DS$3</f>
        <v>0</v>
      </c>
      <c r="DL9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7" s="2">
        <f>IF(AND(RecData[[#This Row],[Turbines ON/OFF]] = "OFF", NOT(OR(RecData[[#This Row],[Junk?]]="YES",RecData[[#This Row],[Gust?]],RecData[[#This Row],[Rain?]:[Min SPL Threshold?]]))),1,0)</f>
        <v>0</v>
      </c>
      <c r="DN987" s="16">
        <f>RecData[[#This Row],[dBA Sum]]</f>
        <v>38.718159436146465</v>
      </c>
      <c r="DO987" s="16">
        <f>RecData[[#This Row],[LAF90.0]]</f>
        <v>37.799999999999997</v>
      </c>
      <c r="DP987" s="55">
        <f>IF(AND(RecData[[#This Row],[Useable TON Data?]],RecData[[#This Row],[Turbines ON/OFF]]="ON"),RecData[[#This Row],[dBA Sum]],"")</f>
        <v>38.718159436146465</v>
      </c>
      <c r="DQ987" s="55" t="str">
        <f>IF(AND(RecData[[#This Row],[Useable Background Data?]],RecData[[#This Row],[Turbines ON/OFF]]="OFF"),RecData[[#This Row],[dBA Sum]],"")</f>
        <v/>
      </c>
      <c r="DR987" s="3">
        <f>IF(OR(RecData[[#This Row],[Useable TON Data?]],RecData[[#This Row],[Useable Background Data?]]),ROUND(RecData[[#This Row],[WSpd_Avg '[m/s']]],0),"")</f>
        <v>1</v>
      </c>
      <c r="DS987" s="85">
        <f>(0.00002)^2*(10^(RecData[[#This Row],[Overall (dBA)]]/10))</f>
        <v>2.9776656771163656E-6</v>
      </c>
    </row>
    <row r="988" spans="1:123" ht="15" x14ac:dyDescent="0.25">
      <c r="A988" s="3" t="s">
        <v>249</v>
      </c>
      <c r="B988" s="12">
        <v>43275.053472222229</v>
      </c>
      <c r="C988" s="3"/>
      <c r="D988" s="3">
        <v>40</v>
      </c>
      <c r="E988" s="3"/>
      <c r="F988" s="3"/>
      <c r="G988" s="3"/>
      <c r="H988" s="3"/>
      <c r="I988" s="3"/>
      <c r="J988" s="3"/>
      <c r="K988" s="3">
        <v>39</v>
      </c>
      <c r="L988" s="3"/>
      <c r="M988" s="3"/>
      <c r="N988" s="3">
        <v>207.2</v>
      </c>
      <c r="O988" s="3"/>
      <c r="P988" s="3"/>
      <c r="Q988" s="3">
        <v>1.06</v>
      </c>
      <c r="R988" s="3">
        <v>0.1</v>
      </c>
      <c r="S988" s="3">
        <v>1.8</v>
      </c>
      <c r="T988" s="3">
        <v>13.9</v>
      </c>
      <c r="U988" s="3">
        <v>65.599999999999994</v>
      </c>
      <c r="V988" s="3">
        <v>967</v>
      </c>
      <c r="W988" s="3">
        <v>0</v>
      </c>
      <c r="X988" s="3">
        <v>48.1</v>
      </c>
      <c r="Y988" s="3">
        <v>47.3</v>
      </c>
      <c r="Z988" s="3">
        <v>47.2</v>
      </c>
      <c r="AA988" s="3">
        <v>43.1</v>
      </c>
      <c r="AB988" s="3">
        <v>38.1</v>
      </c>
      <c r="AC988" s="3">
        <v>37.4</v>
      </c>
      <c r="AD988" s="3">
        <v>39.5</v>
      </c>
      <c r="AE988" s="3">
        <v>40.700000000000003</v>
      </c>
      <c r="AF988" s="3">
        <v>46.2</v>
      </c>
      <c r="AG988" s="3">
        <v>39.700000000000003</v>
      </c>
      <c r="AH988" s="3">
        <v>36.700000000000003</v>
      </c>
      <c r="AI988" s="3">
        <v>37.1</v>
      </c>
      <c r="AJ988" s="3">
        <v>35.700000000000003</v>
      </c>
      <c r="AK988" s="3">
        <v>34.200000000000003</v>
      </c>
      <c r="AL988" s="3">
        <v>32.299999999999997</v>
      </c>
      <c r="AM988" s="3">
        <v>32</v>
      </c>
      <c r="AN988" s="3">
        <v>30.5</v>
      </c>
      <c r="AO988" s="3">
        <v>28.3</v>
      </c>
      <c r="AP988" s="3">
        <v>26.9</v>
      </c>
      <c r="AQ988" s="3">
        <v>25.5</v>
      </c>
      <c r="AR988" s="3">
        <v>24.1</v>
      </c>
      <c r="AS988" s="3">
        <v>22.9</v>
      </c>
      <c r="AT988" s="3">
        <v>23.7</v>
      </c>
      <c r="AU988" s="3">
        <v>19.5</v>
      </c>
      <c r="AV988" s="3">
        <v>17.600000000000001</v>
      </c>
      <c r="AW988" s="3">
        <v>16</v>
      </c>
      <c r="AX988" s="3">
        <v>12.4</v>
      </c>
      <c r="AY988" s="3">
        <v>11.2</v>
      </c>
      <c r="AZ988" s="3">
        <v>0</v>
      </c>
      <c r="BA988" s="3">
        <v>0</v>
      </c>
      <c r="BB988" s="3">
        <v>0</v>
      </c>
      <c r="BC988" s="3">
        <v>40.005082200834032</v>
      </c>
      <c r="BD988" s="3">
        <v>48.094917799165962</v>
      </c>
      <c r="BE988" s="3">
        <v>47.294917799165965</v>
      </c>
      <c r="BF988" s="3">
        <v>45.954917799165976</v>
      </c>
      <c r="BG988" s="3">
        <v>42.181584465832636</v>
      </c>
      <c r="BH988" s="3">
        <v>37.321584465832636</v>
      </c>
      <c r="BI988" s="3">
        <v>37.03491779916596</v>
      </c>
      <c r="BJ988" s="3">
        <v>39.928251132499305</v>
      </c>
      <c r="BK988" s="3">
        <v>41.001584465832629</v>
      </c>
      <c r="BL988" s="3">
        <v>46.074917799165981</v>
      </c>
      <c r="BM988" s="3">
        <v>39.708251132499306</v>
      </c>
      <c r="BN988" s="3">
        <v>36.991584465832638</v>
      </c>
      <c r="BO988" s="3">
        <v>36.758251132499304</v>
      </c>
      <c r="BP988" s="3">
        <v>35.074917799165981</v>
      </c>
      <c r="BQ988" s="3">
        <v>33.991584465832638</v>
      </c>
      <c r="BR988" s="3">
        <v>32.4182511324993</v>
      </c>
      <c r="BS988" s="3">
        <v>31.92158446583263</v>
      </c>
      <c r="BT988" s="3">
        <v>30.618251132499303</v>
      </c>
      <c r="BU988" s="3">
        <v>28.384917799165969</v>
      </c>
      <c r="BV988" s="3">
        <v>26.701584465832632</v>
      </c>
      <c r="BW988" s="3">
        <v>25.834917799165972</v>
      </c>
      <c r="BX988" s="3">
        <v>24.354917799165982</v>
      </c>
      <c r="BY988" s="3">
        <v>22.974917799165965</v>
      </c>
      <c r="BZ988" s="3">
        <v>23.904917799165972</v>
      </c>
      <c r="CA988" s="3">
        <v>19.804917799165956</v>
      </c>
      <c r="CB988" s="3">
        <v>17.341584465832632</v>
      </c>
      <c r="CC988" s="3">
        <v>15.954917799165969</v>
      </c>
      <c r="CD988" s="3">
        <v>11.66158446583264</v>
      </c>
      <c r="CE988" s="3">
        <v>10.654917799165965</v>
      </c>
      <c r="CF988" s="3">
        <v>-0.93174886750070129</v>
      </c>
      <c r="CG988" s="3">
        <v>-1.4650822008340327</v>
      </c>
      <c r="CH988" s="3">
        <v>-2.5417488675007007</v>
      </c>
      <c r="CI988" s="13">
        <f>[1]!dbasum(RecData[[#This Row],[20]:[2000]],RecData[[#Headers],[20]:[2000]])</f>
        <v>39.584924236431156</v>
      </c>
      <c r="CJ988" s="14">
        <v>10374</v>
      </c>
      <c r="CK988" s="15" t="s">
        <v>249</v>
      </c>
      <c r="CL988" s="15">
        <f>RecData[[#This Row],[Start Time]]</f>
        <v>43275.053472222229</v>
      </c>
      <c r="CM988" s="16">
        <f>RecData[[#This Row],[Wind Speed avg]]</f>
        <v>1.06</v>
      </c>
      <c r="CN988" s="16">
        <f>RecData[[#This Row],[Wind Dir. avg]]</f>
        <v>207.2</v>
      </c>
      <c r="CO988" s="16">
        <f>RecData[[#This Row],[Amb. Humidity]]</f>
        <v>65.599999999999994</v>
      </c>
      <c r="CP988" s="16">
        <f>RecData[[#This Row],[Amb. Temperature]]</f>
        <v>13.9</v>
      </c>
      <c r="CQ988" s="17">
        <f>RecData[[#This Row],[Amb. Rain Gauge]]</f>
        <v>0</v>
      </c>
      <c r="CR988" s="4" t="s">
        <v>1</v>
      </c>
      <c r="CS988" s="4" t="s">
        <v>49</v>
      </c>
      <c r="CT988" s="70">
        <v>1606.62854003906</v>
      </c>
      <c r="CU988" s="70">
        <v>36.0003051757812</v>
      </c>
      <c r="CV988" s="70">
        <v>11.514792442321699</v>
      </c>
      <c r="CW988" s="70">
        <v>15.2196493148803</v>
      </c>
      <c r="CX988" s="4"/>
      <c r="CY988" s="69"/>
      <c r="CZ988" s="2" t="b">
        <f>IF($DP$1="YES",IF(RecData[[#This Row],[Power (kW)]]&gt;=$CR$3, TRUE,FALSE),TRUE)</f>
        <v>1</v>
      </c>
      <c r="DA988" s="16">
        <f>MIN(MOD(180-ABS(ABS($DA$1-RecData[Yaw Angle (°)])-180),360),MOD(180-ABS(ABS($DB$1-RecData[Yaw Angle (°)])-180),360))</f>
        <v>28.470378398093658</v>
      </c>
      <c r="DB988" s="2" t="str">
        <f>IF($DP$2="None","None",IF(RecData[[#This Row],[Relative Wind Direction]]&lt;=45,"DW",IF(RecData[[#This Row],[Relative Wind Direction]]&lt;=135,"CW","UW")))</f>
        <v>DW</v>
      </c>
      <c r="DC988" s="61" t="e">
        <f>IF($CL988-$CL984&gt;1/24,#REF!,IF(SUM($CQ984:$CQ988)&gt;$DS$1,$DS$5,DC989-1))</f>
        <v>#REF!</v>
      </c>
      <c r="DD988" s="61">
        <f>IF($CL989-$CL988&gt;1/24,#REF!,IF(SUM($CQ984:$CQ988)&gt;$DS$1,$DS$6,DD987-1))</f>
        <v>-6</v>
      </c>
      <c r="DE988" s="18" t="b">
        <v>0</v>
      </c>
      <c r="DF988" s="2" t="b">
        <f>IF(OR(RecData[[#This Row],[WSpd_Avg '[m/s']]]-RecData[[#This Row],[Wind Speed min]]&gt;=$DF$3,RecData[[#This Row],[Wind Speed max]]-RecData[[#This Row],[WSpd_Avg '[m/s']]]&gt;=$DF$2),TRUE,FALSE)</f>
        <v>0</v>
      </c>
      <c r="DG988" s="2" t="b">
        <f>RecData[[#This Row],[Temperature '[°C']]]&lt;=-20</f>
        <v>0</v>
      </c>
      <c r="DH988" s="18" t="b">
        <f>NOT(OR(MOD(RecData[[#This Row],[TIMESTAMP]],1)&gt;0.91632,MOD(RecData[[#This Row],[TIMESTAMP]],1)&lt;0.208681))</f>
        <v>0</v>
      </c>
      <c r="DI988" s="18" t="b">
        <f>RecData[[#This Row],[Overall (dBA)]]-RecData[[#This Row],[L90]]&gt;=$DS$4</f>
        <v>0</v>
      </c>
      <c r="DJ988" s="18" t="b">
        <f>RecData[[#This Row],[Overall (dBA)]]&gt;$DS$2</f>
        <v>0</v>
      </c>
      <c r="DK988" s="18" t="b">
        <f>RecData[[#This Row],[Overall (dBA)]]&lt;$DS$3</f>
        <v>0</v>
      </c>
      <c r="DL9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8" s="2">
        <f>IF(AND(RecData[[#This Row],[Turbines ON/OFF]] = "OFF", NOT(OR(RecData[[#This Row],[Junk?]]="YES",RecData[[#This Row],[Gust?]],RecData[[#This Row],[Rain?]:[Min SPL Threshold?]]))),1,0)</f>
        <v>0</v>
      </c>
      <c r="DN988" s="16">
        <f>RecData[[#This Row],[dBA Sum]]</f>
        <v>39.584924236431156</v>
      </c>
      <c r="DO988" s="16">
        <f>RecData[[#This Row],[LAF90.0]]</f>
        <v>39</v>
      </c>
      <c r="DP988" s="55">
        <f>IF(AND(RecData[[#This Row],[Useable TON Data?]],RecData[[#This Row],[Turbines ON/OFF]]="ON"),RecData[[#This Row],[dBA Sum]],"")</f>
        <v>39.584924236431156</v>
      </c>
      <c r="DQ988" s="55" t="str">
        <f>IF(AND(RecData[[#This Row],[Useable Background Data?]],RecData[[#This Row],[Turbines ON/OFF]]="OFF"),RecData[[#This Row],[dBA Sum]],"")</f>
        <v/>
      </c>
      <c r="DR988" s="3">
        <f>IF(OR(RecData[[#This Row],[Useable TON Data?]],RecData[[#This Row],[Useable Background Data?]]),ROUND(RecData[[#This Row],[WSpd_Avg '[m/s']]],0),"")</f>
        <v>1</v>
      </c>
      <c r="DS988" s="85">
        <f>(0.00002)^2*(10^(RecData[[#This Row],[Overall (dBA)]]/10))</f>
        <v>3.6354017753747656E-6</v>
      </c>
    </row>
    <row r="989" spans="1:123" ht="15" x14ac:dyDescent="0.25">
      <c r="A989" s="3" t="s">
        <v>249</v>
      </c>
      <c r="B989" s="12">
        <v>43275.054166666669</v>
      </c>
      <c r="C989" s="3"/>
      <c r="D989" s="3">
        <v>40</v>
      </c>
      <c r="E989" s="3"/>
      <c r="F989" s="3"/>
      <c r="G989" s="3"/>
      <c r="H989" s="3"/>
      <c r="I989" s="3"/>
      <c r="J989" s="3"/>
      <c r="K989" s="3">
        <v>38.9</v>
      </c>
      <c r="L989" s="3"/>
      <c r="M989" s="3"/>
      <c r="N989" s="3">
        <v>160.4</v>
      </c>
      <c r="O989" s="3"/>
      <c r="P989" s="3"/>
      <c r="Q989" s="3">
        <v>1.42</v>
      </c>
      <c r="R989" s="3">
        <v>0.1</v>
      </c>
      <c r="S989" s="3">
        <v>2.6</v>
      </c>
      <c r="T989" s="3">
        <v>13.9</v>
      </c>
      <c r="U989" s="3">
        <v>65.599999999999994</v>
      </c>
      <c r="V989" s="3">
        <v>967</v>
      </c>
      <c r="W989" s="3">
        <v>0</v>
      </c>
      <c r="X989" s="3">
        <v>47.4</v>
      </c>
      <c r="Y989" s="3">
        <v>47.6</v>
      </c>
      <c r="Z989" s="3">
        <v>47.6</v>
      </c>
      <c r="AA989" s="3">
        <v>43.5</v>
      </c>
      <c r="AB989" s="3">
        <v>38.700000000000003</v>
      </c>
      <c r="AC989" s="3">
        <v>37.6</v>
      </c>
      <c r="AD989" s="3">
        <v>39.799999999999997</v>
      </c>
      <c r="AE989" s="3">
        <v>41.1</v>
      </c>
      <c r="AF989" s="3">
        <v>46.1</v>
      </c>
      <c r="AG989" s="3">
        <v>39.5</v>
      </c>
      <c r="AH989" s="3">
        <v>37.1</v>
      </c>
      <c r="AI989" s="3">
        <v>37.4</v>
      </c>
      <c r="AJ989" s="3">
        <v>36.1</v>
      </c>
      <c r="AK989" s="3">
        <v>34.200000000000003</v>
      </c>
      <c r="AL989" s="3">
        <v>32.1</v>
      </c>
      <c r="AM989" s="3">
        <v>31.6</v>
      </c>
      <c r="AN989" s="3">
        <v>30.2</v>
      </c>
      <c r="AO989" s="3">
        <v>27.7</v>
      </c>
      <c r="AP989" s="3">
        <v>26.2</v>
      </c>
      <c r="AQ989" s="3">
        <v>25</v>
      </c>
      <c r="AR989" s="3">
        <v>24.3</v>
      </c>
      <c r="AS989" s="3">
        <v>23.7</v>
      </c>
      <c r="AT989" s="3">
        <v>23.7</v>
      </c>
      <c r="AU989" s="3">
        <v>21.4</v>
      </c>
      <c r="AV989" s="3">
        <v>19.8</v>
      </c>
      <c r="AW989" s="3">
        <v>18.2</v>
      </c>
      <c r="AX989" s="3">
        <v>14.4</v>
      </c>
      <c r="AY989" s="3">
        <v>12.7</v>
      </c>
      <c r="AZ989" s="3">
        <v>0</v>
      </c>
      <c r="BA989" s="3">
        <v>0</v>
      </c>
      <c r="BB989" s="3">
        <v>0</v>
      </c>
      <c r="BC989" s="3">
        <v>39.980822724425373</v>
      </c>
      <c r="BD989" s="3">
        <v>47.419177275574633</v>
      </c>
      <c r="BE989" s="3">
        <v>47.619177275574621</v>
      </c>
      <c r="BF989" s="3">
        <v>46.379177275574627</v>
      </c>
      <c r="BG989" s="3">
        <v>42.6058439422413</v>
      </c>
      <c r="BH989" s="3">
        <v>37.945843942241304</v>
      </c>
      <c r="BI989" s="3">
        <v>37.259177275574636</v>
      </c>
      <c r="BJ989" s="3">
        <v>40.252510608907947</v>
      </c>
      <c r="BK989" s="3">
        <v>41.425843942241293</v>
      </c>
      <c r="BL989" s="3">
        <v>45.999177275574631</v>
      </c>
      <c r="BM989" s="3">
        <v>39.532510608907963</v>
      </c>
      <c r="BN989" s="3">
        <v>37.415843942241302</v>
      </c>
      <c r="BO989" s="3">
        <v>37.08251060890796</v>
      </c>
      <c r="BP989" s="3">
        <v>35.499177275574631</v>
      </c>
      <c r="BQ989" s="3">
        <v>34.015843942241297</v>
      </c>
      <c r="BR989" s="3">
        <v>32.242510608907956</v>
      </c>
      <c r="BS989" s="3">
        <v>31.545843942241298</v>
      </c>
      <c r="BT989" s="3">
        <v>30.342510608907965</v>
      </c>
      <c r="BU989" s="3">
        <v>27.809177275574633</v>
      </c>
      <c r="BV989" s="3">
        <v>26.025843942241288</v>
      </c>
      <c r="BW989" s="3">
        <v>25.359177275574631</v>
      </c>
      <c r="BX989" s="3">
        <v>24.579177275574629</v>
      </c>
      <c r="BY989" s="3">
        <v>23.799177275574628</v>
      </c>
      <c r="BZ989" s="3">
        <v>23.929177275574631</v>
      </c>
      <c r="CA989" s="3">
        <v>21.729177275574621</v>
      </c>
      <c r="CB989" s="3">
        <v>19.565843942241294</v>
      </c>
      <c r="CC989" s="3">
        <v>18.179177275574624</v>
      </c>
      <c r="CD989" s="3">
        <v>13.685843942241299</v>
      </c>
      <c r="CE989" s="3">
        <v>12.179177275574624</v>
      </c>
      <c r="CF989" s="3">
        <v>-0.9074893910920423</v>
      </c>
      <c r="CG989" s="3">
        <v>-1.4408227244253737</v>
      </c>
      <c r="CH989" s="3">
        <v>-2.5174893910920417</v>
      </c>
      <c r="CI989" s="13">
        <f>[1]!dbasum(RecData[[#This Row],[20]:[2000]],RecData[[#Headers],[20]:[2000]])</f>
        <v>39.482540204313921</v>
      </c>
      <c r="CJ989" s="14">
        <v>10375</v>
      </c>
      <c r="CK989" s="15" t="s">
        <v>249</v>
      </c>
      <c r="CL989" s="15">
        <f>RecData[[#This Row],[Start Time]]</f>
        <v>43275.054166666669</v>
      </c>
      <c r="CM989" s="16">
        <f>RecData[[#This Row],[Wind Speed avg]]</f>
        <v>1.42</v>
      </c>
      <c r="CN989" s="16">
        <f>RecData[[#This Row],[Wind Dir. avg]]</f>
        <v>160.4</v>
      </c>
      <c r="CO989" s="16">
        <f>RecData[[#This Row],[Amb. Humidity]]</f>
        <v>65.599999999999994</v>
      </c>
      <c r="CP989" s="16">
        <f>RecData[[#This Row],[Amb. Temperature]]</f>
        <v>13.9</v>
      </c>
      <c r="CQ989" s="17">
        <f>RecData[[#This Row],[Amb. Rain Gauge]]</f>
        <v>0</v>
      </c>
      <c r="CR989" s="4" t="s">
        <v>1</v>
      </c>
      <c r="CS989" s="4" t="s">
        <v>49</v>
      </c>
      <c r="CT989" s="70">
        <v>1606.62854003906</v>
      </c>
      <c r="CU989" s="70">
        <v>36.0003051757812</v>
      </c>
      <c r="CV989" s="70">
        <v>11.514792442321699</v>
      </c>
      <c r="CW989" s="70">
        <v>15.2196493148803</v>
      </c>
      <c r="CX989" s="4"/>
      <c r="CY989" s="69"/>
      <c r="CZ989" s="2" t="b">
        <f>IF($DP$1="YES",IF(RecData[[#This Row],[Power (kW)]]&gt;=$CR$3, TRUE,FALSE),TRUE)</f>
        <v>1</v>
      </c>
      <c r="DA989" s="16">
        <f>MIN(MOD(180-ABS(ABS($DA$1-RecData[Yaw Angle (°)])-180),360),MOD(180-ABS(ABS($DB$1-RecData[Yaw Angle (°)])-180),360))</f>
        <v>28.470378398093658</v>
      </c>
      <c r="DB989" s="2" t="str">
        <f>IF($DP$2="None","None",IF(RecData[[#This Row],[Relative Wind Direction]]&lt;=45,"DW",IF(RecData[[#This Row],[Relative Wind Direction]]&lt;=135,"CW","UW")))</f>
        <v>DW</v>
      </c>
      <c r="DC989" s="61" t="e">
        <f>IF($CL989-$CL985&gt;1/24,#REF!,IF(SUM($CQ985:$CQ989)&gt;$DS$1,$DS$5,DC990-1))</f>
        <v>#REF!</v>
      </c>
      <c r="DD989" s="61">
        <f>IF($CL990-$CL989&gt;1/24,#REF!,IF(SUM($CQ985:$CQ989)&gt;$DS$1,$DS$6,DD988-1))</f>
        <v>-7</v>
      </c>
      <c r="DE989" s="18" t="b">
        <v>0</v>
      </c>
      <c r="DF989" s="2" t="b">
        <f>IF(OR(RecData[[#This Row],[WSpd_Avg '[m/s']]]-RecData[[#This Row],[Wind Speed min]]&gt;=$DF$3,RecData[[#This Row],[Wind Speed max]]-RecData[[#This Row],[WSpd_Avg '[m/s']]]&gt;=$DF$2),TRUE,FALSE)</f>
        <v>0</v>
      </c>
      <c r="DG989" s="2" t="b">
        <f>RecData[[#This Row],[Temperature '[°C']]]&lt;=-20</f>
        <v>0</v>
      </c>
      <c r="DH989" s="18" t="b">
        <f>NOT(OR(MOD(RecData[[#This Row],[TIMESTAMP]],1)&gt;0.91632,MOD(RecData[[#This Row],[TIMESTAMP]],1)&lt;0.208681))</f>
        <v>0</v>
      </c>
      <c r="DI989" s="18" t="b">
        <f>RecData[[#This Row],[Overall (dBA)]]-RecData[[#This Row],[L90]]&gt;=$DS$4</f>
        <v>0</v>
      </c>
      <c r="DJ989" s="18" t="b">
        <f>RecData[[#This Row],[Overall (dBA)]]&gt;$DS$2</f>
        <v>0</v>
      </c>
      <c r="DK989" s="18" t="b">
        <f>RecData[[#This Row],[Overall (dBA)]]&lt;$DS$3</f>
        <v>0</v>
      </c>
      <c r="DL9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89" s="2">
        <f>IF(AND(RecData[[#This Row],[Turbines ON/OFF]] = "OFF", NOT(OR(RecData[[#This Row],[Junk?]]="YES",RecData[[#This Row],[Gust?]],RecData[[#This Row],[Rain?]:[Min SPL Threshold?]]))),1,0)</f>
        <v>0</v>
      </c>
      <c r="DN989" s="16">
        <f>RecData[[#This Row],[dBA Sum]]</f>
        <v>39.482540204313921</v>
      </c>
      <c r="DO989" s="16">
        <f>RecData[[#This Row],[LAF90.0]]</f>
        <v>38.9</v>
      </c>
      <c r="DP989" s="55">
        <f>IF(AND(RecData[[#This Row],[Useable TON Data?]],RecData[[#This Row],[Turbines ON/OFF]]="ON"),RecData[[#This Row],[dBA Sum]],"")</f>
        <v>39.482540204313921</v>
      </c>
      <c r="DQ989" s="55" t="str">
        <f>IF(AND(RecData[[#This Row],[Useable Background Data?]],RecData[[#This Row],[Turbines ON/OFF]]="OFF"),RecData[[#This Row],[dBA Sum]],"")</f>
        <v/>
      </c>
      <c r="DR989" s="3">
        <f>IF(OR(RecData[[#This Row],[Useable TON Data?]],RecData[[#This Row],[Useable Background Data?]]),ROUND(RecData[[#This Row],[WSpd_Avg '[m/s']]],0),"")</f>
        <v>1</v>
      </c>
      <c r="DS989" s="85">
        <f>(0.00002)^2*(10^(RecData[[#This Row],[Overall (dBA)]]/10))</f>
        <v>3.5507002584730586E-6</v>
      </c>
    </row>
    <row r="990" spans="1:123" ht="15" x14ac:dyDescent="0.25">
      <c r="A990" s="3" t="s">
        <v>249</v>
      </c>
      <c r="B990" s="12">
        <v>43275.054861111115</v>
      </c>
      <c r="C990" s="3"/>
      <c r="D990" s="3">
        <v>40.5</v>
      </c>
      <c r="E990" s="3"/>
      <c r="F990" s="3"/>
      <c r="G990" s="3"/>
      <c r="H990" s="3"/>
      <c r="I990" s="3"/>
      <c r="J990" s="3"/>
      <c r="K990" s="3">
        <v>39.4</v>
      </c>
      <c r="L990" s="3"/>
      <c r="M990" s="3"/>
      <c r="N990" s="3">
        <v>185.1</v>
      </c>
      <c r="O990" s="3"/>
      <c r="P990" s="3"/>
      <c r="Q990" s="3">
        <v>1.66</v>
      </c>
      <c r="R990" s="3">
        <v>1</v>
      </c>
      <c r="S990" s="3">
        <v>2.4</v>
      </c>
      <c r="T990" s="3">
        <v>13.9</v>
      </c>
      <c r="U990" s="3">
        <v>65.8</v>
      </c>
      <c r="V990" s="3">
        <v>967</v>
      </c>
      <c r="W990" s="3">
        <v>0</v>
      </c>
      <c r="X990" s="3">
        <v>48.7</v>
      </c>
      <c r="Y990" s="3">
        <v>48.2</v>
      </c>
      <c r="Z990" s="3">
        <v>47.9</v>
      </c>
      <c r="AA990" s="3">
        <v>45</v>
      </c>
      <c r="AB990" s="3">
        <v>40.1</v>
      </c>
      <c r="AC990" s="3">
        <v>38</v>
      </c>
      <c r="AD990" s="3">
        <v>40</v>
      </c>
      <c r="AE990" s="3">
        <v>41</v>
      </c>
      <c r="AF990" s="3">
        <v>45.8</v>
      </c>
      <c r="AG990" s="3">
        <v>41.9</v>
      </c>
      <c r="AH990" s="3">
        <v>36.9</v>
      </c>
      <c r="AI990" s="3">
        <v>37.5</v>
      </c>
      <c r="AJ990" s="3">
        <v>36.299999999999997</v>
      </c>
      <c r="AK990" s="3">
        <v>34.299999999999997</v>
      </c>
      <c r="AL990" s="3">
        <v>32.6</v>
      </c>
      <c r="AM990" s="3">
        <v>32.6</v>
      </c>
      <c r="AN990" s="3">
        <v>31.4</v>
      </c>
      <c r="AO990" s="3">
        <v>29</v>
      </c>
      <c r="AP990" s="3">
        <v>27.1</v>
      </c>
      <c r="AQ990" s="3">
        <v>26.2</v>
      </c>
      <c r="AR990" s="3">
        <v>24.6</v>
      </c>
      <c r="AS990" s="3">
        <v>23.6</v>
      </c>
      <c r="AT990" s="3">
        <v>22.8</v>
      </c>
      <c r="AU990" s="3">
        <v>21.1</v>
      </c>
      <c r="AV990" s="3">
        <v>19.7</v>
      </c>
      <c r="AW990" s="3">
        <v>18.600000000000001</v>
      </c>
      <c r="AX990" s="3">
        <v>14.6</v>
      </c>
      <c r="AY990" s="3">
        <v>13</v>
      </c>
      <c r="AZ990" s="3">
        <v>0</v>
      </c>
      <c r="BA990" s="3">
        <v>0</v>
      </c>
      <c r="BB990" s="3">
        <v>0</v>
      </c>
      <c r="BC990" s="3">
        <v>40.521795464040068</v>
      </c>
      <c r="BD990" s="3">
        <v>48.678204535959935</v>
      </c>
      <c r="BE990" s="3">
        <v>48.178204535959935</v>
      </c>
      <c r="BF990" s="3">
        <v>46.638204535959929</v>
      </c>
      <c r="BG990" s="3">
        <v>44.064871202626605</v>
      </c>
      <c r="BH990" s="3">
        <v>39.3048712026266</v>
      </c>
      <c r="BI990" s="3">
        <v>37.618204535959933</v>
      </c>
      <c r="BJ990" s="3">
        <v>40.411537869293269</v>
      </c>
      <c r="BK990" s="3">
        <v>41.284871202626604</v>
      </c>
      <c r="BL990" s="3">
        <v>45.658204535959939</v>
      </c>
      <c r="BM990" s="3">
        <v>41.891537869293259</v>
      </c>
      <c r="BN990" s="3">
        <v>37.174871202626591</v>
      </c>
      <c r="BO990" s="3">
        <v>37.141537869293259</v>
      </c>
      <c r="BP990" s="3">
        <v>35.658204535959939</v>
      </c>
      <c r="BQ990" s="3">
        <v>34.074871202626596</v>
      </c>
      <c r="BR990" s="3">
        <v>32.701537869293261</v>
      </c>
      <c r="BS990" s="3">
        <v>32.504871202626603</v>
      </c>
      <c r="BT990" s="3">
        <v>31.501537869293273</v>
      </c>
      <c r="BU990" s="3">
        <v>29.068204535959936</v>
      </c>
      <c r="BV990" s="3">
        <v>26.884871202626599</v>
      </c>
      <c r="BW990" s="3">
        <v>26.518204535959939</v>
      </c>
      <c r="BX990" s="3">
        <v>24.838204535959946</v>
      </c>
      <c r="BY990" s="3">
        <v>23.658204535959939</v>
      </c>
      <c r="BZ990" s="3">
        <v>22.988204535959937</v>
      </c>
      <c r="CA990" s="3">
        <v>21.388204535959929</v>
      </c>
      <c r="CB990" s="3">
        <v>19.424871202626598</v>
      </c>
      <c r="CC990" s="3">
        <v>18.538204535959935</v>
      </c>
      <c r="CD990" s="3">
        <v>13.844871202626607</v>
      </c>
      <c r="CE990" s="3">
        <v>12.438204535959933</v>
      </c>
      <c r="CF990" s="3">
        <v>-0.94846213070673713</v>
      </c>
      <c r="CG990" s="3">
        <v>-1.4817954640400686</v>
      </c>
      <c r="CH990" s="3">
        <v>-2.5584621307067366</v>
      </c>
      <c r="CI990" s="13">
        <f>[1]!dbasum(RecData[[#This Row],[20]:[2000]],RecData[[#Headers],[20]:[2000]])</f>
        <v>40.081085826509806</v>
      </c>
      <c r="CJ990" s="14">
        <v>10376</v>
      </c>
      <c r="CK990" s="15" t="s">
        <v>249</v>
      </c>
      <c r="CL990" s="15">
        <f>RecData[[#This Row],[Start Time]]</f>
        <v>43275.054861111115</v>
      </c>
      <c r="CM990" s="16">
        <f>RecData[[#This Row],[Wind Speed avg]]</f>
        <v>1.66</v>
      </c>
      <c r="CN990" s="16">
        <f>RecData[[#This Row],[Wind Dir. avg]]</f>
        <v>185.1</v>
      </c>
      <c r="CO990" s="16">
        <f>RecData[[#This Row],[Amb. Humidity]]</f>
        <v>65.8</v>
      </c>
      <c r="CP990" s="16">
        <f>RecData[[#This Row],[Amb. Temperature]]</f>
        <v>13.9</v>
      </c>
      <c r="CQ990" s="17">
        <f>RecData[[#This Row],[Amb. Rain Gauge]]</f>
        <v>0</v>
      </c>
      <c r="CR990" s="4" t="s">
        <v>1</v>
      </c>
      <c r="CS990" s="4" t="s">
        <v>49</v>
      </c>
      <c r="CT990" s="70">
        <v>1606.62854003906</v>
      </c>
      <c r="CU990" s="70">
        <v>36.0003051757812</v>
      </c>
      <c r="CV990" s="70">
        <v>11.514792442321699</v>
      </c>
      <c r="CW990" s="70">
        <v>15.2196493148803</v>
      </c>
      <c r="CX990" s="4"/>
      <c r="CY990" s="69"/>
      <c r="CZ990" s="2" t="b">
        <f>IF($DP$1="YES",IF(RecData[[#This Row],[Power (kW)]]&gt;=$CR$3, TRUE,FALSE),TRUE)</f>
        <v>1</v>
      </c>
      <c r="DA990" s="16">
        <f>MIN(MOD(180-ABS(ABS($DA$1-RecData[Yaw Angle (°)])-180),360),MOD(180-ABS(ABS($DB$1-RecData[Yaw Angle (°)])-180),360))</f>
        <v>28.470378398093658</v>
      </c>
      <c r="DB990" s="2" t="str">
        <f>IF($DP$2="None","None",IF(RecData[[#This Row],[Relative Wind Direction]]&lt;=45,"DW",IF(RecData[[#This Row],[Relative Wind Direction]]&lt;=135,"CW","UW")))</f>
        <v>DW</v>
      </c>
      <c r="DC990" s="61" t="e">
        <f>IF($CL990-$CL986&gt;1/24,#REF!,IF(SUM($CQ986:$CQ990)&gt;$DS$1,$DS$5,#REF!-1))</f>
        <v>#REF!</v>
      </c>
      <c r="DD990" s="61" t="e">
        <f>IF(#REF!-$CL990&gt;1/24,#REF!,IF(SUM($CQ986:$CQ990)&gt;$DS$1,$DS$6,DD989-1))</f>
        <v>#REF!</v>
      </c>
      <c r="DE990" s="18" t="b">
        <v>0</v>
      </c>
      <c r="DF990" s="2" t="b">
        <f>IF(OR(RecData[[#This Row],[WSpd_Avg '[m/s']]]-RecData[[#This Row],[Wind Speed min]]&gt;=$DF$3,RecData[[#This Row],[Wind Speed max]]-RecData[[#This Row],[WSpd_Avg '[m/s']]]&gt;=$DF$2),TRUE,FALSE)</f>
        <v>0</v>
      </c>
      <c r="DG990" s="2" t="b">
        <f>RecData[[#This Row],[Temperature '[°C']]]&lt;=-20</f>
        <v>0</v>
      </c>
      <c r="DH990" s="18" t="b">
        <f>NOT(OR(MOD(RecData[[#This Row],[TIMESTAMP]],1)&gt;0.91632,MOD(RecData[[#This Row],[TIMESTAMP]],1)&lt;0.208681))</f>
        <v>0</v>
      </c>
      <c r="DI990" s="18" t="b">
        <f>RecData[[#This Row],[Overall (dBA)]]-RecData[[#This Row],[L90]]&gt;=$DS$4</f>
        <v>0</v>
      </c>
      <c r="DJ990" s="18" t="b">
        <f>RecData[[#This Row],[Overall (dBA)]]&gt;$DS$2</f>
        <v>0</v>
      </c>
      <c r="DK990" s="18" t="b">
        <f>RecData[[#This Row],[Overall (dBA)]]&lt;$DS$3</f>
        <v>0</v>
      </c>
      <c r="DL9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0" s="2">
        <f>IF(AND(RecData[[#This Row],[Turbines ON/OFF]] = "OFF", NOT(OR(RecData[[#This Row],[Junk?]]="YES",RecData[[#This Row],[Gust?]],RecData[[#This Row],[Rain?]:[Min SPL Threshold?]]))),1,0)</f>
        <v>0</v>
      </c>
      <c r="DN990" s="16">
        <f>RecData[[#This Row],[dBA Sum]]</f>
        <v>40.081085826509806</v>
      </c>
      <c r="DO990" s="16">
        <f>RecData[[#This Row],[LAF90.0]]</f>
        <v>39.4</v>
      </c>
      <c r="DP990" s="55">
        <f>IF(AND(RecData[[#This Row],[Useable TON Data?]],RecData[[#This Row],[Turbines ON/OFF]]="ON"),RecData[[#This Row],[dBA Sum]],"")</f>
        <v>40.081085826509806</v>
      </c>
      <c r="DQ990" s="55" t="str">
        <f>IF(AND(RecData[[#This Row],[Useable Background Data?]],RecData[[#This Row],[Turbines ON/OFF]]="OFF"),RecData[[#This Row],[dBA Sum]],"")</f>
        <v/>
      </c>
      <c r="DR990" s="3">
        <f>IF(OR(RecData[[#This Row],[Useable TON Data?]],RecData[[#This Row],[Useable Background Data?]]),ROUND(RecData[[#This Row],[WSpd_Avg '[m/s']]],0),"")</f>
        <v>2</v>
      </c>
      <c r="DS990" s="85">
        <f>(0.00002)^2*(10^(RecData[[#This Row],[Overall (dBA)]]/10))</f>
        <v>4.0753843556805851E-6</v>
      </c>
    </row>
    <row r="991" spans="1:123" ht="15" x14ac:dyDescent="0.25">
      <c r="A991" s="3" t="s">
        <v>249</v>
      </c>
      <c r="B991" s="12">
        <v>43275.056250000001</v>
      </c>
      <c r="C991" s="3"/>
      <c r="D991" s="3">
        <v>39.9</v>
      </c>
      <c r="E991" s="3"/>
      <c r="F991" s="3"/>
      <c r="G991" s="3"/>
      <c r="H991" s="3"/>
      <c r="I991" s="3"/>
      <c r="J991" s="3"/>
      <c r="K991" s="3">
        <v>38.4</v>
      </c>
      <c r="L991" s="3"/>
      <c r="M991" s="3"/>
      <c r="N991" s="3">
        <v>178.6</v>
      </c>
      <c r="O991" s="3"/>
      <c r="P991" s="3"/>
      <c r="Q991" s="3">
        <v>1.04</v>
      </c>
      <c r="R991" s="3">
        <v>0.1</v>
      </c>
      <c r="S991" s="3">
        <v>2.2000000000000002</v>
      </c>
      <c r="T991" s="3">
        <v>13.8</v>
      </c>
      <c r="U991" s="3">
        <v>65.599999999999994</v>
      </c>
      <c r="V991" s="3">
        <v>967</v>
      </c>
      <c r="W991" s="3">
        <v>0</v>
      </c>
      <c r="X991" s="3">
        <v>47.6</v>
      </c>
      <c r="Y991" s="3">
        <v>47.4</v>
      </c>
      <c r="Z991" s="3">
        <v>47</v>
      </c>
      <c r="AA991" s="3">
        <v>43.3</v>
      </c>
      <c r="AB991" s="3">
        <v>38.6</v>
      </c>
      <c r="AC991" s="3">
        <v>37.799999999999997</v>
      </c>
      <c r="AD991" s="3">
        <v>40</v>
      </c>
      <c r="AE991" s="3">
        <v>41.2</v>
      </c>
      <c r="AF991" s="3">
        <v>45.6</v>
      </c>
      <c r="AG991" s="3">
        <v>38.299999999999997</v>
      </c>
      <c r="AH991" s="3">
        <v>36.9</v>
      </c>
      <c r="AI991" s="3">
        <v>36.6</v>
      </c>
      <c r="AJ991" s="3">
        <v>35.6</v>
      </c>
      <c r="AK991" s="3">
        <v>33.799999999999997</v>
      </c>
      <c r="AL991" s="3">
        <v>32.1</v>
      </c>
      <c r="AM991" s="3">
        <v>32.1</v>
      </c>
      <c r="AN991" s="3">
        <v>30.6</v>
      </c>
      <c r="AO991" s="3">
        <v>28</v>
      </c>
      <c r="AP991" s="3">
        <v>26.6</v>
      </c>
      <c r="AQ991" s="3">
        <v>25.2</v>
      </c>
      <c r="AR991" s="3">
        <v>24.3</v>
      </c>
      <c r="AS991" s="3">
        <v>23.8</v>
      </c>
      <c r="AT991" s="3">
        <v>23.3</v>
      </c>
      <c r="AU991" s="3">
        <v>21.6</v>
      </c>
      <c r="AV991" s="3">
        <v>20.3</v>
      </c>
      <c r="AW991" s="3">
        <v>19.899999999999999</v>
      </c>
      <c r="AX991" s="3">
        <v>15.3</v>
      </c>
      <c r="AY991" s="3">
        <v>13.9</v>
      </c>
      <c r="AZ991" s="3">
        <v>0</v>
      </c>
      <c r="BA991" s="3">
        <v>0</v>
      </c>
      <c r="BB991" s="3">
        <v>0</v>
      </c>
      <c r="BC991" s="3">
        <v>39.903722995324443</v>
      </c>
      <c r="BD991" s="3">
        <v>47.596277004675557</v>
      </c>
      <c r="BE991" s="3">
        <v>47.396277004675554</v>
      </c>
      <c r="BF991" s="3">
        <v>45.756277004675553</v>
      </c>
      <c r="BG991" s="3">
        <v>42.382943671342218</v>
      </c>
      <c r="BH991" s="3">
        <v>37.822943671342216</v>
      </c>
      <c r="BI991" s="3">
        <v>37.43627700467556</v>
      </c>
      <c r="BJ991" s="3">
        <v>40.429610338008885</v>
      </c>
      <c r="BK991" s="3">
        <v>41.502943671342223</v>
      </c>
      <c r="BL991" s="3">
        <v>45.476277004675552</v>
      </c>
      <c r="BM991" s="3">
        <v>38.309610338008895</v>
      </c>
      <c r="BN991" s="3">
        <v>37.192943671342221</v>
      </c>
      <c r="BO991" s="3">
        <v>36.259610338008883</v>
      </c>
      <c r="BP991" s="3">
        <v>34.976277004675552</v>
      </c>
      <c r="BQ991" s="3">
        <v>33.592943671342212</v>
      </c>
      <c r="BR991" s="3">
        <v>32.219610338008891</v>
      </c>
      <c r="BS991" s="3">
        <v>32.022943671342233</v>
      </c>
      <c r="BT991" s="3">
        <v>30.719610338008891</v>
      </c>
      <c r="BU991" s="3">
        <v>28.086277004675566</v>
      </c>
      <c r="BV991" s="3">
        <v>26.402943671342229</v>
      </c>
      <c r="BW991" s="3">
        <v>25.536277004675554</v>
      </c>
      <c r="BX991" s="3">
        <v>24.556277004675565</v>
      </c>
      <c r="BY991" s="3">
        <v>23.876277004675558</v>
      </c>
      <c r="BZ991" s="3">
        <v>23.50627700467556</v>
      </c>
      <c r="CA991" s="3">
        <v>21.906277004675545</v>
      </c>
      <c r="CB991" s="3">
        <v>20.042943671342222</v>
      </c>
      <c r="CC991" s="3">
        <v>19.856277004675547</v>
      </c>
      <c r="CD991" s="3">
        <v>14.562943671342225</v>
      </c>
      <c r="CE991" s="3">
        <v>13.356277004675555</v>
      </c>
      <c r="CF991" s="3">
        <v>-0.93038966199111428</v>
      </c>
      <c r="CG991" s="3">
        <v>-1.4637229953244457</v>
      </c>
      <c r="CH991" s="3">
        <v>-2.5403896619911137</v>
      </c>
      <c r="CI991" s="13">
        <f>[1]!dbasum(RecData[[#This Row],[20]:[2000]],RecData[[#Headers],[20]:[2000]])</f>
        <v>39.366711216985976</v>
      </c>
      <c r="CJ991" s="14">
        <v>10378</v>
      </c>
      <c r="CK991" s="15" t="s">
        <v>249</v>
      </c>
      <c r="CL991" s="15">
        <f>RecData[[#This Row],[Start Time]]</f>
        <v>43275.056250000001</v>
      </c>
      <c r="CM991" s="16">
        <f>RecData[[#This Row],[Wind Speed avg]]</f>
        <v>1.04</v>
      </c>
      <c r="CN991" s="16">
        <f>RecData[[#This Row],[Wind Dir. avg]]</f>
        <v>178.6</v>
      </c>
      <c r="CO991" s="16">
        <f>RecData[[#This Row],[Amb. Humidity]]</f>
        <v>65.599999999999994</v>
      </c>
      <c r="CP991" s="16">
        <f>RecData[[#This Row],[Amb. Temperature]]</f>
        <v>13.8</v>
      </c>
      <c r="CQ991" s="17">
        <f>RecData[[#This Row],[Amb. Rain Gauge]]</f>
        <v>0</v>
      </c>
      <c r="CR991" s="4" t="s">
        <v>1</v>
      </c>
      <c r="CS991" s="4" t="s">
        <v>49</v>
      </c>
      <c r="CT991" s="70">
        <v>1612.05712890625</v>
      </c>
      <c r="CU991" s="70">
        <v>36.0003051757812</v>
      </c>
      <c r="CV991" s="70">
        <v>11.535779953002899</v>
      </c>
      <c r="CW991" s="70">
        <v>15.261070251464799</v>
      </c>
      <c r="CX991" s="4"/>
      <c r="CY991" s="69"/>
      <c r="CZ991" s="2" t="b">
        <f>IF($DP$1="YES",IF(RecData[[#This Row],[Power (kW)]]&gt;=$CR$3, TRUE,FALSE),TRUE)</f>
        <v>1</v>
      </c>
      <c r="DA991" s="16">
        <f>MIN(MOD(180-ABS(ABS($DA$1-RecData[Yaw Angle (°)])-180),360),MOD(180-ABS(ABS($DB$1-RecData[Yaw Angle (°)])-180),360))</f>
        <v>28.470378398093658</v>
      </c>
      <c r="DB991" s="2" t="str">
        <f>IF($DP$2="None","None",IF(RecData[[#This Row],[Relative Wind Direction]]&lt;=45,"DW",IF(RecData[[#This Row],[Relative Wind Direction]]&lt;=135,"CW","UW")))</f>
        <v>DW</v>
      </c>
      <c r="DC991" s="61">
        <v>-1</v>
      </c>
      <c r="DD991" s="61">
        <v>-1</v>
      </c>
      <c r="DE991" s="18" t="b">
        <v>0</v>
      </c>
      <c r="DF991" s="2" t="b">
        <f>IF(OR(RecData[[#This Row],[WSpd_Avg '[m/s']]]-RecData[[#This Row],[Wind Speed min]]&gt;=$DF$3,RecData[[#This Row],[Wind Speed max]]-RecData[[#This Row],[WSpd_Avg '[m/s']]]&gt;=$DF$2),TRUE,FALSE)</f>
        <v>0</v>
      </c>
      <c r="DG991" s="2" t="b">
        <f>RecData[[#This Row],[Temperature '[°C']]]&lt;=-20</f>
        <v>0</v>
      </c>
      <c r="DH991" s="18" t="b">
        <f>NOT(OR(MOD(RecData[[#This Row],[TIMESTAMP]],1)&gt;0.91632,MOD(RecData[[#This Row],[TIMESTAMP]],1)&lt;0.208681))</f>
        <v>0</v>
      </c>
      <c r="DI991" s="18" t="b">
        <f>RecData[[#This Row],[Overall (dBA)]]-RecData[[#This Row],[L90]]&gt;=$DS$4</f>
        <v>0</v>
      </c>
      <c r="DJ991" s="18" t="b">
        <f>RecData[[#This Row],[Overall (dBA)]]&gt;$DS$2</f>
        <v>0</v>
      </c>
      <c r="DK991" s="18" t="b">
        <f>RecData[[#This Row],[Overall (dBA)]]&lt;$DS$3</f>
        <v>0</v>
      </c>
      <c r="DL9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1" s="2">
        <f>IF(AND(RecData[[#This Row],[Turbines ON/OFF]] = "OFF", NOT(OR(RecData[[#This Row],[Junk?]]="YES",RecData[[#This Row],[Gust?]],RecData[[#This Row],[Rain?]:[Min SPL Threshold?]]))),1,0)</f>
        <v>0</v>
      </c>
      <c r="DN991" s="16">
        <f>RecData[[#This Row],[dBA Sum]]</f>
        <v>39.366711216985976</v>
      </c>
      <c r="DO991" s="16">
        <f>RecData[[#This Row],[LAF90.0]]</f>
        <v>38.4</v>
      </c>
      <c r="DP991" s="55">
        <f>IF(AND(RecData[[#This Row],[Useable TON Data?]],RecData[[#This Row],[Turbines ON/OFF]]="ON"),RecData[[#This Row],[dBA Sum]],"")</f>
        <v>39.366711216985976</v>
      </c>
      <c r="DQ991" s="55" t="str">
        <f>IF(AND(RecData[[#This Row],[Useable Background Data?]],RecData[[#This Row],[Turbines ON/OFF]]="OFF"),RecData[[#This Row],[dBA Sum]],"")</f>
        <v/>
      </c>
      <c r="DR991" s="3">
        <f>IF(OR(RecData[[#This Row],[Useable TON Data?]],RecData[[#This Row],[Useable Background Data?]]),ROUND(RecData[[#This Row],[WSpd_Avg '[m/s']]],0),"")</f>
        <v>1</v>
      </c>
      <c r="DS991" s="85">
        <f>(0.00002)^2*(10^(RecData[[#This Row],[Overall (dBA)]]/10))</f>
        <v>3.4572526089262508E-6</v>
      </c>
    </row>
    <row r="992" spans="1:123" ht="15" x14ac:dyDescent="0.25">
      <c r="A992" s="3" t="s">
        <v>249</v>
      </c>
      <c r="B992" s="12">
        <v>43275.056944444448</v>
      </c>
      <c r="C992" s="3"/>
      <c r="D992" s="3">
        <v>39.299999999999997</v>
      </c>
      <c r="E992" s="3"/>
      <c r="F992" s="3"/>
      <c r="G992" s="3"/>
      <c r="H992" s="3"/>
      <c r="I992" s="3"/>
      <c r="J992" s="3"/>
      <c r="K992" s="3">
        <v>38.5</v>
      </c>
      <c r="L992" s="3"/>
      <c r="M992" s="3"/>
      <c r="N992" s="3">
        <v>227.2</v>
      </c>
      <c r="O992" s="3"/>
      <c r="P992" s="3"/>
      <c r="Q992" s="3">
        <v>0.69</v>
      </c>
      <c r="R992" s="3">
        <v>0.1</v>
      </c>
      <c r="S992" s="3">
        <v>1.3</v>
      </c>
      <c r="T992" s="3">
        <v>13.8</v>
      </c>
      <c r="U992" s="3">
        <v>65.8</v>
      </c>
      <c r="V992" s="3">
        <v>967</v>
      </c>
      <c r="W992" s="3">
        <v>0</v>
      </c>
      <c r="X992" s="3">
        <v>47.5</v>
      </c>
      <c r="Y992" s="3">
        <v>47</v>
      </c>
      <c r="Z992" s="3">
        <v>46</v>
      </c>
      <c r="AA992" s="3">
        <v>42.6</v>
      </c>
      <c r="AB992" s="3">
        <v>37.200000000000003</v>
      </c>
      <c r="AC992" s="3">
        <v>36.9</v>
      </c>
      <c r="AD992" s="3">
        <v>39.1</v>
      </c>
      <c r="AE992" s="3">
        <v>40.5</v>
      </c>
      <c r="AF992" s="3">
        <v>45.4</v>
      </c>
      <c r="AG992" s="3">
        <v>38.700000000000003</v>
      </c>
      <c r="AH992" s="3">
        <v>35.9</v>
      </c>
      <c r="AI992" s="3">
        <v>36</v>
      </c>
      <c r="AJ992" s="3">
        <v>34.9</v>
      </c>
      <c r="AK992" s="3">
        <v>33.4</v>
      </c>
      <c r="AL992" s="3">
        <v>31.8</v>
      </c>
      <c r="AM992" s="3">
        <v>31.9</v>
      </c>
      <c r="AN992" s="3">
        <v>30.9</v>
      </c>
      <c r="AO992" s="3">
        <v>28.2</v>
      </c>
      <c r="AP992" s="3">
        <v>26.3</v>
      </c>
      <c r="AQ992" s="3">
        <v>24.7</v>
      </c>
      <c r="AR992" s="3">
        <v>22.3</v>
      </c>
      <c r="AS992" s="3">
        <v>20.2</v>
      </c>
      <c r="AT992" s="3">
        <v>19</v>
      </c>
      <c r="AU992" s="3">
        <v>15.5</v>
      </c>
      <c r="AV992" s="3">
        <v>14.2</v>
      </c>
      <c r="AW992" s="3">
        <v>12.7</v>
      </c>
      <c r="AX992" s="3">
        <v>10.3</v>
      </c>
      <c r="AY992" s="3">
        <v>9.6</v>
      </c>
      <c r="AZ992" s="3">
        <v>0</v>
      </c>
      <c r="BA992" s="3">
        <v>0</v>
      </c>
      <c r="BB992" s="3">
        <v>0</v>
      </c>
      <c r="BC992" s="3">
        <v>39.284209927880291</v>
      </c>
      <c r="BD992" s="3">
        <v>47.515790072119707</v>
      </c>
      <c r="BE992" s="3">
        <v>47.015790072119707</v>
      </c>
      <c r="BF992" s="3">
        <v>44.775790072119712</v>
      </c>
      <c r="BG992" s="3">
        <v>41.702456738786374</v>
      </c>
      <c r="BH992" s="3">
        <v>36.442456738786369</v>
      </c>
      <c r="BI992" s="3">
        <v>36.555790072119713</v>
      </c>
      <c r="BJ992" s="3">
        <v>39.549123405453038</v>
      </c>
      <c r="BK992" s="3">
        <v>40.822456738786364</v>
      </c>
      <c r="BL992" s="3">
        <v>45.295790072119708</v>
      </c>
      <c r="BM992" s="3">
        <v>38.729123405453045</v>
      </c>
      <c r="BN992" s="3">
        <v>36.212456738786379</v>
      </c>
      <c r="BO992" s="3">
        <v>35.679123405453048</v>
      </c>
      <c r="BP992" s="3">
        <v>34.295790072119708</v>
      </c>
      <c r="BQ992" s="3">
        <v>33.212456738786365</v>
      </c>
      <c r="BR992" s="3">
        <v>31.939123405453039</v>
      </c>
      <c r="BS992" s="3">
        <v>31.842456738786375</v>
      </c>
      <c r="BT992" s="3">
        <v>31.039123405453033</v>
      </c>
      <c r="BU992" s="3">
        <v>28.305790072119713</v>
      </c>
      <c r="BV992" s="3">
        <v>26.122456738786376</v>
      </c>
      <c r="BW992" s="3">
        <v>25.055790072119713</v>
      </c>
      <c r="BX992" s="3">
        <v>22.575790072119709</v>
      </c>
      <c r="BY992" s="3">
        <v>20.295790072119708</v>
      </c>
      <c r="BZ992" s="3">
        <v>19.225790072119715</v>
      </c>
      <c r="CA992" s="3">
        <v>15.825790072119702</v>
      </c>
      <c r="CB992" s="3">
        <v>13.962456738786372</v>
      </c>
      <c r="CC992" s="3">
        <v>12.675790072119703</v>
      </c>
      <c r="CD992" s="3">
        <v>9.5824567387863766</v>
      </c>
      <c r="CE992" s="3">
        <v>9.0757900721197089</v>
      </c>
      <c r="CF992" s="3">
        <v>-0.91087659454696279</v>
      </c>
      <c r="CG992" s="3">
        <v>-1.4442099278802942</v>
      </c>
      <c r="CH992" s="3">
        <v>-2.5208765945469622</v>
      </c>
      <c r="CI992" s="13">
        <f>[1]!dbasum(RecData[[#This Row],[20]:[2000]],RecData[[#Headers],[20]:[2000]])</f>
        <v>39.073425837690451</v>
      </c>
      <c r="CJ992" s="14">
        <v>10379</v>
      </c>
      <c r="CK992" s="15" t="s">
        <v>249</v>
      </c>
      <c r="CL992" s="15">
        <f>RecData[[#This Row],[Start Time]]</f>
        <v>43275.056944444448</v>
      </c>
      <c r="CM992" s="16">
        <f>RecData[[#This Row],[Wind Speed avg]]</f>
        <v>0.69</v>
      </c>
      <c r="CN992" s="16">
        <f>RecData[[#This Row],[Wind Dir. avg]]</f>
        <v>227.2</v>
      </c>
      <c r="CO992" s="16">
        <f>RecData[[#This Row],[Amb. Humidity]]</f>
        <v>65.8</v>
      </c>
      <c r="CP992" s="16">
        <f>RecData[[#This Row],[Amb. Temperature]]</f>
        <v>13.8</v>
      </c>
      <c r="CQ992" s="17">
        <f>RecData[[#This Row],[Amb. Rain Gauge]]</f>
        <v>0</v>
      </c>
      <c r="CR992" s="4" t="s">
        <v>1</v>
      </c>
      <c r="CS992" s="4" t="s">
        <v>49</v>
      </c>
      <c r="CT992" s="70">
        <v>1612.05712890625</v>
      </c>
      <c r="CU992" s="70">
        <v>36.0003051757812</v>
      </c>
      <c r="CV992" s="70">
        <v>11.535779953002899</v>
      </c>
      <c r="CW992" s="70">
        <v>15.261070251464799</v>
      </c>
      <c r="CX992" s="4"/>
      <c r="CY992" s="69"/>
      <c r="CZ992" s="2" t="b">
        <f>IF($DP$1="YES",IF(RecData[[#This Row],[Power (kW)]]&gt;=$CR$3, TRUE,FALSE),TRUE)</f>
        <v>1</v>
      </c>
      <c r="DA992" s="16">
        <f>MIN(MOD(180-ABS(ABS($DA$1-RecData[Yaw Angle (°)])-180),360),MOD(180-ABS(ABS($DB$1-RecData[Yaw Angle (°)])-180),360))</f>
        <v>28.470378398093658</v>
      </c>
      <c r="DB992" s="2" t="str">
        <f>IF($DP$2="None","None",IF(RecData[[#This Row],[Relative Wind Direction]]&lt;=45,"DW",IF(RecData[[#This Row],[Relative Wind Direction]]&lt;=135,"CW","UW")))</f>
        <v>DW</v>
      </c>
      <c r="DC992" s="61" t="e">
        <f>IF($CL992-$CL991&gt;1/24,#REF!,IF(SUM($CQ991:$CQ992)&gt;$DS$1,$DS$5,DC993-1))</f>
        <v>#REF!</v>
      </c>
      <c r="DD992" s="61">
        <f>IF($CL993-$CL992&gt;1/24,#REF!,IF(SUM($CQ991:$CQ992)&gt;$DS$1,$DS$6,DD991-1))</f>
        <v>-2</v>
      </c>
      <c r="DE992" s="18" t="b">
        <v>0</v>
      </c>
      <c r="DF992" s="2" t="b">
        <f>IF(OR(RecData[[#This Row],[WSpd_Avg '[m/s']]]-RecData[[#This Row],[Wind Speed min]]&gt;=$DF$3,RecData[[#This Row],[Wind Speed max]]-RecData[[#This Row],[WSpd_Avg '[m/s']]]&gt;=$DF$2),TRUE,FALSE)</f>
        <v>0</v>
      </c>
      <c r="DG992" s="2" t="b">
        <f>RecData[[#This Row],[Temperature '[°C']]]&lt;=-20</f>
        <v>0</v>
      </c>
      <c r="DH992" s="18" t="b">
        <f>NOT(OR(MOD(RecData[[#This Row],[TIMESTAMP]],1)&gt;0.91632,MOD(RecData[[#This Row],[TIMESTAMP]],1)&lt;0.208681))</f>
        <v>0</v>
      </c>
      <c r="DI992" s="18" t="b">
        <f>RecData[[#This Row],[Overall (dBA)]]-RecData[[#This Row],[L90]]&gt;=$DS$4</f>
        <v>0</v>
      </c>
      <c r="DJ992" s="18" t="b">
        <f>RecData[[#This Row],[Overall (dBA)]]&gt;$DS$2</f>
        <v>0</v>
      </c>
      <c r="DK992" s="18" t="b">
        <f>RecData[[#This Row],[Overall (dBA)]]&lt;$DS$3</f>
        <v>0</v>
      </c>
      <c r="DL9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2" s="2">
        <f>IF(AND(RecData[[#This Row],[Turbines ON/OFF]] = "OFF", NOT(OR(RecData[[#This Row],[Junk?]]="YES",RecData[[#This Row],[Gust?]],RecData[[#This Row],[Rain?]:[Min SPL Threshold?]]))),1,0)</f>
        <v>0</v>
      </c>
      <c r="DN992" s="16">
        <f>RecData[[#This Row],[dBA Sum]]</f>
        <v>39.073425837690451</v>
      </c>
      <c r="DO992" s="16">
        <f>RecData[[#This Row],[LAF90.0]]</f>
        <v>38.5</v>
      </c>
      <c r="DP992" s="55">
        <f>IF(AND(RecData[[#This Row],[Useable TON Data?]],RecData[[#This Row],[Turbines ON/OFF]]="ON"),RecData[[#This Row],[dBA Sum]],"")</f>
        <v>39.073425837690451</v>
      </c>
      <c r="DQ992" s="55" t="str">
        <f>IF(AND(RecData[[#This Row],[Useable Background Data?]],RecData[[#This Row],[Turbines ON/OFF]]="OFF"),RecData[[#This Row],[dBA Sum]],"")</f>
        <v/>
      </c>
      <c r="DR992" s="3">
        <f>IF(OR(RecData[[#This Row],[Useable TON Data?]],RecData[[#This Row],[Useable Background Data?]]),ROUND(RecData[[#This Row],[WSpd_Avg '[m/s']]],0),"")</f>
        <v>1</v>
      </c>
      <c r="DS992" s="85">
        <f>(0.00002)^2*(10^(RecData[[#This Row],[Overall (dBA)]]/10))</f>
        <v>3.2314882051445603E-6</v>
      </c>
    </row>
    <row r="993" spans="1:123" ht="15" x14ac:dyDescent="0.25">
      <c r="A993" s="3" t="s">
        <v>249</v>
      </c>
      <c r="B993" s="12">
        <v>43275.057638888895</v>
      </c>
      <c r="C993" s="3"/>
      <c r="D993" s="3">
        <v>39.6</v>
      </c>
      <c r="E993" s="3"/>
      <c r="F993" s="3"/>
      <c r="G993" s="3"/>
      <c r="H993" s="3"/>
      <c r="I993" s="3"/>
      <c r="J993" s="3"/>
      <c r="K993" s="3">
        <v>38</v>
      </c>
      <c r="L993" s="3"/>
      <c r="M993" s="3"/>
      <c r="N993" s="3">
        <v>171.4</v>
      </c>
      <c r="O993" s="3"/>
      <c r="P993" s="3"/>
      <c r="Q993" s="3">
        <v>0.6</v>
      </c>
      <c r="R993" s="3">
        <v>0.1</v>
      </c>
      <c r="S993" s="3">
        <v>1.2</v>
      </c>
      <c r="T993" s="3">
        <v>13.8</v>
      </c>
      <c r="U993" s="3">
        <v>65.900000000000006</v>
      </c>
      <c r="V993" s="3">
        <v>967</v>
      </c>
      <c r="W993" s="3">
        <v>0</v>
      </c>
      <c r="X993" s="3">
        <v>48.4</v>
      </c>
      <c r="Y993" s="3">
        <v>48.1</v>
      </c>
      <c r="Z993" s="3">
        <v>47.4</v>
      </c>
      <c r="AA993" s="3">
        <v>43.9</v>
      </c>
      <c r="AB993" s="3">
        <v>39.4</v>
      </c>
      <c r="AC993" s="3">
        <v>37.700000000000003</v>
      </c>
      <c r="AD993" s="3">
        <v>39.6</v>
      </c>
      <c r="AE993" s="3">
        <v>41</v>
      </c>
      <c r="AF993" s="3">
        <v>45.5</v>
      </c>
      <c r="AG993" s="3">
        <v>39.5</v>
      </c>
      <c r="AH993" s="3">
        <v>36.4</v>
      </c>
      <c r="AI993" s="3">
        <v>36.700000000000003</v>
      </c>
      <c r="AJ993" s="3">
        <v>35.4</v>
      </c>
      <c r="AK993" s="3">
        <v>33.9</v>
      </c>
      <c r="AL993" s="3">
        <v>32.200000000000003</v>
      </c>
      <c r="AM993" s="3">
        <v>32.299999999999997</v>
      </c>
      <c r="AN993" s="3">
        <v>30.8</v>
      </c>
      <c r="AO993" s="3">
        <v>28.2</v>
      </c>
      <c r="AP993" s="3">
        <v>26.5</v>
      </c>
      <c r="AQ993" s="3">
        <v>24.8</v>
      </c>
      <c r="AR993" s="3">
        <v>22.6</v>
      </c>
      <c r="AS993" s="3">
        <v>20.7</v>
      </c>
      <c r="AT993" s="3">
        <v>19.7</v>
      </c>
      <c r="AU993" s="3">
        <v>16.8</v>
      </c>
      <c r="AV993" s="3">
        <v>15.6</v>
      </c>
      <c r="AW993" s="3">
        <v>13.9</v>
      </c>
      <c r="AX993" s="3">
        <v>11.1</v>
      </c>
      <c r="AY993" s="3">
        <v>10.1</v>
      </c>
      <c r="AZ993" s="3">
        <v>0</v>
      </c>
      <c r="BA993" s="3">
        <v>0</v>
      </c>
      <c r="BB993" s="3">
        <v>0</v>
      </c>
      <c r="BC993" s="3">
        <v>39.622244887643227</v>
      </c>
      <c r="BD993" s="3">
        <v>48.377755112356773</v>
      </c>
      <c r="BE993" s="3">
        <v>48.077755112356776</v>
      </c>
      <c r="BF993" s="3">
        <v>46.137755112356764</v>
      </c>
      <c r="BG993" s="3">
        <v>42.964421779023446</v>
      </c>
      <c r="BH993" s="3">
        <v>38.604421779023433</v>
      </c>
      <c r="BI993" s="3">
        <v>37.317755112356771</v>
      </c>
      <c r="BJ993" s="3">
        <v>40.011088445690099</v>
      </c>
      <c r="BK993" s="3">
        <v>41.28442177902344</v>
      </c>
      <c r="BL993" s="3">
        <v>45.357755112356777</v>
      </c>
      <c r="BM993" s="3">
        <v>39.491088445690117</v>
      </c>
      <c r="BN993" s="3">
        <v>36.67442177902344</v>
      </c>
      <c r="BO993" s="3">
        <v>36.341088445690112</v>
      </c>
      <c r="BP993" s="3">
        <v>34.757755112356769</v>
      </c>
      <c r="BQ993" s="3">
        <v>33.674421779023426</v>
      </c>
      <c r="BR993" s="3">
        <v>32.301088445690119</v>
      </c>
      <c r="BS993" s="3">
        <v>32.204421779023441</v>
      </c>
      <c r="BT993" s="3">
        <v>30.901088445690114</v>
      </c>
      <c r="BU993" s="3">
        <v>28.267755112356774</v>
      </c>
      <c r="BV993" s="3">
        <v>26.28442177902344</v>
      </c>
      <c r="BW993" s="3">
        <v>25.117755112356782</v>
      </c>
      <c r="BX993" s="3">
        <v>22.837755112356781</v>
      </c>
      <c r="BY993" s="3">
        <v>20.757755112356769</v>
      </c>
      <c r="BZ993" s="3">
        <v>19.887755112356778</v>
      </c>
      <c r="CA993" s="3">
        <v>17.087755112356767</v>
      </c>
      <c r="CB993" s="3">
        <v>15.324421779023439</v>
      </c>
      <c r="CC993" s="3">
        <v>13.837755112356774</v>
      </c>
      <c r="CD993" s="3">
        <v>10.344421779023442</v>
      </c>
      <c r="CE993" s="3">
        <v>9.5377551123567699</v>
      </c>
      <c r="CF993" s="3">
        <v>-0.94891155430989471</v>
      </c>
      <c r="CG993" s="3">
        <v>-1.4822448876432261</v>
      </c>
      <c r="CH993" s="3">
        <v>-2.5589115543098941</v>
      </c>
      <c r="CI993" s="13">
        <f>[1]!dbasum(RecData[[#This Row],[20]:[2000]],RecData[[#Headers],[20]:[2000]])</f>
        <v>39.346274127500372</v>
      </c>
      <c r="CJ993" s="14">
        <v>10380</v>
      </c>
      <c r="CK993" s="15" t="s">
        <v>249</v>
      </c>
      <c r="CL993" s="15">
        <f>RecData[[#This Row],[Start Time]]</f>
        <v>43275.057638888895</v>
      </c>
      <c r="CM993" s="16">
        <f>RecData[[#This Row],[Wind Speed avg]]</f>
        <v>0.6</v>
      </c>
      <c r="CN993" s="16">
        <f>RecData[[#This Row],[Wind Dir. avg]]</f>
        <v>171.4</v>
      </c>
      <c r="CO993" s="16">
        <f>RecData[[#This Row],[Amb. Humidity]]</f>
        <v>65.900000000000006</v>
      </c>
      <c r="CP993" s="16">
        <f>RecData[[#This Row],[Amb. Temperature]]</f>
        <v>13.8</v>
      </c>
      <c r="CQ993" s="17">
        <f>RecData[[#This Row],[Amb. Rain Gauge]]</f>
        <v>0</v>
      </c>
      <c r="CR993" s="4" t="s">
        <v>1</v>
      </c>
      <c r="CS993" s="4" t="s">
        <v>49</v>
      </c>
      <c r="CT993" s="70">
        <v>1612.05712890625</v>
      </c>
      <c r="CU993" s="70">
        <v>36.0003051757812</v>
      </c>
      <c r="CV993" s="70">
        <v>11.535779953002899</v>
      </c>
      <c r="CW993" s="70">
        <v>15.261070251464799</v>
      </c>
      <c r="CX993" s="4"/>
      <c r="CY993" s="69"/>
      <c r="CZ993" s="2" t="b">
        <f>IF($DP$1="YES",IF(RecData[[#This Row],[Power (kW)]]&gt;=$CR$3, TRUE,FALSE),TRUE)</f>
        <v>1</v>
      </c>
      <c r="DA993" s="16">
        <f>MIN(MOD(180-ABS(ABS($DA$1-RecData[Yaw Angle (°)])-180),360),MOD(180-ABS(ABS($DB$1-RecData[Yaw Angle (°)])-180),360))</f>
        <v>28.470378398093658</v>
      </c>
      <c r="DB993" s="2" t="str">
        <f>IF($DP$2="None","None",IF(RecData[[#This Row],[Relative Wind Direction]]&lt;=45,"DW",IF(RecData[[#This Row],[Relative Wind Direction]]&lt;=135,"CW","UW")))</f>
        <v>DW</v>
      </c>
      <c r="DC993" s="61" t="e">
        <f>IF($CL993-$CL991&gt;1/24,#REF!,IF(SUM($CQ991:$CQ993)&gt;$DS$1,$DS$5,#REF!-1))</f>
        <v>#REF!</v>
      </c>
      <c r="DD993" s="61" t="e">
        <f>IF(#REF!-$CL993&gt;1/24,#REF!,IF(SUM($CQ991:$CQ993)&gt;$DS$1,$DS$6,DD992-1))</f>
        <v>#REF!</v>
      </c>
      <c r="DE993" s="18" t="b">
        <v>0</v>
      </c>
      <c r="DF993" s="2" t="b">
        <f>IF(OR(RecData[[#This Row],[WSpd_Avg '[m/s']]]-RecData[[#This Row],[Wind Speed min]]&gt;=$DF$3,RecData[[#This Row],[Wind Speed max]]-RecData[[#This Row],[WSpd_Avg '[m/s']]]&gt;=$DF$2),TRUE,FALSE)</f>
        <v>0</v>
      </c>
      <c r="DG993" s="2" t="b">
        <f>RecData[[#This Row],[Temperature '[°C']]]&lt;=-20</f>
        <v>0</v>
      </c>
      <c r="DH993" s="18" t="b">
        <f>NOT(OR(MOD(RecData[[#This Row],[TIMESTAMP]],1)&gt;0.91632,MOD(RecData[[#This Row],[TIMESTAMP]],1)&lt;0.208681))</f>
        <v>0</v>
      </c>
      <c r="DI993" s="18" t="b">
        <f>RecData[[#This Row],[Overall (dBA)]]-RecData[[#This Row],[L90]]&gt;=$DS$4</f>
        <v>0</v>
      </c>
      <c r="DJ993" s="18" t="b">
        <f>RecData[[#This Row],[Overall (dBA)]]&gt;$DS$2</f>
        <v>0</v>
      </c>
      <c r="DK993" s="18" t="b">
        <f>RecData[[#This Row],[Overall (dBA)]]&lt;$DS$3</f>
        <v>0</v>
      </c>
      <c r="DL9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3" s="2">
        <f>IF(AND(RecData[[#This Row],[Turbines ON/OFF]] = "OFF", NOT(OR(RecData[[#This Row],[Junk?]]="YES",RecData[[#This Row],[Gust?]],RecData[[#This Row],[Rain?]:[Min SPL Threshold?]]))),1,0)</f>
        <v>0</v>
      </c>
      <c r="DN993" s="16">
        <f>RecData[[#This Row],[dBA Sum]]</f>
        <v>39.346274127500372</v>
      </c>
      <c r="DO993" s="16">
        <f>RecData[[#This Row],[LAF90.0]]</f>
        <v>38</v>
      </c>
      <c r="DP993" s="55">
        <f>IF(AND(RecData[[#This Row],[Useable TON Data?]],RecData[[#This Row],[Turbines ON/OFF]]="ON"),RecData[[#This Row],[dBA Sum]],"")</f>
        <v>39.346274127500372</v>
      </c>
      <c r="DQ993" s="55" t="str">
        <f>IF(AND(RecData[[#This Row],[Useable Background Data?]],RecData[[#This Row],[Turbines ON/OFF]]="OFF"),RecData[[#This Row],[dBA Sum]],"")</f>
        <v/>
      </c>
      <c r="DR993" s="3">
        <f>IF(OR(RecData[[#This Row],[Useable TON Data?]],RecData[[#This Row],[Useable Background Data?]]),ROUND(RecData[[#This Row],[WSpd_Avg '[m/s']]],0),"")</f>
        <v>1</v>
      </c>
      <c r="DS993" s="85">
        <f>(0.00002)^2*(10^(RecData[[#This Row],[Overall (dBA)]]/10))</f>
        <v>3.4410216419358869E-6</v>
      </c>
    </row>
    <row r="994" spans="1:123" ht="15" x14ac:dyDescent="0.25">
      <c r="A994" s="3" t="s">
        <v>249</v>
      </c>
      <c r="B994" s="12">
        <v>43275.059027777781</v>
      </c>
      <c r="C994" s="3"/>
      <c r="D994" s="3">
        <v>42.1</v>
      </c>
      <c r="E994" s="3"/>
      <c r="F994" s="3"/>
      <c r="G994" s="3"/>
      <c r="H994" s="3"/>
      <c r="I994" s="3"/>
      <c r="J994" s="3"/>
      <c r="K994" s="3">
        <v>41.2</v>
      </c>
      <c r="L994" s="3"/>
      <c r="M994" s="3"/>
      <c r="N994" s="3">
        <v>150.30000000000001</v>
      </c>
      <c r="O994" s="3"/>
      <c r="P994" s="3"/>
      <c r="Q994" s="3">
        <v>2.5499999999999998</v>
      </c>
      <c r="R994" s="3">
        <v>1.1000000000000001</v>
      </c>
      <c r="S994" s="3">
        <v>4</v>
      </c>
      <c r="T994" s="3">
        <v>13.7</v>
      </c>
      <c r="U994" s="3">
        <v>65.599999999999994</v>
      </c>
      <c r="V994" s="3">
        <v>967</v>
      </c>
      <c r="W994" s="3">
        <v>0</v>
      </c>
      <c r="X994" s="3">
        <v>48.4</v>
      </c>
      <c r="Y994" s="3">
        <v>48.4</v>
      </c>
      <c r="Z994" s="3">
        <v>47.2</v>
      </c>
      <c r="AA994" s="3">
        <v>43.2</v>
      </c>
      <c r="AB994" s="3">
        <v>38.5</v>
      </c>
      <c r="AC994" s="3">
        <v>38.200000000000003</v>
      </c>
      <c r="AD994" s="3">
        <v>40.9</v>
      </c>
      <c r="AE994" s="3">
        <v>42.3</v>
      </c>
      <c r="AF994" s="3">
        <v>46.1</v>
      </c>
      <c r="AG994" s="3">
        <v>40.700000000000003</v>
      </c>
      <c r="AH994" s="3">
        <v>38.4</v>
      </c>
      <c r="AI994" s="3">
        <v>38.5</v>
      </c>
      <c r="AJ994" s="3">
        <v>37.1</v>
      </c>
      <c r="AK994" s="3">
        <v>35.4</v>
      </c>
      <c r="AL994" s="3">
        <v>33.700000000000003</v>
      </c>
      <c r="AM994" s="3">
        <v>33.5</v>
      </c>
      <c r="AN994" s="3">
        <v>32</v>
      </c>
      <c r="AO994" s="3">
        <v>29.6</v>
      </c>
      <c r="AP994" s="3">
        <v>28.4</v>
      </c>
      <c r="AQ994" s="3">
        <v>28.1</v>
      </c>
      <c r="AR994" s="3">
        <v>28.3</v>
      </c>
      <c r="AS994" s="3">
        <v>28.5</v>
      </c>
      <c r="AT994" s="3">
        <v>28.6</v>
      </c>
      <c r="AU994" s="3">
        <v>27.2</v>
      </c>
      <c r="AV994" s="3">
        <v>25.7</v>
      </c>
      <c r="AW994" s="3">
        <v>24.6</v>
      </c>
      <c r="AX994" s="3">
        <v>19.7</v>
      </c>
      <c r="AY994" s="3">
        <v>17.899999999999999</v>
      </c>
      <c r="AZ994" s="3">
        <v>0</v>
      </c>
      <c r="BA994" s="3">
        <v>0</v>
      </c>
      <c r="BB994" s="3">
        <v>0</v>
      </c>
      <c r="BC994" s="3">
        <v>42.116053301137541</v>
      </c>
      <c r="BD994" s="3">
        <v>48.383946698862459</v>
      </c>
      <c r="BE994" s="3">
        <v>48.383946698862459</v>
      </c>
      <c r="BF994" s="3">
        <v>45.943946698862462</v>
      </c>
      <c r="BG994" s="3">
        <v>42.27061336552913</v>
      </c>
      <c r="BH994" s="3">
        <v>37.710613365529127</v>
      </c>
      <c r="BI994" s="3">
        <v>37.823946698862457</v>
      </c>
      <c r="BJ994" s="3">
        <v>41.317280032195796</v>
      </c>
      <c r="BK994" s="3">
        <v>42.590613365529123</v>
      </c>
      <c r="BL994" s="3">
        <v>45.963946698862472</v>
      </c>
      <c r="BM994" s="3">
        <v>40.697280032195792</v>
      </c>
      <c r="BN994" s="3">
        <v>38.680613365529126</v>
      </c>
      <c r="BO994" s="3">
        <v>38.147280032195795</v>
      </c>
      <c r="BP994" s="3">
        <v>36.463946698862472</v>
      </c>
      <c r="BQ994" s="3">
        <v>35.180613365529112</v>
      </c>
      <c r="BR994" s="3">
        <v>33.807280032195806</v>
      </c>
      <c r="BS994" s="3">
        <v>33.41061336552913</v>
      </c>
      <c r="BT994" s="3">
        <v>32.107280032195789</v>
      </c>
      <c r="BU994" s="3">
        <v>29.673946698862466</v>
      </c>
      <c r="BV994" s="3">
        <v>28.190613365529131</v>
      </c>
      <c r="BW994" s="3">
        <v>28.423946698862466</v>
      </c>
      <c r="BX994" s="3">
        <v>28.54394669886247</v>
      </c>
      <c r="BY994" s="3">
        <v>28.563946698862466</v>
      </c>
      <c r="BZ994" s="3">
        <v>28.79394669886247</v>
      </c>
      <c r="CA994" s="3">
        <v>27.493946698862445</v>
      </c>
      <c r="CB994" s="3">
        <v>25.430613365529126</v>
      </c>
      <c r="CC994" s="3">
        <v>24.543946698862456</v>
      </c>
      <c r="CD994" s="3">
        <v>18.950613365529129</v>
      </c>
      <c r="CE994" s="3">
        <v>17.343946698862453</v>
      </c>
      <c r="CF994" s="3">
        <v>-0.94271996780420864</v>
      </c>
      <c r="CG994" s="3">
        <v>-1.4760533011375401</v>
      </c>
      <c r="CH994" s="3">
        <v>-2.5527199678042081</v>
      </c>
      <c r="CI994" s="13">
        <f>[1]!dbasum(RecData[[#This Row],[20]:[2000]],RecData[[#Headers],[20]:[2000]])</f>
        <v>41.064372138390809</v>
      </c>
      <c r="CJ994" s="14">
        <v>10382</v>
      </c>
      <c r="CK994" s="15" t="s">
        <v>249</v>
      </c>
      <c r="CL994" s="15">
        <f>RecData[[#This Row],[Start Time]]</f>
        <v>43275.059027777781</v>
      </c>
      <c r="CM994" s="16">
        <f>RecData[[#This Row],[Wind Speed avg]]</f>
        <v>2.5499999999999998</v>
      </c>
      <c r="CN994" s="16">
        <f>RecData[[#This Row],[Wind Dir. avg]]</f>
        <v>150.30000000000001</v>
      </c>
      <c r="CO994" s="16">
        <f>RecData[[#This Row],[Amb. Humidity]]</f>
        <v>65.599999999999994</v>
      </c>
      <c r="CP994" s="16">
        <f>RecData[[#This Row],[Amb. Temperature]]</f>
        <v>13.7</v>
      </c>
      <c r="CQ994" s="17">
        <f>RecData[[#This Row],[Amb. Rain Gauge]]</f>
        <v>0</v>
      </c>
      <c r="CR994" s="4" t="s">
        <v>1</v>
      </c>
      <c r="CS994" s="4" t="s">
        <v>49</v>
      </c>
      <c r="CT994" s="70">
        <v>1612.05712890625</v>
      </c>
      <c r="CU994" s="70">
        <v>36.0003051757812</v>
      </c>
      <c r="CV994" s="70">
        <v>11.535779953002899</v>
      </c>
      <c r="CW994" s="70">
        <v>15.261070251464799</v>
      </c>
      <c r="CX994" s="4"/>
      <c r="CY994" s="69"/>
      <c r="CZ994" s="2" t="b">
        <f>IF($DP$1="YES",IF(RecData[[#This Row],[Power (kW)]]&gt;=$CR$3, TRUE,FALSE),TRUE)</f>
        <v>1</v>
      </c>
      <c r="DA994" s="16">
        <f>MIN(MOD(180-ABS(ABS($DA$1-RecData[Yaw Angle (°)])-180),360),MOD(180-ABS(ABS($DB$1-RecData[Yaw Angle (°)])-180),360))</f>
        <v>28.470378398093658</v>
      </c>
      <c r="DB994" s="2" t="str">
        <f>IF($DP$2="None","None",IF(RecData[[#This Row],[Relative Wind Direction]]&lt;=45,"DW",IF(RecData[[#This Row],[Relative Wind Direction]]&lt;=135,"CW","UW")))</f>
        <v>DW</v>
      </c>
      <c r="DC994" s="61" t="e">
        <f>IF($CL994-$CL991&gt;1/24,#REF!,IF(SUM($CQ991:$CQ994)&gt;$DS$1,$DS$5,#REF!-1))</f>
        <v>#REF!</v>
      </c>
      <c r="DD994" s="61" t="e">
        <f>IF(#REF!-$CL994&gt;1/24,#REF!,IF(SUM($CQ991:$CQ994)&gt;$DS$1,$DS$6,#REF!-1))</f>
        <v>#REF!</v>
      </c>
      <c r="DE994" s="18" t="b">
        <v>0</v>
      </c>
      <c r="DF994" s="2" t="b">
        <f>IF(OR(RecData[[#This Row],[WSpd_Avg '[m/s']]]-RecData[[#This Row],[Wind Speed min]]&gt;=$DF$3,RecData[[#This Row],[Wind Speed max]]-RecData[[#This Row],[WSpd_Avg '[m/s']]]&gt;=$DF$2),TRUE,FALSE)</f>
        <v>0</v>
      </c>
      <c r="DG994" s="2" t="b">
        <f>RecData[[#This Row],[Temperature '[°C']]]&lt;=-20</f>
        <v>0</v>
      </c>
      <c r="DH994" s="18" t="b">
        <f>NOT(OR(MOD(RecData[[#This Row],[TIMESTAMP]],1)&gt;0.91632,MOD(RecData[[#This Row],[TIMESTAMP]],1)&lt;0.208681))</f>
        <v>0</v>
      </c>
      <c r="DI994" s="18" t="b">
        <f>RecData[[#This Row],[Overall (dBA)]]-RecData[[#This Row],[L90]]&gt;=$DS$4</f>
        <v>0</v>
      </c>
      <c r="DJ994" s="18" t="b">
        <f>RecData[[#This Row],[Overall (dBA)]]&gt;$DS$2</f>
        <v>0</v>
      </c>
      <c r="DK994" s="18" t="b">
        <f>RecData[[#This Row],[Overall (dBA)]]&lt;$DS$3</f>
        <v>0</v>
      </c>
      <c r="DL9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4" s="2">
        <f>IF(AND(RecData[[#This Row],[Turbines ON/OFF]] = "OFF", NOT(OR(RecData[[#This Row],[Junk?]]="YES",RecData[[#This Row],[Gust?]],RecData[[#This Row],[Rain?]:[Min SPL Threshold?]]))),1,0)</f>
        <v>0</v>
      </c>
      <c r="DN994" s="16">
        <f>RecData[[#This Row],[dBA Sum]]</f>
        <v>41.064372138390809</v>
      </c>
      <c r="DO994" s="16">
        <f>RecData[[#This Row],[LAF90.0]]</f>
        <v>41.2</v>
      </c>
      <c r="DP994" s="55">
        <f>IF(AND(RecData[[#This Row],[Useable TON Data?]],RecData[[#This Row],[Turbines ON/OFF]]="ON"),RecData[[#This Row],[dBA Sum]],"")</f>
        <v>41.064372138390809</v>
      </c>
      <c r="DQ994" s="55" t="str">
        <f>IF(AND(RecData[[#This Row],[Useable Background Data?]],RecData[[#This Row],[Turbines ON/OFF]]="OFF"),RecData[[#This Row],[dBA Sum]],"")</f>
        <v/>
      </c>
      <c r="DR994" s="3">
        <f>IF(OR(RecData[[#This Row],[Useable TON Data?]],RecData[[#This Row],[Useable Background Data?]]),ROUND(RecData[[#This Row],[WSpd_Avg '[m/s']]],0),"")</f>
        <v>3</v>
      </c>
      <c r="DS994" s="85">
        <f>(0.00002)^2*(10^(RecData[[#This Row],[Overall (dBA)]]/10))</f>
        <v>5.1108978998988033E-6</v>
      </c>
    </row>
    <row r="995" spans="1:123" ht="15" x14ac:dyDescent="0.25">
      <c r="A995" s="3" t="s">
        <v>249</v>
      </c>
      <c r="B995" s="12">
        <v>43275.061111111114</v>
      </c>
      <c r="C995" s="3"/>
      <c r="D995" s="3">
        <v>42.1</v>
      </c>
      <c r="E995" s="3"/>
      <c r="F995" s="3"/>
      <c r="G995" s="3"/>
      <c r="H995" s="3"/>
      <c r="I995" s="3"/>
      <c r="J995" s="3"/>
      <c r="K995" s="3">
        <v>39.799999999999997</v>
      </c>
      <c r="L995" s="3"/>
      <c r="M995" s="3"/>
      <c r="N995" s="3">
        <v>162.19999999999999</v>
      </c>
      <c r="O995" s="3"/>
      <c r="P995" s="3"/>
      <c r="Q995" s="3">
        <v>1.62</v>
      </c>
      <c r="R995" s="3">
        <v>0.4</v>
      </c>
      <c r="S995" s="3">
        <v>2.6</v>
      </c>
      <c r="T995" s="3">
        <v>13.7</v>
      </c>
      <c r="U995" s="3">
        <v>65.599999999999994</v>
      </c>
      <c r="V995" s="3">
        <v>967</v>
      </c>
      <c r="W995" s="3">
        <v>0</v>
      </c>
      <c r="X995" s="3">
        <v>48.8</v>
      </c>
      <c r="Y995" s="3">
        <v>47.9</v>
      </c>
      <c r="Z995" s="3">
        <v>47.6</v>
      </c>
      <c r="AA995" s="3">
        <v>44.3</v>
      </c>
      <c r="AB995" s="3">
        <v>39.5</v>
      </c>
      <c r="AC995" s="3">
        <v>39</v>
      </c>
      <c r="AD995" s="3">
        <v>40.9</v>
      </c>
      <c r="AE995" s="3">
        <v>42.2</v>
      </c>
      <c r="AF995" s="3">
        <v>46.8</v>
      </c>
      <c r="AG995" s="3">
        <v>40.5</v>
      </c>
      <c r="AH995" s="3">
        <v>38.299999999999997</v>
      </c>
      <c r="AI995" s="3">
        <v>38.5</v>
      </c>
      <c r="AJ995" s="3">
        <v>36.9</v>
      </c>
      <c r="AK995" s="3">
        <v>35</v>
      </c>
      <c r="AL995" s="3">
        <v>33.299999999999997</v>
      </c>
      <c r="AM995" s="3">
        <v>32.9</v>
      </c>
      <c r="AN995" s="3">
        <v>31.8</v>
      </c>
      <c r="AO995" s="3">
        <v>29.6</v>
      </c>
      <c r="AP995" s="3">
        <v>28.8</v>
      </c>
      <c r="AQ995" s="3">
        <v>28.3</v>
      </c>
      <c r="AR995" s="3">
        <v>28.6</v>
      </c>
      <c r="AS995" s="3">
        <v>28.7</v>
      </c>
      <c r="AT995" s="3">
        <v>29</v>
      </c>
      <c r="AU995" s="3">
        <v>27.6</v>
      </c>
      <c r="AV995" s="3">
        <v>26.1</v>
      </c>
      <c r="AW995" s="3">
        <v>24.3</v>
      </c>
      <c r="AX995" s="3">
        <v>19.7</v>
      </c>
      <c r="AY995" s="3">
        <v>17.2</v>
      </c>
      <c r="AZ995" s="3">
        <v>0</v>
      </c>
      <c r="BA995" s="3">
        <v>0</v>
      </c>
      <c r="BB995" s="3">
        <v>0</v>
      </c>
      <c r="BC995" s="3">
        <v>42.125728085808412</v>
      </c>
      <c r="BD995" s="3">
        <v>48.774271914191594</v>
      </c>
      <c r="BE995" s="3">
        <v>47.874271914191588</v>
      </c>
      <c r="BF995" s="3">
        <v>46.334271914191596</v>
      </c>
      <c r="BG995" s="3">
        <v>43.360938580858253</v>
      </c>
      <c r="BH995" s="3">
        <v>38.700938580858256</v>
      </c>
      <c r="BI995" s="3">
        <v>38.614271914191598</v>
      </c>
      <c r="BJ995" s="3">
        <v>41.307605247524926</v>
      </c>
      <c r="BK995" s="3">
        <v>42.480938580858258</v>
      </c>
      <c r="BL995" s="3">
        <v>46.65427191419159</v>
      </c>
      <c r="BM995" s="3">
        <v>40.487605247524932</v>
      </c>
      <c r="BN995" s="3">
        <v>38.570938580858247</v>
      </c>
      <c r="BO995" s="3">
        <v>38.137605247524924</v>
      </c>
      <c r="BP995" s="3">
        <v>36.254271914191584</v>
      </c>
      <c r="BQ995" s="3">
        <v>34.77093858085825</v>
      </c>
      <c r="BR995" s="3">
        <v>33.397605247524929</v>
      </c>
      <c r="BS995" s="3">
        <v>32.800938580858265</v>
      </c>
      <c r="BT995" s="3">
        <v>31.897605247524929</v>
      </c>
      <c r="BU995" s="3">
        <v>29.664271914191595</v>
      </c>
      <c r="BV995" s="3">
        <v>28.580938580858266</v>
      </c>
      <c r="BW995" s="3">
        <v>28.614271914191598</v>
      </c>
      <c r="BX995" s="3">
        <v>28.834271914191596</v>
      </c>
      <c r="BY995" s="3">
        <v>28.754271914191584</v>
      </c>
      <c r="BZ995" s="3">
        <v>29.184271914191591</v>
      </c>
      <c r="CA995" s="3">
        <v>27.884271914191579</v>
      </c>
      <c r="CB995" s="3">
        <v>25.820938580858261</v>
      </c>
      <c r="CC995" s="3">
        <v>24.234271914191588</v>
      </c>
      <c r="CD995" s="3">
        <v>18.940938580858258</v>
      </c>
      <c r="CE995" s="3">
        <v>16.634271914191586</v>
      </c>
      <c r="CF995" s="3">
        <v>-0.95239475247507954</v>
      </c>
      <c r="CG995" s="3">
        <v>-1.485728085808411</v>
      </c>
      <c r="CH995" s="3">
        <v>-2.562394752475079</v>
      </c>
      <c r="CI995" s="13">
        <f>[1]!dbasum(RecData[[#This Row],[20]:[2000]],RecData[[#Headers],[20]:[2000]])</f>
        <v>40.995416503866494</v>
      </c>
      <c r="CJ995" s="14">
        <v>10385</v>
      </c>
      <c r="CK995" s="15" t="s">
        <v>249</v>
      </c>
      <c r="CL995" s="15">
        <f>RecData[[#This Row],[Start Time]]</f>
        <v>43275.061111111114</v>
      </c>
      <c r="CM995" s="16">
        <f>RecData[[#This Row],[Wind Speed avg]]</f>
        <v>1.62</v>
      </c>
      <c r="CN995" s="16">
        <f>RecData[[#This Row],[Wind Dir. avg]]</f>
        <v>162.19999999999999</v>
      </c>
      <c r="CO995" s="16">
        <f>RecData[[#This Row],[Amb. Humidity]]</f>
        <v>65.599999999999994</v>
      </c>
      <c r="CP995" s="16">
        <f>RecData[[#This Row],[Amb. Temperature]]</f>
        <v>13.7</v>
      </c>
      <c r="CQ995" s="17">
        <f>RecData[[#This Row],[Amb. Rain Gauge]]</f>
        <v>0</v>
      </c>
      <c r="CR995" s="4" t="s">
        <v>1</v>
      </c>
      <c r="CS995" s="4" t="s">
        <v>49</v>
      </c>
      <c r="CT995" s="70">
        <v>1612.05712890625</v>
      </c>
      <c r="CU995" s="70">
        <v>36.0003051757812</v>
      </c>
      <c r="CV995" s="70">
        <v>11.535779953002899</v>
      </c>
      <c r="CW995" s="70">
        <v>15.261070251464799</v>
      </c>
      <c r="CX995" s="4"/>
      <c r="CY995" s="69"/>
      <c r="CZ995" s="2" t="b">
        <f>IF($DP$1="YES",IF(RecData[[#This Row],[Power (kW)]]&gt;=$CR$3, TRUE,FALSE),TRUE)</f>
        <v>1</v>
      </c>
      <c r="DA995" s="16">
        <f>MIN(MOD(180-ABS(ABS($DA$1-RecData[Yaw Angle (°)])-180),360),MOD(180-ABS(ABS($DB$1-RecData[Yaw Angle (°)])-180),360))</f>
        <v>28.470378398093658</v>
      </c>
      <c r="DB995" s="2" t="str">
        <f>IF($DP$2="None","None",IF(RecData[[#This Row],[Relative Wind Direction]]&lt;=45,"DW",IF(RecData[[#This Row],[Relative Wind Direction]]&lt;=135,"CW","UW")))</f>
        <v>DW</v>
      </c>
      <c r="DC995" s="61" t="e">
        <f>IF($CL995-#REF!&gt;1/24,#REF!,IF(SUM($CQ994:$CQ995)&gt;$DS$1,$DS$5,#REF!-1))</f>
        <v>#REF!</v>
      </c>
      <c r="DD995" s="61" t="e">
        <f>IF(#REF!-$CL995&gt;1/24,#REF!,IF(SUM($CQ994:$CQ995)&gt;$DS$1,$DS$6,#REF!-1))</f>
        <v>#REF!</v>
      </c>
      <c r="DE995" s="18" t="b">
        <v>0</v>
      </c>
      <c r="DF995" s="2" t="b">
        <f>IF(OR(RecData[[#This Row],[WSpd_Avg '[m/s']]]-RecData[[#This Row],[Wind Speed min]]&gt;=$DF$3,RecData[[#This Row],[Wind Speed max]]-RecData[[#This Row],[WSpd_Avg '[m/s']]]&gt;=$DF$2),TRUE,FALSE)</f>
        <v>0</v>
      </c>
      <c r="DG995" s="2" t="b">
        <f>RecData[[#This Row],[Temperature '[°C']]]&lt;=-20</f>
        <v>0</v>
      </c>
      <c r="DH995" s="18" t="b">
        <f>NOT(OR(MOD(RecData[[#This Row],[TIMESTAMP]],1)&gt;0.91632,MOD(RecData[[#This Row],[TIMESTAMP]],1)&lt;0.208681))</f>
        <v>0</v>
      </c>
      <c r="DI995" s="18" t="b">
        <f>RecData[[#This Row],[Overall (dBA)]]-RecData[[#This Row],[L90]]&gt;=$DS$4</f>
        <v>0</v>
      </c>
      <c r="DJ995" s="18" t="b">
        <f>RecData[[#This Row],[Overall (dBA)]]&gt;$DS$2</f>
        <v>0</v>
      </c>
      <c r="DK995" s="18" t="b">
        <f>RecData[[#This Row],[Overall (dBA)]]&lt;$DS$3</f>
        <v>0</v>
      </c>
      <c r="DL9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5" s="2">
        <f>IF(AND(RecData[[#This Row],[Turbines ON/OFF]] = "OFF", NOT(OR(RecData[[#This Row],[Junk?]]="YES",RecData[[#This Row],[Gust?]],RecData[[#This Row],[Rain?]:[Min SPL Threshold?]]))),1,0)</f>
        <v>0</v>
      </c>
      <c r="DN995" s="16">
        <f>RecData[[#This Row],[dBA Sum]]</f>
        <v>40.995416503866494</v>
      </c>
      <c r="DO995" s="16">
        <f>RecData[[#This Row],[LAF90.0]]</f>
        <v>39.799999999999997</v>
      </c>
      <c r="DP995" s="55">
        <f>IF(AND(RecData[[#This Row],[Useable TON Data?]],RecData[[#This Row],[Turbines ON/OFF]]="ON"),RecData[[#This Row],[dBA Sum]],"")</f>
        <v>40.995416503866494</v>
      </c>
      <c r="DQ995" s="55" t="str">
        <f>IF(AND(RecData[[#This Row],[Useable Background Data?]],RecData[[#This Row],[Turbines ON/OFF]]="OFF"),RecData[[#This Row],[dBA Sum]],"")</f>
        <v/>
      </c>
      <c r="DR995" s="3">
        <f>IF(OR(RecData[[#This Row],[Useable TON Data?]],RecData[[#This Row],[Useable Background Data?]]),ROUND(RecData[[#This Row],[WSpd_Avg '[m/s']]],0),"")</f>
        <v>2</v>
      </c>
      <c r="DS995" s="85">
        <f>(0.00002)^2*(10^(RecData[[#This Row],[Overall (dBA)]]/10))</f>
        <v>5.0303898266275281E-6</v>
      </c>
    </row>
    <row r="996" spans="1:123" ht="15" x14ac:dyDescent="0.25">
      <c r="A996" s="3" t="s">
        <v>249</v>
      </c>
      <c r="B996" s="12">
        <v>43275.063888888893</v>
      </c>
      <c r="C996" s="3"/>
      <c r="D996" s="3">
        <v>41</v>
      </c>
      <c r="E996" s="3"/>
      <c r="F996" s="3"/>
      <c r="G996" s="3"/>
      <c r="H996" s="3"/>
      <c r="I996" s="3"/>
      <c r="J996" s="3"/>
      <c r="K996" s="3">
        <v>39.799999999999997</v>
      </c>
      <c r="L996" s="3"/>
      <c r="M996" s="3"/>
      <c r="N996" s="3">
        <v>146.1</v>
      </c>
      <c r="O996" s="3"/>
      <c r="P996" s="3"/>
      <c r="Q996" s="3">
        <v>1.29</v>
      </c>
      <c r="R996" s="3">
        <v>0.2</v>
      </c>
      <c r="S996" s="3">
        <v>2.5</v>
      </c>
      <c r="T996" s="3">
        <v>13.6</v>
      </c>
      <c r="U996" s="3">
        <v>65.400000000000006</v>
      </c>
      <c r="V996" s="3">
        <v>967</v>
      </c>
      <c r="W996" s="3">
        <v>0</v>
      </c>
      <c r="X996" s="3">
        <v>47.9</v>
      </c>
      <c r="Y996" s="3">
        <v>47</v>
      </c>
      <c r="Z996" s="3">
        <v>46.9</v>
      </c>
      <c r="AA996" s="3">
        <v>43.5</v>
      </c>
      <c r="AB996" s="3">
        <v>38.4</v>
      </c>
      <c r="AC996" s="3">
        <v>36.700000000000003</v>
      </c>
      <c r="AD996" s="3">
        <v>40</v>
      </c>
      <c r="AE996" s="3">
        <v>41.6</v>
      </c>
      <c r="AF996" s="3">
        <v>45.2</v>
      </c>
      <c r="AG996" s="3">
        <v>38.9</v>
      </c>
      <c r="AH996" s="3">
        <v>37.5</v>
      </c>
      <c r="AI996" s="3">
        <v>37.700000000000003</v>
      </c>
      <c r="AJ996" s="3">
        <v>36.1</v>
      </c>
      <c r="AK996" s="3">
        <v>34.200000000000003</v>
      </c>
      <c r="AL996" s="3">
        <v>32.700000000000003</v>
      </c>
      <c r="AM996" s="3">
        <v>32.5</v>
      </c>
      <c r="AN996" s="3">
        <v>31.3</v>
      </c>
      <c r="AO996" s="3">
        <v>29.4</v>
      </c>
      <c r="AP996" s="3">
        <v>28.4</v>
      </c>
      <c r="AQ996" s="3">
        <v>27.6</v>
      </c>
      <c r="AR996" s="3">
        <v>27</v>
      </c>
      <c r="AS996" s="3">
        <v>26.7</v>
      </c>
      <c r="AT996" s="3">
        <v>26.9</v>
      </c>
      <c r="AU996" s="3">
        <v>24.5</v>
      </c>
      <c r="AV996" s="3">
        <v>22.6</v>
      </c>
      <c r="AW996" s="3">
        <v>21.1</v>
      </c>
      <c r="AX996" s="3">
        <v>16.8</v>
      </c>
      <c r="AY996" s="3">
        <v>15</v>
      </c>
      <c r="AZ996" s="3">
        <v>0</v>
      </c>
      <c r="BA996" s="3">
        <v>0</v>
      </c>
      <c r="BB996" s="3">
        <v>0</v>
      </c>
      <c r="BC996" s="3">
        <v>41.019490727053586</v>
      </c>
      <c r="BD996" s="3">
        <v>47.880509272946419</v>
      </c>
      <c r="BE996" s="3">
        <v>46.980509272946414</v>
      </c>
      <c r="BF996" s="3">
        <v>45.64050927294641</v>
      </c>
      <c r="BG996" s="3">
        <v>42.567175939613087</v>
      </c>
      <c r="BH996" s="3">
        <v>37.607175939613079</v>
      </c>
      <c r="BI996" s="3">
        <v>36.320509272946417</v>
      </c>
      <c r="BJ996" s="3">
        <v>40.413842606279751</v>
      </c>
      <c r="BK996" s="3">
        <v>41.88717593961308</v>
      </c>
      <c r="BL996" s="3">
        <v>45.060509272946426</v>
      </c>
      <c r="BM996" s="3">
        <v>38.89384260627974</v>
      </c>
      <c r="BN996" s="3">
        <v>37.77717593961308</v>
      </c>
      <c r="BO996" s="3">
        <v>37.343842606279757</v>
      </c>
      <c r="BP996" s="3">
        <v>35.460509272946418</v>
      </c>
      <c r="BQ996" s="3">
        <v>33.977175939613083</v>
      </c>
      <c r="BR996" s="3">
        <v>32.803842606279751</v>
      </c>
      <c r="BS996" s="3">
        <v>32.40717593961309</v>
      </c>
      <c r="BT996" s="3">
        <v>31.403842606279746</v>
      </c>
      <c r="BU996" s="3">
        <v>29.470509272946423</v>
      </c>
      <c r="BV996" s="3">
        <v>28.187175939613077</v>
      </c>
      <c r="BW996" s="3">
        <v>27.920509272946411</v>
      </c>
      <c r="BX996" s="3">
        <v>27.240509272946419</v>
      </c>
      <c r="BY996" s="3">
        <v>26.760509272946415</v>
      </c>
      <c r="BZ996" s="3">
        <v>27.090509272946413</v>
      </c>
      <c r="CA996" s="3">
        <v>24.790509272946402</v>
      </c>
      <c r="CB996" s="3">
        <v>22.327175939613078</v>
      </c>
      <c r="CC996" s="3">
        <v>21.040509272946416</v>
      </c>
      <c r="CD996" s="3">
        <v>16.047175939613084</v>
      </c>
      <c r="CE996" s="3">
        <v>14.440509272946414</v>
      </c>
      <c r="CF996" s="3">
        <v>-0.94615739372025587</v>
      </c>
      <c r="CG996" s="3">
        <v>-1.4794907270535873</v>
      </c>
      <c r="CH996" s="3">
        <v>-2.5561573937202553</v>
      </c>
      <c r="CI996" s="13">
        <f>[1]!dbasum(RecData[[#This Row],[20]:[2000]],RecData[[#Headers],[20]:[2000]])</f>
        <v>40.220315343218417</v>
      </c>
      <c r="CJ996" s="14">
        <v>10389</v>
      </c>
      <c r="CK996" s="15" t="s">
        <v>249</v>
      </c>
      <c r="CL996" s="15">
        <f>RecData[[#This Row],[Start Time]]</f>
        <v>43275.063888888893</v>
      </c>
      <c r="CM996" s="16">
        <f>RecData[[#This Row],[Wind Speed avg]]</f>
        <v>1.29</v>
      </c>
      <c r="CN996" s="16">
        <f>RecData[[#This Row],[Wind Dir. avg]]</f>
        <v>146.1</v>
      </c>
      <c r="CO996" s="16">
        <f>RecData[[#This Row],[Amb. Humidity]]</f>
        <v>65.400000000000006</v>
      </c>
      <c r="CP996" s="16">
        <f>RecData[[#This Row],[Amb. Temperature]]</f>
        <v>13.6</v>
      </c>
      <c r="CQ996" s="17">
        <f>RecData[[#This Row],[Amb. Rain Gauge]]</f>
        <v>0</v>
      </c>
      <c r="CR996" s="4" t="s">
        <v>1</v>
      </c>
      <c r="CS996" s="4" t="s">
        <v>49</v>
      </c>
      <c r="CT996" s="70">
        <v>1609.96362304687</v>
      </c>
      <c r="CU996" s="70">
        <v>36.0003051757812</v>
      </c>
      <c r="CV996" s="70">
        <v>11.8509092330932</v>
      </c>
      <c r="CW996" s="70">
        <v>15.270905494689901</v>
      </c>
      <c r="CX996" s="4"/>
      <c r="CY996" s="69"/>
      <c r="CZ996" s="2" t="b">
        <f>IF($DP$1="YES",IF(RecData[[#This Row],[Power (kW)]]&gt;=$CR$3, TRUE,FALSE),TRUE)</f>
        <v>1</v>
      </c>
      <c r="DA996" s="16">
        <f>MIN(MOD(180-ABS(ABS($DA$1-RecData[Yaw Angle (°)])-180),360),MOD(180-ABS(ABS($DB$1-RecData[Yaw Angle (°)])-180),360))</f>
        <v>28.470378398093658</v>
      </c>
      <c r="DB996" s="2" t="str">
        <f>IF($DP$2="None","None",IF(RecData[[#This Row],[Relative Wind Direction]]&lt;=45,"DW",IF(RecData[[#This Row],[Relative Wind Direction]]&lt;=135,"CW","UW")))</f>
        <v>DW</v>
      </c>
      <c r="DC996" s="61" t="e">
        <f>IF($CL996-#REF!&gt;1/24,#REF!,IF(SUM($CQ996:$CQ996)&gt;$DS$1,$DS$5,#REF!-1))</f>
        <v>#REF!</v>
      </c>
      <c r="DD996" s="61" t="e">
        <f>IF(#REF!-$CL996&gt;1/24,#REF!,IF(SUM($CQ996:$CQ996)&gt;$DS$1,$DS$6,#REF!-1))</f>
        <v>#REF!</v>
      </c>
      <c r="DE996" s="18" t="b">
        <v>0</v>
      </c>
      <c r="DF996" s="2" t="b">
        <f>IF(OR(RecData[[#This Row],[WSpd_Avg '[m/s']]]-RecData[[#This Row],[Wind Speed min]]&gt;=$DF$3,RecData[[#This Row],[Wind Speed max]]-RecData[[#This Row],[WSpd_Avg '[m/s']]]&gt;=$DF$2),TRUE,FALSE)</f>
        <v>0</v>
      </c>
      <c r="DG996" s="2" t="b">
        <f>RecData[[#This Row],[Temperature '[°C']]]&lt;=-20</f>
        <v>0</v>
      </c>
      <c r="DH996" s="18" t="b">
        <f>NOT(OR(MOD(RecData[[#This Row],[TIMESTAMP]],1)&gt;0.91632,MOD(RecData[[#This Row],[TIMESTAMP]],1)&lt;0.208681))</f>
        <v>0</v>
      </c>
      <c r="DI996" s="18" t="b">
        <f>RecData[[#This Row],[Overall (dBA)]]-RecData[[#This Row],[L90]]&gt;=$DS$4</f>
        <v>0</v>
      </c>
      <c r="DJ996" s="18" t="b">
        <f>RecData[[#This Row],[Overall (dBA)]]&gt;$DS$2</f>
        <v>0</v>
      </c>
      <c r="DK996" s="18" t="b">
        <f>RecData[[#This Row],[Overall (dBA)]]&lt;$DS$3</f>
        <v>0</v>
      </c>
      <c r="DL9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6" s="2">
        <f>IF(AND(RecData[[#This Row],[Turbines ON/OFF]] = "OFF", NOT(OR(RecData[[#This Row],[Junk?]]="YES",RecData[[#This Row],[Gust?]],RecData[[#This Row],[Rain?]:[Min SPL Threshold?]]))),1,0)</f>
        <v>0</v>
      </c>
      <c r="DN996" s="16">
        <f>RecData[[#This Row],[dBA Sum]]</f>
        <v>40.220315343218417</v>
      </c>
      <c r="DO996" s="16">
        <f>RecData[[#This Row],[LAF90.0]]</f>
        <v>39.799999999999997</v>
      </c>
      <c r="DP996" s="55">
        <f>IF(AND(RecData[[#This Row],[Useable TON Data?]],RecData[[#This Row],[Turbines ON/OFF]]="ON"),RecData[[#This Row],[dBA Sum]],"")</f>
        <v>40.220315343218417</v>
      </c>
      <c r="DQ996" s="55" t="str">
        <f>IF(AND(RecData[[#This Row],[Useable Background Data?]],RecData[[#This Row],[Turbines ON/OFF]]="OFF"),RecData[[#This Row],[dBA Sum]],"")</f>
        <v/>
      </c>
      <c r="DR996" s="3">
        <f>IF(OR(RecData[[#This Row],[Useable TON Data?]],RecData[[#This Row],[Useable Background Data?]]),ROUND(RecData[[#This Row],[WSpd_Avg '[m/s']]],0),"")</f>
        <v>1</v>
      </c>
      <c r="DS996" s="85">
        <f>(0.00002)^2*(10^(RecData[[#This Row],[Overall (dBA)]]/10))</f>
        <v>4.2081530401253148E-6</v>
      </c>
    </row>
    <row r="997" spans="1:123" ht="15" x14ac:dyDescent="0.25">
      <c r="A997" s="3" t="s">
        <v>249</v>
      </c>
      <c r="B997" s="12">
        <v>43275.068055555559</v>
      </c>
      <c r="C997" s="3"/>
      <c r="D997" s="3">
        <v>42.4</v>
      </c>
      <c r="E997" s="3"/>
      <c r="F997" s="3"/>
      <c r="G997" s="3"/>
      <c r="H997" s="3"/>
      <c r="I997" s="3"/>
      <c r="J997" s="3"/>
      <c r="K997" s="3">
        <v>40.799999999999997</v>
      </c>
      <c r="L997" s="3"/>
      <c r="M997" s="3"/>
      <c r="N997" s="3">
        <v>130.1</v>
      </c>
      <c r="O997" s="3"/>
      <c r="P997" s="3"/>
      <c r="Q997" s="3">
        <v>1</v>
      </c>
      <c r="R997" s="3">
        <v>0.2</v>
      </c>
      <c r="S997" s="3">
        <v>2.2000000000000002</v>
      </c>
      <c r="T997" s="3">
        <v>13.5</v>
      </c>
      <c r="U997" s="3">
        <v>65.8</v>
      </c>
      <c r="V997" s="3">
        <v>967</v>
      </c>
      <c r="W997" s="3">
        <v>0</v>
      </c>
      <c r="X997" s="3">
        <v>47.9</v>
      </c>
      <c r="Y997" s="3">
        <v>47.6</v>
      </c>
      <c r="Z997" s="3">
        <v>48</v>
      </c>
      <c r="AA997" s="3">
        <v>44.1</v>
      </c>
      <c r="AB997" s="3">
        <v>38.6</v>
      </c>
      <c r="AC997" s="3">
        <v>38.200000000000003</v>
      </c>
      <c r="AD997" s="3">
        <v>40.200000000000003</v>
      </c>
      <c r="AE997" s="3">
        <v>41.6</v>
      </c>
      <c r="AF997" s="3">
        <v>45.5</v>
      </c>
      <c r="AG997" s="3">
        <v>39.6</v>
      </c>
      <c r="AH997" s="3">
        <v>37.9</v>
      </c>
      <c r="AI997" s="3">
        <v>37.700000000000003</v>
      </c>
      <c r="AJ997" s="3">
        <v>36.700000000000003</v>
      </c>
      <c r="AK997" s="3">
        <v>34.9</v>
      </c>
      <c r="AL997" s="3">
        <v>33.4</v>
      </c>
      <c r="AM997" s="3">
        <v>33.299999999999997</v>
      </c>
      <c r="AN997" s="3">
        <v>32.4</v>
      </c>
      <c r="AO997" s="3">
        <v>30.7</v>
      </c>
      <c r="AP997" s="3">
        <v>29.9</v>
      </c>
      <c r="AQ997" s="3">
        <v>29.5</v>
      </c>
      <c r="AR997" s="3">
        <v>29.6</v>
      </c>
      <c r="AS997" s="3">
        <v>29.4</v>
      </c>
      <c r="AT997" s="3">
        <v>29.3</v>
      </c>
      <c r="AU997" s="3">
        <v>27.5</v>
      </c>
      <c r="AV997" s="3">
        <v>26.1</v>
      </c>
      <c r="AW997" s="3">
        <v>24.7</v>
      </c>
      <c r="AX997" s="3">
        <v>20.100000000000001</v>
      </c>
      <c r="AY997" s="3">
        <v>17.8</v>
      </c>
      <c r="AZ997" s="3">
        <v>0</v>
      </c>
      <c r="BA997" s="3">
        <v>0</v>
      </c>
      <c r="BB997" s="3">
        <v>0</v>
      </c>
      <c r="BC997" s="3">
        <v>42.36121499104361</v>
      </c>
      <c r="BD997" s="3">
        <v>47.938785008956387</v>
      </c>
      <c r="BE997" s="3">
        <v>47.63878500895639</v>
      </c>
      <c r="BF997" s="3">
        <v>46.798785008956386</v>
      </c>
      <c r="BG997" s="3">
        <v>43.225451675623063</v>
      </c>
      <c r="BH997" s="3">
        <v>37.865451675623049</v>
      </c>
      <c r="BI997" s="3">
        <v>37.878785008956399</v>
      </c>
      <c r="BJ997" s="3">
        <v>40.672118342289721</v>
      </c>
      <c r="BK997" s="3">
        <v>41.945451675623062</v>
      </c>
      <c r="BL997" s="3">
        <v>45.418785008956391</v>
      </c>
      <c r="BM997" s="3">
        <v>39.652118342289725</v>
      </c>
      <c r="BN997" s="3">
        <v>38.235451675623054</v>
      </c>
      <c r="BO997" s="3">
        <v>37.402118342289725</v>
      </c>
      <c r="BP997" s="3">
        <v>36.118785008956394</v>
      </c>
      <c r="BQ997" s="3">
        <v>34.735451675623054</v>
      </c>
      <c r="BR997" s="3">
        <v>33.562118342289722</v>
      </c>
      <c r="BS997" s="3">
        <v>33.265451675623055</v>
      </c>
      <c r="BT997" s="3">
        <v>32.562118342289722</v>
      </c>
      <c r="BU997" s="3">
        <v>30.828785008956388</v>
      </c>
      <c r="BV997" s="3">
        <v>29.745451675623059</v>
      </c>
      <c r="BW997" s="3">
        <v>29.878785008956399</v>
      </c>
      <c r="BX997" s="3">
        <v>29.898785008956395</v>
      </c>
      <c r="BY997" s="3">
        <v>29.518785008956385</v>
      </c>
      <c r="BZ997" s="3">
        <v>29.548785008956386</v>
      </c>
      <c r="CA997" s="3">
        <v>27.848785008956384</v>
      </c>
      <c r="CB997" s="3">
        <v>25.885451675623059</v>
      </c>
      <c r="CC997" s="3">
        <v>24.698785008956392</v>
      </c>
      <c r="CD997" s="3">
        <v>19.405451675623056</v>
      </c>
      <c r="CE997" s="3">
        <v>17.298785008956386</v>
      </c>
      <c r="CF997" s="3">
        <v>-0.88788165771028105</v>
      </c>
      <c r="CG997" s="3">
        <v>-1.4212149910436125</v>
      </c>
      <c r="CH997" s="3">
        <v>-2.4978816577102805</v>
      </c>
      <c r="CI997" s="13">
        <f>[1]!dbasum(RecData[[#This Row],[20]:[2000]],RecData[[#Headers],[20]:[2000]])</f>
        <v>41.29303123982374</v>
      </c>
      <c r="CJ997" s="14">
        <v>10395</v>
      </c>
      <c r="CK997" s="15" t="s">
        <v>249</v>
      </c>
      <c r="CL997" s="15">
        <f>RecData[[#This Row],[Start Time]]</f>
        <v>43275.068055555559</v>
      </c>
      <c r="CM997" s="16">
        <f>RecData[[#This Row],[Wind Speed avg]]</f>
        <v>1</v>
      </c>
      <c r="CN997" s="16">
        <f>RecData[[#This Row],[Wind Dir. avg]]</f>
        <v>130.1</v>
      </c>
      <c r="CO997" s="16">
        <f>RecData[[#This Row],[Amb. Humidity]]</f>
        <v>65.8</v>
      </c>
      <c r="CP997" s="16">
        <f>RecData[[#This Row],[Amb. Temperature]]</f>
        <v>13.5</v>
      </c>
      <c r="CQ997" s="17">
        <f>RecData[[#This Row],[Amb. Rain Gauge]]</f>
        <v>0</v>
      </c>
      <c r="CR997" s="4" t="s">
        <v>1</v>
      </c>
      <c r="CS997" s="4" t="s">
        <v>49</v>
      </c>
      <c r="CT997" s="70">
        <v>1609.96362304687</v>
      </c>
      <c r="CU997" s="70">
        <v>36.0003051757812</v>
      </c>
      <c r="CV997" s="70">
        <v>11.8509092330932</v>
      </c>
      <c r="CW997" s="70">
        <v>15.270905494689901</v>
      </c>
      <c r="CX997" s="4"/>
      <c r="CY997" s="69"/>
      <c r="CZ997" s="2" t="b">
        <f>IF($DP$1="YES",IF(RecData[[#This Row],[Power (kW)]]&gt;=$CR$3, TRUE,FALSE),TRUE)</f>
        <v>1</v>
      </c>
      <c r="DA997" s="16">
        <f>MIN(MOD(180-ABS(ABS($DA$1-RecData[Yaw Angle (°)])-180),360),MOD(180-ABS(ABS($DB$1-RecData[Yaw Angle (°)])-180),360))</f>
        <v>28.470378398093658</v>
      </c>
      <c r="DB997" s="2" t="str">
        <f>IF($DP$2="None","None",IF(RecData[[#This Row],[Relative Wind Direction]]&lt;=45,"DW",IF(RecData[[#This Row],[Relative Wind Direction]]&lt;=135,"CW","UW")))</f>
        <v>DW</v>
      </c>
      <c r="DC997" s="61" t="e">
        <f>IF($CL997-#REF!&gt;1/24,#REF!,IF(SUM($CQ997:$CQ997)&gt;$DS$1,$DS$5,DC998-1))</f>
        <v>#REF!</v>
      </c>
      <c r="DD997" s="61" t="e">
        <f>IF($CL998-$CL997&gt;1/24,#REF!,IF(SUM($CQ997:$CQ997)&gt;$DS$1,$DS$6,#REF!-1))</f>
        <v>#REF!</v>
      </c>
      <c r="DE997" s="18" t="b">
        <v>0</v>
      </c>
      <c r="DF997" s="2" t="b">
        <f>IF(OR(RecData[[#This Row],[WSpd_Avg '[m/s']]]-RecData[[#This Row],[Wind Speed min]]&gt;=$DF$3,RecData[[#This Row],[Wind Speed max]]-RecData[[#This Row],[WSpd_Avg '[m/s']]]&gt;=$DF$2),TRUE,FALSE)</f>
        <v>0</v>
      </c>
      <c r="DG997" s="2" t="b">
        <f>RecData[[#This Row],[Temperature '[°C']]]&lt;=-20</f>
        <v>0</v>
      </c>
      <c r="DH997" s="18" t="b">
        <f>NOT(OR(MOD(RecData[[#This Row],[TIMESTAMP]],1)&gt;0.91632,MOD(RecData[[#This Row],[TIMESTAMP]],1)&lt;0.208681))</f>
        <v>0</v>
      </c>
      <c r="DI997" s="18" t="b">
        <f>RecData[[#This Row],[Overall (dBA)]]-RecData[[#This Row],[L90]]&gt;=$DS$4</f>
        <v>0</v>
      </c>
      <c r="DJ997" s="18" t="b">
        <f>RecData[[#This Row],[Overall (dBA)]]&gt;$DS$2</f>
        <v>0</v>
      </c>
      <c r="DK997" s="18" t="b">
        <f>RecData[[#This Row],[Overall (dBA)]]&lt;$DS$3</f>
        <v>0</v>
      </c>
      <c r="DL9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7" s="2">
        <f>IF(AND(RecData[[#This Row],[Turbines ON/OFF]] = "OFF", NOT(OR(RecData[[#This Row],[Junk?]]="YES",RecData[[#This Row],[Gust?]],RecData[[#This Row],[Rain?]:[Min SPL Threshold?]]))),1,0)</f>
        <v>0</v>
      </c>
      <c r="DN997" s="16">
        <f>RecData[[#This Row],[dBA Sum]]</f>
        <v>41.29303123982374</v>
      </c>
      <c r="DO997" s="16">
        <f>RecData[[#This Row],[LAF90.0]]</f>
        <v>40.799999999999997</v>
      </c>
      <c r="DP997" s="55">
        <f>IF(AND(RecData[[#This Row],[Useable TON Data?]],RecData[[#This Row],[Turbines ON/OFF]]="ON"),RecData[[#This Row],[dBA Sum]],"")</f>
        <v>41.29303123982374</v>
      </c>
      <c r="DQ997" s="55" t="str">
        <f>IF(AND(RecData[[#This Row],[Useable Background Data?]],RecData[[#This Row],[Turbines ON/OFF]]="OFF"),RecData[[#This Row],[dBA Sum]],"")</f>
        <v/>
      </c>
      <c r="DR997" s="3">
        <f>IF(OR(RecData[[#This Row],[Useable TON Data?]],RecData[[#This Row],[Useable Background Data?]]),ROUND(RecData[[#This Row],[WSpd_Avg '[m/s']]],0),"")</f>
        <v>1</v>
      </c>
      <c r="DS997" s="85">
        <f>(0.00002)^2*(10^(RecData[[#This Row],[Overall (dBA)]]/10))</f>
        <v>5.387200201775391E-6</v>
      </c>
    </row>
    <row r="998" spans="1:123" ht="15" x14ac:dyDescent="0.25">
      <c r="A998" s="3" t="s">
        <v>249</v>
      </c>
      <c r="B998" s="12">
        <v>43275.068750000006</v>
      </c>
      <c r="C998" s="3"/>
      <c r="D998" s="3">
        <v>42</v>
      </c>
      <c r="E998" s="3"/>
      <c r="F998" s="3"/>
      <c r="G998" s="3"/>
      <c r="H998" s="3"/>
      <c r="I998" s="3"/>
      <c r="J998" s="3"/>
      <c r="K998" s="3">
        <v>40.200000000000003</v>
      </c>
      <c r="L998" s="3"/>
      <c r="M998" s="3"/>
      <c r="N998" s="3">
        <v>142.9</v>
      </c>
      <c r="O998" s="3"/>
      <c r="P998" s="3"/>
      <c r="Q998" s="3">
        <v>1.36</v>
      </c>
      <c r="R998" s="3">
        <v>0.6</v>
      </c>
      <c r="S998" s="3">
        <v>2.6</v>
      </c>
      <c r="T998" s="3">
        <v>13.5</v>
      </c>
      <c r="U998" s="3">
        <v>65.900000000000006</v>
      </c>
      <c r="V998" s="3">
        <v>967</v>
      </c>
      <c r="W998" s="3">
        <v>0</v>
      </c>
      <c r="X998" s="3">
        <v>48.4</v>
      </c>
      <c r="Y998" s="3">
        <v>48.3</v>
      </c>
      <c r="Z998" s="3">
        <v>47.9</v>
      </c>
      <c r="AA998" s="3">
        <v>43.5</v>
      </c>
      <c r="AB998" s="3">
        <v>38.799999999999997</v>
      </c>
      <c r="AC998" s="3">
        <v>38.6</v>
      </c>
      <c r="AD998" s="3">
        <v>40.299999999999997</v>
      </c>
      <c r="AE998" s="3">
        <v>41.6</v>
      </c>
      <c r="AF998" s="3">
        <v>45.2</v>
      </c>
      <c r="AG998" s="3">
        <v>39.1</v>
      </c>
      <c r="AH998" s="3">
        <v>37.1</v>
      </c>
      <c r="AI998" s="3">
        <v>37</v>
      </c>
      <c r="AJ998" s="3">
        <v>35.9</v>
      </c>
      <c r="AK998" s="3">
        <v>34.299999999999997</v>
      </c>
      <c r="AL998" s="3">
        <v>32.799999999999997</v>
      </c>
      <c r="AM998" s="3">
        <v>32.9</v>
      </c>
      <c r="AN998" s="3">
        <v>31.9</v>
      </c>
      <c r="AO998" s="3">
        <v>29.8</v>
      </c>
      <c r="AP998" s="3">
        <v>28.9</v>
      </c>
      <c r="AQ998" s="3">
        <v>28.6</v>
      </c>
      <c r="AR998" s="3">
        <v>29</v>
      </c>
      <c r="AS998" s="3">
        <v>29.3</v>
      </c>
      <c r="AT998" s="3">
        <v>30</v>
      </c>
      <c r="AU998" s="3">
        <v>28.1</v>
      </c>
      <c r="AV998" s="3">
        <v>26.6</v>
      </c>
      <c r="AW998" s="3">
        <v>25.3</v>
      </c>
      <c r="AX998" s="3">
        <v>20.7</v>
      </c>
      <c r="AY998" s="3">
        <v>18.399999999999999</v>
      </c>
      <c r="AZ998" s="3">
        <v>0</v>
      </c>
      <c r="BA998" s="3">
        <v>0</v>
      </c>
      <c r="BB998" s="3">
        <v>0</v>
      </c>
      <c r="BC998" s="3">
        <v>41.980736920631394</v>
      </c>
      <c r="BD998" s="3">
        <v>48.419263079368612</v>
      </c>
      <c r="BE998" s="3">
        <v>48.319263079368604</v>
      </c>
      <c r="BF998" s="3">
        <v>46.679263079368603</v>
      </c>
      <c r="BG998" s="3">
        <v>42.605929746035279</v>
      </c>
      <c r="BH998" s="3">
        <v>38.045929746035277</v>
      </c>
      <c r="BI998" s="3">
        <v>38.259263079368615</v>
      </c>
      <c r="BJ998" s="3">
        <v>40.752596412701926</v>
      </c>
      <c r="BK998" s="3">
        <v>41.925929746035273</v>
      </c>
      <c r="BL998" s="3">
        <v>45.099263079368619</v>
      </c>
      <c r="BM998" s="3">
        <v>39.13259641270195</v>
      </c>
      <c r="BN998" s="3">
        <v>37.415929746035282</v>
      </c>
      <c r="BO998" s="3">
        <v>36.682596412701933</v>
      </c>
      <c r="BP998" s="3">
        <v>35.299263079368608</v>
      </c>
      <c r="BQ998" s="3">
        <v>34.11592974603527</v>
      </c>
      <c r="BR998" s="3">
        <v>32.942596412701938</v>
      </c>
      <c r="BS998" s="3">
        <v>32.845929746035274</v>
      </c>
      <c r="BT998" s="3">
        <v>32.042596412701947</v>
      </c>
      <c r="BU998" s="3">
        <v>29.909263079368607</v>
      </c>
      <c r="BV998" s="3">
        <v>28.72592974603527</v>
      </c>
      <c r="BW998" s="3">
        <v>28.959263079368604</v>
      </c>
      <c r="BX998" s="3">
        <v>29.279263079368611</v>
      </c>
      <c r="BY998" s="3">
        <v>29.399263079368602</v>
      </c>
      <c r="BZ998" s="3">
        <v>30.229263079368614</v>
      </c>
      <c r="CA998" s="3">
        <v>28.429263079368603</v>
      </c>
      <c r="CB998" s="3">
        <v>26.36592974603527</v>
      </c>
      <c r="CC998" s="3">
        <v>25.279263079368597</v>
      </c>
      <c r="CD998" s="3">
        <v>19.985929746035275</v>
      </c>
      <c r="CE998" s="3">
        <v>17.879263079368606</v>
      </c>
      <c r="CF998" s="3">
        <v>-0.90740358729806303</v>
      </c>
      <c r="CG998" s="3">
        <v>-1.4407369206313945</v>
      </c>
      <c r="CH998" s="3">
        <v>-2.5174035872980625</v>
      </c>
      <c r="CI998" s="13">
        <f>[1]!dbasum(RecData[[#This Row],[20]:[2000]],RecData[[#Headers],[20]:[2000]])</f>
        <v>40.633783940631147</v>
      </c>
      <c r="CJ998" s="14">
        <v>10396</v>
      </c>
      <c r="CK998" s="15" t="s">
        <v>249</v>
      </c>
      <c r="CL998" s="15">
        <f>RecData[[#This Row],[Start Time]]</f>
        <v>43275.068750000006</v>
      </c>
      <c r="CM998" s="16">
        <f>RecData[[#This Row],[Wind Speed avg]]</f>
        <v>1.36</v>
      </c>
      <c r="CN998" s="16">
        <f>RecData[[#This Row],[Wind Dir. avg]]</f>
        <v>142.9</v>
      </c>
      <c r="CO998" s="16">
        <f>RecData[[#This Row],[Amb. Humidity]]</f>
        <v>65.900000000000006</v>
      </c>
      <c r="CP998" s="16">
        <f>RecData[[#This Row],[Amb. Temperature]]</f>
        <v>13.5</v>
      </c>
      <c r="CQ998" s="17">
        <f>RecData[[#This Row],[Amb. Rain Gauge]]</f>
        <v>0</v>
      </c>
      <c r="CR998" s="4" t="s">
        <v>1</v>
      </c>
      <c r="CS998" s="4" t="s">
        <v>49</v>
      </c>
      <c r="CT998" s="70">
        <v>1609.96362304687</v>
      </c>
      <c r="CU998" s="70">
        <v>36.0003051757812</v>
      </c>
      <c r="CV998" s="70">
        <v>11.8509092330932</v>
      </c>
      <c r="CW998" s="70">
        <v>15.270905494689901</v>
      </c>
      <c r="CX998" s="4"/>
      <c r="CY998" s="69"/>
      <c r="CZ998" s="2" t="b">
        <f>IF($DP$1="YES",IF(RecData[[#This Row],[Power (kW)]]&gt;=$CR$3, TRUE,FALSE),TRUE)</f>
        <v>1</v>
      </c>
      <c r="DA998" s="16">
        <f>MIN(MOD(180-ABS(ABS($DA$1-RecData[Yaw Angle (°)])-180),360),MOD(180-ABS(ABS($DB$1-RecData[Yaw Angle (°)])-180),360))</f>
        <v>28.470378398093658</v>
      </c>
      <c r="DB998" s="2" t="str">
        <f>IF($DP$2="None","None",IF(RecData[[#This Row],[Relative Wind Direction]]&lt;=45,"DW",IF(RecData[[#This Row],[Relative Wind Direction]]&lt;=135,"CW","UW")))</f>
        <v>DW</v>
      </c>
      <c r="DC998" s="61">
        <v>-1</v>
      </c>
      <c r="DD998" s="61">
        <v>-1</v>
      </c>
      <c r="DE998" s="18" t="b">
        <v>0</v>
      </c>
      <c r="DF998" s="2" t="b">
        <f>IF(OR(RecData[[#This Row],[WSpd_Avg '[m/s']]]-RecData[[#This Row],[Wind Speed min]]&gt;=$DF$3,RecData[[#This Row],[Wind Speed max]]-RecData[[#This Row],[WSpd_Avg '[m/s']]]&gt;=$DF$2),TRUE,FALSE)</f>
        <v>0</v>
      </c>
      <c r="DG998" s="2" t="b">
        <f>RecData[[#This Row],[Temperature '[°C']]]&lt;=-20</f>
        <v>0</v>
      </c>
      <c r="DH998" s="18" t="b">
        <f>NOT(OR(MOD(RecData[[#This Row],[TIMESTAMP]],1)&gt;0.91632,MOD(RecData[[#This Row],[TIMESTAMP]],1)&lt;0.208681))</f>
        <v>0</v>
      </c>
      <c r="DI998" s="18" t="b">
        <f>RecData[[#This Row],[Overall (dBA)]]-RecData[[#This Row],[L90]]&gt;=$DS$4</f>
        <v>0</v>
      </c>
      <c r="DJ998" s="18" t="b">
        <f>RecData[[#This Row],[Overall (dBA)]]&gt;$DS$2</f>
        <v>0</v>
      </c>
      <c r="DK998" s="18" t="b">
        <f>RecData[[#This Row],[Overall (dBA)]]&lt;$DS$3</f>
        <v>0</v>
      </c>
      <c r="DL9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8" s="2">
        <f>IF(AND(RecData[[#This Row],[Turbines ON/OFF]] = "OFF", NOT(OR(RecData[[#This Row],[Junk?]]="YES",RecData[[#This Row],[Gust?]],RecData[[#This Row],[Rain?]:[Min SPL Threshold?]]))),1,0)</f>
        <v>0</v>
      </c>
      <c r="DN998" s="16">
        <f>RecData[[#This Row],[dBA Sum]]</f>
        <v>40.633783940631147</v>
      </c>
      <c r="DO998" s="16">
        <f>RecData[[#This Row],[LAF90.0]]</f>
        <v>40.200000000000003</v>
      </c>
      <c r="DP998" s="55">
        <f>IF(AND(RecData[[#This Row],[Useable TON Data?]],RecData[[#This Row],[Turbines ON/OFF]]="ON"),RecData[[#This Row],[dBA Sum]],"")</f>
        <v>40.633783940631147</v>
      </c>
      <c r="DQ998" s="55" t="str">
        <f>IF(AND(RecData[[#This Row],[Useable Background Data?]],RecData[[#This Row],[Turbines ON/OFF]]="OFF"),RecData[[#This Row],[dBA Sum]],"")</f>
        <v/>
      </c>
      <c r="DR998" s="3">
        <f>IF(OR(RecData[[#This Row],[Useable TON Data?]],RecData[[#This Row],[Useable Background Data?]]),ROUND(RecData[[#This Row],[WSpd_Avg '[m/s']]],0),"")</f>
        <v>1</v>
      </c>
      <c r="DS998" s="85">
        <f>(0.00002)^2*(10^(RecData[[#This Row],[Overall (dBA)]]/10))</f>
        <v>4.6284799354144926E-6</v>
      </c>
    </row>
    <row r="999" spans="1:123" ht="15" x14ac:dyDescent="0.25">
      <c r="A999" s="3" t="s">
        <v>249</v>
      </c>
      <c r="B999" s="12">
        <v>43275.069444444453</v>
      </c>
      <c r="C999" s="3"/>
      <c r="D999" s="3">
        <v>40.5</v>
      </c>
      <c r="E999" s="3"/>
      <c r="F999" s="3"/>
      <c r="G999" s="3"/>
      <c r="H999" s="3"/>
      <c r="I999" s="3"/>
      <c r="J999" s="3"/>
      <c r="K999" s="3">
        <v>39.6</v>
      </c>
      <c r="L999" s="3"/>
      <c r="M999" s="3"/>
      <c r="N999" s="3">
        <v>139.5</v>
      </c>
      <c r="O999" s="3"/>
      <c r="P999" s="3"/>
      <c r="Q999" s="3">
        <v>0.87</v>
      </c>
      <c r="R999" s="3">
        <v>0.2</v>
      </c>
      <c r="S999" s="3">
        <v>1.7</v>
      </c>
      <c r="T999" s="3">
        <v>13.4</v>
      </c>
      <c r="U999" s="3">
        <v>66.2</v>
      </c>
      <c r="V999" s="3">
        <v>967</v>
      </c>
      <c r="W999" s="3">
        <v>0</v>
      </c>
      <c r="X999" s="3">
        <v>48.6</v>
      </c>
      <c r="Y999" s="3">
        <v>48.2</v>
      </c>
      <c r="Z999" s="3">
        <v>47.5</v>
      </c>
      <c r="AA999" s="3">
        <v>43.3</v>
      </c>
      <c r="AB999" s="3">
        <v>39.1</v>
      </c>
      <c r="AC999" s="3">
        <v>38.1</v>
      </c>
      <c r="AD999" s="3">
        <v>40.6</v>
      </c>
      <c r="AE999" s="3">
        <v>42.1</v>
      </c>
      <c r="AF999" s="3">
        <v>44.7</v>
      </c>
      <c r="AG999" s="3">
        <v>39.4</v>
      </c>
      <c r="AH999" s="3">
        <v>37.5</v>
      </c>
      <c r="AI999" s="3">
        <v>37.4</v>
      </c>
      <c r="AJ999" s="3">
        <v>36.299999999999997</v>
      </c>
      <c r="AK999" s="3">
        <v>34.299999999999997</v>
      </c>
      <c r="AL999" s="3">
        <v>32.700000000000003</v>
      </c>
      <c r="AM999" s="3">
        <v>32.700000000000003</v>
      </c>
      <c r="AN999" s="3">
        <v>31.5</v>
      </c>
      <c r="AO999" s="3">
        <v>29.1</v>
      </c>
      <c r="AP999" s="3">
        <v>27.7</v>
      </c>
      <c r="AQ999" s="3">
        <v>26.6</v>
      </c>
      <c r="AR999" s="3">
        <v>25.5</v>
      </c>
      <c r="AS999" s="3">
        <v>24.4</v>
      </c>
      <c r="AT999" s="3">
        <v>24</v>
      </c>
      <c r="AU999" s="3">
        <v>20.8</v>
      </c>
      <c r="AV999" s="3">
        <v>19.3</v>
      </c>
      <c r="AW999" s="3">
        <v>17.600000000000001</v>
      </c>
      <c r="AX999" s="3">
        <v>13.4</v>
      </c>
      <c r="AY999" s="3">
        <v>11.3</v>
      </c>
      <c r="AZ999" s="3">
        <v>0</v>
      </c>
      <c r="BA999" s="3">
        <v>0</v>
      </c>
      <c r="BB999" s="3">
        <v>0</v>
      </c>
      <c r="BC999" s="3">
        <v>40.513926599849796</v>
      </c>
      <c r="BD999" s="3">
        <v>48.586073400150198</v>
      </c>
      <c r="BE999" s="3">
        <v>48.186073400150207</v>
      </c>
      <c r="BF999" s="3">
        <v>46.246073400150195</v>
      </c>
      <c r="BG999" s="3">
        <v>42.37274006681686</v>
      </c>
      <c r="BH999" s="3">
        <v>38.312740066816872</v>
      </c>
      <c r="BI999" s="3">
        <v>37.726073400150213</v>
      </c>
      <c r="BJ999" s="3">
        <v>41.019406733483535</v>
      </c>
      <c r="BK999" s="3">
        <v>42.39274006681687</v>
      </c>
      <c r="BL999" s="3">
        <v>44.566073400150216</v>
      </c>
      <c r="BM999" s="3">
        <v>39.399406733483531</v>
      </c>
      <c r="BN999" s="3">
        <v>37.782740066816871</v>
      </c>
      <c r="BO999" s="3">
        <v>37.049406733483536</v>
      </c>
      <c r="BP999" s="3">
        <v>35.666073400150211</v>
      </c>
      <c r="BQ999" s="3">
        <v>34.082740066816868</v>
      </c>
      <c r="BR999" s="3">
        <v>32.809406733483542</v>
      </c>
      <c r="BS999" s="3">
        <v>32.612740066816869</v>
      </c>
      <c r="BT999" s="3">
        <v>31.609406733483539</v>
      </c>
      <c r="BU999" s="3">
        <v>29.176073400150202</v>
      </c>
      <c r="BV999" s="3">
        <v>27.492740066816864</v>
      </c>
      <c r="BW999" s="3">
        <v>26.926073400150202</v>
      </c>
      <c r="BX999" s="3">
        <v>25.746073400150209</v>
      </c>
      <c r="BY999" s="3">
        <v>24.466073400150194</v>
      </c>
      <c r="BZ999" s="3">
        <v>24.196073400150212</v>
      </c>
      <c r="CA999" s="3">
        <v>21.096073400150196</v>
      </c>
      <c r="CB999" s="3">
        <v>19.032740066816871</v>
      </c>
      <c r="CC999" s="3">
        <v>17.546073400150206</v>
      </c>
      <c r="CD999" s="3">
        <v>12.652740066816875</v>
      </c>
      <c r="CE999" s="3">
        <v>10.746073400150202</v>
      </c>
      <c r="CF999" s="3">
        <v>-0.94059326651646558</v>
      </c>
      <c r="CG999" s="3">
        <v>-1.473926599849797</v>
      </c>
      <c r="CH999" s="3">
        <v>-2.550593266516465</v>
      </c>
      <c r="CI999" s="13">
        <f>[1]!dbasum(RecData[[#This Row],[20]:[2000]],RecData[[#Headers],[20]:[2000]])</f>
        <v>40.047853485155855</v>
      </c>
      <c r="CJ999" s="14">
        <v>10397</v>
      </c>
      <c r="CK999" s="15" t="s">
        <v>249</v>
      </c>
      <c r="CL999" s="15">
        <f>RecData[[#This Row],[Start Time]]</f>
        <v>43275.069444444453</v>
      </c>
      <c r="CM999" s="16">
        <f>RecData[[#This Row],[Wind Speed avg]]</f>
        <v>0.87</v>
      </c>
      <c r="CN999" s="16">
        <f>RecData[[#This Row],[Wind Dir. avg]]</f>
        <v>139.5</v>
      </c>
      <c r="CO999" s="16">
        <f>RecData[[#This Row],[Amb. Humidity]]</f>
        <v>66.2</v>
      </c>
      <c r="CP999" s="16">
        <f>RecData[[#This Row],[Amb. Temperature]]</f>
        <v>13.4</v>
      </c>
      <c r="CQ999" s="17">
        <f>RecData[[#This Row],[Amb. Rain Gauge]]</f>
        <v>0</v>
      </c>
      <c r="CR999" s="4" t="s">
        <v>1</v>
      </c>
      <c r="CS999" s="4" t="s">
        <v>49</v>
      </c>
      <c r="CT999" s="70">
        <v>1609.96362304687</v>
      </c>
      <c r="CU999" s="70">
        <v>36.0003051757812</v>
      </c>
      <c r="CV999" s="70">
        <v>11.8509092330932</v>
      </c>
      <c r="CW999" s="70">
        <v>15.270905494689901</v>
      </c>
      <c r="CX999" s="4"/>
      <c r="CY999" s="69"/>
      <c r="CZ999" s="2" t="b">
        <f>IF($DP$1="YES",IF(RecData[[#This Row],[Power (kW)]]&gt;=$CR$3, TRUE,FALSE),TRUE)</f>
        <v>1</v>
      </c>
      <c r="DA999" s="16">
        <f>MIN(MOD(180-ABS(ABS($DA$1-RecData[Yaw Angle (°)])-180),360),MOD(180-ABS(ABS($DB$1-RecData[Yaw Angle (°)])-180),360))</f>
        <v>28.470378398093658</v>
      </c>
      <c r="DB999" s="2" t="str">
        <f>IF($DP$2="None","None",IF(RecData[[#This Row],[Relative Wind Direction]]&lt;=45,"DW",IF(RecData[[#This Row],[Relative Wind Direction]]&lt;=135,"CW","UW")))</f>
        <v>DW</v>
      </c>
      <c r="DC999" s="61" t="e">
        <f>IF($CL999-$CL998&gt;1/24,#REF!,IF(SUM($CQ998:$CQ999)&gt;$DS$1,$DS$5,#REF!-1))</f>
        <v>#REF!</v>
      </c>
      <c r="DD999" s="61" t="e">
        <f>IF(#REF!-$CL999&gt;1/24,#REF!,IF(SUM($CQ998:$CQ999)&gt;$DS$1,$DS$6,DD998-1))</f>
        <v>#REF!</v>
      </c>
      <c r="DE999" s="18" t="b">
        <v>0</v>
      </c>
      <c r="DF999" s="2" t="b">
        <f>IF(OR(RecData[[#This Row],[WSpd_Avg '[m/s']]]-RecData[[#This Row],[Wind Speed min]]&gt;=$DF$3,RecData[[#This Row],[Wind Speed max]]-RecData[[#This Row],[WSpd_Avg '[m/s']]]&gt;=$DF$2),TRUE,FALSE)</f>
        <v>0</v>
      </c>
      <c r="DG999" s="2" t="b">
        <f>RecData[[#This Row],[Temperature '[°C']]]&lt;=-20</f>
        <v>0</v>
      </c>
      <c r="DH999" s="18" t="b">
        <f>NOT(OR(MOD(RecData[[#This Row],[TIMESTAMP]],1)&gt;0.91632,MOD(RecData[[#This Row],[TIMESTAMP]],1)&lt;0.208681))</f>
        <v>0</v>
      </c>
      <c r="DI999" s="18" t="b">
        <f>RecData[[#This Row],[Overall (dBA)]]-RecData[[#This Row],[L90]]&gt;=$DS$4</f>
        <v>0</v>
      </c>
      <c r="DJ999" s="18" t="b">
        <f>RecData[[#This Row],[Overall (dBA)]]&gt;$DS$2</f>
        <v>0</v>
      </c>
      <c r="DK999" s="18" t="b">
        <f>RecData[[#This Row],[Overall (dBA)]]&lt;$DS$3</f>
        <v>0</v>
      </c>
      <c r="DL9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999" s="2">
        <f>IF(AND(RecData[[#This Row],[Turbines ON/OFF]] = "OFF", NOT(OR(RecData[[#This Row],[Junk?]]="YES",RecData[[#This Row],[Gust?]],RecData[[#This Row],[Rain?]:[Min SPL Threshold?]]))),1,0)</f>
        <v>0</v>
      </c>
      <c r="DN999" s="16">
        <f>RecData[[#This Row],[dBA Sum]]</f>
        <v>40.047853485155855</v>
      </c>
      <c r="DO999" s="16">
        <f>RecData[[#This Row],[LAF90.0]]</f>
        <v>39.6</v>
      </c>
      <c r="DP999" s="55">
        <f>IF(AND(RecData[[#This Row],[Useable TON Data?]],RecData[[#This Row],[Turbines ON/OFF]]="ON"),RecData[[#This Row],[dBA Sum]],"")</f>
        <v>40.047853485155855</v>
      </c>
      <c r="DQ999" s="55" t="str">
        <f>IF(AND(RecData[[#This Row],[Useable Background Data?]],RecData[[#This Row],[Turbines ON/OFF]]="OFF"),RecData[[#This Row],[dBA Sum]],"")</f>
        <v/>
      </c>
      <c r="DR999" s="3">
        <f>IF(OR(RecData[[#This Row],[Useable TON Data?]],RecData[[#This Row],[Useable Background Data?]]),ROUND(RecData[[#This Row],[WSpd_Avg '[m/s']]],0),"")</f>
        <v>1</v>
      </c>
      <c r="DS999" s="85">
        <f>(0.00002)^2*(10^(RecData[[#This Row],[Overall (dBA)]]/10))</f>
        <v>4.0443184052211418E-6</v>
      </c>
    </row>
    <row r="1000" spans="1:123" ht="15" x14ac:dyDescent="0.25">
      <c r="A1000" s="3" t="s">
        <v>249</v>
      </c>
      <c r="B1000" s="12">
        <v>43275.072222222225</v>
      </c>
      <c r="C1000" s="3"/>
      <c r="D1000" s="3">
        <v>41.1</v>
      </c>
      <c r="E1000" s="3"/>
      <c r="F1000" s="3"/>
      <c r="G1000" s="3"/>
      <c r="H1000" s="3"/>
      <c r="I1000" s="3"/>
      <c r="J1000" s="3"/>
      <c r="K1000" s="3">
        <v>39.700000000000003</v>
      </c>
      <c r="L1000" s="3"/>
      <c r="M1000" s="3"/>
      <c r="N1000" s="3">
        <v>178.1</v>
      </c>
      <c r="O1000" s="3"/>
      <c r="P1000" s="3"/>
      <c r="Q1000" s="3">
        <v>1.0900000000000001</v>
      </c>
      <c r="R1000" s="3">
        <v>0.1</v>
      </c>
      <c r="S1000" s="3">
        <v>2</v>
      </c>
      <c r="T1000" s="3">
        <v>13.3</v>
      </c>
      <c r="U1000" s="3">
        <v>66.400000000000006</v>
      </c>
      <c r="V1000" s="3">
        <v>967</v>
      </c>
      <c r="W1000" s="3">
        <v>0</v>
      </c>
      <c r="X1000" s="3">
        <v>48.2</v>
      </c>
      <c r="Y1000" s="3">
        <v>48.3</v>
      </c>
      <c r="Z1000" s="3">
        <v>47.4</v>
      </c>
      <c r="AA1000" s="3">
        <v>42.1</v>
      </c>
      <c r="AB1000" s="3">
        <v>38.299999999999997</v>
      </c>
      <c r="AC1000" s="3">
        <v>36.200000000000003</v>
      </c>
      <c r="AD1000" s="3">
        <v>39.9</v>
      </c>
      <c r="AE1000" s="3">
        <v>42.1</v>
      </c>
      <c r="AF1000" s="3">
        <v>45.2</v>
      </c>
      <c r="AG1000" s="3">
        <v>38.700000000000003</v>
      </c>
      <c r="AH1000" s="3">
        <v>37.700000000000003</v>
      </c>
      <c r="AI1000" s="3">
        <v>37.799999999999997</v>
      </c>
      <c r="AJ1000" s="3">
        <v>36.6</v>
      </c>
      <c r="AK1000" s="3">
        <v>34.700000000000003</v>
      </c>
      <c r="AL1000" s="3">
        <v>32.9</v>
      </c>
      <c r="AM1000" s="3">
        <v>32.700000000000003</v>
      </c>
      <c r="AN1000" s="3">
        <v>31.6</v>
      </c>
      <c r="AO1000" s="3">
        <v>29.8</v>
      </c>
      <c r="AP1000" s="3">
        <v>28.8</v>
      </c>
      <c r="AQ1000" s="3">
        <v>28.1</v>
      </c>
      <c r="AR1000" s="3">
        <v>27.5</v>
      </c>
      <c r="AS1000" s="3">
        <v>26.4</v>
      </c>
      <c r="AT1000" s="3">
        <v>25.1</v>
      </c>
      <c r="AU1000" s="3">
        <v>22.4</v>
      </c>
      <c r="AV1000" s="3">
        <v>20.7</v>
      </c>
      <c r="AW1000" s="3">
        <v>18.899999999999999</v>
      </c>
      <c r="AX1000" s="3">
        <v>14.3</v>
      </c>
      <c r="AY1000" s="3">
        <v>12.2</v>
      </c>
      <c r="AZ1000" s="3">
        <v>0</v>
      </c>
      <c r="BA1000" s="3">
        <v>0</v>
      </c>
      <c r="BB1000" s="3">
        <v>0</v>
      </c>
      <c r="BC1000" s="3">
        <v>41.093560153250202</v>
      </c>
      <c r="BD1000" s="3">
        <v>48.206439846749809</v>
      </c>
      <c r="BE1000" s="3">
        <v>48.306439846749804</v>
      </c>
      <c r="BF1000" s="3">
        <v>46.166439846749789</v>
      </c>
      <c r="BG1000" s="3">
        <v>41.19310651341646</v>
      </c>
      <c r="BH1000" s="3">
        <v>37.533106513416463</v>
      </c>
      <c r="BI1000" s="3">
        <v>35.846439846749796</v>
      </c>
      <c r="BJ1000" s="3">
        <v>40.339773180083135</v>
      </c>
      <c r="BK1000" s="3">
        <v>42.413106513416459</v>
      </c>
      <c r="BL1000" s="3">
        <v>45.086439846749805</v>
      </c>
      <c r="BM1000" s="3">
        <v>38.719773180083131</v>
      </c>
      <c r="BN1000" s="3">
        <v>38.003106513416462</v>
      </c>
      <c r="BO1000" s="3">
        <v>37.469773180083131</v>
      </c>
      <c r="BP1000" s="3">
        <v>35.986439846749811</v>
      </c>
      <c r="BQ1000" s="3">
        <v>34.503106513416462</v>
      </c>
      <c r="BR1000" s="3">
        <v>33.029773180083133</v>
      </c>
      <c r="BS1000" s="3">
        <v>32.633106513416472</v>
      </c>
      <c r="BT1000" s="3">
        <v>31.729773180083136</v>
      </c>
      <c r="BU1000" s="3">
        <v>29.896439846749807</v>
      </c>
      <c r="BV1000" s="3">
        <v>28.613106513416476</v>
      </c>
      <c r="BW1000" s="3">
        <v>28.446439846749804</v>
      </c>
      <c r="BX1000" s="3">
        <v>27.766439846749812</v>
      </c>
      <c r="BY1000" s="3">
        <v>26.486439846749796</v>
      </c>
      <c r="BZ1000" s="3">
        <v>25.316439846749809</v>
      </c>
      <c r="CA1000" s="3">
        <v>22.716439846749786</v>
      </c>
      <c r="CB1000" s="3">
        <v>20.453106513416465</v>
      </c>
      <c r="CC1000" s="3">
        <v>18.866439846749792</v>
      </c>
      <c r="CD1000" s="3">
        <v>13.573106513416469</v>
      </c>
      <c r="CE1000" s="3">
        <v>11.666439846749796</v>
      </c>
      <c r="CF1000" s="3">
        <v>-0.92022681991686994</v>
      </c>
      <c r="CG1000" s="3">
        <v>-1.4535601532502014</v>
      </c>
      <c r="CH1000" s="3">
        <v>-2.5302268199168694</v>
      </c>
      <c r="CI1000" s="13">
        <f>[1]!dbasum(RecData[[#This Row],[20]:[2000]],RecData[[#Headers],[20]:[2000]])</f>
        <v>40.546534497525847</v>
      </c>
      <c r="CJ1000" s="14">
        <v>10401</v>
      </c>
      <c r="CK1000" s="15" t="s">
        <v>249</v>
      </c>
      <c r="CL1000" s="15">
        <f>RecData[[#This Row],[Start Time]]</f>
        <v>43275.072222222225</v>
      </c>
      <c r="CM1000" s="16">
        <f>RecData[[#This Row],[Wind Speed avg]]</f>
        <v>1.0900000000000001</v>
      </c>
      <c r="CN1000" s="16">
        <f>RecData[[#This Row],[Wind Dir. avg]]</f>
        <v>178.1</v>
      </c>
      <c r="CO1000" s="16">
        <f>RecData[[#This Row],[Amb. Humidity]]</f>
        <v>66.400000000000006</v>
      </c>
      <c r="CP1000" s="16">
        <f>RecData[[#This Row],[Amb. Temperature]]</f>
        <v>13.3</v>
      </c>
      <c r="CQ1000" s="17">
        <f>RecData[[#This Row],[Amb. Rain Gauge]]</f>
        <v>0</v>
      </c>
      <c r="CR1000" s="4" t="s">
        <v>1</v>
      </c>
      <c r="CS1000" s="4" t="s">
        <v>49</v>
      </c>
      <c r="CT1000" s="70">
        <v>1616.39099121093</v>
      </c>
      <c r="CU1000" s="70">
        <v>36.0003051757812</v>
      </c>
      <c r="CV1000" s="70">
        <v>11.594365119934</v>
      </c>
      <c r="CW1000" s="70">
        <v>15.282122611999499</v>
      </c>
      <c r="CX1000" s="4"/>
      <c r="CY1000" s="69"/>
      <c r="CZ1000" s="2" t="b">
        <f>IF($DP$1="YES",IF(RecData[[#This Row],[Power (kW)]]&gt;=$CR$3, TRUE,FALSE),TRUE)</f>
        <v>1</v>
      </c>
      <c r="DA1000" s="16">
        <f>MIN(MOD(180-ABS(ABS($DA$1-RecData[Yaw Angle (°)])-180),360),MOD(180-ABS(ABS($DB$1-RecData[Yaw Angle (°)])-180),360))</f>
        <v>28.470378398093658</v>
      </c>
      <c r="DB1000" s="2" t="str">
        <f>IF($DP$2="None","None",IF(RecData[[#This Row],[Relative Wind Direction]]&lt;=45,"DW",IF(RecData[[#This Row],[Relative Wind Direction]]&lt;=135,"CW","UW")))</f>
        <v>DW</v>
      </c>
      <c r="DC1000" s="61" t="e">
        <f>IF($CL1000-$CL999&gt;1/24,#REF!,IF(SUM($CQ999:$CQ1000)&gt;$DS$1,$DS$5,DC1001-1))</f>
        <v>#REF!</v>
      </c>
      <c r="DD1000" s="61" t="e">
        <f>IF($CL1001-$CL1000&gt;1/24,#REF!,IF(SUM($CQ999:$CQ1000)&gt;$DS$1,$DS$6,#REF!-1))</f>
        <v>#REF!</v>
      </c>
      <c r="DE1000" s="18" t="b">
        <v>0</v>
      </c>
      <c r="DF1000" s="2" t="b">
        <f>IF(OR(RecData[[#This Row],[WSpd_Avg '[m/s']]]-RecData[[#This Row],[Wind Speed min]]&gt;=$DF$3,RecData[[#This Row],[Wind Speed max]]-RecData[[#This Row],[WSpd_Avg '[m/s']]]&gt;=$DF$2),TRUE,FALSE)</f>
        <v>0</v>
      </c>
      <c r="DG1000" s="2" t="b">
        <f>RecData[[#This Row],[Temperature '[°C']]]&lt;=-20</f>
        <v>0</v>
      </c>
      <c r="DH1000" s="18" t="b">
        <f>NOT(OR(MOD(RecData[[#This Row],[TIMESTAMP]],1)&gt;0.91632,MOD(RecData[[#This Row],[TIMESTAMP]],1)&lt;0.208681))</f>
        <v>0</v>
      </c>
      <c r="DI1000" s="18" t="b">
        <f>RecData[[#This Row],[Overall (dBA)]]-RecData[[#This Row],[L90]]&gt;=$DS$4</f>
        <v>0</v>
      </c>
      <c r="DJ1000" s="18" t="b">
        <f>RecData[[#This Row],[Overall (dBA)]]&gt;$DS$2</f>
        <v>0</v>
      </c>
      <c r="DK1000" s="18" t="b">
        <f>RecData[[#This Row],[Overall (dBA)]]&lt;$DS$3</f>
        <v>0</v>
      </c>
      <c r="DL10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0" s="2">
        <f>IF(AND(RecData[[#This Row],[Turbines ON/OFF]] = "OFF", NOT(OR(RecData[[#This Row],[Junk?]]="YES",RecData[[#This Row],[Gust?]],RecData[[#This Row],[Rain?]:[Min SPL Threshold?]]))),1,0)</f>
        <v>0</v>
      </c>
      <c r="DN1000" s="16">
        <f>RecData[[#This Row],[dBA Sum]]</f>
        <v>40.546534497525847</v>
      </c>
      <c r="DO1000" s="16">
        <f>RecData[[#This Row],[LAF90.0]]</f>
        <v>39.700000000000003</v>
      </c>
      <c r="DP1000" s="55">
        <f>IF(AND(RecData[[#This Row],[Useable TON Data?]],RecData[[#This Row],[Turbines ON/OFF]]="ON"),RecData[[#This Row],[dBA Sum]],"")</f>
        <v>40.546534497525847</v>
      </c>
      <c r="DQ1000" s="55" t="str">
        <f>IF(AND(RecData[[#This Row],[Useable Background Data?]],RecData[[#This Row],[Turbines ON/OFF]]="OFF"),RecData[[#This Row],[dBA Sum]],"")</f>
        <v/>
      </c>
      <c r="DR1000" s="3">
        <f>IF(OR(RecData[[#This Row],[Useable TON Data?]],RecData[[#This Row],[Useable Background Data?]]),ROUND(RecData[[#This Row],[WSpd_Avg '[m/s']]],0),"")</f>
        <v>1</v>
      </c>
      <c r="DS1000" s="85">
        <f>(0.00002)^2*(10^(RecData[[#This Row],[Overall (dBA)]]/10))</f>
        <v>4.5364219282931871E-6</v>
      </c>
    </row>
    <row r="1001" spans="1:123" ht="15" x14ac:dyDescent="0.25">
      <c r="A1001" s="3" t="s">
        <v>249</v>
      </c>
      <c r="B1001" s="12">
        <v>43275.072916666672</v>
      </c>
      <c r="C1001" s="3"/>
      <c r="D1001" s="3">
        <v>41.1</v>
      </c>
      <c r="E1001" s="3"/>
      <c r="F1001" s="3"/>
      <c r="G1001" s="3"/>
      <c r="H1001" s="3"/>
      <c r="I1001" s="3"/>
      <c r="J1001" s="3"/>
      <c r="K1001" s="3">
        <v>39.799999999999997</v>
      </c>
      <c r="L1001" s="3"/>
      <c r="M1001" s="3"/>
      <c r="N1001" s="3">
        <v>127.7</v>
      </c>
      <c r="O1001" s="3"/>
      <c r="P1001" s="3"/>
      <c r="Q1001" s="3">
        <v>1.58</v>
      </c>
      <c r="R1001" s="3">
        <v>0.5</v>
      </c>
      <c r="S1001" s="3">
        <v>2.6</v>
      </c>
      <c r="T1001" s="3">
        <v>13.3</v>
      </c>
      <c r="U1001" s="3">
        <v>66.5</v>
      </c>
      <c r="V1001" s="3">
        <v>967</v>
      </c>
      <c r="W1001" s="3">
        <v>0</v>
      </c>
      <c r="X1001" s="3">
        <v>48</v>
      </c>
      <c r="Y1001" s="3">
        <v>48.6</v>
      </c>
      <c r="Z1001" s="3">
        <v>48.4</v>
      </c>
      <c r="AA1001" s="3">
        <v>43.4</v>
      </c>
      <c r="AB1001" s="3">
        <v>38.4</v>
      </c>
      <c r="AC1001" s="3">
        <v>37.299999999999997</v>
      </c>
      <c r="AD1001" s="3">
        <v>39.799999999999997</v>
      </c>
      <c r="AE1001" s="3">
        <v>41.4</v>
      </c>
      <c r="AF1001" s="3">
        <v>45.4</v>
      </c>
      <c r="AG1001" s="3">
        <v>39.5</v>
      </c>
      <c r="AH1001" s="3">
        <v>37.200000000000003</v>
      </c>
      <c r="AI1001" s="3">
        <v>37.700000000000003</v>
      </c>
      <c r="AJ1001" s="3">
        <v>36.799999999999997</v>
      </c>
      <c r="AK1001" s="3">
        <v>35.1</v>
      </c>
      <c r="AL1001" s="3">
        <v>33.4</v>
      </c>
      <c r="AM1001" s="3">
        <v>33.200000000000003</v>
      </c>
      <c r="AN1001" s="3">
        <v>31.8</v>
      </c>
      <c r="AO1001" s="3">
        <v>29.9</v>
      </c>
      <c r="AP1001" s="3">
        <v>28.9</v>
      </c>
      <c r="AQ1001" s="3">
        <v>27.9</v>
      </c>
      <c r="AR1001" s="3">
        <v>26.8</v>
      </c>
      <c r="AS1001" s="3">
        <v>25.5</v>
      </c>
      <c r="AT1001" s="3">
        <v>24.1</v>
      </c>
      <c r="AU1001" s="3">
        <v>20.6</v>
      </c>
      <c r="AV1001" s="3">
        <v>18.399999999999999</v>
      </c>
      <c r="AW1001" s="3">
        <v>16.399999999999999</v>
      </c>
      <c r="AX1001" s="3">
        <v>12.2</v>
      </c>
      <c r="AY1001" s="3">
        <v>10.8</v>
      </c>
      <c r="AZ1001" s="3">
        <v>0</v>
      </c>
      <c r="BA1001" s="3">
        <v>0</v>
      </c>
      <c r="BB1001" s="3">
        <v>0</v>
      </c>
      <c r="BC1001" s="3">
        <v>41.092444591681613</v>
      </c>
      <c r="BD1001" s="3">
        <v>48.007555408318382</v>
      </c>
      <c r="BE1001" s="3">
        <v>48.60755540831839</v>
      </c>
      <c r="BF1001" s="3">
        <v>47.167555408318378</v>
      </c>
      <c r="BG1001" s="3">
        <v>42.494222074985061</v>
      </c>
      <c r="BH1001" s="3">
        <v>37.634222074985047</v>
      </c>
      <c r="BI1001" s="3">
        <v>36.947555408318379</v>
      </c>
      <c r="BJ1001" s="3">
        <v>40.240888741651716</v>
      </c>
      <c r="BK1001" s="3">
        <v>41.714222074985059</v>
      </c>
      <c r="BL1001" s="3">
        <v>45.287555408318383</v>
      </c>
      <c r="BM1001" s="3">
        <v>39.520888741651731</v>
      </c>
      <c r="BN1001" s="3">
        <v>37.504222074985051</v>
      </c>
      <c r="BO1001" s="3">
        <v>37.370888741651726</v>
      </c>
      <c r="BP1001" s="3">
        <v>36.187555408318389</v>
      </c>
      <c r="BQ1001" s="3">
        <v>34.904222074985057</v>
      </c>
      <c r="BR1001" s="3">
        <v>33.530888741651722</v>
      </c>
      <c r="BS1001" s="3">
        <v>33.134222074985061</v>
      </c>
      <c r="BT1001" s="3">
        <v>31.930888741651728</v>
      </c>
      <c r="BU1001" s="3">
        <v>29.997555408318391</v>
      </c>
      <c r="BV1001" s="3">
        <v>28.714222074985059</v>
      </c>
      <c r="BW1001" s="3">
        <v>28.247555408318391</v>
      </c>
      <c r="BX1001" s="3">
        <v>27.067555408318398</v>
      </c>
      <c r="BY1001" s="3">
        <v>25.587555408318394</v>
      </c>
      <c r="BZ1001" s="3">
        <v>24.317555408318398</v>
      </c>
      <c r="CA1001" s="3">
        <v>20.917555408318378</v>
      </c>
      <c r="CB1001" s="3">
        <v>18.154222074985057</v>
      </c>
      <c r="CC1001" s="3">
        <v>16.367555408318381</v>
      </c>
      <c r="CD1001" s="3">
        <v>11.474222074985057</v>
      </c>
      <c r="CE1001" s="3">
        <v>10.267555408318387</v>
      </c>
      <c r="CF1001" s="3">
        <v>-0.91911125834828056</v>
      </c>
      <c r="CG1001" s="3">
        <v>-1.452444591681612</v>
      </c>
      <c r="CH1001" s="3">
        <v>-2.52911125834828</v>
      </c>
      <c r="CI1001" s="13">
        <f>[1]!dbasum(RecData[[#This Row],[20]:[2000]],RecData[[#Headers],[20]:[2000]])</f>
        <v>40.67648623450004</v>
      </c>
      <c r="CJ1001" s="14">
        <v>10402</v>
      </c>
      <c r="CK1001" s="15" t="s">
        <v>249</v>
      </c>
      <c r="CL1001" s="15">
        <f>RecData[[#This Row],[Start Time]]</f>
        <v>43275.072916666672</v>
      </c>
      <c r="CM1001" s="16">
        <f>RecData[[#This Row],[Wind Speed avg]]</f>
        <v>1.58</v>
      </c>
      <c r="CN1001" s="16">
        <f>RecData[[#This Row],[Wind Dir. avg]]</f>
        <v>127.7</v>
      </c>
      <c r="CO1001" s="16">
        <f>RecData[[#This Row],[Amb. Humidity]]</f>
        <v>66.5</v>
      </c>
      <c r="CP1001" s="16">
        <f>RecData[[#This Row],[Amb. Temperature]]</f>
        <v>13.3</v>
      </c>
      <c r="CQ1001" s="17">
        <f>RecData[[#This Row],[Amb. Rain Gauge]]</f>
        <v>0</v>
      </c>
      <c r="CR1001" s="4" t="s">
        <v>1</v>
      </c>
      <c r="CS1001" s="4" t="s">
        <v>49</v>
      </c>
      <c r="CT1001" s="70">
        <v>1616.39099121093</v>
      </c>
      <c r="CU1001" s="70">
        <v>36.0003051757812</v>
      </c>
      <c r="CV1001" s="70">
        <v>11.594365119934</v>
      </c>
      <c r="CW1001" s="70">
        <v>15.282122611999499</v>
      </c>
      <c r="CX1001" s="4"/>
      <c r="CY1001" s="69"/>
      <c r="CZ1001" s="2" t="b">
        <f>IF($DP$1="YES",IF(RecData[[#This Row],[Power (kW)]]&gt;=$CR$3, TRUE,FALSE),TRUE)</f>
        <v>1</v>
      </c>
      <c r="DA1001" s="16">
        <f>MIN(MOD(180-ABS(ABS($DA$1-RecData[Yaw Angle (°)])-180),360),MOD(180-ABS(ABS($DB$1-RecData[Yaw Angle (°)])-180),360))</f>
        <v>28.470378398093658</v>
      </c>
      <c r="DB1001" s="2" t="str">
        <f>IF($DP$2="None","None",IF(RecData[[#This Row],[Relative Wind Direction]]&lt;=45,"DW",IF(RecData[[#This Row],[Relative Wind Direction]]&lt;=135,"CW","UW")))</f>
        <v>DW</v>
      </c>
      <c r="DC1001" s="61" t="e">
        <f>IF($CL1001-#REF!&gt;1/24,#REF!,IF(SUM($CQ1000:$CQ1001)&gt;$DS$1,$DS$5,DC1002-1))</f>
        <v>#REF!</v>
      </c>
      <c r="DD1001" s="61" t="e">
        <f>IF($CL1002-$CL1001&gt;1/24,#REF!,IF(SUM($CQ1000:$CQ1001)&gt;$DS$1,$DS$6,DD1000-1))</f>
        <v>#REF!</v>
      </c>
      <c r="DE1001" s="18" t="b">
        <v>0</v>
      </c>
      <c r="DF1001" s="2" t="b">
        <f>IF(OR(RecData[[#This Row],[WSpd_Avg '[m/s']]]-RecData[[#This Row],[Wind Speed min]]&gt;=$DF$3,RecData[[#This Row],[Wind Speed max]]-RecData[[#This Row],[WSpd_Avg '[m/s']]]&gt;=$DF$2),TRUE,FALSE)</f>
        <v>0</v>
      </c>
      <c r="DG1001" s="2" t="b">
        <f>RecData[[#This Row],[Temperature '[°C']]]&lt;=-20</f>
        <v>0</v>
      </c>
      <c r="DH1001" s="18" t="b">
        <f>NOT(OR(MOD(RecData[[#This Row],[TIMESTAMP]],1)&gt;0.91632,MOD(RecData[[#This Row],[TIMESTAMP]],1)&lt;0.208681))</f>
        <v>0</v>
      </c>
      <c r="DI1001" s="18" t="b">
        <f>RecData[[#This Row],[Overall (dBA)]]-RecData[[#This Row],[L90]]&gt;=$DS$4</f>
        <v>0</v>
      </c>
      <c r="DJ1001" s="18" t="b">
        <f>RecData[[#This Row],[Overall (dBA)]]&gt;$DS$2</f>
        <v>0</v>
      </c>
      <c r="DK1001" s="18" t="b">
        <f>RecData[[#This Row],[Overall (dBA)]]&lt;$DS$3</f>
        <v>0</v>
      </c>
      <c r="DL10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1" s="2">
        <f>IF(AND(RecData[[#This Row],[Turbines ON/OFF]] = "OFF", NOT(OR(RecData[[#This Row],[Junk?]]="YES",RecData[[#This Row],[Gust?]],RecData[[#This Row],[Rain?]:[Min SPL Threshold?]]))),1,0)</f>
        <v>0</v>
      </c>
      <c r="DN1001" s="16">
        <f>RecData[[#This Row],[dBA Sum]]</f>
        <v>40.67648623450004</v>
      </c>
      <c r="DO1001" s="16">
        <f>RecData[[#This Row],[LAF90.0]]</f>
        <v>39.799999999999997</v>
      </c>
      <c r="DP1001" s="55">
        <f>IF(AND(RecData[[#This Row],[Useable TON Data?]],RecData[[#This Row],[Turbines ON/OFF]]="ON"),RecData[[#This Row],[dBA Sum]],"")</f>
        <v>40.67648623450004</v>
      </c>
      <c r="DQ1001" s="55" t="str">
        <f>IF(AND(RecData[[#This Row],[Useable Background Data?]],RecData[[#This Row],[Turbines ON/OFF]]="OFF"),RecData[[#This Row],[dBA Sum]],"")</f>
        <v/>
      </c>
      <c r="DR1001" s="3">
        <f>IF(OR(RecData[[#This Row],[Useable TON Data?]],RecData[[#This Row],[Useable Background Data?]]),ROUND(RecData[[#This Row],[WSpd_Avg '[m/s']]],0),"")</f>
        <v>2</v>
      </c>
      <c r="DS1001" s="85">
        <f>(0.00002)^2*(10^(RecData[[#This Row],[Overall (dBA)]]/10))</f>
        <v>4.674214246677857E-6</v>
      </c>
    </row>
    <row r="1002" spans="1:123" ht="15" x14ac:dyDescent="0.25">
      <c r="A1002" s="3" t="s">
        <v>249</v>
      </c>
      <c r="B1002" s="12">
        <v>43275.073611111118</v>
      </c>
      <c r="C1002" s="3"/>
      <c r="D1002" s="3">
        <v>42.8</v>
      </c>
      <c r="E1002" s="3"/>
      <c r="F1002" s="3"/>
      <c r="G1002" s="3"/>
      <c r="H1002" s="3"/>
      <c r="I1002" s="3"/>
      <c r="J1002" s="3"/>
      <c r="K1002" s="3">
        <v>41.1</v>
      </c>
      <c r="L1002" s="3"/>
      <c r="M1002" s="3"/>
      <c r="N1002" s="3">
        <v>170.5</v>
      </c>
      <c r="O1002" s="3"/>
      <c r="P1002" s="3"/>
      <c r="Q1002" s="3">
        <v>1.33</v>
      </c>
      <c r="R1002" s="3">
        <v>0.1</v>
      </c>
      <c r="S1002" s="3">
        <v>2.5</v>
      </c>
      <c r="T1002" s="3">
        <v>13.3</v>
      </c>
      <c r="U1002" s="3">
        <v>66.5</v>
      </c>
      <c r="V1002" s="3">
        <v>967</v>
      </c>
      <c r="W1002" s="3">
        <v>0</v>
      </c>
      <c r="X1002" s="3">
        <v>47.7</v>
      </c>
      <c r="Y1002" s="3">
        <v>47.5</v>
      </c>
      <c r="Z1002" s="3">
        <v>47.6</v>
      </c>
      <c r="AA1002" s="3">
        <v>42.6</v>
      </c>
      <c r="AB1002" s="3">
        <v>37.700000000000003</v>
      </c>
      <c r="AC1002" s="3">
        <v>37.4</v>
      </c>
      <c r="AD1002" s="3">
        <v>40.5</v>
      </c>
      <c r="AE1002" s="3">
        <v>41.9</v>
      </c>
      <c r="AF1002" s="3">
        <v>46.5</v>
      </c>
      <c r="AG1002" s="3">
        <v>39.799999999999997</v>
      </c>
      <c r="AH1002" s="3">
        <v>37.700000000000003</v>
      </c>
      <c r="AI1002" s="3">
        <v>38</v>
      </c>
      <c r="AJ1002" s="3">
        <v>37.1</v>
      </c>
      <c r="AK1002" s="3">
        <v>35.299999999999997</v>
      </c>
      <c r="AL1002" s="3">
        <v>33.700000000000003</v>
      </c>
      <c r="AM1002" s="3">
        <v>33.6</v>
      </c>
      <c r="AN1002" s="3">
        <v>32.4</v>
      </c>
      <c r="AO1002" s="3">
        <v>31</v>
      </c>
      <c r="AP1002" s="3">
        <v>30.3</v>
      </c>
      <c r="AQ1002" s="3">
        <v>30.2</v>
      </c>
      <c r="AR1002" s="3">
        <v>30.2</v>
      </c>
      <c r="AS1002" s="3">
        <v>30.2</v>
      </c>
      <c r="AT1002" s="3">
        <v>29.8</v>
      </c>
      <c r="AU1002" s="3">
        <v>28</v>
      </c>
      <c r="AV1002" s="3">
        <v>26.6</v>
      </c>
      <c r="AW1002" s="3">
        <v>25.8</v>
      </c>
      <c r="AX1002" s="3">
        <v>20.7</v>
      </c>
      <c r="AY1002" s="3">
        <v>18.2</v>
      </c>
      <c r="AZ1002" s="3">
        <v>0</v>
      </c>
      <c r="BA1002" s="3">
        <v>0</v>
      </c>
      <c r="BB1002" s="3">
        <v>0</v>
      </c>
      <c r="BC1002" s="3">
        <v>42.800174152568793</v>
      </c>
      <c r="BD1002" s="3">
        <v>47.699825847431207</v>
      </c>
      <c r="BE1002" s="3">
        <v>47.499825847431204</v>
      </c>
      <c r="BF1002" s="3">
        <v>46.359825847431203</v>
      </c>
      <c r="BG1002" s="3">
        <v>41.686492514097871</v>
      </c>
      <c r="BH1002" s="3">
        <v>36.926492514097866</v>
      </c>
      <c r="BI1002" s="3">
        <v>37.03982584743121</v>
      </c>
      <c r="BJ1002" s="3">
        <v>40.933159180764527</v>
      </c>
      <c r="BK1002" s="3">
        <v>42.206492514097867</v>
      </c>
      <c r="BL1002" s="3">
        <v>46.379825847431214</v>
      </c>
      <c r="BM1002" s="3">
        <v>39.813159180764536</v>
      </c>
      <c r="BN1002" s="3">
        <v>37.996492514097874</v>
      </c>
      <c r="BO1002" s="3">
        <v>37.663159180764545</v>
      </c>
      <c r="BP1002" s="3">
        <v>36.479825847431208</v>
      </c>
      <c r="BQ1002" s="3">
        <v>35.096492514097854</v>
      </c>
      <c r="BR1002" s="3">
        <v>33.823159180764542</v>
      </c>
      <c r="BS1002" s="3">
        <v>33.526492514097875</v>
      </c>
      <c r="BT1002" s="3">
        <v>32.52315918076453</v>
      </c>
      <c r="BU1002" s="3">
        <v>31.089825847431207</v>
      </c>
      <c r="BV1002" s="3">
        <v>30.106492514097873</v>
      </c>
      <c r="BW1002" s="3">
        <v>30.53982584743121</v>
      </c>
      <c r="BX1002" s="3">
        <v>30.459825847431212</v>
      </c>
      <c r="BY1002" s="3">
        <v>30.279825847431205</v>
      </c>
      <c r="BZ1002" s="3">
        <v>30.009825847431209</v>
      </c>
      <c r="CA1002" s="3">
        <v>28.309825847431192</v>
      </c>
      <c r="CB1002" s="3">
        <v>26.346492514097868</v>
      </c>
      <c r="CC1002" s="3">
        <v>25.759825847431209</v>
      </c>
      <c r="CD1002" s="3">
        <v>19.966492514097872</v>
      </c>
      <c r="CE1002" s="3">
        <v>17.6598258474312</v>
      </c>
      <c r="CF1002" s="3">
        <v>-0.92684081923546557</v>
      </c>
      <c r="CG1002" s="3">
        <v>-1.460174152568797</v>
      </c>
      <c r="CH1002" s="3">
        <v>-2.536840819235465</v>
      </c>
      <c r="CI1002" s="13">
        <f>[1]!dbasum(RecData[[#This Row],[20]:[2000]],RecData[[#Headers],[20]:[2000]])</f>
        <v>41.633023241163642</v>
      </c>
      <c r="CJ1002" s="14">
        <v>10403</v>
      </c>
      <c r="CK1002" s="15" t="s">
        <v>249</v>
      </c>
      <c r="CL1002" s="15">
        <f>RecData[[#This Row],[Start Time]]</f>
        <v>43275.073611111118</v>
      </c>
      <c r="CM1002" s="16">
        <f>RecData[[#This Row],[Wind Speed avg]]</f>
        <v>1.33</v>
      </c>
      <c r="CN1002" s="16">
        <f>RecData[[#This Row],[Wind Dir. avg]]</f>
        <v>170.5</v>
      </c>
      <c r="CO1002" s="16">
        <f>RecData[[#This Row],[Amb. Humidity]]</f>
        <v>66.5</v>
      </c>
      <c r="CP1002" s="16">
        <f>RecData[[#This Row],[Amb. Temperature]]</f>
        <v>13.3</v>
      </c>
      <c r="CQ1002" s="17">
        <f>RecData[[#This Row],[Amb. Rain Gauge]]</f>
        <v>0</v>
      </c>
      <c r="CR1002" s="4" t="s">
        <v>1</v>
      </c>
      <c r="CS1002" s="4" t="s">
        <v>49</v>
      </c>
      <c r="CT1002" s="70">
        <v>1616.39099121093</v>
      </c>
      <c r="CU1002" s="70">
        <v>36.0003051757812</v>
      </c>
      <c r="CV1002" s="70">
        <v>11.594365119934</v>
      </c>
      <c r="CW1002" s="70">
        <v>15.282122611999499</v>
      </c>
      <c r="CX1002" s="4"/>
      <c r="CY1002" s="69"/>
      <c r="CZ1002" s="2" t="b">
        <f>IF($DP$1="YES",IF(RecData[[#This Row],[Power (kW)]]&gt;=$CR$3, TRUE,FALSE),TRUE)</f>
        <v>1</v>
      </c>
      <c r="DA1002" s="16">
        <f>MIN(MOD(180-ABS(ABS($DA$1-RecData[Yaw Angle (°)])-180),360),MOD(180-ABS(ABS($DB$1-RecData[Yaw Angle (°)])-180),360))</f>
        <v>28.470378398093658</v>
      </c>
      <c r="DB1002" s="2" t="str">
        <f>IF($DP$2="None","None",IF(RecData[[#This Row],[Relative Wind Direction]]&lt;=45,"DW",IF(RecData[[#This Row],[Relative Wind Direction]]&lt;=135,"CW","UW")))</f>
        <v>DW</v>
      </c>
      <c r="DC1002" s="61" t="e">
        <f>IF($CL1002-#REF!&gt;1/24,#REF!,IF(SUM($CQ1000:$CQ1002)&gt;$DS$1,$DS$5,#REF!-1))</f>
        <v>#REF!</v>
      </c>
      <c r="DD1002" s="61" t="e">
        <f>IF(#REF!-$CL1002&gt;1/24,#REF!,IF(SUM($CQ1000:$CQ1002)&gt;$DS$1,$DS$6,DD1001-1))</f>
        <v>#REF!</v>
      </c>
      <c r="DE1002" s="18" t="b">
        <v>0</v>
      </c>
      <c r="DF1002" s="2" t="b">
        <f>IF(OR(RecData[[#This Row],[WSpd_Avg '[m/s']]]-RecData[[#This Row],[Wind Speed min]]&gt;=$DF$3,RecData[[#This Row],[Wind Speed max]]-RecData[[#This Row],[WSpd_Avg '[m/s']]]&gt;=$DF$2),TRUE,FALSE)</f>
        <v>0</v>
      </c>
      <c r="DG1002" s="2" t="b">
        <f>RecData[[#This Row],[Temperature '[°C']]]&lt;=-20</f>
        <v>0</v>
      </c>
      <c r="DH1002" s="18" t="b">
        <f>NOT(OR(MOD(RecData[[#This Row],[TIMESTAMP]],1)&gt;0.91632,MOD(RecData[[#This Row],[TIMESTAMP]],1)&lt;0.208681))</f>
        <v>0</v>
      </c>
      <c r="DI1002" s="18" t="b">
        <f>RecData[[#This Row],[Overall (dBA)]]-RecData[[#This Row],[L90]]&gt;=$DS$4</f>
        <v>0</v>
      </c>
      <c r="DJ1002" s="18" t="b">
        <f>RecData[[#This Row],[Overall (dBA)]]&gt;$DS$2</f>
        <v>0</v>
      </c>
      <c r="DK1002" s="18" t="b">
        <f>RecData[[#This Row],[Overall (dBA)]]&lt;$DS$3</f>
        <v>0</v>
      </c>
      <c r="DL10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2" s="2">
        <f>IF(AND(RecData[[#This Row],[Turbines ON/OFF]] = "OFF", NOT(OR(RecData[[#This Row],[Junk?]]="YES",RecData[[#This Row],[Gust?]],RecData[[#This Row],[Rain?]:[Min SPL Threshold?]]))),1,0)</f>
        <v>0</v>
      </c>
      <c r="DN1002" s="16">
        <f>RecData[[#This Row],[dBA Sum]]</f>
        <v>41.633023241163642</v>
      </c>
      <c r="DO1002" s="16">
        <f>RecData[[#This Row],[LAF90.0]]</f>
        <v>41.1</v>
      </c>
      <c r="DP1002" s="55">
        <f>IF(AND(RecData[[#This Row],[Useable TON Data?]],RecData[[#This Row],[Turbines ON/OFF]]="ON"),RecData[[#This Row],[dBA Sum]],"")</f>
        <v>41.633023241163642</v>
      </c>
      <c r="DQ1002" s="55" t="str">
        <f>IF(AND(RecData[[#This Row],[Useable Background Data?]],RecData[[#This Row],[Turbines ON/OFF]]="OFF"),RecData[[#This Row],[dBA Sum]],"")</f>
        <v/>
      </c>
      <c r="DR1002" s="3">
        <f>IF(OR(RecData[[#This Row],[Useable TON Data?]],RecData[[#This Row],[Useable Background Data?]]),ROUND(RecData[[#This Row],[WSpd_Avg '[m/s']]],0),"")</f>
        <v>1</v>
      </c>
      <c r="DS1002" s="85">
        <f>(0.00002)^2*(10^(RecData[[#This Row],[Overall (dBA)]]/10))</f>
        <v>5.8258904707397096E-6</v>
      </c>
    </row>
    <row r="1003" spans="1:123" ht="15" x14ac:dyDescent="0.25">
      <c r="A1003" s="3" t="s">
        <v>249</v>
      </c>
      <c r="B1003" s="12">
        <v>43275.075000000004</v>
      </c>
      <c r="C1003" s="3"/>
      <c r="D1003" s="3">
        <v>41.4</v>
      </c>
      <c r="E1003" s="3"/>
      <c r="F1003" s="3"/>
      <c r="G1003" s="3"/>
      <c r="H1003" s="3"/>
      <c r="I1003" s="3"/>
      <c r="J1003" s="3"/>
      <c r="K1003" s="3">
        <v>39.799999999999997</v>
      </c>
      <c r="L1003" s="3"/>
      <c r="M1003" s="3"/>
      <c r="N1003" s="3">
        <v>217.3</v>
      </c>
      <c r="O1003" s="3"/>
      <c r="P1003" s="3"/>
      <c r="Q1003" s="3">
        <v>1.03</v>
      </c>
      <c r="R1003" s="3">
        <v>0.1</v>
      </c>
      <c r="S1003" s="3">
        <v>2.2000000000000002</v>
      </c>
      <c r="T1003" s="3">
        <v>13.3</v>
      </c>
      <c r="U1003" s="3">
        <v>66.8</v>
      </c>
      <c r="V1003" s="3">
        <v>967</v>
      </c>
      <c r="W1003" s="3">
        <v>0</v>
      </c>
      <c r="X1003" s="3">
        <v>48.5</v>
      </c>
      <c r="Y1003" s="3">
        <v>48.6</v>
      </c>
      <c r="Z1003" s="3">
        <v>48.6</v>
      </c>
      <c r="AA1003" s="3">
        <v>43.5</v>
      </c>
      <c r="AB1003" s="3">
        <v>38.1</v>
      </c>
      <c r="AC1003" s="3">
        <v>36.5</v>
      </c>
      <c r="AD1003" s="3">
        <v>40.9</v>
      </c>
      <c r="AE1003" s="3">
        <v>42.9</v>
      </c>
      <c r="AF1003" s="3">
        <v>46.5</v>
      </c>
      <c r="AG1003" s="3">
        <v>39.299999999999997</v>
      </c>
      <c r="AH1003" s="3">
        <v>37.799999999999997</v>
      </c>
      <c r="AI1003" s="3">
        <v>37.799999999999997</v>
      </c>
      <c r="AJ1003" s="3">
        <v>36.6</v>
      </c>
      <c r="AK1003" s="3">
        <v>35</v>
      </c>
      <c r="AL1003" s="3">
        <v>33.299999999999997</v>
      </c>
      <c r="AM1003" s="3">
        <v>33.4</v>
      </c>
      <c r="AN1003" s="3">
        <v>32.299999999999997</v>
      </c>
      <c r="AO1003" s="3">
        <v>30.3</v>
      </c>
      <c r="AP1003" s="3">
        <v>29.1</v>
      </c>
      <c r="AQ1003" s="3">
        <v>28.2</v>
      </c>
      <c r="AR1003" s="3">
        <v>27.3</v>
      </c>
      <c r="AS1003" s="3">
        <v>26.3</v>
      </c>
      <c r="AT1003" s="3">
        <v>25.1</v>
      </c>
      <c r="AU1003" s="3">
        <v>21.9</v>
      </c>
      <c r="AV1003" s="3">
        <v>20</v>
      </c>
      <c r="AW1003" s="3">
        <v>18.7</v>
      </c>
      <c r="AX1003" s="3">
        <v>13.8</v>
      </c>
      <c r="AY1003" s="3">
        <v>11.8</v>
      </c>
      <c r="AZ1003" s="3">
        <v>0</v>
      </c>
      <c r="BA1003" s="3">
        <v>0</v>
      </c>
      <c r="BB1003" s="3">
        <v>0</v>
      </c>
      <c r="BC1003" s="3">
        <v>41.443641214113555</v>
      </c>
      <c r="BD1003" s="3">
        <v>48.456358785886451</v>
      </c>
      <c r="BE1003" s="3">
        <v>48.556358785886445</v>
      </c>
      <c r="BF1003" s="3">
        <v>47.316358785886436</v>
      </c>
      <c r="BG1003" s="3">
        <v>42.54302545255311</v>
      </c>
      <c r="BH1003" s="3">
        <v>37.283025452553105</v>
      </c>
      <c r="BI1003" s="3">
        <v>36.096358785886437</v>
      </c>
      <c r="BJ1003" s="3">
        <v>41.289692119219765</v>
      </c>
      <c r="BK1003" s="3">
        <v>43.1630254525531</v>
      </c>
      <c r="BL1003" s="3">
        <v>46.336358785886446</v>
      </c>
      <c r="BM1003" s="3">
        <v>39.269692119219783</v>
      </c>
      <c r="BN1003" s="3">
        <v>38.053025452553115</v>
      </c>
      <c r="BO1003" s="3">
        <v>37.419692119219775</v>
      </c>
      <c r="BP1003" s="3">
        <v>35.936358785886441</v>
      </c>
      <c r="BQ1003" s="3">
        <v>34.753025452553103</v>
      </c>
      <c r="BR1003" s="3">
        <v>33.379692119219769</v>
      </c>
      <c r="BS1003" s="3">
        <v>33.283025452553105</v>
      </c>
      <c r="BT1003" s="3">
        <v>32.379692119219769</v>
      </c>
      <c r="BU1003" s="3">
        <v>30.346358785886451</v>
      </c>
      <c r="BV1003" s="3">
        <v>28.863025452553117</v>
      </c>
      <c r="BW1003" s="3">
        <v>28.496358785886443</v>
      </c>
      <c r="BX1003" s="3">
        <v>27.516358785886453</v>
      </c>
      <c r="BY1003" s="3">
        <v>26.336358785886446</v>
      </c>
      <c r="BZ1003" s="3">
        <v>25.266358785886453</v>
      </c>
      <c r="CA1003" s="3">
        <v>22.16635878588643</v>
      </c>
      <c r="CB1003" s="3">
        <v>19.703025452553106</v>
      </c>
      <c r="CC1003" s="3">
        <v>18.61635878588644</v>
      </c>
      <c r="CD1003" s="3">
        <v>13.023025452553114</v>
      </c>
      <c r="CE1003" s="3">
        <v>11.216358785886442</v>
      </c>
      <c r="CF1003" s="3">
        <v>-0.97030788078022567</v>
      </c>
      <c r="CG1003" s="3">
        <v>-1.5036412141135571</v>
      </c>
      <c r="CH1003" s="3">
        <v>-2.5803078807802251</v>
      </c>
      <c r="CI1003" s="13">
        <f>[1]!dbasum(RecData[[#This Row],[20]:[2000]],RecData[[#Headers],[20]:[2000]])</f>
        <v>40.913404974375787</v>
      </c>
      <c r="CJ1003" s="14">
        <v>10405</v>
      </c>
      <c r="CK1003" s="15" t="s">
        <v>249</v>
      </c>
      <c r="CL1003" s="15">
        <f>RecData[[#This Row],[Start Time]]</f>
        <v>43275.075000000004</v>
      </c>
      <c r="CM1003" s="16">
        <f>RecData[[#This Row],[Wind Speed avg]]</f>
        <v>1.03</v>
      </c>
      <c r="CN1003" s="16">
        <f>RecData[[#This Row],[Wind Dir. avg]]</f>
        <v>217.3</v>
      </c>
      <c r="CO1003" s="16">
        <f>RecData[[#This Row],[Amb. Humidity]]</f>
        <v>66.8</v>
      </c>
      <c r="CP1003" s="16">
        <f>RecData[[#This Row],[Amb. Temperature]]</f>
        <v>13.3</v>
      </c>
      <c r="CQ1003" s="17">
        <f>RecData[[#This Row],[Amb. Rain Gauge]]</f>
        <v>0</v>
      </c>
      <c r="CR1003" s="4" t="s">
        <v>1</v>
      </c>
      <c r="CS1003" s="4" t="s">
        <v>49</v>
      </c>
      <c r="CT1003" s="70">
        <v>1616.39099121093</v>
      </c>
      <c r="CU1003" s="70">
        <v>36.0003051757812</v>
      </c>
      <c r="CV1003" s="70">
        <v>11.594365119934</v>
      </c>
      <c r="CW1003" s="70">
        <v>15.282122611999499</v>
      </c>
      <c r="CX1003" s="4"/>
      <c r="CY1003" s="69"/>
      <c r="CZ1003" s="2" t="b">
        <f>IF($DP$1="YES",IF(RecData[[#This Row],[Power (kW)]]&gt;=$CR$3, TRUE,FALSE),TRUE)</f>
        <v>1</v>
      </c>
      <c r="DA1003" s="16">
        <f>MIN(MOD(180-ABS(ABS($DA$1-RecData[Yaw Angle (°)])-180),360),MOD(180-ABS(ABS($DB$1-RecData[Yaw Angle (°)])-180),360))</f>
        <v>28.470378398093658</v>
      </c>
      <c r="DB1003" s="2" t="str">
        <f>IF($DP$2="None","None",IF(RecData[[#This Row],[Relative Wind Direction]]&lt;=45,"DW",IF(RecData[[#This Row],[Relative Wind Direction]]&lt;=135,"CW","UW")))</f>
        <v>DW</v>
      </c>
      <c r="DC1003" s="61">
        <v>-1</v>
      </c>
      <c r="DD1003" s="61">
        <v>-1</v>
      </c>
      <c r="DE1003" s="18" t="b">
        <v>0</v>
      </c>
      <c r="DF1003" s="2" t="b">
        <f>IF(OR(RecData[[#This Row],[WSpd_Avg '[m/s']]]-RecData[[#This Row],[Wind Speed min]]&gt;=$DF$3,RecData[[#This Row],[Wind Speed max]]-RecData[[#This Row],[WSpd_Avg '[m/s']]]&gt;=$DF$2),TRUE,FALSE)</f>
        <v>0</v>
      </c>
      <c r="DG1003" s="2" t="b">
        <f>RecData[[#This Row],[Temperature '[°C']]]&lt;=-20</f>
        <v>0</v>
      </c>
      <c r="DH1003" s="18" t="b">
        <f>NOT(OR(MOD(RecData[[#This Row],[TIMESTAMP]],1)&gt;0.91632,MOD(RecData[[#This Row],[TIMESTAMP]],1)&lt;0.208681))</f>
        <v>0</v>
      </c>
      <c r="DI1003" s="18" t="b">
        <f>RecData[[#This Row],[Overall (dBA)]]-RecData[[#This Row],[L90]]&gt;=$DS$4</f>
        <v>0</v>
      </c>
      <c r="DJ1003" s="18" t="b">
        <f>RecData[[#This Row],[Overall (dBA)]]&gt;$DS$2</f>
        <v>0</v>
      </c>
      <c r="DK1003" s="18" t="b">
        <f>RecData[[#This Row],[Overall (dBA)]]&lt;$DS$3</f>
        <v>0</v>
      </c>
      <c r="DL10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3" s="2">
        <f>IF(AND(RecData[[#This Row],[Turbines ON/OFF]] = "OFF", NOT(OR(RecData[[#This Row],[Junk?]]="YES",RecData[[#This Row],[Gust?]],RecData[[#This Row],[Rain?]:[Min SPL Threshold?]]))),1,0)</f>
        <v>0</v>
      </c>
      <c r="DN1003" s="16">
        <f>RecData[[#This Row],[dBA Sum]]</f>
        <v>40.913404974375787</v>
      </c>
      <c r="DO1003" s="16">
        <f>RecData[[#This Row],[LAF90.0]]</f>
        <v>39.799999999999997</v>
      </c>
      <c r="DP1003" s="55">
        <f>IF(AND(RecData[[#This Row],[Useable TON Data?]],RecData[[#This Row],[Turbines ON/OFF]]="ON"),RecData[[#This Row],[dBA Sum]],"")</f>
        <v>40.913404974375787</v>
      </c>
      <c r="DQ1003" s="55" t="str">
        <f>IF(AND(RecData[[#This Row],[Useable Background Data?]],RecData[[#This Row],[Turbines ON/OFF]]="OFF"),RecData[[#This Row],[dBA Sum]],"")</f>
        <v/>
      </c>
      <c r="DR1003" s="3">
        <f>IF(OR(RecData[[#This Row],[Useable TON Data?]],RecData[[#This Row],[Useable Background Data?]]),ROUND(RecData[[#This Row],[WSpd_Avg '[m/s']]],0),"")</f>
        <v>1</v>
      </c>
      <c r="DS1003" s="85">
        <f>(0.00002)^2*(10^(RecData[[#This Row],[Overall (dBA)]]/10))</f>
        <v>4.936287986009568E-6</v>
      </c>
    </row>
    <row r="1004" spans="1:123" ht="15" x14ac:dyDescent="0.25">
      <c r="A1004" s="3" t="s">
        <v>249</v>
      </c>
      <c r="B1004" s="12">
        <v>43275.077083333337</v>
      </c>
      <c r="C1004" s="3"/>
      <c r="D1004" s="3">
        <v>40.6</v>
      </c>
      <c r="E1004" s="3"/>
      <c r="F1004" s="3"/>
      <c r="G1004" s="3"/>
      <c r="H1004" s="3"/>
      <c r="I1004" s="3"/>
      <c r="J1004" s="3"/>
      <c r="K1004" s="3">
        <v>39.9</v>
      </c>
      <c r="L1004" s="3"/>
      <c r="M1004" s="3"/>
      <c r="N1004" s="3">
        <v>137.30000000000001</v>
      </c>
      <c r="O1004" s="3"/>
      <c r="P1004" s="3"/>
      <c r="Q1004" s="3">
        <v>1.1299999999999999</v>
      </c>
      <c r="R1004" s="3">
        <v>0</v>
      </c>
      <c r="S1004" s="3">
        <v>2.6</v>
      </c>
      <c r="T1004" s="3">
        <v>13.2</v>
      </c>
      <c r="U1004" s="3">
        <v>67</v>
      </c>
      <c r="V1004" s="3">
        <v>967.1</v>
      </c>
      <c r="W1004" s="3">
        <v>0</v>
      </c>
      <c r="X1004" s="3">
        <v>49.4</v>
      </c>
      <c r="Y1004" s="3">
        <v>48.4</v>
      </c>
      <c r="Z1004" s="3">
        <v>48.9</v>
      </c>
      <c r="AA1004" s="3">
        <v>43.7</v>
      </c>
      <c r="AB1004" s="3">
        <v>38.299999999999997</v>
      </c>
      <c r="AC1004" s="3">
        <v>36.9</v>
      </c>
      <c r="AD1004" s="3">
        <v>40.5</v>
      </c>
      <c r="AE1004" s="3">
        <v>42.2</v>
      </c>
      <c r="AF1004" s="3">
        <v>44.8</v>
      </c>
      <c r="AG1004" s="3">
        <v>38.5</v>
      </c>
      <c r="AH1004" s="3">
        <v>37.6</v>
      </c>
      <c r="AI1004" s="3">
        <v>37.200000000000003</v>
      </c>
      <c r="AJ1004" s="3">
        <v>36</v>
      </c>
      <c r="AK1004" s="3">
        <v>34.200000000000003</v>
      </c>
      <c r="AL1004" s="3">
        <v>32.299999999999997</v>
      </c>
      <c r="AM1004" s="3">
        <v>32.200000000000003</v>
      </c>
      <c r="AN1004" s="3">
        <v>31.1</v>
      </c>
      <c r="AO1004" s="3">
        <v>29.1</v>
      </c>
      <c r="AP1004" s="3">
        <v>28</v>
      </c>
      <c r="AQ1004" s="3">
        <v>27.3</v>
      </c>
      <c r="AR1004" s="3">
        <v>26.5</v>
      </c>
      <c r="AS1004" s="3">
        <v>25.7</v>
      </c>
      <c r="AT1004" s="3">
        <v>24.7</v>
      </c>
      <c r="AU1004" s="3">
        <v>22.2</v>
      </c>
      <c r="AV1004" s="3">
        <v>20.6</v>
      </c>
      <c r="AW1004" s="3">
        <v>19.3</v>
      </c>
      <c r="AX1004" s="3">
        <v>14.5</v>
      </c>
      <c r="AY1004" s="3">
        <v>12.4</v>
      </c>
      <c r="AZ1004" s="3">
        <v>0</v>
      </c>
      <c r="BA1004" s="3">
        <v>0</v>
      </c>
      <c r="BB1004" s="3">
        <v>0</v>
      </c>
      <c r="BC1004" s="3">
        <v>40.554419637091783</v>
      </c>
      <c r="BD1004" s="3">
        <v>49.445580362908217</v>
      </c>
      <c r="BE1004" s="3">
        <v>48.445580362908217</v>
      </c>
      <c r="BF1004" s="3">
        <v>47.705580362908208</v>
      </c>
      <c r="BG1004" s="3">
        <v>42.832247029574887</v>
      </c>
      <c r="BH1004" s="3">
        <v>37.572247029574882</v>
      </c>
      <c r="BI1004" s="3">
        <v>36.585580362908217</v>
      </c>
      <c r="BJ1004" s="3">
        <v>40.978913696241548</v>
      </c>
      <c r="BK1004" s="3">
        <v>42.552247029574886</v>
      </c>
      <c r="BL1004" s="3">
        <v>44.725580362908218</v>
      </c>
      <c r="BM1004" s="3">
        <v>38.558913696241561</v>
      </c>
      <c r="BN1004" s="3">
        <v>37.942247029574887</v>
      </c>
      <c r="BO1004" s="3">
        <v>36.908913696241555</v>
      </c>
      <c r="BP1004" s="3">
        <v>35.425580362908221</v>
      </c>
      <c r="BQ1004" s="3">
        <v>34.042247029574881</v>
      </c>
      <c r="BR1004" s="3">
        <v>32.468913696241557</v>
      </c>
      <c r="BS1004" s="3">
        <v>32.172247029574891</v>
      </c>
      <c r="BT1004" s="3">
        <v>31.268913696241555</v>
      </c>
      <c r="BU1004" s="3">
        <v>29.235580362908223</v>
      </c>
      <c r="BV1004" s="3">
        <v>27.852247029574883</v>
      </c>
      <c r="BW1004" s="3">
        <v>27.685580362908226</v>
      </c>
      <c r="BX1004" s="3">
        <v>26.805580362908231</v>
      </c>
      <c r="BY1004" s="3">
        <v>25.825580362908212</v>
      </c>
      <c r="BZ1004" s="3">
        <v>24.955580362908222</v>
      </c>
      <c r="CA1004" s="3">
        <v>22.555580362908209</v>
      </c>
      <c r="CB1004" s="3">
        <v>20.392247029574889</v>
      </c>
      <c r="CC1004" s="3">
        <v>19.305580362908216</v>
      </c>
      <c r="CD1004" s="3">
        <v>13.812247029574891</v>
      </c>
      <c r="CE1004" s="3">
        <v>11.905580362908218</v>
      </c>
      <c r="CF1004" s="3">
        <v>-0.88108630375845109</v>
      </c>
      <c r="CG1004" s="3">
        <v>-1.4144196370917825</v>
      </c>
      <c r="CH1004" s="3">
        <v>-2.4910863037584505</v>
      </c>
      <c r="CI1004" s="13">
        <f>[1]!dbasum(RecData[[#This Row],[20]:[2000]],RecData[[#Headers],[20]:[2000]])</f>
        <v>40.028049279047195</v>
      </c>
      <c r="CJ1004" s="14">
        <v>10408</v>
      </c>
      <c r="CK1004" s="15" t="s">
        <v>249</v>
      </c>
      <c r="CL1004" s="15">
        <f>RecData[[#This Row],[Start Time]]</f>
        <v>43275.077083333337</v>
      </c>
      <c r="CM1004" s="16">
        <f>RecData[[#This Row],[Wind Speed avg]]</f>
        <v>1.1299999999999999</v>
      </c>
      <c r="CN1004" s="16">
        <f>RecData[[#This Row],[Wind Dir. avg]]</f>
        <v>137.30000000000001</v>
      </c>
      <c r="CO1004" s="16">
        <f>RecData[[#This Row],[Amb. Humidity]]</f>
        <v>67</v>
      </c>
      <c r="CP1004" s="16">
        <f>RecData[[#This Row],[Amb. Temperature]]</f>
        <v>13.2</v>
      </c>
      <c r="CQ1004" s="17">
        <f>RecData[[#This Row],[Amb. Rain Gauge]]</f>
        <v>0</v>
      </c>
      <c r="CR1004" s="4" t="s">
        <v>1</v>
      </c>
      <c r="CS1004" s="4" t="s">
        <v>49</v>
      </c>
      <c r="CT1004" s="70">
        <v>1618.39562988281</v>
      </c>
      <c r="CU1004" s="70">
        <v>34.221115112304602</v>
      </c>
      <c r="CV1004" s="70">
        <v>11.434268951416</v>
      </c>
      <c r="CW1004" s="70">
        <v>15.2569932937622</v>
      </c>
      <c r="CX1004" s="4"/>
      <c r="CY1004" s="69"/>
      <c r="CZ1004" s="2" t="b">
        <f>IF($DP$1="YES",IF(RecData[[#This Row],[Power (kW)]]&gt;=$CR$3, TRUE,FALSE),TRUE)</f>
        <v>1</v>
      </c>
      <c r="DA1004" s="16">
        <f>MIN(MOD(180-ABS(ABS($DA$1-RecData[Yaw Angle (°)])-180),360),MOD(180-ABS(ABS($DB$1-RecData[Yaw Angle (°)])-180),360))</f>
        <v>26.691188334617038</v>
      </c>
      <c r="DB1004" s="2" t="str">
        <f>IF($DP$2="None","None",IF(RecData[[#This Row],[Relative Wind Direction]]&lt;=45,"DW",IF(RecData[[#This Row],[Relative Wind Direction]]&lt;=135,"CW","UW")))</f>
        <v>DW</v>
      </c>
      <c r="DC1004" s="61" t="e">
        <f>IF($CL1004-$CL1003&gt;1/24,#REF!,IF(SUM($CQ1003:$CQ1004)&gt;$DS$1,$DS$5,DC1005-1))</f>
        <v>#REF!</v>
      </c>
      <c r="DD1004" s="61" t="e">
        <f>IF($CL1005-$CL1004&gt;1/24,#REF!,IF(SUM($CQ1003:$CQ1004)&gt;$DS$1,$DS$6,#REF!-1))</f>
        <v>#REF!</v>
      </c>
      <c r="DE1004" s="18" t="b">
        <v>0</v>
      </c>
      <c r="DF1004" s="2" t="b">
        <f>IF(OR(RecData[[#This Row],[WSpd_Avg '[m/s']]]-RecData[[#This Row],[Wind Speed min]]&gt;=$DF$3,RecData[[#This Row],[Wind Speed max]]-RecData[[#This Row],[WSpd_Avg '[m/s']]]&gt;=$DF$2),TRUE,FALSE)</f>
        <v>0</v>
      </c>
      <c r="DG1004" s="2" t="b">
        <f>RecData[[#This Row],[Temperature '[°C']]]&lt;=-20</f>
        <v>0</v>
      </c>
      <c r="DH1004" s="18" t="b">
        <f>NOT(OR(MOD(RecData[[#This Row],[TIMESTAMP]],1)&gt;0.91632,MOD(RecData[[#This Row],[TIMESTAMP]],1)&lt;0.208681))</f>
        <v>0</v>
      </c>
      <c r="DI1004" s="18" t="b">
        <f>RecData[[#This Row],[Overall (dBA)]]-RecData[[#This Row],[L90]]&gt;=$DS$4</f>
        <v>0</v>
      </c>
      <c r="DJ1004" s="18" t="b">
        <f>RecData[[#This Row],[Overall (dBA)]]&gt;$DS$2</f>
        <v>0</v>
      </c>
      <c r="DK1004" s="18" t="b">
        <f>RecData[[#This Row],[Overall (dBA)]]&lt;$DS$3</f>
        <v>0</v>
      </c>
      <c r="DL10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4" s="2">
        <f>IF(AND(RecData[[#This Row],[Turbines ON/OFF]] = "OFF", NOT(OR(RecData[[#This Row],[Junk?]]="YES",RecData[[#This Row],[Gust?]],RecData[[#This Row],[Rain?]:[Min SPL Threshold?]]))),1,0)</f>
        <v>0</v>
      </c>
      <c r="DN1004" s="16">
        <f>RecData[[#This Row],[dBA Sum]]</f>
        <v>40.028049279047195</v>
      </c>
      <c r="DO1004" s="16">
        <f>RecData[[#This Row],[LAF90.0]]</f>
        <v>39.9</v>
      </c>
      <c r="DP1004" s="55">
        <f>IF(AND(RecData[[#This Row],[Useable TON Data?]],RecData[[#This Row],[Turbines ON/OFF]]="ON"),RecData[[#This Row],[dBA Sum]],"")</f>
        <v>40.028049279047195</v>
      </c>
      <c r="DQ1004" s="55" t="str">
        <f>IF(AND(RecData[[#This Row],[Useable Background Data?]],RecData[[#This Row],[Turbines ON/OFF]]="OFF"),RecData[[#This Row],[dBA Sum]],"")</f>
        <v/>
      </c>
      <c r="DR1004" s="3">
        <f>IF(OR(RecData[[#This Row],[Useable TON Data?]],RecData[[#This Row],[Useable Background Data?]]),ROUND(RecData[[#This Row],[WSpd_Avg '[m/s']]],0),"")</f>
        <v>1</v>
      </c>
      <c r="DS1004" s="85">
        <f>(0.00002)^2*(10^(RecData[[#This Row],[Overall (dBA)]]/10))</f>
        <v>4.025917947262791E-6</v>
      </c>
    </row>
    <row r="1005" spans="1:123" ht="15" x14ac:dyDescent="0.25">
      <c r="A1005" s="3" t="s">
        <v>249</v>
      </c>
      <c r="B1005" s="12">
        <v>43275.077777777784</v>
      </c>
      <c r="C1005" s="3"/>
      <c r="D1005" s="3">
        <v>44.9</v>
      </c>
      <c r="E1005" s="3"/>
      <c r="F1005" s="3"/>
      <c r="G1005" s="3"/>
      <c r="H1005" s="3"/>
      <c r="I1005" s="3"/>
      <c r="J1005" s="3"/>
      <c r="K1005" s="3">
        <v>42</v>
      </c>
      <c r="L1005" s="3"/>
      <c r="M1005" s="3"/>
      <c r="N1005" s="3">
        <v>140.4</v>
      </c>
      <c r="O1005" s="3"/>
      <c r="P1005" s="3"/>
      <c r="Q1005" s="3">
        <v>2.1</v>
      </c>
      <c r="R1005" s="3">
        <v>0.8</v>
      </c>
      <c r="S1005" s="3">
        <v>3.4</v>
      </c>
      <c r="T1005" s="3">
        <v>13.2</v>
      </c>
      <c r="U1005" s="3">
        <v>67</v>
      </c>
      <c r="V1005" s="3">
        <v>967.1</v>
      </c>
      <c r="W1005" s="3">
        <v>0</v>
      </c>
      <c r="X1005" s="3">
        <v>48.8</v>
      </c>
      <c r="Y1005" s="3">
        <v>48.7</v>
      </c>
      <c r="Z1005" s="3">
        <v>48.4</v>
      </c>
      <c r="AA1005" s="3">
        <v>43.4</v>
      </c>
      <c r="AB1005" s="3">
        <v>39.5</v>
      </c>
      <c r="AC1005" s="3">
        <v>38.9</v>
      </c>
      <c r="AD1005" s="3">
        <v>41.7</v>
      </c>
      <c r="AE1005" s="3">
        <v>42.6</v>
      </c>
      <c r="AF1005" s="3">
        <v>45</v>
      </c>
      <c r="AG1005" s="3">
        <v>39.9</v>
      </c>
      <c r="AH1005" s="3">
        <v>38.9</v>
      </c>
      <c r="AI1005" s="3">
        <v>38.5</v>
      </c>
      <c r="AJ1005" s="3">
        <v>37.6</v>
      </c>
      <c r="AK1005" s="3">
        <v>36</v>
      </c>
      <c r="AL1005" s="3">
        <v>34.6</v>
      </c>
      <c r="AM1005" s="3">
        <v>34.200000000000003</v>
      </c>
      <c r="AN1005" s="3">
        <v>33.5</v>
      </c>
      <c r="AO1005" s="3">
        <v>32.5</v>
      </c>
      <c r="AP1005" s="3">
        <v>32.1</v>
      </c>
      <c r="AQ1005" s="3">
        <v>32.4</v>
      </c>
      <c r="AR1005" s="3">
        <v>33.1</v>
      </c>
      <c r="AS1005" s="3">
        <v>33.799999999999997</v>
      </c>
      <c r="AT1005" s="3">
        <v>33.9</v>
      </c>
      <c r="AU1005" s="3">
        <v>32.6</v>
      </c>
      <c r="AV1005" s="3">
        <v>31.2</v>
      </c>
      <c r="AW1005" s="3">
        <v>30.2</v>
      </c>
      <c r="AX1005" s="3">
        <v>25</v>
      </c>
      <c r="AY1005" s="3">
        <v>22.8</v>
      </c>
      <c r="AZ1005" s="3">
        <v>0</v>
      </c>
      <c r="BA1005" s="3">
        <v>0</v>
      </c>
      <c r="BB1005" s="3">
        <v>0</v>
      </c>
      <c r="BC1005" s="3">
        <v>44.877199699223659</v>
      </c>
      <c r="BD1005" s="3">
        <v>48.822800300776329</v>
      </c>
      <c r="BE1005" s="3">
        <v>48.722800300776335</v>
      </c>
      <c r="BF1005" s="3">
        <v>47.182800300776343</v>
      </c>
      <c r="BG1005" s="3">
        <v>42.509466967442997</v>
      </c>
      <c r="BH1005" s="3">
        <v>38.749466967443006</v>
      </c>
      <c r="BI1005" s="3">
        <v>38.562800300776338</v>
      </c>
      <c r="BJ1005" s="3">
        <v>42.156133634109672</v>
      </c>
      <c r="BK1005" s="3">
        <v>42.929466967443012</v>
      </c>
      <c r="BL1005" s="3">
        <v>44.902800300776342</v>
      </c>
      <c r="BM1005" s="3">
        <v>39.936133634109673</v>
      </c>
      <c r="BN1005" s="3">
        <v>39.219466967443005</v>
      </c>
      <c r="BO1005" s="3">
        <v>38.186133634109673</v>
      </c>
      <c r="BP1005" s="3">
        <v>37.002800300776336</v>
      </c>
      <c r="BQ1005" s="3">
        <v>35.819466967442999</v>
      </c>
      <c r="BR1005" s="3">
        <v>34.746133634109675</v>
      </c>
      <c r="BS1005" s="3">
        <v>34.149466967443011</v>
      </c>
      <c r="BT1005" s="3">
        <v>33.646133634109681</v>
      </c>
      <c r="BU1005" s="3">
        <v>32.61280030077635</v>
      </c>
      <c r="BV1005" s="3">
        <v>31.929466967443012</v>
      </c>
      <c r="BW1005" s="3">
        <v>32.762800300776341</v>
      </c>
      <c r="BX1005" s="3">
        <v>33.382800300776346</v>
      </c>
      <c r="BY1005" s="3">
        <v>33.902800300776342</v>
      </c>
      <c r="BZ1005" s="3">
        <v>34.132800300776331</v>
      </c>
      <c r="CA1005" s="3">
        <v>32.932800300776343</v>
      </c>
      <c r="CB1005" s="3">
        <v>30.969466967443005</v>
      </c>
      <c r="CC1005" s="3">
        <v>30.182800300776343</v>
      </c>
      <c r="CD1005" s="3">
        <v>24.289466967443012</v>
      </c>
      <c r="CE1005" s="3">
        <v>22.282800300776337</v>
      </c>
      <c r="CF1005" s="3">
        <v>-0.90386636589033031</v>
      </c>
      <c r="CG1005" s="3">
        <v>-1.4371996992236618</v>
      </c>
      <c r="CH1005" s="3">
        <v>-2.5138663658903297</v>
      </c>
      <c r="CI1005" s="13">
        <f>[1]!dbasum(RecData[[#This Row],[20]:[2000]],RecData[[#Headers],[20]:[2000]])</f>
        <v>42.872023469996385</v>
      </c>
      <c r="CJ1005" s="14">
        <v>10409</v>
      </c>
      <c r="CK1005" s="15" t="s">
        <v>249</v>
      </c>
      <c r="CL1005" s="15">
        <f>RecData[[#This Row],[Start Time]]</f>
        <v>43275.077777777784</v>
      </c>
      <c r="CM1005" s="16">
        <f>RecData[[#This Row],[Wind Speed avg]]</f>
        <v>2.1</v>
      </c>
      <c r="CN1005" s="16">
        <f>RecData[[#This Row],[Wind Dir. avg]]</f>
        <v>140.4</v>
      </c>
      <c r="CO1005" s="16">
        <f>RecData[[#This Row],[Amb. Humidity]]</f>
        <v>67</v>
      </c>
      <c r="CP1005" s="16">
        <f>RecData[[#This Row],[Amb. Temperature]]</f>
        <v>13.2</v>
      </c>
      <c r="CQ1005" s="17">
        <f>RecData[[#This Row],[Amb. Rain Gauge]]</f>
        <v>0</v>
      </c>
      <c r="CR1005" s="4" t="s">
        <v>1</v>
      </c>
      <c r="CS1005" s="4" t="s">
        <v>49</v>
      </c>
      <c r="CT1005" s="70">
        <v>1618.39562988281</v>
      </c>
      <c r="CU1005" s="70">
        <v>34.221115112304602</v>
      </c>
      <c r="CV1005" s="70">
        <v>11.434268951416</v>
      </c>
      <c r="CW1005" s="70">
        <v>15.2569932937622</v>
      </c>
      <c r="CX1005" s="4"/>
      <c r="CY1005" s="69"/>
      <c r="CZ1005" s="2" t="b">
        <f>IF($DP$1="YES",IF(RecData[[#This Row],[Power (kW)]]&gt;=$CR$3, TRUE,FALSE),TRUE)</f>
        <v>1</v>
      </c>
      <c r="DA1005" s="16">
        <f>MIN(MOD(180-ABS(ABS($DA$1-RecData[Yaw Angle (°)])-180),360),MOD(180-ABS(ABS($DB$1-RecData[Yaw Angle (°)])-180),360))</f>
        <v>26.691188334617038</v>
      </c>
      <c r="DB1005" s="2" t="str">
        <f>IF($DP$2="None","None",IF(RecData[[#This Row],[Relative Wind Direction]]&lt;=45,"DW",IF(RecData[[#This Row],[Relative Wind Direction]]&lt;=135,"CW","UW")))</f>
        <v>DW</v>
      </c>
      <c r="DC1005" s="61" t="e">
        <f>IF($CL1005-$CL1003&gt;1/24,#REF!,IF(SUM($CQ1003:$CQ1005)&gt;$DS$1,$DS$5,#REF!-1))</f>
        <v>#REF!</v>
      </c>
      <c r="DD1005" s="61" t="e">
        <f>IF(#REF!-$CL1005&gt;1/24,#REF!,IF(SUM($CQ1003:$CQ1005)&gt;$DS$1,$DS$6,DD1004-1))</f>
        <v>#REF!</v>
      </c>
      <c r="DE1005" s="18" t="b">
        <v>0</v>
      </c>
      <c r="DF1005" s="2" t="b">
        <f>IF(OR(RecData[[#This Row],[WSpd_Avg '[m/s']]]-RecData[[#This Row],[Wind Speed min]]&gt;=$DF$3,RecData[[#This Row],[Wind Speed max]]-RecData[[#This Row],[WSpd_Avg '[m/s']]]&gt;=$DF$2),TRUE,FALSE)</f>
        <v>0</v>
      </c>
      <c r="DG1005" s="2" t="b">
        <f>RecData[[#This Row],[Temperature '[°C']]]&lt;=-20</f>
        <v>0</v>
      </c>
      <c r="DH1005" s="18" t="b">
        <f>NOT(OR(MOD(RecData[[#This Row],[TIMESTAMP]],1)&gt;0.91632,MOD(RecData[[#This Row],[TIMESTAMP]],1)&lt;0.208681))</f>
        <v>0</v>
      </c>
      <c r="DI1005" s="18" t="b">
        <f>RecData[[#This Row],[Overall (dBA)]]-RecData[[#This Row],[L90]]&gt;=$DS$4</f>
        <v>0</v>
      </c>
      <c r="DJ1005" s="18" t="b">
        <f>RecData[[#This Row],[Overall (dBA)]]&gt;$DS$2</f>
        <v>0</v>
      </c>
      <c r="DK1005" s="18" t="b">
        <f>RecData[[#This Row],[Overall (dBA)]]&lt;$DS$3</f>
        <v>0</v>
      </c>
      <c r="DL10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5" s="2">
        <f>IF(AND(RecData[[#This Row],[Turbines ON/OFF]] = "OFF", NOT(OR(RecData[[#This Row],[Junk?]]="YES",RecData[[#This Row],[Gust?]],RecData[[#This Row],[Rain?]:[Min SPL Threshold?]]))),1,0)</f>
        <v>0</v>
      </c>
      <c r="DN1005" s="16">
        <f>RecData[[#This Row],[dBA Sum]]</f>
        <v>42.872023469996385</v>
      </c>
      <c r="DO1005" s="16">
        <f>RecData[[#This Row],[LAF90.0]]</f>
        <v>42</v>
      </c>
      <c r="DP1005" s="55">
        <f>IF(AND(RecData[[#This Row],[Useable TON Data?]],RecData[[#This Row],[Turbines ON/OFF]]="ON"),RecData[[#This Row],[dBA Sum]],"")</f>
        <v>42.872023469996385</v>
      </c>
      <c r="DQ1005" s="55" t="str">
        <f>IF(AND(RecData[[#This Row],[Useable Background Data?]],RecData[[#This Row],[Turbines ON/OFF]]="OFF"),RecData[[#This Row],[dBA Sum]],"")</f>
        <v/>
      </c>
      <c r="DR1005" s="3">
        <f>IF(OR(RecData[[#This Row],[Useable TON Data?]],RecData[[#This Row],[Useable Background Data?]]),ROUND(RecData[[#This Row],[WSpd_Avg '[m/s']]],0),"")</f>
        <v>2</v>
      </c>
      <c r="DS1005" s="85">
        <f>(0.00002)^2*(10^(RecData[[#This Row],[Overall (dBA)]]/10))</f>
        <v>7.7492975767081104E-6</v>
      </c>
    </row>
    <row r="1006" spans="1:123" ht="15" x14ac:dyDescent="0.25">
      <c r="A1006" s="3" t="s">
        <v>249</v>
      </c>
      <c r="B1006" s="12">
        <v>43275.082638888896</v>
      </c>
      <c r="C1006" s="3"/>
      <c r="D1006" s="3">
        <v>40.5</v>
      </c>
      <c r="E1006" s="3"/>
      <c r="F1006" s="3"/>
      <c r="G1006" s="3"/>
      <c r="H1006" s="3"/>
      <c r="I1006" s="3"/>
      <c r="J1006" s="3"/>
      <c r="K1006" s="3">
        <v>39.200000000000003</v>
      </c>
      <c r="L1006" s="3"/>
      <c r="M1006" s="3"/>
      <c r="N1006" s="3">
        <v>195</v>
      </c>
      <c r="O1006" s="3"/>
      <c r="P1006" s="3"/>
      <c r="Q1006" s="3">
        <v>0.97</v>
      </c>
      <c r="R1006" s="3">
        <v>0.1</v>
      </c>
      <c r="S1006" s="3">
        <v>1.9</v>
      </c>
      <c r="T1006" s="3">
        <v>13</v>
      </c>
      <c r="U1006" s="3">
        <v>67.7</v>
      </c>
      <c r="V1006" s="3">
        <v>967.1</v>
      </c>
      <c r="W1006" s="3">
        <v>0</v>
      </c>
      <c r="X1006" s="3">
        <v>47.7</v>
      </c>
      <c r="Y1006" s="3">
        <v>47.2</v>
      </c>
      <c r="Z1006" s="3">
        <v>46.2</v>
      </c>
      <c r="AA1006" s="3">
        <v>42.7</v>
      </c>
      <c r="AB1006" s="3">
        <v>37.700000000000003</v>
      </c>
      <c r="AC1006" s="3">
        <v>37.200000000000003</v>
      </c>
      <c r="AD1006" s="3">
        <v>40.299999999999997</v>
      </c>
      <c r="AE1006" s="3">
        <v>41.8</v>
      </c>
      <c r="AF1006" s="3">
        <v>45.3</v>
      </c>
      <c r="AG1006" s="3">
        <v>39.1</v>
      </c>
      <c r="AH1006" s="3">
        <v>37.1</v>
      </c>
      <c r="AI1006" s="3">
        <v>37.5</v>
      </c>
      <c r="AJ1006" s="3">
        <v>35.799999999999997</v>
      </c>
      <c r="AK1006" s="3">
        <v>34.299999999999997</v>
      </c>
      <c r="AL1006" s="3">
        <v>32.4</v>
      </c>
      <c r="AM1006" s="3">
        <v>32.200000000000003</v>
      </c>
      <c r="AN1006" s="3">
        <v>31</v>
      </c>
      <c r="AO1006" s="3">
        <v>28.7</v>
      </c>
      <c r="AP1006" s="3">
        <v>27.5</v>
      </c>
      <c r="AQ1006" s="3">
        <v>26.8</v>
      </c>
      <c r="AR1006" s="3">
        <v>26</v>
      </c>
      <c r="AS1006" s="3">
        <v>25.3</v>
      </c>
      <c r="AT1006" s="3">
        <v>24.7</v>
      </c>
      <c r="AU1006" s="3">
        <v>22.4</v>
      </c>
      <c r="AV1006" s="3">
        <v>20.7</v>
      </c>
      <c r="AW1006" s="3">
        <v>19.100000000000001</v>
      </c>
      <c r="AX1006" s="3">
        <v>14.7</v>
      </c>
      <c r="AY1006" s="3">
        <v>12.8</v>
      </c>
      <c r="AZ1006" s="3">
        <v>0</v>
      </c>
      <c r="BA1006" s="3">
        <v>0</v>
      </c>
      <c r="BB1006" s="3">
        <v>0</v>
      </c>
      <c r="BC1006" s="3">
        <v>40.464265414474113</v>
      </c>
      <c r="BD1006" s="3">
        <v>47.73573458552589</v>
      </c>
      <c r="BE1006" s="3">
        <v>47.23573458552589</v>
      </c>
      <c r="BF1006" s="3">
        <v>44.995734585525895</v>
      </c>
      <c r="BG1006" s="3">
        <v>41.822401252192549</v>
      </c>
      <c r="BH1006" s="3">
        <v>36.962401252192564</v>
      </c>
      <c r="BI1006" s="3">
        <v>36.87573458552589</v>
      </c>
      <c r="BJ1006" s="3">
        <v>40.769067918859207</v>
      </c>
      <c r="BK1006" s="3">
        <v>42.142401252192542</v>
      </c>
      <c r="BL1006" s="3">
        <v>45.215734585525894</v>
      </c>
      <c r="BM1006" s="3">
        <v>39.149067918859231</v>
      </c>
      <c r="BN1006" s="3">
        <v>37.432401252192562</v>
      </c>
      <c r="BO1006" s="3">
        <v>37.199067918859214</v>
      </c>
      <c r="BP1006" s="3">
        <v>35.215734585525894</v>
      </c>
      <c r="BQ1006" s="3">
        <v>34.132401252192551</v>
      </c>
      <c r="BR1006" s="3">
        <v>32.559067918859228</v>
      </c>
      <c r="BS1006" s="3">
        <v>32.162401252192552</v>
      </c>
      <c r="BT1006" s="3">
        <v>31.159067918859222</v>
      </c>
      <c r="BU1006" s="3">
        <v>28.825734585525893</v>
      </c>
      <c r="BV1006" s="3">
        <v>27.342401252192559</v>
      </c>
      <c r="BW1006" s="3">
        <v>27.175734585525888</v>
      </c>
      <c r="BX1006" s="3">
        <v>26.295734585525892</v>
      </c>
      <c r="BY1006" s="3">
        <v>25.415734585525882</v>
      </c>
      <c r="BZ1006" s="3">
        <v>24.945734585525884</v>
      </c>
      <c r="CA1006" s="3">
        <v>22.745734585525881</v>
      </c>
      <c r="CB1006" s="3">
        <v>20.482401252192552</v>
      </c>
      <c r="CC1006" s="3">
        <v>19.095734585525889</v>
      </c>
      <c r="CD1006" s="3">
        <v>14.002401252192556</v>
      </c>
      <c r="CE1006" s="3">
        <v>12.295734585525885</v>
      </c>
      <c r="CF1006" s="3">
        <v>-0.89093208114078237</v>
      </c>
      <c r="CG1006" s="3">
        <v>-1.4242654144741138</v>
      </c>
      <c r="CH1006" s="3">
        <v>-2.5009320811407818</v>
      </c>
      <c r="CI1006" s="13">
        <f>[1]!dbasum(RecData[[#This Row],[20]:[2000]],RecData[[#Headers],[20]:[2000]])</f>
        <v>39.923627146599671</v>
      </c>
      <c r="CJ1006" s="14">
        <v>10416</v>
      </c>
      <c r="CK1006" s="15" t="s">
        <v>249</v>
      </c>
      <c r="CL1006" s="15">
        <f>RecData[[#This Row],[Start Time]]</f>
        <v>43275.082638888896</v>
      </c>
      <c r="CM1006" s="16">
        <f>RecData[[#This Row],[Wind Speed avg]]</f>
        <v>0.97</v>
      </c>
      <c r="CN1006" s="16">
        <f>RecData[[#This Row],[Wind Dir. avg]]</f>
        <v>195</v>
      </c>
      <c r="CO1006" s="16">
        <f>RecData[[#This Row],[Amb. Humidity]]</f>
        <v>67.7</v>
      </c>
      <c r="CP1006" s="16">
        <f>RecData[[#This Row],[Amb. Temperature]]</f>
        <v>13</v>
      </c>
      <c r="CQ1006" s="17">
        <f>RecData[[#This Row],[Amb. Rain Gauge]]</f>
        <v>0</v>
      </c>
      <c r="CR1006" s="4" t="s">
        <v>1</v>
      </c>
      <c r="CS1006" s="4" t="s">
        <v>49</v>
      </c>
      <c r="CT1006" s="70">
        <v>1618.39562988281</v>
      </c>
      <c r="CU1006" s="70">
        <v>34.221115112304602</v>
      </c>
      <c r="CV1006" s="70">
        <v>11.434268951416</v>
      </c>
      <c r="CW1006" s="70">
        <v>15.2569932937622</v>
      </c>
      <c r="CX1006" s="4"/>
      <c r="CY1006" s="69"/>
      <c r="CZ1006" s="2" t="b">
        <f>IF($DP$1="YES",IF(RecData[[#This Row],[Power (kW)]]&gt;=$CR$3, TRUE,FALSE),TRUE)</f>
        <v>1</v>
      </c>
      <c r="DA1006" s="16">
        <f>MIN(MOD(180-ABS(ABS($DA$1-RecData[Yaw Angle (°)])-180),360),MOD(180-ABS(ABS($DB$1-RecData[Yaw Angle (°)])-180),360))</f>
        <v>26.691188334617038</v>
      </c>
      <c r="DB1006" s="2" t="str">
        <f>IF($DP$2="None","None",IF(RecData[[#This Row],[Relative Wind Direction]]&lt;=45,"DW",IF(RecData[[#This Row],[Relative Wind Direction]]&lt;=135,"CW","UW")))</f>
        <v>DW</v>
      </c>
      <c r="DC1006" s="61" t="e">
        <f>IF($CL1006-#REF!&gt;1/24,#REF!,IF(SUM($CQ1006:$CQ1006)&gt;$DS$1,$DS$5,#REF!-1))</f>
        <v>#REF!</v>
      </c>
      <c r="DD1006" s="61" t="e">
        <f>IF(#REF!-$CL1006&gt;1/24,#REF!,IF(SUM($CQ1006:$CQ1006)&gt;$DS$1,$DS$6,#REF!-1))</f>
        <v>#REF!</v>
      </c>
      <c r="DE1006" s="18" t="b">
        <v>0</v>
      </c>
      <c r="DF1006" s="2" t="b">
        <f>IF(OR(RecData[[#This Row],[WSpd_Avg '[m/s']]]-RecData[[#This Row],[Wind Speed min]]&gt;=$DF$3,RecData[[#This Row],[Wind Speed max]]-RecData[[#This Row],[WSpd_Avg '[m/s']]]&gt;=$DF$2),TRUE,FALSE)</f>
        <v>0</v>
      </c>
      <c r="DG1006" s="2" t="b">
        <f>RecData[[#This Row],[Temperature '[°C']]]&lt;=-20</f>
        <v>0</v>
      </c>
      <c r="DH1006" s="18" t="b">
        <f>NOT(OR(MOD(RecData[[#This Row],[TIMESTAMP]],1)&gt;0.91632,MOD(RecData[[#This Row],[TIMESTAMP]],1)&lt;0.208681))</f>
        <v>0</v>
      </c>
      <c r="DI1006" s="18" t="b">
        <f>RecData[[#This Row],[Overall (dBA)]]-RecData[[#This Row],[L90]]&gt;=$DS$4</f>
        <v>0</v>
      </c>
      <c r="DJ1006" s="18" t="b">
        <f>RecData[[#This Row],[Overall (dBA)]]&gt;$DS$2</f>
        <v>0</v>
      </c>
      <c r="DK1006" s="18" t="b">
        <f>RecData[[#This Row],[Overall (dBA)]]&lt;$DS$3</f>
        <v>0</v>
      </c>
      <c r="DL10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6" s="2">
        <f>IF(AND(RecData[[#This Row],[Turbines ON/OFF]] = "OFF", NOT(OR(RecData[[#This Row],[Junk?]]="YES",RecData[[#This Row],[Gust?]],RecData[[#This Row],[Rain?]:[Min SPL Threshold?]]))),1,0)</f>
        <v>0</v>
      </c>
      <c r="DN1006" s="16">
        <f>RecData[[#This Row],[dBA Sum]]</f>
        <v>39.923627146599671</v>
      </c>
      <c r="DO1006" s="16">
        <f>RecData[[#This Row],[LAF90.0]]</f>
        <v>39.200000000000003</v>
      </c>
      <c r="DP1006" s="55">
        <f>IF(AND(RecData[[#This Row],[Useable TON Data?]],RecData[[#This Row],[Turbines ON/OFF]]="ON"),RecData[[#This Row],[dBA Sum]],"")</f>
        <v>39.923627146599671</v>
      </c>
      <c r="DQ1006" s="55" t="str">
        <f>IF(AND(RecData[[#This Row],[Useable Background Data?]],RecData[[#This Row],[Turbines ON/OFF]]="OFF"),RecData[[#This Row],[dBA Sum]],"")</f>
        <v/>
      </c>
      <c r="DR1006" s="3">
        <f>IF(OR(RecData[[#This Row],[Useable TON Data?]],RecData[[#This Row],[Useable Background Data?]]),ROUND(RecData[[#This Row],[WSpd_Avg '[m/s']]],0),"")</f>
        <v>1</v>
      </c>
      <c r="DS1006" s="85">
        <f>(0.00002)^2*(10^(RecData[[#This Row],[Overall (dBA)]]/10))</f>
        <v>3.9302728924189669E-6</v>
      </c>
    </row>
    <row r="1007" spans="1:123" ht="15" x14ac:dyDescent="0.25">
      <c r="A1007" s="3" t="s">
        <v>249</v>
      </c>
      <c r="B1007" s="12">
        <v>43275.084722222222</v>
      </c>
      <c r="C1007" s="3"/>
      <c r="D1007" s="3">
        <v>41.3</v>
      </c>
      <c r="E1007" s="3"/>
      <c r="F1007" s="3"/>
      <c r="G1007" s="3"/>
      <c r="H1007" s="3"/>
      <c r="I1007" s="3"/>
      <c r="J1007" s="3"/>
      <c r="K1007" s="3">
        <v>40</v>
      </c>
      <c r="L1007" s="3"/>
      <c r="M1007" s="3"/>
      <c r="N1007" s="3">
        <v>192.8</v>
      </c>
      <c r="O1007" s="3"/>
      <c r="P1007" s="3"/>
      <c r="Q1007" s="3">
        <v>1.4</v>
      </c>
      <c r="R1007" s="3">
        <v>0.4</v>
      </c>
      <c r="S1007" s="3">
        <v>2.6</v>
      </c>
      <c r="T1007" s="3">
        <v>13</v>
      </c>
      <c r="U1007" s="3">
        <v>68</v>
      </c>
      <c r="V1007" s="3">
        <v>967.1</v>
      </c>
      <c r="W1007" s="3">
        <v>0</v>
      </c>
      <c r="X1007" s="3">
        <v>49.7</v>
      </c>
      <c r="Y1007" s="3">
        <v>49.3</v>
      </c>
      <c r="Z1007" s="3">
        <v>48.8</v>
      </c>
      <c r="AA1007" s="3">
        <v>45.2</v>
      </c>
      <c r="AB1007" s="3">
        <v>39.9</v>
      </c>
      <c r="AC1007" s="3">
        <v>39.5</v>
      </c>
      <c r="AD1007" s="3">
        <v>42</v>
      </c>
      <c r="AE1007" s="3">
        <v>43.3</v>
      </c>
      <c r="AF1007" s="3">
        <v>46.3</v>
      </c>
      <c r="AG1007" s="3">
        <v>40.6</v>
      </c>
      <c r="AH1007" s="3">
        <v>39.200000000000003</v>
      </c>
      <c r="AI1007" s="3">
        <v>38.700000000000003</v>
      </c>
      <c r="AJ1007" s="3">
        <v>37.5</v>
      </c>
      <c r="AK1007" s="3">
        <v>35.4</v>
      </c>
      <c r="AL1007" s="3">
        <v>33.4</v>
      </c>
      <c r="AM1007" s="3">
        <v>33.200000000000003</v>
      </c>
      <c r="AN1007" s="3">
        <v>31.9</v>
      </c>
      <c r="AO1007" s="3">
        <v>29.1</v>
      </c>
      <c r="AP1007" s="3">
        <v>27.4</v>
      </c>
      <c r="AQ1007" s="3">
        <v>26.4</v>
      </c>
      <c r="AR1007" s="3">
        <v>25.3</v>
      </c>
      <c r="AS1007" s="3">
        <v>24.8</v>
      </c>
      <c r="AT1007" s="3">
        <v>24.9</v>
      </c>
      <c r="AU1007" s="3">
        <v>22.6</v>
      </c>
      <c r="AV1007" s="3">
        <v>20.9</v>
      </c>
      <c r="AW1007" s="3">
        <v>19.600000000000001</v>
      </c>
      <c r="AX1007" s="3">
        <v>15.3</v>
      </c>
      <c r="AY1007" s="3">
        <v>13.4</v>
      </c>
      <c r="AZ1007" s="3">
        <v>0</v>
      </c>
      <c r="BA1007" s="3">
        <v>0</v>
      </c>
      <c r="BB1007" s="3">
        <v>0</v>
      </c>
      <c r="BC1007" s="3">
        <v>41.28380704025966</v>
      </c>
      <c r="BD1007" s="3">
        <v>49.71619295974034</v>
      </c>
      <c r="BE1007" s="3">
        <v>49.316192959740334</v>
      </c>
      <c r="BF1007" s="3">
        <v>47.576192959740325</v>
      </c>
      <c r="BG1007" s="3">
        <v>44.302859626407013</v>
      </c>
      <c r="BH1007" s="3">
        <v>39.142859626407002</v>
      </c>
      <c r="BI1007" s="3">
        <v>39.156192959740338</v>
      </c>
      <c r="BJ1007" s="3">
        <v>42.44952629307366</v>
      </c>
      <c r="BK1007" s="3">
        <v>43.622859626407006</v>
      </c>
      <c r="BL1007" s="3">
        <v>46.19619295974033</v>
      </c>
      <c r="BM1007" s="3">
        <v>40.629526293073667</v>
      </c>
      <c r="BN1007" s="3">
        <v>39.512859626407007</v>
      </c>
      <c r="BO1007" s="3">
        <v>38.379526293073667</v>
      </c>
      <c r="BP1007" s="3">
        <v>36.896192959740347</v>
      </c>
      <c r="BQ1007" s="3">
        <v>35.212859626406996</v>
      </c>
      <c r="BR1007" s="3">
        <v>33.539526293073664</v>
      </c>
      <c r="BS1007" s="3">
        <v>33.142859626407017</v>
      </c>
      <c r="BT1007" s="3">
        <v>32.039526293073664</v>
      </c>
      <c r="BU1007" s="3">
        <v>29.206192959740349</v>
      </c>
      <c r="BV1007" s="3">
        <v>27.222859626407001</v>
      </c>
      <c r="BW1007" s="3">
        <v>26.756192959740332</v>
      </c>
      <c r="BX1007" s="3">
        <v>25.576192959740339</v>
      </c>
      <c r="BY1007" s="3">
        <v>24.896192959740333</v>
      </c>
      <c r="BZ1007" s="3">
        <v>25.126192959740337</v>
      </c>
      <c r="CA1007" s="3">
        <v>22.926192959740334</v>
      </c>
      <c r="CB1007" s="3">
        <v>20.662859626406998</v>
      </c>
      <c r="CC1007" s="3">
        <v>19.576192959740339</v>
      </c>
      <c r="CD1007" s="3">
        <v>14.582859626407007</v>
      </c>
      <c r="CE1007" s="3">
        <v>12.876192959740337</v>
      </c>
      <c r="CF1007" s="3">
        <v>-0.91047370692633223</v>
      </c>
      <c r="CG1007" s="3">
        <v>-1.4438070402596637</v>
      </c>
      <c r="CH1007" s="3">
        <v>-2.5204737069263317</v>
      </c>
      <c r="CI1007" s="13">
        <f>[1]!dbasum(RecData[[#This Row],[20]:[2000]],RecData[[#Headers],[20]:[2000]])</f>
        <v>40.805871205984417</v>
      </c>
      <c r="CJ1007" s="14">
        <v>10419</v>
      </c>
      <c r="CK1007" s="15" t="s">
        <v>249</v>
      </c>
      <c r="CL1007" s="15">
        <f>RecData[[#This Row],[Start Time]]</f>
        <v>43275.084722222222</v>
      </c>
      <c r="CM1007" s="16">
        <f>RecData[[#This Row],[Wind Speed avg]]</f>
        <v>1.4</v>
      </c>
      <c r="CN1007" s="16">
        <f>RecData[[#This Row],[Wind Dir. avg]]</f>
        <v>192.8</v>
      </c>
      <c r="CO1007" s="16">
        <f>RecData[[#This Row],[Amb. Humidity]]</f>
        <v>68</v>
      </c>
      <c r="CP1007" s="16">
        <f>RecData[[#This Row],[Amb. Temperature]]</f>
        <v>13</v>
      </c>
      <c r="CQ1007" s="17">
        <f>RecData[[#This Row],[Amb. Rain Gauge]]</f>
        <v>0</v>
      </c>
      <c r="CR1007" s="4" t="s">
        <v>1</v>
      </c>
      <c r="CS1007" s="4" t="s">
        <v>49</v>
      </c>
      <c r="CT1007" s="70">
        <v>1609.68481445312</v>
      </c>
      <c r="CU1007" s="70">
        <v>33.000282287597599</v>
      </c>
      <c r="CV1007" s="70">
        <v>11.068662643432599</v>
      </c>
      <c r="CW1007" s="70">
        <v>15.206138610839799</v>
      </c>
      <c r="CX1007" s="4"/>
      <c r="CY1007" s="69"/>
      <c r="CZ1007" s="2" t="b">
        <f>IF($DP$1="YES",IF(RecData[[#This Row],[Power (kW)]]&gt;=$CR$3, TRUE,FALSE),TRUE)</f>
        <v>1</v>
      </c>
      <c r="DA1007" s="16">
        <f>MIN(MOD(180-ABS(ABS($DA$1-RecData[Yaw Angle (°)])-180),360),MOD(180-ABS(ABS($DB$1-RecData[Yaw Angle (°)])-180),360))</f>
        <v>25.470355509910064</v>
      </c>
      <c r="DB1007" s="2" t="str">
        <f>IF($DP$2="None","None",IF(RecData[[#This Row],[Relative Wind Direction]]&lt;=45,"DW",IF(RecData[[#This Row],[Relative Wind Direction]]&lt;=135,"CW","UW")))</f>
        <v>DW</v>
      </c>
      <c r="DC1007" s="61" t="e">
        <f>IF($CL1007-#REF!&gt;1/24,#REF!,IF(SUM($CQ1006:$CQ1007)&gt;$DS$1,$DS$5,DC1008-1))</f>
        <v>#REF!</v>
      </c>
      <c r="DD1007" s="61" t="e">
        <f>IF($CL1008-$CL1007&gt;1/24,#REF!,IF(SUM($CQ1006:$CQ1007)&gt;$DS$1,$DS$6,#REF!-1))</f>
        <v>#REF!</v>
      </c>
      <c r="DE1007" s="18" t="b">
        <v>0</v>
      </c>
      <c r="DF1007" s="2" t="b">
        <f>IF(OR(RecData[[#This Row],[WSpd_Avg '[m/s']]]-RecData[[#This Row],[Wind Speed min]]&gt;=$DF$3,RecData[[#This Row],[Wind Speed max]]-RecData[[#This Row],[WSpd_Avg '[m/s']]]&gt;=$DF$2),TRUE,FALSE)</f>
        <v>0</v>
      </c>
      <c r="DG1007" s="2" t="b">
        <f>RecData[[#This Row],[Temperature '[°C']]]&lt;=-20</f>
        <v>0</v>
      </c>
      <c r="DH1007" s="18" t="b">
        <f>NOT(OR(MOD(RecData[[#This Row],[TIMESTAMP]],1)&gt;0.91632,MOD(RecData[[#This Row],[TIMESTAMP]],1)&lt;0.208681))</f>
        <v>0</v>
      </c>
      <c r="DI1007" s="18" t="b">
        <f>RecData[[#This Row],[Overall (dBA)]]-RecData[[#This Row],[L90]]&gt;=$DS$4</f>
        <v>0</v>
      </c>
      <c r="DJ1007" s="18" t="b">
        <f>RecData[[#This Row],[Overall (dBA)]]&gt;$DS$2</f>
        <v>0</v>
      </c>
      <c r="DK1007" s="18" t="b">
        <f>RecData[[#This Row],[Overall (dBA)]]&lt;$DS$3</f>
        <v>0</v>
      </c>
      <c r="DL10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7" s="2">
        <f>IF(AND(RecData[[#This Row],[Turbines ON/OFF]] = "OFF", NOT(OR(RecData[[#This Row],[Junk?]]="YES",RecData[[#This Row],[Gust?]],RecData[[#This Row],[Rain?]:[Min SPL Threshold?]]))),1,0)</f>
        <v>0</v>
      </c>
      <c r="DN1007" s="16">
        <f>RecData[[#This Row],[dBA Sum]]</f>
        <v>40.805871205984417</v>
      </c>
      <c r="DO1007" s="16">
        <f>RecData[[#This Row],[LAF90.0]]</f>
        <v>40</v>
      </c>
      <c r="DP1007" s="55">
        <f>IF(AND(RecData[[#This Row],[Useable TON Data?]],RecData[[#This Row],[Turbines ON/OFF]]="ON"),RecData[[#This Row],[dBA Sum]],"")</f>
        <v>40.805871205984417</v>
      </c>
      <c r="DQ1007" s="55" t="str">
        <f>IF(AND(RecData[[#This Row],[Useable Background Data?]],RecData[[#This Row],[Turbines ON/OFF]]="OFF"),RecData[[#This Row],[dBA Sum]],"")</f>
        <v/>
      </c>
      <c r="DR1007" s="3">
        <f>IF(OR(RecData[[#This Row],[Useable TON Data?]],RecData[[#This Row],[Useable Background Data?]]),ROUND(RecData[[#This Row],[WSpd_Avg '[m/s']]],0),"")</f>
        <v>1</v>
      </c>
      <c r="DS1007" s="85">
        <f>(0.00002)^2*(10^(RecData[[#This Row],[Overall (dBA)]]/10))</f>
        <v>4.8155634767906766E-6</v>
      </c>
    </row>
    <row r="1008" spans="1:123" ht="15" x14ac:dyDescent="0.25">
      <c r="A1008" s="3" t="s">
        <v>249</v>
      </c>
      <c r="B1008" s="12">
        <v>43275.085416666669</v>
      </c>
      <c r="C1008" s="3"/>
      <c r="D1008" s="3">
        <v>41.3</v>
      </c>
      <c r="E1008" s="3"/>
      <c r="F1008" s="3"/>
      <c r="G1008" s="3"/>
      <c r="H1008" s="3"/>
      <c r="I1008" s="3"/>
      <c r="J1008" s="3"/>
      <c r="K1008" s="3">
        <v>39.9</v>
      </c>
      <c r="L1008" s="3"/>
      <c r="M1008" s="3"/>
      <c r="N1008" s="3">
        <v>164.4</v>
      </c>
      <c r="O1008" s="3"/>
      <c r="P1008" s="3"/>
      <c r="Q1008" s="3">
        <v>1.56</v>
      </c>
      <c r="R1008" s="3">
        <v>0.7</v>
      </c>
      <c r="S1008" s="3">
        <v>2.5</v>
      </c>
      <c r="T1008" s="3">
        <v>13</v>
      </c>
      <c r="U1008" s="3">
        <v>68.3</v>
      </c>
      <c r="V1008" s="3">
        <v>967.1</v>
      </c>
      <c r="W1008" s="3">
        <v>0</v>
      </c>
      <c r="X1008" s="3">
        <v>49.8</v>
      </c>
      <c r="Y1008" s="3">
        <v>48.7</v>
      </c>
      <c r="Z1008" s="3">
        <v>49.2</v>
      </c>
      <c r="AA1008" s="3">
        <v>44.9</v>
      </c>
      <c r="AB1008" s="3">
        <v>39.299999999999997</v>
      </c>
      <c r="AC1008" s="3">
        <v>37.700000000000003</v>
      </c>
      <c r="AD1008" s="3">
        <v>40.6</v>
      </c>
      <c r="AE1008" s="3">
        <v>42.6</v>
      </c>
      <c r="AF1008" s="3">
        <v>47.1</v>
      </c>
      <c r="AG1008" s="3">
        <v>41.2</v>
      </c>
      <c r="AH1008" s="3">
        <v>38.299999999999997</v>
      </c>
      <c r="AI1008" s="3">
        <v>38.4</v>
      </c>
      <c r="AJ1008" s="3">
        <v>37.200000000000003</v>
      </c>
      <c r="AK1008" s="3">
        <v>35</v>
      </c>
      <c r="AL1008" s="3">
        <v>33.200000000000003</v>
      </c>
      <c r="AM1008" s="3">
        <v>32.799999999999997</v>
      </c>
      <c r="AN1008" s="3">
        <v>31.7</v>
      </c>
      <c r="AO1008" s="3">
        <v>28.8</v>
      </c>
      <c r="AP1008" s="3">
        <v>27.2</v>
      </c>
      <c r="AQ1008" s="3">
        <v>26.2</v>
      </c>
      <c r="AR1008" s="3">
        <v>25.4</v>
      </c>
      <c r="AS1008" s="3">
        <v>25.4</v>
      </c>
      <c r="AT1008" s="3">
        <v>25.6</v>
      </c>
      <c r="AU1008" s="3">
        <v>24.5</v>
      </c>
      <c r="AV1008" s="3">
        <v>23</v>
      </c>
      <c r="AW1008" s="3">
        <v>21.6</v>
      </c>
      <c r="AX1008" s="3">
        <v>17.2</v>
      </c>
      <c r="AY1008" s="3">
        <v>15.2</v>
      </c>
      <c r="AZ1008" s="3">
        <v>0</v>
      </c>
      <c r="BA1008" s="3">
        <v>0</v>
      </c>
      <c r="BB1008" s="3">
        <v>0</v>
      </c>
      <c r="BC1008" s="3">
        <v>41.262078218525076</v>
      </c>
      <c r="BD1008" s="3">
        <v>49.837921781474918</v>
      </c>
      <c r="BE1008" s="3">
        <v>48.737921781474924</v>
      </c>
      <c r="BF1008" s="3">
        <v>47.997921781474915</v>
      </c>
      <c r="BG1008" s="3">
        <v>44.024588448141586</v>
      </c>
      <c r="BH1008" s="3">
        <v>38.564588448141578</v>
      </c>
      <c r="BI1008" s="3">
        <v>37.377921781474925</v>
      </c>
      <c r="BJ1008" s="3">
        <v>41.071255114808253</v>
      </c>
      <c r="BK1008" s="3">
        <v>42.944588448141587</v>
      </c>
      <c r="BL1008" s="3">
        <v>47.017921781474925</v>
      </c>
      <c r="BM1008" s="3">
        <v>41.251255114808259</v>
      </c>
      <c r="BN1008" s="3">
        <v>38.634588448141585</v>
      </c>
      <c r="BO1008" s="3">
        <v>38.101255114808254</v>
      </c>
      <c r="BP1008" s="3">
        <v>36.617921781474919</v>
      </c>
      <c r="BQ1008" s="3">
        <v>34.834588448141588</v>
      </c>
      <c r="BR1008" s="3">
        <v>33.361255114808259</v>
      </c>
      <c r="BS1008" s="3">
        <v>32.764588448141595</v>
      </c>
      <c r="BT1008" s="3">
        <v>31.861255114808259</v>
      </c>
      <c r="BU1008" s="3">
        <v>28.927921781474922</v>
      </c>
      <c r="BV1008" s="3">
        <v>27.044588448141596</v>
      </c>
      <c r="BW1008" s="3">
        <v>26.577921781474927</v>
      </c>
      <c r="BX1008" s="3">
        <v>25.697921781474932</v>
      </c>
      <c r="BY1008" s="3">
        <v>25.517921781474925</v>
      </c>
      <c r="BZ1008" s="3">
        <v>25.847921781474923</v>
      </c>
      <c r="CA1008" s="3">
        <v>24.847921781474909</v>
      </c>
      <c r="CB1008" s="3">
        <v>22.784588448141591</v>
      </c>
      <c r="CC1008" s="3">
        <v>21.597921781474923</v>
      </c>
      <c r="CD1008" s="3">
        <v>16.50458844814159</v>
      </c>
      <c r="CE1008" s="3">
        <v>14.697921781474918</v>
      </c>
      <c r="CF1008" s="3">
        <v>-0.88874488519174832</v>
      </c>
      <c r="CG1008" s="3">
        <v>-1.4220782185250798</v>
      </c>
      <c r="CH1008" s="3">
        <v>-2.4987448851917478</v>
      </c>
      <c r="CI1008" s="13">
        <f>[1]!dbasum(RecData[[#This Row],[20]:[2000]],RecData[[#Headers],[20]:[2000]])</f>
        <v>40.649023537456756</v>
      </c>
      <c r="CJ1008" s="14">
        <v>10420</v>
      </c>
      <c r="CK1008" s="15" t="s">
        <v>249</v>
      </c>
      <c r="CL1008" s="15">
        <f>RecData[[#This Row],[Start Time]]</f>
        <v>43275.085416666669</v>
      </c>
      <c r="CM1008" s="16">
        <f>RecData[[#This Row],[Wind Speed avg]]</f>
        <v>1.56</v>
      </c>
      <c r="CN1008" s="16">
        <f>RecData[[#This Row],[Wind Dir. avg]]</f>
        <v>164.4</v>
      </c>
      <c r="CO1008" s="16">
        <f>RecData[[#This Row],[Amb. Humidity]]</f>
        <v>68.3</v>
      </c>
      <c r="CP1008" s="16">
        <f>RecData[[#This Row],[Amb. Temperature]]</f>
        <v>13</v>
      </c>
      <c r="CQ1008" s="17">
        <f>RecData[[#This Row],[Amb. Rain Gauge]]</f>
        <v>0</v>
      </c>
      <c r="CR1008" s="4" t="s">
        <v>1</v>
      </c>
      <c r="CS1008" s="4" t="s">
        <v>49</v>
      </c>
      <c r="CT1008" s="70">
        <v>1609.68481445312</v>
      </c>
      <c r="CU1008" s="70">
        <v>33.000282287597599</v>
      </c>
      <c r="CV1008" s="70">
        <v>11.068662643432599</v>
      </c>
      <c r="CW1008" s="70">
        <v>15.206138610839799</v>
      </c>
      <c r="CX1008" s="4"/>
      <c r="CY1008" s="69"/>
      <c r="CZ1008" s="2" t="b">
        <f>IF($DP$1="YES",IF(RecData[[#This Row],[Power (kW)]]&gt;=$CR$3, TRUE,FALSE),TRUE)</f>
        <v>1</v>
      </c>
      <c r="DA1008" s="16">
        <f>MIN(MOD(180-ABS(ABS($DA$1-RecData[Yaw Angle (°)])-180),360),MOD(180-ABS(ABS($DB$1-RecData[Yaw Angle (°)])-180),360))</f>
        <v>25.470355509910064</v>
      </c>
      <c r="DB1008" s="2" t="str">
        <f>IF($DP$2="None","None",IF(RecData[[#This Row],[Relative Wind Direction]]&lt;=45,"DW",IF(RecData[[#This Row],[Relative Wind Direction]]&lt;=135,"CW","UW")))</f>
        <v>DW</v>
      </c>
      <c r="DC1008" s="61" t="e">
        <f>IF($CL1008-$CL1006&gt;1/24,#REF!,IF(SUM($CQ1006:$CQ1008)&gt;$DS$1,$DS$5,#REF!-1))</f>
        <v>#REF!</v>
      </c>
      <c r="DD1008" s="61" t="e">
        <f>IF(#REF!-$CL1008&gt;1/24,#REF!,IF(SUM($CQ1006:$CQ1008)&gt;$DS$1,$DS$6,DD1007-1))</f>
        <v>#REF!</v>
      </c>
      <c r="DE1008" s="18" t="b">
        <v>0</v>
      </c>
      <c r="DF1008" s="2" t="b">
        <f>IF(OR(RecData[[#This Row],[WSpd_Avg '[m/s']]]-RecData[[#This Row],[Wind Speed min]]&gt;=$DF$3,RecData[[#This Row],[Wind Speed max]]-RecData[[#This Row],[WSpd_Avg '[m/s']]]&gt;=$DF$2),TRUE,FALSE)</f>
        <v>0</v>
      </c>
      <c r="DG1008" s="2" t="b">
        <f>RecData[[#This Row],[Temperature '[°C']]]&lt;=-20</f>
        <v>0</v>
      </c>
      <c r="DH1008" s="18" t="b">
        <f>NOT(OR(MOD(RecData[[#This Row],[TIMESTAMP]],1)&gt;0.91632,MOD(RecData[[#This Row],[TIMESTAMP]],1)&lt;0.208681))</f>
        <v>0</v>
      </c>
      <c r="DI1008" s="18" t="b">
        <f>RecData[[#This Row],[Overall (dBA)]]-RecData[[#This Row],[L90]]&gt;=$DS$4</f>
        <v>0</v>
      </c>
      <c r="DJ1008" s="18" t="b">
        <f>RecData[[#This Row],[Overall (dBA)]]&gt;$DS$2</f>
        <v>0</v>
      </c>
      <c r="DK1008" s="18" t="b">
        <f>RecData[[#This Row],[Overall (dBA)]]&lt;$DS$3</f>
        <v>0</v>
      </c>
      <c r="DL10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8" s="2">
        <f>IF(AND(RecData[[#This Row],[Turbines ON/OFF]] = "OFF", NOT(OR(RecData[[#This Row],[Junk?]]="YES",RecData[[#This Row],[Gust?]],RecData[[#This Row],[Rain?]:[Min SPL Threshold?]]))),1,0)</f>
        <v>0</v>
      </c>
      <c r="DN1008" s="16">
        <f>RecData[[#This Row],[dBA Sum]]</f>
        <v>40.649023537456756</v>
      </c>
      <c r="DO1008" s="16">
        <f>RecData[[#This Row],[LAF90.0]]</f>
        <v>39.9</v>
      </c>
      <c r="DP1008" s="55">
        <f>IF(AND(RecData[[#This Row],[Useable TON Data?]],RecData[[#This Row],[Turbines ON/OFF]]="ON"),RecData[[#This Row],[dBA Sum]],"")</f>
        <v>40.649023537456756</v>
      </c>
      <c r="DQ1008" s="55" t="str">
        <f>IF(AND(RecData[[#This Row],[Useable Background Data?]],RecData[[#This Row],[Turbines ON/OFF]]="OFF"),RecData[[#This Row],[dBA Sum]],"")</f>
        <v/>
      </c>
      <c r="DR1008" s="3">
        <f>IF(OR(RecData[[#This Row],[Useable TON Data?]],RecData[[#This Row],[Useable Background Data?]]),ROUND(RecData[[#This Row],[WSpd_Avg '[m/s']]],0),"")</f>
        <v>2</v>
      </c>
      <c r="DS1008" s="85">
        <f>(0.00002)^2*(10^(RecData[[#This Row],[Overall (dBA)]]/10))</f>
        <v>4.6447500178858519E-6</v>
      </c>
    </row>
    <row r="1009" spans="1:123" ht="15" x14ac:dyDescent="0.25">
      <c r="A1009" s="3" t="s">
        <v>249</v>
      </c>
      <c r="B1009" s="12">
        <v>43275.088888888895</v>
      </c>
      <c r="C1009" s="3"/>
      <c r="D1009" s="3">
        <v>40.9</v>
      </c>
      <c r="E1009" s="3"/>
      <c r="F1009" s="3"/>
      <c r="G1009" s="3"/>
      <c r="H1009" s="3"/>
      <c r="I1009" s="3"/>
      <c r="J1009" s="3"/>
      <c r="K1009" s="3">
        <v>39.9</v>
      </c>
      <c r="L1009" s="3"/>
      <c r="M1009" s="3"/>
      <c r="N1009" s="3">
        <v>135.6</v>
      </c>
      <c r="O1009" s="3"/>
      <c r="P1009" s="3"/>
      <c r="Q1009" s="3">
        <v>1.89</v>
      </c>
      <c r="R1009" s="3">
        <v>0.7</v>
      </c>
      <c r="S1009" s="3">
        <v>2.7</v>
      </c>
      <c r="T1009" s="3">
        <v>12.9</v>
      </c>
      <c r="U1009" s="3">
        <v>68.599999999999994</v>
      </c>
      <c r="V1009" s="3">
        <v>967.2</v>
      </c>
      <c r="W1009" s="3">
        <v>0</v>
      </c>
      <c r="X1009" s="3">
        <v>48.7</v>
      </c>
      <c r="Y1009" s="3">
        <v>48</v>
      </c>
      <c r="Z1009" s="3">
        <v>47.5</v>
      </c>
      <c r="AA1009" s="3">
        <v>44.2</v>
      </c>
      <c r="AB1009" s="3">
        <v>38.6</v>
      </c>
      <c r="AC1009" s="3">
        <v>38.299999999999997</v>
      </c>
      <c r="AD1009" s="3">
        <v>41.3</v>
      </c>
      <c r="AE1009" s="3">
        <v>42.1</v>
      </c>
      <c r="AF1009" s="3">
        <v>46.3</v>
      </c>
      <c r="AG1009" s="3">
        <v>39.700000000000003</v>
      </c>
      <c r="AH1009" s="3">
        <v>37.6</v>
      </c>
      <c r="AI1009" s="3">
        <v>37.6</v>
      </c>
      <c r="AJ1009" s="3">
        <v>36.6</v>
      </c>
      <c r="AK1009" s="3">
        <v>34.799999999999997</v>
      </c>
      <c r="AL1009" s="3">
        <v>32.9</v>
      </c>
      <c r="AM1009" s="3">
        <v>32.700000000000003</v>
      </c>
      <c r="AN1009" s="3">
        <v>31.3</v>
      </c>
      <c r="AO1009" s="3">
        <v>28.8</v>
      </c>
      <c r="AP1009" s="3">
        <v>27.3</v>
      </c>
      <c r="AQ1009" s="3">
        <v>26.4</v>
      </c>
      <c r="AR1009" s="3">
        <v>26</v>
      </c>
      <c r="AS1009" s="3">
        <v>25.9</v>
      </c>
      <c r="AT1009" s="3">
        <v>25.5</v>
      </c>
      <c r="AU1009" s="3">
        <v>24.1</v>
      </c>
      <c r="AV1009" s="3">
        <v>22.5</v>
      </c>
      <c r="AW1009" s="3">
        <v>21.1</v>
      </c>
      <c r="AX1009" s="3">
        <v>16.7</v>
      </c>
      <c r="AY1009" s="3">
        <v>14.8</v>
      </c>
      <c r="AZ1009" s="3">
        <v>0</v>
      </c>
      <c r="BA1009" s="3">
        <v>0</v>
      </c>
      <c r="BB1009" s="3">
        <v>0</v>
      </c>
      <c r="BC1009" s="3">
        <v>40.935867008909732</v>
      </c>
      <c r="BD1009" s="3">
        <v>48.664132991090263</v>
      </c>
      <c r="BE1009" s="3">
        <v>47.964132991090274</v>
      </c>
      <c r="BF1009" s="3">
        <v>46.224132991090265</v>
      </c>
      <c r="BG1009" s="3">
        <v>43.250799657756936</v>
      </c>
      <c r="BH1009" s="3">
        <v>37.790799657756928</v>
      </c>
      <c r="BI1009" s="3">
        <v>37.904132991090272</v>
      </c>
      <c r="BJ1009" s="3">
        <v>41.697466324423594</v>
      </c>
      <c r="BK1009" s="3">
        <v>42.37079965775694</v>
      </c>
      <c r="BL1009" s="3">
        <v>46.144132991090267</v>
      </c>
      <c r="BM1009" s="3">
        <v>39.677466324423612</v>
      </c>
      <c r="BN1009" s="3">
        <v>37.860799657756935</v>
      </c>
      <c r="BO1009" s="3">
        <v>37.227466324423595</v>
      </c>
      <c r="BP1009" s="3">
        <v>35.944132991090264</v>
      </c>
      <c r="BQ1009" s="3">
        <v>34.560799657756924</v>
      </c>
      <c r="BR1009" s="3">
        <v>32.9874663244236</v>
      </c>
      <c r="BS1009" s="3">
        <v>32.590799657756939</v>
      </c>
      <c r="BT1009" s="3">
        <v>31.387466324423606</v>
      </c>
      <c r="BU1009" s="3">
        <v>28.854132991090275</v>
      </c>
      <c r="BV1009" s="3">
        <v>27.070799657756929</v>
      </c>
      <c r="BW1009" s="3">
        <v>26.704132991090269</v>
      </c>
      <c r="BX1009" s="3">
        <v>26.224132991090265</v>
      </c>
      <c r="BY1009" s="3">
        <v>25.944132991090264</v>
      </c>
      <c r="BZ1009" s="3">
        <v>25.674132991090268</v>
      </c>
      <c r="CA1009" s="3">
        <v>24.374132991090256</v>
      </c>
      <c r="CB1009" s="3">
        <v>22.21079965775693</v>
      </c>
      <c r="CC1009" s="3">
        <v>21.024132991090262</v>
      </c>
      <c r="CD1009" s="3">
        <v>15.930799657756936</v>
      </c>
      <c r="CE1009" s="3">
        <v>14.224132991090265</v>
      </c>
      <c r="CF1009" s="3">
        <v>-0.96253367557640246</v>
      </c>
      <c r="CG1009" s="3">
        <v>-1.4958670089097339</v>
      </c>
      <c r="CH1009" s="3">
        <v>-2.5725336755764019</v>
      </c>
      <c r="CI1009" s="13">
        <f>[1]!dbasum(RecData[[#This Row],[20]:[2000]],RecData[[#Headers],[20]:[2000]])</f>
        <v>40.220732029971622</v>
      </c>
      <c r="CJ1009" s="14">
        <v>10425</v>
      </c>
      <c r="CK1009" s="15" t="s">
        <v>249</v>
      </c>
      <c r="CL1009" s="15">
        <f>RecData[[#This Row],[Start Time]]</f>
        <v>43275.088888888895</v>
      </c>
      <c r="CM1009" s="16">
        <f>RecData[[#This Row],[Wind Speed avg]]</f>
        <v>1.89</v>
      </c>
      <c r="CN1009" s="16">
        <f>RecData[[#This Row],[Wind Dir. avg]]</f>
        <v>135.6</v>
      </c>
      <c r="CO1009" s="16">
        <f>RecData[[#This Row],[Amb. Humidity]]</f>
        <v>68.599999999999994</v>
      </c>
      <c r="CP1009" s="16">
        <f>RecData[[#This Row],[Amb. Temperature]]</f>
        <v>12.9</v>
      </c>
      <c r="CQ1009" s="17">
        <f>RecData[[#This Row],[Amb. Rain Gauge]]</f>
        <v>0</v>
      </c>
      <c r="CR1009" s="4" t="s">
        <v>1</v>
      </c>
      <c r="CS1009" s="4" t="s">
        <v>49</v>
      </c>
      <c r="CT1009" s="70">
        <v>1609.68481445312</v>
      </c>
      <c r="CU1009" s="70">
        <v>33.000282287597599</v>
      </c>
      <c r="CV1009" s="70">
        <v>11.068662643432599</v>
      </c>
      <c r="CW1009" s="70">
        <v>15.206138610839799</v>
      </c>
      <c r="CX1009" s="4"/>
      <c r="CY1009" s="69"/>
      <c r="CZ1009" s="2" t="b">
        <f>IF($DP$1="YES",IF(RecData[[#This Row],[Power (kW)]]&gt;=$CR$3, TRUE,FALSE),TRUE)</f>
        <v>1</v>
      </c>
      <c r="DA1009" s="16">
        <f>MIN(MOD(180-ABS(ABS($DA$1-RecData[Yaw Angle (°)])-180),360),MOD(180-ABS(ABS($DB$1-RecData[Yaw Angle (°)])-180),360))</f>
        <v>25.470355509910064</v>
      </c>
      <c r="DB1009" s="2" t="str">
        <f>IF($DP$2="None","None",IF(RecData[[#This Row],[Relative Wind Direction]]&lt;=45,"DW",IF(RecData[[#This Row],[Relative Wind Direction]]&lt;=135,"CW","UW")))</f>
        <v>DW</v>
      </c>
      <c r="DC1009" s="61" t="e">
        <f>IF($CL1009-#REF!&gt;1/24,#REF!,IF(SUM($CQ1009:$CQ1009)&gt;$DS$1,$DS$5,#REF!-1))</f>
        <v>#REF!</v>
      </c>
      <c r="DD1009" s="61" t="e">
        <f>IF(#REF!-$CL1009&gt;1/24,#REF!,IF(SUM($CQ1009:$CQ1009)&gt;$DS$1,$DS$6,#REF!-1))</f>
        <v>#REF!</v>
      </c>
      <c r="DE1009" s="18" t="b">
        <v>0</v>
      </c>
      <c r="DF1009" s="2" t="b">
        <f>IF(OR(RecData[[#This Row],[WSpd_Avg '[m/s']]]-RecData[[#This Row],[Wind Speed min]]&gt;=$DF$3,RecData[[#This Row],[Wind Speed max]]-RecData[[#This Row],[WSpd_Avg '[m/s']]]&gt;=$DF$2),TRUE,FALSE)</f>
        <v>0</v>
      </c>
      <c r="DG1009" s="2" t="b">
        <f>RecData[[#This Row],[Temperature '[°C']]]&lt;=-20</f>
        <v>0</v>
      </c>
      <c r="DH1009" s="18" t="b">
        <f>NOT(OR(MOD(RecData[[#This Row],[TIMESTAMP]],1)&gt;0.91632,MOD(RecData[[#This Row],[TIMESTAMP]],1)&lt;0.208681))</f>
        <v>0</v>
      </c>
      <c r="DI1009" s="18" t="b">
        <f>RecData[[#This Row],[Overall (dBA)]]-RecData[[#This Row],[L90]]&gt;=$DS$4</f>
        <v>0</v>
      </c>
      <c r="DJ1009" s="18" t="b">
        <f>RecData[[#This Row],[Overall (dBA)]]&gt;$DS$2</f>
        <v>0</v>
      </c>
      <c r="DK1009" s="18" t="b">
        <f>RecData[[#This Row],[Overall (dBA)]]&lt;$DS$3</f>
        <v>0</v>
      </c>
      <c r="DL10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09" s="2">
        <f>IF(AND(RecData[[#This Row],[Turbines ON/OFF]] = "OFF", NOT(OR(RecData[[#This Row],[Junk?]]="YES",RecData[[#This Row],[Gust?]],RecData[[#This Row],[Rain?]:[Min SPL Threshold?]]))),1,0)</f>
        <v>0</v>
      </c>
      <c r="DN1009" s="16">
        <f>RecData[[#This Row],[dBA Sum]]</f>
        <v>40.220732029971622</v>
      </c>
      <c r="DO1009" s="16">
        <f>RecData[[#This Row],[LAF90.0]]</f>
        <v>39.9</v>
      </c>
      <c r="DP1009" s="55">
        <f>IF(AND(RecData[[#This Row],[Useable TON Data?]],RecData[[#This Row],[Turbines ON/OFF]]="ON"),RecData[[#This Row],[dBA Sum]],"")</f>
        <v>40.220732029971622</v>
      </c>
      <c r="DQ1009" s="55" t="str">
        <f>IF(AND(RecData[[#This Row],[Useable Background Data?]],RecData[[#This Row],[Turbines ON/OFF]]="OFF"),RecData[[#This Row],[dBA Sum]],"")</f>
        <v/>
      </c>
      <c r="DR1009" s="3">
        <f>IF(OR(RecData[[#This Row],[Useable TON Data?]],RecData[[#This Row],[Useable Background Data?]]),ROUND(RecData[[#This Row],[WSpd_Avg '[m/s']]],0),"")</f>
        <v>2</v>
      </c>
      <c r="DS1009" s="85">
        <f>(0.00002)^2*(10^(RecData[[#This Row],[Overall (dBA)]]/10))</f>
        <v>4.208556813560739E-6</v>
      </c>
    </row>
    <row r="1010" spans="1:123" ht="15" x14ac:dyDescent="0.25">
      <c r="A1010" s="3" t="s">
        <v>249</v>
      </c>
      <c r="B1010" s="12">
        <v>43275.091666666667</v>
      </c>
      <c r="C1010" s="3"/>
      <c r="D1010" s="3">
        <v>41.1</v>
      </c>
      <c r="E1010" s="3"/>
      <c r="F1010" s="3"/>
      <c r="G1010" s="3"/>
      <c r="H1010" s="3"/>
      <c r="I1010" s="3"/>
      <c r="J1010" s="3"/>
      <c r="K1010" s="3">
        <v>38.5</v>
      </c>
      <c r="L1010" s="3"/>
      <c r="M1010" s="3"/>
      <c r="N1010" s="3">
        <v>169.4</v>
      </c>
      <c r="O1010" s="3"/>
      <c r="P1010" s="3"/>
      <c r="Q1010" s="3">
        <v>1.1299999999999999</v>
      </c>
      <c r="R1010" s="3">
        <v>0.2</v>
      </c>
      <c r="S1010" s="3">
        <v>2.5</v>
      </c>
      <c r="T1010" s="3">
        <v>12.8</v>
      </c>
      <c r="U1010" s="3">
        <v>68.900000000000006</v>
      </c>
      <c r="V1010" s="3">
        <v>967.2</v>
      </c>
      <c r="W1010" s="3">
        <v>0</v>
      </c>
      <c r="X1010" s="3">
        <v>48.7</v>
      </c>
      <c r="Y1010" s="3">
        <v>48.3</v>
      </c>
      <c r="Z1010" s="3">
        <v>48.2</v>
      </c>
      <c r="AA1010" s="3">
        <v>44.6</v>
      </c>
      <c r="AB1010" s="3">
        <v>39.1</v>
      </c>
      <c r="AC1010" s="3">
        <v>38.799999999999997</v>
      </c>
      <c r="AD1010" s="3">
        <v>42</v>
      </c>
      <c r="AE1010" s="3">
        <v>43.3</v>
      </c>
      <c r="AF1010" s="3">
        <v>44.6</v>
      </c>
      <c r="AG1010" s="3">
        <v>40</v>
      </c>
      <c r="AH1010" s="3">
        <v>38.700000000000003</v>
      </c>
      <c r="AI1010" s="3">
        <v>38.1</v>
      </c>
      <c r="AJ1010" s="3">
        <v>37.1</v>
      </c>
      <c r="AK1010" s="3">
        <v>35.200000000000003</v>
      </c>
      <c r="AL1010" s="3">
        <v>33.200000000000003</v>
      </c>
      <c r="AM1010" s="3">
        <v>32.700000000000003</v>
      </c>
      <c r="AN1010" s="3">
        <v>31.6</v>
      </c>
      <c r="AO1010" s="3">
        <v>29.2</v>
      </c>
      <c r="AP1010" s="3">
        <v>27.6</v>
      </c>
      <c r="AQ1010" s="3">
        <v>26.7</v>
      </c>
      <c r="AR1010" s="3">
        <v>26.1</v>
      </c>
      <c r="AS1010" s="3">
        <v>25.6</v>
      </c>
      <c r="AT1010" s="3">
        <v>25.4</v>
      </c>
      <c r="AU1010" s="3">
        <v>23.5</v>
      </c>
      <c r="AV1010" s="3">
        <v>22.1</v>
      </c>
      <c r="AW1010" s="3">
        <v>20.399999999999999</v>
      </c>
      <c r="AX1010" s="3">
        <v>15.9</v>
      </c>
      <c r="AY1010" s="3">
        <v>13.9</v>
      </c>
      <c r="AZ1010" s="3">
        <v>0</v>
      </c>
      <c r="BA1010" s="3">
        <v>0</v>
      </c>
      <c r="BB1010" s="3">
        <v>0</v>
      </c>
      <c r="BC1010" s="3">
        <v>41.077847259487477</v>
      </c>
      <c r="BD1010" s="3">
        <v>48.722152740512534</v>
      </c>
      <c r="BE1010" s="3">
        <v>48.322152740512529</v>
      </c>
      <c r="BF1010" s="3">
        <v>46.982152740512525</v>
      </c>
      <c r="BG1010" s="3">
        <v>43.708819407179185</v>
      </c>
      <c r="BH1010" s="3">
        <v>38.348819407179199</v>
      </c>
      <c r="BI1010" s="3">
        <v>38.462152740512515</v>
      </c>
      <c r="BJ1010" s="3">
        <v>42.455486073845854</v>
      </c>
      <c r="BK1010" s="3">
        <v>43.628819407179186</v>
      </c>
      <c r="BL1010" s="3">
        <v>44.502152740512535</v>
      </c>
      <c r="BM1010" s="3">
        <v>40.035486073845867</v>
      </c>
      <c r="BN1010" s="3">
        <v>39.018819407179187</v>
      </c>
      <c r="BO1010" s="3">
        <v>37.785486073845867</v>
      </c>
      <c r="BP1010" s="3">
        <v>36.502152740512535</v>
      </c>
      <c r="BQ1010" s="3">
        <v>35.018819407179187</v>
      </c>
      <c r="BR1010" s="3">
        <v>33.345486073845869</v>
      </c>
      <c r="BS1010" s="3">
        <v>32.648819407179197</v>
      </c>
      <c r="BT1010" s="3">
        <v>31.745486073845861</v>
      </c>
      <c r="BU1010" s="3">
        <v>29.312152740512524</v>
      </c>
      <c r="BV1010" s="3">
        <v>27.428819407179198</v>
      </c>
      <c r="BW1010" s="3">
        <v>27.062152740512524</v>
      </c>
      <c r="BX1010" s="3">
        <v>26.382152740512531</v>
      </c>
      <c r="BY1010" s="3">
        <v>25.702152740512524</v>
      </c>
      <c r="BZ1010" s="3">
        <v>25.632152740512531</v>
      </c>
      <c r="CA1010" s="3">
        <v>23.83215274051252</v>
      </c>
      <c r="CB1010" s="3">
        <v>21.868819407179195</v>
      </c>
      <c r="CC1010" s="3">
        <v>20.382152740512517</v>
      </c>
      <c r="CD1010" s="3">
        <v>15.188819407179196</v>
      </c>
      <c r="CE1010" s="3">
        <v>13.382152740512524</v>
      </c>
      <c r="CF1010" s="3">
        <v>-0.90451392615414505</v>
      </c>
      <c r="CG1010" s="3">
        <v>-1.4378472594874765</v>
      </c>
      <c r="CH1010" s="3">
        <v>-2.5145139261541445</v>
      </c>
      <c r="CI1010" s="13">
        <f>[1]!dbasum(RecData[[#This Row],[20]:[2000]],RecData[[#Headers],[20]:[2000]])</f>
        <v>40.497849249050653</v>
      </c>
      <c r="CJ1010" s="14">
        <v>10429</v>
      </c>
      <c r="CK1010" s="15" t="s">
        <v>249</v>
      </c>
      <c r="CL1010" s="15">
        <f>RecData[[#This Row],[Start Time]]</f>
        <v>43275.091666666667</v>
      </c>
      <c r="CM1010" s="16">
        <f>RecData[[#This Row],[Wind Speed avg]]</f>
        <v>1.1299999999999999</v>
      </c>
      <c r="CN1010" s="16">
        <f>RecData[[#This Row],[Wind Dir. avg]]</f>
        <v>169.4</v>
      </c>
      <c r="CO1010" s="16">
        <f>RecData[[#This Row],[Amb. Humidity]]</f>
        <v>68.900000000000006</v>
      </c>
      <c r="CP1010" s="16">
        <f>RecData[[#This Row],[Amb. Temperature]]</f>
        <v>12.8</v>
      </c>
      <c r="CQ1010" s="17">
        <f>RecData[[#This Row],[Amb. Rain Gauge]]</f>
        <v>0</v>
      </c>
      <c r="CR1010" s="4" t="s">
        <v>1</v>
      </c>
      <c r="CS1010" s="4" t="s">
        <v>49</v>
      </c>
      <c r="CT1010" s="70">
        <v>1609.26220703125</v>
      </c>
      <c r="CU1010" s="70">
        <v>33.000282287597599</v>
      </c>
      <c r="CV1010" s="70">
        <v>11.4820537567138</v>
      </c>
      <c r="CW1010" s="70">
        <v>15.2699308395385</v>
      </c>
      <c r="CX1010" s="4"/>
      <c r="CY1010" s="69"/>
      <c r="CZ1010" s="2" t="b">
        <f>IF($DP$1="YES",IF(RecData[[#This Row],[Power (kW)]]&gt;=$CR$3, TRUE,FALSE),TRUE)</f>
        <v>1</v>
      </c>
      <c r="DA1010" s="16">
        <f>MIN(MOD(180-ABS(ABS($DA$1-RecData[Yaw Angle (°)])-180),360),MOD(180-ABS(ABS($DB$1-RecData[Yaw Angle (°)])-180),360))</f>
        <v>25.470355509910064</v>
      </c>
      <c r="DB1010" s="2" t="str">
        <f>IF($DP$2="None","None",IF(RecData[[#This Row],[Relative Wind Direction]]&lt;=45,"DW",IF(RecData[[#This Row],[Relative Wind Direction]]&lt;=135,"CW","UW")))</f>
        <v>DW</v>
      </c>
      <c r="DC1010" s="61" t="e">
        <f>IF($CL1010-$CL1009&gt;1/24,#REF!,IF(SUM($CQ1009:$CQ1010)&gt;$DS$1,$DS$5,DC1011-1))</f>
        <v>#REF!</v>
      </c>
      <c r="DD1010" s="61" t="e">
        <f>IF($CL1011-$CL1010&gt;1/24,#REF!,IF(SUM($CQ1009:$CQ1010)&gt;$DS$1,$DS$6,#REF!-1))</f>
        <v>#REF!</v>
      </c>
      <c r="DE1010" s="18" t="b">
        <v>0</v>
      </c>
      <c r="DF1010" s="2" t="b">
        <f>IF(OR(RecData[[#This Row],[WSpd_Avg '[m/s']]]-RecData[[#This Row],[Wind Speed min]]&gt;=$DF$3,RecData[[#This Row],[Wind Speed max]]-RecData[[#This Row],[WSpd_Avg '[m/s']]]&gt;=$DF$2),TRUE,FALSE)</f>
        <v>0</v>
      </c>
      <c r="DG1010" s="2" t="b">
        <f>RecData[[#This Row],[Temperature '[°C']]]&lt;=-20</f>
        <v>0</v>
      </c>
      <c r="DH1010" s="18" t="b">
        <f>NOT(OR(MOD(RecData[[#This Row],[TIMESTAMP]],1)&gt;0.91632,MOD(RecData[[#This Row],[TIMESTAMP]],1)&lt;0.208681))</f>
        <v>0</v>
      </c>
      <c r="DI1010" s="18" t="b">
        <f>RecData[[#This Row],[Overall (dBA)]]-RecData[[#This Row],[L90]]&gt;=$DS$4</f>
        <v>0</v>
      </c>
      <c r="DJ1010" s="18" t="b">
        <f>RecData[[#This Row],[Overall (dBA)]]&gt;$DS$2</f>
        <v>0</v>
      </c>
      <c r="DK1010" s="18" t="b">
        <f>RecData[[#This Row],[Overall (dBA)]]&lt;$DS$3</f>
        <v>0</v>
      </c>
      <c r="DL10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0" s="2">
        <f>IF(AND(RecData[[#This Row],[Turbines ON/OFF]] = "OFF", NOT(OR(RecData[[#This Row],[Junk?]]="YES",RecData[[#This Row],[Gust?]],RecData[[#This Row],[Rain?]:[Min SPL Threshold?]]))),1,0)</f>
        <v>0</v>
      </c>
      <c r="DN1010" s="16">
        <f>RecData[[#This Row],[dBA Sum]]</f>
        <v>40.497849249050653</v>
      </c>
      <c r="DO1010" s="16">
        <f>RecData[[#This Row],[LAF90.0]]</f>
        <v>38.5</v>
      </c>
      <c r="DP1010" s="55">
        <f>IF(AND(RecData[[#This Row],[Useable TON Data?]],RecData[[#This Row],[Turbines ON/OFF]]="ON"),RecData[[#This Row],[dBA Sum]],"")</f>
        <v>40.497849249050653</v>
      </c>
      <c r="DQ1010" s="55" t="str">
        <f>IF(AND(RecData[[#This Row],[Useable Background Data?]],RecData[[#This Row],[Turbines ON/OFF]]="OFF"),RecData[[#This Row],[dBA Sum]],"")</f>
        <v/>
      </c>
      <c r="DR1010" s="3">
        <f>IF(OR(RecData[[#This Row],[Useable TON Data?]],RecData[[#This Row],[Useable Background Data?]]),ROUND(RecData[[#This Row],[WSpd_Avg '[m/s']]],0),"")</f>
        <v>1</v>
      </c>
      <c r="DS1010" s="85">
        <f>(0.00002)^2*(10^(RecData[[#This Row],[Overall (dBA)]]/10))</f>
        <v>4.4858517444748492E-6</v>
      </c>
    </row>
    <row r="1011" spans="1:123" ht="15" x14ac:dyDescent="0.25">
      <c r="A1011" s="3" t="s">
        <v>249</v>
      </c>
      <c r="B1011" s="12">
        <v>43275.092361111114</v>
      </c>
      <c r="C1011" s="3"/>
      <c r="D1011" s="3">
        <v>41.7</v>
      </c>
      <c r="E1011" s="3"/>
      <c r="F1011" s="3"/>
      <c r="G1011" s="3"/>
      <c r="H1011" s="3"/>
      <c r="I1011" s="3"/>
      <c r="J1011" s="3"/>
      <c r="K1011" s="3">
        <v>40.4</v>
      </c>
      <c r="L1011" s="3"/>
      <c r="M1011" s="3"/>
      <c r="N1011" s="3">
        <v>170.9</v>
      </c>
      <c r="O1011" s="3"/>
      <c r="P1011" s="3"/>
      <c r="Q1011" s="3">
        <v>1.89</v>
      </c>
      <c r="R1011" s="3">
        <v>1.1000000000000001</v>
      </c>
      <c r="S1011" s="3">
        <v>3</v>
      </c>
      <c r="T1011" s="3">
        <v>12.7</v>
      </c>
      <c r="U1011" s="3">
        <v>69</v>
      </c>
      <c r="V1011" s="3">
        <v>967.2</v>
      </c>
      <c r="W1011" s="3">
        <v>0</v>
      </c>
      <c r="X1011" s="3">
        <v>48.6</v>
      </c>
      <c r="Y1011" s="3">
        <v>47.8</v>
      </c>
      <c r="Z1011" s="3">
        <v>47.5</v>
      </c>
      <c r="AA1011" s="3">
        <v>43.7</v>
      </c>
      <c r="AB1011" s="3">
        <v>38.5</v>
      </c>
      <c r="AC1011" s="3">
        <v>38</v>
      </c>
      <c r="AD1011" s="3">
        <v>40.4</v>
      </c>
      <c r="AE1011" s="3">
        <v>41.8</v>
      </c>
      <c r="AF1011" s="3">
        <v>45.5</v>
      </c>
      <c r="AG1011" s="3">
        <v>38.6</v>
      </c>
      <c r="AH1011" s="3">
        <v>37.799999999999997</v>
      </c>
      <c r="AI1011" s="3">
        <v>37.5</v>
      </c>
      <c r="AJ1011" s="3">
        <v>36.700000000000003</v>
      </c>
      <c r="AK1011" s="3">
        <v>35.1</v>
      </c>
      <c r="AL1011" s="3">
        <v>33.4</v>
      </c>
      <c r="AM1011" s="3">
        <v>33.299999999999997</v>
      </c>
      <c r="AN1011" s="3">
        <v>32.1</v>
      </c>
      <c r="AO1011" s="3">
        <v>30</v>
      </c>
      <c r="AP1011" s="3">
        <v>29</v>
      </c>
      <c r="AQ1011" s="3">
        <v>28.3</v>
      </c>
      <c r="AR1011" s="3">
        <v>28.1</v>
      </c>
      <c r="AS1011" s="3">
        <v>28</v>
      </c>
      <c r="AT1011" s="3">
        <v>27.4</v>
      </c>
      <c r="AU1011" s="3">
        <v>25.7</v>
      </c>
      <c r="AV1011" s="3">
        <v>24.3</v>
      </c>
      <c r="AW1011" s="3">
        <v>22.8</v>
      </c>
      <c r="AX1011" s="3">
        <v>18.600000000000001</v>
      </c>
      <c r="AY1011" s="3">
        <v>16.8</v>
      </c>
      <c r="AZ1011" s="3">
        <v>0</v>
      </c>
      <c r="BA1011" s="3">
        <v>0</v>
      </c>
      <c r="BB1011" s="3">
        <v>0</v>
      </c>
      <c r="BC1011" s="3">
        <v>41.702126573143772</v>
      </c>
      <c r="BD1011" s="3">
        <v>48.597873426856239</v>
      </c>
      <c r="BE1011" s="3">
        <v>47.797873426856228</v>
      </c>
      <c r="BF1011" s="3">
        <v>46.257873426856236</v>
      </c>
      <c r="BG1011" s="3">
        <v>42.784540093522907</v>
      </c>
      <c r="BH1011" s="3">
        <v>37.724540093522904</v>
      </c>
      <c r="BI1011" s="3">
        <v>37.637873426856231</v>
      </c>
      <c r="BJ1011" s="3">
        <v>40.831206760189559</v>
      </c>
      <c r="BK1011" s="3">
        <v>42.1045400935229</v>
      </c>
      <c r="BL1011" s="3">
        <v>45.37787342685624</v>
      </c>
      <c r="BM1011" s="3">
        <v>38.61120676018956</v>
      </c>
      <c r="BN1011" s="3">
        <v>38.094540093522895</v>
      </c>
      <c r="BO1011" s="3">
        <v>37.161206760189572</v>
      </c>
      <c r="BP1011" s="3">
        <v>36.077873426856229</v>
      </c>
      <c r="BQ1011" s="3">
        <v>34.894540093522892</v>
      </c>
      <c r="BR1011" s="3">
        <v>33.521206760189557</v>
      </c>
      <c r="BS1011" s="3">
        <v>33.224540093522904</v>
      </c>
      <c r="BT1011" s="3">
        <v>32.221206760189574</v>
      </c>
      <c r="BU1011" s="3">
        <v>30.087873426856234</v>
      </c>
      <c r="BV1011" s="3">
        <v>28.804540093522903</v>
      </c>
      <c r="BW1011" s="3">
        <v>28.637873426856231</v>
      </c>
      <c r="BX1011" s="3">
        <v>28.35787342685623</v>
      </c>
      <c r="BY1011" s="3">
        <v>28.077873426856229</v>
      </c>
      <c r="BZ1011" s="3">
        <v>27.60787342685623</v>
      </c>
      <c r="CA1011" s="3">
        <v>26.007873426856221</v>
      </c>
      <c r="CB1011" s="3">
        <v>24.044540093522897</v>
      </c>
      <c r="CC1011" s="3">
        <v>22.757873426856236</v>
      </c>
      <c r="CD1011" s="3">
        <v>17.864540093522905</v>
      </c>
      <c r="CE1011" s="3">
        <v>16.257873426856229</v>
      </c>
      <c r="CF1011" s="3">
        <v>-0.92879323981043882</v>
      </c>
      <c r="CG1011" s="3">
        <v>-1.4621265731437703</v>
      </c>
      <c r="CH1011" s="3">
        <v>-2.5387932398104383</v>
      </c>
      <c r="CI1011" s="13">
        <f>[1]!dbasum(RecData[[#This Row],[20]:[2000]],RecData[[#Headers],[20]:[2000]])</f>
        <v>40.83579229690595</v>
      </c>
      <c r="CJ1011" s="14">
        <v>10430</v>
      </c>
      <c r="CK1011" s="15" t="s">
        <v>249</v>
      </c>
      <c r="CL1011" s="15">
        <f>RecData[[#This Row],[Start Time]]</f>
        <v>43275.092361111114</v>
      </c>
      <c r="CM1011" s="16">
        <f>RecData[[#This Row],[Wind Speed avg]]</f>
        <v>1.89</v>
      </c>
      <c r="CN1011" s="16">
        <f>RecData[[#This Row],[Wind Dir. avg]]</f>
        <v>170.9</v>
      </c>
      <c r="CO1011" s="16">
        <f>RecData[[#This Row],[Amb. Humidity]]</f>
        <v>69</v>
      </c>
      <c r="CP1011" s="16">
        <f>RecData[[#This Row],[Amb. Temperature]]</f>
        <v>12.7</v>
      </c>
      <c r="CQ1011" s="17">
        <f>RecData[[#This Row],[Amb. Rain Gauge]]</f>
        <v>0</v>
      </c>
      <c r="CR1011" s="4" t="s">
        <v>1</v>
      </c>
      <c r="CS1011" s="4" t="s">
        <v>49</v>
      </c>
      <c r="CT1011" s="70">
        <v>1609.26220703125</v>
      </c>
      <c r="CU1011" s="70">
        <v>33.000282287597599</v>
      </c>
      <c r="CV1011" s="70">
        <v>11.4820537567138</v>
      </c>
      <c r="CW1011" s="70">
        <v>15.2699308395385</v>
      </c>
      <c r="CX1011" s="4"/>
      <c r="CY1011" s="69"/>
      <c r="CZ1011" s="2" t="b">
        <f>IF($DP$1="YES",IF(RecData[[#This Row],[Power (kW)]]&gt;=$CR$3, TRUE,FALSE),TRUE)</f>
        <v>1</v>
      </c>
      <c r="DA1011" s="16">
        <f>MIN(MOD(180-ABS(ABS($DA$1-RecData[Yaw Angle (°)])-180),360),MOD(180-ABS(ABS($DB$1-RecData[Yaw Angle (°)])-180),360))</f>
        <v>25.470355509910064</v>
      </c>
      <c r="DB1011" s="2" t="str">
        <f>IF($DP$2="None","None",IF(RecData[[#This Row],[Relative Wind Direction]]&lt;=45,"DW",IF(RecData[[#This Row],[Relative Wind Direction]]&lt;=135,"CW","UW")))</f>
        <v>DW</v>
      </c>
      <c r="DC1011" s="61" t="e">
        <f>IF($CL1011-#REF!&gt;1/24,#REF!,IF(SUM($CQ1010:$CQ1011)&gt;$DS$1,$DS$5,DC1012-1))</f>
        <v>#REF!</v>
      </c>
      <c r="DD1011" s="61" t="e">
        <f>IF($CL1012-$CL1011&gt;1/24,#REF!,IF(SUM($CQ1010:$CQ1011)&gt;$DS$1,$DS$6,DD1010-1))</f>
        <v>#REF!</v>
      </c>
      <c r="DE1011" s="18" t="b">
        <v>0</v>
      </c>
      <c r="DF1011" s="2" t="b">
        <f>IF(OR(RecData[[#This Row],[WSpd_Avg '[m/s']]]-RecData[[#This Row],[Wind Speed min]]&gt;=$DF$3,RecData[[#This Row],[Wind Speed max]]-RecData[[#This Row],[WSpd_Avg '[m/s']]]&gt;=$DF$2),TRUE,FALSE)</f>
        <v>0</v>
      </c>
      <c r="DG1011" s="2" t="b">
        <f>RecData[[#This Row],[Temperature '[°C']]]&lt;=-20</f>
        <v>0</v>
      </c>
      <c r="DH1011" s="18" t="b">
        <f>NOT(OR(MOD(RecData[[#This Row],[TIMESTAMP]],1)&gt;0.91632,MOD(RecData[[#This Row],[TIMESTAMP]],1)&lt;0.208681))</f>
        <v>0</v>
      </c>
      <c r="DI1011" s="18" t="b">
        <f>RecData[[#This Row],[Overall (dBA)]]-RecData[[#This Row],[L90]]&gt;=$DS$4</f>
        <v>0</v>
      </c>
      <c r="DJ1011" s="18" t="b">
        <f>RecData[[#This Row],[Overall (dBA)]]&gt;$DS$2</f>
        <v>0</v>
      </c>
      <c r="DK1011" s="18" t="b">
        <f>RecData[[#This Row],[Overall (dBA)]]&lt;$DS$3</f>
        <v>0</v>
      </c>
      <c r="DL10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1" s="2">
        <f>IF(AND(RecData[[#This Row],[Turbines ON/OFF]] = "OFF", NOT(OR(RecData[[#This Row],[Junk?]]="YES",RecData[[#This Row],[Gust?]],RecData[[#This Row],[Rain?]:[Min SPL Threshold?]]))),1,0)</f>
        <v>0</v>
      </c>
      <c r="DN1011" s="16">
        <f>RecData[[#This Row],[dBA Sum]]</f>
        <v>40.83579229690595</v>
      </c>
      <c r="DO1011" s="16">
        <f>RecData[[#This Row],[LAF90.0]]</f>
        <v>40.4</v>
      </c>
      <c r="DP1011" s="55">
        <f>IF(AND(RecData[[#This Row],[Useable TON Data?]],RecData[[#This Row],[Turbines ON/OFF]]="ON"),RecData[[#This Row],[dBA Sum]],"")</f>
        <v>40.83579229690595</v>
      </c>
      <c r="DQ1011" s="55" t="str">
        <f>IF(AND(RecData[[#This Row],[Useable Background Data?]],RecData[[#This Row],[Turbines ON/OFF]]="OFF"),RecData[[#This Row],[dBA Sum]],"")</f>
        <v/>
      </c>
      <c r="DR1011" s="3">
        <f>IF(OR(RecData[[#This Row],[Useable TON Data?]],RecData[[#This Row],[Useable Background Data?]]),ROUND(RecData[[#This Row],[WSpd_Avg '[m/s']]],0),"")</f>
        <v>2</v>
      </c>
      <c r="DS1011" s="85">
        <f>(0.00002)^2*(10^(RecData[[#This Row],[Overall (dBA)]]/10))</f>
        <v>4.8488552661346007E-6</v>
      </c>
    </row>
    <row r="1012" spans="1:123" ht="15" x14ac:dyDescent="0.25">
      <c r="A1012" s="3" t="s">
        <v>249</v>
      </c>
      <c r="B1012" s="12">
        <v>43275.093055555561</v>
      </c>
      <c r="C1012" s="3"/>
      <c r="D1012" s="3">
        <v>43.5</v>
      </c>
      <c r="E1012" s="3"/>
      <c r="F1012" s="3"/>
      <c r="G1012" s="3"/>
      <c r="H1012" s="3"/>
      <c r="I1012" s="3"/>
      <c r="J1012" s="3"/>
      <c r="K1012" s="3">
        <v>40.299999999999997</v>
      </c>
      <c r="L1012" s="3"/>
      <c r="M1012" s="3"/>
      <c r="N1012" s="3">
        <v>209.5</v>
      </c>
      <c r="O1012" s="3"/>
      <c r="P1012" s="3"/>
      <c r="Q1012" s="3">
        <v>1.4</v>
      </c>
      <c r="R1012" s="3">
        <v>0.2</v>
      </c>
      <c r="S1012" s="3">
        <v>2.6</v>
      </c>
      <c r="T1012" s="3">
        <v>12.7</v>
      </c>
      <c r="U1012" s="3">
        <v>69.099999999999994</v>
      </c>
      <c r="V1012" s="3">
        <v>967.2</v>
      </c>
      <c r="W1012" s="3">
        <v>0</v>
      </c>
      <c r="X1012" s="3">
        <v>47.9</v>
      </c>
      <c r="Y1012" s="3">
        <v>48.1</v>
      </c>
      <c r="Z1012" s="3">
        <v>48.3</v>
      </c>
      <c r="AA1012" s="3">
        <v>43.8</v>
      </c>
      <c r="AB1012" s="3">
        <v>38.299999999999997</v>
      </c>
      <c r="AC1012" s="3">
        <v>38.200000000000003</v>
      </c>
      <c r="AD1012" s="3">
        <v>40.5</v>
      </c>
      <c r="AE1012" s="3">
        <v>41.7</v>
      </c>
      <c r="AF1012" s="3">
        <v>45.9</v>
      </c>
      <c r="AG1012" s="3">
        <v>40</v>
      </c>
      <c r="AH1012" s="3">
        <v>37.799999999999997</v>
      </c>
      <c r="AI1012" s="3">
        <v>37.9</v>
      </c>
      <c r="AJ1012" s="3">
        <v>36.799999999999997</v>
      </c>
      <c r="AK1012" s="3">
        <v>35.299999999999997</v>
      </c>
      <c r="AL1012" s="3">
        <v>33.700000000000003</v>
      </c>
      <c r="AM1012" s="3">
        <v>33.700000000000003</v>
      </c>
      <c r="AN1012" s="3">
        <v>32.9</v>
      </c>
      <c r="AO1012" s="3">
        <v>31.4</v>
      </c>
      <c r="AP1012" s="3">
        <v>30.5</v>
      </c>
      <c r="AQ1012" s="3">
        <v>30.5</v>
      </c>
      <c r="AR1012" s="3">
        <v>31.1</v>
      </c>
      <c r="AS1012" s="3">
        <v>31.6</v>
      </c>
      <c r="AT1012" s="3">
        <v>31.7</v>
      </c>
      <c r="AU1012" s="3">
        <v>30.5</v>
      </c>
      <c r="AV1012" s="3">
        <v>29.3</v>
      </c>
      <c r="AW1012" s="3">
        <v>27.6</v>
      </c>
      <c r="AX1012" s="3">
        <v>22.9</v>
      </c>
      <c r="AY1012" s="3">
        <v>20.5</v>
      </c>
      <c r="AZ1012" s="3">
        <v>0</v>
      </c>
      <c r="BA1012" s="3">
        <v>0</v>
      </c>
      <c r="BB1012" s="3">
        <v>0</v>
      </c>
      <c r="BC1012" s="3">
        <v>43.466464734960496</v>
      </c>
      <c r="BD1012" s="3">
        <v>47.933535265039509</v>
      </c>
      <c r="BE1012" s="3">
        <v>48.133535265039498</v>
      </c>
      <c r="BF1012" s="3">
        <v>47.093535265039506</v>
      </c>
      <c r="BG1012" s="3">
        <v>42.92020193170616</v>
      </c>
      <c r="BH1012" s="3">
        <v>37.560201931706175</v>
      </c>
      <c r="BI1012" s="3">
        <v>37.873535265039507</v>
      </c>
      <c r="BJ1012" s="3">
        <v>40.966868598372841</v>
      </c>
      <c r="BK1012" s="3">
        <v>42.040201931706164</v>
      </c>
      <c r="BL1012" s="3">
        <v>45.813535265039505</v>
      </c>
      <c r="BM1012" s="3">
        <v>40.046868598372839</v>
      </c>
      <c r="BN1012" s="3">
        <v>38.130201931706168</v>
      </c>
      <c r="BO1012" s="3">
        <v>37.596868598372836</v>
      </c>
      <c r="BP1012" s="3">
        <v>36.213535265039511</v>
      </c>
      <c r="BQ1012" s="3">
        <v>35.130201931706168</v>
      </c>
      <c r="BR1012" s="3">
        <v>33.856868598372841</v>
      </c>
      <c r="BS1012" s="3">
        <v>33.660201931706169</v>
      </c>
      <c r="BT1012" s="3">
        <v>33.056868598372844</v>
      </c>
      <c r="BU1012" s="3">
        <v>31.523535265039513</v>
      </c>
      <c r="BV1012" s="3">
        <v>30.340201931706176</v>
      </c>
      <c r="BW1012" s="3">
        <v>30.873535265039507</v>
      </c>
      <c r="BX1012" s="3">
        <v>31.393535265039517</v>
      </c>
      <c r="BY1012" s="3">
        <v>31.713535265039511</v>
      </c>
      <c r="BZ1012" s="3">
        <v>31.9435352650395</v>
      </c>
      <c r="CA1012" s="3">
        <v>30.843535265039492</v>
      </c>
      <c r="CB1012" s="3">
        <v>29.080201931706171</v>
      </c>
      <c r="CC1012" s="3">
        <v>27.593535265039506</v>
      </c>
      <c r="CD1012" s="3">
        <v>22.200201931706175</v>
      </c>
      <c r="CE1012" s="3">
        <v>19.993535265039498</v>
      </c>
      <c r="CF1012" s="3">
        <v>-0.89313140162716564</v>
      </c>
      <c r="CG1012" s="3">
        <v>-1.4264647349604971</v>
      </c>
      <c r="CH1012" s="3">
        <v>-2.5031314016271651</v>
      </c>
      <c r="CI1012" s="13">
        <f>[1]!dbasum(RecData[[#This Row],[20]:[2000]],RecData[[#Headers],[20]:[2000]])</f>
        <v>41.855364776303787</v>
      </c>
      <c r="CJ1012" s="14">
        <v>10431</v>
      </c>
      <c r="CK1012" s="15" t="s">
        <v>249</v>
      </c>
      <c r="CL1012" s="15">
        <f>RecData[[#This Row],[Start Time]]</f>
        <v>43275.093055555561</v>
      </c>
      <c r="CM1012" s="16">
        <f>RecData[[#This Row],[Wind Speed avg]]</f>
        <v>1.4</v>
      </c>
      <c r="CN1012" s="16">
        <f>RecData[[#This Row],[Wind Dir. avg]]</f>
        <v>209.5</v>
      </c>
      <c r="CO1012" s="16">
        <f>RecData[[#This Row],[Amb. Humidity]]</f>
        <v>69.099999999999994</v>
      </c>
      <c r="CP1012" s="16">
        <f>RecData[[#This Row],[Amb. Temperature]]</f>
        <v>12.7</v>
      </c>
      <c r="CQ1012" s="17">
        <f>RecData[[#This Row],[Amb. Rain Gauge]]</f>
        <v>0</v>
      </c>
      <c r="CR1012" s="4" t="s">
        <v>1</v>
      </c>
      <c r="CS1012" s="4" t="s">
        <v>49</v>
      </c>
      <c r="CT1012" s="70">
        <v>1609.26220703125</v>
      </c>
      <c r="CU1012" s="70">
        <v>33.000282287597599</v>
      </c>
      <c r="CV1012" s="70">
        <v>11.4820537567138</v>
      </c>
      <c r="CW1012" s="70">
        <v>15.2699308395385</v>
      </c>
      <c r="CX1012" s="4"/>
      <c r="CY1012" s="69"/>
      <c r="CZ1012" s="2" t="b">
        <f>IF($DP$1="YES",IF(RecData[[#This Row],[Power (kW)]]&gt;=$CR$3, TRUE,FALSE),TRUE)</f>
        <v>1</v>
      </c>
      <c r="DA1012" s="16">
        <f>MIN(MOD(180-ABS(ABS($DA$1-RecData[Yaw Angle (°)])-180),360),MOD(180-ABS(ABS($DB$1-RecData[Yaw Angle (°)])-180),360))</f>
        <v>25.470355509910064</v>
      </c>
      <c r="DB1012" s="2" t="str">
        <f>IF($DP$2="None","None",IF(RecData[[#This Row],[Relative Wind Direction]]&lt;=45,"DW",IF(RecData[[#This Row],[Relative Wind Direction]]&lt;=135,"CW","UW")))</f>
        <v>DW</v>
      </c>
      <c r="DC1012" s="61" t="e">
        <f>IF($CL1012-#REF!&gt;1/24,#REF!,IF(SUM($CQ1010:$CQ1012)&gt;$DS$1,$DS$5,DC1013-1))</f>
        <v>#REF!</v>
      </c>
      <c r="DD1012" s="61" t="e">
        <f>IF($CL1013-$CL1012&gt;1/24,#REF!,IF(SUM($CQ1010:$CQ1012)&gt;$DS$1,$DS$6,DD1011-1))</f>
        <v>#REF!</v>
      </c>
      <c r="DE1012" s="18" t="b">
        <v>0</v>
      </c>
      <c r="DF1012" s="2" t="b">
        <f>IF(OR(RecData[[#This Row],[WSpd_Avg '[m/s']]]-RecData[[#This Row],[Wind Speed min]]&gt;=$DF$3,RecData[[#This Row],[Wind Speed max]]-RecData[[#This Row],[WSpd_Avg '[m/s']]]&gt;=$DF$2),TRUE,FALSE)</f>
        <v>0</v>
      </c>
      <c r="DG1012" s="2" t="b">
        <f>RecData[[#This Row],[Temperature '[°C']]]&lt;=-20</f>
        <v>0</v>
      </c>
      <c r="DH1012" s="18" t="b">
        <f>NOT(OR(MOD(RecData[[#This Row],[TIMESTAMP]],1)&gt;0.91632,MOD(RecData[[#This Row],[TIMESTAMP]],1)&lt;0.208681))</f>
        <v>0</v>
      </c>
      <c r="DI1012" s="18" t="b">
        <f>RecData[[#This Row],[Overall (dBA)]]-RecData[[#This Row],[L90]]&gt;=$DS$4</f>
        <v>0</v>
      </c>
      <c r="DJ1012" s="18" t="b">
        <f>RecData[[#This Row],[Overall (dBA)]]&gt;$DS$2</f>
        <v>0</v>
      </c>
      <c r="DK1012" s="18" t="b">
        <f>RecData[[#This Row],[Overall (dBA)]]&lt;$DS$3</f>
        <v>0</v>
      </c>
      <c r="DL10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2" s="2">
        <f>IF(AND(RecData[[#This Row],[Turbines ON/OFF]] = "OFF", NOT(OR(RecData[[#This Row],[Junk?]]="YES",RecData[[#This Row],[Gust?]],RecData[[#This Row],[Rain?]:[Min SPL Threshold?]]))),1,0)</f>
        <v>0</v>
      </c>
      <c r="DN1012" s="16">
        <f>RecData[[#This Row],[dBA Sum]]</f>
        <v>41.855364776303787</v>
      </c>
      <c r="DO1012" s="16">
        <f>RecData[[#This Row],[LAF90.0]]</f>
        <v>40.299999999999997</v>
      </c>
      <c r="DP1012" s="55">
        <f>IF(AND(RecData[[#This Row],[Useable TON Data?]],RecData[[#This Row],[Turbines ON/OFF]]="ON"),RecData[[#This Row],[dBA Sum]],"")</f>
        <v>41.855364776303787</v>
      </c>
      <c r="DQ1012" s="55" t="str">
        <f>IF(AND(RecData[[#This Row],[Useable Background Data?]],RecData[[#This Row],[Turbines ON/OFF]]="OFF"),RecData[[#This Row],[dBA Sum]],"")</f>
        <v/>
      </c>
      <c r="DR1012" s="3">
        <f>IF(OR(RecData[[#This Row],[Useable TON Data?]],RecData[[#This Row],[Useable Background Data?]]),ROUND(RecData[[#This Row],[WSpd_Avg '[m/s']]],0),"")</f>
        <v>1</v>
      </c>
      <c r="DS1012" s="85">
        <f>(0.00002)^2*(10^(RecData[[#This Row],[Overall (dBA)]]/10))</f>
        <v>6.131919841233416E-6</v>
      </c>
    </row>
    <row r="1013" spans="1:123" ht="15" x14ac:dyDescent="0.25">
      <c r="A1013" s="3" t="s">
        <v>249</v>
      </c>
      <c r="B1013" s="12">
        <v>43275.09375</v>
      </c>
      <c r="C1013" s="3"/>
      <c r="D1013" s="3">
        <v>41.3</v>
      </c>
      <c r="E1013" s="3"/>
      <c r="F1013" s="3"/>
      <c r="G1013" s="3"/>
      <c r="H1013" s="3"/>
      <c r="I1013" s="3"/>
      <c r="J1013" s="3"/>
      <c r="K1013" s="3">
        <v>40.200000000000003</v>
      </c>
      <c r="L1013" s="3"/>
      <c r="M1013" s="3"/>
      <c r="N1013" s="3">
        <v>181.3</v>
      </c>
      <c r="O1013" s="3"/>
      <c r="P1013" s="3"/>
      <c r="Q1013" s="3">
        <v>1.38</v>
      </c>
      <c r="R1013" s="3">
        <v>0.6</v>
      </c>
      <c r="S1013" s="3">
        <v>2.4</v>
      </c>
      <c r="T1013" s="3">
        <v>12.7</v>
      </c>
      <c r="U1013" s="3">
        <v>69.099999999999994</v>
      </c>
      <c r="V1013" s="3">
        <v>967.2</v>
      </c>
      <c r="W1013" s="3">
        <v>0</v>
      </c>
      <c r="X1013" s="3">
        <v>48</v>
      </c>
      <c r="Y1013" s="3">
        <v>47.7</v>
      </c>
      <c r="Z1013" s="3">
        <v>47.6</v>
      </c>
      <c r="AA1013" s="3">
        <v>43.4</v>
      </c>
      <c r="AB1013" s="3">
        <v>38.4</v>
      </c>
      <c r="AC1013" s="3">
        <v>37.1</v>
      </c>
      <c r="AD1013" s="3">
        <v>39.6</v>
      </c>
      <c r="AE1013" s="3">
        <v>41</v>
      </c>
      <c r="AF1013" s="3">
        <v>45.8</v>
      </c>
      <c r="AG1013" s="3">
        <v>39.9</v>
      </c>
      <c r="AH1013" s="3">
        <v>36.9</v>
      </c>
      <c r="AI1013" s="3">
        <v>37.4</v>
      </c>
      <c r="AJ1013" s="3">
        <v>35.9</v>
      </c>
      <c r="AK1013" s="3">
        <v>34.4</v>
      </c>
      <c r="AL1013" s="3">
        <v>32.9</v>
      </c>
      <c r="AM1013" s="3">
        <v>32.799999999999997</v>
      </c>
      <c r="AN1013" s="3">
        <v>31.8</v>
      </c>
      <c r="AO1013" s="3">
        <v>29.8</v>
      </c>
      <c r="AP1013" s="3">
        <v>28.7</v>
      </c>
      <c r="AQ1013" s="3">
        <v>28.2</v>
      </c>
      <c r="AR1013" s="3">
        <v>27.8</v>
      </c>
      <c r="AS1013" s="3">
        <v>27.4</v>
      </c>
      <c r="AT1013" s="3">
        <v>26.7</v>
      </c>
      <c r="AU1013" s="3">
        <v>24.5</v>
      </c>
      <c r="AV1013" s="3">
        <v>22.8</v>
      </c>
      <c r="AW1013" s="3">
        <v>20.8</v>
      </c>
      <c r="AX1013" s="3">
        <v>16.3</v>
      </c>
      <c r="AY1013" s="3">
        <v>13.9</v>
      </c>
      <c r="AZ1013" s="3">
        <v>0</v>
      </c>
      <c r="BA1013" s="3">
        <v>0</v>
      </c>
      <c r="BB1013" s="3">
        <v>0</v>
      </c>
      <c r="BC1013" s="3">
        <v>41.283055573538086</v>
      </c>
      <c r="BD1013" s="3">
        <v>48.016944426461912</v>
      </c>
      <c r="BE1013" s="3">
        <v>47.716944426461914</v>
      </c>
      <c r="BF1013" s="3">
        <v>46.376944426461911</v>
      </c>
      <c r="BG1013" s="3">
        <v>42.503611093128576</v>
      </c>
      <c r="BH1013" s="3">
        <v>37.643611093128577</v>
      </c>
      <c r="BI1013" s="3">
        <v>36.756944426461907</v>
      </c>
      <c r="BJ1013" s="3">
        <v>40.050277759795243</v>
      </c>
      <c r="BK1013" s="3">
        <v>41.323611093128569</v>
      </c>
      <c r="BL1013" s="3">
        <v>45.696944426461904</v>
      </c>
      <c r="BM1013" s="3">
        <v>39.930277759795253</v>
      </c>
      <c r="BN1013" s="3">
        <v>37.213611093128584</v>
      </c>
      <c r="BO1013" s="3">
        <v>37.080277759795244</v>
      </c>
      <c r="BP1013" s="3">
        <v>35.296944426461913</v>
      </c>
      <c r="BQ1013" s="3">
        <v>34.21361109312857</v>
      </c>
      <c r="BR1013" s="3">
        <v>33.040277759795238</v>
      </c>
      <c r="BS1013" s="3">
        <v>32.743611093128585</v>
      </c>
      <c r="BT1013" s="3">
        <v>31.940277759795244</v>
      </c>
      <c r="BU1013" s="3">
        <v>29.906944426461912</v>
      </c>
      <c r="BV1013" s="3">
        <v>28.523611093128586</v>
      </c>
      <c r="BW1013" s="3">
        <v>28.556944426461918</v>
      </c>
      <c r="BX1013" s="3">
        <v>28.076944426461914</v>
      </c>
      <c r="BY1013" s="3">
        <v>27.496944426461916</v>
      </c>
      <c r="BZ1013" s="3">
        <v>26.926944426461922</v>
      </c>
      <c r="CA1013" s="3">
        <v>24.8269444264619</v>
      </c>
      <c r="CB1013" s="3">
        <v>22.563611093128578</v>
      </c>
      <c r="CC1013" s="3">
        <v>20.77694442646191</v>
      </c>
      <c r="CD1013" s="3">
        <v>15.583611093128582</v>
      </c>
      <c r="CE1013" s="3">
        <v>13.376944426461911</v>
      </c>
      <c r="CF1013" s="3">
        <v>-0.90972224020475778</v>
      </c>
      <c r="CG1013" s="3">
        <v>-1.4430555735380892</v>
      </c>
      <c r="CH1013" s="3">
        <v>-2.5197222402047572</v>
      </c>
      <c r="CI1013" s="13">
        <f>[1]!dbasum(RecData[[#This Row],[20]:[2000]],RecData[[#Headers],[20]:[2000]])</f>
        <v>40.548820020908778</v>
      </c>
      <c r="CJ1013" s="14">
        <v>10432</v>
      </c>
      <c r="CK1013" s="15" t="s">
        <v>249</v>
      </c>
      <c r="CL1013" s="15">
        <f>RecData[[#This Row],[Start Time]]</f>
        <v>43275.09375</v>
      </c>
      <c r="CM1013" s="16">
        <f>RecData[[#This Row],[Wind Speed avg]]</f>
        <v>1.38</v>
      </c>
      <c r="CN1013" s="16">
        <f>RecData[[#This Row],[Wind Dir. avg]]</f>
        <v>181.3</v>
      </c>
      <c r="CO1013" s="16">
        <f>RecData[[#This Row],[Amb. Humidity]]</f>
        <v>69.099999999999994</v>
      </c>
      <c r="CP1013" s="16">
        <f>RecData[[#This Row],[Amb. Temperature]]</f>
        <v>12.7</v>
      </c>
      <c r="CQ1013" s="17">
        <f>RecData[[#This Row],[Amb. Rain Gauge]]</f>
        <v>0</v>
      </c>
      <c r="CR1013" s="4" t="s">
        <v>1</v>
      </c>
      <c r="CS1013" s="4" t="s">
        <v>49</v>
      </c>
      <c r="CT1013" s="70">
        <v>1609.26220703125</v>
      </c>
      <c r="CU1013" s="70">
        <v>33.000282287597599</v>
      </c>
      <c r="CV1013" s="70">
        <v>11.4820537567138</v>
      </c>
      <c r="CW1013" s="70">
        <v>15.2699308395385</v>
      </c>
      <c r="CX1013" s="4"/>
      <c r="CY1013" s="69"/>
      <c r="CZ1013" s="2" t="b">
        <f>IF($DP$1="YES",IF(RecData[[#This Row],[Power (kW)]]&gt;=$CR$3, TRUE,FALSE),TRUE)</f>
        <v>1</v>
      </c>
      <c r="DA1013" s="16">
        <f>MIN(MOD(180-ABS(ABS($DA$1-RecData[Yaw Angle (°)])-180),360),MOD(180-ABS(ABS($DB$1-RecData[Yaw Angle (°)])-180),360))</f>
        <v>25.470355509910064</v>
      </c>
      <c r="DB1013" s="2" t="str">
        <f>IF($DP$2="None","None",IF(RecData[[#This Row],[Relative Wind Direction]]&lt;=45,"DW",IF(RecData[[#This Row],[Relative Wind Direction]]&lt;=135,"CW","UW")))</f>
        <v>DW</v>
      </c>
      <c r="DC1013" s="61">
        <v>-1</v>
      </c>
      <c r="DD1013" s="61">
        <v>-1</v>
      </c>
      <c r="DE1013" s="18" t="b">
        <v>0</v>
      </c>
      <c r="DF1013" s="2" t="b">
        <f>IF(OR(RecData[[#This Row],[WSpd_Avg '[m/s']]]-RecData[[#This Row],[Wind Speed min]]&gt;=$DF$3,RecData[[#This Row],[Wind Speed max]]-RecData[[#This Row],[WSpd_Avg '[m/s']]]&gt;=$DF$2),TRUE,FALSE)</f>
        <v>0</v>
      </c>
      <c r="DG1013" s="2" t="b">
        <f>RecData[[#This Row],[Temperature '[°C']]]&lt;=-20</f>
        <v>0</v>
      </c>
      <c r="DH1013" s="18" t="b">
        <f>NOT(OR(MOD(RecData[[#This Row],[TIMESTAMP]],1)&gt;0.91632,MOD(RecData[[#This Row],[TIMESTAMP]],1)&lt;0.208681))</f>
        <v>0</v>
      </c>
      <c r="DI1013" s="18" t="b">
        <f>RecData[[#This Row],[Overall (dBA)]]-RecData[[#This Row],[L90]]&gt;=$DS$4</f>
        <v>0</v>
      </c>
      <c r="DJ1013" s="18" t="b">
        <f>RecData[[#This Row],[Overall (dBA)]]&gt;$DS$2</f>
        <v>0</v>
      </c>
      <c r="DK1013" s="18" t="b">
        <f>RecData[[#This Row],[Overall (dBA)]]&lt;$DS$3</f>
        <v>0</v>
      </c>
      <c r="DL10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3" s="2">
        <f>IF(AND(RecData[[#This Row],[Turbines ON/OFF]] = "OFF", NOT(OR(RecData[[#This Row],[Junk?]]="YES",RecData[[#This Row],[Gust?]],RecData[[#This Row],[Rain?]:[Min SPL Threshold?]]))),1,0)</f>
        <v>0</v>
      </c>
      <c r="DN1013" s="16">
        <f>RecData[[#This Row],[dBA Sum]]</f>
        <v>40.548820020908778</v>
      </c>
      <c r="DO1013" s="16">
        <f>RecData[[#This Row],[LAF90.0]]</f>
        <v>40.200000000000003</v>
      </c>
      <c r="DP1013" s="55">
        <f>IF(AND(RecData[[#This Row],[Useable TON Data?]],RecData[[#This Row],[Turbines ON/OFF]]="ON"),RecData[[#This Row],[dBA Sum]],"")</f>
        <v>40.548820020908778</v>
      </c>
      <c r="DQ1013" s="55" t="str">
        <f>IF(AND(RecData[[#This Row],[Useable Background Data?]],RecData[[#This Row],[Turbines ON/OFF]]="OFF"),RecData[[#This Row],[dBA Sum]],"")</f>
        <v/>
      </c>
      <c r="DR1013" s="3">
        <f>IF(OR(RecData[[#This Row],[Useable TON Data?]],RecData[[#This Row],[Useable Background Data?]]),ROUND(RecData[[#This Row],[WSpd_Avg '[m/s']]],0),"")</f>
        <v>1</v>
      </c>
      <c r="DS1013" s="85">
        <f>(0.00002)^2*(10^(RecData[[#This Row],[Overall (dBA)]]/10))</f>
        <v>4.5388098994663713E-6</v>
      </c>
    </row>
    <row r="1014" spans="1:123" ht="15" x14ac:dyDescent="0.25">
      <c r="A1014" s="3" t="s">
        <v>249</v>
      </c>
      <c r="B1014" s="12">
        <v>43275.095833333333</v>
      </c>
      <c r="C1014" s="3"/>
      <c r="D1014" s="3">
        <v>44.3</v>
      </c>
      <c r="E1014" s="3"/>
      <c r="F1014" s="3"/>
      <c r="G1014" s="3"/>
      <c r="H1014" s="3"/>
      <c r="I1014" s="3"/>
      <c r="J1014" s="3"/>
      <c r="K1014" s="3">
        <v>42.7</v>
      </c>
      <c r="L1014" s="3"/>
      <c r="M1014" s="3"/>
      <c r="N1014" s="3">
        <v>201.7</v>
      </c>
      <c r="O1014" s="3"/>
      <c r="P1014" s="3"/>
      <c r="Q1014" s="3">
        <v>1.41</v>
      </c>
      <c r="R1014" s="3">
        <v>0.3</v>
      </c>
      <c r="S1014" s="3">
        <v>2.7</v>
      </c>
      <c r="T1014" s="3">
        <v>12.6</v>
      </c>
      <c r="U1014" s="3">
        <v>69.2</v>
      </c>
      <c r="V1014" s="3">
        <v>967.2</v>
      </c>
      <c r="W1014" s="3">
        <v>0</v>
      </c>
      <c r="X1014" s="3">
        <v>49</v>
      </c>
      <c r="Y1014" s="3">
        <v>48.5</v>
      </c>
      <c r="Z1014" s="3">
        <v>47.8</v>
      </c>
      <c r="AA1014" s="3">
        <v>44.2</v>
      </c>
      <c r="AB1014" s="3">
        <v>40</v>
      </c>
      <c r="AC1014" s="3">
        <v>39</v>
      </c>
      <c r="AD1014" s="3">
        <v>41.7</v>
      </c>
      <c r="AE1014" s="3">
        <v>42.1</v>
      </c>
      <c r="AF1014" s="3">
        <v>46.1</v>
      </c>
      <c r="AG1014" s="3">
        <v>40.4</v>
      </c>
      <c r="AH1014" s="3">
        <v>38.299999999999997</v>
      </c>
      <c r="AI1014" s="3">
        <v>38.200000000000003</v>
      </c>
      <c r="AJ1014" s="3">
        <v>37</v>
      </c>
      <c r="AK1014" s="3">
        <v>35.5</v>
      </c>
      <c r="AL1014" s="3">
        <v>34.299999999999997</v>
      </c>
      <c r="AM1014" s="3">
        <v>34.6</v>
      </c>
      <c r="AN1014" s="3">
        <v>33.6</v>
      </c>
      <c r="AO1014" s="3">
        <v>32.200000000000003</v>
      </c>
      <c r="AP1014" s="3">
        <v>31.7</v>
      </c>
      <c r="AQ1014" s="3">
        <v>31.7</v>
      </c>
      <c r="AR1014" s="3">
        <v>32.4</v>
      </c>
      <c r="AS1014" s="3">
        <v>32.799999999999997</v>
      </c>
      <c r="AT1014" s="3">
        <v>32.700000000000003</v>
      </c>
      <c r="AU1014" s="3">
        <v>31.5</v>
      </c>
      <c r="AV1014" s="3">
        <v>30.3</v>
      </c>
      <c r="AW1014" s="3">
        <v>28.7</v>
      </c>
      <c r="AX1014" s="3">
        <v>23.6</v>
      </c>
      <c r="AY1014" s="3">
        <v>21.2</v>
      </c>
      <c r="AZ1014" s="3">
        <v>0</v>
      </c>
      <c r="BA1014" s="3">
        <v>0</v>
      </c>
      <c r="BB1014" s="3">
        <v>0</v>
      </c>
      <c r="BC1014" s="3">
        <v>44.317731475365449</v>
      </c>
      <c r="BD1014" s="3">
        <v>48.982268524634549</v>
      </c>
      <c r="BE1014" s="3">
        <v>48.482268524634549</v>
      </c>
      <c r="BF1014" s="3">
        <v>46.542268524634537</v>
      </c>
      <c r="BG1014" s="3">
        <v>43.268935191301225</v>
      </c>
      <c r="BH1014" s="3">
        <v>39.208935191301222</v>
      </c>
      <c r="BI1014" s="3">
        <v>38.622268524634549</v>
      </c>
      <c r="BJ1014" s="3">
        <v>42.115601857967889</v>
      </c>
      <c r="BK1014" s="3">
        <v>42.388935191301215</v>
      </c>
      <c r="BL1014" s="3">
        <v>45.962268524634553</v>
      </c>
      <c r="BM1014" s="3">
        <v>40.39560185796789</v>
      </c>
      <c r="BN1014" s="3">
        <v>38.578935191301213</v>
      </c>
      <c r="BO1014" s="3">
        <v>37.845601857967878</v>
      </c>
      <c r="BP1014" s="3">
        <v>36.362268524634558</v>
      </c>
      <c r="BQ1014" s="3">
        <v>35.278935191301215</v>
      </c>
      <c r="BR1014" s="3">
        <v>34.405601857967881</v>
      </c>
      <c r="BS1014" s="3">
        <v>34.508935191301219</v>
      </c>
      <c r="BT1014" s="3">
        <v>33.705601857967892</v>
      </c>
      <c r="BU1014" s="3">
        <v>32.272268524634555</v>
      </c>
      <c r="BV1014" s="3">
        <v>31.488935191301223</v>
      </c>
      <c r="BW1014" s="3">
        <v>32.022268524634555</v>
      </c>
      <c r="BX1014" s="3">
        <v>32.642268524634559</v>
      </c>
      <c r="BY1014" s="3">
        <v>32.862268524634544</v>
      </c>
      <c r="BZ1014" s="3">
        <v>32.892268524634559</v>
      </c>
      <c r="CA1014" s="3">
        <v>31.792268524634537</v>
      </c>
      <c r="CB1014" s="3">
        <v>30.028935191301215</v>
      </c>
      <c r="CC1014" s="3">
        <v>28.642268524634545</v>
      </c>
      <c r="CD1014" s="3">
        <v>22.848935191301223</v>
      </c>
      <c r="CE1014" s="3">
        <v>20.642268524634545</v>
      </c>
      <c r="CF1014" s="3">
        <v>-0.9443981420321208</v>
      </c>
      <c r="CG1014" s="3">
        <v>-1.4777314753654522</v>
      </c>
      <c r="CH1014" s="3">
        <v>-2.5543981420321202</v>
      </c>
      <c r="CI1014" s="13">
        <f>[1]!dbasum(RecData[[#This Row],[20]:[2000]],RecData[[#Headers],[20]:[2000]])</f>
        <v>42.571385291215421</v>
      </c>
      <c r="CJ1014" s="14">
        <v>10435</v>
      </c>
      <c r="CK1014" s="15" t="s">
        <v>249</v>
      </c>
      <c r="CL1014" s="15">
        <f>RecData[[#This Row],[Start Time]]</f>
        <v>43275.095833333333</v>
      </c>
      <c r="CM1014" s="16">
        <f>RecData[[#This Row],[Wind Speed avg]]</f>
        <v>1.41</v>
      </c>
      <c r="CN1014" s="16">
        <f>RecData[[#This Row],[Wind Dir. avg]]</f>
        <v>201.7</v>
      </c>
      <c r="CO1014" s="16">
        <f>RecData[[#This Row],[Amb. Humidity]]</f>
        <v>69.2</v>
      </c>
      <c r="CP1014" s="16">
        <f>RecData[[#This Row],[Amb. Temperature]]</f>
        <v>12.6</v>
      </c>
      <c r="CQ1014" s="17">
        <f>RecData[[#This Row],[Amb. Rain Gauge]]</f>
        <v>0</v>
      </c>
      <c r="CR1014" s="4" t="s">
        <v>1</v>
      </c>
      <c r="CS1014" s="4" t="s">
        <v>49</v>
      </c>
      <c r="CT1014" s="70">
        <v>1609.26220703125</v>
      </c>
      <c r="CU1014" s="70">
        <v>33.000282287597599</v>
      </c>
      <c r="CV1014" s="70">
        <v>11.4820537567138</v>
      </c>
      <c r="CW1014" s="70">
        <v>15.2699308395385</v>
      </c>
      <c r="CX1014" s="4"/>
      <c r="CY1014" s="69"/>
      <c r="CZ1014" s="2" t="b">
        <f>IF($DP$1="YES",IF(RecData[[#This Row],[Power (kW)]]&gt;=$CR$3, TRUE,FALSE),TRUE)</f>
        <v>1</v>
      </c>
      <c r="DA1014" s="16">
        <f>MIN(MOD(180-ABS(ABS($DA$1-RecData[Yaw Angle (°)])-180),360),MOD(180-ABS(ABS($DB$1-RecData[Yaw Angle (°)])-180),360))</f>
        <v>25.470355509910064</v>
      </c>
      <c r="DB1014" s="2" t="str">
        <f>IF($DP$2="None","None",IF(RecData[[#This Row],[Relative Wind Direction]]&lt;=45,"DW",IF(RecData[[#This Row],[Relative Wind Direction]]&lt;=135,"CW","UW")))</f>
        <v>DW</v>
      </c>
      <c r="DC1014" s="61" t="e">
        <f>IF($CL1014-$CL1013&gt;1/24,#REF!,IF(SUM($CQ1013:$CQ1014)&gt;$DS$1,$DS$5,DC1015-1))</f>
        <v>#REF!</v>
      </c>
      <c r="DD1014" s="61" t="e">
        <f>IF($CL1015-$CL1014&gt;1/24,#REF!,IF(SUM($CQ1013:$CQ1014)&gt;$DS$1,$DS$6,#REF!-1))</f>
        <v>#REF!</v>
      </c>
      <c r="DE1014" s="18" t="b">
        <v>0</v>
      </c>
      <c r="DF1014" s="2" t="b">
        <f>IF(OR(RecData[[#This Row],[WSpd_Avg '[m/s']]]-RecData[[#This Row],[Wind Speed min]]&gt;=$DF$3,RecData[[#This Row],[Wind Speed max]]-RecData[[#This Row],[WSpd_Avg '[m/s']]]&gt;=$DF$2),TRUE,FALSE)</f>
        <v>0</v>
      </c>
      <c r="DG1014" s="2" t="b">
        <f>RecData[[#This Row],[Temperature '[°C']]]&lt;=-20</f>
        <v>0</v>
      </c>
      <c r="DH1014" s="18" t="b">
        <f>NOT(OR(MOD(RecData[[#This Row],[TIMESTAMP]],1)&gt;0.91632,MOD(RecData[[#This Row],[TIMESTAMP]],1)&lt;0.208681))</f>
        <v>0</v>
      </c>
      <c r="DI1014" s="18" t="b">
        <f>RecData[[#This Row],[Overall (dBA)]]-RecData[[#This Row],[L90]]&gt;=$DS$4</f>
        <v>0</v>
      </c>
      <c r="DJ1014" s="18" t="b">
        <f>RecData[[#This Row],[Overall (dBA)]]&gt;$DS$2</f>
        <v>0</v>
      </c>
      <c r="DK1014" s="18" t="b">
        <f>RecData[[#This Row],[Overall (dBA)]]&lt;$DS$3</f>
        <v>0</v>
      </c>
      <c r="DL10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4" s="2">
        <f>IF(AND(RecData[[#This Row],[Turbines ON/OFF]] = "OFF", NOT(OR(RecData[[#This Row],[Junk?]]="YES",RecData[[#This Row],[Gust?]],RecData[[#This Row],[Rain?]:[Min SPL Threshold?]]))),1,0)</f>
        <v>0</v>
      </c>
      <c r="DN1014" s="16">
        <f>RecData[[#This Row],[dBA Sum]]</f>
        <v>42.571385291215421</v>
      </c>
      <c r="DO1014" s="16">
        <f>RecData[[#This Row],[LAF90.0]]</f>
        <v>42.7</v>
      </c>
      <c r="DP1014" s="55">
        <f>IF(AND(RecData[[#This Row],[Useable TON Data?]],RecData[[#This Row],[Turbines ON/OFF]]="ON"),RecData[[#This Row],[dBA Sum]],"")</f>
        <v>42.571385291215421</v>
      </c>
      <c r="DQ1014" s="55" t="str">
        <f>IF(AND(RecData[[#This Row],[Useable Background Data?]],RecData[[#This Row],[Turbines ON/OFF]]="OFF"),RecData[[#This Row],[dBA Sum]],"")</f>
        <v/>
      </c>
      <c r="DR1014" s="3">
        <f>IF(OR(RecData[[#This Row],[Useable TON Data?]],RecData[[#This Row],[Useable Background Data?]]),ROUND(RecData[[#This Row],[WSpd_Avg '[m/s']]],0),"")</f>
        <v>1</v>
      </c>
      <c r="DS1014" s="85">
        <f>(0.00002)^2*(10^(RecData[[#This Row],[Overall (dBA)]]/10))</f>
        <v>7.23100264594454E-6</v>
      </c>
    </row>
    <row r="1015" spans="1:123" ht="15" x14ac:dyDescent="0.25">
      <c r="A1015" s="3" t="s">
        <v>249</v>
      </c>
      <c r="B1015" s="12">
        <v>43275.09652777778</v>
      </c>
      <c r="C1015" s="3"/>
      <c r="D1015" s="3">
        <v>41.6</v>
      </c>
      <c r="E1015" s="3"/>
      <c r="F1015" s="3"/>
      <c r="G1015" s="3"/>
      <c r="H1015" s="3"/>
      <c r="I1015" s="3"/>
      <c r="J1015" s="3"/>
      <c r="K1015" s="3">
        <v>40.1</v>
      </c>
      <c r="L1015" s="3"/>
      <c r="M1015" s="3"/>
      <c r="N1015" s="3">
        <v>155.6</v>
      </c>
      <c r="O1015" s="3"/>
      <c r="P1015" s="3"/>
      <c r="Q1015" s="3">
        <v>1.41</v>
      </c>
      <c r="R1015" s="3">
        <v>0.7</v>
      </c>
      <c r="S1015" s="3">
        <v>2.2999999999999998</v>
      </c>
      <c r="T1015" s="3">
        <v>12.6</v>
      </c>
      <c r="U1015" s="3">
        <v>69.3</v>
      </c>
      <c r="V1015" s="3">
        <v>967.2</v>
      </c>
      <c r="W1015" s="3">
        <v>0</v>
      </c>
      <c r="X1015" s="3">
        <v>48.7</v>
      </c>
      <c r="Y1015" s="3">
        <v>47.9</v>
      </c>
      <c r="Z1015" s="3">
        <v>47.1</v>
      </c>
      <c r="AA1015" s="3">
        <v>43.6</v>
      </c>
      <c r="AB1015" s="3">
        <v>38.9</v>
      </c>
      <c r="AC1015" s="3">
        <v>38</v>
      </c>
      <c r="AD1015" s="3">
        <v>40.700000000000003</v>
      </c>
      <c r="AE1015" s="3">
        <v>41.7</v>
      </c>
      <c r="AF1015" s="3">
        <v>46</v>
      </c>
      <c r="AG1015" s="3">
        <v>40</v>
      </c>
      <c r="AH1015" s="3">
        <v>38.200000000000003</v>
      </c>
      <c r="AI1015" s="3">
        <v>38</v>
      </c>
      <c r="AJ1015" s="3">
        <v>36.700000000000003</v>
      </c>
      <c r="AK1015" s="3">
        <v>34.9</v>
      </c>
      <c r="AL1015" s="3">
        <v>33</v>
      </c>
      <c r="AM1015" s="3">
        <v>32.700000000000003</v>
      </c>
      <c r="AN1015" s="3">
        <v>31.5</v>
      </c>
      <c r="AO1015" s="3">
        <v>29.3</v>
      </c>
      <c r="AP1015" s="3">
        <v>28.3</v>
      </c>
      <c r="AQ1015" s="3">
        <v>27.5</v>
      </c>
      <c r="AR1015" s="3">
        <v>27.4</v>
      </c>
      <c r="AS1015" s="3">
        <v>27.7</v>
      </c>
      <c r="AT1015" s="3">
        <v>28</v>
      </c>
      <c r="AU1015" s="3">
        <v>26.6</v>
      </c>
      <c r="AV1015" s="3">
        <v>25.2</v>
      </c>
      <c r="AW1015" s="3">
        <v>23.8</v>
      </c>
      <c r="AX1015" s="3">
        <v>19.2</v>
      </c>
      <c r="AY1015" s="3">
        <v>17</v>
      </c>
      <c r="AZ1015" s="3">
        <v>0</v>
      </c>
      <c r="BA1015" s="3">
        <v>0</v>
      </c>
      <c r="BB1015" s="3">
        <v>0</v>
      </c>
      <c r="BC1015" s="3">
        <v>41.588160050752556</v>
      </c>
      <c r="BD1015" s="3">
        <v>48.711839949247455</v>
      </c>
      <c r="BE1015" s="3">
        <v>47.911839949247444</v>
      </c>
      <c r="BF1015" s="3">
        <v>45.871839949247452</v>
      </c>
      <c r="BG1015" s="3">
        <v>42.698506615914106</v>
      </c>
      <c r="BH1015" s="3">
        <v>38.138506615914103</v>
      </c>
      <c r="BI1015" s="3">
        <v>37.651839949247453</v>
      </c>
      <c r="BJ1015" s="3">
        <v>41.145173282580778</v>
      </c>
      <c r="BK1015" s="3">
        <v>42.018506615914113</v>
      </c>
      <c r="BL1015" s="3">
        <v>45.891839949247448</v>
      </c>
      <c r="BM1015" s="3">
        <v>40.025173282580788</v>
      </c>
      <c r="BN1015" s="3">
        <v>38.508506615914108</v>
      </c>
      <c r="BO1015" s="3">
        <v>37.675173282580779</v>
      </c>
      <c r="BP1015" s="3">
        <v>36.091839949247451</v>
      </c>
      <c r="BQ1015" s="3">
        <v>34.708506615914096</v>
      </c>
      <c r="BR1015" s="3">
        <v>33.135173282580773</v>
      </c>
      <c r="BS1015" s="3">
        <v>32.638506615914118</v>
      </c>
      <c r="BT1015" s="3">
        <v>31.635173282580773</v>
      </c>
      <c r="BU1015" s="3">
        <v>29.401839949247453</v>
      </c>
      <c r="BV1015" s="3">
        <v>28.118506615914121</v>
      </c>
      <c r="BW1015" s="3">
        <v>27.851839949247442</v>
      </c>
      <c r="BX1015" s="3">
        <v>27.671839949247449</v>
      </c>
      <c r="BY1015" s="3">
        <v>27.791839949247439</v>
      </c>
      <c r="BZ1015" s="3">
        <v>28.221839949247446</v>
      </c>
      <c r="CA1015" s="3">
        <v>26.921839949247435</v>
      </c>
      <c r="CB1015" s="3">
        <v>24.958506615914111</v>
      </c>
      <c r="CC1015" s="3">
        <v>23.771839949247443</v>
      </c>
      <c r="CD1015" s="3">
        <v>18.478506615914114</v>
      </c>
      <c r="CE1015" s="3">
        <v>16.471839949247446</v>
      </c>
      <c r="CF1015" s="3">
        <v>-0.91482671741922417</v>
      </c>
      <c r="CG1015" s="3">
        <v>-1.4481600507525556</v>
      </c>
      <c r="CH1015" s="3">
        <v>-2.5248267174192236</v>
      </c>
      <c r="CI1015" s="13">
        <f>[1]!dbasum(RecData[[#This Row],[20]:[2000]],RecData[[#Headers],[20]:[2000]])</f>
        <v>40.593976492901447</v>
      </c>
      <c r="CJ1015" s="14">
        <v>10436</v>
      </c>
      <c r="CK1015" s="15" t="s">
        <v>249</v>
      </c>
      <c r="CL1015" s="15">
        <f>RecData[[#This Row],[Start Time]]</f>
        <v>43275.09652777778</v>
      </c>
      <c r="CM1015" s="16">
        <f>RecData[[#This Row],[Wind Speed avg]]</f>
        <v>1.41</v>
      </c>
      <c r="CN1015" s="16">
        <f>RecData[[#This Row],[Wind Dir. avg]]</f>
        <v>155.6</v>
      </c>
      <c r="CO1015" s="16">
        <f>RecData[[#This Row],[Amb. Humidity]]</f>
        <v>69.3</v>
      </c>
      <c r="CP1015" s="16">
        <f>RecData[[#This Row],[Amb. Temperature]]</f>
        <v>12.6</v>
      </c>
      <c r="CQ1015" s="17">
        <f>RecData[[#This Row],[Amb. Rain Gauge]]</f>
        <v>0</v>
      </c>
      <c r="CR1015" s="4" t="s">
        <v>1</v>
      </c>
      <c r="CS1015" s="4" t="s">
        <v>49</v>
      </c>
      <c r="CT1015" s="70">
        <v>1609.26220703125</v>
      </c>
      <c r="CU1015" s="70">
        <v>33.000282287597599</v>
      </c>
      <c r="CV1015" s="70">
        <v>11.4820537567138</v>
      </c>
      <c r="CW1015" s="70">
        <v>15.2699308395385</v>
      </c>
      <c r="CX1015" s="4"/>
      <c r="CY1015" s="69"/>
      <c r="CZ1015" s="2" t="b">
        <f>IF($DP$1="YES",IF(RecData[[#This Row],[Power (kW)]]&gt;=$CR$3, TRUE,FALSE),TRUE)</f>
        <v>1</v>
      </c>
      <c r="DA1015" s="16">
        <f>MIN(MOD(180-ABS(ABS($DA$1-RecData[Yaw Angle (°)])-180),360),MOD(180-ABS(ABS($DB$1-RecData[Yaw Angle (°)])-180),360))</f>
        <v>25.470355509910064</v>
      </c>
      <c r="DB1015" s="2" t="str">
        <f>IF($DP$2="None","None",IF(RecData[[#This Row],[Relative Wind Direction]]&lt;=45,"DW",IF(RecData[[#This Row],[Relative Wind Direction]]&lt;=135,"CW","UW")))</f>
        <v>DW</v>
      </c>
      <c r="DC1015" s="61" t="e">
        <f>IF($CL1015-$CL1013&gt;1/24,#REF!,IF(SUM($CQ1013:$CQ1015)&gt;$DS$1,$DS$5,DC1016-1))</f>
        <v>#REF!</v>
      </c>
      <c r="DD1015" s="61" t="e">
        <f>IF($CL1016-$CL1015&gt;1/24,#REF!,IF(SUM($CQ1013:$CQ1015)&gt;$DS$1,$DS$6,DD1014-1))</f>
        <v>#REF!</v>
      </c>
      <c r="DE1015" s="18" t="b">
        <v>0</v>
      </c>
      <c r="DF1015" s="2" t="b">
        <f>IF(OR(RecData[[#This Row],[WSpd_Avg '[m/s']]]-RecData[[#This Row],[Wind Speed min]]&gt;=$DF$3,RecData[[#This Row],[Wind Speed max]]-RecData[[#This Row],[WSpd_Avg '[m/s']]]&gt;=$DF$2),TRUE,FALSE)</f>
        <v>0</v>
      </c>
      <c r="DG1015" s="2" t="b">
        <f>RecData[[#This Row],[Temperature '[°C']]]&lt;=-20</f>
        <v>0</v>
      </c>
      <c r="DH1015" s="18" t="b">
        <f>NOT(OR(MOD(RecData[[#This Row],[TIMESTAMP]],1)&gt;0.91632,MOD(RecData[[#This Row],[TIMESTAMP]],1)&lt;0.208681))</f>
        <v>0</v>
      </c>
      <c r="DI1015" s="18" t="b">
        <f>RecData[[#This Row],[Overall (dBA)]]-RecData[[#This Row],[L90]]&gt;=$DS$4</f>
        <v>0</v>
      </c>
      <c r="DJ1015" s="18" t="b">
        <f>RecData[[#This Row],[Overall (dBA)]]&gt;$DS$2</f>
        <v>0</v>
      </c>
      <c r="DK1015" s="18" t="b">
        <f>RecData[[#This Row],[Overall (dBA)]]&lt;$DS$3</f>
        <v>0</v>
      </c>
      <c r="DL10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5" s="2">
        <f>IF(AND(RecData[[#This Row],[Turbines ON/OFF]] = "OFF", NOT(OR(RecData[[#This Row],[Junk?]]="YES",RecData[[#This Row],[Gust?]],RecData[[#This Row],[Rain?]:[Min SPL Threshold?]]))),1,0)</f>
        <v>0</v>
      </c>
      <c r="DN1015" s="16">
        <f>RecData[[#This Row],[dBA Sum]]</f>
        <v>40.593976492901447</v>
      </c>
      <c r="DO1015" s="16">
        <f>RecData[[#This Row],[LAF90.0]]</f>
        <v>40.1</v>
      </c>
      <c r="DP1015" s="55">
        <f>IF(AND(RecData[[#This Row],[Useable TON Data?]],RecData[[#This Row],[Turbines ON/OFF]]="ON"),RecData[[#This Row],[dBA Sum]],"")</f>
        <v>40.593976492901447</v>
      </c>
      <c r="DQ1015" s="55" t="str">
        <f>IF(AND(RecData[[#This Row],[Useable Background Data?]],RecData[[#This Row],[Turbines ON/OFF]]="OFF"),RecData[[#This Row],[dBA Sum]],"")</f>
        <v/>
      </c>
      <c r="DR1015" s="3">
        <f>IF(OR(RecData[[#This Row],[Useable TON Data?]],RecData[[#This Row],[Useable Background Data?]]),ROUND(RecData[[#This Row],[WSpd_Avg '[m/s']]],0),"")</f>
        <v>1</v>
      </c>
      <c r="DS1015" s="85">
        <f>(0.00002)^2*(10^(RecData[[#This Row],[Overall (dBA)]]/10))</f>
        <v>4.5862491113999869E-6</v>
      </c>
    </row>
    <row r="1016" spans="1:123" ht="15" x14ac:dyDescent="0.25">
      <c r="A1016" s="3" t="s">
        <v>249</v>
      </c>
      <c r="B1016" s="12">
        <v>43275.097222222226</v>
      </c>
      <c r="C1016" s="3"/>
      <c r="D1016" s="3">
        <v>40.6</v>
      </c>
      <c r="E1016" s="3"/>
      <c r="F1016" s="3"/>
      <c r="G1016" s="3"/>
      <c r="H1016" s="3"/>
      <c r="I1016" s="3"/>
      <c r="J1016" s="3"/>
      <c r="K1016" s="3">
        <v>39.200000000000003</v>
      </c>
      <c r="L1016" s="3"/>
      <c r="M1016" s="3"/>
      <c r="N1016" s="3">
        <v>103.9</v>
      </c>
      <c r="O1016" s="3"/>
      <c r="P1016" s="3"/>
      <c r="Q1016" s="3">
        <v>0.76</v>
      </c>
      <c r="R1016" s="3">
        <v>0.1</v>
      </c>
      <c r="S1016" s="3">
        <v>1.5</v>
      </c>
      <c r="T1016" s="3">
        <v>12.6</v>
      </c>
      <c r="U1016" s="3">
        <v>69.599999999999994</v>
      </c>
      <c r="V1016" s="3">
        <v>967.2</v>
      </c>
      <c r="W1016" s="3">
        <v>0</v>
      </c>
      <c r="X1016" s="3">
        <v>48</v>
      </c>
      <c r="Y1016" s="3">
        <v>46.9</v>
      </c>
      <c r="Z1016" s="3">
        <v>46.7</v>
      </c>
      <c r="AA1016" s="3">
        <v>43.2</v>
      </c>
      <c r="AB1016" s="3">
        <v>37.9</v>
      </c>
      <c r="AC1016" s="3">
        <v>36.9</v>
      </c>
      <c r="AD1016" s="3">
        <v>40.4</v>
      </c>
      <c r="AE1016" s="3">
        <v>41.2</v>
      </c>
      <c r="AF1016" s="3">
        <v>44</v>
      </c>
      <c r="AG1016" s="3">
        <v>38.9</v>
      </c>
      <c r="AH1016" s="3">
        <v>37.4</v>
      </c>
      <c r="AI1016" s="3">
        <v>36.799999999999997</v>
      </c>
      <c r="AJ1016" s="3">
        <v>36.1</v>
      </c>
      <c r="AK1016" s="3">
        <v>34.299999999999997</v>
      </c>
      <c r="AL1016" s="3">
        <v>32.9</v>
      </c>
      <c r="AM1016" s="3">
        <v>33.1</v>
      </c>
      <c r="AN1016" s="3">
        <v>32</v>
      </c>
      <c r="AO1016" s="3">
        <v>29.6</v>
      </c>
      <c r="AP1016" s="3">
        <v>28.1</v>
      </c>
      <c r="AQ1016" s="3">
        <v>26.9</v>
      </c>
      <c r="AR1016" s="3">
        <v>25.5</v>
      </c>
      <c r="AS1016" s="3">
        <v>24.4</v>
      </c>
      <c r="AT1016" s="3">
        <v>23.2</v>
      </c>
      <c r="AU1016" s="3">
        <v>20.3</v>
      </c>
      <c r="AV1016" s="3">
        <v>19</v>
      </c>
      <c r="AW1016" s="3">
        <v>17.3</v>
      </c>
      <c r="AX1016" s="3">
        <v>13</v>
      </c>
      <c r="AY1016" s="3">
        <v>11.7</v>
      </c>
      <c r="AZ1016" s="3">
        <v>0</v>
      </c>
      <c r="BA1016" s="3">
        <v>0</v>
      </c>
      <c r="BB1016" s="3">
        <v>0</v>
      </c>
      <c r="BC1016" s="3">
        <v>40.543422830386874</v>
      </c>
      <c r="BD1016" s="3">
        <v>48.056577169613121</v>
      </c>
      <c r="BE1016" s="3">
        <v>46.956577169613126</v>
      </c>
      <c r="BF1016" s="3">
        <v>45.516577169613129</v>
      </c>
      <c r="BG1016" s="3">
        <v>42.343243836279797</v>
      </c>
      <c r="BH1016" s="3">
        <v>37.183243836279786</v>
      </c>
      <c r="BI1016" s="3">
        <v>36.596577169613127</v>
      </c>
      <c r="BJ1016" s="3">
        <v>40.889910502946464</v>
      </c>
      <c r="BK1016" s="3">
        <v>41.563243836279796</v>
      </c>
      <c r="BL1016" s="3">
        <v>43.93657716961313</v>
      </c>
      <c r="BM1016" s="3">
        <v>38.969910502946462</v>
      </c>
      <c r="BN1016" s="3">
        <v>37.753243836279793</v>
      </c>
      <c r="BO1016" s="3">
        <v>36.519910502946459</v>
      </c>
      <c r="BP1016" s="3">
        <v>35.536577169613139</v>
      </c>
      <c r="BQ1016" s="3">
        <v>34.153243836279785</v>
      </c>
      <c r="BR1016" s="3">
        <v>33.079910502946461</v>
      </c>
      <c r="BS1016" s="3">
        <v>33.083243836279792</v>
      </c>
      <c r="BT1016" s="3">
        <v>32.179910502946456</v>
      </c>
      <c r="BU1016" s="3">
        <v>29.746577169613133</v>
      </c>
      <c r="BV1016" s="3">
        <v>27.963243836279801</v>
      </c>
      <c r="BW1016" s="3">
        <v>27.29657716961313</v>
      </c>
      <c r="BX1016" s="3">
        <v>25.81657716961314</v>
      </c>
      <c r="BY1016" s="3">
        <v>24.536577169613125</v>
      </c>
      <c r="BZ1016" s="3">
        <v>23.466577169613132</v>
      </c>
      <c r="CA1016" s="3">
        <v>20.66657716961312</v>
      </c>
      <c r="CB1016" s="3">
        <v>18.80324383627979</v>
      </c>
      <c r="CC1016" s="3">
        <v>17.316577169613126</v>
      </c>
      <c r="CD1016" s="3">
        <v>12.323243836279801</v>
      </c>
      <c r="CE1016" s="3">
        <v>11.216577169613124</v>
      </c>
      <c r="CF1016" s="3">
        <v>-0.87008949705354155</v>
      </c>
      <c r="CG1016" s="3">
        <v>-1.403422830386873</v>
      </c>
      <c r="CH1016" s="3">
        <v>-2.480089497053541</v>
      </c>
      <c r="CI1016" s="13">
        <f>[1]!dbasum(RecData[[#This Row],[20]:[2000]],RecData[[#Headers],[20]:[2000]])</f>
        <v>40.193984616274406</v>
      </c>
      <c r="CJ1016" s="14">
        <v>10437</v>
      </c>
      <c r="CK1016" s="15" t="s">
        <v>249</v>
      </c>
      <c r="CL1016" s="15">
        <f>RecData[[#This Row],[Start Time]]</f>
        <v>43275.097222222226</v>
      </c>
      <c r="CM1016" s="16">
        <f>RecData[[#This Row],[Wind Speed avg]]</f>
        <v>0.76</v>
      </c>
      <c r="CN1016" s="16">
        <f>RecData[[#This Row],[Wind Dir. avg]]</f>
        <v>103.9</v>
      </c>
      <c r="CO1016" s="16">
        <f>RecData[[#This Row],[Amb. Humidity]]</f>
        <v>69.599999999999994</v>
      </c>
      <c r="CP1016" s="16">
        <f>RecData[[#This Row],[Amb. Temperature]]</f>
        <v>12.6</v>
      </c>
      <c r="CQ1016" s="17">
        <f>RecData[[#This Row],[Amb. Rain Gauge]]</f>
        <v>0</v>
      </c>
      <c r="CR1016" s="4" t="s">
        <v>1</v>
      </c>
      <c r="CS1016" s="4" t="s">
        <v>49</v>
      </c>
      <c r="CT1016" s="70">
        <v>1609.26220703125</v>
      </c>
      <c r="CU1016" s="70">
        <v>33.000282287597599</v>
      </c>
      <c r="CV1016" s="70">
        <v>11.4820537567138</v>
      </c>
      <c r="CW1016" s="70">
        <v>15.2699308395385</v>
      </c>
      <c r="CX1016" s="4"/>
      <c r="CY1016" s="69"/>
      <c r="CZ1016" s="2" t="b">
        <f>IF($DP$1="YES",IF(RecData[[#This Row],[Power (kW)]]&gt;=$CR$3, TRUE,FALSE),TRUE)</f>
        <v>1</v>
      </c>
      <c r="DA1016" s="16">
        <f>MIN(MOD(180-ABS(ABS($DA$1-RecData[Yaw Angle (°)])-180),360),MOD(180-ABS(ABS($DB$1-RecData[Yaw Angle (°)])-180),360))</f>
        <v>25.470355509910064</v>
      </c>
      <c r="DB1016" s="2" t="str">
        <f>IF($DP$2="None","None",IF(RecData[[#This Row],[Relative Wind Direction]]&lt;=45,"DW",IF(RecData[[#This Row],[Relative Wind Direction]]&lt;=135,"CW","UW")))</f>
        <v>DW</v>
      </c>
      <c r="DC1016" s="61" t="e">
        <f>IF($CL1016-#REF!&gt;1/24,#REF!,IF(SUM($CQ1014:$CQ1016)&gt;$DS$1,$DS$5,#REF!-1))</f>
        <v>#REF!</v>
      </c>
      <c r="DD1016" s="61" t="e">
        <f>IF(#REF!-$CL1016&gt;1/24,#REF!,IF(SUM($CQ1014:$CQ1016)&gt;$DS$1,$DS$6,DD1015-1))</f>
        <v>#REF!</v>
      </c>
      <c r="DE1016" s="18" t="b">
        <v>0</v>
      </c>
      <c r="DF1016" s="2" t="b">
        <f>IF(OR(RecData[[#This Row],[WSpd_Avg '[m/s']]]-RecData[[#This Row],[Wind Speed min]]&gt;=$DF$3,RecData[[#This Row],[Wind Speed max]]-RecData[[#This Row],[WSpd_Avg '[m/s']]]&gt;=$DF$2),TRUE,FALSE)</f>
        <v>0</v>
      </c>
      <c r="DG1016" s="2" t="b">
        <f>RecData[[#This Row],[Temperature '[°C']]]&lt;=-20</f>
        <v>0</v>
      </c>
      <c r="DH1016" s="18" t="b">
        <f>NOT(OR(MOD(RecData[[#This Row],[TIMESTAMP]],1)&gt;0.91632,MOD(RecData[[#This Row],[TIMESTAMP]],1)&lt;0.208681))</f>
        <v>0</v>
      </c>
      <c r="DI1016" s="18" t="b">
        <f>RecData[[#This Row],[Overall (dBA)]]-RecData[[#This Row],[L90]]&gt;=$DS$4</f>
        <v>0</v>
      </c>
      <c r="DJ1016" s="18" t="b">
        <f>RecData[[#This Row],[Overall (dBA)]]&gt;$DS$2</f>
        <v>0</v>
      </c>
      <c r="DK1016" s="18" t="b">
        <f>RecData[[#This Row],[Overall (dBA)]]&lt;$DS$3</f>
        <v>0</v>
      </c>
      <c r="DL10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6" s="2">
        <f>IF(AND(RecData[[#This Row],[Turbines ON/OFF]] = "OFF", NOT(OR(RecData[[#This Row],[Junk?]]="YES",RecData[[#This Row],[Gust?]],RecData[[#This Row],[Rain?]:[Min SPL Threshold?]]))),1,0)</f>
        <v>0</v>
      </c>
      <c r="DN1016" s="16">
        <f>RecData[[#This Row],[dBA Sum]]</f>
        <v>40.193984616274406</v>
      </c>
      <c r="DO1016" s="16">
        <f>RecData[[#This Row],[LAF90.0]]</f>
        <v>39.200000000000003</v>
      </c>
      <c r="DP1016" s="55">
        <f>IF(AND(RecData[[#This Row],[Useable TON Data?]],RecData[[#This Row],[Turbines ON/OFF]]="ON"),RecData[[#This Row],[dBA Sum]],"")</f>
        <v>40.193984616274406</v>
      </c>
      <c r="DQ1016" s="55" t="str">
        <f>IF(AND(RecData[[#This Row],[Useable Background Data?]],RecData[[#This Row],[Turbines ON/OFF]]="OFF"),RecData[[#This Row],[dBA Sum]],"")</f>
        <v/>
      </c>
      <c r="DR1016" s="3">
        <f>IF(OR(RecData[[#This Row],[Useable TON Data?]],RecData[[#This Row],[Useable Background Data?]]),ROUND(RecData[[#This Row],[WSpd_Avg '[m/s']]],0),"")</f>
        <v>1</v>
      </c>
      <c r="DS1016" s="85">
        <f>(0.00002)^2*(10^(RecData[[#This Row],[Overall (dBA)]]/10))</f>
        <v>4.1827167252460836E-6</v>
      </c>
    </row>
    <row r="1017" spans="1:123" ht="15" x14ac:dyDescent="0.25">
      <c r="A1017" s="3" t="s">
        <v>249</v>
      </c>
      <c r="B1017" s="12">
        <v>43275.098611111112</v>
      </c>
      <c r="C1017" s="3"/>
      <c r="D1017" s="3">
        <v>42.1</v>
      </c>
      <c r="E1017" s="3"/>
      <c r="F1017" s="3"/>
      <c r="G1017" s="3"/>
      <c r="H1017" s="3"/>
      <c r="I1017" s="3"/>
      <c r="J1017" s="3"/>
      <c r="K1017" s="3">
        <v>40.9</v>
      </c>
      <c r="L1017" s="3"/>
      <c r="M1017" s="3"/>
      <c r="N1017" s="3">
        <v>163.1</v>
      </c>
      <c r="O1017" s="3"/>
      <c r="P1017" s="3"/>
      <c r="Q1017" s="3">
        <v>1.29</v>
      </c>
      <c r="R1017" s="3">
        <v>0.3</v>
      </c>
      <c r="S1017" s="3">
        <v>2.2999999999999998</v>
      </c>
      <c r="T1017" s="3">
        <v>12.5</v>
      </c>
      <c r="U1017" s="3">
        <v>69.7</v>
      </c>
      <c r="V1017" s="3">
        <v>967.2</v>
      </c>
      <c r="W1017" s="3">
        <v>0</v>
      </c>
      <c r="X1017" s="3">
        <v>49.1</v>
      </c>
      <c r="Y1017" s="3">
        <v>48.9</v>
      </c>
      <c r="Z1017" s="3">
        <v>48.6</v>
      </c>
      <c r="AA1017" s="3">
        <v>44.9</v>
      </c>
      <c r="AB1017" s="3">
        <v>39</v>
      </c>
      <c r="AC1017" s="3">
        <v>38.6</v>
      </c>
      <c r="AD1017" s="3">
        <v>42.4</v>
      </c>
      <c r="AE1017" s="3">
        <v>43.3</v>
      </c>
      <c r="AF1017" s="3">
        <v>46.8</v>
      </c>
      <c r="AG1017" s="3">
        <v>40.799999999999997</v>
      </c>
      <c r="AH1017" s="3">
        <v>39.200000000000003</v>
      </c>
      <c r="AI1017" s="3">
        <v>38.299999999999997</v>
      </c>
      <c r="AJ1017" s="3">
        <v>37.4</v>
      </c>
      <c r="AK1017" s="3">
        <v>35.6</v>
      </c>
      <c r="AL1017" s="3">
        <v>34</v>
      </c>
      <c r="AM1017" s="3">
        <v>33.9</v>
      </c>
      <c r="AN1017" s="3">
        <v>32.700000000000003</v>
      </c>
      <c r="AO1017" s="3">
        <v>30.3</v>
      </c>
      <c r="AP1017" s="3">
        <v>29</v>
      </c>
      <c r="AQ1017" s="3">
        <v>28.1</v>
      </c>
      <c r="AR1017" s="3">
        <v>27.5</v>
      </c>
      <c r="AS1017" s="3">
        <v>27.1</v>
      </c>
      <c r="AT1017" s="3">
        <v>26.6</v>
      </c>
      <c r="AU1017" s="3">
        <v>24.6</v>
      </c>
      <c r="AV1017" s="3">
        <v>22.8</v>
      </c>
      <c r="AW1017" s="3">
        <v>21.2</v>
      </c>
      <c r="AX1017" s="3">
        <v>16.600000000000001</v>
      </c>
      <c r="AY1017" s="3">
        <v>14.5</v>
      </c>
      <c r="AZ1017" s="3">
        <v>0</v>
      </c>
      <c r="BA1017" s="3">
        <v>0</v>
      </c>
      <c r="BB1017" s="3">
        <v>0</v>
      </c>
      <c r="BC1017" s="3">
        <v>42.04466919609149</v>
      </c>
      <c r="BD1017" s="3">
        <v>49.155330803908512</v>
      </c>
      <c r="BE1017" s="3">
        <v>48.95533080390851</v>
      </c>
      <c r="BF1017" s="3">
        <v>47.415330803908518</v>
      </c>
      <c r="BG1017" s="3">
        <v>44.041997470575183</v>
      </c>
      <c r="BH1017" s="3">
        <v>38.281997470575178</v>
      </c>
      <c r="BI1017" s="3">
        <v>38.295330803908513</v>
      </c>
      <c r="BJ1017" s="3">
        <v>42.888664137241847</v>
      </c>
      <c r="BK1017" s="3">
        <v>43.661997470575173</v>
      </c>
      <c r="BL1017" s="3">
        <v>46.735330803908511</v>
      </c>
      <c r="BM1017" s="3">
        <v>40.868664137241836</v>
      </c>
      <c r="BN1017" s="3">
        <v>39.551997470575174</v>
      </c>
      <c r="BO1017" s="3">
        <v>38.018664137241842</v>
      </c>
      <c r="BP1017" s="3">
        <v>36.835330803908505</v>
      </c>
      <c r="BQ1017" s="3">
        <v>35.451997470575179</v>
      </c>
      <c r="BR1017" s="3">
        <v>34.178664137241839</v>
      </c>
      <c r="BS1017" s="3">
        <v>33.881997470575186</v>
      </c>
      <c r="BT1017" s="3">
        <v>32.878664137241856</v>
      </c>
      <c r="BU1017" s="3">
        <v>30.445330803908519</v>
      </c>
      <c r="BV1017" s="3">
        <v>28.861997470575176</v>
      </c>
      <c r="BW1017" s="3">
        <v>28.495330803908516</v>
      </c>
      <c r="BX1017" s="3">
        <v>27.815330803908523</v>
      </c>
      <c r="BY1017" s="3">
        <v>27.235330803908511</v>
      </c>
      <c r="BZ1017" s="3">
        <v>26.86533080390852</v>
      </c>
      <c r="CA1017" s="3">
        <v>24.9653308039085</v>
      </c>
      <c r="CB1017" s="3">
        <v>22.601997470575185</v>
      </c>
      <c r="CC1017" s="3">
        <v>21.215330803908508</v>
      </c>
      <c r="CD1017" s="3">
        <v>15.921997470575185</v>
      </c>
      <c r="CE1017" s="3">
        <v>14.015330803908512</v>
      </c>
      <c r="CF1017" s="3">
        <v>-0.87133586275815844</v>
      </c>
      <c r="CG1017" s="3">
        <v>-1.4046691960914899</v>
      </c>
      <c r="CH1017" s="3">
        <v>-2.4813358627581579</v>
      </c>
      <c r="CI1017" s="13">
        <f>[1]!dbasum(RecData[[#This Row],[20]:[2000]],RecData[[#Headers],[20]:[2000]])</f>
        <v>41.477827440444841</v>
      </c>
      <c r="CJ1017" s="14">
        <v>10439</v>
      </c>
      <c r="CK1017" s="15" t="s">
        <v>249</v>
      </c>
      <c r="CL1017" s="15">
        <f>RecData[[#This Row],[Start Time]]</f>
        <v>43275.098611111112</v>
      </c>
      <c r="CM1017" s="16">
        <f>RecData[[#This Row],[Wind Speed avg]]</f>
        <v>1.29</v>
      </c>
      <c r="CN1017" s="16">
        <f>RecData[[#This Row],[Wind Dir. avg]]</f>
        <v>163.1</v>
      </c>
      <c r="CO1017" s="16">
        <f>RecData[[#This Row],[Amb. Humidity]]</f>
        <v>69.7</v>
      </c>
      <c r="CP1017" s="16">
        <f>RecData[[#This Row],[Amb. Temperature]]</f>
        <v>12.5</v>
      </c>
      <c r="CQ1017" s="17">
        <f>RecData[[#This Row],[Amb. Rain Gauge]]</f>
        <v>0</v>
      </c>
      <c r="CR1017" s="4" t="s">
        <v>1</v>
      </c>
      <c r="CS1017" s="4" t="s">
        <v>49</v>
      </c>
      <c r="CT1017" s="70">
        <v>1614.37646484375</v>
      </c>
      <c r="CU1017" s="70">
        <v>33.000278472900298</v>
      </c>
      <c r="CV1017" s="70">
        <v>11.926109313964799</v>
      </c>
      <c r="CW1017" s="70">
        <v>15.244936943054199</v>
      </c>
      <c r="CX1017" s="4"/>
      <c r="CY1017" s="69"/>
      <c r="CZ1017" s="2" t="b">
        <f>IF($DP$1="YES",IF(RecData[[#This Row],[Power (kW)]]&gt;=$CR$3, TRUE,FALSE),TRUE)</f>
        <v>1</v>
      </c>
      <c r="DA1017" s="16">
        <f>MIN(MOD(180-ABS(ABS($DA$1-RecData[Yaw Angle (°)])-180),360),MOD(180-ABS(ABS($DB$1-RecData[Yaw Angle (°)])-180),360))</f>
        <v>25.470351695212742</v>
      </c>
      <c r="DB1017" s="2" t="str">
        <f>IF($DP$2="None","None",IF(RecData[[#This Row],[Relative Wind Direction]]&lt;=45,"DW",IF(RecData[[#This Row],[Relative Wind Direction]]&lt;=135,"CW","UW")))</f>
        <v>DW</v>
      </c>
      <c r="DC1017" s="61" t="e">
        <f>IF($CL1017-$CL1014&gt;1/24,#REF!,IF(SUM($CQ1014:$CQ1017)&gt;$DS$1,$DS$5,DC1018-1))</f>
        <v>#REF!</v>
      </c>
      <c r="DD1017" s="61" t="e">
        <f>IF($CL1018-$CL1017&gt;1/24,#REF!,IF(SUM($CQ1014:$CQ1017)&gt;$DS$1,$DS$6,#REF!-1))</f>
        <v>#REF!</v>
      </c>
      <c r="DE1017" s="18" t="b">
        <v>0</v>
      </c>
      <c r="DF1017" s="2" t="b">
        <f>IF(OR(RecData[[#This Row],[WSpd_Avg '[m/s']]]-RecData[[#This Row],[Wind Speed min]]&gt;=$DF$3,RecData[[#This Row],[Wind Speed max]]-RecData[[#This Row],[WSpd_Avg '[m/s']]]&gt;=$DF$2),TRUE,FALSE)</f>
        <v>0</v>
      </c>
      <c r="DG1017" s="2" t="b">
        <f>RecData[[#This Row],[Temperature '[°C']]]&lt;=-20</f>
        <v>0</v>
      </c>
      <c r="DH1017" s="18" t="b">
        <f>NOT(OR(MOD(RecData[[#This Row],[TIMESTAMP]],1)&gt;0.91632,MOD(RecData[[#This Row],[TIMESTAMP]],1)&lt;0.208681))</f>
        <v>0</v>
      </c>
      <c r="DI1017" s="18" t="b">
        <f>RecData[[#This Row],[Overall (dBA)]]-RecData[[#This Row],[L90]]&gt;=$DS$4</f>
        <v>0</v>
      </c>
      <c r="DJ1017" s="18" t="b">
        <f>RecData[[#This Row],[Overall (dBA)]]&gt;$DS$2</f>
        <v>0</v>
      </c>
      <c r="DK1017" s="18" t="b">
        <f>RecData[[#This Row],[Overall (dBA)]]&lt;$DS$3</f>
        <v>0</v>
      </c>
      <c r="DL10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7" s="2">
        <f>IF(AND(RecData[[#This Row],[Turbines ON/OFF]] = "OFF", NOT(OR(RecData[[#This Row],[Junk?]]="YES",RecData[[#This Row],[Gust?]],RecData[[#This Row],[Rain?]:[Min SPL Threshold?]]))),1,0)</f>
        <v>0</v>
      </c>
      <c r="DN1017" s="16">
        <f>RecData[[#This Row],[dBA Sum]]</f>
        <v>41.477827440444841</v>
      </c>
      <c r="DO1017" s="16">
        <f>RecData[[#This Row],[LAF90.0]]</f>
        <v>40.9</v>
      </c>
      <c r="DP1017" s="55">
        <f>IF(AND(RecData[[#This Row],[Useable TON Data?]],RecData[[#This Row],[Turbines ON/OFF]]="ON"),RecData[[#This Row],[dBA Sum]],"")</f>
        <v>41.477827440444841</v>
      </c>
      <c r="DQ1017" s="55" t="str">
        <f>IF(AND(RecData[[#This Row],[Useable Background Data?]],RecData[[#This Row],[Turbines ON/OFF]]="OFF"),RecData[[#This Row],[dBA Sum]],"")</f>
        <v/>
      </c>
      <c r="DR1017" s="3">
        <f>IF(OR(RecData[[#This Row],[Useable TON Data?]],RecData[[#This Row],[Useable Background Data?]]),ROUND(RecData[[#This Row],[WSpd_Avg '[m/s']]],0),"")</f>
        <v>1</v>
      </c>
      <c r="DS1017" s="85">
        <f>(0.00002)^2*(10^(RecData[[#This Row],[Overall (dBA)]]/10))</f>
        <v>5.6213772972091775E-6</v>
      </c>
    </row>
    <row r="1018" spans="1:123" ht="15" x14ac:dyDescent="0.25">
      <c r="A1018" s="3" t="s">
        <v>249</v>
      </c>
      <c r="B1018" s="12">
        <v>43275.099305555559</v>
      </c>
      <c r="C1018" s="3"/>
      <c r="D1018" s="3">
        <v>41.8</v>
      </c>
      <c r="E1018" s="3"/>
      <c r="F1018" s="3"/>
      <c r="G1018" s="3"/>
      <c r="H1018" s="3"/>
      <c r="I1018" s="3"/>
      <c r="J1018" s="3"/>
      <c r="K1018" s="3">
        <v>40.9</v>
      </c>
      <c r="L1018" s="3"/>
      <c r="M1018" s="3"/>
      <c r="N1018" s="3">
        <v>172.4</v>
      </c>
      <c r="O1018" s="3"/>
      <c r="P1018" s="3"/>
      <c r="Q1018" s="3">
        <v>0.84</v>
      </c>
      <c r="R1018" s="3">
        <v>0.1</v>
      </c>
      <c r="S1018" s="3">
        <v>2.1</v>
      </c>
      <c r="T1018" s="3">
        <v>12.5</v>
      </c>
      <c r="U1018" s="3">
        <v>70</v>
      </c>
      <c r="V1018" s="3">
        <v>967.2</v>
      </c>
      <c r="W1018" s="3">
        <v>0</v>
      </c>
      <c r="X1018" s="3">
        <v>49.5</v>
      </c>
      <c r="Y1018" s="3">
        <v>48.5</v>
      </c>
      <c r="Z1018" s="3">
        <v>48.3</v>
      </c>
      <c r="AA1018" s="3">
        <v>44.7</v>
      </c>
      <c r="AB1018" s="3">
        <v>39.6</v>
      </c>
      <c r="AC1018" s="3">
        <v>38.1</v>
      </c>
      <c r="AD1018" s="3">
        <v>40</v>
      </c>
      <c r="AE1018" s="3">
        <v>41.9</v>
      </c>
      <c r="AF1018" s="3">
        <v>46.5</v>
      </c>
      <c r="AG1018" s="3">
        <v>40.700000000000003</v>
      </c>
      <c r="AH1018" s="3">
        <v>37.4</v>
      </c>
      <c r="AI1018" s="3">
        <v>37.6</v>
      </c>
      <c r="AJ1018" s="3">
        <v>36.6</v>
      </c>
      <c r="AK1018" s="3">
        <v>35</v>
      </c>
      <c r="AL1018" s="3">
        <v>33.5</v>
      </c>
      <c r="AM1018" s="3">
        <v>33.5</v>
      </c>
      <c r="AN1018" s="3">
        <v>32.5</v>
      </c>
      <c r="AO1018" s="3">
        <v>30.4</v>
      </c>
      <c r="AP1018" s="3">
        <v>29.3</v>
      </c>
      <c r="AQ1018" s="3">
        <v>28.7</v>
      </c>
      <c r="AR1018" s="3">
        <v>28</v>
      </c>
      <c r="AS1018" s="3">
        <v>27.4</v>
      </c>
      <c r="AT1018" s="3">
        <v>26.4</v>
      </c>
      <c r="AU1018" s="3">
        <v>24.4</v>
      </c>
      <c r="AV1018" s="3">
        <v>22.4</v>
      </c>
      <c r="AW1018" s="3">
        <v>20.9</v>
      </c>
      <c r="AX1018" s="3">
        <v>16</v>
      </c>
      <c r="AY1018" s="3">
        <v>13.4</v>
      </c>
      <c r="AZ1018" s="3">
        <v>0</v>
      </c>
      <c r="BA1018" s="3">
        <v>0</v>
      </c>
      <c r="BB1018" s="3">
        <v>0</v>
      </c>
      <c r="BC1018" s="3">
        <v>41.765293888024935</v>
      </c>
      <c r="BD1018" s="3">
        <v>49.534706111975062</v>
      </c>
      <c r="BE1018" s="3">
        <v>48.534706111975062</v>
      </c>
      <c r="BF1018" s="3">
        <v>47.09470611197505</v>
      </c>
      <c r="BG1018" s="3">
        <v>43.821372778641738</v>
      </c>
      <c r="BH1018" s="3">
        <v>38.86137277864173</v>
      </c>
      <c r="BI1018" s="3">
        <v>37.774706111975057</v>
      </c>
      <c r="BJ1018" s="3">
        <v>40.468039445308385</v>
      </c>
      <c r="BK1018" s="3">
        <v>42.241372778641725</v>
      </c>
      <c r="BL1018" s="3">
        <v>46.414706111975072</v>
      </c>
      <c r="BM1018" s="3">
        <v>40.7480394453084</v>
      </c>
      <c r="BN1018" s="3">
        <v>37.731372778641735</v>
      </c>
      <c r="BO1018" s="3">
        <v>37.298039445308397</v>
      </c>
      <c r="BP1018" s="3">
        <v>36.014706111975066</v>
      </c>
      <c r="BQ1018" s="3">
        <v>34.831372778641729</v>
      </c>
      <c r="BR1018" s="3">
        <v>33.658039445308397</v>
      </c>
      <c r="BS1018" s="3">
        <v>33.461372778641724</v>
      </c>
      <c r="BT1018" s="3">
        <v>32.658039445308397</v>
      </c>
      <c r="BU1018" s="3">
        <v>30.524706111975057</v>
      </c>
      <c r="BV1018" s="3">
        <v>29.141372778641731</v>
      </c>
      <c r="BW1018" s="3">
        <v>29.074706111975068</v>
      </c>
      <c r="BX1018" s="3">
        <v>28.294706111975067</v>
      </c>
      <c r="BY1018" s="3">
        <v>27.514706111975066</v>
      </c>
      <c r="BZ1018" s="3">
        <v>26.644706111975061</v>
      </c>
      <c r="CA1018" s="3">
        <v>24.744706111975056</v>
      </c>
      <c r="CB1018" s="3">
        <v>22.181372778641723</v>
      </c>
      <c r="CC1018" s="3">
        <v>20.894706111975061</v>
      </c>
      <c r="CD1018" s="3">
        <v>15.301372778641735</v>
      </c>
      <c r="CE1018" s="3">
        <v>12.894706111975061</v>
      </c>
      <c r="CF1018" s="3">
        <v>-0.8919605546916074</v>
      </c>
      <c r="CG1018" s="3">
        <v>-1.4252938880249388</v>
      </c>
      <c r="CH1018" s="3">
        <v>-2.5019605546916068</v>
      </c>
      <c r="CI1018" s="13">
        <f>[1]!dbasum(RecData[[#This Row],[20]:[2000]],RecData[[#Headers],[20]:[2000]])</f>
        <v>41.153204385797373</v>
      </c>
      <c r="CJ1018" s="14">
        <v>10440</v>
      </c>
      <c r="CK1018" s="15" t="s">
        <v>249</v>
      </c>
      <c r="CL1018" s="15">
        <f>RecData[[#This Row],[Start Time]]</f>
        <v>43275.099305555559</v>
      </c>
      <c r="CM1018" s="16">
        <f>RecData[[#This Row],[Wind Speed avg]]</f>
        <v>0.84</v>
      </c>
      <c r="CN1018" s="16">
        <f>RecData[[#This Row],[Wind Dir. avg]]</f>
        <v>172.4</v>
      </c>
      <c r="CO1018" s="16">
        <f>RecData[[#This Row],[Amb. Humidity]]</f>
        <v>70</v>
      </c>
      <c r="CP1018" s="16">
        <f>RecData[[#This Row],[Amb. Temperature]]</f>
        <v>12.5</v>
      </c>
      <c r="CQ1018" s="17">
        <f>RecData[[#This Row],[Amb. Rain Gauge]]</f>
        <v>0</v>
      </c>
      <c r="CR1018" s="4" t="s">
        <v>1</v>
      </c>
      <c r="CS1018" s="4" t="s">
        <v>49</v>
      </c>
      <c r="CT1018" s="70">
        <v>1614.37646484375</v>
      </c>
      <c r="CU1018" s="70">
        <v>33.000278472900298</v>
      </c>
      <c r="CV1018" s="70">
        <v>11.926109313964799</v>
      </c>
      <c r="CW1018" s="70">
        <v>15.244936943054199</v>
      </c>
      <c r="CX1018" s="4"/>
      <c r="CY1018" s="69"/>
      <c r="CZ1018" s="2" t="b">
        <f>IF($DP$1="YES",IF(RecData[[#This Row],[Power (kW)]]&gt;=$CR$3, TRUE,FALSE),TRUE)</f>
        <v>1</v>
      </c>
      <c r="DA1018" s="16">
        <f>MIN(MOD(180-ABS(ABS($DA$1-RecData[Yaw Angle (°)])-180),360),MOD(180-ABS(ABS($DB$1-RecData[Yaw Angle (°)])-180),360))</f>
        <v>25.470351695212742</v>
      </c>
      <c r="DB1018" s="2" t="str">
        <f>IF($DP$2="None","None",IF(RecData[[#This Row],[Relative Wind Direction]]&lt;=45,"DW",IF(RecData[[#This Row],[Relative Wind Direction]]&lt;=135,"CW","UW")))</f>
        <v>DW</v>
      </c>
      <c r="DC1018" s="61" t="e">
        <f>IF($CL1018-$CL1015&gt;1/24,#REF!,IF(SUM($CQ1015:$CQ1018)&gt;$DS$1,$DS$5,#REF!-1))</f>
        <v>#REF!</v>
      </c>
      <c r="DD1018" s="61" t="e">
        <f>IF(#REF!-$CL1018&gt;1/24,#REF!,IF(SUM($CQ1015:$CQ1018)&gt;$DS$1,$DS$6,DD1017-1))</f>
        <v>#REF!</v>
      </c>
      <c r="DE1018" s="18" t="b">
        <v>0</v>
      </c>
      <c r="DF1018" s="2" t="b">
        <f>IF(OR(RecData[[#This Row],[WSpd_Avg '[m/s']]]-RecData[[#This Row],[Wind Speed min]]&gt;=$DF$3,RecData[[#This Row],[Wind Speed max]]-RecData[[#This Row],[WSpd_Avg '[m/s']]]&gt;=$DF$2),TRUE,FALSE)</f>
        <v>0</v>
      </c>
      <c r="DG1018" s="2" t="b">
        <f>RecData[[#This Row],[Temperature '[°C']]]&lt;=-20</f>
        <v>0</v>
      </c>
      <c r="DH1018" s="18" t="b">
        <f>NOT(OR(MOD(RecData[[#This Row],[TIMESTAMP]],1)&gt;0.91632,MOD(RecData[[#This Row],[TIMESTAMP]],1)&lt;0.208681))</f>
        <v>0</v>
      </c>
      <c r="DI1018" s="18" t="b">
        <f>RecData[[#This Row],[Overall (dBA)]]-RecData[[#This Row],[L90]]&gt;=$DS$4</f>
        <v>0</v>
      </c>
      <c r="DJ1018" s="18" t="b">
        <f>RecData[[#This Row],[Overall (dBA)]]&gt;$DS$2</f>
        <v>0</v>
      </c>
      <c r="DK1018" s="18" t="b">
        <f>RecData[[#This Row],[Overall (dBA)]]&lt;$DS$3</f>
        <v>0</v>
      </c>
      <c r="DL10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8" s="2">
        <f>IF(AND(RecData[[#This Row],[Turbines ON/OFF]] = "OFF", NOT(OR(RecData[[#This Row],[Junk?]]="YES",RecData[[#This Row],[Gust?]],RecData[[#This Row],[Rain?]:[Min SPL Threshold?]]))),1,0)</f>
        <v>0</v>
      </c>
      <c r="DN1018" s="16">
        <f>RecData[[#This Row],[dBA Sum]]</f>
        <v>41.153204385797373</v>
      </c>
      <c r="DO1018" s="16">
        <f>RecData[[#This Row],[LAF90.0]]</f>
        <v>40.9</v>
      </c>
      <c r="DP1018" s="55">
        <f>IF(AND(RecData[[#This Row],[Useable TON Data?]],RecData[[#This Row],[Turbines ON/OFF]]="ON"),RecData[[#This Row],[dBA Sum]],"")</f>
        <v>41.153204385797373</v>
      </c>
      <c r="DQ1018" s="55" t="str">
        <f>IF(AND(RecData[[#This Row],[Useable Background Data?]],RecData[[#This Row],[Turbines ON/OFF]]="OFF"),RecData[[#This Row],[dBA Sum]],"")</f>
        <v/>
      </c>
      <c r="DR1018" s="3">
        <f>IF(OR(RecData[[#This Row],[Useable TON Data?]],RecData[[#This Row],[Useable Background Data?]]),ROUND(RecData[[#This Row],[WSpd_Avg '[m/s']]],0),"")</f>
        <v>1</v>
      </c>
      <c r="DS1018" s="85">
        <f>(0.00002)^2*(10^(RecData[[#This Row],[Overall (dBA)]]/10))</f>
        <v>5.2165146322260414E-6</v>
      </c>
    </row>
    <row r="1019" spans="1:123" ht="15" x14ac:dyDescent="0.25">
      <c r="A1019" s="3" t="s">
        <v>249</v>
      </c>
      <c r="B1019" s="12">
        <v>43275.111111111117</v>
      </c>
      <c r="C1019" s="3"/>
      <c r="D1019" s="3">
        <v>44.8</v>
      </c>
      <c r="E1019" s="3"/>
      <c r="F1019" s="3"/>
      <c r="G1019" s="3"/>
      <c r="H1019" s="3"/>
      <c r="I1019" s="3"/>
      <c r="J1019" s="3"/>
      <c r="K1019" s="3">
        <v>43.1</v>
      </c>
      <c r="L1019" s="3"/>
      <c r="M1019" s="3"/>
      <c r="N1019" s="3">
        <v>156.30000000000001</v>
      </c>
      <c r="O1019" s="3"/>
      <c r="P1019" s="3"/>
      <c r="Q1019" s="3">
        <v>3.02</v>
      </c>
      <c r="R1019" s="3">
        <v>1.7</v>
      </c>
      <c r="S1019" s="3">
        <v>4.2</v>
      </c>
      <c r="T1019" s="3">
        <v>12.1</v>
      </c>
      <c r="U1019" s="3">
        <v>71.099999999999994</v>
      </c>
      <c r="V1019" s="3">
        <v>967.3</v>
      </c>
      <c r="W1019" s="3">
        <v>0</v>
      </c>
      <c r="X1019" s="3">
        <v>49.2</v>
      </c>
      <c r="Y1019" s="3">
        <v>47.3</v>
      </c>
      <c r="Z1019" s="3">
        <v>46.2</v>
      </c>
      <c r="AA1019" s="3">
        <v>43.3</v>
      </c>
      <c r="AB1019" s="3">
        <v>38.200000000000003</v>
      </c>
      <c r="AC1019" s="3">
        <v>38.299999999999997</v>
      </c>
      <c r="AD1019" s="3">
        <v>41.4</v>
      </c>
      <c r="AE1019" s="3">
        <v>42.3</v>
      </c>
      <c r="AF1019" s="3">
        <v>45.9</v>
      </c>
      <c r="AG1019" s="3">
        <v>39.5</v>
      </c>
      <c r="AH1019" s="3">
        <v>38.4</v>
      </c>
      <c r="AI1019" s="3">
        <v>38.299999999999997</v>
      </c>
      <c r="AJ1019" s="3">
        <v>37.4</v>
      </c>
      <c r="AK1019" s="3">
        <v>35.9</v>
      </c>
      <c r="AL1019" s="3">
        <v>34.6</v>
      </c>
      <c r="AM1019" s="3">
        <v>34.5</v>
      </c>
      <c r="AN1019" s="3">
        <v>33.9</v>
      </c>
      <c r="AO1019" s="3">
        <v>32.799999999999997</v>
      </c>
      <c r="AP1019" s="3">
        <v>32.5</v>
      </c>
      <c r="AQ1019" s="3">
        <v>32.6</v>
      </c>
      <c r="AR1019" s="3">
        <v>33.1</v>
      </c>
      <c r="AS1019" s="3">
        <v>33.5</v>
      </c>
      <c r="AT1019" s="3">
        <v>33.5</v>
      </c>
      <c r="AU1019" s="3">
        <v>32.4</v>
      </c>
      <c r="AV1019" s="3">
        <v>30.8</v>
      </c>
      <c r="AW1019" s="3">
        <v>29.2</v>
      </c>
      <c r="AX1019" s="3">
        <v>24.3</v>
      </c>
      <c r="AY1019" s="3">
        <v>22.5</v>
      </c>
      <c r="AZ1019" s="3">
        <v>0</v>
      </c>
      <c r="BA1019" s="3">
        <v>0</v>
      </c>
      <c r="BB1019" s="3">
        <v>0</v>
      </c>
      <c r="BC1019" s="3">
        <v>44.824631855514241</v>
      </c>
      <c r="BD1019" s="3">
        <v>49.175368144485759</v>
      </c>
      <c r="BE1019" s="3">
        <v>47.275368144485753</v>
      </c>
      <c r="BF1019" s="3">
        <v>44.93536814448575</v>
      </c>
      <c r="BG1019" s="3">
        <v>42.362034811152427</v>
      </c>
      <c r="BH1019" s="3">
        <v>37.402034811152419</v>
      </c>
      <c r="BI1019" s="3">
        <v>37.915368144485754</v>
      </c>
      <c r="BJ1019" s="3">
        <v>41.808701477819085</v>
      </c>
      <c r="BK1019" s="3">
        <v>42.582034811152425</v>
      </c>
      <c r="BL1019" s="3">
        <v>45.755368144485757</v>
      </c>
      <c r="BM1019" s="3">
        <v>39.488701477819092</v>
      </c>
      <c r="BN1019" s="3">
        <v>38.672034811152429</v>
      </c>
      <c r="BO1019" s="3">
        <v>37.93870147781908</v>
      </c>
      <c r="BP1019" s="3">
        <v>36.755368144485757</v>
      </c>
      <c r="BQ1019" s="3">
        <v>35.672034811152415</v>
      </c>
      <c r="BR1019" s="3">
        <v>34.6987014778191</v>
      </c>
      <c r="BS1019" s="3">
        <v>34.402034811152419</v>
      </c>
      <c r="BT1019" s="3">
        <v>33.998701477819083</v>
      </c>
      <c r="BU1019" s="3">
        <v>32.865368144485757</v>
      </c>
      <c r="BV1019" s="3">
        <v>32.282034811152414</v>
      </c>
      <c r="BW1019" s="3">
        <v>32.915368144485768</v>
      </c>
      <c r="BX1019" s="3">
        <v>33.335368144485756</v>
      </c>
      <c r="BY1019" s="3">
        <v>33.555368144485755</v>
      </c>
      <c r="BZ1019" s="3">
        <v>33.68536814448575</v>
      </c>
      <c r="CA1019" s="3">
        <v>32.68536814448575</v>
      </c>
      <c r="CB1019" s="3">
        <v>30.522034811152423</v>
      </c>
      <c r="CC1019" s="3">
        <v>29.135368144485753</v>
      </c>
      <c r="CD1019" s="3">
        <v>23.542034811152433</v>
      </c>
      <c r="CE1019" s="3">
        <v>21.93536814448575</v>
      </c>
      <c r="CF1019" s="3">
        <v>-0.95129852218091315</v>
      </c>
      <c r="CG1019" s="3">
        <v>-1.4846318555142446</v>
      </c>
      <c r="CH1019" s="3">
        <v>-2.5612985221809126</v>
      </c>
      <c r="CI1019" s="13">
        <f>[1]!dbasum(RecData[[#This Row],[20]:[2000]],RecData[[#Headers],[20]:[2000]])</f>
        <v>42.963010129065765</v>
      </c>
      <c r="CJ1019" s="14">
        <v>10457</v>
      </c>
      <c r="CK1019" s="15" t="s">
        <v>249</v>
      </c>
      <c r="CL1019" s="15">
        <f>RecData[[#This Row],[Start Time]]</f>
        <v>43275.111111111117</v>
      </c>
      <c r="CM1019" s="16">
        <f>RecData[[#This Row],[Wind Speed avg]]</f>
        <v>3.02</v>
      </c>
      <c r="CN1019" s="16">
        <f>RecData[[#This Row],[Wind Dir. avg]]</f>
        <v>156.30000000000001</v>
      </c>
      <c r="CO1019" s="16">
        <f>RecData[[#This Row],[Amb. Humidity]]</f>
        <v>71.099999999999994</v>
      </c>
      <c r="CP1019" s="16">
        <f>RecData[[#This Row],[Amb. Temperature]]</f>
        <v>12.1</v>
      </c>
      <c r="CQ1019" s="17">
        <f>RecData[[#This Row],[Amb. Rain Gauge]]</f>
        <v>0</v>
      </c>
      <c r="CR1019" s="4" t="s">
        <v>1</v>
      </c>
      <c r="CS1019" s="4" t="s">
        <v>49</v>
      </c>
      <c r="CT1019" s="70">
        <v>1611.73132324218</v>
      </c>
      <c r="CU1019" s="70">
        <v>33.000278472900298</v>
      </c>
      <c r="CV1019" s="70">
        <v>11.2303924560546</v>
      </c>
      <c r="CW1019" s="70">
        <v>15.209071159362701</v>
      </c>
      <c r="CX1019" s="4"/>
      <c r="CY1019" s="69"/>
      <c r="CZ1019" s="2" t="b">
        <f>IF($DP$1="YES",IF(RecData[[#This Row],[Power (kW)]]&gt;=$CR$3, TRUE,FALSE),TRUE)</f>
        <v>1</v>
      </c>
      <c r="DA1019" s="16">
        <f>MIN(MOD(180-ABS(ABS($DA$1-RecData[Yaw Angle (°)])-180),360),MOD(180-ABS(ABS($DB$1-RecData[Yaw Angle (°)])-180),360))</f>
        <v>25.470351695212742</v>
      </c>
      <c r="DB1019" s="2" t="str">
        <f>IF($DP$2="None","None",IF(RecData[[#This Row],[Relative Wind Direction]]&lt;=45,"DW",IF(RecData[[#This Row],[Relative Wind Direction]]&lt;=135,"CW","UW")))</f>
        <v>DW</v>
      </c>
      <c r="DC1019" s="61" t="e">
        <f>IF($CL1019-#REF!&gt;1/24,#REF!,IF(SUM($CQ1019:$CQ1019)&gt;$DS$1,$DS$5,DC1020-1))</f>
        <v>#REF!</v>
      </c>
      <c r="DD1019" s="61" t="e">
        <f>IF($CL1020-$CL1019&gt;1/24,#REF!,IF(SUM($CQ1019:$CQ1019)&gt;$DS$1,$DS$6,#REF!-1))</f>
        <v>#REF!</v>
      </c>
      <c r="DE1019" s="18" t="b">
        <v>0</v>
      </c>
      <c r="DF1019" s="2" t="b">
        <f>IF(OR(RecData[[#This Row],[WSpd_Avg '[m/s']]]-RecData[[#This Row],[Wind Speed min]]&gt;=$DF$3,RecData[[#This Row],[Wind Speed max]]-RecData[[#This Row],[WSpd_Avg '[m/s']]]&gt;=$DF$2),TRUE,FALSE)</f>
        <v>0</v>
      </c>
      <c r="DG1019" s="2" t="b">
        <f>RecData[[#This Row],[Temperature '[°C']]]&lt;=-20</f>
        <v>0</v>
      </c>
      <c r="DH1019" s="18" t="b">
        <f>NOT(OR(MOD(RecData[[#This Row],[TIMESTAMP]],1)&gt;0.91632,MOD(RecData[[#This Row],[TIMESTAMP]],1)&lt;0.208681))</f>
        <v>0</v>
      </c>
      <c r="DI1019" s="18" t="b">
        <f>RecData[[#This Row],[Overall (dBA)]]-RecData[[#This Row],[L90]]&gt;=$DS$4</f>
        <v>0</v>
      </c>
      <c r="DJ1019" s="18" t="b">
        <f>RecData[[#This Row],[Overall (dBA)]]&gt;$DS$2</f>
        <v>0</v>
      </c>
      <c r="DK1019" s="18" t="b">
        <f>RecData[[#This Row],[Overall (dBA)]]&lt;$DS$3</f>
        <v>0</v>
      </c>
      <c r="DL10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19" s="2">
        <f>IF(AND(RecData[[#This Row],[Turbines ON/OFF]] = "OFF", NOT(OR(RecData[[#This Row],[Junk?]]="YES",RecData[[#This Row],[Gust?]],RecData[[#This Row],[Rain?]:[Min SPL Threshold?]]))),1,0)</f>
        <v>0</v>
      </c>
      <c r="DN1019" s="16">
        <f>RecData[[#This Row],[dBA Sum]]</f>
        <v>42.963010129065765</v>
      </c>
      <c r="DO1019" s="16">
        <f>RecData[[#This Row],[LAF90.0]]</f>
        <v>43.1</v>
      </c>
      <c r="DP1019" s="55">
        <f>IF(AND(RecData[[#This Row],[Useable TON Data?]],RecData[[#This Row],[Turbines ON/OFF]]="ON"),RecData[[#This Row],[dBA Sum]],"")</f>
        <v>42.963010129065765</v>
      </c>
      <c r="DQ1019" s="55" t="str">
        <f>IF(AND(RecData[[#This Row],[Useable Background Data?]],RecData[[#This Row],[Turbines ON/OFF]]="OFF"),RecData[[#This Row],[dBA Sum]],"")</f>
        <v/>
      </c>
      <c r="DR1019" s="3">
        <f>IF(OR(RecData[[#This Row],[Useable TON Data?]],RecData[[#This Row],[Useable Background Data?]]),ROUND(RecData[[#This Row],[WSpd_Avg '[m/s']]],0),"")</f>
        <v>3</v>
      </c>
      <c r="DS1019" s="85">
        <f>(0.00002)^2*(10^(RecData[[#This Row],[Overall (dBA)]]/10))</f>
        <v>7.9133614729133932E-6</v>
      </c>
    </row>
    <row r="1020" spans="1:123" ht="15" x14ac:dyDescent="0.25">
      <c r="A1020" s="3" t="s">
        <v>249</v>
      </c>
      <c r="B1020" s="12">
        <v>43275.111805555556</v>
      </c>
      <c r="C1020" s="3"/>
      <c r="D1020" s="3">
        <v>43.4</v>
      </c>
      <c r="E1020" s="3"/>
      <c r="F1020" s="3"/>
      <c r="G1020" s="3"/>
      <c r="H1020" s="3"/>
      <c r="I1020" s="3"/>
      <c r="J1020" s="3"/>
      <c r="K1020" s="3">
        <v>42</v>
      </c>
      <c r="L1020" s="3"/>
      <c r="M1020" s="3"/>
      <c r="N1020" s="3">
        <v>175.5</v>
      </c>
      <c r="O1020" s="3"/>
      <c r="P1020" s="3"/>
      <c r="Q1020" s="3">
        <v>1.3</v>
      </c>
      <c r="R1020" s="3">
        <v>0.3</v>
      </c>
      <c r="S1020" s="3">
        <v>2.4</v>
      </c>
      <c r="T1020" s="3">
        <v>12</v>
      </c>
      <c r="U1020" s="3">
        <v>71.3</v>
      </c>
      <c r="V1020" s="3">
        <v>967.3</v>
      </c>
      <c r="W1020" s="3">
        <v>0</v>
      </c>
      <c r="X1020" s="3">
        <v>47.6</v>
      </c>
      <c r="Y1020" s="3">
        <v>47.3</v>
      </c>
      <c r="Z1020" s="3">
        <v>46.8</v>
      </c>
      <c r="AA1020" s="3">
        <v>42.7</v>
      </c>
      <c r="AB1020" s="3">
        <v>38.1</v>
      </c>
      <c r="AC1020" s="3">
        <v>36.9</v>
      </c>
      <c r="AD1020" s="3">
        <v>39.5</v>
      </c>
      <c r="AE1020" s="3">
        <v>41.3</v>
      </c>
      <c r="AF1020" s="3">
        <v>46.2</v>
      </c>
      <c r="AG1020" s="3">
        <v>40</v>
      </c>
      <c r="AH1020" s="3">
        <v>38</v>
      </c>
      <c r="AI1020" s="3">
        <v>38.299999999999997</v>
      </c>
      <c r="AJ1020" s="3">
        <v>37.299999999999997</v>
      </c>
      <c r="AK1020" s="3">
        <v>35.4</v>
      </c>
      <c r="AL1020" s="3">
        <v>33.700000000000003</v>
      </c>
      <c r="AM1020" s="3">
        <v>33.6</v>
      </c>
      <c r="AN1020" s="3">
        <v>32.799999999999997</v>
      </c>
      <c r="AO1020" s="3">
        <v>31.2</v>
      </c>
      <c r="AP1020" s="3">
        <v>30.7</v>
      </c>
      <c r="AQ1020" s="3">
        <v>30.8</v>
      </c>
      <c r="AR1020" s="3">
        <v>31.3</v>
      </c>
      <c r="AS1020" s="3">
        <v>31.6</v>
      </c>
      <c r="AT1020" s="3">
        <v>31.4</v>
      </c>
      <c r="AU1020" s="3">
        <v>29.9</v>
      </c>
      <c r="AV1020" s="3">
        <v>28.4</v>
      </c>
      <c r="AW1020" s="3">
        <v>26.7</v>
      </c>
      <c r="AX1020" s="3">
        <v>21.6</v>
      </c>
      <c r="AY1020" s="3">
        <v>18.7</v>
      </c>
      <c r="AZ1020" s="3">
        <v>0</v>
      </c>
      <c r="BA1020" s="3">
        <v>0</v>
      </c>
      <c r="BB1020" s="3">
        <v>0</v>
      </c>
      <c r="BC1020" s="3">
        <v>43.414685725378554</v>
      </c>
      <c r="BD1020" s="3">
        <v>47.585314274621446</v>
      </c>
      <c r="BE1020" s="3">
        <v>47.285314274621435</v>
      </c>
      <c r="BF1020" s="3">
        <v>45.54531427462144</v>
      </c>
      <c r="BG1020" s="3">
        <v>41.771980941288113</v>
      </c>
      <c r="BH1020" s="3">
        <v>37.311980941288105</v>
      </c>
      <c r="BI1020" s="3">
        <v>36.525314274621444</v>
      </c>
      <c r="BJ1020" s="3">
        <v>39.918647607954775</v>
      </c>
      <c r="BK1020" s="3">
        <v>41.591980941288107</v>
      </c>
      <c r="BL1020" s="3">
        <v>46.06531427462145</v>
      </c>
      <c r="BM1020" s="3">
        <v>39.998647607954773</v>
      </c>
      <c r="BN1020" s="3">
        <v>38.281980941288104</v>
      </c>
      <c r="BO1020" s="3">
        <v>37.948647607954776</v>
      </c>
      <c r="BP1020" s="3">
        <v>36.665314274621444</v>
      </c>
      <c r="BQ1020" s="3">
        <v>35.18198094128811</v>
      </c>
      <c r="BR1020" s="3">
        <v>33.808647607954775</v>
      </c>
      <c r="BS1020" s="3">
        <v>33.511980941288122</v>
      </c>
      <c r="BT1020" s="3">
        <v>32.908647607954769</v>
      </c>
      <c r="BU1020" s="3">
        <v>31.275314274621444</v>
      </c>
      <c r="BV1020" s="3">
        <v>30.491980941288112</v>
      </c>
      <c r="BW1020" s="3">
        <v>31.125314274621452</v>
      </c>
      <c r="BX1020" s="3">
        <v>31.545314274621454</v>
      </c>
      <c r="BY1020" s="3">
        <v>31.665314274621444</v>
      </c>
      <c r="BZ1020" s="3">
        <v>31.595314274621451</v>
      </c>
      <c r="CA1020" s="3">
        <v>30.195314274621431</v>
      </c>
      <c r="CB1020" s="3">
        <v>28.131980941288113</v>
      </c>
      <c r="CC1020" s="3">
        <v>26.645314274621448</v>
      </c>
      <c r="CD1020" s="3">
        <v>20.851980941288112</v>
      </c>
      <c r="CE1020" s="3">
        <v>18.145314274621441</v>
      </c>
      <c r="CF1020" s="3">
        <v>-0.94135239204522492</v>
      </c>
      <c r="CG1020" s="3">
        <v>-1.4746857253785564</v>
      </c>
      <c r="CH1020" s="3">
        <v>-2.5513523920452243</v>
      </c>
      <c r="CI1020" s="13">
        <f>[1]!dbasum(RecData[[#This Row],[20]:[2000]],RecData[[#Headers],[20]:[2000]])</f>
        <v>41.913319379831634</v>
      </c>
      <c r="CJ1020" s="14">
        <v>10458</v>
      </c>
      <c r="CK1020" s="15" t="s">
        <v>249</v>
      </c>
      <c r="CL1020" s="15">
        <f>RecData[[#This Row],[Start Time]]</f>
        <v>43275.111805555556</v>
      </c>
      <c r="CM1020" s="16">
        <f>RecData[[#This Row],[Wind Speed avg]]</f>
        <v>1.3</v>
      </c>
      <c r="CN1020" s="16">
        <f>RecData[[#This Row],[Wind Dir. avg]]</f>
        <v>175.5</v>
      </c>
      <c r="CO1020" s="16">
        <f>RecData[[#This Row],[Amb. Humidity]]</f>
        <v>71.3</v>
      </c>
      <c r="CP1020" s="16">
        <f>RecData[[#This Row],[Amb. Temperature]]</f>
        <v>12</v>
      </c>
      <c r="CQ1020" s="17">
        <f>RecData[[#This Row],[Amb. Rain Gauge]]</f>
        <v>0</v>
      </c>
      <c r="CR1020" s="4" t="s">
        <v>1</v>
      </c>
      <c r="CS1020" s="4" t="s">
        <v>49</v>
      </c>
      <c r="CT1020" s="70">
        <v>1616.63098144531</v>
      </c>
      <c r="CU1020" s="70">
        <v>33.000278472900298</v>
      </c>
      <c r="CV1020" s="70">
        <v>12.022665977478001</v>
      </c>
      <c r="CW1020" s="70">
        <v>15.2952718734741</v>
      </c>
      <c r="CX1020" s="4"/>
      <c r="CY1020" s="69"/>
      <c r="CZ1020" s="2" t="b">
        <f>IF($DP$1="YES",IF(RecData[[#This Row],[Power (kW)]]&gt;=$CR$3, TRUE,FALSE),TRUE)</f>
        <v>1</v>
      </c>
      <c r="DA1020" s="16">
        <f>MIN(MOD(180-ABS(ABS($DA$1-RecData[Yaw Angle (°)])-180),360),MOD(180-ABS(ABS($DB$1-RecData[Yaw Angle (°)])-180),360))</f>
        <v>25.470351695212742</v>
      </c>
      <c r="DB1020" s="2" t="str">
        <f>IF($DP$2="None","None",IF(RecData[[#This Row],[Relative Wind Direction]]&lt;=45,"DW",IF(RecData[[#This Row],[Relative Wind Direction]]&lt;=135,"CW","UW")))</f>
        <v>DW</v>
      </c>
      <c r="DC1020" s="61" t="e">
        <f>IF($CL1020-#REF!&gt;1/24,#REF!,IF(SUM($CQ1019:$CQ1020)&gt;$DS$1,$DS$5,DC1021-1))</f>
        <v>#REF!</v>
      </c>
      <c r="DD1020" s="61" t="e">
        <f>IF($CL1021-$CL1020&gt;1/24,#REF!,IF(SUM($CQ1019:$CQ1020)&gt;$DS$1,$DS$6,DD1019-1))</f>
        <v>#REF!</v>
      </c>
      <c r="DE1020" s="18" t="b">
        <v>0</v>
      </c>
      <c r="DF1020" s="2" t="b">
        <f>IF(OR(RecData[[#This Row],[WSpd_Avg '[m/s']]]-RecData[[#This Row],[Wind Speed min]]&gt;=$DF$3,RecData[[#This Row],[Wind Speed max]]-RecData[[#This Row],[WSpd_Avg '[m/s']]]&gt;=$DF$2),TRUE,FALSE)</f>
        <v>0</v>
      </c>
      <c r="DG1020" s="2" t="b">
        <f>RecData[[#This Row],[Temperature '[°C']]]&lt;=-20</f>
        <v>0</v>
      </c>
      <c r="DH1020" s="18" t="b">
        <f>NOT(OR(MOD(RecData[[#This Row],[TIMESTAMP]],1)&gt;0.91632,MOD(RecData[[#This Row],[TIMESTAMP]],1)&lt;0.208681))</f>
        <v>0</v>
      </c>
      <c r="DI1020" s="18" t="b">
        <f>RecData[[#This Row],[Overall (dBA)]]-RecData[[#This Row],[L90]]&gt;=$DS$4</f>
        <v>0</v>
      </c>
      <c r="DJ1020" s="18" t="b">
        <f>RecData[[#This Row],[Overall (dBA)]]&gt;$DS$2</f>
        <v>0</v>
      </c>
      <c r="DK1020" s="18" t="b">
        <f>RecData[[#This Row],[Overall (dBA)]]&lt;$DS$3</f>
        <v>0</v>
      </c>
      <c r="DL10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0" s="2">
        <f>IF(AND(RecData[[#This Row],[Turbines ON/OFF]] = "OFF", NOT(OR(RecData[[#This Row],[Junk?]]="YES",RecData[[#This Row],[Gust?]],RecData[[#This Row],[Rain?]:[Min SPL Threshold?]]))),1,0)</f>
        <v>0</v>
      </c>
      <c r="DN1020" s="16">
        <f>RecData[[#This Row],[dBA Sum]]</f>
        <v>41.913319379831634</v>
      </c>
      <c r="DO1020" s="16">
        <f>RecData[[#This Row],[LAF90.0]]</f>
        <v>42</v>
      </c>
      <c r="DP1020" s="55">
        <f>IF(AND(RecData[[#This Row],[Useable TON Data?]],RecData[[#This Row],[Turbines ON/OFF]]="ON"),RecData[[#This Row],[dBA Sum]],"")</f>
        <v>41.913319379831634</v>
      </c>
      <c r="DQ1020" s="55" t="str">
        <f>IF(AND(RecData[[#This Row],[Useable Background Data?]],RecData[[#This Row],[Turbines ON/OFF]]="OFF"),RecData[[#This Row],[dBA Sum]],"")</f>
        <v/>
      </c>
      <c r="DR1020" s="3">
        <f>IF(OR(RecData[[#This Row],[Useable TON Data?]],RecData[[#This Row],[Useable Background Data?]]),ROUND(RecData[[#This Row],[WSpd_Avg '[m/s']]],0),"")</f>
        <v>1</v>
      </c>
      <c r="DS1020" s="85">
        <f>(0.00002)^2*(10^(RecData[[#This Row],[Overall (dBA)]]/10))</f>
        <v>6.2142959075512512E-6</v>
      </c>
    </row>
    <row r="1021" spans="1:123" ht="15" x14ac:dyDescent="0.25">
      <c r="A1021" s="3" t="s">
        <v>249</v>
      </c>
      <c r="B1021" s="12">
        <v>43275.112500000003</v>
      </c>
      <c r="C1021" s="3"/>
      <c r="D1021" s="3">
        <v>44.3</v>
      </c>
      <c r="E1021" s="3"/>
      <c r="F1021" s="3"/>
      <c r="G1021" s="3"/>
      <c r="H1021" s="3"/>
      <c r="I1021" s="3"/>
      <c r="J1021" s="3"/>
      <c r="K1021" s="3">
        <v>42.3</v>
      </c>
      <c r="L1021" s="3"/>
      <c r="M1021" s="3"/>
      <c r="N1021" s="3">
        <v>171.4</v>
      </c>
      <c r="O1021" s="3"/>
      <c r="P1021" s="3"/>
      <c r="Q1021" s="3">
        <v>3.12</v>
      </c>
      <c r="R1021" s="3">
        <v>1.9</v>
      </c>
      <c r="S1021" s="3">
        <v>4.5</v>
      </c>
      <c r="T1021" s="3">
        <v>12</v>
      </c>
      <c r="U1021" s="3">
        <v>71.5</v>
      </c>
      <c r="V1021" s="3">
        <v>967.3</v>
      </c>
      <c r="W1021" s="3">
        <v>0</v>
      </c>
      <c r="X1021" s="3">
        <v>47.9</v>
      </c>
      <c r="Y1021" s="3">
        <v>47.8</v>
      </c>
      <c r="Z1021" s="3">
        <v>48.6</v>
      </c>
      <c r="AA1021" s="3">
        <v>45</v>
      </c>
      <c r="AB1021" s="3">
        <v>39.200000000000003</v>
      </c>
      <c r="AC1021" s="3">
        <v>37</v>
      </c>
      <c r="AD1021" s="3">
        <v>39.299999999999997</v>
      </c>
      <c r="AE1021" s="3">
        <v>41</v>
      </c>
      <c r="AF1021" s="3">
        <v>45.3</v>
      </c>
      <c r="AG1021" s="3">
        <v>40.200000000000003</v>
      </c>
      <c r="AH1021" s="3">
        <v>37.9</v>
      </c>
      <c r="AI1021" s="3">
        <v>38.299999999999997</v>
      </c>
      <c r="AJ1021" s="3">
        <v>37.1</v>
      </c>
      <c r="AK1021" s="3">
        <v>35.799999999999997</v>
      </c>
      <c r="AL1021" s="3">
        <v>34.5</v>
      </c>
      <c r="AM1021" s="3">
        <v>34.4</v>
      </c>
      <c r="AN1021" s="3">
        <v>33.700000000000003</v>
      </c>
      <c r="AO1021" s="3">
        <v>32.1</v>
      </c>
      <c r="AP1021" s="3">
        <v>31.5</v>
      </c>
      <c r="AQ1021" s="3">
        <v>31.6</v>
      </c>
      <c r="AR1021" s="3">
        <v>32.1</v>
      </c>
      <c r="AS1021" s="3">
        <v>32.700000000000003</v>
      </c>
      <c r="AT1021" s="3">
        <v>32.799999999999997</v>
      </c>
      <c r="AU1021" s="3">
        <v>31.6</v>
      </c>
      <c r="AV1021" s="3">
        <v>30.1</v>
      </c>
      <c r="AW1021" s="3">
        <v>28.8</v>
      </c>
      <c r="AX1021" s="3">
        <v>23.9</v>
      </c>
      <c r="AY1021" s="3">
        <v>22</v>
      </c>
      <c r="AZ1021" s="3">
        <v>0</v>
      </c>
      <c r="BA1021" s="3">
        <v>0</v>
      </c>
      <c r="BB1021" s="3">
        <v>0</v>
      </c>
      <c r="BC1021" s="3">
        <v>44.24470815429359</v>
      </c>
      <c r="BD1021" s="3">
        <v>47.955291845706398</v>
      </c>
      <c r="BE1021" s="3">
        <v>47.855291845706404</v>
      </c>
      <c r="BF1021" s="3">
        <v>47.415291845706406</v>
      </c>
      <c r="BG1021" s="3">
        <v>44.141958512373066</v>
      </c>
      <c r="BH1021" s="3">
        <v>38.481958512373069</v>
      </c>
      <c r="BI1021" s="3">
        <v>36.695291845706407</v>
      </c>
      <c r="BJ1021" s="3">
        <v>39.788625179039741</v>
      </c>
      <c r="BK1021" s="3">
        <v>41.361958512373064</v>
      </c>
      <c r="BL1021" s="3">
        <v>45.235291845706399</v>
      </c>
      <c r="BM1021" s="3">
        <v>40.268625179039745</v>
      </c>
      <c r="BN1021" s="3">
        <v>38.251958512373079</v>
      </c>
      <c r="BO1021" s="3">
        <v>38.018625179039731</v>
      </c>
      <c r="BP1021" s="3">
        <v>36.535291845706411</v>
      </c>
      <c r="BQ1021" s="3">
        <v>35.651958512373056</v>
      </c>
      <c r="BR1021" s="3">
        <v>34.678625179039742</v>
      </c>
      <c r="BS1021" s="3">
        <v>34.381958512373075</v>
      </c>
      <c r="BT1021" s="3">
        <v>33.878625179039744</v>
      </c>
      <c r="BU1021" s="3">
        <v>32.245291845706419</v>
      </c>
      <c r="BV1021" s="3">
        <v>31.361958512373079</v>
      </c>
      <c r="BW1021" s="3">
        <v>31.995291845706419</v>
      </c>
      <c r="BX1021" s="3">
        <v>32.415291845706406</v>
      </c>
      <c r="BY1021" s="3">
        <v>32.835291845706408</v>
      </c>
      <c r="BZ1021" s="3">
        <v>33.065291845706412</v>
      </c>
      <c r="CA1021" s="3">
        <v>31.965291845706403</v>
      </c>
      <c r="CB1021" s="3">
        <v>29.901958512373071</v>
      </c>
      <c r="CC1021" s="3">
        <v>28.815291845706412</v>
      </c>
      <c r="CD1021" s="3">
        <v>23.221958512373078</v>
      </c>
      <c r="CE1021" s="3">
        <v>21.5152918457064</v>
      </c>
      <c r="CF1021" s="3">
        <v>-0.87137482096026275</v>
      </c>
      <c r="CG1021" s="3">
        <v>-1.4047081542935942</v>
      </c>
      <c r="CH1021" s="3">
        <v>-2.4813748209602622</v>
      </c>
      <c r="CI1021" s="13">
        <f>[1]!dbasum(RecData[[#This Row],[20]:[2000]],RecData[[#Headers],[20]:[2000]])</f>
        <v>42.522840889604659</v>
      </c>
      <c r="CJ1021" s="14">
        <v>10459</v>
      </c>
      <c r="CK1021" s="15" t="s">
        <v>249</v>
      </c>
      <c r="CL1021" s="15">
        <f>RecData[[#This Row],[Start Time]]</f>
        <v>43275.112500000003</v>
      </c>
      <c r="CM1021" s="16">
        <f>RecData[[#This Row],[Wind Speed avg]]</f>
        <v>3.12</v>
      </c>
      <c r="CN1021" s="16">
        <f>RecData[[#This Row],[Wind Dir. avg]]</f>
        <v>171.4</v>
      </c>
      <c r="CO1021" s="16">
        <f>RecData[[#This Row],[Amb. Humidity]]</f>
        <v>71.5</v>
      </c>
      <c r="CP1021" s="16">
        <f>RecData[[#This Row],[Amb. Temperature]]</f>
        <v>12</v>
      </c>
      <c r="CQ1021" s="17">
        <f>RecData[[#This Row],[Amb. Rain Gauge]]</f>
        <v>0</v>
      </c>
      <c r="CR1021" s="4" t="s">
        <v>1</v>
      </c>
      <c r="CS1021" s="4" t="s">
        <v>49</v>
      </c>
      <c r="CT1021" s="70">
        <v>1616.63098144531</v>
      </c>
      <c r="CU1021" s="70">
        <v>33.000278472900298</v>
      </c>
      <c r="CV1021" s="70">
        <v>12.022665977478001</v>
      </c>
      <c r="CW1021" s="70">
        <v>15.2952718734741</v>
      </c>
      <c r="CX1021" s="4"/>
      <c r="CY1021" s="69"/>
      <c r="CZ1021" s="2" t="b">
        <f>IF($DP$1="YES",IF(RecData[[#This Row],[Power (kW)]]&gt;=$CR$3, TRUE,FALSE),TRUE)</f>
        <v>1</v>
      </c>
      <c r="DA1021" s="16">
        <f>MIN(MOD(180-ABS(ABS($DA$1-RecData[Yaw Angle (°)])-180),360),MOD(180-ABS(ABS($DB$1-RecData[Yaw Angle (°)])-180),360))</f>
        <v>25.470351695212742</v>
      </c>
      <c r="DB1021" s="2" t="str">
        <f>IF($DP$2="None","None",IF(RecData[[#This Row],[Relative Wind Direction]]&lt;=45,"DW",IF(RecData[[#This Row],[Relative Wind Direction]]&lt;=135,"CW","UW")))</f>
        <v>DW</v>
      </c>
      <c r="DC1021" s="61">
        <v>-1</v>
      </c>
      <c r="DD1021" s="61">
        <v>-1</v>
      </c>
      <c r="DE1021" s="18" t="b">
        <v>0</v>
      </c>
      <c r="DF1021" s="2" t="b">
        <f>IF(OR(RecData[[#This Row],[WSpd_Avg '[m/s']]]-RecData[[#This Row],[Wind Speed min]]&gt;=$DF$3,RecData[[#This Row],[Wind Speed max]]-RecData[[#This Row],[WSpd_Avg '[m/s']]]&gt;=$DF$2),TRUE,FALSE)</f>
        <v>0</v>
      </c>
      <c r="DG1021" s="2" t="b">
        <f>RecData[[#This Row],[Temperature '[°C']]]&lt;=-20</f>
        <v>0</v>
      </c>
      <c r="DH1021" s="18" t="b">
        <f>NOT(OR(MOD(RecData[[#This Row],[TIMESTAMP]],1)&gt;0.91632,MOD(RecData[[#This Row],[TIMESTAMP]],1)&lt;0.208681))</f>
        <v>0</v>
      </c>
      <c r="DI1021" s="18" t="b">
        <f>RecData[[#This Row],[Overall (dBA)]]-RecData[[#This Row],[L90]]&gt;=$DS$4</f>
        <v>0</v>
      </c>
      <c r="DJ1021" s="18" t="b">
        <f>RecData[[#This Row],[Overall (dBA)]]&gt;$DS$2</f>
        <v>0</v>
      </c>
      <c r="DK1021" s="18" t="b">
        <f>RecData[[#This Row],[Overall (dBA)]]&lt;$DS$3</f>
        <v>0</v>
      </c>
      <c r="DL10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1" s="2">
        <f>IF(AND(RecData[[#This Row],[Turbines ON/OFF]] = "OFF", NOT(OR(RecData[[#This Row],[Junk?]]="YES",RecData[[#This Row],[Gust?]],RecData[[#This Row],[Rain?]:[Min SPL Threshold?]]))),1,0)</f>
        <v>0</v>
      </c>
      <c r="DN1021" s="16">
        <f>RecData[[#This Row],[dBA Sum]]</f>
        <v>42.522840889604659</v>
      </c>
      <c r="DO1021" s="16">
        <f>RecData[[#This Row],[LAF90.0]]</f>
        <v>42.3</v>
      </c>
      <c r="DP1021" s="55">
        <f>IF(AND(RecData[[#This Row],[Useable TON Data?]],RecData[[#This Row],[Turbines ON/OFF]]="ON"),RecData[[#This Row],[dBA Sum]],"")</f>
        <v>42.522840889604659</v>
      </c>
      <c r="DQ1021" s="55" t="str">
        <f>IF(AND(RecData[[#This Row],[Useable Background Data?]],RecData[[#This Row],[Turbines ON/OFF]]="OFF"),RecData[[#This Row],[dBA Sum]],"")</f>
        <v/>
      </c>
      <c r="DR1021" s="3">
        <f>IF(OR(RecData[[#This Row],[Useable TON Data?]],RecData[[#This Row],[Useable Background Data?]]),ROUND(RecData[[#This Row],[WSpd_Avg '[m/s']]],0),"")</f>
        <v>3</v>
      </c>
      <c r="DS1021" s="85">
        <f>(0.00002)^2*(10^(RecData[[#This Row],[Overall (dBA)]]/10))</f>
        <v>7.150626273431851E-6</v>
      </c>
    </row>
    <row r="1022" spans="1:123" ht="15" x14ac:dyDescent="0.25">
      <c r="A1022" s="3" t="s">
        <v>249</v>
      </c>
      <c r="B1022" s="12">
        <v>43275.113888888889</v>
      </c>
      <c r="C1022" s="3"/>
      <c r="D1022" s="3">
        <v>41.3</v>
      </c>
      <c r="E1022" s="3"/>
      <c r="F1022" s="3"/>
      <c r="G1022" s="3"/>
      <c r="H1022" s="3"/>
      <c r="I1022" s="3"/>
      <c r="J1022" s="3"/>
      <c r="K1022" s="3">
        <v>38.9</v>
      </c>
      <c r="L1022" s="3"/>
      <c r="M1022" s="3"/>
      <c r="N1022" s="3">
        <v>187</v>
      </c>
      <c r="O1022" s="3"/>
      <c r="P1022" s="3"/>
      <c r="Q1022" s="3">
        <v>1.48</v>
      </c>
      <c r="R1022" s="3">
        <v>0.5</v>
      </c>
      <c r="S1022" s="3">
        <v>2.5</v>
      </c>
      <c r="T1022" s="3">
        <v>12</v>
      </c>
      <c r="U1022" s="3">
        <v>71.7</v>
      </c>
      <c r="V1022" s="3">
        <v>967.3</v>
      </c>
      <c r="W1022" s="3">
        <v>0</v>
      </c>
      <c r="X1022" s="3">
        <v>47.4</v>
      </c>
      <c r="Y1022" s="3">
        <v>47.4</v>
      </c>
      <c r="Z1022" s="3">
        <v>47</v>
      </c>
      <c r="AA1022" s="3">
        <v>43.2</v>
      </c>
      <c r="AB1022" s="3">
        <v>37.799999999999997</v>
      </c>
      <c r="AC1022" s="3">
        <v>36.9</v>
      </c>
      <c r="AD1022" s="3">
        <v>39.1</v>
      </c>
      <c r="AE1022" s="3">
        <v>40.799999999999997</v>
      </c>
      <c r="AF1022" s="3">
        <v>45.5</v>
      </c>
      <c r="AG1022" s="3">
        <v>39.4</v>
      </c>
      <c r="AH1022" s="3">
        <v>36.9</v>
      </c>
      <c r="AI1022" s="3">
        <v>36.700000000000003</v>
      </c>
      <c r="AJ1022" s="3">
        <v>35.799999999999997</v>
      </c>
      <c r="AK1022" s="3">
        <v>34.200000000000003</v>
      </c>
      <c r="AL1022" s="3">
        <v>32.799999999999997</v>
      </c>
      <c r="AM1022" s="3">
        <v>32.799999999999997</v>
      </c>
      <c r="AN1022" s="3">
        <v>31.7</v>
      </c>
      <c r="AO1022" s="3">
        <v>29.7</v>
      </c>
      <c r="AP1022" s="3">
        <v>28.6</v>
      </c>
      <c r="AQ1022" s="3">
        <v>27.9</v>
      </c>
      <c r="AR1022" s="3">
        <v>27.7</v>
      </c>
      <c r="AS1022" s="3">
        <v>27.7</v>
      </c>
      <c r="AT1022" s="3">
        <v>27.5</v>
      </c>
      <c r="AU1022" s="3">
        <v>26.3</v>
      </c>
      <c r="AV1022" s="3">
        <v>24.6</v>
      </c>
      <c r="AW1022" s="3">
        <v>22.9</v>
      </c>
      <c r="AX1022" s="3">
        <v>18.600000000000001</v>
      </c>
      <c r="AY1022" s="3">
        <v>16.8</v>
      </c>
      <c r="AZ1022" s="3">
        <v>0</v>
      </c>
      <c r="BA1022" s="3">
        <v>0</v>
      </c>
      <c r="BB1022" s="3">
        <v>0</v>
      </c>
      <c r="BC1022" s="3">
        <v>41.320285368217149</v>
      </c>
      <c r="BD1022" s="3">
        <v>47.379714631782839</v>
      </c>
      <c r="BE1022" s="3">
        <v>47.379714631782839</v>
      </c>
      <c r="BF1022" s="3">
        <v>45.739714631782853</v>
      </c>
      <c r="BG1022" s="3">
        <v>42.266381298449524</v>
      </c>
      <c r="BH1022" s="3">
        <v>37.006381298449504</v>
      </c>
      <c r="BI1022" s="3">
        <v>36.519714631782854</v>
      </c>
      <c r="BJ1022" s="3">
        <v>39.513047965116179</v>
      </c>
      <c r="BK1022" s="3">
        <v>41.086381298449517</v>
      </c>
      <c r="BL1022" s="3">
        <v>45.359714631782857</v>
      </c>
      <c r="BM1022" s="3">
        <v>39.393047965116189</v>
      </c>
      <c r="BN1022" s="3">
        <v>37.17638129844952</v>
      </c>
      <c r="BO1022" s="3">
        <v>36.343047965116178</v>
      </c>
      <c r="BP1022" s="3">
        <v>35.15971463178284</v>
      </c>
      <c r="BQ1022" s="3">
        <v>33.976381298449503</v>
      </c>
      <c r="BR1022" s="3">
        <v>32.90304796511618</v>
      </c>
      <c r="BS1022" s="3">
        <v>32.706381298449521</v>
      </c>
      <c r="BT1022" s="3">
        <v>31.803047965116185</v>
      </c>
      <c r="BU1022" s="3">
        <v>29.769714631782854</v>
      </c>
      <c r="BV1022" s="3">
        <v>28.386381298449514</v>
      </c>
      <c r="BW1022" s="3">
        <v>28.219714631782843</v>
      </c>
      <c r="BX1022" s="3">
        <v>27.939714631782856</v>
      </c>
      <c r="BY1022" s="3">
        <v>27.759714631782849</v>
      </c>
      <c r="BZ1022" s="3">
        <v>27.689714631782856</v>
      </c>
      <c r="CA1022" s="3">
        <v>26.589714631782847</v>
      </c>
      <c r="CB1022" s="3">
        <v>24.326381298449512</v>
      </c>
      <c r="CC1022" s="3">
        <v>22.839714631782847</v>
      </c>
      <c r="CD1022" s="3">
        <v>17.846381298449522</v>
      </c>
      <c r="CE1022" s="3">
        <v>16.239714631782846</v>
      </c>
      <c r="CF1022" s="3">
        <v>-0.94695203488382163</v>
      </c>
      <c r="CG1022" s="3">
        <v>-1.4802853682171531</v>
      </c>
      <c r="CH1022" s="3">
        <v>-2.5569520348838211</v>
      </c>
      <c r="CI1022" s="13">
        <f>[1]!dbasum(RecData[[#This Row],[20]:[2000]],RecData[[#Headers],[20]:[2000]])</f>
        <v>40.333112720114521</v>
      </c>
      <c r="CJ1022" s="14">
        <v>10461</v>
      </c>
      <c r="CK1022" s="15" t="s">
        <v>249</v>
      </c>
      <c r="CL1022" s="15">
        <f>RecData[[#This Row],[Start Time]]</f>
        <v>43275.113888888889</v>
      </c>
      <c r="CM1022" s="16">
        <f>RecData[[#This Row],[Wind Speed avg]]</f>
        <v>1.48</v>
      </c>
      <c r="CN1022" s="16">
        <f>RecData[[#This Row],[Wind Dir. avg]]</f>
        <v>187</v>
      </c>
      <c r="CO1022" s="16">
        <f>RecData[[#This Row],[Amb. Humidity]]</f>
        <v>71.7</v>
      </c>
      <c r="CP1022" s="16">
        <f>RecData[[#This Row],[Amb. Temperature]]</f>
        <v>12</v>
      </c>
      <c r="CQ1022" s="17">
        <f>RecData[[#This Row],[Amb. Rain Gauge]]</f>
        <v>0</v>
      </c>
      <c r="CR1022" s="4" t="s">
        <v>1</v>
      </c>
      <c r="CS1022" s="4" t="s">
        <v>49</v>
      </c>
      <c r="CT1022" s="70">
        <v>1616.63098144531</v>
      </c>
      <c r="CU1022" s="70">
        <v>33.000278472900298</v>
      </c>
      <c r="CV1022" s="70">
        <v>12.022665977478001</v>
      </c>
      <c r="CW1022" s="70">
        <v>15.2952718734741</v>
      </c>
      <c r="CX1022" s="4"/>
      <c r="CY1022" s="69"/>
      <c r="CZ1022" s="2" t="b">
        <f>IF($DP$1="YES",IF(RecData[[#This Row],[Power (kW)]]&gt;=$CR$3, TRUE,FALSE),TRUE)</f>
        <v>1</v>
      </c>
      <c r="DA1022" s="16">
        <f>MIN(MOD(180-ABS(ABS($DA$1-RecData[Yaw Angle (°)])-180),360),MOD(180-ABS(ABS($DB$1-RecData[Yaw Angle (°)])-180),360))</f>
        <v>25.470351695212742</v>
      </c>
      <c r="DB1022" s="2" t="str">
        <f>IF($DP$2="None","None",IF(RecData[[#This Row],[Relative Wind Direction]]&lt;=45,"DW",IF(RecData[[#This Row],[Relative Wind Direction]]&lt;=135,"CW","UW")))</f>
        <v>DW</v>
      </c>
      <c r="DC1022" s="61" t="e">
        <f>IF($CL1022-$CL1021&gt;1/24,#REF!,IF(SUM($CQ1021:$CQ1022)&gt;$DS$1,$DS$5,#REF!-1))</f>
        <v>#REF!</v>
      </c>
      <c r="DD1022" s="61" t="e">
        <f>IF(#REF!-$CL1022&gt;1/24,#REF!,IF(SUM($CQ1021:$CQ1022)&gt;$DS$1,$DS$6,#REF!-1))</f>
        <v>#REF!</v>
      </c>
      <c r="DE1022" s="18" t="b">
        <v>0</v>
      </c>
      <c r="DF1022" s="2" t="b">
        <f>IF(OR(RecData[[#This Row],[WSpd_Avg '[m/s']]]-RecData[[#This Row],[Wind Speed min]]&gt;=$DF$3,RecData[[#This Row],[Wind Speed max]]-RecData[[#This Row],[WSpd_Avg '[m/s']]]&gt;=$DF$2),TRUE,FALSE)</f>
        <v>0</v>
      </c>
      <c r="DG1022" s="2" t="b">
        <f>RecData[[#This Row],[Temperature '[°C']]]&lt;=-20</f>
        <v>0</v>
      </c>
      <c r="DH1022" s="18" t="b">
        <f>NOT(OR(MOD(RecData[[#This Row],[TIMESTAMP]],1)&gt;0.91632,MOD(RecData[[#This Row],[TIMESTAMP]],1)&lt;0.208681))</f>
        <v>0</v>
      </c>
      <c r="DI1022" s="18" t="b">
        <f>RecData[[#This Row],[Overall (dBA)]]-RecData[[#This Row],[L90]]&gt;=$DS$4</f>
        <v>0</v>
      </c>
      <c r="DJ1022" s="18" t="b">
        <f>RecData[[#This Row],[Overall (dBA)]]&gt;$DS$2</f>
        <v>0</v>
      </c>
      <c r="DK1022" s="18" t="b">
        <f>RecData[[#This Row],[Overall (dBA)]]&lt;$DS$3</f>
        <v>0</v>
      </c>
      <c r="DL10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2" s="2">
        <f>IF(AND(RecData[[#This Row],[Turbines ON/OFF]] = "OFF", NOT(OR(RecData[[#This Row],[Junk?]]="YES",RecData[[#This Row],[Gust?]],RecData[[#This Row],[Rain?]:[Min SPL Threshold?]]))),1,0)</f>
        <v>0</v>
      </c>
      <c r="DN1022" s="16">
        <f>RecData[[#This Row],[dBA Sum]]</f>
        <v>40.333112720114521</v>
      </c>
      <c r="DO1022" s="16">
        <f>RecData[[#This Row],[LAF90.0]]</f>
        <v>38.9</v>
      </c>
      <c r="DP1022" s="55">
        <f>IF(AND(RecData[[#This Row],[Useable TON Data?]],RecData[[#This Row],[Turbines ON/OFF]]="ON"),RecData[[#This Row],[dBA Sum]],"")</f>
        <v>40.333112720114521</v>
      </c>
      <c r="DQ1022" s="55" t="str">
        <f>IF(AND(RecData[[#This Row],[Useable Background Data?]],RecData[[#This Row],[Turbines ON/OFF]]="OFF"),RecData[[#This Row],[dBA Sum]],"")</f>
        <v/>
      </c>
      <c r="DR1022" s="3">
        <f>IF(OR(RecData[[#This Row],[Useable TON Data?]],RecData[[#This Row],[Useable Background Data?]]),ROUND(RecData[[#This Row],[WSpd_Avg '[m/s']]],0),"")</f>
        <v>1</v>
      </c>
      <c r="DS1022" s="85">
        <f>(0.00002)^2*(10^(RecData[[#This Row],[Overall (dBA)]]/10))</f>
        <v>4.3188812529023565E-6</v>
      </c>
    </row>
    <row r="1023" spans="1:123" ht="15" x14ac:dyDescent="0.25">
      <c r="A1023" s="3" t="s">
        <v>249</v>
      </c>
      <c r="B1023" s="12">
        <v>43275.118750000001</v>
      </c>
      <c r="C1023" s="3"/>
      <c r="D1023" s="3">
        <v>44.6</v>
      </c>
      <c r="E1023" s="3"/>
      <c r="F1023" s="3"/>
      <c r="G1023" s="3"/>
      <c r="H1023" s="3"/>
      <c r="I1023" s="3"/>
      <c r="J1023" s="3"/>
      <c r="K1023" s="3">
        <v>43.1</v>
      </c>
      <c r="L1023" s="3"/>
      <c r="M1023" s="3"/>
      <c r="N1023" s="3">
        <v>178.7</v>
      </c>
      <c r="O1023" s="3"/>
      <c r="P1023" s="3"/>
      <c r="Q1023" s="3">
        <v>1.95</v>
      </c>
      <c r="R1023" s="3">
        <v>0.6</v>
      </c>
      <c r="S1023" s="3">
        <v>3.4</v>
      </c>
      <c r="T1023" s="3">
        <v>11.8</v>
      </c>
      <c r="U1023" s="3">
        <v>72.099999999999994</v>
      </c>
      <c r="V1023" s="3">
        <v>967.2</v>
      </c>
      <c r="W1023" s="3">
        <v>0</v>
      </c>
      <c r="X1023" s="3">
        <v>48.8</v>
      </c>
      <c r="Y1023" s="3">
        <v>47.2</v>
      </c>
      <c r="Z1023" s="3">
        <v>46.9</v>
      </c>
      <c r="AA1023" s="3">
        <v>43.8</v>
      </c>
      <c r="AB1023" s="3">
        <v>38.799999999999997</v>
      </c>
      <c r="AC1023" s="3">
        <v>38.6</v>
      </c>
      <c r="AD1023" s="3">
        <v>40.6</v>
      </c>
      <c r="AE1023" s="3">
        <v>41.9</v>
      </c>
      <c r="AF1023" s="3">
        <v>46.8</v>
      </c>
      <c r="AG1023" s="3">
        <v>40.299999999999997</v>
      </c>
      <c r="AH1023" s="3">
        <v>38.700000000000003</v>
      </c>
      <c r="AI1023" s="3">
        <v>38.6</v>
      </c>
      <c r="AJ1023" s="3">
        <v>37.5</v>
      </c>
      <c r="AK1023" s="3">
        <v>36.1</v>
      </c>
      <c r="AL1023" s="3">
        <v>34.700000000000003</v>
      </c>
      <c r="AM1023" s="3">
        <v>34.299999999999997</v>
      </c>
      <c r="AN1023" s="3">
        <v>33.5</v>
      </c>
      <c r="AO1023" s="3">
        <v>32.200000000000003</v>
      </c>
      <c r="AP1023" s="3">
        <v>31.7</v>
      </c>
      <c r="AQ1023" s="3">
        <v>31.8</v>
      </c>
      <c r="AR1023" s="3">
        <v>32.5</v>
      </c>
      <c r="AS1023" s="3">
        <v>33.1</v>
      </c>
      <c r="AT1023" s="3">
        <v>33.299999999999997</v>
      </c>
      <c r="AU1023" s="3">
        <v>32.1</v>
      </c>
      <c r="AV1023" s="3">
        <v>30.3</v>
      </c>
      <c r="AW1023" s="3">
        <v>29</v>
      </c>
      <c r="AX1023" s="3">
        <v>24.3</v>
      </c>
      <c r="AY1023" s="3">
        <v>22.1</v>
      </c>
      <c r="AZ1023" s="3">
        <v>0</v>
      </c>
      <c r="BA1023" s="3">
        <v>0</v>
      </c>
      <c r="BB1023" s="3">
        <v>0</v>
      </c>
      <c r="BC1023" s="3">
        <v>44.556976335122002</v>
      </c>
      <c r="BD1023" s="3">
        <v>48.843023664878004</v>
      </c>
      <c r="BE1023" s="3">
        <v>47.24302366487801</v>
      </c>
      <c r="BF1023" s="3">
        <v>45.703023664877989</v>
      </c>
      <c r="BG1023" s="3">
        <v>42.929690331544663</v>
      </c>
      <c r="BH1023" s="3">
        <v>38.069690331544663</v>
      </c>
      <c r="BI1023" s="3">
        <v>38.283023664878002</v>
      </c>
      <c r="BJ1023" s="3">
        <v>41.076356998211324</v>
      </c>
      <c r="BK1023" s="3">
        <v>42.24969033154467</v>
      </c>
      <c r="BL1023" s="3">
        <v>46.723023664877999</v>
      </c>
      <c r="BM1023" s="3">
        <v>40.356356998211325</v>
      </c>
      <c r="BN1023" s="3">
        <v>39.039690331544662</v>
      </c>
      <c r="BO1023" s="3">
        <v>38.306356998211342</v>
      </c>
      <c r="BP1023" s="3">
        <v>36.923023664878002</v>
      </c>
      <c r="BQ1023" s="3">
        <v>35.939690331544668</v>
      </c>
      <c r="BR1023" s="3">
        <v>34.866356998211344</v>
      </c>
      <c r="BS1023" s="3">
        <v>34.269690331544666</v>
      </c>
      <c r="BT1023" s="3">
        <v>33.666356998211327</v>
      </c>
      <c r="BU1023" s="3">
        <v>32.333023664878013</v>
      </c>
      <c r="BV1023" s="3">
        <v>31.549690331544667</v>
      </c>
      <c r="BW1023" s="3">
        <v>32.183023664878007</v>
      </c>
      <c r="BX1023" s="3">
        <v>32.803023664878012</v>
      </c>
      <c r="BY1023" s="3">
        <v>33.223023664877999</v>
      </c>
      <c r="BZ1023" s="3">
        <v>33.553023664877998</v>
      </c>
      <c r="CA1023" s="3">
        <v>32.453023664877989</v>
      </c>
      <c r="CB1023" s="3">
        <v>30.089690331544674</v>
      </c>
      <c r="CC1023" s="3">
        <v>29.003023664878</v>
      </c>
      <c r="CD1023" s="3">
        <v>23.60969033154467</v>
      </c>
      <c r="CE1023" s="3">
        <v>21.603023664877995</v>
      </c>
      <c r="CF1023" s="3">
        <v>-0.88364300178866984</v>
      </c>
      <c r="CG1023" s="3">
        <v>-1.4169763351220013</v>
      </c>
      <c r="CH1023" s="3">
        <v>-2.4936430017886693</v>
      </c>
      <c r="CI1023" s="13">
        <f>[1]!dbasum(RecData[[#This Row],[20]:[2000]],RecData[[#Headers],[20]:[2000]])</f>
        <v>42.773534764537231</v>
      </c>
      <c r="CJ1023" s="14">
        <v>10468</v>
      </c>
      <c r="CK1023" s="15" t="s">
        <v>249</v>
      </c>
      <c r="CL1023" s="15">
        <f>RecData[[#This Row],[Start Time]]</f>
        <v>43275.118750000001</v>
      </c>
      <c r="CM1023" s="16">
        <f>RecData[[#This Row],[Wind Speed avg]]</f>
        <v>1.95</v>
      </c>
      <c r="CN1023" s="16">
        <f>RecData[[#This Row],[Wind Dir. avg]]</f>
        <v>178.7</v>
      </c>
      <c r="CO1023" s="16">
        <f>RecData[[#This Row],[Amb. Humidity]]</f>
        <v>72.099999999999994</v>
      </c>
      <c r="CP1023" s="16">
        <f>RecData[[#This Row],[Amb. Temperature]]</f>
        <v>11.8</v>
      </c>
      <c r="CQ1023" s="17">
        <f>RecData[[#This Row],[Amb. Rain Gauge]]</f>
        <v>0</v>
      </c>
      <c r="CR1023" s="4" t="s">
        <v>1</v>
      </c>
      <c r="CS1023" s="4" t="s">
        <v>49</v>
      </c>
      <c r="CT1023" s="70">
        <v>1612.68469238281</v>
      </c>
      <c r="CU1023" s="70">
        <v>33.000282287597599</v>
      </c>
      <c r="CV1023" s="70">
        <v>12.347092628479</v>
      </c>
      <c r="CW1023" s="70">
        <v>15.2867422103881</v>
      </c>
      <c r="CX1023" s="4"/>
      <c r="CY1023" s="69"/>
      <c r="CZ1023" s="2" t="b">
        <f>IF($DP$1="YES",IF(RecData[[#This Row],[Power (kW)]]&gt;=$CR$3, TRUE,FALSE),TRUE)</f>
        <v>1</v>
      </c>
      <c r="DA1023" s="16">
        <f>MIN(MOD(180-ABS(ABS($DA$1-RecData[Yaw Angle (°)])-180),360),MOD(180-ABS(ABS($DB$1-RecData[Yaw Angle (°)])-180),360))</f>
        <v>25.470355509910064</v>
      </c>
      <c r="DB1023" s="2" t="str">
        <f>IF($DP$2="None","None",IF(RecData[[#This Row],[Relative Wind Direction]]&lt;=45,"DW",IF(RecData[[#This Row],[Relative Wind Direction]]&lt;=135,"CW","UW")))</f>
        <v>DW</v>
      </c>
      <c r="DC1023" s="61">
        <v>-1</v>
      </c>
      <c r="DD1023" s="61">
        <v>-1</v>
      </c>
      <c r="DE1023" s="18" t="b">
        <v>0</v>
      </c>
      <c r="DF1023" s="2" t="b">
        <f>IF(OR(RecData[[#This Row],[WSpd_Avg '[m/s']]]-RecData[[#This Row],[Wind Speed min]]&gt;=$DF$3,RecData[[#This Row],[Wind Speed max]]-RecData[[#This Row],[WSpd_Avg '[m/s']]]&gt;=$DF$2),TRUE,FALSE)</f>
        <v>0</v>
      </c>
      <c r="DG1023" s="2" t="b">
        <f>RecData[[#This Row],[Temperature '[°C']]]&lt;=-20</f>
        <v>0</v>
      </c>
      <c r="DH1023" s="18" t="b">
        <f>NOT(OR(MOD(RecData[[#This Row],[TIMESTAMP]],1)&gt;0.91632,MOD(RecData[[#This Row],[TIMESTAMP]],1)&lt;0.208681))</f>
        <v>0</v>
      </c>
      <c r="DI1023" s="18" t="b">
        <f>RecData[[#This Row],[Overall (dBA)]]-RecData[[#This Row],[L90]]&gt;=$DS$4</f>
        <v>0</v>
      </c>
      <c r="DJ1023" s="18" t="b">
        <f>RecData[[#This Row],[Overall (dBA)]]&gt;$DS$2</f>
        <v>0</v>
      </c>
      <c r="DK1023" s="18" t="b">
        <f>RecData[[#This Row],[Overall (dBA)]]&lt;$DS$3</f>
        <v>0</v>
      </c>
      <c r="DL10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3" s="2">
        <f>IF(AND(RecData[[#This Row],[Turbines ON/OFF]] = "OFF", NOT(OR(RecData[[#This Row],[Junk?]]="YES",RecData[[#This Row],[Gust?]],RecData[[#This Row],[Rain?]:[Min SPL Threshold?]]))),1,0)</f>
        <v>0</v>
      </c>
      <c r="DN1023" s="16">
        <f>RecData[[#This Row],[dBA Sum]]</f>
        <v>42.773534764537231</v>
      </c>
      <c r="DO1023" s="16">
        <f>RecData[[#This Row],[LAF90.0]]</f>
        <v>43.1</v>
      </c>
      <c r="DP1023" s="55">
        <f>IF(AND(RecData[[#This Row],[Useable TON Data?]],RecData[[#This Row],[Turbines ON/OFF]]="ON"),RecData[[#This Row],[dBA Sum]],"")</f>
        <v>42.773534764537231</v>
      </c>
      <c r="DQ1023" s="55" t="str">
        <f>IF(AND(RecData[[#This Row],[Useable Background Data?]],RecData[[#This Row],[Turbines ON/OFF]]="OFF"),RecData[[#This Row],[dBA Sum]],"")</f>
        <v/>
      </c>
      <c r="DR1023" s="3">
        <f>IF(OR(RecData[[#This Row],[Useable TON Data?]],RecData[[#This Row],[Useable Background Data?]]),ROUND(RecData[[#This Row],[WSpd_Avg '[m/s']]],0),"")</f>
        <v>2</v>
      </c>
      <c r="DS1023" s="85">
        <f>(0.00002)^2*(10^(RecData[[#This Row],[Overall (dBA)]]/10))</f>
        <v>7.5755377690717528E-6</v>
      </c>
    </row>
    <row r="1024" spans="1:123" ht="15" x14ac:dyDescent="0.25">
      <c r="A1024" s="3" t="s">
        <v>249</v>
      </c>
      <c r="B1024" s="12">
        <v>43275.119444444448</v>
      </c>
      <c r="C1024" s="3"/>
      <c r="D1024" s="3">
        <v>42.1</v>
      </c>
      <c r="E1024" s="3"/>
      <c r="F1024" s="3"/>
      <c r="G1024" s="3"/>
      <c r="H1024" s="3"/>
      <c r="I1024" s="3"/>
      <c r="J1024" s="3"/>
      <c r="K1024" s="3">
        <v>41.1</v>
      </c>
      <c r="L1024" s="3"/>
      <c r="M1024" s="3"/>
      <c r="N1024" s="3">
        <v>153.5</v>
      </c>
      <c r="O1024" s="3"/>
      <c r="P1024" s="3"/>
      <c r="Q1024" s="3">
        <v>1.2</v>
      </c>
      <c r="R1024" s="3">
        <v>0.1</v>
      </c>
      <c r="S1024" s="3">
        <v>2.2000000000000002</v>
      </c>
      <c r="T1024" s="3">
        <v>11.8</v>
      </c>
      <c r="U1024" s="3">
        <v>72.3</v>
      </c>
      <c r="V1024" s="3">
        <v>967.3</v>
      </c>
      <c r="W1024" s="3">
        <v>0</v>
      </c>
      <c r="X1024" s="3">
        <v>48.5</v>
      </c>
      <c r="Y1024" s="3">
        <v>47.9</v>
      </c>
      <c r="Z1024" s="3">
        <v>47.6</v>
      </c>
      <c r="AA1024" s="3">
        <v>43.7</v>
      </c>
      <c r="AB1024" s="3">
        <v>38.200000000000003</v>
      </c>
      <c r="AC1024" s="3">
        <v>38</v>
      </c>
      <c r="AD1024" s="3">
        <v>41.3</v>
      </c>
      <c r="AE1024" s="3">
        <v>42.6</v>
      </c>
      <c r="AF1024" s="3">
        <v>45.6</v>
      </c>
      <c r="AG1024" s="3">
        <v>40</v>
      </c>
      <c r="AH1024" s="3">
        <v>38.700000000000003</v>
      </c>
      <c r="AI1024" s="3">
        <v>37.9</v>
      </c>
      <c r="AJ1024" s="3">
        <v>37.1</v>
      </c>
      <c r="AK1024" s="3">
        <v>35.4</v>
      </c>
      <c r="AL1024" s="3">
        <v>34</v>
      </c>
      <c r="AM1024" s="3">
        <v>34</v>
      </c>
      <c r="AN1024" s="3">
        <v>33.1</v>
      </c>
      <c r="AO1024" s="3">
        <v>30.8</v>
      </c>
      <c r="AP1024" s="3">
        <v>29.6</v>
      </c>
      <c r="AQ1024" s="3">
        <v>28.9</v>
      </c>
      <c r="AR1024" s="3">
        <v>28.3</v>
      </c>
      <c r="AS1024" s="3">
        <v>27.8</v>
      </c>
      <c r="AT1024" s="3">
        <v>27.1</v>
      </c>
      <c r="AU1024" s="3">
        <v>25.3</v>
      </c>
      <c r="AV1024" s="3">
        <v>23.4</v>
      </c>
      <c r="AW1024" s="3">
        <v>21.7</v>
      </c>
      <c r="AX1024" s="3">
        <v>17.100000000000001</v>
      </c>
      <c r="AY1024" s="3">
        <v>15</v>
      </c>
      <c r="AZ1024" s="3">
        <v>0</v>
      </c>
      <c r="BA1024" s="3">
        <v>0</v>
      </c>
      <c r="BB1024" s="3">
        <v>0</v>
      </c>
      <c r="BC1024" s="3">
        <v>42.136953651183227</v>
      </c>
      <c r="BD1024" s="3">
        <v>48.463046348816768</v>
      </c>
      <c r="BE1024" s="3">
        <v>47.863046348816773</v>
      </c>
      <c r="BF1024" s="3">
        <v>46.323046348816781</v>
      </c>
      <c r="BG1024" s="3">
        <v>42.749713015483444</v>
      </c>
      <c r="BH1024" s="3">
        <v>37.389713015483444</v>
      </c>
      <c r="BI1024" s="3">
        <v>37.603046348816783</v>
      </c>
      <c r="BJ1024" s="3">
        <v>41.696379682150102</v>
      </c>
      <c r="BK1024" s="3">
        <v>42.869713015483434</v>
      </c>
      <c r="BL1024" s="3">
        <v>45.443046348816786</v>
      </c>
      <c r="BM1024" s="3">
        <v>39.976379682150117</v>
      </c>
      <c r="BN1024" s="3">
        <v>38.959713015483437</v>
      </c>
      <c r="BO1024" s="3">
        <v>37.5263796821501</v>
      </c>
      <c r="BP1024" s="3">
        <v>36.443046348816786</v>
      </c>
      <c r="BQ1024" s="3">
        <v>35.159713015483426</v>
      </c>
      <c r="BR1024" s="3">
        <v>34.086379682150103</v>
      </c>
      <c r="BS1024" s="3">
        <v>33.889713015483444</v>
      </c>
      <c r="BT1024" s="3">
        <v>33.186379682150111</v>
      </c>
      <c r="BU1024" s="3">
        <v>30.853046348816783</v>
      </c>
      <c r="BV1024" s="3">
        <v>29.369713015483448</v>
      </c>
      <c r="BW1024" s="3">
        <v>29.203046348816777</v>
      </c>
      <c r="BX1024" s="3">
        <v>28.523046348816784</v>
      </c>
      <c r="BY1024" s="3">
        <v>27.843046348816777</v>
      </c>
      <c r="BZ1024" s="3">
        <v>27.273046348816784</v>
      </c>
      <c r="CA1024" s="3">
        <v>25.573046348816767</v>
      </c>
      <c r="CB1024" s="3">
        <v>23.109713015483443</v>
      </c>
      <c r="CC1024" s="3">
        <v>21.623046348816771</v>
      </c>
      <c r="CD1024" s="3">
        <v>16.329713015483442</v>
      </c>
      <c r="CE1024" s="3">
        <v>14.423046348816776</v>
      </c>
      <c r="CF1024" s="3">
        <v>-0.96362031784989455</v>
      </c>
      <c r="CG1024" s="3">
        <v>-1.496953651183226</v>
      </c>
      <c r="CH1024" s="3">
        <v>-2.573620317849894</v>
      </c>
      <c r="CI1024" s="13">
        <f>[1]!dbasum(RecData[[#This Row],[20]:[2000]],RecData[[#Headers],[20]:[2000]])</f>
        <v>41.408599035360467</v>
      </c>
      <c r="CJ1024" s="14">
        <v>10469</v>
      </c>
      <c r="CK1024" s="15" t="s">
        <v>249</v>
      </c>
      <c r="CL1024" s="15">
        <f>RecData[[#This Row],[Start Time]]</f>
        <v>43275.119444444448</v>
      </c>
      <c r="CM1024" s="16">
        <f>RecData[[#This Row],[Wind Speed avg]]</f>
        <v>1.2</v>
      </c>
      <c r="CN1024" s="16">
        <f>RecData[[#This Row],[Wind Dir. avg]]</f>
        <v>153.5</v>
      </c>
      <c r="CO1024" s="16">
        <f>RecData[[#This Row],[Amb. Humidity]]</f>
        <v>72.3</v>
      </c>
      <c r="CP1024" s="16">
        <f>RecData[[#This Row],[Amb. Temperature]]</f>
        <v>11.8</v>
      </c>
      <c r="CQ1024" s="17">
        <f>RecData[[#This Row],[Amb. Rain Gauge]]</f>
        <v>0</v>
      </c>
      <c r="CR1024" s="4" t="s">
        <v>1</v>
      </c>
      <c r="CS1024" s="4" t="s">
        <v>49</v>
      </c>
      <c r="CT1024" s="70">
        <v>1612.68469238281</v>
      </c>
      <c r="CU1024" s="70">
        <v>33.000282287597599</v>
      </c>
      <c r="CV1024" s="70">
        <v>12.347092628479</v>
      </c>
      <c r="CW1024" s="70">
        <v>15.2867422103881</v>
      </c>
      <c r="CX1024" s="4"/>
      <c r="CY1024" s="69"/>
      <c r="CZ1024" s="2" t="b">
        <f>IF($DP$1="YES",IF(RecData[[#This Row],[Power (kW)]]&gt;=$CR$3, TRUE,FALSE),TRUE)</f>
        <v>1</v>
      </c>
      <c r="DA1024" s="16">
        <f>MIN(MOD(180-ABS(ABS($DA$1-RecData[Yaw Angle (°)])-180),360),MOD(180-ABS(ABS($DB$1-RecData[Yaw Angle (°)])-180),360))</f>
        <v>25.470355509910064</v>
      </c>
      <c r="DB1024" s="2" t="str">
        <f>IF($DP$2="None","None",IF(RecData[[#This Row],[Relative Wind Direction]]&lt;=45,"DW",IF(RecData[[#This Row],[Relative Wind Direction]]&lt;=135,"CW","UW")))</f>
        <v>DW</v>
      </c>
      <c r="DC1024" s="61" t="e">
        <f>IF($CL1024-$CL1023&gt;1/24,#REF!,IF(SUM($CQ1023:$CQ1024)&gt;$DS$1,$DS$5,DC1025-1))</f>
        <v>#REF!</v>
      </c>
      <c r="DD1024" s="61">
        <f>IF($CL1025-$CL1024&gt;1/24,#REF!,IF(SUM($CQ1023:$CQ1024)&gt;$DS$1,$DS$6,DD1023-1))</f>
        <v>-2</v>
      </c>
      <c r="DE1024" s="18" t="b">
        <v>0</v>
      </c>
      <c r="DF1024" s="2" t="b">
        <f>IF(OR(RecData[[#This Row],[WSpd_Avg '[m/s']]]-RecData[[#This Row],[Wind Speed min]]&gt;=$DF$3,RecData[[#This Row],[Wind Speed max]]-RecData[[#This Row],[WSpd_Avg '[m/s']]]&gt;=$DF$2),TRUE,FALSE)</f>
        <v>0</v>
      </c>
      <c r="DG1024" s="2" t="b">
        <f>RecData[[#This Row],[Temperature '[°C']]]&lt;=-20</f>
        <v>0</v>
      </c>
      <c r="DH1024" s="18" t="b">
        <f>NOT(OR(MOD(RecData[[#This Row],[TIMESTAMP]],1)&gt;0.91632,MOD(RecData[[#This Row],[TIMESTAMP]],1)&lt;0.208681))</f>
        <v>0</v>
      </c>
      <c r="DI1024" s="18" t="b">
        <f>RecData[[#This Row],[Overall (dBA)]]-RecData[[#This Row],[L90]]&gt;=$DS$4</f>
        <v>0</v>
      </c>
      <c r="DJ1024" s="18" t="b">
        <f>RecData[[#This Row],[Overall (dBA)]]&gt;$DS$2</f>
        <v>0</v>
      </c>
      <c r="DK1024" s="18" t="b">
        <f>RecData[[#This Row],[Overall (dBA)]]&lt;$DS$3</f>
        <v>0</v>
      </c>
      <c r="DL10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4" s="2">
        <f>IF(AND(RecData[[#This Row],[Turbines ON/OFF]] = "OFF", NOT(OR(RecData[[#This Row],[Junk?]]="YES",RecData[[#This Row],[Gust?]],RecData[[#This Row],[Rain?]:[Min SPL Threshold?]]))),1,0)</f>
        <v>0</v>
      </c>
      <c r="DN1024" s="16">
        <f>RecData[[#This Row],[dBA Sum]]</f>
        <v>41.408599035360467</v>
      </c>
      <c r="DO1024" s="16">
        <f>RecData[[#This Row],[LAF90.0]]</f>
        <v>41.1</v>
      </c>
      <c r="DP1024" s="55">
        <f>IF(AND(RecData[[#This Row],[Useable TON Data?]],RecData[[#This Row],[Turbines ON/OFF]]="ON"),RecData[[#This Row],[dBA Sum]],"")</f>
        <v>41.408599035360467</v>
      </c>
      <c r="DQ1024" s="55" t="str">
        <f>IF(AND(RecData[[#This Row],[Useable Background Data?]],RecData[[#This Row],[Turbines ON/OFF]]="OFF"),RecData[[#This Row],[dBA Sum]],"")</f>
        <v/>
      </c>
      <c r="DR1024" s="3">
        <f>IF(OR(RecData[[#This Row],[Useable TON Data?]],RecData[[#This Row],[Useable Background Data?]]),ROUND(RecData[[#This Row],[WSpd_Avg '[m/s']]],0),"")</f>
        <v>1</v>
      </c>
      <c r="DS1024" s="85">
        <f>(0.00002)^2*(10^(RecData[[#This Row],[Overall (dBA)]]/10))</f>
        <v>5.5324805381349377E-6</v>
      </c>
    </row>
    <row r="1025" spans="1:123" ht="15" x14ac:dyDescent="0.25">
      <c r="A1025" s="3" t="s">
        <v>249</v>
      </c>
      <c r="B1025" s="12">
        <v>43275.120138888895</v>
      </c>
      <c r="C1025" s="3"/>
      <c r="D1025" s="3">
        <v>41.8</v>
      </c>
      <c r="E1025" s="3"/>
      <c r="F1025" s="3"/>
      <c r="G1025" s="3"/>
      <c r="H1025" s="3"/>
      <c r="I1025" s="3"/>
      <c r="J1025" s="3"/>
      <c r="K1025" s="3">
        <v>40.9</v>
      </c>
      <c r="L1025" s="3"/>
      <c r="M1025" s="3"/>
      <c r="N1025" s="3">
        <v>186.2</v>
      </c>
      <c r="O1025" s="3"/>
      <c r="P1025" s="3"/>
      <c r="Q1025" s="3">
        <v>1.4</v>
      </c>
      <c r="R1025" s="3">
        <v>0.2</v>
      </c>
      <c r="S1025" s="3">
        <v>2.6</v>
      </c>
      <c r="T1025" s="3">
        <v>11.8</v>
      </c>
      <c r="U1025" s="3">
        <v>72.3</v>
      </c>
      <c r="V1025" s="3">
        <v>967.3</v>
      </c>
      <c r="W1025" s="3">
        <v>0</v>
      </c>
      <c r="X1025" s="3">
        <v>48.1</v>
      </c>
      <c r="Y1025" s="3">
        <v>47.7</v>
      </c>
      <c r="Z1025" s="3">
        <v>47</v>
      </c>
      <c r="AA1025" s="3">
        <v>42.9</v>
      </c>
      <c r="AB1025" s="3">
        <v>38.200000000000003</v>
      </c>
      <c r="AC1025" s="3">
        <v>37.9</v>
      </c>
      <c r="AD1025" s="3">
        <v>40.6</v>
      </c>
      <c r="AE1025" s="3">
        <v>41.5</v>
      </c>
      <c r="AF1025" s="3">
        <v>45.8</v>
      </c>
      <c r="AG1025" s="3">
        <v>39.6</v>
      </c>
      <c r="AH1025" s="3">
        <v>37.6</v>
      </c>
      <c r="AI1025" s="3">
        <v>37.5</v>
      </c>
      <c r="AJ1025" s="3">
        <v>36.4</v>
      </c>
      <c r="AK1025" s="3">
        <v>35</v>
      </c>
      <c r="AL1025" s="3">
        <v>33.700000000000003</v>
      </c>
      <c r="AM1025" s="3">
        <v>33.700000000000003</v>
      </c>
      <c r="AN1025" s="3">
        <v>32.799999999999997</v>
      </c>
      <c r="AO1025" s="3">
        <v>30.8</v>
      </c>
      <c r="AP1025" s="3">
        <v>29.6</v>
      </c>
      <c r="AQ1025" s="3">
        <v>28.7</v>
      </c>
      <c r="AR1025" s="3">
        <v>28</v>
      </c>
      <c r="AS1025" s="3">
        <v>27.5</v>
      </c>
      <c r="AT1025" s="3">
        <v>26.8</v>
      </c>
      <c r="AU1025" s="3">
        <v>25</v>
      </c>
      <c r="AV1025" s="3">
        <v>23.3</v>
      </c>
      <c r="AW1025" s="3">
        <v>21.2</v>
      </c>
      <c r="AX1025" s="3">
        <v>17</v>
      </c>
      <c r="AY1025" s="3">
        <v>14.9</v>
      </c>
      <c r="AZ1025" s="3">
        <v>0</v>
      </c>
      <c r="BA1025" s="3">
        <v>0</v>
      </c>
      <c r="BB1025" s="3">
        <v>0</v>
      </c>
      <c r="BC1025" s="3">
        <v>41.836141376031286</v>
      </c>
      <c r="BD1025" s="3">
        <v>48.06385862396872</v>
      </c>
      <c r="BE1025" s="3">
        <v>47.663858623968714</v>
      </c>
      <c r="BF1025" s="3">
        <v>45.723858623968717</v>
      </c>
      <c r="BG1025" s="3">
        <v>41.950525290635376</v>
      </c>
      <c r="BH1025" s="3">
        <v>37.390525290635374</v>
      </c>
      <c r="BI1025" s="3">
        <v>37.503858623968718</v>
      </c>
      <c r="BJ1025" s="3">
        <v>40.997191957302043</v>
      </c>
      <c r="BK1025" s="3">
        <v>41.770525290635369</v>
      </c>
      <c r="BL1025" s="3">
        <v>45.643858623968704</v>
      </c>
      <c r="BM1025" s="3">
        <v>39.577191957302041</v>
      </c>
      <c r="BN1025" s="3">
        <v>37.860525290635373</v>
      </c>
      <c r="BO1025" s="3">
        <v>37.127191957302053</v>
      </c>
      <c r="BP1025" s="3">
        <v>35.743858623968713</v>
      </c>
      <c r="BQ1025" s="3">
        <v>34.760525290635378</v>
      </c>
      <c r="BR1025" s="3">
        <v>33.787191957302049</v>
      </c>
      <c r="BS1025" s="3">
        <v>33.590525290635391</v>
      </c>
      <c r="BT1025" s="3">
        <v>32.887191957302043</v>
      </c>
      <c r="BU1025" s="3">
        <v>30.853858623968712</v>
      </c>
      <c r="BV1025" s="3">
        <v>29.370525290635378</v>
      </c>
      <c r="BW1025" s="3">
        <v>29.003858623968718</v>
      </c>
      <c r="BX1025" s="3">
        <v>28.223858623968717</v>
      </c>
      <c r="BY1025" s="3">
        <v>27.54385862396871</v>
      </c>
      <c r="BZ1025" s="3">
        <v>26.973858623968717</v>
      </c>
      <c r="CA1025" s="3">
        <v>25.2738586239687</v>
      </c>
      <c r="CB1025" s="3">
        <v>23.010525290635378</v>
      </c>
      <c r="CC1025" s="3">
        <v>21.123858623968708</v>
      </c>
      <c r="CD1025" s="3">
        <v>16.230525290635377</v>
      </c>
      <c r="CE1025" s="3">
        <v>14.323858623968711</v>
      </c>
      <c r="CF1025" s="3">
        <v>-0.96280804269795794</v>
      </c>
      <c r="CG1025" s="3">
        <v>-1.4961413760312894</v>
      </c>
      <c r="CH1025" s="3">
        <v>-2.5728080426979574</v>
      </c>
      <c r="CI1025" s="13">
        <f>[1]!dbasum(RecData[[#This Row],[20]:[2000]],RecData[[#Headers],[20]:[2000]])</f>
        <v>41.106783543678212</v>
      </c>
      <c r="CJ1025" s="14">
        <v>10470</v>
      </c>
      <c r="CK1025" s="15" t="s">
        <v>249</v>
      </c>
      <c r="CL1025" s="15">
        <f>RecData[[#This Row],[Start Time]]</f>
        <v>43275.120138888895</v>
      </c>
      <c r="CM1025" s="16">
        <f>RecData[[#This Row],[Wind Speed avg]]</f>
        <v>1.4</v>
      </c>
      <c r="CN1025" s="16">
        <f>RecData[[#This Row],[Wind Dir. avg]]</f>
        <v>186.2</v>
      </c>
      <c r="CO1025" s="16">
        <f>RecData[[#This Row],[Amb. Humidity]]</f>
        <v>72.3</v>
      </c>
      <c r="CP1025" s="16">
        <f>RecData[[#This Row],[Amb. Temperature]]</f>
        <v>11.8</v>
      </c>
      <c r="CQ1025" s="17">
        <f>RecData[[#This Row],[Amb. Rain Gauge]]</f>
        <v>0</v>
      </c>
      <c r="CR1025" s="4" t="s">
        <v>1</v>
      </c>
      <c r="CS1025" s="4" t="s">
        <v>49</v>
      </c>
      <c r="CT1025" s="70">
        <v>1612.68469238281</v>
      </c>
      <c r="CU1025" s="70">
        <v>33.000282287597599</v>
      </c>
      <c r="CV1025" s="70">
        <v>12.347092628479</v>
      </c>
      <c r="CW1025" s="70">
        <v>15.2867422103881</v>
      </c>
      <c r="CX1025" s="4"/>
      <c r="CY1025" s="69"/>
      <c r="CZ1025" s="2" t="b">
        <f>IF($DP$1="YES",IF(RecData[[#This Row],[Power (kW)]]&gt;=$CR$3, TRUE,FALSE),TRUE)</f>
        <v>1</v>
      </c>
      <c r="DA1025" s="16">
        <f>MIN(MOD(180-ABS(ABS($DA$1-RecData[Yaw Angle (°)])-180),360),MOD(180-ABS(ABS($DB$1-RecData[Yaw Angle (°)])-180),360))</f>
        <v>25.470355509910064</v>
      </c>
      <c r="DB1025" s="2" t="str">
        <f>IF($DP$2="None","None",IF(RecData[[#This Row],[Relative Wind Direction]]&lt;=45,"DW",IF(RecData[[#This Row],[Relative Wind Direction]]&lt;=135,"CW","UW")))</f>
        <v>DW</v>
      </c>
      <c r="DC1025" s="61" t="e">
        <f>IF($CL1025-$CL1023&gt;1/24,#REF!,IF(SUM($CQ1023:$CQ1025)&gt;$DS$1,$DS$5,DC1026-1))</f>
        <v>#REF!</v>
      </c>
      <c r="DD1025" s="61">
        <f>IF($CL1026-$CL1025&gt;1/24,#REF!,IF(SUM($CQ1023:$CQ1025)&gt;$DS$1,$DS$6,DD1024-1))</f>
        <v>-3</v>
      </c>
      <c r="DE1025" s="18" t="b">
        <v>0</v>
      </c>
      <c r="DF1025" s="2" t="b">
        <f>IF(OR(RecData[[#This Row],[WSpd_Avg '[m/s']]]-RecData[[#This Row],[Wind Speed min]]&gt;=$DF$3,RecData[[#This Row],[Wind Speed max]]-RecData[[#This Row],[WSpd_Avg '[m/s']]]&gt;=$DF$2),TRUE,FALSE)</f>
        <v>0</v>
      </c>
      <c r="DG1025" s="2" t="b">
        <f>RecData[[#This Row],[Temperature '[°C']]]&lt;=-20</f>
        <v>0</v>
      </c>
      <c r="DH1025" s="18" t="b">
        <f>NOT(OR(MOD(RecData[[#This Row],[TIMESTAMP]],1)&gt;0.91632,MOD(RecData[[#This Row],[TIMESTAMP]],1)&lt;0.208681))</f>
        <v>0</v>
      </c>
      <c r="DI1025" s="18" t="b">
        <f>RecData[[#This Row],[Overall (dBA)]]-RecData[[#This Row],[L90]]&gt;=$DS$4</f>
        <v>0</v>
      </c>
      <c r="DJ1025" s="18" t="b">
        <f>RecData[[#This Row],[Overall (dBA)]]&gt;$DS$2</f>
        <v>0</v>
      </c>
      <c r="DK1025" s="18" t="b">
        <f>RecData[[#This Row],[Overall (dBA)]]&lt;$DS$3</f>
        <v>0</v>
      </c>
      <c r="DL10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5" s="2">
        <f>IF(AND(RecData[[#This Row],[Turbines ON/OFF]] = "OFF", NOT(OR(RecData[[#This Row],[Junk?]]="YES",RecData[[#This Row],[Gust?]],RecData[[#This Row],[Rain?]:[Min SPL Threshold?]]))),1,0)</f>
        <v>0</v>
      </c>
      <c r="DN1025" s="16">
        <f>RecData[[#This Row],[dBA Sum]]</f>
        <v>41.106783543678212</v>
      </c>
      <c r="DO1025" s="16">
        <f>RecData[[#This Row],[LAF90.0]]</f>
        <v>40.9</v>
      </c>
      <c r="DP1025" s="55">
        <f>IF(AND(RecData[[#This Row],[Useable TON Data?]],RecData[[#This Row],[Turbines ON/OFF]]="ON"),RecData[[#This Row],[dBA Sum]],"")</f>
        <v>41.106783543678212</v>
      </c>
      <c r="DQ1025" s="55" t="str">
        <f>IF(AND(RecData[[#This Row],[Useable Background Data?]],RecData[[#This Row],[Turbines ON/OFF]]="OFF"),RecData[[#This Row],[dBA Sum]],"")</f>
        <v/>
      </c>
      <c r="DR1025" s="3">
        <f>IF(OR(RecData[[#This Row],[Useable TON Data?]],RecData[[#This Row],[Useable Background Data?]]),ROUND(RecData[[#This Row],[WSpd_Avg '[m/s']]],0),"")</f>
        <v>1</v>
      </c>
      <c r="DS1025" s="85">
        <f>(0.00002)^2*(10^(RecData[[#This Row],[Overall (dBA)]]/10))</f>
        <v>5.1610533177290849E-6</v>
      </c>
    </row>
    <row r="1026" spans="1:123" ht="15" x14ac:dyDescent="0.25">
      <c r="A1026" s="3" t="s">
        <v>249</v>
      </c>
      <c r="B1026" s="12">
        <v>43275.120833333334</v>
      </c>
      <c r="C1026" s="3"/>
      <c r="D1026" s="3">
        <v>41.2</v>
      </c>
      <c r="E1026" s="3"/>
      <c r="F1026" s="3"/>
      <c r="G1026" s="3"/>
      <c r="H1026" s="3"/>
      <c r="I1026" s="3"/>
      <c r="J1026" s="3"/>
      <c r="K1026" s="3">
        <v>39.799999999999997</v>
      </c>
      <c r="L1026" s="3"/>
      <c r="M1026" s="3"/>
      <c r="N1026" s="3">
        <v>180.6</v>
      </c>
      <c r="O1026" s="3"/>
      <c r="P1026" s="3"/>
      <c r="Q1026" s="3">
        <v>0.97</v>
      </c>
      <c r="R1026" s="3">
        <v>0.2</v>
      </c>
      <c r="S1026" s="3">
        <v>1.8</v>
      </c>
      <c r="T1026" s="3">
        <v>11.7</v>
      </c>
      <c r="U1026" s="3">
        <v>72.5</v>
      </c>
      <c r="V1026" s="3">
        <v>967.3</v>
      </c>
      <c r="W1026" s="3">
        <v>0</v>
      </c>
      <c r="X1026" s="3">
        <v>47.5</v>
      </c>
      <c r="Y1026" s="3">
        <v>46.7</v>
      </c>
      <c r="Z1026" s="3">
        <v>46.7</v>
      </c>
      <c r="AA1026" s="3">
        <v>43</v>
      </c>
      <c r="AB1026" s="3">
        <v>37.6</v>
      </c>
      <c r="AC1026" s="3">
        <v>37.299999999999997</v>
      </c>
      <c r="AD1026" s="3">
        <v>39.299999999999997</v>
      </c>
      <c r="AE1026" s="3">
        <v>40.200000000000003</v>
      </c>
      <c r="AF1026" s="3">
        <v>45.2</v>
      </c>
      <c r="AG1026" s="3">
        <v>39.9</v>
      </c>
      <c r="AH1026" s="3">
        <v>36.4</v>
      </c>
      <c r="AI1026" s="3">
        <v>36.9</v>
      </c>
      <c r="AJ1026" s="3">
        <v>35.799999999999997</v>
      </c>
      <c r="AK1026" s="3">
        <v>34.4</v>
      </c>
      <c r="AL1026" s="3">
        <v>33.1</v>
      </c>
      <c r="AM1026" s="3">
        <v>33.1</v>
      </c>
      <c r="AN1026" s="3">
        <v>32.200000000000003</v>
      </c>
      <c r="AO1026" s="3">
        <v>30.5</v>
      </c>
      <c r="AP1026" s="3">
        <v>29.3</v>
      </c>
      <c r="AQ1026" s="3">
        <v>28.4</v>
      </c>
      <c r="AR1026" s="3">
        <v>27.5</v>
      </c>
      <c r="AS1026" s="3">
        <v>26.4</v>
      </c>
      <c r="AT1026" s="3">
        <v>25</v>
      </c>
      <c r="AU1026" s="3">
        <v>22.3</v>
      </c>
      <c r="AV1026" s="3">
        <v>20.7</v>
      </c>
      <c r="AW1026" s="3">
        <v>19.100000000000001</v>
      </c>
      <c r="AX1026" s="3">
        <v>14.7</v>
      </c>
      <c r="AY1026" s="3">
        <v>12.7</v>
      </c>
      <c r="AZ1026" s="3">
        <v>0</v>
      </c>
      <c r="BA1026" s="3">
        <v>0</v>
      </c>
      <c r="BB1026" s="3">
        <v>0</v>
      </c>
      <c r="BC1026" s="3">
        <v>41.155843731612592</v>
      </c>
      <c r="BD1026" s="3">
        <v>47.544156268387411</v>
      </c>
      <c r="BE1026" s="3">
        <v>46.744156268387414</v>
      </c>
      <c r="BF1026" s="3">
        <v>45.504156268387405</v>
      </c>
      <c r="BG1026" s="3">
        <v>42.13082293505407</v>
      </c>
      <c r="BH1026" s="3">
        <v>36.870822935054079</v>
      </c>
      <c r="BI1026" s="3">
        <v>36.984156268387409</v>
      </c>
      <c r="BJ1026" s="3">
        <v>39.777489601720745</v>
      </c>
      <c r="BK1026" s="3">
        <v>40.550822935054086</v>
      </c>
      <c r="BL1026" s="3">
        <v>45.124156268387409</v>
      </c>
      <c r="BM1026" s="3">
        <v>39.957489601720752</v>
      </c>
      <c r="BN1026" s="3">
        <v>36.740822935054084</v>
      </c>
      <c r="BO1026" s="3">
        <v>36.607489601720744</v>
      </c>
      <c r="BP1026" s="3">
        <v>35.224156268387404</v>
      </c>
      <c r="BQ1026" s="3">
        <v>34.240822935054069</v>
      </c>
      <c r="BR1026" s="3">
        <v>33.267489601720754</v>
      </c>
      <c r="BS1026" s="3">
        <v>33.070822935054082</v>
      </c>
      <c r="BT1026" s="3">
        <v>32.367489601720749</v>
      </c>
      <c r="BU1026" s="3">
        <v>30.634156268387414</v>
      </c>
      <c r="BV1026" s="3">
        <v>29.15082293505408</v>
      </c>
      <c r="BW1026" s="3">
        <v>28.784156268387406</v>
      </c>
      <c r="BX1026" s="3">
        <v>27.804156268387416</v>
      </c>
      <c r="BY1026" s="3">
        <v>26.524156268387415</v>
      </c>
      <c r="BZ1026" s="3">
        <v>25.254156268387419</v>
      </c>
      <c r="CA1026" s="3">
        <v>22.654156268387403</v>
      </c>
      <c r="CB1026" s="3">
        <v>20.490822935054076</v>
      </c>
      <c r="CC1026" s="3">
        <v>19.104156268387413</v>
      </c>
      <c r="CD1026" s="3">
        <v>14.01082293505408</v>
      </c>
      <c r="CE1026" s="3">
        <v>12.204156268387408</v>
      </c>
      <c r="CF1026" s="3">
        <v>-0.88251039827925837</v>
      </c>
      <c r="CG1026" s="3">
        <v>-1.4158437316125898</v>
      </c>
      <c r="CH1026" s="3">
        <v>-2.4925103982792578</v>
      </c>
      <c r="CI1026" s="13">
        <f>[1]!dbasum(RecData[[#This Row],[20]:[2000]],RecData[[#Headers],[20]:[2000]])</f>
        <v>40.669270818737637</v>
      </c>
      <c r="CJ1026" s="14">
        <v>10471</v>
      </c>
      <c r="CK1026" s="15" t="s">
        <v>249</v>
      </c>
      <c r="CL1026" s="15">
        <f>RecData[[#This Row],[Start Time]]</f>
        <v>43275.120833333334</v>
      </c>
      <c r="CM1026" s="16">
        <f>RecData[[#This Row],[Wind Speed avg]]</f>
        <v>0.97</v>
      </c>
      <c r="CN1026" s="16">
        <f>RecData[[#This Row],[Wind Dir. avg]]</f>
        <v>180.6</v>
      </c>
      <c r="CO1026" s="16">
        <f>RecData[[#This Row],[Amb. Humidity]]</f>
        <v>72.5</v>
      </c>
      <c r="CP1026" s="16">
        <f>RecData[[#This Row],[Amb. Temperature]]</f>
        <v>11.7</v>
      </c>
      <c r="CQ1026" s="17">
        <f>RecData[[#This Row],[Amb. Rain Gauge]]</f>
        <v>0</v>
      </c>
      <c r="CR1026" s="4" t="s">
        <v>1</v>
      </c>
      <c r="CS1026" s="4" t="s">
        <v>49</v>
      </c>
      <c r="CT1026" s="70">
        <v>1612.68469238281</v>
      </c>
      <c r="CU1026" s="70">
        <v>33.000282287597599</v>
      </c>
      <c r="CV1026" s="70">
        <v>12.347092628479</v>
      </c>
      <c r="CW1026" s="70">
        <v>15.2867422103881</v>
      </c>
      <c r="CX1026" s="4"/>
      <c r="CY1026" s="69"/>
      <c r="CZ1026" s="2" t="b">
        <f>IF($DP$1="YES",IF(RecData[[#This Row],[Power (kW)]]&gt;=$CR$3, TRUE,FALSE),TRUE)</f>
        <v>1</v>
      </c>
      <c r="DA1026" s="16">
        <f>MIN(MOD(180-ABS(ABS($DA$1-RecData[Yaw Angle (°)])-180),360),MOD(180-ABS(ABS($DB$1-RecData[Yaw Angle (°)])-180),360))</f>
        <v>25.470355509910064</v>
      </c>
      <c r="DB1026" s="2" t="str">
        <f>IF($DP$2="None","None",IF(RecData[[#This Row],[Relative Wind Direction]]&lt;=45,"DW",IF(RecData[[#This Row],[Relative Wind Direction]]&lt;=135,"CW","UW")))</f>
        <v>DW</v>
      </c>
      <c r="DC1026" s="61" t="e">
        <f>IF($CL1026-$CL1023&gt;1/24,#REF!,IF(SUM($CQ1023:$CQ1026)&gt;$DS$1,$DS$5,#REF!-1))</f>
        <v>#REF!</v>
      </c>
      <c r="DD1026" s="61" t="e">
        <f>IF(#REF!-$CL1026&gt;1/24,#REF!,IF(SUM($CQ1023:$CQ1026)&gt;$DS$1,$DS$6,DD1025-1))</f>
        <v>#REF!</v>
      </c>
      <c r="DE1026" s="18" t="b">
        <v>0</v>
      </c>
      <c r="DF1026" s="2" t="b">
        <f>IF(OR(RecData[[#This Row],[WSpd_Avg '[m/s']]]-RecData[[#This Row],[Wind Speed min]]&gt;=$DF$3,RecData[[#This Row],[Wind Speed max]]-RecData[[#This Row],[WSpd_Avg '[m/s']]]&gt;=$DF$2),TRUE,FALSE)</f>
        <v>0</v>
      </c>
      <c r="DG1026" s="2" t="b">
        <f>RecData[[#This Row],[Temperature '[°C']]]&lt;=-20</f>
        <v>0</v>
      </c>
      <c r="DH1026" s="18" t="b">
        <f>NOT(OR(MOD(RecData[[#This Row],[TIMESTAMP]],1)&gt;0.91632,MOD(RecData[[#This Row],[TIMESTAMP]],1)&lt;0.208681))</f>
        <v>0</v>
      </c>
      <c r="DI1026" s="18" t="b">
        <f>RecData[[#This Row],[Overall (dBA)]]-RecData[[#This Row],[L90]]&gt;=$DS$4</f>
        <v>0</v>
      </c>
      <c r="DJ1026" s="18" t="b">
        <f>RecData[[#This Row],[Overall (dBA)]]&gt;$DS$2</f>
        <v>0</v>
      </c>
      <c r="DK1026" s="18" t="b">
        <f>RecData[[#This Row],[Overall (dBA)]]&lt;$DS$3</f>
        <v>0</v>
      </c>
      <c r="DL10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6" s="2">
        <f>IF(AND(RecData[[#This Row],[Turbines ON/OFF]] = "OFF", NOT(OR(RecData[[#This Row],[Junk?]]="YES",RecData[[#This Row],[Gust?]],RecData[[#This Row],[Rain?]:[Min SPL Threshold?]]))),1,0)</f>
        <v>0</v>
      </c>
      <c r="DN1026" s="16">
        <f>RecData[[#This Row],[dBA Sum]]</f>
        <v>40.669270818737637</v>
      </c>
      <c r="DO1026" s="16">
        <f>RecData[[#This Row],[LAF90.0]]</f>
        <v>39.799999999999997</v>
      </c>
      <c r="DP1026" s="55">
        <f>IF(AND(RecData[[#This Row],[Useable TON Data?]],RecData[[#This Row],[Turbines ON/OFF]]="ON"),RecData[[#This Row],[dBA Sum]],"")</f>
        <v>40.669270818737637</v>
      </c>
      <c r="DQ1026" s="55" t="str">
        <f>IF(AND(RecData[[#This Row],[Useable Background Data?]],RecData[[#This Row],[Turbines ON/OFF]]="OFF"),RecData[[#This Row],[dBA Sum]],"")</f>
        <v/>
      </c>
      <c r="DR1026" s="3">
        <f>IF(OR(RecData[[#This Row],[Useable TON Data?]],RecData[[#This Row],[Useable Background Data?]]),ROUND(RecData[[#This Row],[WSpd_Avg '[m/s']]],0),"")</f>
        <v>1</v>
      </c>
      <c r="DS1026" s="85">
        <f>(0.00002)^2*(10^(RecData[[#This Row],[Overall (dBA)]]/10))</f>
        <v>4.6664549037981682E-6</v>
      </c>
    </row>
    <row r="1027" spans="1:123" ht="15" x14ac:dyDescent="0.25">
      <c r="A1027" s="3" t="s">
        <v>249</v>
      </c>
      <c r="B1027" s="12">
        <v>43275.122222222228</v>
      </c>
      <c r="C1027" s="3"/>
      <c r="D1027" s="3">
        <v>41.4</v>
      </c>
      <c r="E1027" s="3"/>
      <c r="F1027" s="3"/>
      <c r="G1027" s="3"/>
      <c r="H1027" s="3"/>
      <c r="I1027" s="3"/>
      <c r="J1027" s="3"/>
      <c r="K1027" s="3">
        <v>40.299999999999997</v>
      </c>
      <c r="L1027" s="3"/>
      <c r="M1027" s="3"/>
      <c r="N1027" s="3">
        <v>155.4</v>
      </c>
      <c r="O1027" s="3"/>
      <c r="P1027" s="3"/>
      <c r="Q1027" s="3">
        <v>1.38</v>
      </c>
      <c r="R1027" s="3">
        <v>0.4</v>
      </c>
      <c r="S1027" s="3">
        <v>2.4</v>
      </c>
      <c r="T1027" s="3">
        <v>11.7</v>
      </c>
      <c r="U1027" s="3">
        <v>72.7</v>
      </c>
      <c r="V1027" s="3">
        <v>967.3</v>
      </c>
      <c r="W1027" s="3">
        <v>0</v>
      </c>
      <c r="X1027" s="3">
        <v>46.3</v>
      </c>
      <c r="Y1027" s="3">
        <v>46.7</v>
      </c>
      <c r="Z1027" s="3">
        <v>47.2</v>
      </c>
      <c r="AA1027" s="3">
        <v>42.3</v>
      </c>
      <c r="AB1027" s="3">
        <v>37.299999999999997</v>
      </c>
      <c r="AC1027" s="3">
        <v>35.299999999999997</v>
      </c>
      <c r="AD1027" s="3">
        <v>38.1</v>
      </c>
      <c r="AE1027" s="3">
        <v>39.700000000000003</v>
      </c>
      <c r="AF1027" s="3">
        <v>45.2</v>
      </c>
      <c r="AG1027" s="3">
        <v>38.700000000000003</v>
      </c>
      <c r="AH1027" s="3">
        <v>36.299999999999997</v>
      </c>
      <c r="AI1027" s="3">
        <v>36.6</v>
      </c>
      <c r="AJ1027" s="3">
        <v>35.299999999999997</v>
      </c>
      <c r="AK1027" s="3">
        <v>34.200000000000003</v>
      </c>
      <c r="AL1027" s="3">
        <v>32.799999999999997</v>
      </c>
      <c r="AM1027" s="3">
        <v>32.799999999999997</v>
      </c>
      <c r="AN1027" s="3">
        <v>31.9</v>
      </c>
      <c r="AO1027" s="3">
        <v>30</v>
      </c>
      <c r="AP1027" s="3">
        <v>29</v>
      </c>
      <c r="AQ1027" s="3">
        <v>28.6</v>
      </c>
      <c r="AR1027" s="3">
        <v>28.4</v>
      </c>
      <c r="AS1027" s="3">
        <v>28.3</v>
      </c>
      <c r="AT1027" s="3">
        <v>27.8</v>
      </c>
      <c r="AU1027" s="3">
        <v>26.2</v>
      </c>
      <c r="AV1027" s="3">
        <v>24.3</v>
      </c>
      <c r="AW1027" s="3">
        <v>22.6</v>
      </c>
      <c r="AX1027" s="3">
        <v>17.899999999999999</v>
      </c>
      <c r="AY1027" s="3">
        <v>15.8</v>
      </c>
      <c r="AZ1027" s="3">
        <v>0</v>
      </c>
      <c r="BA1027" s="3">
        <v>0</v>
      </c>
      <c r="BB1027" s="3">
        <v>0</v>
      </c>
      <c r="BC1027" s="3">
        <v>41.403662456380665</v>
      </c>
      <c r="BD1027" s="3">
        <v>46.296337543619323</v>
      </c>
      <c r="BE1027" s="3">
        <v>46.696337543619329</v>
      </c>
      <c r="BF1027" s="3">
        <v>45.956337543619334</v>
      </c>
      <c r="BG1027" s="3">
        <v>41.383004210285996</v>
      </c>
      <c r="BH1027" s="3">
        <v>36.523004210285997</v>
      </c>
      <c r="BI1027" s="3">
        <v>34.936337543619338</v>
      </c>
      <c r="BJ1027" s="3">
        <v>38.529670876952672</v>
      </c>
      <c r="BK1027" s="3">
        <v>40.003004210286001</v>
      </c>
      <c r="BL1027" s="3">
        <v>45.076337543619339</v>
      </c>
      <c r="BM1027" s="3">
        <v>38.709670876952678</v>
      </c>
      <c r="BN1027" s="3">
        <v>36.593004210286004</v>
      </c>
      <c r="BO1027" s="3">
        <v>36.259670876952661</v>
      </c>
      <c r="BP1027" s="3">
        <v>34.676337543619333</v>
      </c>
      <c r="BQ1027" s="3">
        <v>33.993004210285996</v>
      </c>
      <c r="BR1027" s="3">
        <v>32.919670876952658</v>
      </c>
      <c r="BS1027" s="3">
        <v>32.723004210286</v>
      </c>
      <c r="BT1027" s="3">
        <v>32.019670876952667</v>
      </c>
      <c r="BU1027" s="3">
        <v>30.086337543619344</v>
      </c>
      <c r="BV1027" s="3">
        <v>28.803004210285998</v>
      </c>
      <c r="BW1027" s="3">
        <v>28.936337543619338</v>
      </c>
      <c r="BX1027" s="3">
        <v>28.656337543619337</v>
      </c>
      <c r="BY1027" s="3">
        <v>28.376337543619336</v>
      </c>
      <c r="BZ1027" s="3">
        <v>28.006337543619331</v>
      </c>
      <c r="CA1027" s="3">
        <v>26.506337543619331</v>
      </c>
      <c r="CB1027" s="3">
        <v>24.043004210285993</v>
      </c>
      <c r="CC1027" s="3">
        <v>22.556337543619328</v>
      </c>
      <c r="CD1027" s="3">
        <v>17.163004210285997</v>
      </c>
      <c r="CE1027" s="3">
        <v>15.256337543619331</v>
      </c>
      <c r="CF1027" s="3">
        <v>-0.93032912304733628</v>
      </c>
      <c r="CG1027" s="3">
        <v>-1.4636624563806677</v>
      </c>
      <c r="CH1027" s="3">
        <v>-2.5403291230473357</v>
      </c>
      <c r="CI1027" s="13">
        <f>[1]!dbasum(RecData[[#This Row],[20]:[2000]],RecData[[#Headers],[20]:[2000]])</f>
        <v>40.421295016341936</v>
      </c>
      <c r="CJ1027" s="14">
        <v>10473</v>
      </c>
      <c r="CK1027" s="15" t="s">
        <v>249</v>
      </c>
      <c r="CL1027" s="15">
        <f>RecData[[#This Row],[Start Time]]</f>
        <v>43275.122222222228</v>
      </c>
      <c r="CM1027" s="16">
        <f>RecData[[#This Row],[Wind Speed avg]]</f>
        <v>1.38</v>
      </c>
      <c r="CN1027" s="16">
        <f>RecData[[#This Row],[Wind Dir. avg]]</f>
        <v>155.4</v>
      </c>
      <c r="CO1027" s="16">
        <f>RecData[[#This Row],[Amb. Humidity]]</f>
        <v>72.7</v>
      </c>
      <c r="CP1027" s="16">
        <f>RecData[[#This Row],[Amb. Temperature]]</f>
        <v>11.7</v>
      </c>
      <c r="CQ1027" s="17">
        <f>RecData[[#This Row],[Amb. Rain Gauge]]</f>
        <v>0</v>
      </c>
      <c r="CR1027" s="4" t="s">
        <v>1</v>
      </c>
      <c r="CS1027" s="4" t="s">
        <v>49</v>
      </c>
      <c r="CT1027" s="70">
        <v>1612.68469238281</v>
      </c>
      <c r="CU1027" s="70">
        <v>33.000282287597599</v>
      </c>
      <c r="CV1027" s="70">
        <v>12.347092628479</v>
      </c>
      <c r="CW1027" s="70">
        <v>15.2867422103881</v>
      </c>
      <c r="CX1027" s="4"/>
      <c r="CY1027" s="69"/>
      <c r="CZ1027" s="2" t="b">
        <f>IF($DP$1="YES",IF(RecData[[#This Row],[Power (kW)]]&gt;=$CR$3, TRUE,FALSE),TRUE)</f>
        <v>1</v>
      </c>
      <c r="DA1027" s="16">
        <f>MIN(MOD(180-ABS(ABS($DA$1-RecData[Yaw Angle (°)])-180),360),MOD(180-ABS(ABS($DB$1-RecData[Yaw Angle (°)])-180),360))</f>
        <v>25.470355509910064</v>
      </c>
      <c r="DB1027" s="2" t="str">
        <f>IF($DP$2="None","None",IF(RecData[[#This Row],[Relative Wind Direction]]&lt;=45,"DW",IF(RecData[[#This Row],[Relative Wind Direction]]&lt;=135,"CW","UW")))</f>
        <v>DW</v>
      </c>
      <c r="DC1027" s="61" t="e">
        <f>IF($CL1027-$CL1024&gt;1/24,#REF!,IF(SUM($CQ1024:$CQ1027)&gt;$DS$1,$DS$5,#REF!-1))</f>
        <v>#REF!</v>
      </c>
      <c r="DD1027" s="61" t="e">
        <f>IF(#REF!-$CL1027&gt;1/24,#REF!,IF(SUM($CQ1024:$CQ1027)&gt;$DS$1,$DS$6,#REF!-1))</f>
        <v>#REF!</v>
      </c>
      <c r="DE1027" s="18" t="b">
        <v>0</v>
      </c>
      <c r="DF1027" s="2" t="b">
        <f>IF(OR(RecData[[#This Row],[WSpd_Avg '[m/s']]]-RecData[[#This Row],[Wind Speed min]]&gt;=$DF$3,RecData[[#This Row],[Wind Speed max]]-RecData[[#This Row],[WSpd_Avg '[m/s']]]&gt;=$DF$2),TRUE,FALSE)</f>
        <v>0</v>
      </c>
      <c r="DG1027" s="2" t="b">
        <f>RecData[[#This Row],[Temperature '[°C']]]&lt;=-20</f>
        <v>0</v>
      </c>
      <c r="DH1027" s="18" t="b">
        <f>NOT(OR(MOD(RecData[[#This Row],[TIMESTAMP]],1)&gt;0.91632,MOD(RecData[[#This Row],[TIMESTAMP]],1)&lt;0.208681))</f>
        <v>0</v>
      </c>
      <c r="DI1027" s="18" t="b">
        <f>RecData[[#This Row],[Overall (dBA)]]-RecData[[#This Row],[L90]]&gt;=$DS$4</f>
        <v>0</v>
      </c>
      <c r="DJ1027" s="18" t="b">
        <f>RecData[[#This Row],[Overall (dBA)]]&gt;$DS$2</f>
        <v>0</v>
      </c>
      <c r="DK1027" s="18" t="b">
        <f>RecData[[#This Row],[Overall (dBA)]]&lt;$DS$3</f>
        <v>0</v>
      </c>
      <c r="DL10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7" s="2">
        <f>IF(AND(RecData[[#This Row],[Turbines ON/OFF]] = "OFF", NOT(OR(RecData[[#This Row],[Junk?]]="YES",RecData[[#This Row],[Gust?]],RecData[[#This Row],[Rain?]:[Min SPL Threshold?]]))),1,0)</f>
        <v>0</v>
      </c>
      <c r="DN1027" s="16">
        <f>RecData[[#This Row],[dBA Sum]]</f>
        <v>40.421295016341936</v>
      </c>
      <c r="DO1027" s="16">
        <f>RecData[[#This Row],[LAF90.0]]</f>
        <v>40.299999999999997</v>
      </c>
      <c r="DP1027" s="55">
        <f>IF(AND(RecData[[#This Row],[Useable TON Data?]],RecData[[#This Row],[Turbines ON/OFF]]="ON"),RecData[[#This Row],[dBA Sum]],"")</f>
        <v>40.421295016341936</v>
      </c>
      <c r="DQ1027" s="55" t="str">
        <f>IF(AND(RecData[[#This Row],[Useable Background Data?]],RecData[[#This Row],[Turbines ON/OFF]]="OFF"),RecData[[#This Row],[dBA Sum]],"")</f>
        <v/>
      </c>
      <c r="DR1027" s="3">
        <f>IF(OR(RecData[[#This Row],[Useable TON Data?]],RecData[[#This Row],[Useable Background Data?]]),ROUND(RecData[[#This Row],[WSpd_Avg '[m/s']]],0),"")</f>
        <v>1</v>
      </c>
      <c r="DS1027" s="85">
        <f>(0.00002)^2*(10^(RecData[[#This Row],[Overall (dBA)]]/10))</f>
        <v>4.4074712996353864E-6</v>
      </c>
    </row>
    <row r="1028" spans="1:123" ht="15" x14ac:dyDescent="0.25">
      <c r="A1028" s="3" t="s">
        <v>249</v>
      </c>
      <c r="B1028" s="12">
        <v>43275.133333333331</v>
      </c>
      <c r="C1028" s="3"/>
      <c r="D1028" s="3">
        <v>43.4</v>
      </c>
      <c r="E1028" s="3"/>
      <c r="F1028" s="3"/>
      <c r="G1028" s="3"/>
      <c r="H1028" s="3"/>
      <c r="I1028" s="3"/>
      <c r="J1028" s="3"/>
      <c r="K1028" s="3">
        <v>41.7</v>
      </c>
      <c r="L1028" s="3"/>
      <c r="M1028" s="3"/>
      <c r="N1028" s="3">
        <v>170</v>
      </c>
      <c r="O1028" s="3"/>
      <c r="P1028" s="3"/>
      <c r="Q1028" s="3">
        <v>2.0699999999999998</v>
      </c>
      <c r="R1028" s="3">
        <v>0.9</v>
      </c>
      <c r="S1028" s="3">
        <v>3.4</v>
      </c>
      <c r="T1028" s="3">
        <v>11.5</v>
      </c>
      <c r="U1028" s="3">
        <v>73.599999999999994</v>
      </c>
      <c r="V1028" s="3">
        <v>967.4</v>
      </c>
      <c r="W1028" s="3">
        <v>0</v>
      </c>
      <c r="X1028" s="3">
        <v>48.3</v>
      </c>
      <c r="Y1028" s="3">
        <v>47.3</v>
      </c>
      <c r="Z1028" s="3">
        <v>46.9</v>
      </c>
      <c r="AA1028" s="3">
        <v>43.1</v>
      </c>
      <c r="AB1028" s="3">
        <v>38.4</v>
      </c>
      <c r="AC1028" s="3">
        <v>38.299999999999997</v>
      </c>
      <c r="AD1028" s="3">
        <v>40.6</v>
      </c>
      <c r="AE1028" s="3">
        <v>41.8</v>
      </c>
      <c r="AF1028" s="3">
        <v>45.3</v>
      </c>
      <c r="AG1028" s="3">
        <v>40</v>
      </c>
      <c r="AH1028" s="3">
        <v>38</v>
      </c>
      <c r="AI1028" s="3">
        <v>37.5</v>
      </c>
      <c r="AJ1028" s="3">
        <v>37</v>
      </c>
      <c r="AK1028" s="3">
        <v>35.5</v>
      </c>
      <c r="AL1028" s="3">
        <v>34.299999999999997</v>
      </c>
      <c r="AM1028" s="3">
        <v>34.4</v>
      </c>
      <c r="AN1028" s="3">
        <v>33.5</v>
      </c>
      <c r="AO1028" s="3">
        <v>32</v>
      </c>
      <c r="AP1028" s="3">
        <v>31.2</v>
      </c>
      <c r="AQ1028" s="3">
        <v>31</v>
      </c>
      <c r="AR1028" s="3">
        <v>31</v>
      </c>
      <c r="AS1028" s="3">
        <v>31</v>
      </c>
      <c r="AT1028" s="3">
        <v>30.6</v>
      </c>
      <c r="AU1028" s="3">
        <v>28.9</v>
      </c>
      <c r="AV1028" s="3">
        <v>27.4</v>
      </c>
      <c r="AW1028" s="3">
        <v>26</v>
      </c>
      <c r="AX1028" s="3">
        <v>21</v>
      </c>
      <c r="AY1028" s="3">
        <v>18.899999999999999</v>
      </c>
      <c r="AZ1028" s="3">
        <v>0</v>
      </c>
      <c r="BA1028" s="3">
        <v>0</v>
      </c>
      <c r="BB1028" s="3">
        <v>0</v>
      </c>
      <c r="BC1028" s="3">
        <v>43.359425974792259</v>
      </c>
      <c r="BD1028" s="3">
        <v>48.340574025207729</v>
      </c>
      <c r="BE1028" s="3">
        <v>47.340574025207729</v>
      </c>
      <c r="BF1028" s="3">
        <v>45.700574025207743</v>
      </c>
      <c r="BG1028" s="3">
        <v>42.227240691874414</v>
      </c>
      <c r="BH1028" s="3">
        <v>37.667240691874412</v>
      </c>
      <c r="BI1028" s="3">
        <v>37.980574025207744</v>
      </c>
      <c r="BJ1028" s="3">
        <v>41.073907358541078</v>
      </c>
      <c r="BK1028" s="3">
        <v>42.147240691874401</v>
      </c>
      <c r="BL1028" s="3">
        <v>45.220574025207739</v>
      </c>
      <c r="BM1028" s="3">
        <v>40.053907358541068</v>
      </c>
      <c r="BN1028" s="3">
        <v>38.337240691874399</v>
      </c>
      <c r="BO1028" s="3">
        <v>37.203907358541073</v>
      </c>
      <c r="BP1028" s="3">
        <v>36.420574025207742</v>
      </c>
      <c r="BQ1028" s="3">
        <v>35.337240691874399</v>
      </c>
      <c r="BR1028" s="3">
        <v>34.463907358541064</v>
      </c>
      <c r="BS1028" s="3">
        <v>34.3672406918744</v>
      </c>
      <c r="BT1028" s="3">
        <v>33.663907358541081</v>
      </c>
      <c r="BU1028" s="3">
        <v>32.13057402520775</v>
      </c>
      <c r="BV1028" s="3">
        <v>31.047240691874407</v>
      </c>
      <c r="BW1028" s="3">
        <v>31.38057402520775</v>
      </c>
      <c r="BX1028" s="3">
        <v>31.300574025207737</v>
      </c>
      <c r="BY1028" s="3">
        <v>31.120574025207731</v>
      </c>
      <c r="BZ1028" s="3">
        <v>30.850574025207749</v>
      </c>
      <c r="CA1028" s="3">
        <v>29.250574025207726</v>
      </c>
      <c r="CB1028" s="3">
        <v>27.187240691874408</v>
      </c>
      <c r="CC1028" s="3">
        <v>26.00057402520774</v>
      </c>
      <c r="CD1028" s="3">
        <v>20.307240691874412</v>
      </c>
      <c r="CE1028" s="3">
        <v>18.400574025207732</v>
      </c>
      <c r="CF1028" s="3">
        <v>-0.88609264145893007</v>
      </c>
      <c r="CG1028" s="3">
        <v>-1.4194259747922615</v>
      </c>
      <c r="CH1028" s="3">
        <v>-2.4960926414589295</v>
      </c>
      <c r="CI1028" s="13">
        <f>[1]!dbasum(RecData[[#This Row],[20]:[2000]],RecData[[#Headers],[20]:[2000]])</f>
        <v>42.186798484603045</v>
      </c>
      <c r="CJ1028" s="14">
        <v>10489</v>
      </c>
      <c r="CK1028" s="15" t="s">
        <v>249</v>
      </c>
      <c r="CL1028" s="15">
        <f>RecData[[#This Row],[Start Time]]</f>
        <v>43275.133333333331</v>
      </c>
      <c r="CM1028" s="16">
        <f>RecData[[#This Row],[Wind Speed avg]]</f>
        <v>2.0699999999999998</v>
      </c>
      <c r="CN1028" s="16">
        <f>RecData[[#This Row],[Wind Dir. avg]]</f>
        <v>170</v>
      </c>
      <c r="CO1028" s="16">
        <f>RecData[[#This Row],[Amb. Humidity]]</f>
        <v>73.599999999999994</v>
      </c>
      <c r="CP1028" s="16">
        <f>RecData[[#This Row],[Amb. Temperature]]</f>
        <v>11.5</v>
      </c>
      <c r="CQ1028" s="17">
        <f>RecData[[#This Row],[Amb. Rain Gauge]]</f>
        <v>0</v>
      </c>
      <c r="CR1028" s="4" t="s">
        <v>1</v>
      </c>
      <c r="CS1028" s="4" t="s">
        <v>49</v>
      </c>
      <c r="CT1028" s="70">
        <v>1615.14123535156</v>
      </c>
      <c r="CU1028" s="70">
        <v>33.000282287597599</v>
      </c>
      <c r="CV1028" s="70">
        <v>12.815073966979901</v>
      </c>
      <c r="CW1028" s="70">
        <v>15.2827644348144</v>
      </c>
      <c r="CX1028" s="4"/>
      <c r="CY1028" s="69"/>
      <c r="CZ1028" s="2" t="b">
        <f>IF($DP$1="YES",IF(RecData[[#This Row],[Power (kW)]]&gt;=$CR$3, TRUE,FALSE),TRUE)</f>
        <v>1</v>
      </c>
      <c r="DA1028" s="16">
        <f>MIN(MOD(180-ABS(ABS($DA$1-RecData[Yaw Angle (°)])-180),360),MOD(180-ABS(ABS($DB$1-RecData[Yaw Angle (°)])-180),360))</f>
        <v>25.470355509910064</v>
      </c>
      <c r="DB1028" s="2" t="str">
        <f>IF($DP$2="None","None",IF(RecData[[#This Row],[Relative Wind Direction]]&lt;=45,"DW",IF(RecData[[#This Row],[Relative Wind Direction]]&lt;=135,"CW","UW")))</f>
        <v>DW</v>
      </c>
      <c r="DC1028" s="61" t="e">
        <f>IF($CL1028-#REF!&gt;1/24,#REF!,IF(SUM($CQ1028:$CQ1028)&gt;$DS$1,$DS$5,#REF!-1))</f>
        <v>#REF!</v>
      </c>
      <c r="DD1028" s="61" t="e">
        <f>IF(#REF!-$CL1028&gt;1/24,#REF!,IF(SUM($CQ1028:$CQ1028)&gt;$DS$1,$DS$6,#REF!-1))</f>
        <v>#REF!</v>
      </c>
      <c r="DE1028" s="18" t="b">
        <v>0</v>
      </c>
      <c r="DF1028" s="2" t="b">
        <f>IF(OR(RecData[[#This Row],[WSpd_Avg '[m/s']]]-RecData[[#This Row],[Wind Speed min]]&gt;=$DF$3,RecData[[#This Row],[Wind Speed max]]-RecData[[#This Row],[WSpd_Avg '[m/s']]]&gt;=$DF$2),TRUE,FALSE)</f>
        <v>0</v>
      </c>
      <c r="DG1028" s="2" t="b">
        <f>RecData[[#This Row],[Temperature '[°C']]]&lt;=-20</f>
        <v>0</v>
      </c>
      <c r="DH1028" s="18" t="b">
        <f>NOT(OR(MOD(RecData[[#This Row],[TIMESTAMP]],1)&gt;0.91632,MOD(RecData[[#This Row],[TIMESTAMP]],1)&lt;0.208681))</f>
        <v>0</v>
      </c>
      <c r="DI1028" s="18" t="b">
        <f>RecData[[#This Row],[Overall (dBA)]]-RecData[[#This Row],[L90]]&gt;=$DS$4</f>
        <v>0</v>
      </c>
      <c r="DJ1028" s="18" t="b">
        <f>RecData[[#This Row],[Overall (dBA)]]&gt;$DS$2</f>
        <v>0</v>
      </c>
      <c r="DK1028" s="18" t="b">
        <f>RecData[[#This Row],[Overall (dBA)]]&lt;$DS$3</f>
        <v>0</v>
      </c>
      <c r="DL10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8" s="2">
        <f>IF(AND(RecData[[#This Row],[Turbines ON/OFF]] = "OFF", NOT(OR(RecData[[#This Row],[Junk?]]="YES",RecData[[#This Row],[Gust?]],RecData[[#This Row],[Rain?]:[Min SPL Threshold?]]))),1,0)</f>
        <v>0</v>
      </c>
      <c r="DN1028" s="16">
        <f>RecData[[#This Row],[dBA Sum]]</f>
        <v>42.186798484603045</v>
      </c>
      <c r="DO1028" s="16">
        <f>RecData[[#This Row],[LAF90.0]]</f>
        <v>41.7</v>
      </c>
      <c r="DP1028" s="55">
        <f>IF(AND(RecData[[#This Row],[Useable TON Data?]],RecData[[#This Row],[Turbines ON/OFF]]="ON"),RecData[[#This Row],[dBA Sum]],"")</f>
        <v>42.186798484603045</v>
      </c>
      <c r="DQ1028" s="55" t="str">
        <f>IF(AND(RecData[[#This Row],[Useable Background Data?]],RecData[[#This Row],[Turbines ON/OFF]]="OFF"),RecData[[#This Row],[dBA Sum]],"")</f>
        <v/>
      </c>
      <c r="DR1028" s="3">
        <f>IF(OR(RecData[[#This Row],[Useable TON Data?]],RecData[[#This Row],[Useable Background Data?]]),ROUND(RecData[[#This Row],[WSpd_Avg '[m/s']]],0),"")</f>
        <v>2</v>
      </c>
      <c r="DS1028" s="85">
        <f>(0.00002)^2*(10^(RecData[[#This Row],[Overall (dBA)]]/10))</f>
        <v>6.6181992764292059E-6</v>
      </c>
    </row>
    <row r="1029" spans="1:123" ht="15" x14ac:dyDescent="0.25">
      <c r="A1029" s="3" t="s">
        <v>249</v>
      </c>
      <c r="B1029" s="12">
        <v>43275.138888888891</v>
      </c>
      <c r="C1029" s="3"/>
      <c r="D1029" s="3">
        <v>42.5</v>
      </c>
      <c r="E1029" s="3"/>
      <c r="F1029" s="3"/>
      <c r="G1029" s="3"/>
      <c r="H1029" s="3"/>
      <c r="I1029" s="3"/>
      <c r="J1029" s="3"/>
      <c r="K1029" s="3">
        <v>41.5</v>
      </c>
      <c r="L1029" s="3"/>
      <c r="M1029" s="3"/>
      <c r="N1029" s="3">
        <v>208</v>
      </c>
      <c r="O1029" s="3"/>
      <c r="P1029" s="3"/>
      <c r="Q1029" s="3">
        <v>1.42</v>
      </c>
      <c r="R1029" s="3">
        <v>0.4</v>
      </c>
      <c r="S1029" s="3">
        <v>2.4</v>
      </c>
      <c r="T1029" s="3">
        <v>11.4</v>
      </c>
      <c r="U1029" s="3">
        <v>74</v>
      </c>
      <c r="V1029" s="3">
        <v>967.5</v>
      </c>
      <c r="W1029" s="3">
        <v>0</v>
      </c>
      <c r="X1029" s="3">
        <v>48.3</v>
      </c>
      <c r="Y1029" s="3">
        <v>47.1</v>
      </c>
      <c r="Z1029" s="3">
        <v>46.5</v>
      </c>
      <c r="AA1029" s="3">
        <v>43</v>
      </c>
      <c r="AB1029" s="3">
        <v>38</v>
      </c>
      <c r="AC1029" s="3">
        <v>36.700000000000003</v>
      </c>
      <c r="AD1029" s="3">
        <v>39.9</v>
      </c>
      <c r="AE1029" s="3">
        <v>41.7</v>
      </c>
      <c r="AF1029" s="3">
        <v>45.6</v>
      </c>
      <c r="AG1029" s="3">
        <v>40.4</v>
      </c>
      <c r="AH1029" s="3">
        <v>38</v>
      </c>
      <c r="AI1029" s="3">
        <v>37.9</v>
      </c>
      <c r="AJ1029" s="3">
        <v>37.1</v>
      </c>
      <c r="AK1029" s="3">
        <v>35.6</v>
      </c>
      <c r="AL1029" s="3">
        <v>34.299999999999997</v>
      </c>
      <c r="AM1029" s="3">
        <v>34.299999999999997</v>
      </c>
      <c r="AN1029" s="3">
        <v>33.5</v>
      </c>
      <c r="AO1029" s="3">
        <v>31.7</v>
      </c>
      <c r="AP1029" s="3">
        <v>30.5</v>
      </c>
      <c r="AQ1029" s="3">
        <v>29.6</v>
      </c>
      <c r="AR1029" s="3">
        <v>29</v>
      </c>
      <c r="AS1029" s="3">
        <v>28.5</v>
      </c>
      <c r="AT1029" s="3">
        <v>27.3</v>
      </c>
      <c r="AU1029" s="3">
        <v>25.5</v>
      </c>
      <c r="AV1029" s="3">
        <v>24.4</v>
      </c>
      <c r="AW1029" s="3">
        <v>21.8</v>
      </c>
      <c r="AX1029" s="3">
        <v>17.100000000000001</v>
      </c>
      <c r="AY1029" s="3">
        <v>13.5</v>
      </c>
      <c r="AZ1029" s="3">
        <v>0</v>
      </c>
      <c r="BA1029" s="3">
        <v>0</v>
      </c>
      <c r="BB1029" s="3">
        <v>0</v>
      </c>
      <c r="BC1029" s="3">
        <v>42.493997536361576</v>
      </c>
      <c r="BD1029" s="3">
        <v>48.306002463638421</v>
      </c>
      <c r="BE1029" s="3">
        <v>47.106002463638418</v>
      </c>
      <c r="BF1029" s="3">
        <v>45.266002463638415</v>
      </c>
      <c r="BG1029" s="3">
        <v>42.092669130305097</v>
      </c>
      <c r="BH1029" s="3">
        <v>37.232669130305084</v>
      </c>
      <c r="BI1029" s="3">
        <v>36.346002463638428</v>
      </c>
      <c r="BJ1029" s="3">
        <v>40.339335796971753</v>
      </c>
      <c r="BK1029" s="3">
        <v>42.012669130305085</v>
      </c>
      <c r="BL1029" s="3">
        <v>45.486002463638428</v>
      </c>
      <c r="BM1029" s="3">
        <v>40.419335796971751</v>
      </c>
      <c r="BN1029" s="3">
        <v>38.302669130305091</v>
      </c>
      <c r="BO1029" s="3">
        <v>37.569335796971757</v>
      </c>
      <c r="BP1029" s="3">
        <v>36.486002463638428</v>
      </c>
      <c r="BQ1029" s="3">
        <v>35.402669130305085</v>
      </c>
      <c r="BR1029" s="3">
        <v>34.429335796971756</v>
      </c>
      <c r="BS1029" s="3">
        <v>34.232669130305084</v>
      </c>
      <c r="BT1029" s="3">
        <v>33.629335796971759</v>
      </c>
      <c r="BU1029" s="3">
        <v>31.79600246363843</v>
      </c>
      <c r="BV1029" s="3">
        <v>30.312669130305096</v>
      </c>
      <c r="BW1029" s="3">
        <v>29.946002463638422</v>
      </c>
      <c r="BX1029" s="3">
        <v>29.266002463638429</v>
      </c>
      <c r="BY1029" s="3">
        <v>28.586002463638422</v>
      </c>
      <c r="BZ1029" s="3">
        <v>27.516002463638429</v>
      </c>
      <c r="CA1029" s="3">
        <v>25.816002463638412</v>
      </c>
      <c r="CB1029" s="3">
        <v>24.152669130305085</v>
      </c>
      <c r="CC1029" s="3">
        <v>21.766002463638415</v>
      </c>
      <c r="CD1029" s="3">
        <v>16.372669130305098</v>
      </c>
      <c r="CE1029" s="3">
        <v>12.966002463638425</v>
      </c>
      <c r="CF1029" s="3">
        <v>-0.92066420302824525</v>
      </c>
      <c r="CG1029" s="3">
        <v>-1.4539975363615767</v>
      </c>
      <c r="CH1029" s="3">
        <v>-2.5306642030282447</v>
      </c>
      <c r="CI1029" s="13">
        <f>[1]!dbasum(RecData[[#This Row],[20]:[2000]],RecData[[#Headers],[20]:[2000]])</f>
        <v>41.797675750195786</v>
      </c>
      <c r="CJ1029" s="14">
        <v>10497</v>
      </c>
      <c r="CK1029" s="15" t="s">
        <v>249</v>
      </c>
      <c r="CL1029" s="15">
        <f>RecData[[#This Row],[Start Time]]</f>
        <v>43275.138888888891</v>
      </c>
      <c r="CM1029" s="16">
        <f>RecData[[#This Row],[Wind Speed avg]]</f>
        <v>1.42</v>
      </c>
      <c r="CN1029" s="16">
        <f>RecData[[#This Row],[Wind Dir. avg]]</f>
        <v>208</v>
      </c>
      <c r="CO1029" s="16">
        <f>RecData[[#This Row],[Amb. Humidity]]</f>
        <v>74</v>
      </c>
      <c r="CP1029" s="16">
        <f>RecData[[#This Row],[Amb. Temperature]]</f>
        <v>11.4</v>
      </c>
      <c r="CQ1029" s="17">
        <f>RecData[[#This Row],[Amb. Rain Gauge]]</f>
        <v>0</v>
      </c>
      <c r="CR1029" s="4" t="s">
        <v>1</v>
      </c>
      <c r="CS1029" s="4" t="s">
        <v>49</v>
      </c>
      <c r="CT1029" s="70">
        <v>1615.14123535156</v>
      </c>
      <c r="CU1029" s="70">
        <v>33.000282287597599</v>
      </c>
      <c r="CV1029" s="70">
        <v>12.815073966979901</v>
      </c>
      <c r="CW1029" s="70">
        <v>15.2827644348144</v>
      </c>
      <c r="CX1029" s="4"/>
      <c r="CY1029" s="69"/>
      <c r="CZ1029" s="2" t="b">
        <f>IF($DP$1="YES",IF(RecData[[#This Row],[Power (kW)]]&gt;=$CR$3, TRUE,FALSE),TRUE)</f>
        <v>1</v>
      </c>
      <c r="DA1029" s="16">
        <f>MIN(MOD(180-ABS(ABS($DA$1-RecData[Yaw Angle (°)])-180),360),MOD(180-ABS(ABS($DB$1-RecData[Yaw Angle (°)])-180),360))</f>
        <v>25.470355509910064</v>
      </c>
      <c r="DB1029" s="2" t="str">
        <f>IF($DP$2="None","None",IF(RecData[[#This Row],[Relative Wind Direction]]&lt;=45,"DW",IF(RecData[[#This Row],[Relative Wind Direction]]&lt;=135,"CW","UW")))</f>
        <v>DW</v>
      </c>
      <c r="DC1029" s="61" t="e">
        <f>IF($CL1029-#REF!&gt;1/24,#REF!,IF(SUM($CQ1029:$CQ1029)&gt;$DS$1,$DS$5,#REF!-1))</f>
        <v>#REF!</v>
      </c>
      <c r="DD1029" s="61" t="e">
        <f>IF(#REF!-$CL1029&gt;1/24,#REF!,IF(SUM($CQ1029:$CQ1029)&gt;$DS$1,$DS$6,#REF!-1))</f>
        <v>#REF!</v>
      </c>
      <c r="DE1029" s="18" t="b">
        <v>0</v>
      </c>
      <c r="DF1029" s="2" t="b">
        <f>IF(OR(RecData[[#This Row],[WSpd_Avg '[m/s']]]-RecData[[#This Row],[Wind Speed min]]&gt;=$DF$3,RecData[[#This Row],[Wind Speed max]]-RecData[[#This Row],[WSpd_Avg '[m/s']]]&gt;=$DF$2),TRUE,FALSE)</f>
        <v>0</v>
      </c>
      <c r="DG1029" s="2" t="b">
        <f>RecData[[#This Row],[Temperature '[°C']]]&lt;=-20</f>
        <v>0</v>
      </c>
      <c r="DH1029" s="18" t="b">
        <f>NOT(OR(MOD(RecData[[#This Row],[TIMESTAMP]],1)&gt;0.91632,MOD(RecData[[#This Row],[TIMESTAMP]],1)&lt;0.208681))</f>
        <v>0</v>
      </c>
      <c r="DI1029" s="18" t="b">
        <f>RecData[[#This Row],[Overall (dBA)]]-RecData[[#This Row],[L90]]&gt;=$DS$4</f>
        <v>0</v>
      </c>
      <c r="DJ1029" s="18" t="b">
        <f>RecData[[#This Row],[Overall (dBA)]]&gt;$DS$2</f>
        <v>0</v>
      </c>
      <c r="DK1029" s="18" t="b">
        <f>RecData[[#This Row],[Overall (dBA)]]&lt;$DS$3</f>
        <v>0</v>
      </c>
      <c r="DL10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29" s="2">
        <f>IF(AND(RecData[[#This Row],[Turbines ON/OFF]] = "OFF", NOT(OR(RecData[[#This Row],[Junk?]]="YES",RecData[[#This Row],[Gust?]],RecData[[#This Row],[Rain?]:[Min SPL Threshold?]]))),1,0)</f>
        <v>0</v>
      </c>
      <c r="DN1029" s="16">
        <f>RecData[[#This Row],[dBA Sum]]</f>
        <v>41.797675750195786</v>
      </c>
      <c r="DO1029" s="16">
        <f>RecData[[#This Row],[LAF90.0]]</f>
        <v>41.5</v>
      </c>
      <c r="DP1029" s="55">
        <f>IF(AND(RecData[[#This Row],[Useable TON Data?]],RecData[[#This Row],[Turbines ON/OFF]]="ON"),RecData[[#This Row],[dBA Sum]],"")</f>
        <v>41.797675750195786</v>
      </c>
      <c r="DQ1029" s="55" t="str">
        <f>IF(AND(RecData[[#This Row],[Useable Background Data?]],RecData[[#This Row],[Turbines ON/OFF]]="OFF"),RecData[[#This Row],[dBA Sum]],"")</f>
        <v/>
      </c>
      <c r="DR1029" s="3">
        <f>IF(OR(RecData[[#This Row],[Useable TON Data?]],RecData[[#This Row],[Useable Background Data?]]),ROUND(RecData[[#This Row],[WSpd_Avg '[m/s']]],0),"")</f>
        <v>1</v>
      </c>
      <c r="DS1029" s="85">
        <f>(0.00002)^2*(10^(RecData[[#This Row],[Overall (dBA)]]/10))</f>
        <v>6.0510057600917073E-6</v>
      </c>
    </row>
    <row r="1030" spans="1:123" ht="15" x14ac:dyDescent="0.25">
      <c r="A1030" s="3" t="s">
        <v>249</v>
      </c>
      <c r="B1030" s="12">
        <v>43275.143055555556</v>
      </c>
      <c r="C1030" s="3"/>
      <c r="D1030" s="3">
        <v>41.5</v>
      </c>
      <c r="E1030" s="3"/>
      <c r="F1030" s="3"/>
      <c r="G1030" s="3"/>
      <c r="H1030" s="3"/>
      <c r="I1030" s="3"/>
      <c r="J1030" s="3"/>
      <c r="K1030" s="3">
        <v>40.700000000000003</v>
      </c>
      <c r="L1030" s="3"/>
      <c r="M1030" s="3"/>
      <c r="N1030" s="3">
        <v>181.9</v>
      </c>
      <c r="O1030" s="3"/>
      <c r="P1030" s="3"/>
      <c r="Q1030" s="3">
        <v>0.69</v>
      </c>
      <c r="R1030" s="3">
        <v>0.2</v>
      </c>
      <c r="S1030" s="3">
        <v>1.8</v>
      </c>
      <c r="T1030" s="3">
        <v>11.3</v>
      </c>
      <c r="U1030" s="3">
        <v>74.2</v>
      </c>
      <c r="V1030" s="3">
        <v>967.5</v>
      </c>
      <c r="W1030" s="3">
        <v>0</v>
      </c>
      <c r="X1030" s="3">
        <v>48.2</v>
      </c>
      <c r="Y1030" s="3">
        <v>47.5</v>
      </c>
      <c r="Z1030" s="3">
        <v>48.2</v>
      </c>
      <c r="AA1030" s="3">
        <v>44</v>
      </c>
      <c r="AB1030" s="3">
        <v>37.799999999999997</v>
      </c>
      <c r="AC1030" s="3">
        <v>37.200000000000003</v>
      </c>
      <c r="AD1030" s="3">
        <v>39.799999999999997</v>
      </c>
      <c r="AE1030" s="3">
        <v>41.1</v>
      </c>
      <c r="AF1030" s="3">
        <v>45.2</v>
      </c>
      <c r="AG1030" s="3">
        <v>38.5</v>
      </c>
      <c r="AH1030" s="3">
        <v>37.4</v>
      </c>
      <c r="AI1030" s="3">
        <v>36.700000000000003</v>
      </c>
      <c r="AJ1030" s="3">
        <v>36.1</v>
      </c>
      <c r="AK1030" s="3">
        <v>34.6</v>
      </c>
      <c r="AL1030" s="3">
        <v>33.299999999999997</v>
      </c>
      <c r="AM1030" s="3">
        <v>33.6</v>
      </c>
      <c r="AN1030" s="3">
        <v>32.799999999999997</v>
      </c>
      <c r="AO1030" s="3">
        <v>30.7</v>
      </c>
      <c r="AP1030" s="3">
        <v>29.5</v>
      </c>
      <c r="AQ1030" s="3">
        <v>28.8</v>
      </c>
      <c r="AR1030" s="3">
        <v>27.9</v>
      </c>
      <c r="AS1030" s="3">
        <v>27.1</v>
      </c>
      <c r="AT1030" s="3">
        <v>25.9</v>
      </c>
      <c r="AU1030" s="3">
        <v>23.7</v>
      </c>
      <c r="AV1030" s="3">
        <v>22.2</v>
      </c>
      <c r="AW1030" s="3">
        <v>20.7</v>
      </c>
      <c r="AX1030" s="3">
        <v>16.399999999999999</v>
      </c>
      <c r="AY1030" s="3">
        <v>14.5</v>
      </c>
      <c r="AZ1030" s="3">
        <v>0</v>
      </c>
      <c r="BA1030" s="3">
        <v>0</v>
      </c>
      <c r="BB1030" s="3">
        <v>0</v>
      </c>
      <c r="BC1030" s="3">
        <v>41.51553533770435</v>
      </c>
      <c r="BD1030" s="3">
        <v>48.184464662295653</v>
      </c>
      <c r="BE1030" s="3">
        <v>47.48446466229565</v>
      </c>
      <c r="BF1030" s="3">
        <v>46.944464662295658</v>
      </c>
      <c r="BG1030" s="3">
        <v>43.071131328962323</v>
      </c>
      <c r="BH1030" s="3">
        <v>37.011131328962321</v>
      </c>
      <c r="BI1030" s="3">
        <v>36.824464662295654</v>
      </c>
      <c r="BJ1030" s="3">
        <v>40.21779799562897</v>
      </c>
      <c r="BK1030" s="3">
        <v>41.391131328962317</v>
      </c>
      <c r="BL1030" s="3">
        <v>45.064464662295663</v>
      </c>
      <c r="BM1030" s="3">
        <v>38.497797995628986</v>
      </c>
      <c r="BN1030" s="3">
        <v>37.681131328962309</v>
      </c>
      <c r="BO1030" s="3">
        <v>36.347797995628994</v>
      </c>
      <c r="BP1030" s="3">
        <v>35.464464662295654</v>
      </c>
      <c r="BQ1030" s="3">
        <v>34.381131328962311</v>
      </c>
      <c r="BR1030" s="3">
        <v>33.407797995628982</v>
      </c>
      <c r="BS1030" s="3">
        <v>33.511131328962321</v>
      </c>
      <c r="BT1030" s="3">
        <v>32.907797995628982</v>
      </c>
      <c r="BU1030" s="3">
        <v>30.774464662295657</v>
      </c>
      <c r="BV1030" s="3">
        <v>29.291131328962322</v>
      </c>
      <c r="BW1030" s="3">
        <v>29.124464662295651</v>
      </c>
      <c r="BX1030" s="3">
        <v>28.144464662295647</v>
      </c>
      <c r="BY1030" s="3">
        <v>27.164464662295657</v>
      </c>
      <c r="BZ1030" s="3">
        <v>26.09446466229565</v>
      </c>
      <c r="CA1030" s="3">
        <v>23.994464662295641</v>
      </c>
      <c r="CB1030" s="3">
        <v>21.931131328962316</v>
      </c>
      <c r="CC1030" s="3">
        <v>20.644464662295647</v>
      </c>
      <c r="CD1030" s="3">
        <v>15.651131328962322</v>
      </c>
      <c r="CE1030" s="3">
        <v>13.944464662295651</v>
      </c>
      <c r="CF1030" s="3">
        <v>-0.94220200437101909</v>
      </c>
      <c r="CG1030" s="3">
        <v>-1.4755353377043505</v>
      </c>
      <c r="CH1030" s="3">
        <v>-2.5522020043710185</v>
      </c>
      <c r="CI1030" s="13">
        <f>[1]!dbasum(RecData[[#This Row],[20]:[2000]],RecData[[#Headers],[20]:[2000]])</f>
        <v>40.885288537656741</v>
      </c>
      <c r="CJ1030" s="14">
        <v>10503</v>
      </c>
      <c r="CK1030" s="15" t="s">
        <v>249</v>
      </c>
      <c r="CL1030" s="15">
        <f>RecData[[#This Row],[Start Time]]</f>
        <v>43275.143055555556</v>
      </c>
      <c r="CM1030" s="16">
        <f>RecData[[#This Row],[Wind Speed avg]]</f>
        <v>0.69</v>
      </c>
      <c r="CN1030" s="16">
        <f>RecData[[#This Row],[Wind Dir. avg]]</f>
        <v>181.9</v>
      </c>
      <c r="CO1030" s="16">
        <f>RecData[[#This Row],[Amb. Humidity]]</f>
        <v>74.2</v>
      </c>
      <c r="CP1030" s="16">
        <f>RecData[[#This Row],[Amb. Temperature]]</f>
        <v>11.3</v>
      </c>
      <c r="CQ1030" s="17">
        <f>RecData[[#This Row],[Amb. Rain Gauge]]</f>
        <v>0</v>
      </c>
      <c r="CR1030" s="4" t="s">
        <v>1</v>
      </c>
      <c r="CS1030" s="4" t="s">
        <v>49</v>
      </c>
      <c r="CT1030" s="70">
        <v>1616.29211425781</v>
      </c>
      <c r="CU1030" s="70">
        <v>33.000282287597599</v>
      </c>
      <c r="CV1030" s="70">
        <v>13.1609983444213</v>
      </c>
      <c r="CW1030" s="70">
        <v>15.3062286376953</v>
      </c>
      <c r="CX1030" s="4"/>
      <c r="CY1030" s="69"/>
      <c r="CZ1030" s="2" t="b">
        <f>IF($DP$1="YES",IF(RecData[[#This Row],[Power (kW)]]&gt;=$CR$3, TRUE,FALSE),TRUE)</f>
        <v>1</v>
      </c>
      <c r="DA1030" s="16">
        <f>MIN(MOD(180-ABS(ABS($DA$1-RecData[Yaw Angle (°)])-180),360),MOD(180-ABS(ABS($DB$1-RecData[Yaw Angle (°)])-180),360))</f>
        <v>25.470355509910064</v>
      </c>
      <c r="DB1030" s="2" t="str">
        <f>IF($DP$2="None","None",IF(RecData[[#This Row],[Relative Wind Direction]]&lt;=45,"DW",IF(RecData[[#This Row],[Relative Wind Direction]]&lt;=135,"CW","UW")))</f>
        <v>DW</v>
      </c>
      <c r="DC1030" s="61" t="e">
        <f>IF($CL1030-#REF!&gt;1/24,#REF!,IF(SUM($CQ1030:$CQ1030)&gt;$DS$1,$DS$5,#REF!-1))</f>
        <v>#REF!</v>
      </c>
      <c r="DD1030" s="61" t="e">
        <f>IF(#REF!-$CL1030&gt;1/24,#REF!,IF(SUM($CQ1030:$CQ1030)&gt;$DS$1,$DS$6,#REF!-1))</f>
        <v>#REF!</v>
      </c>
      <c r="DE1030" s="18" t="b">
        <v>0</v>
      </c>
      <c r="DF1030" s="2" t="b">
        <f>IF(OR(RecData[[#This Row],[WSpd_Avg '[m/s']]]-RecData[[#This Row],[Wind Speed min]]&gt;=$DF$3,RecData[[#This Row],[Wind Speed max]]-RecData[[#This Row],[WSpd_Avg '[m/s']]]&gt;=$DF$2),TRUE,FALSE)</f>
        <v>0</v>
      </c>
      <c r="DG1030" s="2" t="b">
        <f>RecData[[#This Row],[Temperature '[°C']]]&lt;=-20</f>
        <v>0</v>
      </c>
      <c r="DH1030" s="18" t="b">
        <f>NOT(OR(MOD(RecData[[#This Row],[TIMESTAMP]],1)&gt;0.91632,MOD(RecData[[#This Row],[TIMESTAMP]],1)&lt;0.208681))</f>
        <v>0</v>
      </c>
      <c r="DI1030" s="18" t="b">
        <f>RecData[[#This Row],[Overall (dBA)]]-RecData[[#This Row],[L90]]&gt;=$DS$4</f>
        <v>0</v>
      </c>
      <c r="DJ1030" s="18" t="b">
        <f>RecData[[#This Row],[Overall (dBA)]]&gt;$DS$2</f>
        <v>0</v>
      </c>
      <c r="DK1030" s="18" t="b">
        <f>RecData[[#This Row],[Overall (dBA)]]&lt;$DS$3</f>
        <v>0</v>
      </c>
      <c r="DL10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0" s="2">
        <f>IF(AND(RecData[[#This Row],[Turbines ON/OFF]] = "OFF", NOT(OR(RecData[[#This Row],[Junk?]]="YES",RecData[[#This Row],[Gust?]],RecData[[#This Row],[Rain?]:[Min SPL Threshold?]]))),1,0)</f>
        <v>0</v>
      </c>
      <c r="DN1030" s="16">
        <f>RecData[[#This Row],[dBA Sum]]</f>
        <v>40.885288537656741</v>
      </c>
      <c r="DO1030" s="16">
        <f>RecData[[#This Row],[LAF90.0]]</f>
        <v>40.700000000000003</v>
      </c>
      <c r="DP1030" s="55">
        <f>IF(AND(RecData[[#This Row],[Useable TON Data?]],RecData[[#This Row],[Turbines ON/OFF]]="ON"),RecData[[#This Row],[dBA Sum]],"")</f>
        <v>40.885288537656741</v>
      </c>
      <c r="DQ1030" s="55" t="str">
        <f>IF(AND(RecData[[#This Row],[Useable Background Data?]],RecData[[#This Row],[Turbines ON/OFF]]="OFF"),RecData[[#This Row],[dBA Sum]],"")</f>
        <v/>
      </c>
      <c r="DR1030" s="3">
        <f>IF(OR(RecData[[#This Row],[Useable TON Data?]],RecData[[#This Row],[Useable Background Data?]]),ROUND(RecData[[#This Row],[WSpd_Avg '[m/s']]],0),"")</f>
        <v>1</v>
      </c>
      <c r="DS1030" s="85">
        <f>(0.00002)^2*(10^(RecData[[#This Row],[Overall (dBA)]]/10))</f>
        <v>4.9044334418663915E-6</v>
      </c>
    </row>
    <row r="1031" spans="1:123" ht="15" x14ac:dyDescent="0.25">
      <c r="A1031" s="3" t="s">
        <v>249</v>
      </c>
      <c r="B1031" s="12">
        <v>43275.145833333336</v>
      </c>
      <c r="C1031" s="3"/>
      <c r="D1031" s="3">
        <v>41.2</v>
      </c>
      <c r="E1031" s="3"/>
      <c r="F1031" s="3"/>
      <c r="G1031" s="3"/>
      <c r="H1031" s="3"/>
      <c r="I1031" s="3"/>
      <c r="J1031" s="3"/>
      <c r="K1031" s="3">
        <v>39.9</v>
      </c>
      <c r="L1031" s="3"/>
      <c r="M1031" s="3"/>
      <c r="N1031" s="3">
        <v>203.7</v>
      </c>
      <c r="O1031" s="3"/>
      <c r="P1031" s="3"/>
      <c r="Q1031" s="3">
        <v>0.47</v>
      </c>
      <c r="R1031" s="3">
        <v>0.1</v>
      </c>
      <c r="S1031" s="3">
        <v>1</v>
      </c>
      <c r="T1031" s="3">
        <v>11.3</v>
      </c>
      <c r="U1031" s="3">
        <v>74.3</v>
      </c>
      <c r="V1031" s="3">
        <v>967.5</v>
      </c>
      <c r="W1031" s="3">
        <v>0</v>
      </c>
      <c r="X1031" s="3">
        <v>47.2</v>
      </c>
      <c r="Y1031" s="3">
        <v>47.2</v>
      </c>
      <c r="Z1031" s="3">
        <v>47</v>
      </c>
      <c r="AA1031" s="3">
        <v>43.6</v>
      </c>
      <c r="AB1031" s="3">
        <v>38.6</v>
      </c>
      <c r="AC1031" s="3">
        <v>37</v>
      </c>
      <c r="AD1031" s="3">
        <v>40</v>
      </c>
      <c r="AE1031" s="3">
        <v>41.1</v>
      </c>
      <c r="AF1031" s="3">
        <v>45.7</v>
      </c>
      <c r="AG1031" s="3">
        <v>39.9</v>
      </c>
      <c r="AH1031" s="3">
        <v>36.5</v>
      </c>
      <c r="AI1031" s="3">
        <v>36.799999999999997</v>
      </c>
      <c r="AJ1031" s="3">
        <v>36.1</v>
      </c>
      <c r="AK1031" s="3">
        <v>34.6</v>
      </c>
      <c r="AL1031" s="3">
        <v>33.1</v>
      </c>
      <c r="AM1031" s="3">
        <v>33.4</v>
      </c>
      <c r="AN1031" s="3">
        <v>32.299999999999997</v>
      </c>
      <c r="AO1031" s="3">
        <v>30.3</v>
      </c>
      <c r="AP1031" s="3">
        <v>29.2</v>
      </c>
      <c r="AQ1031" s="3">
        <v>28.2</v>
      </c>
      <c r="AR1031" s="3">
        <v>27.3</v>
      </c>
      <c r="AS1031" s="3">
        <v>26</v>
      </c>
      <c r="AT1031" s="3">
        <v>25.3</v>
      </c>
      <c r="AU1031" s="3">
        <v>21.8</v>
      </c>
      <c r="AV1031" s="3">
        <v>19.899999999999999</v>
      </c>
      <c r="AW1031" s="3">
        <v>17.899999999999999</v>
      </c>
      <c r="AX1031" s="3">
        <v>13.3</v>
      </c>
      <c r="AY1031" s="3">
        <v>11.2</v>
      </c>
      <c r="AZ1031" s="3">
        <v>0</v>
      </c>
      <c r="BA1031" s="3">
        <v>0</v>
      </c>
      <c r="BB1031" s="3">
        <v>0</v>
      </c>
      <c r="BC1031" s="3">
        <v>41.194936990661958</v>
      </c>
      <c r="BD1031" s="3">
        <v>47.205063009338048</v>
      </c>
      <c r="BE1031" s="3">
        <v>47.205063009338048</v>
      </c>
      <c r="BF1031" s="3">
        <v>45.76506300933805</v>
      </c>
      <c r="BG1031" s="3">
        <v>42.691729676004712</v>
      </c>
      <c r="BH1031" s="3">
        <v>37.831729676004713</v>
      </c>
      <c r="BI1031" s="3">
        <v>36.645063009338045</v>
      </c>
      <c r="BJ1031" s="3">
        <v>40.438396342671368</v>
      </c>
      <c r="BK1031" s="3">
        <v>41.411729676004711</v>
      </c>
      <c r="BL1031" s="3">
        <v>45.585063009338043</v>
      </c>
      <c r="BM1031" s="3">
        <v>39.918396342671386</v>
      </c>
      <c r="BN1031" s="3">
        <v>36.801729676004712</v>
      </c>
      <c r="BO1031" s="3">
        <v>36.468396342671369</v>
      </c>
      <c r="BP1031" s="3">
        <v>35.485063009338049</v>
      </c>
      <c r="BQ1031" s="3">
        <v>34.401729676004706</v>
      </c>
      <c r="BR1031" s="3">
        <v>33.228396342671388</v>
      </c>
      <c r="BS1031" s="3">
        <v>33.331729676004713</v>
      </c>
      <c r="BT1031" s="3">
        <v>32.428396342671377</v>
      </c>
      <c r="BU1031" s="3">
        <v>30.395063009338045</v>
      </c>
      <c r="BV1031" s="3">
        <v>29.01172967600472</v>
      </c>
      <c r="BW1031" s="3">
        <v>28.545063009338051</v>
      </c>
      <c r="BX1031" s="3">
        <v>27.565063009338047</v>
      </c>
      <c r="BY1031" s="3">
        <v>26.085063009338043</v>
      </c>
      <c r="BZ1031" s="3">
        <v>25.51506300933805</v>
      </c>
      <c r="CA1031" s="3">
        <v>22.115063009338037</v>
      </c>
      <c r="CB1031" s="3">
        <v>19.651729676004706</v>
      </c>
      <c r="CC1031" s="3">
        <v>17.865063009338044</v>
      </c>
      <c r="CD1031" s="3">
        <v>12.571729676004715</v>
      </c>
      <c r="CE1031" s="3">
        <v>10.665063009338041</v>
      </c>
      <c r="CF1031" s="3">
        <v>-0.92160365732862459</v>
      </c>
      <c r="CG1031" s="3">
        <v>-1.454936990661956</v>
      </c>
      <c r="CH1031" s="3">
        <v>-2.531603657328624</v>
      </c>
      <c r="CI1031" s="13">
        <f>[1]!dbasum(RecData[[#This Row],[20]:[2000]],RecData[[#Headers],[20]:[2000]])</f>
        <v>40.704518411589056</v>
      </c>
      <c r="CJ1031" s="14">
        <v>10507</v>
      </c>
      <c r="CK1031" s="15" t="s">
        <v>249</v>
      </c>
      <c r="CL1031" s="15">
        <f>RecData[[#This Row],[Start Time]]</f>
        <v>43275.145833333336</v>
      </c>
      <c r="CM1031" s="16">
        <f>RecData[[#This Row],[Wind Speed avg]]</f>
        <v>0.47</v>
      </c>
      <c r="CN1031" s="16">
        <f>RecData[[#This Row],[Wind Dir. avg]]</f>
        <v>203.7</v>
      </c>
      <c r="CO1031" s="16">
        <f>RecData[[#This Row],[Amb. Humidity]]</f>
        <v>74.3</v>
      </c>
      <c r="CP1031" s="16">
        <f>RecData[[#This Row],[Amb. Temperature]]</f>
        <v>11.3</v>
      </c>
      <c r="CQ1031" s="17">
        <f>RecData[[#This Row],[Amb. Rain Gauge]]</f>
        <v>0</v>
      </c>
      <c r="CR1031" s="4" t="s">
        <v>1</v>
      </c>
      <c r="CS1031" s="4" t="s">
        <v>49</v>
      </c>
      <c r="CT1031" s="70">
        <v>1616.29211425781</v>
      </c>
      <c r="CU1031" s="70">
        <v>33.000282287597599</v>
      </c>
      <c r="CV1031" s="70">
        <v>13.1609983444213</v>
      </c>
      <c r="CW1031" s="70">
        <v>15.3062286376953</v>
      </c>
      <c r="CX1031" s="4"/>
      <c r="CY1031" s="69"/>
      <c r="CZ1031" s="2" t="b">
        <f>IF($DP$1="YES",IF(RecData[[#This Row],[Power (kW)]]&gt;=$CR$3, TRUE,FALSE),TRUE)</f>
        <v>1</v>
      </c>
      <c r="DA1031" s="16">
        <f>MIN(MOD(180-ABS(ABS($DA$1-RecData[Yaw Angle (°)])-180),360),MOD(180-ABS(ABS($DB$1-RecData[Yaw Angle (°)])-180),360))</f>
        <v>25.470355509910064</v>
      </c>
      <c r="DB1031" s="2" t="str">
        <f>IF($DP$2="None","None",IF(RecData[[#This Row],[Relative Wind Direction]]&lt;=45,"DW",IF(RecData[[#This Row],[Relative Wind Direction]]&lt;=135,"CW","UW")))</f>
        <v>DW</v>
      </c>
      <c r="DC1031" s="61" t="e">
        <f>IF($CL1031-#REF!&gt;1/24,#REF!,IF(SUM($CQ1031:$CQ1031)&gt;$DS$1,$DS$5,DC1032-1))</f>
        <v>#REF!</v>
      </c>
      <c r="DD1031" s="61" t="e">
        <f>IF($CL1032-$CL1031&gt;1/24,#REF!,IF(SUM($CQ1031:$CQ1031)&gt;$DS$1,$DS$6,#REF!-1))</f>
        <v>#REF!</v>
      </c>
      <c r="DE1031" s="18" t="b">
        <v>0</v>
      </c>
      <c r="DF1031" s="2" t="b">
        <f>IF(OR(RecData[[#This Row],[WSpd_Avg '[m/s']]]-RecData[[#This Row],[Wind Speed min]]&gt;=$DF$3,RecData[[#This Row],[Wind Speed max]]-RecData[[#This Row],[WSpd_Avg '[m/s']]]&gt;=$DF$2),TRUE,FALSE)</f>
        <v>0</v>
      </c>
      <c r="DG1031" s="2" t="b">
        <f>RecData[[#This Row],[Temperature '[°C']]]&lt;=-20</f>
        <v>0</v>
      </c>
      <c r="DH1031" s="18" t="b">
        <f>NOT(OR(MOD(RecData[[#This Row],[TIMESTAMP]],1)&gt;0.91632,MOD(RecData[[#This Row],[TIMESTAMP]],1)&lt;0.208681))</f>
        <v>0</v>
      </c>
      <c r="DI1031" s="18" t="b">
        <f>RecData[[#This Row],[Overall (dBA)]]-RecData[[#This Row],[L90]]&gt;=$DS$4</f>
        <v>0</v>
      </c>
      <c r="DJ1031" s="18" t="b">
        <f>RecData[[#This Row],[Overall (dBA)]]&gt;$DS$2</f>
        <v>0</v>
      </c>
      <c r="DK1031" s="18" t="b">
        <f>RecData[[#This Row],[Overall (dBA)]]&lt;$DS$3</f>
        <v>0</v>
      </c>
      <c r="DL10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1" s="2">
        <f>IF(AND(RecData[[#This Row],[Turbines ON/OFF]] = "OFF", NOT(OR(RecData[[#This Row],[Junk?]]="YES",RecData[[#This Row],[Gust?]],RecData[[#This Row],[Rain?]:[Min SPL Threshold?]]))),1,0)</f>
        <v>0</v>
      </c>
      <c r="DN1031" s="16">
        <f>RecData[[#This Row],[dBA Sum]]</f>
        <v>40.704518411589056</v>
      </c>
      <c r="DO1031" s="16">
        <f>RecData[[#This Row],[LAF90.0]]</f>
        <v>39.9</v>
      </c>
      <c r="DP1031" s="55">
        <f>IF(AND(RecData[[#This Row],[Useable TON Data?]],RecData[[#This Row],[Turbines ON/OFF]]="ON"),RecData[[#This Row],[dBA Sum]],"")</f>
        <v>40.704518411589056</v>
      </c>
      <c r="DQ1031" s="55" t="str">
        <f>IF(AND(RecData[[#This Row],[Useable Background Data?]],RecData[[#This Row],[Turbines ON/OFF]]="OFF"),RecData[[#This Row],[dBA Sum]],"")</f>
        <v/>
      </c>
      <c r="DR1031" s="3">
        <f>IF(OR(RecData[[#This Row],[Useable TON Data?]],RecData[[#This Row],[Useable Background Data?]]),ROUND(RecData[[#This Row],[WSpd_Avg '[m/s']]],0),"")</f>
        <v>0</v>
      </c>
      <c r="DS1031" s="85">
        <f>(0.00002)^2*(10^(RecData[[#This Row],[Overall (dBA)]]/10))</f>
        <v>4.7044822305804629E-6</v>
      </c>
    </row>
    <row r="1032" spans="1:123" ht="15" x14ac:dyDescent="0.25">
      <c r="A1032" s="3" t="s">
        <v>249</v>
      </c>
      <c r="B1032" s="12">
        <v>43275.146527777775</v>
      </c>
      <c r="C1032" s="3"/>
      <c r="D1032" s="3">
        <v>41.9</v>
      </c>
      <c r="E1032" s="3"/>
      <c r="F1032" s="3"/>
      <c r="G1032" s="3"/>
      <c r="H1032" s="3"/>
      <c r="I1032" s="3"/>
      <c r="J1032" s="3"/>
      <c r="K1032" s="3">
        <v>41</v>
      </c>
      <c r="L1032" s="3"/>
      <c r="M1032" s="3"/>
      <c r="N1032" s="3">
        <v>165.6</v>
      </c>
      <c r="O1032" s="3"/>
      <c r="P1032" s="3"/>
      <c r="Q1032" s="3">
        <v>1.1399999999999999</v>
      </c>
      <c r="R1032" s="3">
        <v>0.4</v>
      </c>
      <c r="S1032" s="3">
        <v>2.2999999999999998</v>
      </c>
      <c r="T1032" s="3">
        <v>11.3</v>
      </c>
      <c r="U1032" s="3">
        <v>74.3</v>
      </c>
      <c r="V1032" s="3">
        <v>967.5</v>
      </c>
      <c r="W1032" s="3">
        <v>0</v>
      </c>
      <c r="X1032" s="3">
        <v>48.1</v>
      </c>
      <c r="Y1032" s="3">
        <v>47.6</v>
      </c>
      <c r="Z1032" s="3">
        <v>47.5</v>
      </c>
      <c r="AA1032" s="3">
        <v>43.8</v>
      </c>
      <c r="AB1032" s="3">
        <v>38.700000000000003</v>
      </c>
      <c r="AC1032" s="3">
        <v>36.9</v>
      </c>
      <c r="AD1032" s="3">
        <v>39.200000000000003</v>
      </c>
      <c r="AE1032" s="3">
        <v>40.5</v>
      </c>
      <c r="AF1032" s="3">
        <v>45.3</v>
      </c>
      <c r="AG1032" s="3">
        <v>39.6</v>
      </c>
      <c r="AH1032" s="3">
        <v>36.6</v>
      </c>
      <c r="AI1032" s="3">
        <v>37</v>
      </c>
      <c r="AJ1032" s="3">
        <v>35.9</v>
      </c>
      <c r="AK1032" s="3">
        <v>34.700000000000003</v>
      </c>
      <c r="AL1032" s="3">
        <v>33.5</v>
      </c>
      <c r="AM1032" s="3">
        <v>33.4</v>
      </c>
      <c r="AN1032" s="3">
        <v>32.700000000000003</v>
      </c>
      <c r="AO1032" s="3">
        <v>31.2</v>
      </c>
      <c r="AP1032" s="3">
        <v>30.2</v>
      </c>
      <c r="AQ1032" s="3">
        <v>29.7</v>
      </c>
      <c r="AR1032" s="3">
        <v>29.1</v>
      </c>
      <c r="AS1032" s="3">
        <v>28.3</v>
      </c>
      <c r="AT1032" s="3">
        <v>27.5</v>
      </c>
      <c r="AU1032" s="3">
        <v>24.8</v>
      </c>
      <c r="AV1032" s="3">
        <v>22.9</v>
      </c>
      <c r="AW1032" s="3">
        <v>20.8</v>
      </c>
      <c r="AX1032" s="3">
        <v>16.100000000000001</v>
      </c>
      <c r="AY1032" s="3">
        <v>13.7</v>
      </c>
      <c r="AZ1032" s="3">
        <v>0</v>
      </c>
      <c r="BA1032" s="3">
        <v>0</v>
      </c>
      <c r="BB1032" s="3">
        <v>0</v>
      </c>
      <c r="BC1032" s="3">
        <v>41.909135353774651</v>
      </c>
      <c r="BD1032" s="3">
        <v>48.090864646225349</v>
      </c>
      <c r="BE1032" s="3">
        <v>47.590864646225349</v>
      </c>
      <c r="BF1032" s="3">
        <v>46.250864646225345</v>
      </c>
      <c r="BG1032" s="3">
        <v>42.87753131289201</v>
      </c>
      <c r="BH1032" s="3">
        <v>37.917531312892017</v>
      </c>
      <c r="BI1032" s="3">
        <v>36.530864646225346</v>
      </c>
      <c r="BJ1032" s="3">
        <v>39.62419797955868</v>
      </c>
      <c r="BK1032" s="3">
        <v>40.797531312892012</v>
      </c>
      <c r="BL1032" s="3">
        <v>45.170864646225347</v>
      </c>
      <c r="BM1032" s="3">
        <v>39.604197979558684</v>
      </c>
      <c r="BN1032" s="3">
        <v>36.887531312892015</v>
      </c>
      <c r="BO1032" s="3">
        <v>36.654197979558681</v>
      </c>
      <c r="BP1032" s="3">
        <v>35.270864646225355</v>
      </c>
      <c r="BQ1032" s="3">
        <v>34.48753131289201</v>
      </c>
      <c r="BR1032" s="3">
        <v>33.614197979558689</v>
      </c>
      <c r="BS1032" s="3">
        <v>33.317531312892008</v>
      </c>
      <c r="BT1032" s="3">
        <v>32.814197979558678</v>
      </c>
      <c r="BU1032" s="3">
        <v>31.280864646225346</v>
      </c>
      <c r="BV1032" s="3">
        <v>29.997531312892015</v>
      </c>
      <c r="BW1032" s="3">
        <v>30.030864646225346</v>
      </c>
      <c r="BX1032" s="3">
        <v>29.350864646225354</v>
      </c>
      <c r="BY1032" s="3">
        <v>28.37086464622535</v>
      </c>
      <c r="BZ1032" s="3">
        <v>27.700864646225348</v>
      </c>
      <c r="CA1032" s="3">
        <v>25.10086464622534</v>
      </c>
      <c r="CB1032" s="3">
        <v>22.637531312892015</v>
      </c>
      <c r="CC1032" s="3">
        <v>20.750864646225345</v>
      </c>
      <c r="CD1032" s="3">
        <v>15.357531312892021</v>
      </c>
      <c r="CE1032" s="3">
        <v>13.150864646225344</v>
      </c>
      <c r="CF1032" s="3">
        <v>-0.93580202044132221</v>
      </c>
      <c r="CG1032" s="3">
        <v>-1.4691353537746537</v>
      </c>
      <c r="CH1032" s="3">
        <v>-2.5458020204413216</v>
      </c>
      <c r="CI1032" s="13">
        <f>[1]!dbasum(RecData[[#This Row],[20]:[2000]],RecData[[#Headers],[20]:[2000]])</f>
        <v>41.167475264021789</v>
      </c>
      <c r="CJ1032" s="14">
        <v>10508</v>
      </c>
      <c r="CK1032" s="15" t="s">
        <v>249</v>
      </c>
      <c r="CL1032" s="15">
        <f>RecData[[#This Row],[Start Time]]</f>
        <v>43275.146527777775</v>
      </c>
      <c r="CM1032" s="16">
        <f>RecData[[#This Row],[Wind Speed avg]]</f>
        <v>1.1399999999999999</v>
      </c>
      <c r="CN1032" s="16">
        <f>RecData[[#This Row],[Wind Dir. avg]]</f>
        <v>165.6</v>
      </c>
      <c r="CO1032" s="16">
        <f>RecData[[#This Row],[Amb. Humidity]]</f>
        <v>74.3</v>
      </c>
      <c r="CP1032" s="16">
        <f>RecData[[#This Row],[Amb. Temperature]]</f>
        <v>11.3</v>
      </c>
      <c r="CQ1032" s="17">
        <f>RecData[[#This Row],[Amb. Rain Gauge]]</f>
        <v>0</v>
      </c>
      <c r="CR1032" s="4" t="s">
        <v>1</v>
      </c>
      <c r="CS1032" s="4" t="s">
        <v>49</v>
      </c>
      <c r="CT1032" s="70">
        <v>1617.25659179687</v>
      </c>
      <c r="CU1032" s="70">
        <v>33.000282287597599</v>
      </c>
      <c r="CV1032" s="70">
        <v>12.2762231826782</v>
      </c>
      <c r="CW1032" s="70">
        <v>15.2843809127807</v>
      </c>
      <c r="CX1032" s="4"/>
      <c r="CY1032" s="69"/>
      <c r="CZ1032" s="2" t="b">
        <f>IF($DP$1="YES",IF(RecData[[#This Row],[Power (kW)]]&gt;=$CR$3, TRUE,FALSE),TRUE)</f>
        <v>1</v>
      </c>
      <c r="DA1032" s="16">
        <f>MIN(MOD(180-ABS(ABS($DA$1-RecData[Yaw Angle (°)])-180),360),MOD(180-ABS(ABS($DB$1-RecData[Yaw Angle (°)])-180),360))</f>
        <v>25.470355509910064</v>
      </c>
      <c r="DB1032" s="2" t="str">
        <f>IF($DP$2="None","None",IF(RecData[[#This Row],[Relative Wind Direction]]&lt;=45,"DW",IF(RecData[[#This Row],[Relative Wind Direction]]&lt;=135,"CW","UW")))</f>
        <v>DW</v>
      </c>
      <c r="DC1032" s="61" t="e">
        <f>IF($CL1032-#REF!&gt;1/24,#REF!,IF(SUM($CQ1031:$CQ1032)&gt;$DS$1,$DS$5,DC1033-1))</f>
        <v>#REF!</v>
      </c>
      <c r="DD1032" s="61" t="e">
        <f>IF($CL1033-$CL1032&gt;1/24,#REF!,IF(SUM($CQ1031:$CQ1032)&gt;$DS$1,$DS$6,DD1031-1))</f>
        <v>#REF!</v>
      </c>
      <c r="DE1032" s="18" t="b">
        <v>0</v>
      </c>
      <c r="DF1032" s="2" t="b">
        <f>IF(OR(RecData[[#This Row],[WSpd_Avg '[m/s']]]-RecData[[#This Row],[Wind Speed min]]&gt;=$DF$3,RecData[[#This Row],[Wind Speed max]]-RecData[[#This Row],[WSpd_Avg '[m/s']]]&gt;=$DF$2),TRUE,FALSE)</f>
        <v>0</v>
      </c>
      <c r="DG1032" s="2" t="b">
        <f>RecData[[#This Row],[Temperature '[°C']]]&lt;=-20</f>
        <v>0</v>
      </c>
      <c r="DH1032" s="18" t="b">
        <f>NOT(OR(MOD(RecData[[#This Row],[TIMESTAMP]],1)&gt;0.91632,MOD(RecData[[#This Row],[TIMESTAMP]],1)&lt;0.208681))</f>
        <v>0</v>
      </c>
      <c r="DI1032" s="18" t="b">
        <f>RecData[[#This Row],[Overall (dBA)]]-RecData[[#This Row],[L90]]&gt;=$DS$4</f>
        <v>0</v>
      </c>
      <c r="DJ1032" s="18" t="b">
        <f>RecData[[#This Row],[Overall (dBA)]]&gt;$DS$2</f>
        <v>0</v>
      </c>
      <c r="DK1032" s="18" t="b">
        <f>RecData[[#This Row],[Overall (dBA)]]&lt;$DS$3</f>
        <v>0</v>
      </c>
      <c r="DL10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2" s="2">
        <f>IF(AND(RecData[[#This Row],[Turbines ON/OFF]] = "OFF", NOT(OR(RecData[[#This Row],[Junk?]]="YES",RecData[[#This Row],[Gust?]],RecData[[#This Row],[Rain?]:[Min SPL Threshold?]]))),1,0)</f>
        <v>0</v>
      </c>
      <c r="DN1032" s="16">
        <f>RecData[[#This Row],[dBA Sum]]</f>
        <v>41.167475264021789</v>
      </c>
      <c r="DO1032" s="16">
        <f>RecData[[#This Row],[LAF90.0]]</f>
        <v>41</v>
      </c>
      <c r="DP1032" s="55">
        <f>IF(AND(RecData[[#This Row],[Useable TON Data?]],RecData[[#This Row],[Turbines ON/OFF]]="ON"),RecData[[#This Row],[dBA Sum]],"")</f>
        <v>41.167475264021789</v>
      </c>
      <c r="DQ1032" s="55" t="str">
        <f>IF(AND(RecData[[#This Row],[Useable Background Data?]],RecData[[#This Row],[Turbines ON/OFF]]="OFF"),RecData[[#This Row],[dBA Sum]],"")</f>
        <v/>
      </c>
      <c r="DR1032" s="3">
        <f>IF(OR(RecData[[#This Row],[Useable TON Data?]],RecData[[#This Row],[Useable Background Data?]]),ROUND(RecData[[#This Row],[WSpd_Avg '[m/s']]],0),"")</f>
        <v>1</v>
      </c>
      <c r="DS1032" s="85">
        <f>(0.00002)^2*(10^(RecData[[#This Row],[Overall (dBA)]]/10))</f>
        <v>5.2336842472744307E-6</v>
      </c>
    </row>
    <row r="1033" spans="1:123" ht="15" x14ac:dyDescent="0.25">
      <c r="A1033" s="3" t="s">
        <v>249</v>
      </c>
      <c r="B1033" s="12">
        <v>43275.147222222222</v>
      </c>
      <c r="C1033" s="3"/>
      <c r="D1033" s="3">
        <v>44.2</v>
      </c>
      <c r="E1033" s="3"/>
      <c r="F1033" s="3"/>
      <c r="G1033" s="3"/>
      <c r="H1033" s="3"/>
      <c r="I1033" s="3"/>
      <c r="J1033" s="3"/>
      <c r="K1033" s="3">
        <v>41.6</v>
      </c>
      <c r="L1033" s="3"/>
      <c r="M1033" s="3"/>
      <c r="N1033" s="3">
        <v>138.4</v>
      </c>
      <c r="O1033" s="3"/>
      <c r="P1033" s="3"/>
      <c r="Q1033" s="3">
        <v>1.45</v>
      </c>
      <c r="R1033" s="3">
        <v>0.2</v>
      </c>
      <c r="S1033" s="3">
        <v>2.9</v>
      </c>
      <c r="T1033" s="3">
        <v>11.3</v>
      </c>
      <c r="U1033" s="3">
        <v>74.3</v>
      </c>
      <c r="V1033" s="3">
        <v>967.5</v>
      </c>
      <c r="W1033" s="3">
        <v>0</v>
      </c>
      <c r="X1033" s="3">
        <v>48.1</v>
      </c>
      <c r="Y1033" s="3">
        <v>47.8</v>
      </c>
      <c r="Z1033" s="3">
        <v>47.6</v>
      </c>
      <c r="AA1033" s="3">
        <v>42.9</v>
      </c>
      <c r="AB1033" s="3">
        <v>38.5</v>
      </c>
      <c r="AC1033" s="3">
        <v>38.6</v>
      </c>
      <c r="AD1033" s="3">
        <v>41.5</v>
      </c>
      <c r="AE1033" s="3">
        <v>42.2</v>
      </c>
      <c r="AF1033" s="3">
        <v>45.2</v>
      </c>
      <c r="AG1033" s="3">
        <v>39.700000000000003</v>
      </c>
      <c r="AH1033" s="3">
        <v>38.4</v>
      </c>
      <c r="AI1033" s="3">
        <v>37.6</v>
      </c>
      <c r="AJ1033" s="3">
        <v>36.9</v>
      </c>
      <c r="AK1033" s="3">
        <v>35.6</v>
      </c>
      <c r="AL1033" s="3">
        <v>34.200000000000003</v>
      </c>
      <c r="AM1033" s="3">
        <v>34.4</v>
      </c>
      <c r="AN1033" s="3">
        <v>34</v>
      </c>
      <c r="AO1033" s="3">
        <v>32.700000000000003</v>
      </c>
      <c r="AP1033" s="3">
        <v>31.9</v>
      </c>
      <c r="AQ1033" s="3">
        <v>31.9</v>
      </c>
      <c r="AR1033" s="3">
        <v>32.299999999999997</v>
      </c>
      <c r="AS1033" s="3">
        <v>32.6</v>
      </c>
      <c r="AT1033" s="3">
        <v>32.5</v>
      </c>
      <c r="AU1033" s="3">
        <v>31</v>
      </c>
      <c r="AV1033" s="3">
        <v>30</v>
      </c>
      <c r="AW1033" s="3">
        <v>27.7</v>
      </c>
      <c r="AX1033" s="3">
        <v>22.7</v>
      </c>
      <c r="AY1033" s="3">
        <v>19.3</v>
      </c>
      <c r="AZ1033" s="3">
        <v>0</v>
      </c>
      <c r="BA1033" s="3">
        <v>0</v>
      </c>
      <c r="BB1033" s="3">
        <v>0</v>
      </c>
      <c r="BC1033" s="3">
        <v>44.206387295884262</v>
      </c>
      <c r="BD1033" s="3">
        <v>48.093612704115749</v>
      </c>
      <c r="BE1033" s="3">
        <v>47.793612704115738</v>
      </c>
      <c r="BF1033" s="3">
        <v>46.35361270411574</v>
      </c>
      <c r="BG1033" s="3">
        <v>41.980279370782405</v>
      </c>
      <c r="BH1033" s="3">
        <v>37.720279370782414</v>
      </c>
      <c r="BI1033" s="3">
        <v>38.233612704115735</v>
      </c>
      <c r="BJ1033" s="3">
        <v>41.926946037449063</v>
      </c>
      <c r="BK1033" s="3">
        <v>42.500279370782415</v>
      </c>
      <c r="BL1033" s="3">
        <v>45.073612704115739</v>
      </c>
      <c r="BM1033" s="3">
        <v>39.706946037449079</v>
      </c>
      <c r="BN1033" s="3">
        <v>38.690279370782413</v>
      </c>
      <c r="BO1033" s="3">
        <v>37.256946037449076</v>
      </c>
      <c r="BP1033" s="3">
        <v>36.273612704115742</v>
      </c>
      <c r="BQ1033" s="3">
        <v>35.390279370782402</v>
      </c>
      <c r="BR1033" s="3">
        <v>34.316946037449078</v>
      </c>
      <c r="BS1033" s="3">
        <v>34.320279370782409</v>
      </c>
      <c r="BT1033" s="3">
        <v>34.116946037449075</v>
      </c>
      <c r="BU1033" s="3">
        <v>32.783612704115747</v>
      </c>
      <c r="BV1033" s="3">
        <v>31.700279370782404</v>
      </c>
      <c r="BW1033" s="3">
        <v>32.233612704115735</v>
      </c>
      <c r="BX1033" s="3">
        <v>32.553612704115743</v>
      </c>
      <c r="BY1033" s="3">
        <v>32.673612704115733</v>
      </c>
      <c r="BZ1033" s="3">
        <v>32.703612704115734</v>
      </c>
      <c r="CA1033" s="3">
        <v>31.303612704115729</v>
      </c>
      <c r="CB1033" s="3">
        <v>29.74027937078241</v>
      </c>
      <c r="CC1033" s="3">
        <v>27.653612704115737</v>
      </c>
      <c r="CD1033" s="3">
        <v>21.960279370782409</v>
      </c>
      <c r="CE1033" s="3">
        <v>18.753612704115739</v>
      </c>
      <c r="CF1033" s="3">
        <v>-0.93305396255092887</v>
      </c>
      <c r="CG1033" s="3">
        <v>-1.4663872958842603</v>
      </c>
      <c r="CH1033" s="3">
        <v>-2.5430539625509283</v>
      </c>
      <c r="CI1033" s="13">
        <f>[1]!dbasum(RecData[[#This Row],[20]:[2000]],RecData[[#Headers],[20]:[2000]])</f>
        <v>42.59455097445732</v>
      </c>
      <c r="CJ1033" s="14">
        <v>10509</v>
      </c>
      <c r="CK1033" s="15" t="s">
        <v>249</v>
      </c>
      <c r="CL1033" s="15">
        <f>RecData[[#This Row],[Start Time]]</f>
        <v>43275.147222222222</v>
      </c>
      <c r="CM1033" s="16">
        <f>RecData[[#This Row],[Wind Speed avg]]</f>
        <v>1.45</v>
      </c>
      <c r="CN1033" s="16">
        <f>RecData[[#This Row],[Wind Dir. avg]]</f>
        <v>138.4</v>
      </c>
      <c r="CO1033" s="16">
        <f>RecData[[#This Row],[Amb. Humidity]]</f>
        <v>74.3</v>
      </c>
      <c r="CP1033" s="16">
        <f>RecData[[#This Row],[Amb. Temperature]]</f>
        <v>11.3</v>
      </c>
      <c r="CQ1033" s="17">
        <f>RecData[[#This Row],[Amb. Rain Gauge]]</f>
        <v>0</v>
      </c>
      <c r="CR1033" s="4" t="s">
        <v>1</v>
      </c>
      <c r="CS1033" s="4" t="s">
        <v>49</v>
      </c>
      <c r="CT1033" s="70">
        <v>1617.25659179687</v>
      </c>
      <c r="CU1033" s="70">
        <v>33.000282287597599</v>
      </c>
      <c r="CV1033" s="70">
        <v>12.2762231826782</v>
      </c>
      <c r="CW1033" s="70">
        <v>15.2843809127807</v>
      </c>
      <c r="CX1033" s="4"/>
      <c r="CY1033" s="69"/>
      <c r="CZ1033" s="2" t="b">
        <f>IF($DP$1="YES",IF(RecData[[#This Row],[Power (kW)]]&gt;=$CR$3, TRUE,FALSE),TRUE)</f>
        <v>1</v>
      </c>
      <c r="DA1033" s="16">
        <f>MIN(MOD(180-ABS(ABS($DA$1-RecData[Yaw Angle (°)])-180),360),MOD(180-ABS(ABS($DB$1-RecData[Yaw Angle (°)])-180),360))</f>
        <v>25.470355509910064</v>
      </c>
      <c r="DB1033" s="2" t="str">
        <f>IF($DP$2="None","None",IF(RecData[[#This Row],[Relative Wind Direction]]&lt;=45,"DW",IF(RecData[[#This Row],[Relative Wind Direction]]&lt;=135,"CW","UW")))</f>
        <v>DW</v>
      </c>
      <c r="DC1033" s="61" t="e">
        <f>IF($CL1033-#REF!&gt;1/24,#REF!,IF(SUM($CQ1031:$CQ1033)&gt;$DS$1,$DS$5,DC1034-1))</f>
        <v>#REF!</v>
      </c>
      <c r="DD1033" s="61" t="e">
        <f>IF($CL1034-$CL1033&gt;1/24,#REF!,IF(SUM($CQ1031:$CQ1033)&gt;$DS$1,$DS$6,DD1032-1))</f>
        <v>#REF!</v>
      </c>
      <c r="DE1033" s="18" t="b">
        <v>0</v>
      </c>
      <c r="DF1033" s="2" t="b">
        <f>IF(OR(RecData[[#This Row],[WSpd_Avg '[m/s']]]-RecData[[#This Row],[Wind Speed min]]&gt;=$DF$3,RecData[[#This Row],[Wind Speed max]]-RecData[[#This Row],[WSpd_Avg '[m/s']]]&gt;=$DF$2),TRUE,FALSE)</f>
        <v>0</v>
      </c>
      <c r="DG1033" s="2" t="b">
        <f>RecData[[#This Row],[Temperature '[°C']]]&lt;=-20</f>
        <v>0</v>
      </c>
      <c r="DH1033" s="18" t="b">
        <f>NOT(OR(MOD(RecData[[#This Row],[TIMESTAMP]],1)&gt;0.91632,MOD(RecData[[#This Row],[TIMESTAMP]],1)&lt;0.208681))</f>
        <v>0</v>
      </c>
      <c r="DI1033" s="18" t="b">
        <f>RecData[[#This Row],[Overall (dBA)]]-RecData[[#This Row],[L90]]&gt;=$DS$4</f>
        <v>0</v>
      </c>
      <c r="DJ1033" s="18" t="b">
        <f>RecData[[#This Row],[Overall (dBA)]]&gt;$DS$2</f>
        <v>0</v>
      </c>
      <c r="DK1033" s="18" t="b">
        <f>RecData[[#This Row],[Overall (dBA)]]&lt;$DS$3</f>
        <v>0</v>
      </c>
      <c r="DL10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3" s="2">
        <f>IF(AND(RecData[[#This Row],[Turbines ON/OFF]] = "OFF", NOT(OR(RecData[[#This Row],[Junk?]]="YES",RecData[[#This Row],[Gust?]],RecData[[#This Row],[Rain?]:[Min SPL Threshold?]]))),1,0)</f>
        <v>0</v>
      </c>
      <c r="DN1033" s="16">
        <f>RecData[[#This Row],[dBA Sum]]</f>
        <v>42.59455097445732</v>
      </c>
      <c r="DO1033" s="16">
        <f>RecData[[#This Row],[LAF90.0]]</f>
        <v>41.6</v>
      </c>
      <c r="DP1033" s="55">
        <f>IF(AND(RecData[[#This Row],[Useable TON Data?]],RecData[[#This Row],[Turbines ON/OFF]]="ON"),RecData[[#This Row],[dBA Sum]],"")</f>
        <v>42.59455097445732</v>
      </c>
      <c r="DQ1033" s="55" t="str">
        <f>IF(AND(RecData[[#This Row],[Useable Background Data?]],RecData[[#This Row],[Turbines ON/OFF]]="OFF"),RecData[[#This Row],[dBA Sum]],"")</f>
        <v/>
      </c>
      <c r="DR1033" s="3">
        <f>IF(OR(RecData[[#This Row],[Useable TON Data?]],RecData[[#This Row],[Useable Background Data?]]),ROUND(RecData[[#This Row],[WSpd_Avg '[m/s']]],0),"")</f>
        <v>1</v>
      </c>
      <c r="DS1033" s="85">
        <f>(0.00002)^2*(10^(RecData[[#This Row],[Overall (dBA)]]/10))</f>
        <v>7.2696765594740456E-6</v>
      </c>
    </row>
    <row r="1034" spans="1:123" ht="15" x14ac:dyDescent="0.25">
      <c r="A1034" s="3" t="s">
        <v>249</v>
      </c>
      <c r="B1034" s="12">
        <v>43275.147916666669</v>
      </c>
      <c r="C1034" s="3"/>
      <c r="D1034" s="3">
        <v>42.9</v>
      </c>
      <c r="E1034" s="3"/>
      <c r="F1034" s="3"/>
      <c r="G1034" s="3"/>
      <c r="H1034" s="3"/>
      <c r="I1034" s="3"/>
      <c r="J1034" s="3"/>
      <c r="K1034" s="3">
        <v>40.799999999999997</v>
      </c>
      <c r="L1034" s="3"/>
      <c r="M1034" s="3"/>
      <c r="N1034" s="3">
        <v>192.8</v>
      </c>
      <c r="O1034" s="3"/>
      <c r="P1034" s="3"/>
      <c r="Q1034" s="3">
        <v>0.56000000000000005</v>
      </c>
      <c r="R1034" s="3">
        <v>0.1</v>
      </c>
      <c r="S1034" s="3">
        <v>1.2</v>
      </c>
      <c r="T1034" s="3">
        <v>11.3</v>
      </c>
      <c r="U1034" s="3">
        <v>74.400000000000006</v>
      </c>
      <c r="V1034" s="3">
        <v>967.6</v>
      </c>
      <c r="W1034" s="3">
        <v>0</v>
      </c>
      <c r="X1034" s="3">
        <v>47.5</v>
      </c>
      <c r="Y1034" s="3">
        <v>46.4</v>
      </c>
      <c r="Z1034" s="3">
        <v>45.4</v>
      </c>
      <c r="AA1034" s="3">
        <v>42.4</v>
      </c>
      <c r="AB1034" s="3">
        <v>37.700000000000003</v>
      </c>
      <c r="AC1034" s="3">
        <v>37.4</v>
      </c>
      <c r="AD1034" s="3">
        <v>39.700000000000003</v>
      </c>
      <c r="AE1034" s="3">
        <v>40.799999999999997</v>
      </c>
      <c r="AF1034" s="3">
        <v>45.1</v>
      </c>
      <c r="AG1034" s="3">
        <v>39.299999999999997</v>
      </c>
      <c r="AH1034" s="3">
        <v>37.4</v>
      </c>
      <c r="AI1034" s="3">
        <v>37.200000000000003</v>
      </c>
      <c r="AJ1034" s="3">
        <v>36.5</v>
      </c>
      <c r="AK1034" s="3">
        <v>35.1</v>
      </c>
      <c r="AL1034" s="3">
        <v>33.9</v>
      </c>
      <c r="AM1034" s="3">
        <v>34</v>
      </c>
      <c r="AN1034" s="3">
        <v>33.4</v>
      </c>
      <c r="AO1034" s="3">
        <v>32.1</v>
      </c>
      <c r="AP1034" s="3">
        <v>31.1</v>
      </c>
      <c r="AQ1034" s="3">
        <v>30.9</v>
      </c>
      <c r="AR1034" s="3">
        <v>30.8</v>
      </c>
      <c r="AS1034" s="3">
        <v>30.5</v>
      </c>
      <c r="AT1034" s="3">
        <v>29.6</v>
      </c>
      <c r="AU1034" s="3">
        <v>27.5</v>
      </c>
      <c r="AV1034" s="3">
        <v>26.5</v>
      </c>
      <c r="AW1034" s="3">
        <v>23.5</v>
      </c>
      <c r="AX1034" s="3">
        <v>18.5</v>
      </c>
      <c r="AY1034" s="3">
        <v>14.7</v>
      </c>
      <c r="AZ1034" s="3">
        <v>0</v>
      </c>
      <c r="BA1034" s="3">
        <v>0</v>
      </c>
      <c r="BB1034" s="3">
        <v>0</v>
      </c>
      <c r="BC1034" s="3">
        <v>42.930268416052762</v>
      </c>
      <c r="BD1034" s="3">
        <v>47.469731583947244</v>
      </c>
      <c r="BE1034" s="3">
        <v>46.369731583947235</v>
      </c>
      <c r="BF1034" s="3">
        <v>44.12973158394724</v>
      </c>
      <c r="BG1034" s="3">
        <v>41.456398250613894</v>
      </c>
      <c r="BH1034" s="3">
        <v>36.896398250613906</v>
      </c>
      <c r="BI1034" s="3">
        <v>37.009731583947236</v>
      </c>
      <c r="BJ1034" s="3">
        <v>40.10306491728057</v>
      </c>
      <c r="BK1034" s="3">
        <v>41.076398250613899</v>
      </c>
      <c r="BL1034" s="3">
        <v>44.949731583947234</v>
      </c>
      <c r="BM1034" s="3">
        <v>39.283064917280576</v>
      </c>
      <c r="BN1034" s="3">
        <v>37.666398250613902</v>
      </c>
      <c r="BO1034" s="3">
        <v>36.833064917280574</v>
      </c>
      <c r="BP1034" s="3">
        <v>35.849731583947239</v>
      </c>
      <c r="BQ1034" s="3">
        <v>34.866398250613891</v>
      </c>
      <c r="BR1034" s="3">
        <v>33.99306491728057</v>
      </c>
      <c r="BS1034" s="3">
        <v>33.896398250613906</v>
      </c>
      <c r="BT1034" s="3">
        <v>33.49306491728057</v>
      </c>
      <c r="BU1034" s="3">
        <v>32.159731583947242</v>
      </c>
      <c r="BV1034" s="3">
        <v>30.87639825061391</v>
      </c>
      <c r="BW1034" s="3">
        <v>31.209731583947239</v>
      </c>
      <c r="BX1034" s="3">
        <v>31.029731583947246</v>
      </c>
      <c r="BY1034" s="3">
        <v>30.549731583947228</v>
      </c>
      <c r="BZ1034" s="3">
        <v>29.779731583947246</v>
      </c>
      <c r="CA1034" s="3">
        <v>27.779731583947232</v>
      </c>
      <c r="CB1034" s="3">
        <v>26.216398250613899</v>
      </c>
      <c r="CC1034" s="3">
        <v>23.429731583947238</v>
      </c>
      <c r="CD1034" s="3">
        <v>17.73639825061391</v>
      </c>
      <c r="CE1034" s="3">
        <v>14.129731583947233</v>
      </c>
      <c r="CF1034" s="3">
        <v>-0.95693508271943273</v>
      </c>
      <c r="CG1034" s="3">
        <v>-1.4902684160527642</v>
      </c>
      <c r="CH1034" s="3">
        <v>-2.5669350827194322</v>
      </c>
      <c r="CI1034" s="13">
        <f>[1]!dbasum(RecData[[#This Row],[20]:[2000]],RecData[[#Headers],[20]:[2000]])</f>
        <v>41.867258520766917</v>
      </c>
      <c r="CJ1034" s="14">
        <v>10510</v>
      </c>
      <c r="CK1034" s="15" t="s">
        <v>249</v>
      </c>
      <c r="CL1034" s="15">
        <f>RecData[[#This Row],[Start Time]]</f>
        <v>43275.147916666669</v>
      </c>
      <c r="CM1034" s="16">
        <f>RecData[[#This Row],[Wind Speed avg]]</f>
        <v>0.56000000000000005</v>
      </c>
      <c r="CN1034" s="16">
        <f>RecData[[#This Row],[Wind Dir. avg]]</f>
        <v>192.8</v>
      </c>
      <c r="CO1034" s="16">
        <f>RecData[[#This Row],[Amb. Humidity]]</f>
        <v>74.400000000000006</v>
      </c>
      <c r="CP1034" s="16">
        <f>RecData[[#This Row],[Amb. Temperature]]</f>
        <v>11.3</v>
      </c>
      <c r="CQ1034" s="17">
        <f>RecData[[#This Row],[Amb. Rain Gauge]]</f>
        <v>0</v>
      </c>
      <c r="CR1034" s="4" t="s">
        <v>1</v>
      </c>
      <c r="CS1034" s="4" t="s">
        <v>49</v>
      </c>
      <c r="CT1034" s="70">
        <v>1617.25659179687</v>
      </c>
      <c r="CU1034" s="70">
        <v>33.000282287597599</v>
      </c>
      <c r="CV1034" s="70">
        <v>12.2762231826782</v>
      </c>
      <c r="CW1034" s="70">
        <v>15.2843809127807</v>
      </c>
      <c r="CX1034" s="4"/>
      <c r="CY1034" s="69"/>
      <c r="CZ1034" s="2" t="b">
        <f>IF($DP$1="YES",IF(RecData[[#This Row],[Power (kW)]]&gt;=$CR$3, TRUE,FALSE),TRUE)</f>
        <v>1</v>
      </c>
      <c r="DA1034" s="16">
        <f>MIN(MOD(180-ABS(ABS($DA$1-RecData[Yaw Angle (°)])-180),360),MOD(180-ABS(ABS($DB$1-RecData[Yaw Angle (°)])-180),360))</f>
        <v>25.470355509910064</v>
      </c>
      <c r="DB1034" s="2" t="str">
        <f>IF($DP$2="None","None",IF(RecData[[#This Row],[Relative Wind Direction]]&lt;=45,"DW",IF(RecData[[#This Row],[Relative Wind Direction]]&lt;=135,"CW","UW")))</f>
        <v>DW</v>
      </c>
      <c r="DC1034" s="61" t="e">
        <f>IF($CL1034-#REF!&gt;1/24,#REF!,IF(SUM($CQ1031:$CQ1034)&gt;$DS$1,$DS$5,DC1035-1))</f>
        <v>#REF!</v>
      </c>
      <c r="DD1034" s="61" t="e">
        <f>IF($CL1035-$CL1034&gt;1/24,#REF!,IF(SUM($CQ1031:$CQ1034)&gt;$DS$1,$DS$6,DD1033-1))</f>
        <v>#REF!</v>
      </c>
      <c r="DE1034" s="18" t="b">
        <v>0</v>
      </c>
      <c r="DF1034" s="2" t="b">
        <f>IF(OR(RecData[[#This Row],[WSpd_Avg '[m/s']]]-RecData[[#This Row],[Wind Speed min]]&gt;=$DF$3,RecData[[#This Row],[Wind Speed max]]-RecData[[#This Row],[WSpd_Avg '[m/s']]]&gt;=$DF$2),TRUE,FALSE)</f>
        <v>0</v>
      </c>
      <c r="DG1034" s="2" t="b">
        <f>RecData[[#This Row],[Temperature '[°C']]]&lt;=-20</f>
        <v>0</v>
      </c>
      <c r="DH1034" s="18" t="b">
        <f>NOT(OR(MOD(RecData[[#This Row],[TIMESTAMP]],1)&gt;0.91632,MOD(RecData[[#This Row],[TIMESTAMP]],1)&lt;0.208681))</f>
        <v>0</v>
      </c>
      <c r="DI1034" s="18" t="b">
        <f>RecData[[#This Row],[Overall (dBA)]]-RecData[[#This Row],[L90]]&gt;=$DS$4</f>
        <v>0</v>
      </c>
      <c r="DJ1034" s="18" t="b">
        <f>RecData[[#This Row],[Overall (dBA)]]&gt;$DS$2</f>
        <v>0</v>
      </c>
      <c r="DK1034" s="18" t="b">
        <f>RecData[[#This Row],[Overall (dBA)]]&lt;$DS$3</f>
        <v>0</v>
      </c>
      <c r="DL10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4" s="2">
        <f>IF(AND(RecData[[#This Row],[Turbines ON/OFF]] = "OFF", NOT(OR(RecData[[#This Row],[Junk?]]="YES",RecData[[#This Row],[Gust?]],RecData[[#This Row],[Rain?]:[Min SPL Threshold?]]))),1,0)</f>
        <v>0</v>
      </c>
      <c r="DN1034" s="16">
        <f>RecData[[#This Row],[dBA Sum]]</f>
        <v>41.867258520766917</v>
      </c>
      <c r="DO1034" s="16">
        <f>RecData[[#This Row],[LAF90.0]]</f>
        <v>40.799999999999997</v>
      </c>
      <c r="DP1034" s="55">
        <f>IF(AND(RecData[[#This Row],[Useable TON Data?]],RecData[[#This Row],[Turbines ON/OFF]]="ON"),RecData[[#This Row],[dBA Sum]],"")</f>
        <v>41.867258520766917</v>
      </c>
      <c r="DQ1034" s="55" t="str">
        <f>IF(AND(RecData[[#This Row],[Useable Background Data?]],RecData[[#This Row],[Turbines ON/OFF]]="OFF"),RecData[[#This Row],[dBA Sum]],"")</f>
        <v/>
      </c>
      <c r="DR1034" s="3">
        <f>IF(OR(RecData[[#This Row],[Useable TON Data?]],RecData[[#This Row],[Useable Background Data?]]),ROUND(RecData[[#This Row],[WSpd_Avg '[m/s']]],0),"")</f>
        <v>1</v>
      </c>
      <c r="DS1034" s="85">
        <f>(0.00002)^2*(10^(RecData[[#This Row],[Overall (dBA)]]/10))</f>
        <v>6.1487359529561359E-6</v>
      </c>
    </row>
    <row r="1035" spans="1:123" ht="15" x14ac:dyDescent="0.25">
      <c r="A1035" s="3" t="s">
        <v>249</v>
      </c>
      <c r="B1035" s="12">
        <v>43275.148611111108</v>
      </c>
      <c r="C1035" s="3"/>
      <c r="D1035" s="3">
        <v>41.2</v>
      </c>
      <c r="E1035" s="3"/>
      <c r="F1035" s="3"/>
      <c r="G1035" s="3"/>
      <c r="H1035" s="3"/>
      <c r="I1035" s="3"/>
      <c r="J1035" s="3"/>
      <c r="K1035" s="3">
        <v>39.5</v>
      </c>
      <c r="L1035" s="3"/>
      <c r="M1035" s="3"/>
      <c r="N1035" s="3">
        <v>218.6</v>
      </c>
      <c r="O1035" s="3"/>
      <c r="P1035" s="3"/>
      <c r="Q1035" s="3">
        <v>1.2</v>
      </c>
      <c r="R1035" s="3">
        <v>0.7</v>
      </c>
      <c r="S1035" s="3">
        <v>1.9</v>
      </c>
      <c r="T1035" s="3">
        <v>11.3</v>
      </c>
      <c r="U1035" s="3">
        <v>74.3</v>
      </c>
      <c r="V1035" s="3">
        <v>967.6</v>
      </c>
      <c r="W1035" s="3">
        <v>0</v>
      </c>
      <c r="X1035" s="3">
        <v>48.5</v>
      </c>
      <c r="Y1035" s="3">
        <v>48</v>
      </c>
      <c r="Z1035" s="3">
        <v>47.6</v>
      </c>
      <c r="AA1035" s="3">
        <v>43.6</v>
      </c>
      <c r="AB1035" s="3">
        <v>37.6</v>
      </c>
      <c r="AC1035" s="3">
        <v>37.6</v>
      </c>
      <c r="AD1035" s="3">
        <v>41.2</v>
      </c>
      <c r="AE1035" s="3">
        <v>41.9</v>
      </c>
      <c r="AF1035" s="3">
        <v>45.2</v>
      </c>
      <c r="AG1035" s="3">
        <v>39.700000000000003</v>
      </c>
      <c r="AH1035" s="3">
        <v>37.5</v>
      </c>
      <c r="AI1035" s="3">
        <v>37.299999999999997</v>
      </c>
      <c r="AJ1035" s="3">
        <v>36.4</v>
      </c>
      <c r="AK1035" s="3">
        <v>34.700000000000003</v>
      </c>
      <c r="AL1035" s="3">
        <v>33.200000000000003</v>
      </c>
      <c r="AM1035" s="3">
        <v>33.299999999999997</v>
      </c>
      <c r="AN1035" s="3">
        <v>32.200000000000003</v>
      </c>
      <c r="AO1035" s="3">
        <v>30.2</v>
      </c>
      <c r="AP1035" s="3">
        <v>29</v>
      </c>
      <c r="AQ1035" s="3">
        <v>27.9</v>
      </c>
      <c r="AR1035" s="3">
        <v>26.9</v>
      </c>
      <c r="AS1035" s="3">
        <v>25.8</v>
      </c>
      <c r="AT1035" s="3">
        <v>26</v>
      </c>
      <c r="AU1035" s="3">
        <v>21.4</v>
      </c>
      <c r="AV1035" s="3">
        <v>19.600000000000001</v>
      </c>
      <c r="AW1035" s="3">
        <v>17.399999999999999</v>
      </c>
      <c r="AX1035" s="3">
        <v>12.9</v>
      </c>
      <c r="AY1035" s="3">
        <v>11.1</v>
      </c>
      <c r="AZ1035" s="3">
        <v>0</v>
      </c>
      <c r="BA1035" s="3">
        <v>0</v>
      </c>
      <c r="BB1035" s="3">
        <v>0</v>
      </c>
      <c r="BC1035" s="3">
        <v>41.191297626780567</v>
      </c>
      <c r="BD1035" s="3">
        <v>48.508702373219435</v>
      </c>
      <c r="BE1035" s="3">
        <v>48.008702373219435</v>
      </c>
      <c r="BF1035" s="3">
        <v>46.368702373219435</v>
      </c>
      <c r="BG1035" s="3">
        <v>42.695369039886103</v>
      </c>
      <c r="BH1035" s="3">
        <v>36.835369039886103</v>
      </c>
      <c r="BI1035" s="3">
        <v>37.24870237321943</v>
      </c>
      <c r="BJ1035" s="3">
        <v>41.642035706552775</v>
      </c>
      <c r="BK1035" s="3">
        <v>42.215369039886099</v>
      </c>
      <c r="BL1035" s="3">
        <v>45.088702373219434</v>
      </c>
      <c r="BM1035" s="3">
        <v>39.722035706552774</v>
      </c>
      <c r="BN1035" s="3">
        <v>37.805369039886102</v>
      </c>
      <c r="BO1035" s="3">
        <v>36.972035706552759</v>
      </c>
      <c r="BP1035" s="3">
        <v>35.788702373219436</v>
      </c>
      <c r="BQ1035" s="3">
        <v>34.505369039886091</v>
      </c>
      <c r="BR1035" s="3">
        <v>33.332035706552773</v>
      </c>
      <c r="BS1035" s="3">
        <v>33.235369039886109</v>
      </c>
      <c r="BT1035" s="3">
        <v>32.332035706552773</v>
      </c>
      <c r="BU1035" s="3">
        <v>30.298702373219442</v>
      </c>
      <c r="BV1035" s="3">
        <v>28.815369039886107</v>
      </c>
      <c r="BW1035" s="3">
        <v>28.24870237321943</v>
      </c>
      <c r="BX1035" s="3">
        <v>27.168702373219446</v>
      </c>
      <c r="BY1035" s="3">
        <v>25.888702373219431</v>
      </c>
      <c r="BZ1035" s="3">
        <v>26.218702373219443</v>
      </c>
      <c r="CA1035" s="3">
        <v>21.718702373219429</v>
      </c>
      <c r="CB1035" s="3">
        <v>19.355369039886099</v>
      </c>
      <c r="CC1035" s="3">
        <v>17.368702373219435</v>
      </c>
      <c r="CD1035" s="3">
        <v>12.175369039886107</v>
      </c>
      <c r="CE1035" s="3">
        <v>10.568702373219438</v>
      </c>
      <c r="CF1035" s="3">
        <v>-0.91796429344723407</v>
      </c>
      <c r="CG1035" s="3">
        <v>-1.4512976267805655</v>
      </c>
      <c r="CH1035" s="3">
        <v>-2.5279642934472335</v>
      </c>
      <c r="CI1035" s="13">
        <f>[1]!dbasum(RecData[[#This Row],[20]:[2000]],RecData[[#Headers],[20]:[2000]])</f>
        <v>40.692751349465667</v>
      </c>
      <c r="CJ1035" s="14">
        <v>10511</v>
      </c>
      <c r="CK1035" s="15" t="s">
        <v>249</v>
      </c>
      <c r="CL1035" s="15">
        <f>RecData[[#This Row],[Start Time]]</f>
        <v>43275.148611111108</v>
      </c>
      <c r="CM1035" s="16">
        <f>RecData[[#This Row],[Wind Speed avg]]</f>
        <v>1.2</v>
      </c>
      <c r="CN1035" s="16">
        <f>RecData[[#This Row],[Wind Dir. avg]]</f>
        <v>218.6</v>
      </c>
      <c r="CO1035" s="16">
        <f>RecData[[#This Row],[Amb. Humidity]]</f>
        <v>74.3</v>
      </c>
      <c r="CP1035" s="16">
        <f>RecData[[#This Row],[Amb. Temperature]]</f>
        <v>11.3</v>
      </c>
      <c r="CQ1035" s="17">
        <f>RecData[[#This Row],[Amb. Rain Gauge]]</f>
        <v>0</v>
      </c>
      <c r="CR1035" s="4" t="s">
        <v>1</v>
      </c>
      <c r="CS1035" s="4" t="s">
        <v>49</v>
      </c>
      <c r="CT1035" s="70">
        <v>1617.25659179687</v>
      </c>
      <c r="CU1035" s="70">
        <v>33.000282287597599</v>
      </c>
      <c r="CV1035" s="70">
        <v>12.2762231826782</v>
      </c>
      <c r="CW1035" s="70">
        <v>15.2843809127807</v>
      </c>
      <c r="CX1035" s="4"/>
      <c r="CY1035" s="69"/>
      <c r="CZ1035" s="2" t="b">
        <f>IF($DP$1="YES",IF(RecData[[#This Row],[Power (kW)]]&gt;=$CR$3, TRUE,FALSE),TRUE)</f>
        <v>1</v>
      </c>
      <c r="DA1035" s="16">
        <f>MIN(MOD(180-ABS(ABS($DA$1-RecData[Yaw Angle (°)])-180),360),MOD(180-ABS(ABS($DB$1-RecData[Yaw Angle (°)])-180),360))</f>
        <v>25.470355509910064</v>
      </c>
      <c r="DB1035" s="2" t="str">
        <f>IF($DP$2="None","None",IF(RecData[[#This Row],[Relative Wind Direction]]&lt;=45,"DW",IF(RecData[[#This Row],[Relative Wind Direction]]&lt;=135,"CW","UW")))</f>
        <v>DW</v>
      </c>
      <c r="DC1035" s="61">
        <f>IF($CL1035-$CL1031&gt;1/24,#REF!,IF(SUM($CQ1031:$CQ1035)&gt;$DS$1,$DS$5,DC1036-1))</f>
        <v>-3</v>
      </c>
      <c r="DD1035" s="61" t="e">
        <f>IF($CL1036-$CL1035&gt;1/24,#REF!,IF(SUM($CQ1031:$CQ1035)&gt;$DS$1,$DS$6,DD1034-1))</f>
        <v>#REF!</v>
      </c>
      <c r="DE1035" s="18" t="b">
        <v>0</v>
      </c>
      <c r="DF1035" s="2" t="b">
        <f>IF(OR(RecData[[#This Row],[WSpd_Avg '[m/s']]]-RecData[[#This Row],[Wind Speed min]]&gt;=$DF$3,RecData[[#This Row],[Wind Speed max]]-RecData[[#This Row],[WSpd_Avg '[m/s']]]&gt;=$DF$2),TRUE,FALSE)</f>
        <v>0</v>
      </c>
      <c r="DG1035" s="2" t="b">
        <f>RecData[[#This Row],[Temperature '[°C']]]&lt;=-20</f>
        <v>0</v>
      </c>
      <c r="DH1035" s="18" t="b">
        <f>NOT(OR(MOD(RecData[[#This Row],[TIMESTAMP]],1)&gt;0.91632,MOD(RecData[[#This Row],[TIMESTAMP]],1)&lt;0.208681))</f>
        <v>0</v>
      </c>
      <c r="DI1035" s="18" t="b">
        <f>RecData[[#This Row],[Overall (dBA)]]-RecData[[#This Row],[L90]]&gt;=$DS$4</f>
        <v>0</v>
      </c>
      <c r="DJ1035" s="18" t="b">
        <f>RecData[[#This Row],[Overall (dBA)]]&gt;$DS$2</f>
        <v>0</v>
      </c>
      <c r="DK1035" s="18" t="b">
        <f>RecData[[#This Row],[Overall (dBA)]]&lt;$DS$3</f>
        <v>0</v>
      </c>
      <c r="DL10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5" s="2">
        <f>IF(AND(RecData[[#This Row],[Turbines ON/OFF]] = "OFF", NOT(OR(RecData[[#This Row],[Junk?]]="YES",RecData[[#This Row],[Gust?]],RecData[[#This Row],[Rain?]:[Min SPL Threshold?]]))),1,0)</f>
        <v>0</v>
      </c>
      <c r="DN1035" s="16">
        <f>RecData[[#This Row],[dBA Sum]]</f>
        <v>40.692751349465667</v>
      </c>
      <c r="DO1035" s="16">
        <f>RecData[[#This Row],[LAF90.0]]</f>
        <v>39.5</v>
      </c>
      <c r="DP1035" s="55">
        <f>IF(AND(RecData[[#This Row],[Useable TON Data?]],RecData[[#This Row],[Turbines ON/OFF]]="ON"),RecData[[#This Row],[dBA Sum]],"")</f>
        <v>40.692751349465667</v>
      </c>
      <c r="DQ1035" s="55" t="str">
        <f>IF(AND(RecData[[#This Row],[Useable Background Data?]],RecData[[#This Row],[Turbines ON/OFF]]="OFF"),RecData[[#This Row],[dBA Sum]],"")</f>
        <v/>
      </c>
      <c r="DR1035" s="3">
        <f>IF(OR(RecData[[#This Row],[Useable TON Data?]],RecData[[#This Row],[Useable Background Data?]]),ROUND(RecData[[#This Row],[WSpd_Avg '[m/s']]],0),"")</f>
        <v>1</v>
      </c>
      <c r="DS1035" s="85">
        <f>(0.00002)^2*(10^(RecData[[#This Row],[Overall (dBA)]]/10))</f>
        <v>4.6917528477700117E-6</v>
      </c>
    </row>
    <row r="1036" spans="1:123" ht="15" x14ac:dyDescent="0.25">
      <c r="A1036" s="3" t="s">
        <v>249</v>
      </c>
      <c r="B1036" s="12">
        <v>43275.149305555555</v>
      </c>
      <c r="C1036" s="3"/>
      <c r="D1036" s="3">
        <v>40.4</v>
      </c>
      <c r="E1036" s="3"/>
      <c r="F1036" s="3"/>
      <c r="G1036" s="3"/>
      <c r="H1036" s="3"/>
      <c r="I1036" s="3"/>
      <c r="J1036" s="3"/>
      <c r="K1036" s="3">
        <v>39.1</v>
      </c>
      <c r="L1036" s="3"/>
      <c r="M1036" s="3"/>
      <c r="N1036" s="3">
        <v>118.4</v>
      </c>
      <c r="O1036" s="3"/>
      <c r="P1036" s="3"/>
      <c r="Q1036" s="3">
        <v>1.17</v>
      </c>
      <c r="R1036" s="3">
        <v>0.4</v>
      </c>
      <c r="S1036" s="3">
        <v>2.2999999999999998</v>
      </c>
      <c r="T1036" s="3">
        <v>11.3</v>
      </c>
      <c r="U1036" s="3">
        <v>74.2</v>
      </c>
      <c r="V1036" s="3">
        <v>967.5</v>
      </c>
      <c r="W1036" s="3">
        <v>0</v>
      </c>
      <c r="X1036" s="3">
        <v>46.6</v>
      </c>
      <c r="Y1036" s="3">
        <v>46.5</v>
      </c>
      <c r="Z1036" s="3">
        <v>46</v>
      </c>
      <c r="AA1036" s="3">
        <v>42.6</v>
      </c>
      <c r="AB1036" s="3">
        <v>37.1</v>
      </c>
      <c r="AC1036" s="3">
        <v>36.200000000000003</v>
      </c>
      <c r="AD1036" s="3">
        <v>39.1</v>
      </c>
      <c r="AE1036" s="3">
        <v>40.299999999999997</v>
      </c>
      <c r="AF1036" s="3">
        <v>44.7</v>
      </c>
      <c r="AG1036" s="3">
        <v>39</v>
      </c>
      <c r="AH1036" s="3">
        <v>36.9</v>
      </c>
      <c r="AI1036" s="3">
        <v>37</v>
      </c>
      <c r="AJ1036" s="3">
        <v>35.9</v>
      </c>
      <c r="AK1036" s="3">
        <v>34.4</v>
      </c>
      <c r="AL1036" s="3">
        <v>32.9</v>
      </c>
      <c r="AM1036" s="3">
        <v>32.799999999999997</v>
      </c>
      <c r="AN1036" s="3">
        <v>31.5</v>
      </c>
      <c r="AO1036" s="3">
        <v>29.3</v>
      </c>
      <c r="AP1036" s="3">
        <v>27.9</v>
      </c>
      <c r="AQ1036" s="3">
        <v>26.7</v>
      </c>
      <c r="AR1036" s="3">
        <v>25.4</v>
      </c>
      <c r="AS1036" s="3">
        <v>24.1</v>
      </c>
      <c r="AT1036" s="3">
        <v>24.4</v>
      </c>
      <c r="AU1036" s="3">
        <v>20.6</v>
      </c>
      <c r="AV1036" s="3">
        <v>19.2</v>
      </c>
      <c r="AW1036" s="3">
        <v>17.399999999999999</v>
      </c>
      <c r="AX1036" s="3">
        <v>13.3</v>
      </c>
      <c r="AY1036" s="3">
        <v>11.5</v>
      </c>
      <c r="AZ1036" s="3">
        <v>0</v>
      </c>
      <c r="BA1036" s="3">
        <v>0</v>
      </c>
      <c r="BB1036" s="3">
        <v>0</v>
      </c>
      <c r="BC1036" s="3">
        <v>40.443022430767492</v>
      </c>
      <c r="BD1036" s="3">
        <v>46.556977569232508</v>
      </c>
      <c r="BE1036" s="3">
        <v>46.456977569232514</v>
      </c>
      <c r="BF1036" s="3">
        <v>44.716977569232505</v>
      </c>
      <c r="BG1036" s="3">
        <v>41.643644235899181</v>
      </c>
      <c r="BH1036" s="3">
        <v>36.283644235899168</v>
      </c>
      <c r="BI1036" s="3">
        <v>35.796977569232517</v>
      </c>
      <c r="BJ1036" s="3">
        <v>39.490310902565845</v>
      </c>
      <c r="BK1036" s="3">
        <v>40.563644235899169</v>
      </c>
      <c r="BL1036" s="3">
        <v>44.536977569232512</v>
      </c>
      <c r="BM1036" s="3">
        <v>38.970310902565835</v>
      </c>
      <c r="BN1036" s="3">
        <v>37.153644235899172</v>
      </c>
      <c r="BO1036" s="3">
        <v>36.620310902565841</v>
      </c>
      <c r="BP1036" s="3">
        <v>35.236977569232515</v>
      </c>
      <c r="BQ1036" s="3">
        <v>34.153644235899172</v>
      </c>
      <c r="BR1036" s="3">
        <v>32.98031090256584</v>
      </c>
      <c r="BS1036" s="3">
        <v>32.683644235899173</v>
      </c>
      <c r="BT1036" s="3">
        <v>31.580310902565849</v>
      </c>
      <c r="BU1036" s="3">
        <v>29.346977569232514</v>
      </c>
      <c r="BV1036" s="3">
        <v>27.663644235899177</v>
      </c>
      <c r="BW1036" s="3">
        <v>26.996977569232506</v>
      </c>
      <c r="BX1036" s="3">
        <v>25.61697756923251</v>
      </c>
      <c r="BY1036" s="3">
        <v>24.136977569232506</v>
      </c>
      <c r="BZ1036" s="3">
        <v>24.566977569232513</v>
      </c>
      <c r="CA1036" s="3">
        <v>20.866977569232496</v>
      </c>
      <c r="CB1036" s="3">
        <v>18.903644235899172</v>
      </c>
      <c r="CC1036" s="3">
        <v>17.316977569232499</v>
      </c>
      <c r="CD1036" s="3">
        <v>12.523644235899177</v>
      </c>
      <c r="CE1036" s="3">
        <v>10.916977569232508</v>
      </c>
      <c r="CF1036" s="3">
        <v>-0.96968909743416276</v>
      </c>
      <c r="CG1036" s="3">
        <v>-1.5030224307674942</v>
      </c>
      <c r="CH1036" s="3">
        <v>-2.5796890974341622</v>
      </c>
      <c r="CI1036" s="13">
        <f>[1]!dbasum(RecData[[#This Row],[20]:[2000]],RecData[[#Headers],[20]:[2000]])</f>
        <v>39.944276090568067</v>
      </c>
      <c r="CJ1036" s="14">
        <v>10512</v>
      </c>
      <c r="CK1036" s="15" t="s">
        <v>249</v>
      </c>
      <c r="CL1036" s="15">
        <f>RecData[[#This Row],[Start Time]]</f>
        <v>43275.149305555555</v>
      </c>
      <c r="CM1036" s="16">
        <f>RecData[[#This Row],[Wind Speed avg]]</f>
        <v>1.17</v>
      </c>
      <c r="CN1036" s="16">
        <f>RecData[[#This Row],[Wind Dir. avg]]</f>
        <v>118.4</v>
      </c>
      <c r="CO1036" s="16">
        <f>RecData[[#This Row],[Amb. Humidity]]</f>
        <v>74.2</v>
      </c>
      <c r="CP1036" s="16">
        <f>RecData[[#This Row],[Amb. Temperature]]</f>
        <v>11.3</v>
      </c>
      <c r="CQ1036" s="17">
        <f>RecData[[#This Row],[Amb. Rain Gauge]]</f>
        <v>0</v>
      </c>
      <c r="CR1036" s="4" t="s">
        <v>1</v>
      </c>
      <c r="CS1036" s="4" t="s">
        <v>49</v>
      </c>
      <c r="CT1036" s="70">
        <v>1617.25659179687</v>
      </c>
      <c r="CU1036" s="70">
        <v>33.000282287597599</v>
      </c>
      <c r="CV1036" s="70">
        <v>12.2762231826782</v>
      </c>
      <c r="CW1036" s="70">
        <v>15.2843809127807</v>
      </c>
      <c r="CX1036" s="4"/>
      <c r="CY1036" s="69"/>
      <c r="CZ1036" s="2" t="b">
        <f>IF($DP$1="YES",IF(RecData[[#This Row],[Power (kW)]]&gt;=$CR$3, TRUE,FALSE),TRUE)</f>
        <v>1</v>
      </c>
      <c r="DA1036" s="16">
        <f>MIN(MOD(180-ABS(ABS($DA$1-RecData[Yaw Angle (°)])-180),360),MOD(180-ABS(ABS($DB$1-RecData[Yaw Angle (°)])-180),360))</f>
        <v>25.470355509910064</v>
      </c>
      <c r="DB1036" s="2" t="str">
        <f>IF($DP$2="None","None",IF(RecData[[#This Row],[Relative Wind Direction]]&lt;=45,"DW",IF(RecData[[#This Row],[Relative Wind Direction]]&lt;=135,"CW","UW")))</f>
        <v>DW</v>
      </c>
      <c r="DC1036" s="61">
        <f>IF($CL1036-$CL1032&gt;1/24,#REF!,IF(SUM($CQ1032:$CQ1036)&gt;$DS$1,$DS$5,DC1037-1))</f>
        <v>-2</v>
      </c>
      <c r="DD1036" s="61" t="e">
        <f>IF($CL1037-$CL1036&gt;1/24,#REF!,IF(SUM($CQ1032:$CQ1036)&gt;$DS$1,$DS$6,DD1035-1))</f>
        <v>#REF!</v>
      </c>
      <c r="DE1036" s="18" t="b">
        <v>0</v>
      </c>
      <c r="DF1036" s="2" t="b">
        <f>IF(OR(RecData[[#This Row],[WSpd_Avg '[m/s']]]-RecData[[#This Row],[Wind Speed min]]&gt;=$DF$3,RecData[[#This Row],[Wind Speed max]]-RecData[[#This Row],[WSpd_Avg '[m/s']]]&gt;=$DF$2),TRUE,FALSE)</f>
        <v>0</v>
      </c>
      <c r="DG1036" s="2" t="b">
        <f>RecData[[#This Row],[Temperature '[°C']]]&lt;=-20</f>
        <v>0</v>
      </c>
      <c r="DH1036" s="18" t="b">
        <f>NOT(OR(MOD(RecData[[#This Row],[TIMESTAMP]],1)&gt;0.91632,MOD(RecData[[#This Row],[TIMESTAMP]],1)&lt;0.208681))</f>
        <v>0</v>
      </c>
      <c r="DI1036" s="18" t="b">
        <f>RecData[[#This Row],[Overall (dBA)]]-RecData[[#This Row],[L90]]&gt;=$DS$4</f>
        <v>0</v>
      </c>
      <c r="DJ1036" s="18" t="b">
        <f>RecData[[#This Row],[Overall (dBA)]]&gt;$DS$2</f>
        <v>0</v>
      </c>
      <c r="DK1036" s="18" t="b">
        <f>RecData[[#This Row],[Overall (dBA)]]&lt;$DS$3</f>
        <v>0</v>
      </c>
      <c r="DL10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6" s="2">
        <f>IF(AND(RecData[[#This Row],[Turbines ON/OFF]] = "OFF", NOT(OR(RecData[[#This Row],[Junk?]]="YES",RecData[[#This Row],[Gust?]],RecData[[#This Row],[Rain?]:[Min SPL Threshold?]]))),1,0)</f>
        <v>0</v>
      </c>
      <c r="DN1036" s="16">
        <f>RecData[[#This Row],[dBA Sum]]</f>
        <v>39.944276090568067</v>
      </c>
      <c r="DO1036" s="16">
        <f>RecData[[#This Row],[LAF90.0]]</f>
        <v>39.1</v>
      </c>
      <c r="DP1036" s="55">
        <f>IF(AND(RecData[[#This Row],[Useable TON Data?]],RecData[[#This Row],[Turbines ON/OFF]]="ON"),RecData[[#This Row],[dBA Sum]],"")</f>
        <v>39.944276090568067</v>
      </c>
      <c r="DQ1036" s="55" t="str">
        <f>IF(AND(RecData[[#This Row],[Useable Background Data?]],RecData[[#This Row],[Turbines ON/OFF]]="OFF"),RecData[[#This Row],[dBA Sum]],"")</f>
        <v/>
      </c>
      <c r="DR1036" s="3">
        <f>IF(OR(RecData[[#This Row],[Useable TON Data?]],RecData[[#This Row],[Useable Background Data?]]),ROUND(RecData[[#This Row],[WSpd_Avg '[m/s']]],0),"")</f>
        <v>1</v>
      </c>
      <c r="DS1036" s="85">
        <f>(0.00002)^2*(10^(RecData[[#This Row],[Overall (dBA)]]/10))</f>
        <v>3.9490042431919072E-6</v>
      </c>
    </row>
    <row r="1037" spans="1:123" ht="15" x14ac:dyDescent="0.25">
      <c r="A1037" s="3" t="s">
        <v>249</v>
      </c>
      <c r="B1037" s="12">
        <v>43275.15</v>
      </c>
      <c r="C1037" s="3"/>
      <c r="D1037" s="3">
        <v>44.4</v>
      </c>
      <c r="E1037" s="3"/>
      <c r="F1037" s="3"/>
      <c r="G1037" s="3"/>
      <c r="H1037" s="3"/>
      <c r="I1037" s="3"/>
      <c r="J1037" s="3"/>
      <c r="K1037" s="3">
        <v>42.3</v>
      </c>
      <c r="L1037" s="3"/>
      <c r="M1037" s="3"/>
      <c r="N1037" s="3">
        <v>178.6</v>
      </c>
      <c r="O1037" s="3"/>
      <c r="P1037" s="3"/>
      <c r="Q1037" s="3">
        <v>1.87</v>
      </c>
      <c r="R1037" s="3">
        <v>0.4</v>
      </c>
      <c r="S1037" s="3">
        <v>3.1</v>
      </c>
      <c r="T1037" s="3">
        <v>11.3</v>
      </c>
      <c r="U1037" s="3">
        <v>74.3</v>
      </c>
      <c r="V1037" s="3">
        <v>967.5</v>
      </c>
      <c r="W1037" s="3">
        <v>0</v>
      </c>
      <c r="X1037" s="3">
        <v>47.7</v>
      </c>
      <c r="Y1037" s="3">
        <v>47.7</v>
      </c>
      <c r="Z1037" s="3">
        <v>47.7</v>
      </c>
      <c r="AA1037" s="3">
        <v>43.7</v>
      </c>
      <c r="AB1037" s="3">
        <v>39.299999999999997</v>
      </c>
      <c r="AC1037" s="3">
        <v>37.700000000000003</v>
      </c>
      <c r="AD1037" s="3">
        <v>40.4</v>
      </c>
      <c r="AE1037" s="3">
        <v>41.9</v>
      </c>
      <c r="AF1037" s="3">
        <v>46.8</v>
      </c>
      <c r="AG1037" s="3">
        <v>40.799999999999997</v>
      </c>
      <c r="AH1037" s="3">
        <v>37.9</v>
      </c>
      <c r="AI1037" s="3">
        <v>38.200000000000003</v>
      </c>
      <c r="AJ1037" s="3">
        <v>37.299999999999997</v>
      </c>
      <c r="AK1037" s="3">
        <v>35.9</v>
      </c>
      <c r="AL1037" s="3">
        <v>34.799999999999997</v>
      </c>
      <c r="AM1037" s="3">
        <v>34.799999999999997</v>
      </c>
      <c r="AN1037" s="3">
        <v>34.1</v>
      </c>
      <c r="AO1037" s="3">
        <v>32.6</v>
      </c>
      <c r="AP1037" s="3">
        <v>31.8</v>
      </c>
      <c r="AQ1037" s="3">
        <v>31.8</v>
      </c>
      <c r="AR1037" s="3">
        <v>32.1</v>
      </c>
      <c r="AS1037" s="3">
        <v>32.5</v>
      </c>
      <c r="AT1037" s="3">
        <v>32.5</v>
      </c>
      <c r="AU1037" s="3">
        <v>31.1</v>
      </c>
      <c r="AV1037" s="3">
        <v>29.4</v>
      </c>
      <c r="AW1037" s="3">
        <v>27.9</v>
      </c>
      <c r="AX1037" s="3">
        <v>23</v>
      </c>
      <c r="AY1037" s="3">
        <v>20.6</v>
      </c>
      <c r="AZ1037" s="3">
        <v>0</v>
      </c>
      <c r="BA1037" s="3">
        <v>0</v>
      </c>
      <c r="BB1037" s="3">
        <v>0</v>
      </c>
      <c r="BC1037" s="3">
        <v>44.329430393255478</v>
      </c>
      <c r="BD1037" s="3">
        <v>47.770569606744516</v>
      </c>
      <c r="BE1037" s="3">
        <v>47.770569606744516</v>
      </c>
      <c r="BF1037" s="3">
        <v>46.530569606744521</v>
      </c>
      <c r="BG1037" s="3">
        <v>42.857236273411189</v>
      </c>
      <c r="BH1037" s="3">
        <v>38.597236273411184</v>
      </c>
      <c r="BI1037" s="3">
        <v>37.410569606744531</v>
      </c>
      <c r="BJ1037" s="3">
        <v>40.903902940077842</v>
      </c>
      <c r="BK1037" s="3">
        <v>42.277236273411177</v>
      </c>
      <c r="BL1037" s="3">
        <v>46.75056960674452</v>
      </c>
      <c r="BM1037" s="3">
        <v>40.88390294007786</v>
      </c>
      <c r="BN1037" s="3">
        <v>38.267236273411186</v>
      </c>
      <c r="BO1037" s="3">
        <v>37.933902940077857</v>
      </c>
      <c r="BP1037" s="3">
        <v>36.75056960674452</v>
      </c>
      <c r="BQ1037" s="3">
        <v>35.767236273411186</v>
      </c>
      <c r="BR1037" s="3">
        <v>34.993902940077845</v>
      </c>
      <c r="BS1037" s="3">
        <v>34.797236273411187</v>
      </c>
      <c r="BT1037" s="3">
        <v>34.293902940077857</v>
      </c>
      <c r="BU1037" s="3">
        <v>32.760569606744525</v>
      </c>
      <c r="BV1037" s="3">
        <v>31.677236273411182</v>
      </c>
      <c r="BW1037" s="3">
        <v>32.210569606744514</v>
      </c>
      <c r="BX1037" s="3">
        <v>32.430569606744527</v>
      </c>
      <c r="BY1037" s="3">
        <v>32.650569606744511</v>
      </c>
      <c r="BZ1037" s="3">
        <v>32.780569606744521</v>
      </c>
      <c r="CA1037" s="3">
        <v>31.48056960674451</v>
      </c>
      <c r="CB1037" s="3">
        <v>29.217236273411189</v>
      </c>
      <c r="CC1037" s="3">
        <v>27.930569606744513</v>
      </c>
      <c r="CD1037" s="3">
        <v>22.337236273411193</v>
      </c>
      <c r="CE1037" s="3">
        <v>20.130569606744515</v>
      </c>
      <c r="CF1037" s="3">
        <v>-0.85609705992214913</v>
      </c>
      <c r="CG1037" s="3">
        <v>-1.3894303932554806</v>
      </c>
      <c r="CH1037" s="3">
        <v>-2.4660970599221486</v>
      </c>
      <c r="CI1037" s="13">
        <f>[1]!dbasum(RecData[[#This Row],[20]:[2000]],RecData[[#Headers],[20]:[2000]])</f>
        <v>42.862960404107639</v>
      </c>
      <c r="CJ1037" s="14">
        <v>10513</v>
      </c>
      <c r="CK1037" s="15" t="s">
        <v>249</v>
      </c>
      <c r="CL1037" s="15">
        <f>RecData[[#This Row],[Start Time]]</f>
        <v>43275.15</v>
      </c>
      <c r="CM1037" s="16">
        <f>RecData[[#This Row],[Wind Speed avg]]</f>
        <v>1.87</v>
      </c>
      <c r="CN1037" s="16">
        <f>RecData[[#This Row],[Wind Dir. avg]]</f>
        <v>178.6</v>
      </c>
      <c r="CO1037" s="16">
        <f>RecData[[#This Row],[Amb. Humidity]]</f>
        <v>74.3</v>
      </c>
      <c r="CP1037" s="16">
        <f>RecData[[#This Row],[Amb. Temperature]]</f>
        <v>11.3</v>
      </c>
      <c r="CQ1037" s="17">
        <f>RecData[[#This Row],[Amb. Rain Gauge]]</f>
        <v>0</v>
      </c>
      <c r="CR1037" s="4" t="s">
        <v>1</v>
      </c>
      <c r="CS1037" s="4" t="s">
        <v>49</v>
      </c>
      <c r="CT1037" s="70">
        <v>1617.25659179687</v>
      </c>
      <c r="CU1037" s="70">
        <v>33.000282287597599</v>
      </c>
      <c r="CV1037" s="70">
        <v>12.2762231826782</v>
      </c>
      <c r="CW1037" s="70">
        <v>15.2843809127807</v>
      </c>
      <c r="CX1037" s="4"/>
      <c r="CY1037" s="69"/>
      <c r="CZ1037" s="2" t="b">
        <f>IF($DP$1="YES",IF(RecData[[#This Row],[Power (kW)]]&gt;=$CR$3, TRUE,FALSE),TRUE)</f>
        <v>1</v>
      </c>
      <c r="DA1037" s="16">
        <f>MIN(MOD(180-ABS(ABS($DA$1-RecData[Yaw Angle (°)])-180),360),MOD(180-ABS(ABS($DB$1-RecData[Yaw Angle (°)])-180),360))</f>
        <v>25.470355509910064</v>
      </c>
      <c r="DB1037" s="2" t="str">
        <f>IF($DP$2="None","None",IF(RecData[[#This Row],[Relative Wind Direction]]&lt;=45,"DW",IF(RecData[[#This Row],[Relative Wind Direction]]&lt;=135,"CW","UW")))</f>
        <v>DW</v>
      </c>
      <c r="DC1037" s="61">
        <v>-1</v>
      </c>
      <c r="DD1037" s="61">
        <v>-1</v>
      </c>
      <c r="DE1037" s="18" t="b">
        <v>0</v>
      </c>
      <c r="DF1037" s="2" t="b">
        <f>IF(OR(RecData[[#This Row],[WSpd_Avg '[m/s']]]-RecData[[#This Row],[Wind Speed min]]&gt;=$DF$3,RecData[[#This Row],[Wind Speed max]]-RecData[[#This Row],[WSpd_Avg '[m/s']]]&gt;=$DF$2),TRUE,FALSE)</f>
        <v>0</v>
      </c>
      <c r="DG1037" s="2" t="b">
        <f>RecData[[#This Row],[Temperature '[°C']]]&lt;=-20</f>
        <v>0</v>
      </c>
      <c r="DH1037" s="18" t="b">
        <f>NOT(OR(MOD(RecData[[#This Row],[TIMESTAMP]],1)&gt;0.91632,MOD(RecData[[#This Row],[TIMESTAMP]],1)&lt;0.208681))</f>
        <v>0</v>
      </c>
      <c r="DI1037" s="18" t="b">
        <f>RecData[[#This Row],[Overall (dBA)]]-RecData[[#This Row],[L90]]&gt;=$DS$4</f>
        <v>0</v>
      </c>
      <c r="DJ1037" s="18" t="b">
        <f>RecData[[#This Row],[Overall (dBA)]]&gt;$DS$2</f>
        <v>0</v>
      </c>
      <c r="DK1037" s="18" t="b">
        <f>RecData[[#This Row],[Overall (dBA)]]&lt;$DS$3</f>
        <v>0</v>
      </c>
      <c r="DL10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7" s="2">
        <f>IF(AND(RecData[[#This Row],[Turbines ON/OFF]] = "OFF", NOT(OR(RecData[[#This Row],[Junk?]]="YES",RecData[[#This Row],[Gust?]],RecData[[#This Row],[Rain?]:[Min SPL Threshold?]]))),1,0)</f>
        <v>0</v>
      </c>
      <c r="DN1037" s="16">
        <f>RecData[[#This Row],[dBA Sum]]</f>
        <v>42.862960404107639</v>
      </c>
      <c r="DO1037" s="16">
        <f>RecData[[#This Row],[LAF90.0]]</f>
        <v>42.3</v>
      </c>
      <c r="DP1037" s="55">
        <f>IF(AND(RecData[[#This Row],[Useable TON Data?]],RecData[[#This Row],[Turbines ON/OFF]]="ON"),RecData[[#This Row],[dBA Sum]],"")</f>
        <v>42.862960404107639</v>
      </c>
      <c r="DQ1037" s="55" t="str">
        <f>IF(AND(RecData[[#This Row],[Useable Background Data?]],RecData[[#This Row],[Turbines ON/OFF]]="OFF"),RecData[[#This Row],[dBA Sum]],"")</f>
        <v/>
      </c>
      <c r="DR1037" s="3">
        <f>IF(OR(RecData[[#This Row],[Useable TON Data?]],RecData[[#This Row],[Useable Background Data?]]),ROUND(RecData[[#This Row],[WSpd_Avg '[m/s']]],0),"")</f>
        <v>2</v>
      </c>
      <c r="DS1037" s="85">
        <f>(0.00002)^2*(10^(RecData[[#This Row],[Overall (dBA)]]/10))</f>
        <v>7.7331428323503346E-6</v>
      </c>
    </row>
    <row r="1038" spans="1:123" ht="15" x14ac:dyDescent="0.25">
      <c r="A1038" s="3" t="s">
        <v>249</v>
      </c>
      <c r="B1038" s="12">
        <v>43275.154861111114</v>
      </c>
      <c r="C1038" s="3"/>
      <c r="D1038" s="3">
        <v>43.1</v>
      </c>
      <c r="E1038" s="3"/>
      <c r="F1038" s="3"/>
      <c r="G1038" s="3"/>
      <c r="H1038" s="3"/>
      <c r="I1038" s="3"/>
      <c r="J1038" s="3"/>
      <c r="K1038" s="3">
        <v>42</v>
      </c>
      <c r="L1038" s="3"/>
      <c r="M1038" s="3"/>
      <c r="N1038" s="3">
        <v>163.4</v>
      </c>
      <c r="O1038" s="3"/>
      <c r="P1038" s="3"/>
      <c r="Q1038" s="3">
        <v>1.94</v>
      </c>
      <c r="R1038" s="3">
        <v>0.8</v>
      </c>
      <c r="S1038" s="3">
        <v>3.1</v>
      </c>
      <c r="T1038" s="3">
        <v>11.2</v>
      </c>
      <c r="U1038" s="3">
        <v>74.099999999999994</v>
      </c>
      <c r="V1038" s="3">
        <v>967.6</v>
      </c>
      <c r="W1038" s="3">
        <v>0</v>
      </c>
      <c r="X1038" s="3">
        <v>48.2</v>
      </c>
      <c r="Y1038" s="3">
        <v>47.7</v>
      </c>
      <c r="Z1038" s="3">
        <v>47.1</v>
      </c>
      <c r="AA1038" s="3">
        <v>43.5</v>
      </c>
      <c r="AB1038" s="3">
        <v>38.700000000000003</v>
      </c>
      <c r="AC1038" s="3">
        <v>38.200000000000003</v>
      </c>
      <c r="AD1038" s="3">
        <v>40.700000000000003</v>
      </c>
      <c r="AE1038" s="3">
        <v>41.7</v>
      </c>
      <c r="AF1038" s="3">
        <v>47.1</v>
      </c>
      <c r="AG1038" s="3">
        <v>40.1</v>
      </c>
      <c r="AH1038" s="3">
        <v>37.700000000000003</v>
      </c>
      <c r="AI1038" s="3">
        <v>38.1</v>
      </c>
      <c r="AJ1038" s="3">
        <v>36.9</v>
      </c>
      <c r="AK1038" s="3">
        <v>35.5</v>
      </c>
      <c r="AL1038" s="3">
        <v>34</v>
      </c>
      <c r="AM1038" s="3">
        <v>33.9</v>
      </c>
      <c r="AN1038" s="3">
        <v>33</v>
      </c>
      <c r="AO1038" s="3">
        <v>31</v>
      </c>
      <c r="AP1038" s="3">
        <v>30.2</v>
      </c>
      <c r="AQ1038" s="3">
        <v>30</v>
      </c>
      <c r="AR1038" s="3">
        <v>30.3</v>
      </c>
      <c r="AS1038" s="3">
        <v>30.5</v>
      </c>
      <c r="AT1038" s="3">
        <v>30.4</v>
      </c>
      <c r="AU1038" s="3">
        <v>29</v>
      </c>
      <c r="AV1038" s="3">
        <v>27.5</v>
      </c>
      <c r="AW1038" s="3">
        <v>26</v>
      </c>
      <c r="AX1038" s="3">
        <v>21</v>
      </c>
      <c r="AY1038" s="3">
        <v>18.399999999999999</v>
      </c>
      <c r="AZ1038" s="3">
        <v>0</v>
      </c>
      <c r="BA1038" s="3">
        <v>0</v>
      </c>
      <c r="BB1038" s="3">
        <v>0</v>
      </c>
      <c r="BC1038" s="3">
        <v>43.064044550306058</v>
      </c>
      <c r="BD1038" s="3">
        <v>48.235955449693954</v>
      </c>
      <c r="BE1038" s="3">
        <v>47.735955449693954</v>
      </c>
      <c r="BF1038" s="3">
        <v>45.89595544969395</v>
      </c>
      <c r="BG1038" s="3">
        <v>42.62262211636061</v>
      </c>
      <c r="BH1038" s="3">
        <v>37.962622116360613</v>
      </c>
      <c r="BI1038" s="3">
        <v>37.87595544969394</v>
      </c>
      <c r="BJ1038" s="3">
        <v>41.169288783027277</v>
      </c>
      <c r="BK1038" s="3">
        <v>42.042622116360612</v>
      </c>
      <c r="BL1038" s="3">
        <v>47.015955449693955</v>
      </c>
      <c r="BM1038" s="3">
        <v>40.149288783027281</v>
      </c>
      <c r="BN1038" s="3">
        <v>38.032622116360606</v>
      </c>
      <c r="BO1038" s="3">
        <v>37.799288783027286</v>
      </c>
      <c r="BP1038" s="3">
        <v>36.315955449693938</v>
      </c>
      <c r="BQ1038" s="3">
        <v>35.332622116360604</v>
      </c>
      <c r="BR1038" s="3">
        <v>34.159288783027272</v>
      </c>
      <c r="BS1038" s="3">
        <v>33.862622116360619</v>
      </c>
      <c r="BT1038" s="3">
        <v>33.159288783027272</v>
      </c>
      <c r="BU1038" s="3">
        <v>31.12595544969394</v>
      </c>
      <c r="BV1038" s="3">
        <v>30.042622116360612</v>
      </c>
      <c r="BW1038" s="3">
        <v>30.37595544969394</v>
      </c>
      <c r="BX1038" s="3">
        <v>30.595955449693953</v>
      </c>
      <c r="BY1038" s="3">
        <v>30.615955449693949</v>
      </c>
      <c r="BZ1038" s="3">
        <v>30.64595544969395</v>
      </c>
      <c r="CA1038" s="3">
        <v>29.345955449693939</v>
      </c>
      <c r="CB1038" s="3">
        <v>27.282622116360606</v>
      </c>
      <c r="CC1038" s="3">
        <v>25.995955449693945</v>
      </c>
      <c r="CD1038" s="3">
        <v>20.302622116360617</v>
      </c>
      <c r="CE1038" s="3">
        <v>17.895955449693936</v>
      </c>
      <c r="CF1038" s="3">
        <v>-0.89071121697272559</v>
      </c>
      <c r="CG1038" s="3">
        <v>-1.424044550306057</v>
      </c>
      <c r="CH1038" s="3">
        <v>-2.500711216972725</v>
      </c>
      <c r="CI1038" s="13">
        <f>[1]!dbasum(RecData[[#This Row],[20]:[2000]],RecData[[#Headers],[20]:[2000]])</f>
        <v>41.833222595608149</v>
      </c>
      <c r="CJ1038" s="14">
        <v>10520</v>
      </c>
      <c r="CK1038" s="15" t="s">
        <v>249</v>
      </c>
      <c r="CL1038" s="15">
        <f>RecData[[#This Row],[Start Time]]</f>
        <v>43275.154861111114</v>
      </c>
      <c r="CM1038" s="16">
        <f>RecData[[#This Row],[Wind Speed avg]]</f>
        <v>1.94</v>
      </c>
      <c r="CN1038" s="16">
        <f>RecData[[#This Row],[Wind Dir. avg]]</f>
        <v>163.4</v>
      </c>
      <c r="CO1038" s="16">
        <f>RecData[[#This Row],[Amb. Humidity]]</f>
        <v>74.099999999999994</v>
      </c>
      <c r="CP1038" s="16">
        <f>RecData[[#This Row],[Amb. Temperature]]</f>
        <v>11.2</v>
      </c>
      <c r="CQ1038" s="17">
        <f>RecData[[#This Row],[Amb. Rain Gauge]]</f>
        <v>0</v>
      </c>
      <c r="CR1038" s="4" t="s">
        <v>1</v>
      </c>
      <c r="CS1038" s="4" t="s">
        <v>49</v>
      </c>
      <c r="CT1038" s="70">
        <v>1611.87744140625</v>
      </c>
      <c r="CU1038" s="70">
        <v>33.000278472900298</v>
      </c>
      <c r="CV1038" s="70">
        <v>11.574352264404199</v>
      </c>
      <c r="CW1038" s="70">
        <v>15.292212486266999</v>
      </c>
      <c r="CX1038" s="4"/>
      <c r="CY1038" s="69"/>
      <c r="CZ1038" s="2" t="b">
        <f>IF($DP$1="YES",IF(RecData[[#This Row],[Power (kW)]]&gt;=$CR$3, TRUE,FALSE),TRUE)</f>
        <v>1</v>
      </c>
      <c r="DA1038" s="16">
        <f>MIN(MOD(180-ABS(ABS($DA$1-RecData[Yaw Angle (°)])-180),360),MOD(180-ABS(ABS($DB$1-RecData[Yaw Angle (°)])-180),360))</f>
        <v>25.470351695212742</v>
      </c>
      <c r="DB1038" s="2" t="str">
        <f>IF($DP$2="None","None",IF(RecData[[#This Row],[Relative Wind Direction]]&lt;=45,"DW",IF(RecData[[#This Row],[Relative Wind Direction]]&lt;=135,"CW","UW")))</f>
        <v>DW</v>
      </c>
      <c r="DC1038" s="61" t="e">
        <f>IF($CL1038-#REF!&gt;1/24,#REF!,IF(SUM($CQ1038:$CQ1038)&gt;$DS$1,$DS$5,#REF!-1))</f>
        <v>#REF!</v>
      </c>
      <c r="DD1038" s="61" t="e">
        <f>IF(#REF!-$CL1038&gt;1/24,#REF!,IF(SUM($CQ1038:$CQ1038)&gt;$DS$1,$DS$6,#REF!-1))</f>
        <v>#REF!</v>
      </c>
      <c r="DE1038" s="18" t="b">
        <v>0</v>
      </c>
      <c r="DF1038" s="2" t="b">
        <f>IF(OR(RecData[[#This Row],[WSpd_Avg '[m/s']]]-RecData[[#This Row],[Wind Speed min]]&gt;=$DF$3,RecData[[#This Row],[Wind Speed max]]-RecData[[#This Row],[WSpd_Avg '[m/s']]]&gt;=$DF$2),TRUE,FALSE)</f>
        <v>0</v>
      </c>
      <c r="DG1038" s="2" t="b">
        <f>RecData[[#This Row],[Temperature '[°C']]]&lt;=-20</f>
        <v>0</v>
      </c>
      <c r="DH1038" s="18" t="b">
        <f>NOT(OR(MOD(RecData[[#This Row],[TIMESTAMP]],1)&gt;0.91632,MOD(RecData[[#This Row],[TIMESTAMP]],1)&lt;0.208681))</f>
        <v>0</v>
      </c>
      <c r="DI1038" s="18" t="b">
        <f>RecData[[#This Row],[Overall (dBA)]]-RecData[[#This Row],[L90]]&gt;=$DS$4</f>
        <v>0</v>
      </c>
      <c r="DJ1038" s="18" t="b">
        <f>RecData[[#This Row],[Overall (dBA)]]&gt;$DS$2</f>
        <v>0</v>
      </c>
      <c r="DK1038" s="18" t="b">
        <f>RecData[[#This Row],[Overall (dBA)]]&lt;$DS$3</f>
        <v>0</v>
      </c>
      <c r="DL10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8" s="2">
        <f>IF(AND(RecData[[#This Row],[Turbines ON/OFF]] = "OFF", NOT(OR(RecData[[#This Row],[Junk?]]="YES",RecData[[#This Row],[Gust?]],RecData[[#This Row],[Rain?]:[Min SPL Threshold?]]))),1,0)</f>
        <v>0</v>
      </c>
      <c r="DN1038" s="16">
        <f>RecData[[#This Row],[dBA Sum]]</f>
        <v>41.833222595608149</v>
      </c>
      <c r="DO1038" s="16">
        <f>RecData[[#This Row],[LAF90.0]]</f>
        <v>42</v>
      </c>
      <c r="DP1038" s="55">
        <f>IF(AND(RecData[[#This Row],[Useable TON Data?]],RecData[[#This Row],[Turbines ON/OFF]]="ON"),RecData[[#This Row],[dBA Sum]],"")</f>
        <v>41.833222595608149</v>
      </c>
      <c r="DQ1038" s="55" t="str">
        <f>IF(AND(RecData[[#This Row],[Useable Background Data?]],RecData[[#This Row],[Turbines ON/OFF]]="OFF"),RecData[[#This Row],[dBA Sum]],"")</f>
        <v/>
      </c>
      <c r="DR1038" s="3">
        <f>IF(OR(RecData[[#This Row],[Useable TON Data?]],RecData[[#This Row],[Useable Background Data?]]),ROUND(RecData[[#This Row],[WSpd_Avg '[m/s']]],0),"")</f>
        <v>2</v>
      </c>
      <c r="DS1038" s="85">
        <f>(0.00002)^2*(10^(RecData[[#This Row],[Overall (dBA)]]/10))</f>
        <v>6.1007362657478086E-6</v>
      </c>
    </row>
    <row r="1039" spans="1:123" ht="15" x14ac:dyDescent="0.25">
      <c r="A1039" s="3" t="s">
        <v>249</v>
      </c>
      <c r="B1039" s="12">
        <v>43275.156944444447</v>
      </c>
      <c r="C1039" s="3"/>
      <c r="D1039" s="3">
        <v>42.3</v>
      </c>
      <c r="E1039" s="3"/>
      <c r="F1039" s="3"/>
      <c r="G1039" s="3"/>
      <c r="H1039" s="3"/>
      <c r="I1039" s="3"/>
      <c r="J1039" s="3"/>
      <c r="K1039" s="3">
        <v>40.4</v>
      </c>
      <c r="L1039" s="3"/>
      <c r="M1039" s="3"/>
      <c r="N1039" s="3">
        <v>173.1</v>
      </c>
      <c r="O1039" s="3"/>
      <c r="P1039" s="3"/>
      <c r="Q1039" s="3">
        <v>1.38</v>
      </c>
      <c r="R1039" s="3">
        <v>0.2</v>
      </c>
      <c r="S1039" s="3">
        <v>2.8</v>
      </c>
      <c r="T1039" s="3">
        <v>11.2</v>
      </c>
      <c r="U1039" s="3">
        <v>74</v>
      </c>
      <c r="V1039" s="3">
        <v>967.6</v>
      </c>
      <c r="W1039" s="3">
        <v>0</v>
      </c>
      <c r="X1039" s="3">
        <v>46.6</v>
      </c>
      <c r="Y1039" s="3">
        <v>45.7</v>
      </c>
      <c r="Z1039" s="3">
        <v>45.3</v>
      </c>
      <c r="AA1039" s="3">
        <v>41.8</v>
      </c>
      <c r="AB1039" s="3">
        <v>37</v>
      </c>
      <c r="AC1039" s="3">
        <v>36</v>
      </c>
      <c r="AD1039" s="3">
        <v>38.1</v>
      </c>
      <c r="AE1039" s="3">
        <v>39.799999999999997</v>
      </c>
      <c r="AF1039" s="3">
        <v>46.6</v>
      </c>
      <c r="AG1039" s="3">
        <v>40.299999999999997</v>
      </c>
      <c r="AH1039" s="3">
        <v>37</v>
      </c>
      <c r="AI1039" s="3">
        <v>38.200000000000003</v>
      </c>
      <c r="AJ1039" s="3">
        <v>36.6</v>
      </c>
      <c r="AK1039" s="3">
        <v>35.299999999999997</v>
      </c>
      <c r="AL1039" s="3">
        <v>33.6</v>
      </c>
      <c r="AM1039" s="3">
        <v>33.4</v>
      </c>
      <c r="AN1039" s="3">
        <v>32.1</v>
      </c>
      <c r="AO1039" s="3">
        <v>30.1</v>
      </c>
      <c r="AP1039" s="3">
        <v>29.3</v>
      </c>
      <c r="AQ1039" s="3">
        <v>28.9</v>
      </c>
      <c r="AR1039" s="3">
        <v>29.2</v>
      </c>
      <c r="AS1039" s="3">
        <v>29.4</v>
      </c>
      <c r="AT1039" s="3">
        <v>29.1</v>
      </c>
      <c r="AU1039" s="3">
        <v>27.6</v>
      </c>
      <c r="AV1039" s="3">
        <v>26</v>
      </c>
      <c r="AW1039" s="3">
        <v>24.5</v>
      </c>
      <c r="AX1039" s="3">
        <v>19.7</v>
      </c>
      <c r="AY1039" s="3">
        <v>17.2</v>
      </c>
      <c r="AZ1039" s="3">
        <v>0</v>
      </c>
      <c r="BA1039" s="3">
        <v>0</v>
      </c>
      <c r="BB1039" s="3">
        <v>0</v>
      </c>
      <c r="BC1039" s="3">
        <v>42.277452882613048</v>
      </c>
      <c r="BD1039" s="3">
        <v>46.622547117386958</v>
      </c>
      <c r="BE1039" s="3">
        <v>45.722547117386952</v>
      </c>
      <c r="BF1039" s="3">
        <v>44.082547117386937</v>
      </c>
      <c r="BG1039" s="3">
        <v>40.90921378405362</v>
      </c>
      <c r="BH1039" s="3">
        <v>36.249213784053623</v>
      </c>
      <c r="BI1039" s="3">
        <v>35.66254711738695</v>
      </c>
      <c r="BJ1039" s="3">
        <v>38.555880450720281</v>
      </c>
      <c r="BK1039" s="3">
        <v>40.129213784053618</v>
      </c>
      <c r="BL1039" s="3">
        <v>46.502547117386953</v>
      </c>
      <c r="BM1039" s="3">
        <v>40.335880450720282</v>
      </c>
      <c r="BN1039" s="3">
        <v>37.319213784053616</v>
      </c>
      <c r="BO1039" s="3">
        <v>37.885880450720279</v>
      </c>
      <c r="BP1039" s="3">
        <v>36.002547117386953</v>
      </c>
      <c r="BQ1039" s="3">
        <v>35.119213784053599</v>
      </c>
      <c r="BR1039" s="3">
        <v>33.745880450720293</v>
      </c>
      <c r="BS1039" s="3">
        <v>33.349213784053617</v>
      </c>
      <c r="BT1039" s="3">
        <v>32.245880450720293</v>
      </c>
      <c r="BU1039" s="3">
        <v>30.212547117386961</v>
      </c>
      <c r="BV1039" s="3">
        <v>29.129213784053618</v>
      </c>
      <c r="BW1039" s="3">
        <v>29.262547117386944</v>
      </c>
      <c r="BX1039" s="3">
        <v>29.482547117386957</v>
      </c>
      <c r="BY1039" s="3">
        <v>29.502547117386953</v>
      </c>
      <c r="BZ1039" s="3">
        <v>29.332547117386952</v>
      </c>
      <c r="CA1039" s="3">
        <v>27.932547117386946</v>
      </c>
      <c r="CB1039" s="3">
        <v>25.769213784053619</v>
      </c>
      <c r="CC1039" s="3">
        <v>24.482547117386943</v>
      </c>
      <c r="CD1039" s="3">
        <v>18.989213784053618</v>
      </c>
      <c r="CE1039" s="3">
        <v>16.682547117386946</v>
      </c>
      <c r="CF1039" s="3">
        <v>-0.90411954927972005</v>
      </c>
      <c r="CG1039" s="3">
        <v>-1.4374528826130515</v>
      </c>
      <c r="CH1039" s="3">
        <v>-2.5141195492797195</v>
      </c>
      <c r="CI1039" s="13">
        <f>[1]!dbasum(RecData[[#This Row],[20]:[2000]],RecData[[#Headers],[20]:[2000]])</f>
        <v>41.17688265616502</v>
      </c>
      <c r="CJ1039" s="14">
        <v>10523</v>
      </c>
      <c r="CK1039" s="15" t="s">
        <v>249</v>
      </c>
      <c r="CL1039" s="15">
        <f>RecData[[#This Row],[Start Time]]</f>
        <v>43275.156944444447</v>
      </c>
      <c r="CM1039" s="16">
        <f>RecData[[#This Row],[Wind Speed avg]]</f>
        <v>1.38</v>
      </c>
      <c r="CN1039" s="16">
        <f>RecData[[#This Row],[Wind Dir. avg]]</f>
        <v>173.1</v>
      </c>
      <c r="CO1039" s="16">
        <f>RecData[[#This Row],[Amb. Humidity]]</f>
        <v>74</v>
      </c>
      <c r="CP1039" s="16">
        <f>RecData[[#This Row],[Amb. Temperature]]</f>
        <v>11.2</v>
      </c>
      <c r="CQ1039" s="17">
        <f>RecData[[#This Row],[Amb. Rain Gauge]]</f>
        <v>0</v>
      </c>
      <c r="CR1039" s="4" t="s">
        <v>1</v>
      </c>
      <c r="CS1039" s="4" t="s">
        <v>49</v>
      </c>
      <c r="CT1039" s="70">
        <v>1611.87744140625</v>
      </c>
      <c r="CU1039" s="70">
        <v>33.000278472900298</v>
      </c>
      <c r="CV1039" s="70">
        <v>11.574352264404199</v>
      </c>
      <c r="CW1039" s="70">
        <v>15.292212486266999</v>
      </c>
      <c r="CX1039" s="4"/>
      <c r="CY1039" s="69"/>
      <c r="CZ1039" s="2" t="b">
        <f>IF($DP$1="YES",IF(RecData[[#This Row],[Power (kW)]]&gt;=$CR$3, TRUE,FALSE),TRUE)</f>
        <v>1</v>
      </c>
      <c r="DA1039" s="16">
        <f>MIN(MOD(180-ABS(ABS($DA$1-RecData[Yaw Angle (°)])-180),360),MOD(180-ABS(ABS($DB$1-RecData[Yaw Angle (°)])-180),360))</f>
        <v>25.470351695212742</v>
      </c>
      <c r="DB1039" s="2" t="str">
        <f>IF($DP$2="None","None",IF(RecData[[#This Row],[Relative Wind Direction]]&lt;=45,"DW",IF(RecData[[#This Row],[Relative Wind Direction]]&lt;=135,"CW","UW")))</f>
        <v>DW</v>
      </c>
      <c r="DC1039" s="61" t="e">
        <f>IF($CL1039-#REF!&gt;1/24,#REF!,IF(SUM($CQ1039:$CQ1039)&gt;$DS$1,$DS$5,#REF!-1))</f>
        <v>#REF!</v>
      </c>
      <c r="DD1039" s="61" t="e">
        <f>IF(#REF!-$CL1039&gt;1/24,#REF!,IF(SUM($CQ1039:$CQ1039)&gt;$DS$1,$DS$6,#REF!-1))</f>
        <v>#REF!</v>
      </c>
      <c r="DE1039" s="18" t="b">
        <v>0</v>
      </c>
      <c r="DF1039" s="2" t="b">
        <f>IF(OR(RecData[[#This Row],[WSpd_Avg '[m/s']]]-RecData[[#This Row],[Wind Speed min]]&gt;=$DF$3,RecData[[#This Row],[Wind Speed max]]-RecData[[#This Row],[WSpd_Avg '[m/s']]]&gt;=$DF$2),TRUE,FALSE)</f>
        <v>0</v>
      </c>
      <c r="DG1039" s="2" t="b">
        <f>RecData[[#This Row],[Temperature '[°C']]]&lt;=-20</f>
        <v>0</v>
      </c>
      <c r="DH1039" s="18" t="b">
        <f>NOT(OR(MOD(RecData[[#This Row],[TIMESTAMP]],1)&gt;0.91632,MOD(RecData[[#This Row],[TIMESTAMP]],1)&lt;0.208681))</f>
        <v>0</v>
      </c>
      <c r="DI1039" s="18" t="b">
        <f>RecData[[#This Row],[Overall (dBA)]]-RecData[[#This Row],[L90]]&gt;=$DS$4</f>
        <v>0</v>
      </c>
      <c r="DJ1039" s="18" t="b">
        <f>RecData[[#This Row],[Overall (dBA)]]&gt;$DS$2</f>
        <v>0</v>
      </c>
      <c r="DK1039" s="18" t="b">
        <f>RecData[[#This Row],[Overall (dBA)]]&lt;$DS$3</f>
        <v>0</v>
      </c>
      <c r="DL10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39" s="2">
        <f>IF(AND(RecData[[#This Row],[Turbines ON/OFF]] = "OFF", NOT(OR(RecData[[#This Row],[Junk?]]="YES",RecData[[#This Row],[Gust?]],RecData[[#This Row],[Rain?]:[Min SPL Threshold?]]))),1,0)</f>
        <v>0</v>
      </c>
      <c r="DN1039" s="16">
        <f>RecData[[#This Row],[dBA Sum]]</f>
        <v>41.17688265616502</v>
      </c>
      <c r="DO1039" s="16">
        <f>RecData[[#This Row],[LAF90.0]]</f>
        <v>40.4</v>
      </c>
      <c r="DP1039" s="55">
        <f>IF(AND(RecData[[#This Row],[Useable TON Data?]],RecData[[#This Row],[Turbines ON/OFF]]="ON"),RecData[[#This Row],[dBA Sum]],"")</f>
        <v>41.17688265616502</v>
      </c>
      <c r="DQ1039" s="55" t="str">
        <f>IF(AND(RecData[[#This Row],[Useable Background Data?]],RecData[[#This Row],[Turbines ON/OFF]]="OFF"),RecData[[#This Row],[dBA Sum]],"")</f>
        <v/>
      </c>
      <c r="DR1039" s="3">
        <f>IF(OR(RecData[[#This Row],[Useable TON Data?]],RecData[[#This Row],[Useable Background Data?]]),ROUND(RecData[[#This Row],[WSpd_Avg '[m/s']]],0),"")</f>
        <v>1</v>
      </c>
      <c r="DS1039" s="85">
        <f>(0.00002)^2*(10^(RecData[[#This Row],[Overall (dBA)]]/10))</f>
        <v>5.2450333861074499E-6</v>
      </c>
    </row>
    <row r="1040" spans="1:123" ht="15" x14ac:dyDescent="0.25">
      <c r="A1040" s="3" t="s">
        <v>249</v>
      </c>
      <c r="B1040" s="12">
        <v>43275.158333333333</v>
      </c>
      <c r="C1040" s="3"/>
      <c r="D1040" s="3">
        <v>45.3</v>
      </c>
      <c r="E1040" s="3"/>
      <c r="F1040" s="3"/>
      <c r="G1040" s="3"/>
      <c r="H1040" s="3"/>
      <c r="I1040" s="3"/>
      <c r="J1040" s="3"/>
      <c r="K1040" s="3">
        <v>42.7</v>
      </c>
      <c r="L1040" s="3"/>
      <c r="M1040" s="3"/>
      <c r="N1040" s="3">
        <v>161.19999999999999</v>
      </c>
      <c r="O1040" s="3"/>
      <c r="P1040" s="3"/>
      <c r="Q1040" s="3">
        <v>2.58</v>
      </c>
      <c r="R1040" s="3">
        <v>1.4</v>
      </c>
      <c r="S1040" s="3">
        <v>3.7</v>
      </c>
      <c r="T1040" s="3">
        <v>11.2</v>
      </c>
      <c r="U1040" s="3">
        <v>74</v>
      </c>
      <c r="V1040" s="3">
        <v>967.6</v>
      </c>
      <c r="W1040" s="3">
        <v>0</v>
      </c>
      <c r="X1040" s="3">
        <v>48.8</v>
      </c>
      <c r="Y1040" s="3">
        <v>47.5</v>
      </c>
      <c r="Z1040" s="3">
        <v>46.8</v>
      </c>
      <c r="AA1040" s="3">
        <v>43.7</v>
      </c>
      <c r="AB1040" s="3">
        <v>39.200000000000003</v>
      </c>
      <c r="AC1040" s="3">
        <v>38.4</v>
      </c>
      <c r="AD1040" s="3">
        <v>41</v>
      </c>
      <c r="AE1040" s="3">
        <v>41.8</v>
      </c>
      <c r="AF1040" s="3">
        <v>45.5</v>
      </c>
      <c r="AG1040" s="3">
        <v>41.3</v>
      </c>
      <c r="AH1040" s="3">
        <v>38.6</v>
      </c>
      <c r="AI1040" s="3">
        <v>39</v>
      </c>
      <c r="AJ1040" s="3">
        <v>37.9</v>
      </c>
      <c r="AK1040" s="3">
        <v>36.5</v>
      </c>
      <c r="AL1040" s="3">
        <v>34.9</v>
      </c>
      <c r="AM1040" s="3">
        <v>35</v>
      </c>
      <c r="AN1040" s="3">
        <v>34.299999999999997</v>
      </c>
      <c r="AO1040" s="3">
        <v>32.5</v>
      </c>
      <c r="AP1040" s="3">
        <v>31.8</v>
      </c>
      <c r="AQ1040" s="3">
        <v>32</v>
      </c>
      <c r="AR1040" s="3">
        <v>32.9</v>
      </c>
      <c r="AS1040" s="3">
        <v>34</v>
      </c>
      <c r="AT1040" s="3">
        <v>34.700000000000003</v>
      </c>
      <c r="AU1040" s="3">
        <v>33.9</v>
      </c>
      <c r="AV1040" s="3">
        <v>32.200000000000003</v>
      </c>
      <c r="AW1040" s="3">
        <v>30.7</v>
      </c>
      <c r="AX1040" s="3">
        <v>25.8</v>
      </c>
      <c r="AY1040" s="3">
        <v>24</v>
      </c>
      <c r="AZ1040" s="3">
        <v>0</v>
      </c>
      <c r="BA1040" s="3">
        <v>0</v>
      </c>
      <c r="BB1040" s="3">
        <v>0</v>
      </c>
      <c r="BC1040" s="3">
        <v>45.295970447060412</v>
      </c>
      <c r="BD1040" s="3">
        <v>48.804029552939582</v>
      </c>
      <c r="BE1040" s="3">
        <v>47.504029552939585</v>
      </c>
      <c r="BF1040" s="3">
        <v>45.564029552939573</v>
      </c>
      <c r="BG1040" s="3">
        <v>42.790696219606261</v>
      </c>
      <c r="BH1040" s="3">
        <v>38.430696219606247</v>
      </c>
      <c r="BI1040" s="3">
        <v>38.044029552939591</v>
      </c>
      <c r="BJ1040" s="3">
        <v>41.437362886272908</v>
      </c>
      <c r="BK1040" s="3">
        <v>42.110696219606254</v>
      </c>
      <c r="BL1040" s="3">
        <v>45.384029552939595</v>
      </c>
      <c r="BM1040" s="3">
        <v>41.317362886272917</v>
      </c>
      <c r="BN1040" s="3">
        <v>38.900696219606246</v>
      </c>
      <c r="BO1040" s="3">
        <v>38.667362886272926</v>
      </c>
      <c r="BP1040" s="3">
        <v>37.284029552939586</v>
      </c>
      <c r="BQ1040" s="3">
        <v>36.300696219606252</v>
      </c>
      <c r="BR1040" s="3">
        <v>35.027362886272911</v>
      </c>
      <c r="BS1040" s="3">
        <v>34.930696219606247</v>
      </c>
      <c r="BT1040" s="3">
        <v>34.427362886272917</v>
      </c>
      <c r="BU1040" s="3">
        <v>32.594029552939588</v>
      </c>
      <c r="BV1040" s="3">
        <v>31.610696219606254</v>
      </c>
      <c r="BW1040" s="3">
        <v>32.344029552939588</v>
      </c>
      <c r="BX1040" s="3">
        <v>33.164029552939596</v>
      </c>
      <c r="BY1040" s="3">
        <v>34.084029552939583</v>
      </c>
      <c r="BZ1040" s="3">
        <v>34.914029552939596</v>
      </c>
      <c r="CA1040" s="3">
        <v>34.214029552939579</v>
      </c>
      <c r="CB1040" s="3">
        <v>31.950696219606257</v>
      </c>
      <c r="CC1040" s="3">
        <v>30.664029552939581</v>
      </c>
      <c r="CD1040" s="3">
        <v>25.070696219606262</v>
      </c>
      <c r="CE1040" s="3">
        <v>23.464029552939579</v>
      </c>
      <c r="CF1040" s="3">
        <v>-0.92263711372708457</v>
      </c>
      <c r="CG1040" s="3">
        <v>-1.455970447060416</v>
      </c>
      <c r="CH1040" s="3">
        <v>-2.532637113727084</v>
      </c>
      <c r="CI1040" s="13">
        <f>[1]!dbasum(RecData[[#This Row],[20]:[2000]],RecData[[#Headers],[20]:[2000]])</f>
        <v>43.045667073849323</v>
      </c>
      <c r="CJ1040" s="14">
        <v>10525</v>
      </c>
      <c r="CK1040" s="15" t="s">
        <v>249</v>
      </c>
      <c r="CL1040" s="15">
        <f>RecData[[#This Row],[Start Time]]</f>
        <v>43275.158333333333</v>
      </c>
      <c r="CM1040" s="16">
        <f>RecData[[#This Row],[Wind Speed avg]]</f>
        <v>2.58</v>
      </c>
      <c r="CN1040" s="16">
        <f>RecData[[#This Row],[Wind Dir. avg]]</f>
        <v>161.19999999999999</v>
      </c>
      <c r="CO1040" s="16">
        <f>RecData[[#This Row],[Amb. Humidity]]</f>
        <v>74</v>
      </c>
      <c r="CP1040" s="16">
        <f>RecData[[#This Row],[Amb. Temperature]]</f>
        <v>11.2</v>
      </c>
      <c r="CQ1040" s="17">
        <f>RecData[[#This Row],[Amb. Rain Gauge]]</f>
        <v>0</v>
      </c>
      <c r="CR1040" s="4" t="s">
        <v>1</v>
      </c>
      <c r="CS1040" s="4" t="s">
        <v>49</v>
      </c>
      <c r="CT1040" s="70">
        <v>1611.87744140625</v>
      </c>
      <c r="CU1040" s="70">
        <v>33.000278472900298</v>
      </c>
      <c r="CV1040" s="70">
        <v>11.574352264404199</v>
      </c>
      <c r="CW1040" s="70">
        <v>15.292212486266999</v>
      </c>
      <c r="CX1040" s="4"/>
      <c r="CY1040" s="69"/>
      <c r="CZ1040" s="2" t="b">
        <f>IF($DP$1="YES",IF(RecData[[#This Row],[Power (kW)]]&gt;=$CR$3, TRUE,FALSE),TRUE)</f>
        <v>1</v>
      </c>
      <c r="DA1040" s="16">
        <f>MIN(MOD(180-ABS(ABS($DA$1-RecData[Yaw Angle (°)])-180),360),MOD(180-ABS(ABS($DB$1-RecData[Yaw Angle (°)])-180),360))</f>
        <v>25.470351695212742</v>
      </c>
      <c r="DB1040" s="2" t="str">
        <f>IF($DP$2="None","None",IF(RecData[[#This Row],[Relative Wind Direction]]&lt;=45,"DW",IF(RecData[[#This Row],[Relative Wind Direction]]&lt;=135,"CW","UW")))</f>
        <v>DW</v>
      </c>
      <c r="DC1040" s="61" t="e">
        <f>IF($CL1040-#REF!&gt;1/24,#REF!,IF(SUM($CQ1039:$CQ1040)&gt;$DS$1,$DS$5,#REF!-1))</f>
        <v>#REF!</v>
      </c>
      <c r="DD1040" s="61" t="e">
        <f>IF(#REF!-$CL1040&gt;1/24,#REF!,IF(SUM($CQ1039:$CQ1040)&gt;$DS$1,$DS$6,#REF!-1))</f>
        <v>#REF!</v>
      </c>
      <c r="DE1040" s="18" t="b">
        <v>0</v>
      </c>
      <c r="DF1040" s="2" t="b">
        <f>IF(OR(RecData[[#This Row],[WSpd_Avg '[m/s']]]-RecData[[#This Row],[Wind Speed min]]&gt;=$DF$3,RecData[[#This Row],[Wind Speed max]]-RecData[[#This Row],[WSpd_Avg '[m/s']]]&gt;=$DF$2),TRUE,FALSE)</f>
        <v>0</v>
      </c>
      <c r="DG1040" s="2" t="b">
        <f>RecData[[#This Row],[Temperature '[°C']]]&lt;=-20</f>
        <v>0</v>
      </c>
      <c r="DH1040" s="18" t="b">
        <f>NOT(OR(MOD(RecData[[#This Row],[TIMESTAMP]],1)&gt;0.91632,MOD(RecData[[#This Row],[TIMESTAMP]],1)&lt;0.208681))</f>
        <v>0</v>
      </c>
      <c r="DI1040" s="18" t="b">
        <f>RecData[[#This Row],[Overall (dBA)]]-RecData[[#This Row],[L90]]&gt;=$DS$4</f>
        <v>0</v>
      </c>
      <c r="DJ1040" s="18" t="b">
        <f>RecData[[#This Row],[Overall (dBA)]]&gt;$DS$2</f>
        <v>0</v>
      </c>
      <c r="DK1040" s="18" t="b">
        <f>RecData[[#This Row],[Overall (dBA)]]&lt;$DS$3</f>
        <v>0</v>
      </c>
      <c r="DL10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0" s="2">
        <f>IF(AND(RecData[[#This Row],[Turbines ON/OFF]] = "OFF", NOT(OR(RecData[[#This Row],[Junk?]]="YES",RecData[[#This Row],[Gust?]],RecData[[#This Row],[Rain?]:[Min SPL Threshold?]]))),1,0)</f>
        <v>0</v>
      </c>
      <c r="DN1040" s="16">
        <f>RecData[[#This Row],[dBA Sum]]</f>
        <v>43.045667073849323</v>
      </c>
      <c r="DO1040" s="16">
        <f>RecData[[#This Row],[LAF90.0]]</f>
        <v>42.7</v>
      </c>
      <c r="DP1040" s="55">
        <f>IF(AND(RecData[[#This Row],[Useable TON Data?]],RecData[[#This Row],[Turbines ON/OFF]]="ON"),RecData[[#This Row],[dBA Sum]],"")</f>
        <v>43.045667073849323</v>
      </c>
      <c r="DQ1040" s="55" t="str">
        <f>IF(AND(RecData[[#This Row],[Useable Background Data?]],RecData[[#This Row],[Turbines ON/OFF]]="OFF"),RecData[[#This Row],[dBA Sum]],"")</f>
        <v/>
      </c>
      <c r="DR1040" s="3">
        <f>IF(OR(RecData[[#This Row],[Useable TON Data?]],RecData[[#This Row],[Useable Background Data?]]),ROUND(RecData[[#This Row],[WSpd_Avg '[m/s']]],0),"")</f>
        <v>3</v>
      </c>
      <c r="DS1040" s="85">
        <f>(0.00002)^2*(10^(RecData[[#This Row],[Overall (dBA)]]/10))</f>
        <v>8.0654146306106123E-6</v>
      </c>
    </row>
    <row r="1041" spans="1:123" ht="15" x14ac:dyDescent="0.25">
      <c r="A1041" s="3" t="s">
        <v>249</v>
      </c>
      <c r="B1041" s="12">
        <v>43275.161805555559</v>
      </c>
      <c r="C1041" s="3"/>
      <c r="D1041" s="3">
        <v>43.9</v>
      </c>
      <c r="E1041" s="3"/>
      <c r="F1041" s="3"/>
      <c r="G1041" s="3"/>
      <c r="H1041" s="3"/>
      <c r="I1041" s="3"/>
      <c r="J1041" s="3"/>
      <c r="K1041" s="3">
        <v>41.7</v>
      </c>
      <c r="L1041" s="3"/>
      <c r="M1041" s="3"/>
      <c r="N1041" s="3">
        <v>146</v>
      </c>
      <c r="O1041" s="3"/>
      <c r="P1041" s="3"/>
      <c r="Q1041" s="3">
        <v>2.21</v>
      </c>
      <c r="R1041" s="3">
        <v>1</v>
      </c>
      <c r="S1041" s="3">
        <v>3.7</v>
      </c>
      <c r="T1041" s="3">
        <v>11.1</v>
      </c>
      <c r="U1041" s="3">
        <v>74.099999999999994</v>
      </c>
      <c r="V1041" s="3">
        <v>967.7</v>
      </c>
      <c r="W1041" s="3">
        <v>0</v>
      </c>
      <c r="X1041" s="3">
        <v>46.6</v>
      </c>
      <c r="Y1041" s="3">
        <v>46.1</v>
      </c>
      <c r="Z1041" s="3">
        <v>45.9</v>
      </c>
      <c r="AA1041" s="3">
        <v>42.3</v>
      </c>
      <c r="AB1041" s="3">
        <v>37.4</v>
      </c>
      <c r="AC1041" s="3">
        <v>36.6</v>
      </c>
      <c r="AD1041" s="3">
        <v>39.5</v>
      </c>
      <c r="AE1041" s="3">
        <v>41.3</v>
      </c>
      <c r="AF1041" s="3">
        <v>46.5</v>
      </c>
      <c r="AG1041" s="3">
        <v>40.299999999999997</v>
      </c>
      <c r="AH1041" s="3">
        <v>38.200000000000003</v>
      </c>
      <c r="AI1041" s="3">
        <v>38.700000000000003</v>
      </c>
      <c r="AJ1041" s="3">
        <v>37</v>
      </c>
      <c r="AK1041" s="3">
        <v>35.6</v>
      </c>
      <c r="AL1041" s="3">
        <v>33.9</v>
      </c>
      <c r="AM1041" s="3">
        <v>33.700000000000003</v>
      </c>
      <c r="AN1041" s="3">
        <v>32.5</v>
      </c>
      <c r="AO1041" s="3">
        <v>31.1</v>
      </c>
      <c r="AP1041" s="3">
        <v>30.6</v>
      </c>
      <c r="AQ1041" s="3">
        <v>30.8</v>
      </c>
      <c r="AR1041" s="3">
        <v>31.6</v>
      </c>
      <c r="AS1041" s="3">
        <v>32.4</v>
      </c>
      <c r="AT1041" s="3">
        <v>32.799999999999997</v>
      </c>
      <c r="AU1041" s="3">
        <v>31.7</v>
      </c>
      <c r="AV1041" s="3">
        <v>30</v>
      </c>
      <c r="AW1041" s="3">
        <v>28.4</v>
      </c>
      <c r="AX1041" s="3">
        <v>23.5</v>
      </c>
      <c r="AY1041" s="3">
        <v>21.2</v>
      </c>
      <c r="AZ1041" s="3">
        <v>0</v>
      </c>
      <c r="BA1041" s="3">
        <v>0</v>
      </c>
      <c r="BB1041" s="3">
        <v>0</v>
      </c>
      <c r="BC1041" s="3">
        <v>43.902471687894852</v>
      </c>
      <c r="BD1041" s="3">
        <v>46.597528312105148</v>
      </c>
      <c r="BE1041" s="3">
        <v>46.097528312105148</v>
      </c>
      <c r="BF1041" s="3">
        <v>44.65752831210515</v>
      </c>
      <c r="BG1041" s="3">
        <v>41.384194978771809</v>
      </c>
      <c r="BH1041" s="3">
        <v>36.624194978771818</v>
      </c>
      <c r="BI1041" s="3">
        <v>36.237528312105148</v>
      </c>
      <c r="BJ1041" s="3">
        <v>39.930861645438476</v>
      </c>
      <c r="BK1041" s="3">
        <v>41.604194978771808</v>
      </c>
      <c r="BL1041" s="3">
        <v>46.377528312105149</v>
      </c>
      <c r="BM1041" s="3">
        <v>40.310861645438486</v>
      </c>
      <c r="BN1041" s="3">
        <v>38.494194978771823</v>
      </c>
      <c r="BO1041" s="3">
        <v>38.360861645438483</v>
      </c>
      <c r="BP1041" s="3">
        <v>36.377528312105149</v>
      </c>
      <c r="BQ1041" s="3">
        <v>35.3941949787718</v>
      </c>
      <c r="BR1041" s="3">
        <v>34.02086164543848</v>
      </c>
      <c r="BS1041" s="3">
        <v>33.624194978771818</v>
      </c>
      <c r="BT1041" s="3">
        <v>32.620861645438488</v>
      </c>
      <c r="BU1041" s="3">
        <v>31.187528312105151</v>
      </c>
      <c r="BV1041" s="3">
        <v>30.40419497877182</v>
      </c>
      <c r="BW1041" s="3">
        <v>31.137528312105154</v>
      </c>
      <c r="BX1041" s="3">
        <v>31.857528312105153</v>
      </c>
      <c r="BY1041" s="3">
        <v>32.477528312105143</v>
      </c>
      <c r="BZ1041" s="3">
        <v>33.007528312105144</v>
      </c>
      <c r="CA1041" s="3">
        <v>32.007528312105144</v>
      </c>
      <c r="CB1041" s="3">
        <v>29.744194978771809</v>
      </c>
      <c r="CC1041" s="3">
        <v>28.357528312105138</v>
      </c>
      <c r="CD1041" s="3">
        <v>22.764194978771819</v>
      </c>
      <c r="CE1041" s="3">
        <v>20.65752831210515</v>
      </c>
      <c r="CF1041" s="3">
        <v>-0.92913835456152327</v>
      </c>
      <c r="CG1041" s="3">
        <v>-1.4624716878948547</v>
      </c>
      <c r="CH1041" s="3">
        <v>-2.5391383545615227</v>
      </c>
      <c r="CI1041" s="13">
        <f>[1]!dbasum(RecData[[#This Row],[20]:[2000]],RecData[[#Headers],[20]:[2000]])</f>
        <v>41.993774479402546</v>
      </c>
      <c r="CJ1041" s="14">
        <v>10530</v>
      </c>
      <c r="CK1041" s="15" t="s">
        <v>249</v>
      </c>
      <c r="CL1041" s="15">
        <f>RecData[[#This Row],[Start Time]]</f>
        <v>43275.161805555559</v>
      </c>
      <c r="CM1041" s="16">
        <f>RecData[[#This Row],[Wind Speed avg]]</f>
        <v>2.21</v>
      </c>
      <c r="CN1041" s="16">
        <f>RecData[[#This Row],[Wind Dir. avg]]</f>
        <v>146</v>
      </c>
      <c r="CO1041" s="16">
        <f>RecData[[#This Row],[Amb. Humidity]]</f>
        <v>74.099999999999994</v>
      </c>
      <c r="CP1041" s="16">
        <f>RecData[[#This Row],[Amb. Temperature]]</f>
        <v>11.1</v>
      </c>
      <c r="CQ1041" s="17">
        <f>RecData[[#This Row],[Amb. Rain Gauge]]</f>
        <v>0</v>
      </c>
      <c r="CR1041" s="4" t="s">
        <v>1</v>
      </c>
      <c r="CS1041" s="4" t="s">
        <v>49</v>
      </c>
      <c r="CT1041" s="70">
        <v>1614.76696777343</v>
      </c>
      <c r="CU1041" s="70">
        <v>33.000282287597599</v>
      </c>
      <c r="CV1041" s="70">
        <v>11.469495773315399</v>
      </c>
      <c r="CW1041" s="70">
        <v>15.2789459228515</v>
      </c>
      <c r="CX1041" s="4"/>
      <c r="CY1041" s="69"/>
      <c r="CZ1041" s="2" t="b">
        <f>IF($DP$1="YES",IF(RecData[[#This Row],[Power (kW)]]&gt;=$CR$3, TRUE,FALSE),TRUE)</f>
        <v>1</v>
      </c>
      <c r="DA1041" s="16">
        <f>MIN(MOD(180-ABS(ABS($DA$1-RecData[Yaw Angle (°)])-180),360),MOD(180-ABS(ABS($DB$1-RecData[Yaw Angle (°)])-180),360))</f>
        <v>25.470355509910064</v>
      </c>
      <c r="DB1041" s="2" t="str">
        <f>IF($DP$2="None","None",IF(RecData[[#This Row],[Relative Wind Direction]]&lt;=45,"DW",IF(RecData[[#This Row],[Relative Wind Direction]]&lt;=135,"CW","UW")))</f>
        <v>DW</v>
      </c>
      <c r="DC1041" s="61" t="e">
        <f>IF($CL1041-#REF!&gt;1/24,#REF!,IF(SUM($CQ1041:$CQ1041)&gt;$DS$1,$DS$5,#REF!-1))</f>
        <v>#REF!</v>
      </c>
      <c r="DD1041" s="61" t="e">
        <f>IF(#REF!-$CL1041&gt;1/24,#REF!,IF(SUM($CQ1041:$CQ1041)&gt;$DS$1,$DS$6,#REF!-1))</f>
        <v>#REF!</v>
      </c>
      <c r="DE1041" s="18" t="b">
        <v>0</v>
      </c>
      <c r="DF1041" s="2" t="b">
        <f>IF(OR(RecData[[#This Row],[WSpd_Avg '[m/s']]]-RecData[[#This Row],[Wind Speed min]]&gt;=$DF$3,RecData[[#This Row],[Wind Speed max]]-RecData[[#This Row],[WSpd_Avg '[m/s']]]&gt;=$DF$2),TRUE,FALSE)</f>
        <v>0</v>
      </c>
      <c r="DG1041" s="2" t="b">
        <f>RecData[[#This Row],[Temperature '[°C']]]&lt;=-20</f>
        <v>0</v>
      </c>
      <c r="DH1041" s="18" t="b">
        <f>NOT(OR(MOD(RecData[[#This Row],[TIMESTAMP]],1)&gt;0.91632,MOD(RecData[[#This Row],[TIMESTAMP]],1)&lt;0.208681))</f>
        <v>0</v>
      </c>
      <c r="DI1041" s="18" t="b">
        <f>RecData[[#This Row],[Overall (dBA)]]-RecData[[#This Row],[L90]]&gt;=$DS$4</f>
        <v>0</v>
      </c>
      <c r="DJ1041" s="18" t="b">
        <f>RecData[[#This Row],[Overall (dBA)]]&gt;$DS$2</f>
        <v>0</v>
      </c>
      <c r="DK1041" s="18" t="b">
        <f>RecData[[#This Row],[Overall (dBA)]]&lt;$DS$3</f>
        <v>0</v>
      </c>
      <c r="DL10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1" s="2">
        <f>IF(AND(RecData[[#This Row],[Turbines ON/OFF]] = "OFF", NOT(OR(RecData[[#This Row],[Junk?]]="YES",RecData[[#This Row],[Gust?]],RecData[[#This Row],[Rain?]:[Min SPL Threshold?]]))),1,0)</f>
        <v>0</v>
      </c>
      <c r="DN1041" s="16">
        <f>RecData[[#This Row],[dBA Sum]]</f>
        <v>41.993774479402546</v>
      </c>
      <c r="DO1041" s="16">
        <f>RecData[[#This Row],[LAF90.0]]</f>
        <v>41.7</v>
      </c>
      <c r="DP1041" s="55">
        <f>IF(AND(RecData[[#This Row],[Useable TON Data?]],RecData[[#This Row],[Turbines ON/OFF]]="ON"),RecData[[#This Row],[dBA Sum]],"")</f>
        <v>41.993774479402546</v>
      </c>
      <c r="DQ1041" s="55" t="str">
        <f>IF(AND(RecData[[#This Row],[Useable Background Data?]],RecData[[#This Row],[Turbines ON/OFF]]="OFF"),RecData[[#This Row],[dBA Sum]],"")</f>
        <v/>
      </c>
      <c r="DR1041" s="3">
        <f>IF(OR(RecData[[#This Row],[Useable TON Data?]],RecData[[#This Row],[Useable Background Data?]]),ROUND(RecData[[#This Row],[WSpd_Avg '[m/s']]],0),"")</f>
        <v>2</v>
      </c>
      <c r="DS1041" s="85">
        <f>(0.00002)^2*(10^(RecData[[#This Row],[Overall (dBA)]]/10))</f>
        <v>6.3304916351876246E-6</v>
      </c>
    </row>
    <row r="1042" spans="1:123" ht="15" x14ac:dyDescent="0.25">
      <c r="A1042" s="3" t="s">
        <v>249</v>
      </c>
      <c r="B1042" s="12">
        <v>43275.165972222225</v>
      </c>
      <c r="C1042" s="3"/>
      <c r="D1042" s="3">
        <v>44.8</v>
      </c>
      <c r="E1042" s="3"/>
      <c r="F1042" s="3"/>
      <c r="G1042" s="3"/>
      <c r="H1042" s="3"/>
      <c r="I1042" s="3"/>
      <c r="J1042" s="3"/>
      <c r="K1042" s="3">
        <v>42.6</v>
      </c>
      <c r="L1042" s="3"/>
      <c r="M1042" s="3"/>
      <c r="N1042" s="3">
        <v>162.9</v>
      </c>
      <c r="O1042" s="3"/>
      <c r="P1042" s="3"/>
      <c r="Q1042" s="3">
        <v>2.48</v>
      </c>
      <c r="R1042" s="3">
        <v>1.2</v>
      </c>
      <c r="S1042" s="3">
        <v>3.6</v>
      </c>
      <c r="T1042" s="3">
        <v>11.1</v>
      </c>
      <c r="U1042" s="3">
        <v>73.8</v>
      </c>
      <c r="V1042" s="3">
        <v>967.7</v>
      </c>
      <c r="W1042" s="3">
        <v>0</v>
      </c>
      <c r="X1042" s="3">
        <v>48</v>
      </c>
      <c r="Y1042" s="3">
        <v>46.9</v>
      </c>
      <c r="Z1042" s="3">
        <v>47</v>
      </c>
      <c r="AA1042" s="3">
        <v>43.4</v>
      </c>
      <c r="AB1042" s="3">
        <v>39.1</v>
      </c>
      <c r="AC1042" s="3">
        <v>38.5</v>
      </c>
      <c r="AD1042" s="3">
        <v>40.6</v>
      </c>
      <c r="AE1042" s="3">
        <v>41.4</v>
      </c>
      <c r="AF1042" s="3">
        <v>45.9</v>
      </c>
      <c r="AG1042" s="3">
        <v>40.6</v>
      </c>
      <c r="AH1042" s="3">
        <v>37.5</v>
      </c>
      <c r="AI1042" s="3">
        <v>37.6</v>
      </c>
      <c r="AJ1042" s="3">
        <v>36.9</v>
      </c>
      <c r="AK1042" s="3">
        <v>35.9</v>
      </c>
      <c r="AL1042" s="3">
        <v>34.700000000000003</v>
      </c>
      <c r="AM1042" s="3">
        <v>34.799999999999997</v>
      </c>
      <c r="AN1042" s="3">
        <v>34.1</v>
      </c>
      <c r="AO1042" s="3">
        <v>32.700000000000003</v>
      </c>
      <c r="AP1042" s="3">
        <v>32.1</v>
      </c>
      <c r="AQ1042" s="3">
        <v>32.200000000000003</v>
      </c>
      <c r="AR1042" s="3">
        <v>32.9</v>
      </c>
      <c r="AS1042" s="3">
        <v>33.4</v>
      </c>
      <c r="AT1042" s="3">
        <v>33.5</v>
      </c>
      <c r="AU1042" s="3">
        <v>32.299999999999997</v>
      </c>
      <c r="AV1042" s="3">
        <v>31.1</v>
      </c>
      <c r="AW1042" s="3">
        <v>29.6</v>
      </c>
      <c r="AX1042" s="3">
        <v>24.5</v>
      </c>
      <c r="AY1042" s="3">
        <v>22.1</v>
      </c>
      <c r="AZ1042" s="3">
        <v>0</v>
      </c>
      <c r="BA1042" s="3">
        <v>0</v>
      </c>
      <c r="BB1042" s="3">
        <v>0</v>
      </c>
      <c r="BC1042" s="3">
        <v>44.748651697480739</v>
      </c>
      <c r="BD1042" s="3">
        <v>48.051348302519258</v>
      </c>
      <c r="BE1042" s="3">
        <v>46.95134830251925</v>
      </c>
      <c r="BF1042" s="3">
        <v>45.811348302519264</v>
      </c>
      <c r="BG1042" s="3">
        <v>42.538014969185923</v>
      </c>
      <c r="BH1042" s="3">
        <v>38.378014969185926</v>
      </c>
      <c r="BI1042" s="3">
        <v>38.191348302519259</v>
      </c>
      <c r="BJ1042" s="3">
        <v>41.08468163585259</v>
      </c>
      <c r="BK1042" s="3">
        <v>41.758014969185922</v>
      </c>
      <c r="BL1042" s="3">
        <v>45.83134830251926</v>
      </c>
      <c r="BM1042" s="3">
        <v>40.664681635852588</v>
      </c>
      <c r="BN1042" s="3">
        <v>37.848014969185925</v>
      </c>
      <c r="BO1042" s="3">
        <v>37.314681635852594</v>
      </c>
      <c r="BP1042" s="3">
        <v>36.33134830251926</v>
      </c>
      <c r="BQ1042" s="3">
        <v>35.748014969185917</v>
      </c>
      <c r="BR1042" s="3">
        <v>34.874681635852596</v>
      </c>
      <c r="BS1042" s="3">
        <v>34.778014969185932</v>
      </c>
      <c r="BT1042" s="3">
        <v>34.274681635852602</v>
      </c>
      <c r="BU1042" s="3">
        <v>32.841348302519265</v>
      </c>
      <c r="BV1042" s="3">
        <v>31.958014969185925</v>
      </c>
      <c r="BW1042" s="3">
        <v>32.591348302519265</v>
      </c>
      <c r="BX1042" s="3">
        <v>33.211348302519269</v>
      </c>
      <c r="BY1042" s="3">
        <v>33.531348302519262</v>
      </c>
      <c r="BZ1042" s="3">
        <v>33.761348302519252</v>
      </c>
      <c r="CA1042" s="3">
        <v>32.661348302519258</v>
      </c>
      <c r="CB1042" s="3">
        <v>30.898014969185922</v>
      </c>
      <c r="CC1042" s="3">
        <v>29.611348302519261</v>
      </c>
      <c r="CD1042" s="3">
        <v>23.818014969185924</v>
      </c>
      <c r="CE1042" s="3">
        <v>21.611348302519261</v>
      </c>
      <c r="CF1042" s="3">
        <v>-0.87531836414741093</v>
      </c>
      <c r="CG1042" s="3">
        <v>-1.4086516974807424</v>
      </c>
      <c r="CH1042" s="3">
        <v>-2.4853183641474104</v>
      </c>
      <c r="CI1042" s="13">
        <f>[1]!dbasum(RecData[[#This Row],[20]:[2000]],RecData[[#Headers],[20]:[2000]])</f>
        <v>42.909193587483742</v>
      </c>
      <c r="CJ1042" s="14">
        <v>10536</v>
      </c>
      <c r="CK1042" s="15" t="s">
        <v>249</v>
      </c>
      <c r="CL1042" s="15">
        <f>RecData[[#This Row],[Start Time]]</f>
        <v>43275.165972222225</v>
      </c>
      <c r="CM1042" s="16">
        <f>RecData[[#This Row],[Wind Speed avg]]</f>
        <v>2.48</v>
      </c>
      <c r="CN1042" s="16">
        <f>RecData[[#This Row],[Wind Dir. avg]]</f>
        <v>162.9</v>
      </c>
      <c r="CO1042" s="16">
        <f>RecData[[#This Row],[Amb. Humidity]]</f>
        <v>73.8</v>
      </c>
      <c r="CP1042" s="16">
        <f>RecData[[#This Row],[Amb. Temperature]]</f>
        <v>11.1</v>
      </c>
      <c r="CQ1042" s="17">
        <f>RecData[[#This Row],[Amb. Rain Gauge]]</f>
        <v>0</v>
      </c>
      <c r="CR1042" s="4" t="s">
        <v>1</v>
      </c>
      <c r="CS1042" s="4" t="s">
        <v>49</v>
      </c>
      <c r="CT1042" s="70">
        <v>1614.76696777343</v>
      </c>
      <c r="CU1042" s="70">
        <v>33.000282287597599</v>
      </c>
      <c r="CV1042" s="70">
        <v>11.469495773315399</v>
      </c>
      <c r="CW1042" s="70">
        <v>15.2789459228515</v>
      </c>
      <c r="CX1042" s="4"/>
      <c r="CY1042" s="69"/>
      <c r="CZ1042" s="2" t="b">
        <f>IF($DP$1="YES",IF(RecData[[#This Row],[Power (kW)]]&gt;=$CR$3, TRUE,FALSE),TRUE)</f>
        <v>1</v>
      </c>
      <c r="DA1042" s="16">
        <f>MIN(MOD(180-ABS(ABS($DA$1-RecData[Yaw Angle (°)])-180),360),MOD(180-ABS(ABS($DB$1-RecData[Yaw Angle (°)])-180),360))</f>
        <v>25.470355509910064</v>
      </c>
      <c r="DB1042" s="2" t="str">
        <f>IF($DP$2="None","None",IF(RecData[[#This Row],[Relative Wind Direction]]&lt;=45,"DW",IF(RecData[[#This Row],[Relative Wind Direction]]&lt;=135,"CW","UW")))</f>
        <v>DW</v>
      </c>
      <c r="DC1042" s="61" t="e">
        <f>IF($CL1042-#REF!&gt;1/24,#REF!,IF(SUM($CQ1042:$CQ1042)&gt;$DS$1,$DS$5,#REF!-1))</f>
        <v>#REF!</v>
      </c>
      <c r="DD1042" s="61" t="e">
        <f>IF(#REF!-$CL1042&gt;1/24,#REF!,IF(SUM($CQ1042:$CQ1042)&gt;$DS$1,$DS$6,#REF!-1))</f>
        <v>#REF!</v>
      </c>
      <c r="DE1042" s="18" t="b">
        <v>0</v>
      </c>
      <c r="DF1042" s="2" t="b">
        <f>IF(OR(RecData[[#This Row],[WSpd_Avg '[m/s']]]-RecData[[#This Row],[Wind Speed min]]&gt;=$DF$3,RecData[[#This Row],[Wind Speed max]]-RecData[[#This Row],[WSpd_Avg '[m/s']]]&gt;=$DF$2),TRUE,FALSE)</f>
        <v>0</v>
      </c>
      <c r="DG1042" s="2" t="b">
        <f>RecData[[#This Row],[Temperature '[°C']]]&lt;=-20</f>
        <v>0</v>
      </c>
      <c r="DH1042" s="18" t="b">
        <f>NOT(OR(MOD(RecData[[#This Row],[TIMESTAMP]],1)&gt;0.91632,MOD(RecData[[#This Row],[TIMESTAMP]],1)&lt;0.208681))</f>
        <v>0</v>
      </c>
      <c r="DI1042" s="18" t="b">
        <f>RecData[[#This Row],[Overall (dBA)]]-RecData[[#This Row],[L90]]&gt;=$DS$4</f>
        <v>0</v>
      </c>
      <c r="DJ1042" s="18" t="b">
        <f>RecData[[#This Row],[Overall (dBA)]]&gt;$DS$2</f>
        <v>0</v>
      </c>
      <c r="DK1042" s="18" t="b">
        <f>RecData[[#This Row],[Overall (dBA)]]&lt;$DS$3</f>
        <v>0</v>
      </c>
      <c r="DL10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2" s="2">
        <f>IF(AND(RecData[[#This Row],[Turbines ON/OFF]] = "OFF", NOT(OR(RecData[[#This Row],[Junk?]]="YES",RecData[[#This Row],[Gust?]],RecData[[#This Row],[Rain?]:[Min SPL Threshold?]]))),1,0)</f>
        <v>0</v>
      </c>
      <c r="DN1042" s="16">
        <f>RecData[[#This Row],[dBA Sum]]</f>
        <v>42.909193587483742</v>
      </c>
      <c r="DO1042" s="16">
        <f>RecData[[#This Row],[LAF90.0]]</f>
        <v>42.6</v>
      </c>
      <c r="DP1042" s="55">
        <f>IF(AND(RecData[[#This Row],[Useable TON Data?]],RecData[[#This Row],[Turbines ON/OFF]]="ON"),RecData[[#This Row],[dBA Sum]],"")</f>
        <v>42.909193587483742</v>
      </c>
      <c r="DQ1042" s="55" t="str">
        <f>IF(AND(RecData[[#This Row],[Useable Background Data?]],RecData[[#This Row],[Turbines ON/OFF]]="OFF"),RecData[[#This Row],[dBA Sum]],"")</f>
        <v/>
      </c>
      <c r="DR1042" s="3">
        <f>IF(OR(RecData[[#This Row],[Useable TON Data?]],RecData[[#This Row],[Useable Background Data?]]),ROUND(RecData[[#This Row],[WSpd_Avg '[m/s']]],0),"")</f>
        <v>2</v>
      </c>
      <c r="DS1042" s="85">
        <f>(0.00002)^2*(10^(RecData[[#This Row],[Overall (dBA)]]/10))</f>
        <v>7.8159064047170099E-6</v>
      </c>
    </row>
    <row r="1043" spans="1:123" ht="15" x14ac:dyDescent="0.25">
      <c r="A1043" s="3" t="s">
        <v>249</v>
      </c>
      <c r="B1043" s="12">
        <v>43275.168750000004</v>
      </c>
      <c r="C1043" s="3"/>
      <c r="D1043" s="3">
        <v>43.8</v>
      </c>
      <c r="E1043" s="3"/>
      <c r="F1043" s="3"/>
      <c r="G1043" s="3"/>
      <c r="H1043" s="3"/>
      <c r="I1043" s="3"/>
      <c r="J1043" s="3"/>
      <c r="K1043" s="3">
        <v>42.6</v>
      </c>
      <c r="L1043" s="3"/>
      <c r="M1043" s="3"/>
      <c r="N1043" s="3">
        <v>194.6</v>
      </c>
      <c r="O1043" s="3"/>
      <c r="P1043" s="3"/>
      <c r="Q1043" s="3">
        <v>1.41</v>
      </c>
      <c r="R1043" s="3">
        <v>0.3</v>
      </c>
      <c r="S1043" s="3">
        <v>2.9</v>
      </c>
      <c r="T1043" s="3">
        <v>11</v>
      </c>
      <c r="U1043" s="3">
        <v>73.3</v>
      </c>
      <c r="V1043" s="3">
        <v>967.7</v>
      </c>
      <c r="W1043" s="3">
        <v>0</v>
      </c>
      <c r="X1043" s="3">
        <v>49.1</v>
      </c>
      <c r="Y1043" s="3">
        <v>48.1</v>
      </c>
      <c r="Z1043" s="3">
        <v>47</v>
      </c>
      <c r="AA1043" s="3">
        <v>43.9</v>
      </c>
      <c r="AB1043" s="3">
        <v>39.700000000000003</v>
      </c>
      <c r="AC1043" s="3">
        <v>38.299999999999997</v>
      </c>
      <c r="AD1043" s="3">
        <v>41.2</v>
      </c>
      <c r="AE1043" s="3">
        <v>42.5</v>
      </c>
      <c r="AF1043" s="3">
        <v>45.5</v>
      </c>
      <c r="AG1043" s="3">
        <v>40</v>
      </c>
      <c r="AH1043" s="3">
        <v>38.299999999999997</v>
      </c>
      <c r="AI1043" s="3">
        <v>38.1</v>
      </c>
      <c r="AJ1043" s="3">
        <v>37.299999999999997</v>
      </c>
      <c r="AK1043" s="3">
        <v>36.1</v>
      </c>
      <c r="AL1043" s="3">
        <v>34.9</v>
      </c>
      <c r="AM1043" s="3">
        <v>35</v>
      </c>
      <c r="AN1043" s="3">
        <v>34.200000000000003</v>
      </c>
      <c r="AO1043" s="3">
        <v>32.6</v>
      </c>
      <c r="AP1043" s="3">
        <v>31.8</v>
      </c>
      <c r="AQ1043" s="3">
        <v>31.4</v>
      </c>
      <c r="AR1043" s="3">
        <v>31.3</v>
      </c>
      <c r="AS1043" s="3">
        <v>31.2</v>
      </c>
      <c r="AT1043" s="3">
        <v>31.3</v>
      </c>
      <c r="AU1043" s="3">
        <v>29.1</v>
      </c>
      <c r="AV1043" s="3">
        <v>27.3</v>
      </c>
      <c r="AW1043" s="3">
        <v>25.6</v>
      </c>
      <c r="AX1043" s="3">
        <v>20.9</v>
      </c>
      <c r="AY1043" s="3">
        <v>18.5</v>
      </c>
      <c r="AZ1043" s="3">
        <v>0</v>
      </c>
      <c r="BA1043" s="3">
        <v>0</v>
      </c>
      <c r="BB1043" s="3">
        <v>0</v>
      </c>
      <c r="BC1043" s="3">
        <v>43.802507133695073</v>
      </c>
      <c r="BD1043" s="3">
        <v>49.097492866304933</v>
      </c>
      <c r="BE1043" s="3">
        <v>48.097492866304933</v>
      </c>
      <c r="BF1043" s="3">
        <v>45.757492866304929</v>
      </c>
      <c r="BG1043" s="3">
        <v>42.984159532971589</v>
      </c>
      <c r="BH1043" s="3">
        <v>38.924159532971586</v>
      </c>
      <c r="BI1043" s="3">
        <v>37.937492866304922</v>
      </c>
      <c r="BJ1043" s="3">
        <v>41.630826199638264</v>
      </c>
      <c r="BK1043" s="3">
        <v>42.804159532971582</v>
      </c>
      <c r="BL1043" s="3">
        <v>45.377492866304934</v>
      </c>
      <c r="BM1043" s="3">
        <v>40.010826199638259</v>
      </c>
      <c r="BN1043" s="3">
        <v>38.594159532971588</v>
      </c>
      <c r="BO1043" s="3">
        <v>37.760826199638259</v>
      </c>
      <c r="BP1043" s="3">
        <v>36.677492866304917</v>
      </c>
      <c r="BQ1043" s="3">
        <v>35.894159532971585</v>
      </c>
      <c r="BR1043" s="3">
        <v>35.02082619963825</v>
      </c>
      <c r="BS1043" s="3">
        <v>34.924159532971586</v>
      </c>
      <c r="BT1043" s="3">
        <v>34.320826199638262</v>
      </c>
      <c r="BU1043" s="3">
        <v>32.687492866304936</v>
      </c>
      <c r="BV1043" s="3">
        <v>31.604159532971593</v>
      </c>
      <c r="BW1043" s="3">
        <v>31.737492866304919</v>
      </c>
      <c r="BX1043" s="3">
        <v>31.557492866304926</v>
      </c>
      <c r="BY1043" s="3">
        <v>31.277492866304925</v>
      </c>
      <c r="BZ1043" s="3">
        <v>31.507492866304929</v>
      </c>
      <c r="CA1043" s="3">
        <v>29.407492866304921</v>
      </c>
      <c r="CB1043" s="3">
        <v>27.044159532971591</v>
      </c>
      <c r="CC1043" s="3">
        <v>25.557492866304926</v>
      </c>
      <c r="CD1043" s="3">
        <v>20.164159532971595</v>
      </c>
      <c r="CE1043" s="3">
        <v>17.957492866304918</v>
      </c>
      <c r="CF1043" s="3">
        <v>-0.92917380036174535</v>
      </c>
      <c r="CG1043" s="3">
        <v>-1.4625071336950768</v>
      </c>
      <c r="CH1043" s="3">
        <v>-2.5391738003617448</v>
      </c>
      <c r="CI1043" s="13">
        <f>[1]!dbasum(RecData[[#This Row],[20]:[2000]],RecData[[#Headers],[20]:[2000]])</f>
        <v>42.642662992327551</v>
      </c>
      <c r="CJ1043" s="14">
        <v>10540</v>
      </c>
      <c r="CK1043" s="15" t="s">
        <v>249</v>
      </c>
      <c r="CL1043" s="15">
        <f>RecData[[#This Row],[Start Time]]</f>
        <v>43275.168750000004</v>
      </c>
      <c r="CM1043" s="16">
        <f>RecData[[#This Row],[Wind Speed avg]]</f>
        <v>1.41</v>
      </c>
      <c r="CN1043" s="16">
        <f>RecData[[#This Row],[Wind Dir. avg]]</f>
        <v>194.6</v>
      </c>
      <c r="CO1043" s="16">
        <f>RecData[[#This Row],[Amb. Humidity]]</f>
        <v>73.3</v>
      </c>
      <c r="CP1043" s="16">
        <f>RecData[[#This Row],[Amb. Temperature]]</f>
        <v>11</v>
      </c>
      <c r="CQ1043" s="17">
        <f>RecData[[#This Row],[Amb. Rain Gauge]]</f>
        <v>0</v>
      </c>
      <c r="CR1043" s="4" t="s">
        <v>1</v>
      </c>
      <c r="CS1043" s="4" t="s">
        <v>49</v>
      </c>
      <c r="CT1043" s="70">
        <v>1619.76647949218</v>
      </c>
      <c r="CU1043" s="70">
        <v>33.000278472900298</v>
      </c>
      <c r="CV1043" s="70">
        <v>13.727725982666</v>
      </c>
      <c r="CW1043" s="70">
        <v>15.322913169860801</v>
      </c>
      <c r="CX1043" s="4"/>
      <c r="CY1043" s="69"/>
      <c r="CZ1043" s="2" t="b">
        <f>IF($DP$1="YES",IF(RecData[[#This Row],[Power (kW)]]&gt;=$CR$3, TRUE,FALSE),TRUE)</f>
        <v>1</v>
      </c>
      <c r="DA1043" s="16">
        <f>MIN(MOD(180-ABS(ABS($DA$1-RecData[Yaw Angle (°)])-180),360),MOD(180-ABS(ABS($DB$1-RecData[Yaw Angle (°)])-180),360))</f>
        <v>25.470351695212742</v>
      </c>
      <c r="DB1043" s="2" t="str">
        <f>IF($DP$2="None","None",IF(RecData[[#This Row],[Relative Wind Direction]]&lt;=45,"DW",IF(RecData[[#This Row],[Relative Wind Direction]]&lt;=135,"CW","UW")))</f>
        <v>DW</v>
      </c>
      <c r="DC1043" s="61">
        <v>-1</v>
      </c>
      <c r="DD1043" s="61">
        <v>-1</v>
      </c>
      <c r="DE1043" s="18" t="b">
        <v>0</v>
      </c>
      <c r="DF1043" s="2" t="b">
        <f>IF(OR(RecData[[#This Row],[WSpd_Avg '[m/s']]]-RecData[[#This Row],[Wind Speed min]]&gt;=$DF$3,RecData[[#This Row],[Wind Speed max]]-RecData[[#This Row],[WSpd_Avg '[m/s']]]&gt;=$DF$2),TRUE,FALSE)</f>
        <v>0</v>
      </c>
      <c r="DG1043" s="2" t="b">
        <f>RecData[[#This Row],[Temperature '[°C']]]&lt;=-20</f>
        <v>0</v>
      </c>
      <c r="DH1043" s="18" t="b">
        <f>NOT(OR(MOD(RecData[[#This Row],[TIMESTAMP]],1)&gt;0.91632,MOD(RecData[[#This Row],[TIMESTAMP]],1)&lt;0.208681))</f>
        <v>0</v>
      </c>
      <c r="DI1043" s="18" t="b">
        <f>RecData[[#This Row],[Overall (dBA)]]-RecData[[#This Row],[L90]]&gt;=$DS$4</f>
        <v>0</v>
      </c>
      <c r="DJ1043" s="18" t="b">
        <f>RecData[[#This Row],[Overall (dBA)]]&gt;$DS$2</f>
        <v>0</v>
      </c>
      <c r="DK1043" s="18" t="b">
        <f>RecData[[#This Row],[Overall (dBA)]]&lt;$DS$3</f>
        <v>0</v>
      </c>
      <c r="DL10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3" s="2">
        <f>IF(AND(RecData[[#This Row],[Turbines ON/OFF]] = "OFF", NOT(OR(RecData[[#This Row],[Junk?]]="YES",RecData[[#This Row],[Gust?]],RecData[[#This Row],[Rain?]:[Min SPL Threshold?]]))),1,0)</f>
        <v>0</v>
      </c>
      <c r="DN1043" s="16">
        <f>RecData[[#This Row],[dBA Sum]]</f>
        <v>42.642662992327551</v>
      </c>
      <c r="DO1043" s="16">
        <f>RecData[[#This Row],[LAF90.0]]</f>
        <v>42.6</v>
      </c>
      <c r="DP1043" s="55">
        <f>IF(AND(RecData[[#This Row],[Useable TON Data?]],RecData[[#This Row],[Turbines ON/OFF]]="ON"),RecData[[#This Row],[dBA Sum]],"")</f>
        <v>42.642662992327551</v>
      </c>
      <c r="DQ1043" s="55" t="str">
        <f>IF(AND(RecData[[#This Row],[Useable Background Data?]],RecData[[#This Row],[Turbines ON/OFF]]="OFF"),RecData[[#This Row],[dBA Sum]],"")</f>
        <v/>
      </c>
      <c r="DR1043" s="3">
        <f>IF(OR(RecData[[#This Row],[Useable TON Data?]],RecData[[#This Row],[Useable Background Data?]]),ROUND(RecData[[#This Row],[WSpd_Avg '[m/s']]],0),"")</f>
        <v>1</v>
      </c>
      <c r="DS1043" s="85">
        <f>(0.00002)^2*(10^(RecData[[#This Row],[Overall (dBA)]]/10))</f>
        <v>7.3506592443686285E-6</v>
      </c>
    </row>
    <row r="1044" spans="1:123" ht="15" x14ac:dyDescent="0.25">
      <c r="A1044" s="3" t="s">
        <v>249</v>
      </c>
      <c r="B1044" s="12">
        <v>43275.170138888891</v>
      </c>
      <c r="C1044" s="3"/>
      <c r="D1044" s="3">
        <v>42.1</v>
      </c>
      <c r="E1044" s="3"/>
      <c r="F1044" s="3"/>
      <c r="G1044" s="3"/>
      <c r="H1044" s="3"/>
      <c r="I1044" s="3"/>
      <c r="J1044" s="3"/>
      <c r="K1044" s="3">
        <v>41.2</v>
      </c>
      <c r="L1044" s="3"/>
      <c r="M1044" s="3"/>
      <c r="N1044" s="3">
        <v>192.4</v>
      </c>
      <c r="O1044" s="3"/>
      <c r="P1044" s="3"/>
      <c r="Q1044" s="3">
        <v>1.05</v>
      </c>
      <c r="R1044" s="3">
        <v>0.2</v>
      </c>
      <c r="S1044" s="3">
        <v>1.8</v>
      </c>
      <c r="T1044" s="3">
        <v>10.9</v>
      </c>
      <c r="U1044" s="3">
        <v>73.3</v>
      </c>
      <c r="V1044" s="3">
        <v>967.7</v>
      </c>
      <c r="W1044" s="3">
        <v>0</v>
      </c>
      <c r="X1044" s="3">
        <v>48.2</v>
      </c>
      <c r="Y1044" s="3">
        <v>47.8</v>
      </c>
      <c r="Z1044" s="3">
        <v>47</v>
      </c>
      <c r="AA1044" s="3">
        <v>43.9</v>
      </c>
      <c r="AB1044" s="3">
        <v>38.799999999999997</v>
      </c>
      <c r="AC1044" s="3">
        <v>37.4</v>
      </c>
      <c r="AD1044" s="3">
        <v>40.1</v>
      </c>
      <c r="AE1044" s="3">
        <v>41.4</v>
      </c>
      <c r="AF1044" s="3">
        <v>45.6</v>
      </c>
      <c r="AG1044" s="3">
        <v>40</v>
      </c>
      <c r="AH1044" s="3">
        <v>37.1</v>
      </c>
      <c r="AI1044" s="3">
        <v>37.4</v>
      </c>
      <c r="AJ1044" s="3">
        <v>36.4</v>
      </c>
      <c r="AK1044" s="3">
        <v>35.1</v>
      </c>
      <c r="AL1044" s="3">
        <v>34.1</v>
      </c>
      <c r="AM1044" s="3">
        <v>34.200000000000003</v>
      </c>
      <c r="AN1044" s="3">
        <v>33.299999999999997</v>
      </c>
      <c r="AO1044" s="3">
        <v>31.4</v>
      </c>
      <c r="AP1044" s="3">
        <v>30.3</v>
      </c>
      <c r="AQ1044" s="3">
        <v>29.5</v>
      </c>
      <c r="AR1044" s="3">
        <v>28.4</v>
      </c>
      <c r="AS1044" s="3">
        <v>27.4</v>
      </c>
      <c r="AT1044" s="3">
        <v>27.2</v>
      </c>
      <c r="AU1044" s="3">
        <v>24.2</v>
      </c>
      <c r="AV1044" s="3">
        <v>22.2</v>
      </c>
      <c r="AW1044" s="3">
        <v>20.100000000000001</v>
      </c>
      <c r="AX1044" s="3">
        <v>15.5</v>
      </c>
      <c r="AY1044" s="3">
        <v>13.4</v>
      </c>
      <c r="AZ1044" s="3">
        <v>0</v>
      </c>
      <c r="BA1044" s="3">
        <v>0</v>
      </c>
      <c r="BB1044" s="3">
        <v>0</v>
      </c>
      <c r="BC1044" s="3">
        <v>42.0949747103164</v>
      </c>
      <c r="BD1044" s="3">
        <v>48.205025289683611</v>
      </c>
      <c r="BE1044" s="3">
        <v>47.805025289683606</v>
      </c>
      <c r="BF1044" s="3">
        <v>45.765025289683599</v>
      </c>
      <c r="BG1044" s="3">
        <v>42.991691956350273</v>
      </c>
      <c r="BH1044" s="3">
        <v>38.031691956350265</v>
      </c>
      <c r="BI1044" s="3">
        <v>37.045025289683601</v>
      </c>
      <c r="BJ1044" s="3">
        <v>40.538358623016926</v>
      </c>
      <c r="BK1044" s="3">
        <v>41.711691956350272</v>
      </c>
      <c r="BL1044" s="3">
        <v>45.485025289683612</v>
      </c>
      <c r="BM1044" s="3">
        <v>40.018358623016944</v>
      </c>
      <c r="BN1044" s="3">
        <v>37.40169195635027</v>
      </c>
      <c r="BO1044" s="3">
        <v>37.068358623016927</v>
      </c>
      <c r="BP1044" s="3">
        <v>35.785025289683595</v>
      </c>
      <c r="BQ1044" s="3">
        <v>34.90169195635027</v>
      </c>
      <c r="BR1044" s="3">
        <v>34.228358623016938</v>
      </c>
      <c r="BS1044" s="3">
        <v>34.131691956350274</v>
      </c>
      <c r="BT1044" s="3">
        <v>33.42835862301694</v>
      </c>
      <c r="BU1044" s="3">
        <v>31.495025289683603</v>
      </c>
      <c r="BV1044" s="3">
        <v>30.111691956350278</v>
      </c>
      <c r="BW1044" s="3">
        <v>29.845025289683598</v>
      </c>
      <c r="BX1044" s="3">
        <v>28.665025289683605</v>
      </c>
      <c r="BY1044" s="3">
        <v>27.485025289683598</v>
      </c>
      <c r="BZ1044" s="3">
        <v>27.415025289683605</v>
      </c>
      <c r="CA1044" s="3">
        <v>24.515025289683585</v>
      </c>
      <c r="CB1044" s="3">
        <v>21.951691956350267</v>
      </c>
      <c r="CC1044" s="3">
        <v>20.065025289683597</v>
      </c>
      <c r="CD1044" s="3">
        <v>14.771691956350274</v>
      </c>
      <c r="CE1044" s="3">
        <v>12.865025289683601</v>
      </c>
      <c r="CF1044" s="3">
        <v>-0.92164137698306803</v>
      </c>
      <c r="CG1044" s="3">
        <v>-1.4549747103163995</v>
      </c>
      <c r="CH1044" s="3">
        <v>-2.5316413769830675</v>
      </c>
      <c r="CI1044" s="13">
        <f>[1]!dbasum(RecData[[#This Row],[20]:[2000]],RecData[[#Headers],[20]:[2000]])</f>
        <v>41.493439045541287</v>
      </c>
      <c r="CJ1044" s="14">
        <v>10542</v>
      </c>
      <c r="CK1044" s="15" t="s">
        <v>249</v>
      </c>
      <c r="CL1044" s="15">
        <f>RecData[[#This Row],[Start Time]]</f>
        <v>43275.170138888891</v>
      </c>
      <c r="CM1044" s="16">
        <f>RecData[[#This Row],[Wind Speed avg]]</f>
        <v>1.05</v>
      </c>
      <c r="CN1044" s="16">
        <f>RecData[[#This Row],[Wind Dir. avg]]</f>
        <v>192.4</v>
      </c>
      <c r="CO1044" s="16">
        <f>RecData[[#This Row],[Amb. Humidity]]</f>
        <v>73.3</v>
      </c>
      <c r="CP1044" s="16">
        <f>RecData[[#This Row],[Amb. Temperature]]</f>
        <v>10.9</v>
      </c>
      <c r="CQ1044" s="17">
        <f>RecData[[#This Row],[Amb. Rain Gauge]]</f>
        <v>0</v>
      </c>
      <c r="CR1044" s="4" t="s">
        <v>1</v>
      </c>
      <c r="CS1044" s="4" t="s">
        <v>49</v>
      </c>
      <c r="CT1044" s="70">
        <v>1619.76647949218</v>
      </c>
      <c r="CU1044" s="70">
        <v>33.000278472900298</v>
      </c>
      <c r="CV1044" s="70">
        <v>13.727725982666</v>
      </c>
      <c r="CW1044" s="70">
        <v>15.322913169860801</v>
      </c>
      <c r="CX1044" s="4"/>
      <c r="CY1044" s="69"/>
      <c r="CZ1044" s="2" t="b">
        <f>IF($DP$1="YES",IF(RecData[[#This Row],[Power (kW)]]&gt;=$CR$3, TRUE,FALSE),TRUE)</f>
        <v>1</v>
      </c>
      <c r="DA1044" s="16">
        <f>MIN(MOD(180-ABS(ABS($DA$1-RecData[Yaw Angle (°)])-180),360),MOD(180-ABS(ABS($DB$1-RecData[Yaw Angle (°)])-180),360))</f>
        <v>25.470351695212742</v>
      </c>
      <c r="DB1044" s="2" t="str">
        <f>IF($DP$2="None","None",IF(RecData[[#This Row],[Relative Wind Direction]]&lt;=45,"DW",IF(RecData[[#This Row],[Relative Wind Direction]]&lt;=135,"CW","UW")))</f>
        <v>DW</v>
      </c>
      <c r="DC1044" s="61" t="e">
        <f>IF($CL1044-$CL1043&gt;1/24,#REF!,IF(SUM($CQ1043:$CQ1044)&gt;$DS$1,$DS$5,DC1045-1))</f>
        <v>#REF!</v>
      </c>
      <c r="DD1044" s="61" t="e">
        <f>IF($CL1045-$CL1044&gt;1/24,#REF!,IF(SUM($CQ1043:$CQ1044)&gt;$DS$1,$DS$6,#REF!-1))</f>
        <v>#REF!</v>
      </c>
      <c r="DE1044" s="18" t="b">
        <v>0</v>
      </c>
      <c r="DF1044" s="2" t="b">
        <f>IF(OR(RecData[[#This Row],[WSpd_Avg '[m/s']]]-RecData[[#This Row],[Wind Speed min]]&gt;=$DF$3,RecData[[#This Row],[Wind Speed max]]-RecData[[#This Row],[WSpd_Avg '[m/s']]]&gt;=$DF$2),TRUE,FALSE)</f>
        <v>0</v>
      </c>
      <c r="DG1044" s="2" t="b">
        <f>RecData[[#This Row],[Temperature '[°C']]]&lt;=-20</f>
        <v>0</v>
      </c>
      <c r="DH1044" s="18" t="b">
        <f>NOT(OR(MOD(RecData[[#This Row],[TIMESTAMP]],1)&gt;0.91632,MOD(RecData[[#This Row],[TIMESTAMP]],1)&lt;0.208681))</f>
        <v>0</v>
      </c>
      <c r="DI1044" s="18" t="b">
        <f>RecData[[#This Row],[Overall (dBA)]]-RecData[[#This Row],[L90]]&gt;=$DS$4</f>
        <v>0</v>
      </c>
      <c r="DJ1044" s="18" t="b">
        <f>RecData[[#This Row],[Overall (dBA)]]&gt;$DS$2</f>
        <v>0</v>
      </c>
      <c r="DK1044" s="18" t="b">
        <f>RecData[[#This Row],[Overall (dBA)]]&lt;$DS$3</f>
        <v>0</v>
      </c>
      <c r="DL10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4" s="2">
        <f>IF(AND(RecData[[#This Row],[Turbines ON/OFF]] = "OFF", NOT(OR(RecData[[#This Row],[Junk?]]="YES",RecData[[#This Row],[Gust?]],RecData[[#This Row],[Rain?]:[Min SPL Threshold?]]))),1,0)</f>
        <v>0</v>
      </c>
      <c r="DN1044" s="16">
        <f>RecData[[#This Row],[dBA Sum]]</f>
        <v>41.493439045541287</v>
      </c>
      <c r="DO1044" s="16">
        <f>RecData[[#This Row],[LAF90.0]]</f>
        <v>41.2</v>
      </c>
      <c r="DP1044" s="55">
        <f>IF(AND(RecData[[#This Row],[Useable TON Data?]],RecData[[#This Row],[Turbines ON/OFF]]="ON"),RecData[[#This Row],[dBA Sum]],"")</f>
        <v>41.493439045541287</v>
      </c>
      <c r="DQ1044" s="55" t="str">
        <f>IF(AND(RecData[[#This Row],[Useable Background Data?]],RecData[[#This Row],[Turbines ON/OFF]]="OFF"),RecData[[#This Row],[dBA Sum]],"")</f>
        <v/>
      </c>
      <c r="DR1044" s="3">
        <f>IF(OR(RecData[[#This Row],[Useable TON Data?]],RecData[[#This Row],[Useable Background Data?]]),ROUND(RecData[[#This Row],[WSpd_Avg '[m/s']]],0),"")</f>
        <v>1</v>
      </c>
      <c r="DS1044" s="85">
        <f>(0.00002)^2*(10^(RecData[[#This Row],[Overall (dBA)]]/10))</f>
        <v>5.6416208528270236E-6</v>
      </c>
    </row>
    <row r="1045" spans="1:123" ht="15" x14ac:dyDescent="0.25">
      <c r="A1045" s="3" t="s">
        <v>249</v>
      </c>
      <c r="B1045" s="12">
        <v>43275.170833333337</v>
      </c>
      <c r="C1045" s="3"/>
      <c r="D1045" s="3">
        <v>43</v>
      </c>
      <c r="E1045" s="3"/>
      <c r="F1045" s="3"/>
      <c r="G1045" s="3"/>
      <c r="H1045" s="3"/>
      <c r="I1045" s="3"/>
      <c r="J1045" s="3"/>
      <c r="K1045" s="3">
        <v>41.5</v>
      </c>
      <c r="L1045" s="3"/>
      <c r="M1045" s="3"/>
      <c r="N1045" s="3">
        <v>186.8</v>
      </c>
      <c r="O1045" s="3"/>
      <c r="P1045" s="3"/>
      <c r="Q1045" s="3">
        <v>1.24</v>
      </c>
      <c r="R1045" s="3">
        <v>0.1</v>
      </c>
      <c r="S1045" s="3">
        <v>2.7</v>
      </c>
      <c r="T1045" s="3">
        <v>10.9</v>
      </c>
      <c r="U1045" s="3">
        <v>73.400000000000006</v>
      </c>
      <c r="V1045" s="3">
        <v>967.7</v>
      </c>
      <c r="W1045" s="3">
        <v>0</v>
      </c>
      <c r="X1045" s="3">
        <v>47.5</v>
      </c>
      <c r="Y1045" s="3">
        <v>47.2</v>
      </c>
      <c r="Z1045" s="3">
        <v>47.3</v>
      </c>
      <c r="AA1045" s="3">
        <v>43.5</v>
      </c>
      <c r="AB1045" s="3">
        <v>38.5</v>
      </c>
      <c r="AC1045" s="3">
        <v>37.700000000000003</v>
      </c>
      <c r="AD1045" s="3">
        <v>40.1</v>
      </c>
      <c r="AE1045" s="3">
        <v>41</v>
      </c>
      <c r="AF1045" s="3">
        <v>45.4</v>
      </c>
      <c r="AG1045" s="3">
        <v>39.799999999999997</v>
      </c>
      <c r="AH1045" s="3">
        <v>37</v>
      </c>
      <c r="AI1045" s="3">
        <v>37.1</v>
      </c>
      <c r="AJ1045" s="3">
        <v>36.200000000000003</v>
      </c>
      <c r="AK1045" s="3">
        <v>35.299999999999997</v>
      </c>
      <c r="AL1045" s="3">
        <v>34.1</v>
      </c>
      <c r="AM1045" s="3">
        <v>34.4</v>
      </c>
      <c r="AN1045" s="3">
        <v>33.700000000000003</v>
      </c>
      <c r="AO1045" s="3">
        <v>32.1</v>
      </c>
      <c r="AP1045" s="3">
        <v>31</v>
      </c>
      <c r="AQ1045" s="3">
        <v>30.5</v>
      </c>
      <c r="AR1045" s="3">
        <v>30.2</v>
      </c>
      <c r="AS1045" s="3">
        <v>30</v>
      </c>
      <c r="AT1045" s="3">
        <v>30.7</v>
      </c>
      <c r="AU1045" s="3">
        <v>27.7</v>
      </c>
      <c r="AV1045" s="3">
        <v>26.2</v>
      </c>
      <c r="AW1045" s="3">
        <v>23.9</v>
      </c>
      <c r="AX1045" s="3">
        <v>18.899999999999999</v>
      </c>
      <c r="AY1045" s="3">
        <v>15.8</v>
      </c>
      <c r="AZ1045" s="3">
        <v>0</v>
      </c>
      <c r="BA1045" s="3">
        <v>0</v>
      </c>
      <c r="BB1045" s="3">
        <v>0</v>
      </c>
      <c r="BC1045" s="3">
        <v>42.981663064343721</v>
      </c>
      <c r="BD1045" s="3">
        <v>47.518336935656279</v>
      </c>
      <c r="BE1045" s="3">
        <v>47.218336935656282</v>
      </c>
      <c r="BF1045" s="3">
        <v>46.078336935656282</v>
      </c>
      <c r="BG1045" s="3">
        <v>42.605003602322952</v>
      </c>
      <c r="BH1045" s="3">
        <v>37.745003602322939</v>
      </c>
      <c r="BI1045" s="3">
        <v>37.358336935656283</v>
      </c>
      <c r="BJ1045" s="3">
        <v>40.551670268989611</v>
      </c>
      <c r="BK1045" s="3">
        <v>41.325003602322951</v>
      </c>
      <c r="BL1045" s="3">
        <v>45.29833693565628</v>
      </c>
      <c r="BM1045" s="3">
        <v>39.831670268989612</v>
      </c>
      <c r="BN1045" s="3">
        <v>37.315003602322946</v>
      </c>
      <c r="BO1045" s="3">
        <v>36.781670268989615</v>
      </c>
      <c r="BP1045" s="3">
        <v>35.598336935656292</v>
      </c>
      <c r="BQ1045" s="3">
        <v>35.115003602322943</v>
      </c>
      <c r="BR1045" s="3">
        <v>34.241670268989608</v>
      </c>
      <c r="BS1045" s="3">
        <v>34.345003602322947</v>
      </c>
      <c r="BT1045" s="3">
        <v>33.841670268989617</v>
      </c>
      <c r="BU1045" s="3">
        <v>32.208336935656277</v>
      </c>
      <c r="BV1045" s="3">
        <v>30.825003602322951</v>
      </c>
      <c r="BW1045" s="3">
        <v>30.858336935656283</v>
      </c>
      <c r="BX1045" s="3">
        <v>30.478336935656287</v>
      </c>
      <c r="BY1045" s="3">
        <v>30.098336935656278</v>
      </c>
      <c r="BZ1045" s="3">
        <v>30.928336935656276</v>
      </c>
      <c r="CA1045" s="3">
        <v>28.02833693565627</v>
      </c>
      <c r="CB1045" s="3">
        <v>25.965003602322938</v>
      </c>
      <c r="CC1045" s="3">
        <v>23.878336935656279</v>
      </c>
      <c r="CD1045" s="3">
        <v>18.185003602322951</v>
      </c>
      <c r="CE1045" s="3">
        <v>15.278336935656277</v>
      </c>
      <c r="CF1045" s="3">
        <v>-0.90832973101039016</v>
      </c>
      <c r="CG1045" s="3">
        <v>-1.4416630643437216</v>
      </c>
      <c r="CH1045" s="3">
        <v>-2.5183297310103896</v>
      </c>
      <c r="CI1045" s="13">
        <f>[1]!dbasum(RecData[[#This Row],[20]:[2000]],RecData[[#Headers],[20]:[2000]])</f>
        <v>41.917036993290971</v>
      </c>
      <c r="CJ1045" s="14">
        <v>10543</v>
      </c>
      <c r="CK1045" s="15" t="s">
        <v>249</v>
      </c>
      <c r="CL1045" s="15">
        <f>RecData[[#This Row],[Start Time]]</f>
        <v>43275.170833333337</v>
      </c>
      <c r="CM1045" s="16">
        <f>RecData[[#This Row],[Wind Speed avg]]</f>
        <v>1.24</v>
      </c>
      <c r="CN1045" s="16">
        <f>RecData[[#This Row],[Wind Dir. avg]]</f>
        <v>186.8</v>
      </c>
      <c r="CO1045" s="16">
        <f>RecData[[#This Row],[Amb. Humidity]]</f>
        <v>73.400000000000006</v>
      </c>
      <c r="CP1045" s="16">
        <f>RecData[[#This Row],[Amb. Temperature]]</f>
        <v>10.9</v>
      </c>
      <c r="CQ1045" s="17">
        <f>RecData[[#This Row],[Amb. Rain Gauge]]</f>
        <v>0</v>
      </c>
      <c r="CR1045" s="4" t="s">
        <v>1</v>
      </c>
      <c r="CS1045" s="4" t="s">
        <v>49</v>
      </c>
      <c r="CT1045" s="70">
        <v>1619.76647949218</v>
      </c>
      <c r="CU1045" s="70">
        <v>33.000278472900298</v>
      </c>
      <c r="CV1045" s="70">
        <v>13.727725982666</v>
      </c>
      <c r="CW1045" s="70">
        <v>15.322913169860801</v>
      </c>
      <c r="CX1045" s="4"/>
      <c r="CY1045" s="69"/>
      <c r="CZ1045" s="2" t="b">
        <f>IF($DP$1="YES",IF(RecData[[#This Row],[Power (kW)]]&gt;=$CR$3, TRUE,FALSE),TRUE)</f>
        <v>1</v>
      </c>
      <c r="DA1045" s="16">
        <f>MIN(MOD(180-ABS(ABS($DA$1-RecData[Yaw Angle (°)])-180),360),MOD(180-ABS(ABS($DB$1-RecData[Yaw Angle (°)])-180),360))</f>
        <v>25.470351695212742</v>
      </c>
      <c r="DB1045" s="2" t="str">
        <f>IF($DP$2="None","None",IF(RecData[[#This Row],[Relative Wind Direction]]&lt;=45,"DW",IF(RecData[[#This Row],[Relative Wind Direction]]&lt;=135,"CW","UW")))</f>
        <v>DW</v>
      </c>
      <c r="DC1045" s="61" t="e">
        <f>IF($CL1045-$CL1043&gt;1/24,#REF!,IF(SUM($CQ1043:$CQ1045)&gt;$DS$1,$DS$5,#REF!-1))</f>
        <v>#REF!</v>
      </c>
      <c r="DD1045" s="61" t="e">
        <f>IF(#REF!-$CL1045&gt;1/24,#REF!,IF(SUM($CQ1043:$CQ1045)&gt;$DS$1,$DS$6,DD1044-1))</f>
        <v>#REF!</v>
      </c>
      <c r="DE1045" s="18" t="b">
        <v>0</v>
      </c>
      <c r="DF1045" s="2" t="b">
        <f>IF(OR(RecData[[#This Row],[WSpd_Avg '[m/s']]]-RecData[[#This Row],[Wind Speed min]]&gt;=$DF$3,RecData[[#This Row],[Wind Speed max]]-RecData[[#This Row],[WSpd_Avg '[m/s']]]&gt;=$DF$2),TRUE,FALSE)</f>
        <v>0</v>
      </c>
      <c r="DG1045" s="2" t="b">
        <f>RecData[[#This Row],[Temperature '[°C']]]&lt;=-20</f>
        <v>0</v>
      </c>
      <c r="DH1045" s="18" t="b">
        <f>NOT(OR(MOD(RecData[[#This Row],[TIMESTAMP]],1)&gt;0.91632,MOD(RecData[[#This Row],[TIMESTAMP]],1)&lt;0.208681))</f>
        <v>0</v>
      </c>
      <c r="DI1045" s="18" t="b">
        <f>RecData[[#This Row],[Overall (dBA)]]-RecData[[#This Row],[L90]]&gt;=$DS$4</f>
        <v>0</v>
      </c>
      <c r="DJ1045" s="18" t="b">
        <f>RecData[[#This Row],[Overall (dBA)]]&gt;$DS$2</f>
        <v>0</v>
      </c>
      <c r="DK1045" s="18" t="b">
        <f>RecData[[#This Row],[Overall (dBA)]]&lt;$DS$3</f>
        <v>0</v>
      </c>
      <c r="DL10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5" s="2">
        <f>IF(AND(RecData[[#This Row],[Turbines ON/OFF]] = "OFF", NOT(OR(RecData[[#This Row],[Junk?]]="YES",RecData[[#This Row],[Gust?]],RecData[[#This Row],[Rain?]:[Min SPL Threshold?]]))),1,0)</f>
        <v>0</v>
      </c>
      <c r="DN1045" s="16">
        <f>RecData[[#This Row],[dBA Sum]]</f>
        <v>41.917036993290971</v>
      </c>
      <c r="DO1045" s="16">
        <f>RecData[[#This Row],[LAF90.0]]</f>
        <v>41.5</v>
      </c>
      <c r="DP1045" s="55">
        <f>IF(AND(RecData[[#This Row],[Useable TON Data?]],RecData[[#This Row],[Turbines ON/OFF]]="ON"),RecData[[#This Row],[dBA Sum]],"")</f>
        <v>41.917036993290971</v>
      </c>
      <c r="DQ1045" s="55" t="str">
        <f>IF(AND(RecData[[#This Row],[Useable Background Data?]],RecData[[#This Row],[Turbines ON/OFF]]="OFF"),RecData[[#This Row],[dBA Sum]],"")</f>
        <v/>
      </c>
      <c r="DR1045" s="3">
        <f>IF(OR(RecData[[#This Row],[Useable TON Data?]],RecData[[#This Row],[Useable Background Data?]]),ROUND(RecData[[#This Row],[WSpd_Avg '[m/s']]],0),"")</f>
        <v>1</v>
      </c>
      <c r="DS1045" s="85">
        <f>(0.00002)^2*(10^(RecData[[#This Row],[Overall (dBA)]]/10))</f>
        <v>6.2196176976815251E-6</v>
      </c>
    </row>
    <row r="1046" spans="1:123" ht="15" x14ac:dyDescent="0.25">
      <c r="A1046" s="3" t="s">
        <v>249</v>
      </c>
      <c r="B1046" s="12">
        <v>43275.17291666667</v>
      </c>
      <c r="C1046" s="3"/>
      <c r="D1046" s="3">
        <v>43.2</v>
      </c>
      <c r="E1046" s="3"/>
      <c r="F1046" s="3"/>
      <c r="G1046" s="3"/>
      <c r="H1046" s="3"/>
      <c r="I1046" s="3"/>
      <c r="J1046" s="3"/>
      <c r="K1046" s="3">
        <v>41.7</v>
      </c>
      <c r="L1046" s="3"/>
      <c r="M1046" s="3"/>
      <c r="N1046" s="3">
        <v>178.8</v>
      </c>
      <c r="O1046" s="3"/>
      <c r="P1046" s="3"/>
      <c r="Q1046" s="3">
        <v>0.96</v>
      </c>
      <c r="R1046" s="3">
        <v>0.2</v>
      </c>
      <c r="S1046" s="3">
        <v>1.7</v>
      </c>
      <c r="T1046" s="3">
        <v>10.9</v>
      </c>
      <c r="U1046" s="3">
        <v>73.5</v>
      </c>
      <c r="V1046" s="3">
        <v>967.8</v>
      </c>
      <c r="W1046" s="3">
        <v>0</v>
      </c>
      <c r="X1046" s="3">
        <v>48.4</v>
      </c>
      <c r="Y1046" s="3">
        <v>47.4</v>
      </c>
      <c r="Z1046" s="3">
        <v>47.6</v>
      </c>
      <c r="AA1046" s="3">
        <v>44.2</v>
      </c>
      <c r="AB1046" s="3">
        <v>38.700000000000003</v>
      </c>
      <c r="AC1046" s="3">
        <v>37.5</v>
      </c>
      <c r="AD1046" s="3">
        <v>39.6</v>
      </c>
      <c r="AE1046" s="3">
        <v>40.6</v>
      </c>
      <c r="AF1046" s="3">
        <v>45.8</v>
      </c>
      <c r="AG1046" s="3">
        <v>40.6</v>
      </c>
      <c r="AH1046" s="3">
        <v>37</v>
      </c>
      <c r="AI1046" s="3">
        <v>37.4</v>
      </c>
      <c r="AJ1046" s="3">
        <v>36.700000000000003</v>
      </c>
      <c r="AK1046" s="3">
        <v>35.5</v>
      </c>
      <c r="AL1046" s="3">
        <v>34.5</v>
      </c>
      <c r="AM1046" s="3">
        <v>34.700000000000003</v>
      </c>
      <c r="AN1046" s="3">
        <v>33.9</v>
      </c>
      <c r="AO1046" s="3">
        <v>32.4</v>
      </c>
      <c r="AP1046" s="3">
        <v>31.2</v>
      </c>
      <c r="AQ1046" s="3">
        <v>30.8</v>
      </c>
      <c r="AR1046" s="3">
        <v>30.3</v>
      </c>
      <c r="AS1046" s="3">
        <v>30</v>
      </c>
      <c r="AT1046" s="3">
        <v>30.1</v>
      </c>
      <c r="AU1046" s="3">
        <v>27.6</v>
      </c>
      <c r="AV1046" s="3">
        <v>26.3</v>
      </c>
      <c r="AW1046" s="3">
        <v>24.1</v>
      </c>
      <c r="AX1046" s="3">
        <v>19.100000000000001</v>
      </c>
      <c r="AY1046" s="3">
        <v>16</v>
      </c>
      <c r="AZ1046" s="3">
        <v>0</v>
      </c>
      <c r="BA1046" s="3">
        <v>0</v>
      </c>
      <c r="BB1046" s="3">
        <v>0</v>
      </c>
      <c r="BC1046" s="3">
        <v>43.159107146975444</v>
      </c>
      <c r="BD1046" s="3">
        <v>48.44089285302455</v>
      </c>
      <c r="BE1046" s="3">
        <v>47.44089285302455</v>
      </c>
      <c r="BF1046" s="3">
        <v>46.400892853024558</v>
      </c>
      <c r="BG1046" s="3">
        <v>43.327559519691235</v>
      </c>
      <c r="BH1046" s="3">
        <v>37.967559519691221</v>
      </c>
      <c r="BI1046" s="3">
        <v>37.180892853024559</v>
      </c>
      <c r="BJ1046" s="3">
        <v>40.07422618635789</v>
      </c>
      <c r="BK1046" s="3">
        <v>40.947559519691225</v>
      </c>
      <c r="BL1046" s="3">
        <v>45.720892853024552</v>
      </c>
      <c r="BM1046" s="3">
        <v>40.654226186357889</v>
      </c>
      <c r="BN1046" s="3">
        <v>37.337559519691226</v>
      </c>
      <c r="BO1046" s="3">
        <v>37.104226186357891</v>
      </c>
      <c r="BP1046" s="3">
        <v>36.120892853024557</v>
      </c>
      <c r="BQ1046" s="3">
        <v>35.337559519691226</v>
      </c>
      <c r="BR1046" s="3">
        <v>34.664226186357894</v>
      </c>
      <c r="BS1046" s="3">
        <v>34.667559519691238</v>
      </c>
      <c r="BT1046" s="3">
        <v>34.064226186357885</v>
      </c>
      <c r="BU1046" s="3">
        <v>32.530892853024554</v>
      </c>
      <c r="BV1046" s="3">
        <v>31.047559519691234</v>
      </c>
      <c r="BW1046" s="3">
        <v>31.180892853024559</v>
      </c>
      <c r="BX1046" s="3">
        <v>30.600892853024561</v>
      </c>
      <c r="BY1046" s="3">
        <v>30.120892853024557</v>
      </c>
      <c r="BZ1046" s="3">
        <v>30.350892853024561</v>
      </c>
      <c r="CA1046" s="3">
        <v>27.950892853024556</v>
      </c>
      <c r="CB1046" s="3">
        <v>26.087559519691226</v>
      </c>
      <c r="CC1046" s="3">
        <v>24.100892853024561</v>
      </c>
      <c r="CD1046" s="3">
        <v>18.407559519691233</v>
      </c>
      <c r="CE1046" s="3">
        <v>15.50089285302456</v>
      </c>
      <c r="CF1046" s="3">
        <v>-0.8857738136421105</v>
      </c>
      <c r="CG1046" s="3">
        <v>-1.4191071469754419</v>
      </c>
      <c r="CH1046" s="3">
        <v>-2.4957738136421099</v>
      </c>
      <c r="CI1046" s="13">
        <f>[1]!dbasum(RecData[[#This Row],[20]:[2000]],RecData[[#Headers],[20]:[2000]])</f>
        <v>42.213455161853844</v>
      </c>
      <c r="CJ1046" s="14">
        <v>10546</v>
      </c>
      <c r="CK1046" s="15" t="s">
        <v>249</v>
      </c>
      <c r="CL1046" s="15">
        <f>RecData[[#This Row],[Start Time]]</f>
        <v>43275.17291666667</v>
      </c>
      <c r="CM1046" s="16">
        <f>RecData[[#This Row],[Wind Speed avg]]</f>
        <v>0.96</v>
      </c>
      <c r="CN1046" s="16">
        <f>RecData[[#This Row],[Wind Dir. avg]]</f>
        <v>178.8</v>
      </c>
      <c r="CO1046" s="16">
        <f>RecData[[#This Row],[Amb. Humidity]]</f>
        <v>73.5</v>
      </c>
      <c r="CP1046" s="16">
        <f>RecData[[#This Row],[Amb. Temperature]]</f>
        <v>10.9</v>
      </c>
      <c r="CQ1046" s="17">
        <f>RecData[[#This Row],[Amb. Rain Gauge]]</f>
        <v>0</v>
      </c>
      <c r="CR1046" s="4" t="s">
        <v>1</v>
      </c>
      <c r="CS1046" s="4" t="s">
        <v>49</v>
      </c>
      <c r="CT1046" s="70">
        <v>1619.76647949218</v>
      </c>
      <c r="CU1046" s="70">
        <v>33.000278472900298</v>
      </c>
      <c r="CV1046" s="70">
        <v>13.727725982666</v>
      </c>
      <c r="CW1046" s="70">
        <v>15.322913169860801</v>
      </c>
      <c r="CX1046" s="4"/>
      <c r="CY1046" s="69"/>
      <c r="CZ1046" s="2" t="b">
        <f>IF($DP$1="YES",IF(RecData[[#This Row],[Power (kW)]]&gt;=$CR$3, TRUE,FALSE),TRUE)</f>
        <v>1</v>
      </c>
      <c r="DA1046" s="16">
        <f>MIN(MOD(180-ABS(ABS($DA$1-RecData[Yaw Angle (°)])-180),360),MOD(180-ABS(ABS($DB$1-RecData[Yaw Angle (°)])-180),360))</f>
        <v>25.470351695212742</v>
      </c>
      <c r="DB1046" s="2" t="str">
        <f>IF($DP$2="None","None",IF(RecData[[#This Row],[Relative Wind Direction]]&lt;=45,"DW",IF(RecData[[#This Row],[Relative Wind Direction]]&lt;=135,"CW","UW")))</f>
        <v>DW</v>
      </c>
      <c r="DC1046" s="61" t="e">
        <f>IF($CL1046-$CL1044&gt;1/24,#REF!,IF(SUM($CQ1044:$CQ1046)&gt;$DS$1,$DS$5,DC1047-1))</f>
        <v>#REF!</v>
      </c>
      <c r="DD1046" s="61" t="e">
        <f>IF($CL1047-$CL1046&gt;1/24,#REF!,IF(SUM($CQ1044:$CQ1046)&gt;$DS$1,$DS$6,#REF!-1))</f>
        <v>#REF!</v>
      </c>
      <c r="DE1046" s="18" t="b">
        <v>0</v>
      </c>
      <c r="DF1046" s="2" t="b">
        <f>IF(OR(RecData[[#This Row],[WSpd_Avg '[m/s']]]-RecData[[#This Row],[Wind Speed min]]&gt;=$DF$3,RecData[[#This Row],[Wind Speed max]]-RecData[[#This Row],[WSpd_Avg '[m/s']]]&gt;=$DF$2),TRUE,FALSE)</f>
        <v>0</v>
      </c>
      <c r="DG1046" s="2" t="b">
        <f>RecData[[#This Row],[Temperature '[°C']]]&lt;=-20</f>
        <v>0</v>
      </c>
      <c r="DH1046" s="18" t="b">
        <f>NOT(OR(MOD(RecData[[#This Row],[TIMESTAMP]],1)&gt;0.91632,MOD(RecData[[#This Row],[TIMESTAMP]],1)&lt;0.208681))</f>
        <v>0</v>
      </c>
      <c r="DI1046" s="18" t="b">
        <f>RecData[[#This Row],[Overall (dBA)]]-RecData[[#This Row],[L90]]&gt;=$DS$4</f>
        <v>0</v>
      </c>
      <c r="DJ1046" s="18" t="b">
        <f>RecData[[#This Row],[Overall (dBA)]]&gt;$DS$2</f>
        <v>0</v>
      </c>
      <c r="DK1046" s="18" t="b">
        <f>RecData[[#This Row],[Overall (dBA)]]&lt;$DS$3</f>
        <v>0</v>
      </c>
      <c r="DL10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6" s="2">
        <f>IF(AND(RecData[[#This Row],[Turbines ON/OFF]] = "OFF", NOT(OR(RecData[[#This Row],[Junk?]]="YES",RecData[[#This Row],[Gust?]],RecData[[#This Row],[Rain?]:[Min SPL Threshold?]]))),1,0)</f>
        <v>0</v>
      </c>
      <c r="DN1046" s="16">
        <f>RecData[[#This Row],[dBA Sum]]</f>
        <v>42.213455161853844</v>
      </c>
      <c r="DO1046" s="16">
        <f>RecData[[#This Row],[LAF90.0]]</f>
        <v>41.7</v>
      </c>
      <c r="DP1046" s="55">
        <f>IF(AND(RecData[[#This Row],[Useable TON Data?]],RecData[[#This Row],[Turbines ON/OFF]]="ON"),RecData[[#This Row],[dBA Sum]],"")</f>
        <v>42.213455161853844</v>
      </c>
      <c r="DQ1046" s="55" t="str">
        <f>IF(AND(RecData[[#This Row],[Useable Background Data?]],RecData[[#This Row],[Turbines ON/OFF]]="OFF"),RecData[[#This Row],[dBA Sum]],"")</f>
        <v/>
      </c>
      <c r="DR1046" s="3">
        <f>IF(OR(RecData[[#This Row],[Useable TON Data?]],RecData[[#This Row],[Useable Background Data?]]),ROUND(RecData[[#This Row],[WSpd_Avg '[m/s']]],0),"")</f>
        <v>1</v>
      </c>
      <c r="DS1046" s="85">
        <f>(0.00002)^2*(10^(RecData[[#This Row],[Overall (dBA)]]/10))</f>
        <v>6.6589462218730908E-6</v>
      </c>
    </row>
    <row r="1047" spans="1:123" ht="15" x14ac:dyDescent="0.25">
      <c r="A1047" s="3" t="s">
        <v>249</v>
      </c>
      <c r="B1047" s="12">
        <v>43275.173611111117</v>
      </c>
      <c r="C1047" s="3"/>
      <c r="D1047" s="3">
        <v>44.1</v>
      </c>
      <c r="E1047" s="3"/>
      <c r="F1047" s="3"/>
      <c r="G1047" s="3"/>
      <c r="H1047" s="3"/>
      <c r="I1047" s="3"/>
      <c r="J1047" s="3"/>
      <c r="K1047" s="3">
        <v>41.8</v>
      </c>
      <c r="L1047" s="3"/>
      <c r="M1047" s="3"/>
      <c r="N1047" s="3">
        <v>177.5</v>
      </c>
      <c r="O1047" s="3"/>
      <c r="P1047" s="3"/>
      <c r="Q1047" s="3">
        <v>1.64</v>
      </c>
      <c r="R1047" s="3">
        <v>0.9</v>
      </c>
      <c r="S1047" s="3">
        <v>3</v>
      </c>
      <c r="T1047" s="3">
        <v>10.9</v>
      </c>
      <c r="U1047" s="3">
        <v>73.099999999999994</v>
      </c>
      <c r="V1047" s="3">
        <v>967.8</v>
      </c>
      <c r="W1047" s="3">
        <v>0</v>
      </c>
      <c r="X1047" s="3">
        <v>47.5</v>
      </c>
      <c r="Y1047" s="3">
        <v>46.5</v>
      </c>
      <c r="Z1047" s="3">
        <v>46.4</v>
      </c>
      <c r="AA1047" s="3">
        <v>42.7</v>
      </c>
      <c r="AB1047" s="3">
        <v>38.299999999999997</v>
      </c>
      <c r="AC1047" s="3">
        <v>37.1</v>
      </c>
      <c r="AD1047" s="3">
        <v>39.1</v>
      </c>
      <c r="AE1047" s="3">
        <v>39.9</v>
      </c>
      <c r="AF1047" s="3">
        <v>44.8</v>
      </c>
      <c r="AG1047" s="3">
        <v>39.4</v>
      </c>
      <c r="AH1047" s="3">
        <v>36.700000000000003</v>
      </c>
      <c r="AI1047" s="3">
        <v>36.799999999999997</v>
      </c>
      <c r="AJ1047" s="3">
        <v>36.299999999999997</v>
      </c>
      <c r="AK1047" s="3">
        <v>35.299999999999997</v>
      </c>
      <c r="AL1047" s="3">
        <v>34.5</v>
      </c>
      <c r="AM1047" s="3">
        <v>34.5</v>
      </c>
      <c r="AN1047" s="3">
        <v>34</v>
      </c>
      <c r="AO1047" s="3">
        <v>32.799999999999997</v>
      </c>
      <c r="AP1047" s="3">
        <v>32</v>
      </c>
      <c r="AQ1047" s="3">
        <v>31.9</v>
      </c>
      <c r="AR1047" s="3">
        <v>32</v>
      </c>
      <c r="AS1047" s="3">
        <v>32.200000000000003</v>
      </c>
      <c r="AT1047" s="3">
        <v>32.700000000000003</v>
      </c>
      <c r="AU1047" s="3">
        <v>30.9</v>
      </c>
      <c r="AV1047" s="3">
        <v>29.3</v>
      </c>
      <c r="AW1047" s="3">
        <v>27.6</v>
      </c>
      <c r="AX1047" s="3">
        <v>22.8</v>
      </c>
      <c r="AY1047" s="3">
        <v>20.5</v>
      </c>
      <c r="AZ1047" s="3">
        <v>0</v>
      </c>
      <c r="BA1047" s="3">
        <v>0</v>
      </c>
      <c r="BB1047" s="3">
        <v>0</v>
      </c>
      <c r="BC1047" s="3">
        <v>44.039112165154712</v>
      </c>
      <c r="BD1047" s="3">
        <v>47.560887834845282</v>
      </c>
      <c r="BE1047" s="3">
        <v>46.560887834845282</v>
      </c>
      <c r="BF1047" s="3">
        <v>45.220887834845279</v>
      </c>
      <c r="BG1047" s="3">
        <v>41.847554501511958</v>
      </c>
      <c r="BH1047" s="3">
        <v>37.587554501511953</v>
      </c>
      <c r="BI1047" s="3">
        <v>36.800887834845291</v>
      </c>
      <c r="BJ1047" s="3">
        <v>39.594221168178613</v>
      </c>
      <c r="BK1047" s="3">
        <v>40.26755450151196</v>
      </c>
      <c r="BL1047" s="3">
        <v>44.740887834845289</v>
      </c>
      <c r="BM1047" s="3">
        <v>39.474221168178623</v>
      </c>
      <c r="BN1047" s="3">
        <v>37.057554501511952</v>
      </c>
      <c r="BO1047" s="3">
        <v>36.52422116817862</v>
      </c>
      <c r="BP1047" s="3">
        <v>35.740887834845289</v>
      </c>
      <c r="BQ1047" s="3">
        <v>35.157554501511946</v>
      </c>
      <c r="BR1047" s="3">
        <v>34.684221168178617</v>
      </c>
      <c r="BS1047" s="3">
        <v>34.487554501511958</v>
      </c>
      <c r="BT1047" s="3">
        <v>34.184221168178617</v>
      </c>
      <c r="BU1047" s="3">
        <v>32.950887834845297</v>
      </c>
      <c r="BV1047" s="3">
        <v>31.867554501511954</v>
      </c>
      <c r="BW1047" s="3">
        <v>32.300887834845291</v>
      </c>
      <c r="BX1047" s="3">
        <v>32.320887834845301</v>
      </c>
      <c r="BY1047" s="3">
        <v>32.340887834845283</v>
      </c>
      <c r="BZ1047" s="3">
        <v>32.970887834845293</v>
      </c>
      <c r="CA1047" s="3">
        <v>31.270887834845276</v>
      </c>
      <c r="CB1047" s="3">
        <v>29.107554501511963</v>
      </c>
      <c r="CC1047" s="3">
        <v>27.620887834845284</v>
      </c>
      <c r="CD1047" s="3">
        <v>22.127554501511959</v>
      </c>
      <c r="CE1047" s="3">
        <v>20.02088783484529</v>
      </c>
      <c r="CF1047" s="3">
        <v>-0.86577883182138038</v>
      </c>
      <c r="CG1047" s="3">
        <v>-1.3991121651547118</v>
      </c>
      <c r="CH1047" s="3">
        <v>-2.4757788318213798</v>
      </c>
      <c r="CI1047" s="13">
        <f>[1]!dbasum(RecData[[#This Row],[20]:[2000]],RecData[[#Headers],[20]:[2000]])</f>
        <v>42.49430220280216</v>
      </c>
      <c r="CJ1047" s="14">
        <v>10547</v>
      </c>
      <c r="CK1047" s="15" t="s">
        <v>249</v>
      </c>
      <c r="CL1047" s="15">
        <f>RecData[[#This Row],[Start Time]]</f>
        <v>43275.173611111117</v>
      </c>
      <c r="CM1047" s="16">
        <f>RecData[[#This Row],[Wind Speed avg]]</f>
        <v>1.64</v>
      </c>
      <c r="CN1047" s="16">
        <f>RecData[[#This Row],[Wind Dir. avg]]</f>
        <v>177.5</v>
      </c>
      <c r="CO1047" s="16">
        <f>RecData[[#This Row],[Amb. Humidity]]</f>
        <v>73.099999999999994</v>
      </c>
      <c r="CP1047" s="16">
        <f>RecData[[#This Row],[Amb. Temperature]]</f>
        <v>10.9</v>
      </c>
      <c r="CQ1047" s="17">
        <f>RecData[[#This Row],[Amb. Rain Gauge]]</f>
        <v>0</v>
      </c>
      <c r="CR1047" s="4" t="s">
        <v>1</v>
      </c>
      <c r="CS1047" s="4" t="s">
        <v>49</v>
      </c>
      <c r="CT1047" s="70">
        <v>1619.76647949218</v>
      </c>
      <c r="CU1047" s="70">
        <v>33.000278472900298</v>
      </c>
      <c r="CV1047" s="70">
        <v>13.727725982666</v>
      </c>
      <c r="CW1047" s="70">
        <v>15.322913169860801</v>
      </c>
      <c r="CX1047" s="4"/>
      <c r="CY1047" s="69"/>
      <c r="CZ1047" s="2" t="b">
        <f>IF($DP$1="YES",IF(RecData[[#This Row],[Power (kW)]]&gt;=$CR$3, TRUE,FALSE),TRUE)</f>
        <v>1</v>
      </c>
      <c r="DA1047" s="16">
        <f>MIN(MOD(180-ABS(ABS($DA$1-RecData[Yaw Angle (°)])-180),360),MOD(180-ABS(ABS($DB$1-RecData[Yaw Angle (°)])-180),360))</f>
        <v>25.470351695212742</v>
      </c>
      <c r="DB1047" s="2" t="str">
        <f>IF($DP$2="None","None",IF(RecData[[#This Row],[Relative Wind Direction]]&lt;=45,"DW",IF(RecData[[#This Row],[Relative Wind Direction]]&lt;=135,"CW","UW")))</f>
        <v>DW</v>
      </c>
      <c r="DC1047" s="61" t="e">
        <f>IF($CL1047-$CL1045&gt;1/24,#REF!,IF(SUM($CQ1045:$CQ1047)&gt;$DS$1,$DS$5,DC1048-1))</f>
        <v>#REF!</v>
      </c>
      <c r="DD1047" s="61" t="e">
        <f>IF($CL1048-$CL1047&gt;1/24,#REF!,IF(SUM($CQ1045:$CQ1047)&gt;$DS$1,$DS$6,DD1046-1))</f>
        <v>#REF!</v>
      </c>
      <c r="DE1047" s="18" t="b">
        <v>0</v>
      </c>
      <c r="DF1047" s="2" t="b">
        <f>IF(OR(RecData[[#This Row],[WSpd_Avg '[m/s']]]-RecData[[#This Row],[Wind Speed min]]&gt;=$DF$3,RecData[[#This Row],[Wind Speed max]]-RecData[[#This Row],[WSpd_Avg '[m/s']]]&gt;=$DF$2),TRUE,FALSE)</f>
        <v>0</v>
      </c>
      <c r="DG1047" s="2" t="b">
        <f>RecData[[#This Row],[Temperature '[°C']]]&lt;=-20</f>
        <v>0</v>
      </c>
      <c r="DH1047" s="18" t="b">
        <f>NOT(OR(MOD(RecData[[#This Row],[TIMESTAMP]],1)&gt;0.91632,MOD(RecData[[#This Row],[TIMESTAMP]],1)&lt;0.208681))</f>
        <v>0</v>
      </c>
      <c r="DI1047" s="18" t="b">
        <f>RecData[[#This Row],[Overall (dBA)]]-RecData[[#This Row],[L90]]&gt;=$DS$4</f>
        <v>0</v>
      </c>
      <c r="DJ1047" s="18" t="b">
        <f>RecData[[#This Row],[Overall (dBA)]]&gt;$DS$2</f>
        <v>0</v>
      </c>
      <c r="DK1047" s="18" t="b">
        <f>RecData[[#This Row],[Overall (dBA)]]&lt;$DS$3</f>
        <v>0</v>
      </c>
      <c r="DL10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7" s="2">
        <f>IF(AND(RecData[[#This Row],[Turbines ON/OFF]] = "OFF", NOT(OR(RecData[[#This Row],[Junk?]]="YES",RecData[[#This Row],[Gust?]],RecData[[#This Row],[Rain?]:[Min SPL Threshold?]]))),1,0)</f>
        <v>0</v>
      </c>
      <c r="DN1047" s="16">
        <f>RecData[[#This Row],[dBA Sum]]</f>
        <v>42.49430220280216</v>
      </c>
      <c r="DO1047" s="16">
        <f>RecData[[#This Row],[LAF90.0]]</f>
        <v>41.8</v>
      </c>
      <c r="DP1047" s="55">
        <f>IF(AND(RecData[[#This Row],[Useable TON Data?]],RecData[[#This Row],[Turbines ON/OFF]]="ON"),RecData[[#This Row],[dBA Sum]],"")</f>
        <v>42.49430220280216</v>
      </c>
      <c r="DQ1047" s="55" t="str">
        <f>IF(AND(RecData[[#This Row],[Useable Background Data?]],RecData[[#This Row],[Turbines ON/OFF]]="OFF"),RecData[[#This Row],[dBA Sum]],"")</f>
        <v/>
      </c>
      <c r="DR1047" s="3">
        <f>IF(OR(RecData[[#This Row],[Useable TON Data?]],RecData[[#This Row],[Useable Background Data?]]),ROUND(RecData[[#This Row],[WSpd_Avg '[m/s']]],0),"")</f>
        <v>2</v>
      </c>
      <c r="DS1047" s="85">
        <f>(0.00002)^2*(10^(RecData[[#This Row],[Overall (dBA)]]/10))</f>
        <v>7.1037915886719377E-6</v>
      </c>
    </row>
    <row r="1048" spans="1:123" ht="15" x14ac:dyDescent="0.25">
      <c r="A1048" s="3" t="s">
        <v>249</v>
      </c>
      <c r="B1048" s="12">
        <v>43275.174305555563</v>
      </c>
      <c r="C1048" s="3"/>
      <c r="D1048" s="3">
        <v>42.9</v>
      </c>
      <c r="E1048" s="3"/>
      <c r="F1048" s="3"/>
      <c r="G1048" s="3"/>
      <c r="H1048" s="3"/>
      <c r="I1048" s="3"/>
      <c r="J1048" s="3"/>
      <c r="K1048" s="3">
        <v>41.5</v>
      </c>
      <c r="L1048" s="3"/>
      <c r="M1048" s="3"/>
      <c r="N1048" s="3">
        <v>165.4</v>
      </c>
      <c r="O1048" s="3"/>
      <c r="P1048" s="3"/>
      <c r="Q1048" s="3">
        <v>0.65</v>
      </c>
      <c r="R1048" s="3">
        <v>0.1</v>
      </c>
      <c r="S1048" s="3">
        <v>1.5</v>
      </c>
      <c r="T1048" s="3">
        <v>10.9</v>
      </c>
      <c r="U1048" s="3">
        <v>73.2</v>
      </c>
      <c r="V1048" s="3">
        <v>967.8</v>
      </c>
      <c r="W1048" s="3">
        <v>0</v>
      </c>
      <c r="X1048" s="3">
        <v>47.5</v>
      </c>
      <c r="Y1048" s="3">
        <v>47.3</v>
      </c>
      <c r="Z1048" s="3">
        <v>47.6</v>
      </c>
      <c r="AA1048" s="3">
        <v>43.7</v>
      </c>
      <c r="AB1048" s="3">
        <v>38.299999999999997</v>
      </c>
      <c r="AC1048" s="3">
        <v>37.5</v>
      </c>
      <c r="AD1048" s="3">
        <v>40.200000000000003</v>
      </c>
      <c r="AE1048" s="3">
        <v>40.799999999999997</v>
      </c>
      <c r="AF1048" s="3">
        <v>45.1</v>
      </c>
      <c r="AG1048" s="3">
        <v>39.9</v>
      </c>
      <c r="AH1048" s="3">
        <v>37.5</v>
      </c>
      <c r="AI1048" s="3">
        <v>37.1</v>
      </c>
      <c r="AJ1048" s="3">
        <v>36.5</v>
      </c>
      <c r="AK1048" s="3">
        <v>35.4</v>
      </c>
      <c r="AL1048" s="3">
        <v>34.1</v>
      </c>
      <c r="AM1048" s="3">
        <v>34.5</v>
      </c>
      <c r="AN1048" s="3">
        <v>33.799999999999997</v>
      </c>
      <c r="AO1048" s="3">
        <v>32.1</v>
      </c>
      <c r="AP1048" s="3">
        <v>31</v>
      </c>
      <c r="AQ1048" s="3">
        <v>30.4</v>
      </c>
      <c r="AR1048" s="3">
        <v>30.1</v>
      </c>
      <c r="AS1048" s="3">
        <v>29.6</v>
      </c>
      <c r="AT1048" s="3">
        <v>29.8</v>
      </c>
      <c r="AU1048" s="3">
        <v>27.2</v>
      </c>
      <c r="AV1048" s="3">
        <v>26.2</v>
      </c>
      <c r="AW1048" s="3">
        <v>24.2</v>
      </c>
      <c r="AX1048" s="3">
        <v>19.3</v>
      </c>
      <c r="AY1048" s="3">
        <v>16</v>
      </c>
      <c r="AZ1048" s="3">
        <v>0</v>
      </c>
      <c r="BA1048" s="3">
        <v>0</v>
      </c>
      <c r="BB1048" s="3">
        <v>0</v>
      </c>
      <c r="BC1048" s="3">
        <v>42.904489477535549</v>
      </c>
      <c r="BD1048" s="3">
        <v>47.495510522464457</v>
      </c>
      <c r="BE1048" s="3">
        <v>47.29551052246444</v>
      </c>
      <c r="BF1048" s="3">
        <v>46.355510522464442</v>
      </c>
      <c r="BG1048" s="3">
        <v>42.782177189131119</v>
      </c>
      <c r="BH1048" s="3">
        <v>37.522177189131114</v>
      </c>
      <c r="BI1048" s="3">
        <v>37.135510522464443</v>
      </c>
      <c r="BJ1048" s="3">
        <v>40.628843855797783</v>
      </c>
      <c r="BK1048" s="3">
        <v>41.102177189131112</v>
      </c>
      <c r="BL1048" s="3">
        <v>44.975510522464447</v>
      </c>
      <c r="BM1048" s="3">
        <v>39.908843855797784</v>
      </c>
      <c r="BN1048" s="3">
        <v>37.79217718913111</v>
      </c>
      <c r="BO1048" s="3">
        <v>36.758843855797778</v>
      </c>
      <c r="BP1048" s="3">
        <v>35.875510522464452</v>
      </c>
      <c r="BQ1048" s="3">
        <v>35.192177189131115</v>
      </c>
      <c r="BR1048" s="3">
        <v>34.218843855797786</v>
      </c>
      <c r="BS1048" s="3">
        <v>34.422177189131119</v>
      </c>
      <c r="BT1048" s="3">
        <v>33.918843855797775</v>
      </c>
      <c r="BU1048" s="3">
        <v>32.185510522464455</v>
      </c>
      <c r="BV1048" s="3">
        <v>30.802177189131115</v>
      </c>
      <c r="BW1048" s="3">
        <v>30.735510522464452</v>
      </c>
      <c r="BX1048" s="3">
        <v>30.355510522464456</v>
      </c>
      <c r="BY1048" s="3">
        <v>29.67551052246445</v>
      </c>
      <c r="BZ1048" s="3">
        <v>30.005510522464448</v>
      </c>
      <c r="CA1048" s="3">
        <v>27.505510522464448</v>
      </c>
      <c r="CB1048" s="3">
        <v>25.942177189131115</v>
      </c>
      <c r="CC1048" s="3">
        <v>24.155510522464454</v>
      </c>
      <c r="CD1048" s="3">
        <v>18.56217718913112</v>
      </c>
      <c r="CE1048" s="3">
        <v>15.455510522464451</v>
      </c>
      <c r="CF1048" s="3">
        <v>-0.93115614420221959</v>
      </c>
      <c r="CG1048" s="3">
        <v>-1.464489477535551</v>
      </c>
      <c r="CH1048" s="3">
        <v>-2.541156144202219</v>
      </c>
      <c r="CI1048" s="13">
        <f>[1]!dbasum(RecData[[#This Row],[20]:[2000]],RecData[[#Headers],[20]:[2000]])</f>
        <v>41.923440808098356</v>
      </c>
      <c r="CJ1048" s="14">
        <v>10548</v>
      </c>
      <c r="CK1048" s="15" t="s">
        <v>249</v>
      </c>
      <c r="CL1048" s="15">
        <f>RecData[[#This Row],[Start Time]]</f>
        <v>43275.174305555563</v>
      </c>
      <c r="CM1048" s="16">
        <f>RecData[[#This Row],[Wind Speed avg]]</f>
        <v>0.65</v>
      </c>
      <c r="CN1048" s="16">
        <f>RecData[[#This Row],[Wind Dir. avg]]</f>
        <v>165.4</v>
      </c>
      <c r="CO1048" s="16">
        <f>RecData[[#This Row],[Amb. Humidity]]</f>
        <v>73.2</v>
      </c>
      <c r="CP1048" s="16">
        <f>RecData[[#This Row],[Amb. Temperature]]</f>
        <v>10.9</v>
      </c>
      <c r="CQ1048" s="17">
        <f>RecData[[#This Row],[Amb. Rain Gauge]]</f>
        <v>0</v>
      </c>
      <c r="CR1048" s="4" t="s">
        <v>1</v>
      </c>
      <c r="CS1048" s="4" t="s">
        <v>49</v>
      </c>
      <c r="CT1048" s="70">
        <v>1615.28283691406</v>
      </c>
      <c r="CU1048" s="70">
        <v>33.000282287597599</v>
      </c>
      <c r="CV1048" s="70">
        <v>12.276391029357899</v>
      </c>
      <c r="CW1048" s="70">
        <v>15.2711029052734</v>
      </c>
      <c r="CX1048" s="4"/>
      <c r="CY1048" s="69"/>
      <c r="CZ1048" s="2" t="b">
        <f>IF($DP$1="YES",IF(RecData[[#This Row],[Power (kW)]]&gt;=$CR$3, TRUE,FALSE),TRUE)</f>
        <v>1</v>
      </c>
      <c r="DA1048" s="16">
        <f>MIN(MOD(180-ABS(ABS($DA$1-RecData[Yaw Angle (°)])-180),360),MOD(180-ABS(ABS($DB$1-RecData[Yaw Angle (°)])-180),360))</f>
        <v>25.470355509910064</v>
      </c>
      <c r="DB1048" s="2" t="str">
        <f>IF($DP$2="None","None",IF(RecData[[#This Row],[Relative Wind Direction]]&lt;=45,"DW",IF(RecData[[#This Row],[Relative Wind Direction]]&lt;=135,"CW","UW")))</f>
        <v>DW</v>
      </c>
      <c r="DC1048" s="61" t="e">
        <f>IF($CL1048-#REF!&gt;1/24,#REF!,IF(SUM($CQ1046:$CQ1048)&gt;$DS$1,$DS$5,DC1049-1))</f>
        <v>#REF!</v>
      </c>
      <c r="DD1048" s="61" t="e">
        <f>IF($CL1049-$CL1048&gt;1/24,#REF!,IF(SUM($CQ1046:$CQ1048)&gt;$DS$1,$DS$6,DD1047-1))</f>
        <v>#REF!</v>
      </c>
      <c r="DE1048" s="18" t="b">
        <v>0</v>
      </c>
      <c r="DF1048" s="2" t="b">
        <f>IF(OR(RecData[[#This Row],[WSpd_Avg '[m/s']]]-RecData[[#This Row],[Wind Speed min]]&gt;=$DF$3,RecData[[#This Row],[Wind Speed max]]-RecData[[#This Row],[WSpd_Avg '[m/s']]]&gt;=$DF$2),TRUE,FALSE)</f>
        <v>0</v>
      </c>
      <c r="DG1048" s="2" t="b">
        <f>RecData[[#This Row],[Temperature '[°C']]]&lt;=-20</f>
        <v>0</v>
      </c>
      <c r="DH1048" s="18" t="b">
        <f>NOT(OR(MOD(RecData[[#This Row],[TIMESTAMP]],1)&gt;0.91632,MOD(RecData[[#This Row],[TIMESTAMP]],1)&lt;0.208681))</f>
        <v>0</v>
      </c>
      <c r="DI1048" s="18" t="b">
        <f>RecData[[#This Row],[Overall (dBA)]]-RecData[[#This Row],[L90]]&gt;=$DS$4</f>
        <v>0</v>
      </c>
      <c r="DJ1048" s="18" t="b">
        <f>RecData[[#This Row],[Overall (dBA)]]&gt;$DS$2</f>
        <v>0</v>
      </c>
      <c r="DK1048" s="18" t="b">
        <f>RecData[[#This Row],[Overall (dBA)]]&lt;$DS$3</f>
        <v>0</v>
      </c>
      <c r="DL10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8" s="2">
        <f>IF(AND(RecData[[#This Row],[Turbines ON/OFF]] = "OFF", NOT(OR(RecData[[#This Row],[Junk?]]="YES",RecData[[#This Row],[Gust?]],RecData[[#This Row],[Rain?]:[Min SPL Threshold?]]))),1,0)</f>
        <v>0</v>
      </c>
      <c r="DN1048" s="16">
        <f>RecData[[#This Row],[dBA Sum]]</f>
        <v>41.923440808098356</v>
      </c>
      <c r="DO1048" s="16">
        <f>RecData[[#This Row],[LAF90.0]]</f>
        <v>41.5</v>
      </c>
      <c r="DP1048" s="55">
        <f>IF(AND(RecData[[#This Row],[Useable TON Data?]],RecData[[#This Row],[Turbines ON/OFF]]="ON"),RecData[[#This Row],[dBA Sum]],"")</f>
        <v>41.923440808098356</v>
      </c>
      <c r="DQ1048" s="55" t="str">
        <f>IF(AND(RecData[[#This Row],[Useable Background Data?]],RecData[[#This Row],[Turbines ON/OFF]]="OFF"),RecData[[#This Row],[dBA Sum]],"")</f>
        <v/>
      </c>
      <c r="DR1048" s="3">
        <f>IF(OR(RecData[[#This Row],[Useable TON Data?]],RecData[[#This Row],[Useable Background Data?]]),ROUND(RecData[[#This Row],[WSpd_Avg '[m/s']]],0),"")</f>
        <v>1</v>
      </c>
      <c r="DS1048" s="85">
        <f>(0.00002)^2*(10^(RecData[[#This Row],[Overall (dBA)]]/10))</f>
        <v>6.2287954931173116E-6</v>
      </c>
    </row>
    <row r="1049" spans="1:123" ht="15" x14ac:dyDescent="0.25">
      <c r="A1049" s="3" t="s">
        <v>249</v>
      </c>
      <c r="B1049" s="12">
        <v>43275.175000000003</v>
      </c>
      <c r="C1049" s="3"/>
      <c r="D1049" s="3">
        <v>41.5</v>
      </c>
      <c r="E1049" s="3"/>
      <c r="F1049" s="3"/>
      <c r="G1049" s="3"/>
      <c r="H1049" s="3"/>
      <c r="I1049" s="3"/>
      <c r="J1049" s="3"/>
      <c r="K1049" s="3">
        <v>40.299999999999997</v>
      </c>
      <c r="L1049" s="3"/>
      <c r="M1049" s="3"/>
      <c r="N1049" s="3">
        <v>164.4</v>
      </c>
      <c r="O1049" s="3"/>
      <c r="P1049" s="3"/>
      <c r="Q1049" s="3">
        <v>0.54</v>
      </c>
      <c r="R1049" s="3">
        <v>0.1</v>
      </c>
      <c r="S1049" s="3">
        <v>1.5</v>
      </c>
      <c r="T1049" s="3">
        <v>10.9</v>
      </c>
      <c r="U1049" s="3">
        <v>73.5</v>
      </c>
      <c r="V1049" s="3">
        <v>967.8</v>
      </c>
      <c r="W1049" s="3">
        <v>0</v>
      </c>
      <c r="X1049" s="3">
        <v>48.3</v>
      </c>
      <c r="Y1049" s="3">
        <v>47.6</v>
      </c>
      <c r="Z1049" s="3">
        <v>47</v>
      </c>
      <c r="AA1049" s="3">
        <v>43</v>
      </c>
      <c r="AB1049" s="3">
        <v>38</v>
      </c>
      <c r="AC1049" s="3">
        <v>36.9</v>
      </c>
      <c r="AD1049" s="3">
        <v>40.200000000000003</v>
      </c>
      <c r="AE1049" s="3">
        <v>41.8</v>
      </c>
      <c r="AF1049" s="3">
        <v>45.3</v>
      </c>
      <c r="AG1049" s="3">
        <v>39.200000000000003</v>
      </c>
      <c r="AH1049" s="3">
        <v>37.4</v>
      </c>
      <c r="AI1049" s="3">
        <v>37.1</v>
      </c>
      <c r="AJ1049" s="3">
        <v>36.5</v>
      </c>
      <c r="AK1049" s="3">
        <v>34.9</v>
      </c>
      <c r="AL1049" s="3">
        <v>33.700000000000003</v>
      </c>
      <c r="AM1049" s="3">
        <v>33.9</v>
      </c>
      <c r="AN1049" s="3">
        <v>32.799999999999997</v>
      </c>
      <c r="AO1049" s="3">
        <v>30.7</v>
      </c>
      <c r="AP1049" s="3">
        <v>29.4</v>
      </c>
      <c r="AQ1049" s="3">
        <v>28.4</v>
      </c>
      <c r="AR1049" s="3">
        <v>27.1</v>
      </c>
      <c r="AS1049" s="3">
        <v>25.5</v>
      </c>
      <c r="AT1049" s="3">
        <v>27.6</v>
      </c>
      <c r="AU1049" s="3">
        <v>21.3</v>
      </c>
      <c r="AV1049" s="3">
        <v>19.2</v>
      </c>
      <c r="AW1049" s="3">
        <v>17.399999999999999</v>
      </c>
      <c r="AX1049" s="3">
        <v>13.2</v>
      </c>
      <c r="AY1049" s="3">
        <v>11.4</v>
      </c>
      <c r="AZ1049" s="3">
        <v>0</v>
      </c>
      <c r="BA1049" s="3">
        <v>0</v>
      </c>
      <c r="BB1049" s="3">
        <v>0</v>
      </c>
      <c r="BC1049" s="3">
        <v>41.518416263291265</v>
      </c>
      <c r="BD1049" s="3">
        <v>48.281583736708733</v>
      </c>
      <c r="BE1049" s="3">
        <v>47.58158373670873</v>
      </c>
      <c r="BF1049" s="3">
        <v>45.741583736708726</v>
      </c>
      <c r="BG1049" s="3">
        <v>42.068250403375409</v>
      </c>
      <c r="BH1049" s="3">
        <v>37.208250403375395</v>
      </c>
      <c r="BI1049" s="3">
        <v>36.521583736708727</v>
      </c>
      <c r="BJ1049" s="3">
        <v>40.614917070042061</v>
      </c>
      <c r="BK1049" s="3">
        <v>42.08825040337539</v>
      </c>
      <c r="BL1049" s="3">
        <v>45.161583736708742</v>
      </c>
      <c r="BM1049" s="3">
        <v>39.194917070042074</v>
      </c>
      <c r="BN1049" s="3">
        <v>37.678250403375394</v>
      </c>
      <c r="BO1049" s="3">
        <v>36.744917070042071</v>
      </c>
      <c r="BP1049" s="3">
        <v>35.861583736708731</v>
      </c>
      <c r="BQ1049" s="3">
        <v>34.678250403375394</v>
      </c>
      <c r="BR1049" s="3">
        <v>33.804917070042073</v>
      </c>
      <c r="BS1049" s="3">
        <v>33.808250403375403</v>
      </c>
      <c r="BT1049" s="3">
        <v>32.904917070042067</v>
      </c>
      <c r="BU1049" s="3">
        <v>30.771583736708742</v>
      </c>
      <c r="BV1049" s="3">
        <v>29.188250403375399</v>
      </c>
      <c r="BW1049" s="3">
        <v>28.721583736708745</v>
      </c>
      <c r="BX1049" s="3">
        <v>27.341583736708749</v>
      </c>
      <c r="BY1049" s="3">
        <v>25.561583736708734</v>
      </c>
      <c r="BZ1049" s="3">
        <v>27.791583736708738</v>
      </c>
      <c r="CA1049" s="3">
        <v>21.591583736708728</v>
      </c>
      <c r="CB1049" s="3">
        <v>18.928250403375401</v>
      </c>
      <c r="CC1049" s="3">
        <v>17.341583736708735</v>
      </c>
      <c r="CD1049" s="3">
        <v>12.448250403375404</v>
      </c>
      <c r="CE1049" s="3">
        <v>10.841583736708735</v>
      </c>
      <c r="CF1049" s="3">
        <v>-0.94508292995793397</v>
      </c>
      <c r="CG1049" s="3">
        <v>-1.4784162632912654</v>
      </c>
      <c r="CH1049" s="3">
        <v>-2.5550829299579334</v>
      </c>
      <c r="CI1049" s="13">
        <f>[1]!dbasum(RecData[[#This Row],[20]:[2000]],RecData[[#Headers],[20]:[2000]])</f>
        <v>40.970033642691696</v>
      </c>
      <c r="CJ1049" s="14">
        <v>10549</v>
      </c>
      <c r="CK1049" s="15" t="s">
        <v>249</v>
      </c>
      <c r="CL1049" s="15">
        <f>RecData[[#This Row],[Start Time]]</f>
        <v>43275.175000000003</v>
      </c>
      <c r="CM1049" s="16">
        <f>RecData[[#This Row],[Wind Speed avg]]</f>
        <v>0.54</v>
      </c>
      <c r="CN1049" s="16">
        <f>RecData[[#This Row],[Wind Dir. avg]]</f>
        <v>164.4</v>
      </c>
      <c r="CO1049" s="16">
        <f>RecData[[#This Row],[Amb. Humidity]]</f>
        <v>73.5</v>
      </c>
      <c r="CP1049" s="16">
        <f>RecData[[#This Row],[Amb. Temperature]]</f>
        <v>10.9</v>
      </c>
      <c r="CQ1049" s="17">
        <f>RecData[[#This Row],[Amb. Rain Gauge]]</f>
        <v>0</v>
      </c>
      <c r="CR1049" s="4" t="s">
        <v>1</v>
      </c>
      <c r="CS1049" s="4" t="s">
        <v>49</v>
      </c>
      <c r="CT1049" s="70">
        <v>1615.28283691406</v>
      </c>
      <c r="CU1049" s="70">
        <v>33.000282287597599</v>
      </c>
      <c r="CV1049" s="70">
        <v>12.276391029357899</v>
      </c>
      <c r="CW1049" s="70">
        <v>15.2711029052734</v>
      </c>
      <c r="CX1049" s="4"/>
      <c r="CY1049" s="69"/>
      <c r="CZ1049" s="2" t="b">
        <f>IF($DP$1="YES",IF(RecData[[#This Row],[Power (kW)]]&gt;=$CR$3, TRUE,FALSE),TRUE)</f>
        <v>1</v>
      </c>
      <c r="DA1049" s="16">
        <f>MIN(MOD(180-ABS(ABS($DA$1-RecData[Yaw Angle (°)])-180),360),MOD(180-ABS(ABS($DB$1-RecData[Yaw Angle (°)])-180),360))</f>
        <v>25.470355509910064</v>
      </c>
      <c r="DB1049" s="2" t="str">
        <f>IF($DP$2="None","None",IF(RecData[[#This Row],[Relative Wind Direction]]&lt;=45,"DW",IF(RecData[[#This Row],[Relative Wind Direction]]&lt;=135,"CW","UW")))</f>
        <v>DW</v>
      </c>
      <c r="DC1049" s="61">
        <v>-1</v>
      </c>
      <c r="DD1049" s="61">
        <v>-1</v>
      </c>
      <c r="DE1049" s="18" t="b">
        <v>0</v>
      </c>
      <c r="DF1049" s="2" t="b">
        <f>IF(OR(RecData[[#This Row],[WSpd_Avg '[m/s']]]-RecData[[#This Row],[Wind Speed min]]&gt;=$DF$3,RecData[[#This Row],[Wind Speed max]]-RecData[[#This Row],[WSpd_Avg '[m/s']]]&gt;=$DF$2),TRUE,FALSE)</f>
        <v>0</v>
      </c>
      <c r="DG1049" s="2" t="b">
        <f>RecData[[#This Row],[Temperature '[°C']]]&lt;=-20</f>
        <v>0</v>
      </c>
      <c r="DH1049" s="18" t="b">
        <f>NOT(OR(MOD(RecData[[#This Row],[TIMESTAMP]],1)&gt;0.91632,MOD(RecData[[#This Row],[TIMESTAMP]],1)&lt;0.208681))</f>
        <v>0</v>
      </c>
      <c r="DI1049" s="18" t="b">
        <f>RecData[[#This Row],[Overall (dBA)]]-RecData[[#This Row],[L90]]&gt;=$DS$4</f>
        <v>0</v>
      </c>
      <c r="DJ1049" s="18" t="b">
        <f>RecData[[#This Row],[Overall (dBA)]]&gt;$DS$2</f>
        <v>0</v>
      </c>
      <c r="DK1049" s="18" t="b">
        <f>RecData[[#This Row],[Overall (dBA)]]&lt;$DS$3</f>
        <v>0</v>
      </c>
      <c r="DL10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49" s="2">
        <f>IF(AND(RecData[[#This Row],[Turbines ON/OFF]] = "OFF", NOT(OR(RecData[[#This Row],[Junk?]]="YES",RecData[[#This Row],[Gust?]],RecData[[#This Row],[Rain?]:[Min SPL Threshold?]]))),1,0)</f>
        <v>0</v>
      </c>
      <c r="DN1049" s="16">
        <f>RecData[[#This Row],[dBA Sum]]</f>
        <v>40.970033642691696</v>
      </c>
      <c r="DO1049" s="16">
        <f>RecData[[#This Row],[LAF90.0]]</f>
        <v>40.299999999999997</v>
      </c>
      <c r="DP1049" s="55">
        <f>IF(AND(RecData[[#This Row],[Useable TON Data?]],RecData[[#This Row],[Turbines ON/OFF]]="ON"),RecData[[#This Row],[dBA Sum]],"")</f>
        <v>40.970033642691696</v>
      </c>
      <c r="DQ1049" s="55" t="str">
        <f>IF(AND(RecData[[#This Row],[Useable Background Data?]],RecData[[#This Row],[Turbines ON/OFF]]="OFF"),RecData[[#This Row],[dBA Sum]],"")</f>
        <v/>
      </c>
      <c r="DR1049" s="3">
        <f>IF(OR(RecData[[#This Row],[Useable TON Data?]],RecData[[#This Row],[Useable Background Data?]]),ROUND(RecData[[#This Row],[WSpd_Avg '[m/s']]],0),"")</f>
        <v>1</v>
      </c>
      <c r="DS1049" s="85">
        <f>(0.00002)^2*(10^(RecData[[#This Row],[Overall (dBA)]]/10))</f>
        <v>5.0010748616274596E-6</v>
      </c>
    </row>
    <row r="1050" spans="1:123" ht="15" x14ac:dyDescent="0.25">
      <c r="A1050" s="3" t="s">
        <v>249</v>
      </c>
      <c r="B1050" s="12">
        <v>43275.17569444445</v>
      </c>
      <c r="C1050" s="3"/>
      <c r="D1050" s="3">
        <v>41.4</v>
      </c>
      <c r="E1050" s="3"/>
      <c r="F1050" s="3"/>
      <c r="G1050" s="3"/>
      <c r="H1050" s="3"/>
      <c r="I1050" s="3"/>
      <c r="J1050" s="3"/>
      <c r="K1050" s="3">
        <v>40.200000000000003</v>
      </c>
      <c r="L1050" s="3"/>
      <c r="M1050" s="3"/>
      <c r="N1050" s="3">
        <v>191.1</v>
      </c>
      <c r="O1050" s="3"/>
      <c r="P1050" s="3"/>
      <c r="Q1050" s="3">
        <v>1.37</v>
      </c>
      <c r="R1050" s="3">
        <v>0.2</v>
      </c>
      <c r="S1050" s="3">
        <v>2.4</v>
      </c>
      <c r="T1050" s="3">
        <v>10.9</v>
      </c>
      <c r="U1050" s="3">
        <v>73.099999999999994</v>
      </c>
      <c r="V1050" s="3">
        <v>967.8</v>
      </c>
      <c r="W1050" s="3">
        <v>0</v>
      </c>
      <c r="X1050" s="3">
        <v>47.8</v>
      </c>
      <c r="Y1050" s="3">
        <v>47.5</v>
      </c>
      <c r="Z1050" s="3">
        <v>47.5</v>
      </c>
      <c r="AA1050" s="3">
        <v>43.7</v>
      </c>
      <c r="AB1050" s="3">
        <v>37.6</v>
      </c>
      <c r="AC1050" s="3">
        <v>37</v>
      </c>
      <c r="AD1050" s="3">
        <v>39.700000000000003</v>
      </c>
      <c r="AE1050" s="3">
        <v>41.8</v>
      </c>
      <c r="AF1050" s="3">
        <v>46.3</v>
      </c>
      <c r="AG1050" s="3">
        <v>39.799999999999997</v>
      </c>
      <c r="AH1050" s="3">
        <v>37.4</v>
      </c>
      <c r="AI1050" s="3">
        <v>37.9</v>
      </c>
      <c r="AJ1050" s="3">
        <v>36.799999999999997</v>
      </c>
      <c r="AK1050" s="3">
        <v>35.4</v>
      </c>
      <c r="AL1050" s="3">
        <v>33.9</v>
      </c>
      <c r="AM1050" s="3">
        <v>33.9</v>
      </c>
      <c r="AN1050" s="3">
        <v>32.5</v>
      </c>
      <c r="AO1050" s="3">
        <v>30.2</v>
      </c>
      <c r="AP1050" s="3">
        <v>29</v>
      </c>
      <c r="AQ1050" s="3">
        <v>27.7</v>
      </c>
      <c r="AR1050" s="3">
        <v>26.5</v>
      </c>
      <c r="AS1050" s="3">
        <v>25.3</v>
      </c>
      <c r="AT1050" s="3">
        <v>25.1</v>
      </c>
      <c r="AU1050" s="3">
        <v>21.2</v>
      </c>
      <c r="AV1050" s="3">
        <v>19.3</v>
      </c>
      <c r="AW1050" s="3">
        <v>17.5</v>
      </c>
      <c r="AX1050" s="3">
        <v>13.4</v>
      </c>
      <c r="AY1050" s="3">
        <v>11.9</v>
      </c>
      <c r="AZ1050" s="3">
        <v>0</v>
      </c>
      <c r="BA1050" s="3">
        <v>0</v>
      </c>
      <c r="BB1050" s="3">
        <v>0</v>
      </c>
      <c r="BC1050" s="3">
        <v>41.445016597628175</v>
      </c>
      <c r="BD1050" s="3">
        <v>47.754983402371813</v>
      </c>
      <c r="BE1050" s="3">
        <v>47.45498340237183</v>
      </c>
      <c r="BF1050" s="3">
        <v>46.214983402371821</v>
      </c>
      <c r="BG1050" s="3">
        <v>42.741650069038492</v>
      </c>
      <c r="BH1050" s="3">
        <v>36.781650069038484</v>
      </c>
      <c r="BI1050" s="3">
        <v>36.594983402371817</v>
      </c>
      <c r="BJ1050" s="3">
        <v>40.088316735705156</v>
      </c>
      <c r="BK1050" s="3">
        <v>42.061650069038485</v>
      </c>
      <c r="BL1050" s="3">
        <v>46.134983402371823</v>
      </c>
      <c r="BM1050" s="3">
        <v>39.768316735705163</v>
      </c>
      <c r="BN1050" s="3">
        <v>37.651650069038489</v>
      </c>
      <c r="BO1050" s="3">
        <v>37.518316735705163</v>
      </c>
      <c r="BP1050" s="3">
        <v>36.134983402371823</v>
      </c>
      <c r="BQ1050" s="3">
        <v>35.151650069038489</v>
      </c>
      <c r="BR1050" s="3">
        <v>33.978316735705157</v>
      </c>
      <c r="BS1050" s="3">
        <v>33.781650069038484</v>
      </c>
      <c r="BT1050" s="3">
        <v>32.578316735705165</v>
      </c>
      <c r="BU1050" s="3">
        <v>30.244983402371822</v>
      </c>
      <c r="BV1050" s="3">
        <v>28.761650069038488</v>
      </c>
      <c r="BW1050" s="3">
        <v>27.994983402371822</v>
      </c>
      <c r="BX1050" s="3">
        <v>26.714983402371821</v>
      </c>
      <c r="BY1050" s="3">
        <v>25.334983402371826</v>
      </c>
      <c r="BZ1050" s="3">
        <v>25.264983402371833</v>
      </c>
      <c r="CA1050" s="3">
        <v>21.464983402371814</v>
      </c>
      <c r="CB1050" s="3">
        <v>19.00165006903849</v>
      </c>
      <c r="CC1050" s="3">
        <v>17.414983402371824</v>
      </c>
      <c r="CD1050" s="3">
        <v>12.621650069038495</v>
      </c>
      <c r="CE1050" s="3">
        <v>11.314983402371823</v>
      </c>
      <c r="CF1050" s="3">
        <v>-0.97168326429484608</v>
      </c>
      <c r="CG1050" s="3">
        <v>-1.5050165976281775</v>
      </c>
      <c r="CH1050" s="3">
        <v>-2.5816832642948455</v>
      </c>
      <c r="CI1050" s="13">
        <f>[1]!dbasum(RecData[[#This Row],[20]:[2000]],RecData[[#Headers],[20]:[2000]])</f>
        <v>40.966136268693802</v>
      </c>
      <c r="CJ1050" s="14">
        <v>10550</v>
      </c>
      <c r="CK1050" s="15" t="s">
        <v>249</v>
      </c>
      <c r="CL1050" s="15">
        <f>RecData[[#This Row],[Start Time]]</f>
        <v>43275.17569444445</v>
      </c>
      <c r="CM1050" s="16">
        <f>RecData[[#This Row],[Wind Speed avg]]</f>
        <v>1.37</v>
      </c>
      <c r="CN1050" s="16">
        <f>RecData[[#This Row],[Wind Dir. avg]]</f>
        <v>191.1</v>
      </c>
      <c r="CO1050" s="16">
        <f>RecData[[#This Row],[Amb. Humidity]]</f>
        <v>73.099999999999994</v>
      </c>
      <c r="CP1050" s="16">
        <f>RecData[[#This Row],[Amb. Temperature]]</f>
        <v>10.9</v>
      </c>
      <c r="CQ1050" s="17">
        <f>RecData[[#This Row],[Amb. Rain Gauge]]</f>
        <v>0</v>
      </c>
      <c r="CR1050" s="4" t="s">
        <v>1</v>
      </c>
      <c r="CS1050" s="4" t="s">
        <v>49</v>
      </c>
      <c r="CT1050" s="70">
        <v>1615.28283691406</v>
      </c>
      <c r="CU1050" s="70">
        <v>33.000282287597599</v>
      </c>
      <c r="CV1050" s="70">
        <v>12.276391029357899</v>
      </c>
      <c r="CW1050" s="70">
        <v>15.2711029052734</v>
      </c>
      <c r="CX1050" s="4"/>
      <c r="CY1050" s="69"/>
      <c r="CZ1050" s="2" t="b">
        <f>IF($DP$1="YES",IF(RecData[[#This Row],[Power (kW)]]&gt;=$CR$3, TRUE,FALSE),TRUE)</f>
        <v>1</v>
      </c>
      <c r="DA1050" s="16">
        <f>MIN(MOD(180-ABS(ABS($DA$1-RecData[Yaw Angle (°)])-180),360),MOD(180-ABS(ABS($DB$1-RecData[Yaw Angle (°)])-180),360))</f>
        <v>25.470355509910064</v>
      </c>
      <c r="DB1050" s="2" t="str">
        <f>IF($DP$2="None","None",IF(RecData[[#This Row],[Relative Wind Direction]]&lt;=45,"DW",IF(RecData[[#This Row],[Relative Wind Direction]]&lt;=135,"CW","UW")))</f>
        <v>DW</v>
      </c>
      <c r="DC1050" s="61" t="e">
        <f>IF($CL1050-$CL1049&gt;1/24,#REF!,IF(SUM($CQ1049:$CQ1050)&gt;$DS$1,$DS$5,#REF!-1))</f>
        <v>#REF!</v>
      </c>
      <c r="DD1050" s="61" t="e">
        <f>IF(#REF!-$CL1050&gt;1/24,#REF!,IF(SUM($CQ1049:$CQ1050)&gt;$DS$1,$DS$6,DD1049-1))</f>
        <v>#REF!</v>
      </c>
      <c r="DE1050" s="18" t="b">
        <v>0</v>
      </c>
      <c r="DF1050" s="2" t="b">
        <f>IF(OR(RecData[[#This Row],[WSpd_Avg '[m/s']]]-RecData[[#This Row],[Wind Speed min]]&gt;=$DF$3,RecData[[#This Row],[Wind Speed max]]-RecData[[#This Row],[WSpd_Avg '[m/s']]]&gt;=$DF$2),TRUE,FALSE)</f>
        <v>0</v>
      </c>
      <c r="DG1050" s="2" t="b">
        <f>RecData[[#This Row],[Temperature '[°C']]]&lt;=-20</f>
        <v>0</v>
      </c>
      <c r="DH1050" s="18" t="b">
        <f>NOT(OR(MOD(RecData[[#This Row],[TIMESTAMP]],1)&gt;0.91632,MOD(RecData[[#This Row],[TIMESTAMP]],1)&lt;0.208681))</f>
        <v>0</v>
      </c>
      <c r="DI1050" s="18" t="b">
        <f>RecData[[#This Row],[Overall (dBA)]]-RecData[[#This Row],[L90]]&gt;=$DS$4</f>
        <v>0</v>
      </c>
      <c r="DJ1050" s="18" t="b">
        <f>RecData[[#This Row],[Overall (dBA)]]&gt;$DS$2</f>
        <v>0</v>
      </c>
      <c r="DK1050" s="18" t="b">
        <f>RecData[[#This Row],[Overall (dBA)]]&lt;$DS$3</f>
        <v>0</v>
      </c>
      <c r="DL10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0" s="2">
        <f>IF(AND(RecData[[#This Row],[Turbines ON/OFF]] = "OFF", NOT(OR(RecData[[#This Row],[Junk?]]="YES",RecData[[#This Row],[Gust?]],RecData[[#This Row],[Rain?]:[Min SPL Threshold?]]))),1,0)</f>
        <v>0</v>
      </c>
      <c r="DN1050" s="16">
        <f>RecData[[#This Row],[dBA Sum]]</f>
        <v>40.966136268693802</v>
      </c>
      <c r="DO1050" s="16">
        <f>RecData[[#This Row],[LAF90.0]]</f>
        <v>40.200000000000003</v>
      </c>
      <c r="DP1050" s="55">
        <f>IF(AND(RecData[[#This Row],[Useable TON Data?]],RecData[[#This Row],[Turbines ON/OFF]]="ON"),RecData[[#This Row],[dBA Sum]],"")</f>
        <v>40.966136268693802</v>
      </c>
      <c r="DQ1050" s="55" t="str">
        <f>IF(AND(RecData[[#This Row],[Useable Background Data?]],RecData[[#This Row],[Turbines ON/OFF]]="OFF"),RecData[[#This Row],[dBA Sum]],"")</f>
        <v/>
      </c>
      <c r="DR1050" s="3">
        <f>IF(OR(RecData[[#This Row],[Useable TON Data?]],RecData[[#This Row],[Useable Background Data?]]),ROUND(RecData[[#This Row],[WSpd_Avg '[m/s']]],0),"")</f>
        <v>1</v>
      </c>
      <c r="DS1050" s="85">
        <f>(0.00002)^2*(10^(RecData[[#This Row],[Overall (dBA)]]/10))</f>
        <v>4.9965888925714386E-6</v>
      </c>
    </row>
    <row r="1051" spans="1:123" ht="15" x14ac:dyDescent="0.25">
      <c r="A1051" s="3" t="s">
        <v>249</v>
      </c>
      <c r="B1051" s="12">
        <v>43275.182638888895</v>
      </c>
      <c r="C1051" s="3"/>
      <c r="D1051" s="3">
        <v>41.9</v>
      </c>
      <c r="E1051" s="3"/>
      <c r="F1051" s="3"/>
      <c r="G1051" s="3"/>
      <c r="H1051" s="3"/>
      <c r="I1051" s="3"/>
      <c r="J1051" s="3"/>
      <c r="K1051" s="3">
        <v>40.799999999999997</v>
      </c>
      <c r="L1051" s="3"/>
      <c r="M1051" s="3"/>
      <c r="N1051" s="3">
        <v>175.2</v>
      </c>
      <c r="O1051" s="3"/>
      <c r="P1051" s="3"/>
      <c r="Q1051" s="3">
        <v>1.38</v>
      </c>
      <c r="R1051" s="3">
        <v>0.2</v>
      </c>
      <c r="S1051" s="3">
        <v>2.5</v>
      </c>
      <c r="T1051" s="3">
        <v>10.8</v>
      </c>
      <c r="U1051" s="3">
        <v>73.3</v>
      </c>
      <c r="V1051" s="3">
        <v>967.9</v>
      </c>
      <c r="W1051" s="3">
        <v>0</v>
      </c>
      <c r="X1051" s="3">
        <v>48</v>
      </c>
      <c r="Y1051" s="3">
        <v>47.4</v>
      </c>
      <c r="Z1051" s="3">
        <v>47.2</v>
      </c>
      <c r="AA1051" s="3">
        <v>43.8</v>
      </c>
      <c r="AB1051" s="3">
        <v>38.799999999999997</v>
      </c>
      <c r="AC1051" s="3">
        <v>37.200000000000003</v>
      </c>
      <c r="AD1051" s="3">
        <v>40.1</v>
      </c>
      <c r="AE1051" s="3">
        <v>41.2</v>
      </c>
      <c r="AF1051" s="3">
        <v>45.9</v>
      </c>
      <c r="AG1051" s="3">
        <v>40</v>
      </c>
      <c r="AH1051" s="3">
        <v>37.299999999999997</v>
      </c>
      <c r="AI1051" s="3">
        <v>37.6</v>
      </c>
      <c r="AJ1051" s="3">
        <v>36.299999999999997</v>
      </c>
      <c r="AK1051" s="3">
        <v>35</v>
      </c>
      <c r="AL1051" s="3">
        <v>33.700000000000003</v>
      </c>
      <c r="AM1051" s="3">
        <v>34</v>
      </c>
      <c r="AN1051" s="3">
        <v>33</v>
      </c>
      <c r="AO1051" s="3">
        <v>31</v>
      </c>
      <c r="AP1051" s="3">
        <v>29.8</v>
      </c>
      <c r="AQ1051" s="3">
        <v>28.9</v>
      </c>
      <c r="AR1051" s="3">
        <v>28.1</v>
      </c>
      <c r="AS1051" s="3">
        <v>27.3</v>
      </c>
      <c r="AT1051" s="3">
        <v>27.3</v>
      </c>
      <c r="AU1051" s="3">
        <v>23.8</v>
      </c>
      <c r="AV1051" s="3">
        <v>22.3</v>
      </c>
      <c r="AW1051" s="3">
        <v>20.3</v>
      </c>
      <c r="AX1051" s="3">
        <v>15.4</v>
      </c>
      <c r="AY1051" s="3">
        <v>12.9</v>
      </c>
      <c r="AZ1051" s="3">
        <v>0</v>
      </c>
      <c r="BA1051" s="3">
        <v>0</v>
      </c>
      <c r="BB1051" s="3">
        <v>0</v>
      </c>
      <c r="BC1051" s="3">
        <v>41.897318254197948</v>
      </c>
      <c r="BD1051" s="3">
        <v>48.002681745802057</v>
      </c>
      <c r="BE1051" s="3">
        <v>47.402681745802049</v>
      </c>
      <c r="BF1051" s="3">
        <v>45.962681745802051</v>
      </c>
      <c r="BG1051" s="3">
        <v>42.889348412468713</v>
      </c>
      <c r="BH1051" s="3">
        <v>38.029348412468714</v>
      </c>
      <c r="BI1051" s="3">
        <v>36.842681745802061</v>
      </c>
      <c r="BJ1051" s="3">
        <v>40.536015079135389</v>
      </c>
      <c r="BK1051" s="3">
        <v>41.509348412468718</v>
      </c>
      <c r="BL1051" s="3">
        <v>45.782681745802059</v>
      </c>
      <c r="BM1051" s="3">
        <v>40.016015079135379</v>
      </c>
      <c r="BN1051" s="3">
        <v>37.599348412468721</v>
      </c>
      <c r="BO1051" s="3">
        <v>37.266015079135379</v>
      </c>
      <c r="BP1051" s="3">
        <v>35.68268174580205</v>
      </c>
      <c r="BQ1051" s="3">
        <v>34.79934841246871</v>
      </c>
      <c r="BR1051" s="3">
        <v>33.826015079135381</v>
      </c>
      <c r="BS1051" s="3">
        <v>33.92934841246872</v>
      </c>
      <c r="BT1051" s="3">
        <v>33.126015079135392</v>
      </c>
      <c r="BU1051" s="3">
        <v>31.092681745802061</v>
      </c>
      <c r="BV1051" s="3">
        <v>29.609348412468712</v>
      </c>
      <c r="BW1051" s="3">
        <v>29.242681745802052</v>
      </c>
      <c r="BX1051" s="3">
        <v>28.362681745802057</v>
      </c>
      <c r="BY1051" s="3">
        <v>27.382681745802053</v>
      </c>
      <c r="BZ1051" s="3">
        <v>27.512681745802048</v>
      </c>
      <c r="CA1051" s="3">
        <v>24.112681745802043</v>
      </c>
      <c r="CB1051" s="3">
        <v>22.049348412468717</v>
      </c>
      <c r="CC1051" s="3">
        <v>20.262681745802048</v>
      </c>
      <c r="CD1051" s="3">
        <v>14.669348412468722</v>
      </c>
      <c r="CE1051" s="3">
        <v>12.36268174580205</v>
      </c>
      <c r="CF1051" s="3">
        <v>-0.92398492086461914</v>
      </c>
      <c r="CG1051" s="3">
        <v>-1.4573182541979506</v>
      </c>
      <c r="CH1051" s="3">
        <v>-2.5339849208646186</v>
      </c>
      <c r="CI1051" s="13">
        <f>[1]!dbasum(RecData[[#This Row],[20]:[2000]],RecData[[#Headers],[20]:[2000]])</f>
        <v>41.264785362131882</v>
      </c>
      <c r="CJ1051" s="14">
        <v>10560</v>
      </c>
      <c r="CK1051" s="15" t="s">
        <v>249</v>
      </c>
      <c r="CL1051" s="15">
        <f>RecData[[#This Row],[Start Time]]</f>
        <v>43275.182638888895</v>
      </c>
      <c r="CM1051" s="16">
        <f>RecData[[#This Row],[Wind Speed avg]]</f>
        <v>1.38</v>
      </c>
      <c r="CN1051" s="16">
        <f>RecData[[#This Row],[Wind Dir. avg]]</f>
        <v>175.2</v>
      </c>
      <c r="CO1051" s="16">
        <f>RecData[[#This Row],[Amb. Humidity]]</f>
        <v>73.3</v>
      </c>
      <c r="CP1051" s="16">
        <f>RecData[[#This Row],[Amb. Temperature]]</f>
        <v>10.8</v>
      </c>
      <c r="CQ1051" s="17">
        <f>RecData[[#This Row],[Amb. Rain Gauge]]</f>
        <v>0</v>
      </c>
      <c r="CR1051" s="4" t="s">
        <v>1</v>
      </c>
      <c r="CS1051" s="4" t="s">
        <v>49</v>
      </c>
      <c r="CT1051" s="70">
        <v>1616.87292480468</v>
      </c>
      <c r="CU1051" s="70">
        <v>33.000282287597599</v>
      </c>
      <c r="CV1051" s="70">
        <v>13.323247909545801</v>
      </c>
      <c r="CW1051" s="70">
        <v>15.3106775283813</v>
      </c>
      <c r="CX1051" s="4"/>
      <c r="CY1051" s="69"/>
      <c r="CZ1051" s="2" t="b">
        <f>IF($DP$1="YES",IF(RecData[[#This Row],[Power (kW)]]&gt;=$CR$3, TRUE,FALSE),TRUE)</f>
        <v>1</v>
      </c>
      <c r="DA1051" s="16">
        <f>MIN(MOD(180-ABS(ABS($DA$1-RecData[Yaw Angle (°)])-180),360),MOD(180-ABS(ABS($DB$1-RecData[Yaw Angle (°)])-180),360))</f>
        <v>25.470355509910064</v>
      </c>
      <c r="DB1051" s="2" t="str">
        <f>IF($DP$2="None","None",IF(RecData[[#This Row],[Relative Wind Direction]]&lt;=45,"DW",IF(RecData[[#This Row],[Relative Wind Direction]]&lt;=135,"CW","UW")))</f>
        <v>DW</v>
      </c>
      <c r="DC1051" s="61" t="e">
        <f>IF($CL1051-#REF!&gt;1/24,#REF!,IF(SUM($CQ1051:$CQ1051)&gt;$DS$1,$DS$5,DC1052-1))</f>
        <v>#REF!</v>
      </c>
      <c r="DD1051" s="61" t="e">
        <f>IF($CL1052-$CL1051&gt;1/24,#REF!,IF(SUM($CQ1051:$CQ1051)&gt;$DS$1,$DS$6,#REF!-1))</f>
        <v>#REF!</v>
      </c>
      <c r="DE1051" s="18" t="b">
        <v>0</v>
      </c>
      <c r="DF1051" s="2" t="b">
        <f>IF(OR(RecData[[#This Row],[WSpd_Avg '[m/s']]]-RecData[[#This Row],[Wind Speed min]]&gt;=$DF$3,RecData[[#This Row],[Wind Speed max]]-RecData[[#This Row],[WSpd_Avg '[m/s']]]&gt;=$DF$2),TRUE,FALSE)</f>
        <v>0</v>
      </c>
      <c r="DG1051" s="2" t="b">
        <f>RecData[[#This Row],[Temperature '[°C']]]&lt;=-20</f>
        <v>0</v>
      </c>
      <c r="DH1051" s="18" t="b">
        <f>NOT(OR(MOD(RecData[[#This Row],[TIMESTAMP]],1)&gt;0.91632,MOD(RecData[[#This Row],[TIMESTAMP]],1)&lt;0.208681))</f>
        <v>0</v>
      </c>
      <c r="DI1051" s="18" t="b">
        <f>RecData[[#This Row],[Overall (dBA)]]-RecData[[#This Row],[L90]]&gt;=$DS$4</f>
        <v>0</v>
      </c>
      <c r="DJ1051" s="18" t="b">
        <f>RecData[[#This Row],[Overall (dBA)]]&gt;$DS$2</f>
        <v>0</v>
      </c>
      <c r="DK1051" s="18" t="b">
        <f>RecData[[#This Row],[Overall (dBA)]]&lt;$DS$3</f>
        <v>0</v>
      </c>
      <c r="DL10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1" s="2">
        <f>IF(AND(RecData[[#This Row],[Turbines ON/OFF]] = "OFF", NOT(OR(RecData[[#This Row],[Junk?]]="YES",RecData[[#This Row],[Gust?]],RecData[[#This Row],[Rain?]:[Min SPL Threshold?]]))),1,0)</f>
        <v>0</v>
      </c>
      <c r="DN1051" s="16">
        <f>RecData[[#This Row],[dBA Sum]]</f>
        <v>41.264785362131882</v>
      </c>
      <c r="DO1051" s="16">
        <f>RecData[[#This Row],[LAF90.0]]</f>
        <v>40.799999999999997</v>
      </c>
      <c r="DP1051" s="55">
        <f>IF(AND(RecData[[#This Row],[Useable TON Data?]],RecData[[#This Row],[Turbines ON/OFF]]="ON"),RecData[[#This Row],[dBA Sum]],"")</f>
        <v>41.264785362131882</v>
      </c>
      <c r="DQ1051" s="55" t="str">
        <f>IF(AND(RecData[[#This Row],[Useable Background Data?]],RecData[[#This Row],[Turbines ON/OFF]]="OFF"),RecData[[#This Row],[dBA Sum]],"")</f>
        <v/>
      </c>
      <c r="DR1051" s="3">
        <f>IF(OR(RecData[[#This Row],[Useable TON Data?]],RecData[[#This Row],[Useable Background Data?]]),ROUND(RecData[[#This Row],[WSpd_Avg '[m/s']]],0),"")</f>
        <v>1</v>
      </c>
      <c r="DS1051" s="85">
        <f>(0.00002)^2*(10^(RecData[[#This Row],[Overall (dBA)]]/10))</f>
        <v>5.3522763328317954E-6</v>
      </c>
    </row>
    <row r="1052" spans="1:123" ht="15" x14ac:dyDescent="0.25">
      <c r="A1052" s="3" t="s">
        <v>249</v>
      </c>
      <c r="B1052" s="12">
        <v>43275.183333333342</v>
      </c>
      <c r="C1052" s="3"/>
      <c r="D1052" s="3">
        <v>43.2</v>
      </c>
      <c r="E1052" s="3"/>
      <c r="F1052" s="3"/>
      <c r="G1052" s="3"/>
      <c r="H1052" s="3"/>
      <c r="I1052" s="3"/>
      <c r="J1052" s="3"/>
      <c r="K1052" s="3">
        <v>41.9</v>
      </c>
      <c r="L1052" s="3"/>
      <c r="M1052" s="3"/>
      <c r="N1052" s="3">
        <v>173.9</v>
      </c>
      <c r="O1052" s="3"/>
      <c r="P1052" s="3"/>
      <c r="Q1052" s="3">
        <v>1.92</v>
      </c>
      <c r="R1052" s="3">
        <v>1.1000000000000001</v>
      </c>
      <c r="S1052" s="3">
        <v>3.2</v>
      </c>
      <c r="T1052" s="3">
        <v>10.8</v>
      </c>
      <c r="U1052" s="3">
        <v>73</v>
      </c>
      <c r="V1052" s="3">
        <v>967.9</v>
      </c>
      <c r="W1052" s="3">
        <v>0</v>
      </c>
      <c r="X1052" s="3">
        <v>48.8</v>
      </c>
      <c r="Y1052" s="3">
        <v>47.9</v>
      </c>
      <c r="Z1052" s="3">
        <v>47.1</v>
      </c>
      <c r="AA1052" s="3">
        <v>43.8</v>
      </c>
      <c r="AB1052" s="3">
        <v>38.6</v>
      </c>
      <c r="AC1052" s="3">
        <v>37.700000000000003</v>
      </c>
      <c r="AD1052" s="3">
        <v>41.1</v>
      </c>
      <c r="AE1052" s="3">
        <v>42.5</v>
      </c>
      <c r="AF1052" s="3">
        <v>46.4</v>
      </c>
      <c r="AG1052" s="3">
        <v>41</v>
      </c>
      <c r="AH1052" s="3">
        <v>38.4</v>
      </c>
      <c r="AI1052" s="3">
        <v>38.4</v>
      </c>
      <c r="AJ1052" s="3">
        <v>37.700000000000003</v>
      </c>
      <c r="AK1052" s="3">
        <v>36.200000000000003</v>
      </c>
      <c r="AL1052" s="3">
        <v>34.799999999999997</v>
      </c>
      <c r="AM1052" s="3">
        <v>35</v>
      </c>
      <c r="AN1052" s="3">
        <v>34</v>
      </c>
      <c r="AO1052" s="3">
        <v>32.1</v>
      </c>
      <c r="AP1052" s="3">
        <v>31</v>
      </c>
      <c r="AQ1052" s="3">
        <v>30.3</v>
      </c>
      <c r="AR1052" s="3">
        <v>29.7</v>
      </c>
      <c r="AS1052" s="3">
        <v>29.2</v>
      </c>
      <c r="AT1052" s="3">
        <v>29.2</v>
      </c>
      <c r="AU1052" s="3">
        <v>26.6</v>
      </c>
      <c r="AV1052" s="3">
        <v>24.9</v>
      </c>
      <c r="AW1052" s="3">
        <v>23.1</v>
      </c>
      <c r="AX1052" s="3">
        <v>18.2</v>
      </c>
      <c r="AY1052" s="3">
        <v>15.8</v>
      </c>
      <c r="AZ1052" s="3">
        <v>0</v>
      </c>
      <c r="BA1052" s="3">
        <v>0</v>
      </c>
      <c r="BB1052" s="3">
        <v>0</v>
      </c>
      <c r="BC1052" s="3">
        <v>43.165283674470658</v>
      </c>
      <c r="BD1052" s="3">
        <v>48.834716325529342</v>
      </c>
      <c r="BE1052" s="3">
        <v>47.934716325529337</v>
      </c>
      <c r="BF1052" s="3">
        <v>45.894716325529345</v>
      </c>
      <c r="BG1052" s="3">
        <v>42.921382992196015</v>
      </c>
      <c r="BH1052" s="3">
        <v>37.861382992196013</v>
      </c>
      <c r="BI1052" s="3">
        <v>37.374716325529349</v>
      </c>
      <c r="BJ1052" s="3">
        <v>41.568049658862677</v>
      </c>
      <c r="BK1052" s="3">
        <v>42.841382992196003</v>
      </c>
      <c r="BL1052" s="3">
        <v>46.314716325529346</v>
      </c>
      <c r="BM1052" s="3">
        <v>41.048049658862681</v>
      </c>
      <c r="BN1052" s="3">
        <v>38.731382992196018</v>
      </c>
      <c r="BO1052" s="3">
        <v>38.098049658862678</v>
      </c>
      <c r="BP1052" s="3">
        <v>37.114716325529344</v>
      </c>
      <c r="BQ1052" s="3">
        <v>36.031382992196001</v>
      </c>
      <c r="BR1052" s="3">
        <v>34.958049658862677</v>
      </c>
      <c r="BS1052" s="3">
        <v>34.961382992196008</v>
      </c>
      <c r="BT1052" s="3">
        <v>34.15804965886268</v>
      </c>
      <c r="BU1052" s="3">
        <v>32.224716325529357</v>
      </c>
      <c r="BV1052" s="3">
        <v>30.841382992196017</v>
      </c>
      <c r="BW1052" s="3">
        <v>30.674716325529346</v>
      </c>
      <c r="BX1052" s="3">
        <v>29.994716325529353</v>
      </c>
      <c r="BY1052" s="3">
        <v>29.314716325529346</v>
      </c>
      <c r="BZ1052" s="3">
        <v>29.444716325529356</v>
      </c>
      <c r="CA1052" s="3">
        <v>26.944716325529342</v>
      </c>
      <c r="CB1052" s="3">
        <v>24.681382992196006</v>
      </c>
      <c r="CC1052" s="3">
        <v>23.094716325529348</v>
      </c>
      <c r="CD1052" s="3">
        <v>17.501382992196014</v>
      </c>
      <c r="CE1052" s="3">
        <v>15.294716325529343</v>
      </c>
      <c r="CF1052" s="3">
        <v>-0.89195034113732419</v>
      </c>
      <c r="CG1052" s="3">
        <v>-1.4252836744706556</v>
      </c>
      <c r="CH1052" s="3">
        <v>-2.5019503411373236</v>
      </c>
      <c r="CI1052" s="13">
        <f>[1]!dbasum(RecData[[#This Row],[20]:[2000]],RecData[[#Headers],[20]:[2000]])</f>
        <v>42.409749631408282</v>
      </c>
      <c r="CJ1052" s="14">
        <v>10561</v>
      </c>
      <c r="CK1052" s="15" t="s">
        <v>249</v>
      </c>
      <c r="CL1052" s="15">
        <f>RecData[[#This Row],[Start Time]]</f>
        <v>43275.183333333342</v>
      </c>
      <c r="CM1052" s="16">
        <f>RecData[[#This Row],[Wind Speed avg]]</f>
        <v>1.92</v>
      </c>
      <c r="CN1052" s="16">
        <f>RecData[[#This Row],[Wind Dir. avg]]</f>
        <v>173.9</v>
      </c>
      <c r="CO1052" s="16">
        <f>RecData[[#This Row],[Amb. Humidity]]</f>
        <v>73</v>
      </c>
      <c r="CP1052" s="16">
        <f>RecData[[#This Row],[Amb. Temperature]]</f>
        <v>10.8</v>
      </c>
      <c r="CQ1052" s="17">
        <f>RecData[[#This Row],[Amb. Rain Gauge]]</f>
        <v>0</v>
      </c>
      <c r="CR1052" s="4" t="s">
        <v>1</v>
      </c>
      <c r="CS1052" s="4" t="s">
        <v>49</v>
      </c>
      <c r="CT1052" s="70">
        <v>1616.87292480468</v>
      </c>
      <c r="CU1052" s="70">
        <v>33.000282287597599</v>
      </c>
      <c r="CV1052" s="70">
        <v>13.323247909545801</v>
      </c>
      <c r="CW1052" s="70">
        <v>15.3106775283813</v>
      </c>
      <c r="CX1052" s="4"/>
      <c r="CY1052" s="69"/>
      <c r="CZ1052" s="2" t="b">
        <f>IF($DP$1="YES",IF(RecData[[#This Row],[Power (kW)]]&gt;=$CR$3, TRUE,FALSE),TRUE)</f>
        <v>1</v>
      </c>
      <c r="DA1052" s="16">
        <f>MIN(MOD(180-ABS(ABS($DA$1-RecData[Yaw Angle (°)])-180),360),MOD(180-ABS(ABS($DB$1-RecData[Yaw Angle (°)])-180),360))</f>
        <v>25.470355509910064</v>
      </c>
      <c r="DB1052" s="2" t="str">
        <f>IF($DP$2="None","None",IF(RecData[[#This Row],[Relative Wind Direction]]&lt;=45,"DW",IF(RecData[[#This Row],[Relative Wind Direction]]&lt;=135,"CW","UW")))</f>
        <v>DW</v>
      </c>
      <c r="DC1052" s="61" t="e">
        <f>IF($CL1052-#REF!&gt;1/24,#REF!,IF(SUM($CQ1051:$CQ1052)&gt;$DS$1,$DS$5,#REF!-1))</f>
        <v>#REF!</v>
      </c>
      <c r="DD1052" s="61" t="e">
        <f>IF(#REF!-$CL1052&gt;1/24,#REF!,IF(SUM($CQ1051:$CQ1052)&gt;$DS$1,$DS$6,DD1051-1))</f>
        <v>#REF!</v>
      </c>
      <c r="DE1052" s="18" t="b">
        <v>0</v>
      </c>
      <c r="DF1052" s="2" t="b">
        <f>IF(OR(RecData[[#This Row],[WSpd_Avg '[m/s']]]-RecData[[#This Row],[Wind Speed min]]&gt;=$DF$3,RecData[[#This Row],[Wind Speed max]]-RecData[[#This Row],[WSpd_Avg '[m/s']]]&gt;=$DF$2),TRUE,FALSE)</f>
        <v>0</v>
      </c>
      <c r="DG1052" s="2" t="b">
        <f>RecData[[#This Row],[Temperature '[°C']]]&lt;=-20</f>
        <v>0</v>
      </c>
      <c r="DH1052" s="18" t="b">
        <f>NOT(OR(MOD(RecData[[#This Row],[TIMESTAMP]],1)&gt;0.91632,MOD(RecData[[#This Row],[TIMESTAMP]],1)&lt;0.208681))</f>
        <v>0</v>
      </c>
      <c r="DI1052" s="18" t="b">
        <f>RecData[[#This Row],[Overall (dBA)]]-RecData[[#This Row],[L90]]&gt;=$DS$4</f>
        <v>0</v>
      </c>
      <c r="DJ1052" s="18" t="b">
        <f>RecData[[#This Row],[Overall (dBA)]]&gt;$DS$2</f>
        <v>0</v>
      </c>
      <c r="DK1052" s="18" t="b">
        <f>RecData[[#This Row],[Overall (dBA)]]&lt;$DS$3</f>
        <v>0</v>
      </c>
      <c r="DL10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2" s="2">
        <f>IF(AND(RecData[[#This Row],[Turbines ON/OFF]] = "OFF", NOT(OR(RecData[[#This Row],[Junk?]]="YES",RecData[[#This Row],[Gust?]],RecData[[#This Row],[Rain?]:[Min SPL Threshold?]]))),1,0)</f>
        <v>0</v>
      </c>
      <c r="DN1052" s="16">
        <f>RecData[[#This Row],[dBA Sum]]</f>
        <v>42.409749631408282</v>
      </c>
      <c r="DO1052" s="16">
        <f>RecData[[#This Row],[LAF90.0]]</f>
        <v>41.9</v>
      </c>
      <c r="DP1052" s="55">
        <f>IF(AND(RecData[[#This Row],[Useable TON Data?]],RecData[[#This Row],[Turbines ON/OFF]]="ON"),RecData[[#This Row],[dBA Sum]],"")</f>
        <v>42.409749631408282</v>
      </c>
      <c r="DQ1052" s="55" t="str">
        <f>IF(AND(RecData[[#This Row],[Useable Background Data?]],RecData[[#This Row],[Turbines ON/OFF]]="OFF"),RecData[[#This Row],[dBA Sum]],"")</f>
        <v/>
      </c>
      <c r="DR1052" s="3">
        <f>IF(OR(RecData[[#This Row],[Useable TON Data?]],RecData[[#This Row],[Useable Background Data?]]),ROUND(RecData[[#This Row],[WSpd_Avg '[m/s']]],0),"")</f>
        <v>2</v>
      </c>
      <c r="DS1052" s="85">
        <f>(0.00002)^2*(10^(RecData[[#This Row],[Overall (dBA)]]/10))</f>
        <v>6.9668258479715394E-6</v>
      </c>
    </row>
    <row r="1053" spans="1:123" ht="15" x14ac:dyDescent="0.25">
      <c r="A1053" s="3" t="s">
        <v>249</v>
      </c>
      <c r="B1053" s="12">
        <v>43275.185416666674</v>
      </c>
      <c r="C1053" s="3"/>
      <c r="D1053" s="3">
        <v>44</v>
      </c>
      <c r="E1053" s="3"/>
      <c r="F1053" s="3"/>
      <c r="G1053" s="3"/>
      <c r="H1053" s="3"/>
      <c r="I1053" s="3"/>
      <c r="J1053" s="3"/>
      <c r="K1053" s="3">
        <v>40.700000000000003</v>
      </c>
      <c r="L1053" s="3"/>
      <c r="M1053" s="3"/>
      <c r="N1053" s="3">
        <v>175.3</v>
      </c>
      <c r="O1053" s="3"/>
      <c r="P1053" s="3"/>
      <c r="Q1053" s="3">
        <v>1.62</v>
      </c>
      <c r="R1053" s="3">
        <v>0.3</v>
      </c>
      <c r="S1053" s="3">
        <v>3</v>
      </c>
      <c r="T1053" s="3">
        <v>10.7</v>
      </c>
      <c r="U1053" s="3">
        <v>72.400000000000006</v>
      </c>
      <c r="V1053" s="3">
        <v>968</v>
      </c>
      <c r="W1053" s="3">
        <v>0</v>
      </c>
      <c r="X1053" s="3">
        <v>48.1</v>
      </c>
      <c r="Y1053" s="3">
        <v>48.1</v>
      </c>
      <c r="Z1053" s="3">
        <v>46.2</v>
      </c>
      <c r="AA1053" s="3">
        <v>42</v>
      </c>
      <c r="AB1053" s="3">
        <v>38.200000000000003</v>
      </c>
      <c r="AC1053" s="3">
        <v>38.5</v>
      </c>
      <c r="AD1053" s="3">
        <v>41.3</v>
      </c>
      <c r="AE1053" s="3">
        <v>41.2</v>
      </c>
      <c r="AF1053" s="3">
        <v>44.8</v>
      </c>
      <c r="AG1053" s="3">
        <v>39.6</v>
      </c>
      <c r="AH1053" s="3">
        <v>37.700000000000003</v>
      </c>
      <c r="AI1053" s="3">
        <v>37.4</v>
      </c>
      <c r="AJ1053" s="3">
        <v>36.799999999999997</v>
      </c>
      <c r="AK1053" s="3">
        <v>35.5</v>
      </c>
      <c r="AL1053" s="3">
        <v>34.200000000000003</v>
      </c>
      <c r="AM1053" s="3">
        <v>34.4</v>
      </c>
      <c r="AN1053" s="3">
        <v>33.6</v>
      </c>
      <c r="AO1053" s="3">
        <v>31.9</v>
      </c>
      <c r="AP1053" s="3">
        <v>31.1</v>
      </c>
      <c r="AQ1053" s="3">
        <v>31.1</v>
      </c>
      <c r="AR1053" s="3">
        <v>31.6</v>
      </c>
      <c r="AS1053" s="3">
        <v>32.299999999999997</v>
      </c>
      <c r="AT1053" s="3">
        <v>33.1</v>
      </c>
      <c r="AU1053" s="3">
        <v>31.5</v>
      </c>
      <c r="AV1053" s="3">
        <v>30.1</v>
      </c>
      <c r="AW1053" s="3">
        <v>28.4</v>
      </c>
      <c r="AX1053" s="3">
        <v>23.6</v>
      </c>
      <c r="AY1053" s="3">
        <v>21.3</v>
      </c>
      <c r="AZ1053" s="3">
        <v>0</v>
      </c>
      <c r="BA1053" s="3">
        <v>0</v>
      </c>
      <c r="BB1053" s="3">
        <v>0</v>
      </c>
      <c r="BC1053" s="3">
        <v>44.005456700784137</v>
      </c>
      <c r="BD1053" s="3">
        <v>48.094543299215857</v>
      </c>
      <c r="BE1053" s="3">
        <v>48.094543299215857</v>
      </c>
      <c r="BF1053" s="3">
        <v>44.954543299215871</v>
      </c>
      <c r="BG1053" s="3">
        <v>41.081209965882536</v>
      </c>
      <c r="BH1053" s="3">
        <v>37.421209965882539</v>
      </c>
      <c r="BI1053" s="3">
        <v>38.134543299215863</v>
      </c>
      <c r="BJ1053" s="3">
        <v>41.727876632549183</v>
      </c>
      <c r="BK1053" s="3">
        <v>41.501209965882524</v>
      </c>
      <c r="BL1053" s="3">
        <v>44.67454329921587</v>
      </c>
      <c r="BM1053" s="3">
        <v>39.607876632549207</v>
      </c>
      <c r="BN1053" s="3">
        <v>37.991209965882533</v>
      </c>
      <c r="BO1053" s="3">
        <v>37.057876632549196</v>
      </c>
      <c r="BP1053" s="3">
        <v>36.17454329921587</v>
      </c>
      <c r="BQ1053" s="3">
        <v>35.291209965882516</v>
      </c>
      <c r="BR1053" s="3">
        <v>34.317876632549201</v>
      </c>
      <c r="BS1053" s="3">
        <v>34.321209965882531</v>
      </c>
      <c r="BT1053" s="3">
        <v>33.717876632549192</v>
      </c>
      <c r="BU1053" s="3">
        <v>31.984543299215872</v>
      </c>
      <c r="BV1053" s="3">
        <v>30.901209965882529</v>
      </c>
      <c r="BW1053" s="3">
        <v>31.434543299215861</v>
      </c>
      <c r="BX1053" s="3">
        <v>31.854543299215877</v>
      </c>
      <c r="BY1053" s="3">
        <v>32.374543299215858</v>
      </c>
      <c r="BZ1053" s="3">
        <v>33.304543299215865</v>
      </c>
      <c r="CA1053" s="3">
        <v>31.804543299215851</v>
      </c>
      <c r="CB1053" s="3">
        <v>29.841209965882527</v>
      </c>
      <c r="CC1053" s="3">
        <v>28.354543299215862</v>
      </c>
      <c r="CD1053" s="3">
        <v>22.861209965882537</v>
      </c>
      <c r="CE1053" s="3">
        <v>20.754543299215854</v>
      </c>
      <c r="CF1053" s="3">
        <v>-0.93212336745080648</v>
      </c>
      <c r="CG1053" s="3">
        <v>-1.4654567007841379</v>
      </c>
      <c r="CH1053" s="3">
        <v>-2.5421233674508059</v>
      </c>
      <c r="CI1053" s="13">
        <f>[1]!dbasum(RecData[[#This Row],[20]:[2000]],RecData[[#Headers],[20]:[2000]])</f>
        <v>42.143108189050494</v>
      </c>
      <c r="CJ1053" s="14">
        <v>10564</v>
      </c>
      <c r="CK1053" s="15" t="s">
        <v>249</v>
      </c>
      <c r="CL1053" s="15">
        <f>RecData[[#This Row],[Start Time]]</f>
        <v>43275.185416666674</v>
      </c>
      <c r="CM1053" s="16">
        <f>RecData[[#This Row],[Wind Speed avg]]</f>
        <v>1.62</v>
      </c>
      <c r="CN1053" s="16">
        <f>RecData[[#This Row],[Wind Dir. avg]]</f>
        <v>175.3</v>
      </c>
      <c r="CO1053" s="16">
        <f>RecData[[#This Row],[Amb. Humidity]]</f>
        <v>72.400000000000006</v>
      </c>
      <c r="CP1053" s="16">
        <f>RecData[[#This Row],[Amb. Temperature]]</f>
        <v>10.7</v>
      </c>
      <c r="CQ1053" s="17">
        <f>RecData[[#This Row],[Amb. Rain Gauge]]</f>
        <v>0</v>
      </c>
      <c r="CR1053" s="4" t="s">
        <v>1</v>
      </c>
      <c r="CS1053" s="4" t="s">
        <v>49</v>
      </c>
      <c r="CT1053" s="70">
        <v>1616.87292480468</v>
      </c>
      <c r="CU1053" s="70">
        <v>33.000282287597599</v>
      </c>
      <c r="CV1053" s="70">
        <v>13.323247909545801</v>
      </c>
      <c r="CW1053" s="70">
        <v>15.3106775283813</v>
      </c>
      <c r="CX1053" s="4"/>
      <c r="CY1053" s="69"/>
      <c r="CZ1053" s="2" t="b">
        <f>IF($DP$1="YES",IF(RecData[[#This Row],[Power (kW)]]&gt;=$CR$3, TRUE,FALSE),TRUE)</f>
        <v>1</v>
      </c>
      <c r="DA1053" s="16">
        <f>MIN(MOD(180-ABS(ABS($DA$1-RecData[Yaw Angle (°)])-180),360),MOD(180-ABS(ABS($DB$1-RecData[Yaw Angle (°)])-180),360))</f>
        <v>25.470355509910064</v>
      </c>
      <c r="DB1053" s="2" t="str">
        <f>IF($DP$2="None","None",IF(RecData[[#This Row],[Relative Wind Direction]]&lt;=45,"DW",IF(RecData[[#This Row],[Relative Wind Direction]]&lt;=135,"CW","UW")))</f>
        <v>DW</v>
      </c>
      <c r="DC1053" s="61" t="e">
        <f>IF($CL1053-$CL1051&gt;1/24,#REF!,IF(SUM($CQ1051:$CQ1053)&gt;$DS$1,$DS$5,DC1054-1))</f>
        <v>#REF!</v>
      </c>
      <c r="DD1053" s="61" t="e">
        <f>IF($CL1054-$CL1053&gt;1/24,#REF!,IF(SUM($CQ1051:$CQ1053)&gt;$DS$1,$DS$6,#REF!-1))</f>
        <v>#REF!</v>
      </c>
      <c r="DE1053" s="18" t="b">
        <v>0</v>
      </c>
      <c r="DF1053" s="2" t="b">
        <f>IF(OR(RecData[[#This Row],[WSpd_Avg '[m/s']]]-RecData[[#This Row],[Wind Speed min]]&gt;=$DF$3,RecData[[#This Row],[Wind Speed max]]-RecData[[#This Row],[WSpd_Avg '[m/s']]]&gt;=$DF$2),TRUE,FALSE)</f>
        <v>0</v>
      </c>
      <c r="DG1053" s="2" t="b">
        <f>RecData[[#This Row],[Temperature '[°C']]]&lt;=-20</f>
        <v>0</v>
      </c>
      <c r="DH1053" s="18" t="b">
        <f>NOT(OR(MOD(RecData[[#This Row],[TIMESTAMP]],1)&gt;0.91632,MOD(RecData[[#This Row],[TIMESTAMP]],1)&lt;0.208681))</f>
        <v>0</v>
      </c>
      <c r="DI1053" s="18" t="b">
        <f>RecData[[#This Row],[Overall (dBA)]]-RecData[[#This Row],[L90]]&gt;=$DS$4</f>
        <v>0</v>
      </c>
      <c r="DJ1053" s="18" t="b">
        <f>RecData[[#This Row],[Overall (dBA)]]&gt;$DS$2</f>
        <v>0</v>
      </c>
      <c r="DK1053" s="18" t="b">
        <f>RecData[[#This Row],[Overall (dBA)]]&lt;$DS$3</f>
        <v>0</v>
      </c>
      <c r="DL10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3" s="2">
        <f>IF(AND(RecData[[#This Row],[Turbines ON/OFF]] = "OFF", NOT(OR(RecData[[#This Row],[Junk?]]="YES",RecData[[#This Row],[Gust?]],RecData[[#This Row],[Rain?]:[Min SPL Threshold?]]))),1,0)</f>
        <v>0</v>
      </c>
      <c r="DN1053" s="16">
        <f>RecData[[#This Row],[dBA Sum]]</f>
        <v>42.143108189050494</v>
      </c>
      <c r="DO1053" s="16">
        <f>RecData[[#This Row],[LAF90.0]]</f>
        <v>40.700000000000003</v>
      </c>
      <c r="DP1053" s="55">
        <f>IF(AND(RecData[[#This Row],[Useable TON Data?]],RecData[[#This Row],[Turbines ON/OFF]]="ON"),RecData[[#This Row],[dBA Sum]],"")</f>
        <v>42.143108189050494</v>
      </c>
      <c r="DQ1053" s="55" t="str">
        <f>IF(AND(RecData[[#This Row],[Useable Background Data?]],RecData[[#This Row],[Turbines ON/OFF]]="OFF"),RecData[[#This Row],[dBA Sum]],"")</f>
        <v/>
      </c>
      <c r="DR1053" s="3">
        <f>IF(OR(RecData[[#This Row],[Useable TON Data?]],RecData[[#This Row],[Useable Background Data?]]),ROUND(RecData[[#This Row],[WSpd_Avg '[m/s']]],0),"")</f>
        <v>2</v>
      </c>
      <c r="DS1053" s="85">
        <f>(0.00002)^2*(10^(RecData[[#This Row],[Overall (dBA)]]/10))</f>
        <v>6.5519535559669155E-6</v>
      </c>
    </row>
    <row r="1054" spans="1:123" ht="15" x14ac:dyDescent="0.25">
      <c r="A1054" s="3" t="s">
        <v>249</v>
      </c>
      <c r="B1054" s="12">
        <v>43275.186111111114</v>
      </c>
      <c r="C1054" s="3"/>
      <c r="D1054" s="3">
        <v>45.7</v>
      </c>
      <c r="E1054" s="3"/>
      <c r="F1054" s="3"/>
      <c r="G1054" s="3"/>
      <c r="H1054" s="3"/>
      <c r="I1054" s="3"/>
      <c r="J1054" s="3"/>
      <c r="K1054" s="3">
        <v>43.8</v>
      </c>
      <c r="L1054" s="3"/>
      <c r="M1054" s="3"/>
      <c r="N1054" s="3">
        <v>170.2</v>
      </c>
      <c r="O1054" s="3"/>
      <c r="P1054" s="3"/>
      <c r="Q1054" s="3">
        <v>1.19</v>
      </c>
      <c r="R1054" s="3">
        <v>0.2</v>
      </c>
      <c r="S1054" s="3">
        <v>2.6</v>
      </c>
      <c r="T1054" s="3">
        <v>10.7</v>
      </c>
      <c r="U1054" s="3">
        <v>72.7</v>
      </c>
      <c r="V1054" s="3">
        <v>968</v>
      </c>
      <c r="W1054" s="3">
        <v>0</v>
      </c>
      <c r="X1054" s="3">
        <v>47.9</v>
      </c>
      <c r="Y1054" s="3">
        <v>47.7</v>
      </c>
      <c r="Z1054" s="3">
        <v>48</v>
      </c>
      <c r="AA1054" s="3">
        <v>44.8</v>
      </c>
      <c r="AB1054" s="3">
        <v>39.299999999999997</v>
      </c>
      <c r="AC1054" s="3">
        <v>38.6</v>
      </c>
      <c r="AD1054" s="3">
        <v>40.6</v>
      </c>
      <c r="AE1054" s="3">
        <v>42.1</v>
      </c>
      <c r="AF1054" s="3">
        <v>46.9</v>
      </c>
      <c r="AG1054" s="3">
        <v>41.1</v>
      </c>
      <c r="AH1054" s="3">
        <v>37.9</v>
      </c>
      <c r="AI1054" s="3">
        <v>38.200000000000003</v>
      </c>
      <c r="AJ1054" s="3">
        <v>37.200000000000003</v>
      </c>
      <c r="AK1054" s="3">
        <v>36.1</v>
      </c>
      <c r="AL1054" s="3">
        <v>35.1</v>
      </c>
      <c r="AM1054" s="3">
        <v>35.4</v>
      </c>
      <c r="AN1054" s="3">
        <v>35</v>
      </c>
      <c r="AO1054" s="3">
        <v>33.6</v>
      </c>
      <c r="AP1054" s="3">
        <v>33</v>
      </c>
      <c r="AQ1054" s="3">
        <v>33.1</v>
      </c>
      <c r="AR1054" s="3">
        <v>33.799999999999997</v>
      </c>
      <c r="AS1054" s="3">
        <v>34.5</v>
      </c>
      <c r="AT1054" s="3">
        <v>35</v>
      </c>
      <c r="AU1054" s="3">
        <v>33.5</v>
      </c>
      <c r="AV1054" s="3">
        <v>32.299999999999997</v>
      </c>
      <c r="AW1054" s="3">
        <v>30.6</v>
      </c>
      <c r="AX1054" s="3">
        <v>25.7</v>
      </c>
      <c r="AY1054" s="3">
        <v>23.1</v>
      </c>
      <c r="AZ1054" s="3">
        <v>0</v>
      </c>
      <c r="BA1054" s="3">
        <v>0</v>
      </c>
      <c r="BB1054" s="3">
        <v>0</v>
      </c>
      <c r="BC1054" s="3">
        <v>45.664200311979542</v>
      </c>
      <c r="BD1054" s="3">
        <v>47.935799688020452</v>
      </c>
      <c r="BE1054" s="3">
        <v>47.735799688020464</v>
      </c>
      <c r="BF1054" s="3">
        <v>46.795799688020466</v>
      </c>
      <c r="BG1054" s="3">
        <v>43.922466354687131</v>
      </c>
      <c r="BH1054" s="3">
        <v>38.562466354687118</v>
      </c>
      <c r="BI1054" s="3">
        <v>38.275799688020456</v>
      </c>
      <c r="BJ1054" s="3">
        <v>41.069133021353792</v>
      </c>
      <c r="BK1054" s="3">
        <v>42.442466354687127</v>
      </c>
      <c r="BL1054" s="3">
        <v>46.815799688020462</v>
      </c>
      <c r="BM1054" s="3">
        <v>41.149133021353791</v>
      </c>
      <c r="BN1054" s="3">
        <v>38.232466354687134</v>
      </c>
      <c r="BO1054" s="3">
        <v>37.899133021353791</v>
      </c>
      <c r="BP1054" s="3">
        <v>36.615799688020459</v>
      </c>
      <c r="BQ1054" s="3">
        <v>35.932466354687122</v>
      </c>
      <c r="BR1054" s="3">
        <v>35.259133021353804</v>
      </c>
      <c r="BS1054" s="3">
        <v>35.362466354687129</v>
      </c>
      <c r="BT1054" s="3">
        <v>35.159133021353796</v>
      </c>
      <c r="BU1054" s="3">
        <v>33.725799688020473</v>
      </c>
      <c r="BV1054" s="3">
        <v>32.842466354687119</v>
      </c>
      <c r="BW1054" s="3">
        <v>33.475799688020473</v>
      </c>
      <c r="BX1054" s="3">
        <v>34.095799688020463</v>
      </c>
      <c r="BY1054" s="3">
        <v>34.615799688020459</v>
      </c>
      <c r="BZ1054" s="3">
        <v>35.245799688020455</v>
      </c>
      <c r="CA1054" s="3">
        <v>33.845799688020449</v>
      </c>
      <c r="CB1054" s="3">
        <v>32.082466354687128</v>
      </c>
      <c r="CC1054" s="3">
        <v>30.595799688020463</v>
      </c>
      <c r="CD1054" s="3">
        <v>25.00246635468713</v>
      </c>
      <c r="CE1054" s="3">
        <v>22.595799688020463</v>
      </c>
      <c r="CF1054" s="3">
        <v>-0.89086697864620845</v>
      </c>
      <c r="CG1054" s="3">
        <v>-1.4242003119795399</v>
      </c>
      <c r="CH1054" s="3">
        <v>-2.5008669786462079</v>
      </c>
      <c r="CI1054" s="13">
        <f>[1]!dbasum(RecData[[#This Row],[20]:[2000]],RecData[[#Headers],[20]:[2000]])</f>
        <v>43.624032513730604</v>
      </c>
      <c r="CJ1054" s="14">
        <v>10565</v>
      </c>
      <c r="CK1054" s="15" t="s">
        <v>249</v>
      </c>
      <c r="CL1054" s="15">
        <f>RecData[[#This Row],[Start Time]]</f>
        <v>43275.186111111114</v>
      </c>
      <c r="CM1054" s="16">
        <f>RecData[[#This Row],[Wind Speed avg]]</f>
        <v>1.19</v>
      </c>
      <c r="CN1054" s="16">
        <f>RecData[[#This Row],[Wind Dir. avg]]</f>
        <v>170.2</v>
      </c>
      <c r="CO1054" s="16">
        <f>RecData[[#This Row],[Amb. Humidity]]</f>
        <v>72.7</v>
      </c>
      <c r="CP1054" s="16">
        <f>RecData[[#This Row],[Amb. Temperature]]</f>
        <v>10.7</v>
      </c>
      <c r="CQ1054" s="17">
        <f>RecData[[#This Row],[Amb. Rain Gauge]]</f>
        <v>0</v>
      </c>
      <c r="CR1054" s="4" t="s">
        <v>1</v>
      </c>
      <c r="CS1054" s="4" t="s">
        <v>49</v>
      </c>
      <c r="CT1054" s="70">
        <v>1616.87292480468</v>
      </c>
      <c r="CU1054" s="70">
        <v>33.000282287597599</v>
      </c>
      <c r="CV1054" s="70">
        <v>13.323247909545801</v>
      </c>
      <c r="CW1054" s="70">
        <v>15.3106775283813</v>
      </c>
      <c r="CX1054" s="4"/>
      <c r="CY1054" s="69"/>
      <c r="CZ1054" s="2" t="b">
        <f>IF($DP$1="YES",IF(RecData[[#This Row],[Power (kW)]]&gt;=$CR$3, TRUE,FALSE),TRUE)</f>
        <v>1</v>
      </c>
      <c r="DA1054" s="16">
        <f>MIN(MOD(180-ABS(ABS($DA$1-RecData[Yaw Angle (°)])-180),360),MOD(180-ABS(ABS($DB$1-RecData[Yaw Angle (°)])-180),360))</f>
        <v>25.470355509910064</v>
      </c>
      <c r="DB1054" s="2" t="str">
        <f>IF($DP$2="None","None",IF(RecData[[#This Row],[Relative Wind Direction]]&lt;=45,"DW",IF(RecData[[#This Row],[Relative Wind Direction]]&lt;=135,"CW","UW")))</f>
        <v>DW</v>
      </c>
      <c r="DC1054" s="61" t="e">
        <f>IF($CL1054-$CL1052&gt;1/24,#REF!,IF(SUM($CQ1052:$CQ1054)&gt;$DS$1,$DS$5,#REF!-1))</f>
        <v>#REF!</v>
      </c>
      <c r="DD1054" s="61" t="e">
        <f>IF(#REF!-$CL1054&gt;1/24,#REF!,IF(SUM($CQ1052:$CQ1054)&gt;$DS$1,$DS$6,DD1053-1))</f>
        <v>#REF!</v>
      </c>
      <c r="DE1054" s="18" t="b">
        <v>0</v>
      </c>
      <c r="DF1054" s="2" t="b">
        <f>IF(OR(RecData[[#This Row],[WSpd_Avg '[m/s']]]-RecData[[#This Row],[Wind Speed min]]&gt;=$DF$3,RecData[[#This Row],[Wind Speed max]]-RecData[[#This Row],[WSpd_Avg '[m/s']]]&gt;=$DF$2),TRUE,FALSE)</f>
        <v>0</v>
      </c>
      <c r="DG1054" s="2" t="b">
        <f>RecData[[#This Row],[Temperature '[°C']]]&lt;=-20</f>
        <v>0</v>
      </c>
      <c r="DH1054" s="18" t="b">
        <f>NOT(OR(MOD(RecData[[#This Row],[TIMESTAMP]],1)&gt;0.91632,MOD(RecData[[#This Row],[TIMESTAMP]],1)&lt;0.208681))</f>
        <v>0</v>
      </c>
      <c r="DI1054" s="18" t="b">
        <f>RecData[[#This Row],[Overall (dBA)]]-RecData[[#This Row],[L90]]&gt;=$DS$4</f>
        <v>0</v>
      </c>
      <c r="DJ1054" s="18" t="b">
        <f>RecData[[#This Row],[Overall (dBA)]]&gt;$DS$2</f>
        <v>0</v>
      </c>
      <c r="DK1054" s="18" t="b">
        <f>RecData[[#This Row],[Overall (dBA)]]&lt;$DS$3</f>
        <v>0</v>
      </c>
      <c r="DL10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4" s="2">
        <f>IF(AND(RecData[[#This Row],[Turbines ON/OFF]] = "OFF", NOT(OR(RecData[[#This Row],[Junk?]]="YES",RecData[[#This Row],[Gust?]],RecData[[#This Row],[Rain?]:[Min SPL Threshold?]]))),1,0)</f>
        <v>0</v>
      </c>
      <c r="DN1054" s="16">
        <f>RecData[[#This Row],[dBA Sum]]</f>
        <v>43.624032513730604</v>
      </c>
      <c r="DO1054" s="16">
        <f>RecData[[#This Row],[LAF90.0]]</f>
        <v>43.8</v>
      </c>
      <c r="DP1054" s="55">
        <f>IF(AND(RecData[[#This Row],[Useable TON Data?]],RecData[[#This Row],[Turbines ON/OFF]]="ON"),RecData[[#This Row],[dBA Sum]],"")</f>
        <v>43.624032513730604</v>
      </c>
      <c r="DQ1054" s="55" t="str">
        <f>IF(AND(RecData[[#This Row],[Useable Background Data?]],RecData[[#This Row],[Turbines ON/OFF]]="OFF"),RecData[[#This Row],[dBA Sum]],"")</f>
        <v/>
      </c>
      <c r="DR1054" s="3">
        <f>IF(OR(RecData[[#This Row],[Useable TON Data?]],RecData[[#This Row],[Useable Background Data?]]),ROUND(RecData[[#This Row],[WSpd_Avg '[m/s']]],0),"")</f>
        <v>1</v>
      </c>
      <c r="DS1054" s="85">
        <f>(0.00002)^2*(10^(RecData[[#This Row],[Overall (dBA)]]/10))</f>
        <v>9.2143189837928067E-6</v>
      </c>
    </row>
    <row r="1055" spans="1:123" ht="15" x14ac:dyDescent="0.25">
      <c r="A1055" s="3" t="s">
        <v>249</v>
      </c>
      <c r="B1055" s="12">
        <v>43275.187500000007</v>
      </c>
      <c r="C1055" s="3"/>
      <c r="D1055" s="3">
        <v>41.8</v>
      </c>
      <c r="E1055" s="3"/>
      <c r="F1055" s="3"/>
      <c r="G1055" s="3"/>
      <c r="H1055" s="3"/>
      <c r="I1055" s="3"/>
      <c r="J1055" s="3"/>
      <c r="K1055" s="3">
        <v>40.700000000000003</v>
      </c>
      <c r="L1055" s="3"/>
      <c r="M1055" s="3"/>
      <c r="N1055" s="3">
        <v>174.9</v>
      </c>
      <c r="O1055" s="3"/>
      <c r="P1055" s="3"/>
      <c r="Q1055" s="3">
        <v>1.04</v>
      </c>
      <c r="R1055" s="3">
        <v>0.4</v>
      </c>
      <c r="S1055" s="3">
        <v>1.9</v>
      </c>
      <c r="T1055" s="3">
        <v>10.7</v>
      </c>
      <c r="U1055" s="3">
        <v>72.599999999999994</v>
      </c>
      <c r="V1055" s="3">
        <v>968</v>
      </c>
      <c r="W1055" s="3">
        <v>0</v>
      </c>
      <c r="X1055" s="3">
        <v>46.9</v>
      </c>
      <c r="Y1055" s="3">
        <v>46.1</v>
      </c>
      <c r="Z1055" s="3">
        <v>46.3</v>
      </c>
      <c r="AA1055" s="3">
        <v>42.4</v>
      </c>
      <c r="AB1055" s="3">
        <v>37</v>
      </c>
      <c r="AC1055" s="3">
        <v>35.4</v>
      </c>
      <c r="AD1055" s="3">
        <v>38.9</v>
      </c>
      <c r="AE1055" s="3">
        <v>40</v>
      </c>
      <c r="AF1055" s="3">
        <v>46.1</v>
      </c>
      <c r="AG1055" s="3">
        <v>39.700000000000003</v>
      </c>
      <c r="AH1055" s="3">
        <v>36.799999999999997</v>
      </c>
      <c r="AI1055" s="3">
        <v>36.799999999999997</v>
      </c>
      <c r="AJ1055" s="3">
        <v>35.799999999999997</v>
      </c>
      <c r="AK1055" s="3">
        <v>34.5</v>
      </c>
      <c r="AL1055" s="3">
        <v>33.4</v>
      </c>
      <c r="AM1055" s="3">
        <v>33.700000000000003</v>
      </c>
      <c r="AN1055" s="3">
        <v>32.799999999999997</v>
      </c>
      <c r="AO1055" s="3">
        <v>30.8</v>
      </c>
      <c r="AP1055" s="3">
        <v>29.5</v>
      </c>
      <c r="AQ1055" s="3">
        <v>28.7</v>
      </c>
      <c r="AR1055" s="3">
        <v>28.1</v>
      </c>
      <c r="AS1055" s="3">
        <v>27.8</v>
      </c>
      <c r="AT1055" s="3">
        <v>28.5</v>
      </c>
      <c r="AU1055" s="3">
        <v>25.4</v>
      </c>
      <c r="AV1055" s="3">
        <v>23.6</v>
      </c>
      <c r="AW1055" s="3">
        <v>21.1</v>
      </c>
      <c r="AX1055" s="3">
        <v>16.7</v>
      </c>
      <c r="AY1055" s="3">
        <v>14.3</v>
      </c>
      <c r="AZ1055" s="3">
        <v>0</v>
      </c>
      <c r="BA1055" s="3">
        <v>0</v>
      </c>
      <c r="BB1055" s="3">
        <v>0</v>
      </c>
      <c r="BC1055" s="3">
        <v>41.804594560544651</v>
      </c>
      <c r="BD1055" s="3">
        <v>46.895405439455338</v>
      </c>
      <c r="BE1055" s="3">
        <v>46.095405439455355</v>
      </c>
      <c r="BF1055" s="3">
        <v>45.055405439455335</v>
      </c>
      <c r="BG1055" s="3">
        <v>41.482072106122011</v>
      </c>
      <c r="BH1055" s="3">
        <v>36.22207210612202</v>
      </c>
      <c r="BI1055" s="3">
        <v>35.035405439455353</v>
      </c>
      <c r="BJ1055" s="3">
        <v>39.328738772788675</v>
      </c>
      <c r="BK1055" s="3">
        <v>40.302072106122004</v>
      </c>
      <c r="BL1055" s="3">
        <v>45.975405439455351</v>
      </c>
      <c r="BM1055" s="3">
        <v>39.708738772788685</v>
      </c>
      <c r="BN1055" s="3">
        <v>37.092072106122011</v>
      </c>
      <c r="BO1055" s="3">
        <v>36.458738772788671</v>
      </c>
      <c r="BP1055" s="3">
        <v>35.175405439455339</v>
      </c>
      <c r="BQ1055" s="3">
        <v>34.292072106122014</v>
      </c>
      <c r="BR1055" s="3">
        <v>33.518738772788673</v>
      </c>
      <c r="BS1055" s="3">
        <v>33.622072106122026</v>
      </c>
      <c r="BT1055" s="3">
        <v>32.918738772788679</v>
      </c>
      <c r="BU1055" s="3">
        <v>30.885405439455347</v>
      </c>
      <c r="BV1055" s="3">
        <v>29.302072106122019</v>
      </c>
      <c r="BW1055" s="3">
        <v>29.035405439455353</v>
      </c>
      <c r="BX1055" s="3">
        <v>28.355405439455346</v>
      </c>
      <c r="BY1055" s="3">
        <v>27.875405439455342</v>
      </c>
      <c r="BZ1055" s="3">
        <v>28.705405439455355</v>
      </c>
      <c r="CA1055" s="3">
        <v>25.70540543945534</v>
      </c>
      <c r="CB1055" s="3">
        <v>23.342072106122011</v>
      </c>
      <c r="CC1055" s="3">
        <v>21.055405439455349</v>
      </c>
      <c r="CD1055" s="3">
        <v>15.962072106122015</v>
      </c>
      <c r="CE1055" s="3">
        <v>13.755405439455345</v>
      </c>
      <c r="CF1055" s="3">
        <v>-0.93126122721132276</v>
      </c>
      <c r="CG1055" s="3">
        <v>-1.4645945605446542</v>
      </c>
      <c r="CH1055" s="3">
        <v>-2.5412612272113222</v>
      </c>
      <c r="CI1055" s="13">
        <f>[1]!dbasum(RecData[[#This Row],[20]:[2000]],RecData[[#Headers],[20]:[2000]])</f>
        <v>40.969422451201353</v>
      </c>
      <c r="CJ1055" s="14">
        <v>10567</v>
      </c>
      <c r="CK1055" s="15" t="s">
        <v>249</v>
      </c>
      <c r="CL1055" s="15">
        <f>RecData[[#This Row],[Start Time]]</f>
        <v>43275.187500000007</v>
      </c>
      <c r="CM1055" s="16">
        <f>RecData[[#This Row],[Wind Speed avg]]</f>
        <v>1.04</v>
      </c>
      <c r="CN1055" s="16">
        <f>RecData[[#This Row],[Wind Dir. avg]]</f>
        <v>174.9</v>
      </c>
      <c r="CO1055" s="16">
        <f>RecData[[#This Row],[Amb. Humidity]]</f>
        <v>72.599999999999994</v>
      </c>
      <c r="CP1055" s="16">
        <f>RecData[[#This Row],[Amb. Temperature]]</f>
        <v>10.7</v>
      </c>
      <c r="CQ1055" s="17">
        <f>RecData[[#This Row],[Amb. Rain Gauge]]</f>
        <v>0</v>
      </c>
      <c r="CR1055" s="4" t="s">
        <v>1</v>
      </c>
      <c r="CS1055" s="4" t="s">
        <v>49</v>
      </c>
      <c r="CT1055" s="70">
        <v>1616.87292480468</v>
      </c>
      <c r="CU1055" s="70">
        <v>33.000282287597599</v>
      </c>
      <c r="CV1055" s="70">
        <v>13.323247909545801</v>
      </c>
      <c r="CW1055" s="70">
        <v>15.3106775283813</v>
      </c>
      <c r="CX1055" s="4"/>
      <c r="CY1055" s="69"/>
      <c r="CZ1055" s="2" t="b">
        <f>IF($DP$1="YES",IF(RecData[[#This Row],[Power (kW)]]&gt;=$CR$3, TRUE,FALSE),TRUE)</f>
        <v>1</v>
      </c>
      <c r="DA1055" s="16">
        <f>MIN(MOD(180-ABS(ABS($DA$1-RecData[Yaw Angle (°)])-180),360),MOD(180-ABS(ABS($DB$1-RecData[Yaw Angle (°)])-180),360))</f>
        <v>25.470355509910064</v>
      </c>
      <c r="DB1055" s="2" t="str">
        <f>IF($DP$2="None","None",IF(RecData[[#This Row],[Relative Wind Direction]]&lt;=45,"DW",IF(RecData[[#This Row],[Relative Wind Direction]]&lt;=135,"CW","UW")))</f>
        <v>DW</v>
      </c>
      <c r="DC1055" s="61">
        <v>-1</v>
      </c>
      <c r="DD1055" s="61">
        <v>-1</v>
      </c>
      <c r="DE1055" s="18" t="b">
        <v>0</v>
      </c>
      <c r="DF1055" s="2" t="b">
        <f>IF(OR(RecData[[#This Row],[WSpd_Avg '[m/s']]]-RecData[[#This Row],[Wind Speed min]]&gt;=$DF$3,RecData[[#This Row],[Wind Speed max]]-RecData[[#This Row],[WSpd_Avg '[m/s']]]&gt;=$DF$2),TRUE,FALSE)</f>
        <v>0</v>
      </c>
      <c r="DG1055" s="2" t="b">
        <f>RecData[[#This Row],[Temperature '[°C']]]&lt;=-20</f>
        <v>0</v>
      </c>
      <c r="DH1055" s="18" t="b">
        <f>NOT(OR(MOD(RecData[[#This Row],[TIMESTAMP]],1)&gt;0.91632,MOD(RecData[[#This Row],[TIMESTAMP]],1)&lt;0.208681))</f>
        <v>0</v>
      </c>
      <c r="DI1055" s="18" t="b">
        <f>RecData[[#This Row],[Overall (dBA)]]-RecData[[#This Row],[L90]]&gt;=$DS$4</f>
        <v>0</v>
      </c>
      <c r="DJ1055" s="18" t="b">
        <f>RecData[[#This Row],[Overall (dBA)]]&gt;$DS$2</f>
        <v>0</v>
      </c>
      <c r="DK1055" s="18" t="b">
        <f>RecData[[#This Row],[Overall (dBA)]]&lt;$DS$3</f>
        <v>0</v>
      </c>
      <c r="DL10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5" s="2">
        <f>IF(AND(RecData[[#This Row],[Turbines ON/OFF]] = "OFF", NOT(OR(RecData[[#This Row],[Junk?]]="YES",RecData[[#This Row],[Gust?]],RecData[[#This Row],[Rain?]:[Min SPL Threshold?]]))),1,0)</f>
        <v>0</v>
      </c>
      <c r="DN1055" s="16">
        <f>RecData[[#This Row],[dBA Sum]]</f>
        <v>40.969422451201353</v>
      </c>
      <c r="DO1055" s="16">
        <f>RecData[[#This Row],[LAF90.0]]</f>
        <v>40.700000000000003</v>
      </c>
      <c r="DP1055" s="55">
        <f>IF(AND(RecData[[#This Row],[Useable TON Data?]],RecData[[#This Row],[Turbines ON/OFF]]="ON"),RecData[[#This Row],[dBA Sum]],"")</f>
        <v>40.969422451201353</v>
      </c>
      <c r="DQ1055" s="55" t="str">
        <f>IF(AND(RecData[[#This Row],[Useable Background Data?]],RecData[[#This Row],[Turbines ON/OFF]]="OFF"),RecData[[#This Row],[dBA Sum]],"")</f>
        <v/>
      </c>
      <c r="DR1055" s="3">
        <f>IF(OR(RecData[[#This Row],[Useable TON Data?]],RecData[[#This Row],[Useable Background Data?]]),ROUND(RecData[[#This Row],[WSpd_Avg '[m/s']]],0),"")</f>
        <v>1</v>
      </c>
      <c r="DS1055" s="85">
        <f>(0.00002)^2*(10^(RecData[[#This Row],[Overall (dBA)]]/10))</f>
        <v>5.000371099674759E-6</v>
      </c>
    </row>
    <row r="1056" spans="1:123" ht="15" x14ac:dyDescent="0.25">
      <c r="A1056" s="3" t="s">
        <v>249</v>
      </c>
      <c r="B1056" s="12">
        <v>43275.192361111112</v>
      </c>
      <c r="C1056" s="3"/>
      <c r="D1056" s="3">
        <v>42.2</v>
      </c>
      <c r="E1056" s="3"/>
      <c r="F1056" s="3"/>
      <c r="G1056" s="3"/>
      <c r="H1056" s="3"/>
      <c r="I1056" s="3"/>
      <c r="J1056" s="3"/>
      <c r="K1056" s="3">
        <v>40.799999999999997</v>
      </c>
      <c r="L1056" s="3"/>
      <c r="M1056" s="3"/>
      <c r="N1056" s="3">
        <v>178.1</v>
      </c>
      <c r="O1056" s="3"/>
      <c r="P1056" s="3"/>
      <c r="Q1056" s="3">
        <v>1.33</v>
      </c>
      <c r="R1056" s="3">
        <v>0.2</v>
      </c>
      <c r="S1056" s="3">
        <v>2.6</v>
      </c>
      <c r="T1056" s="3">
        <v>10.6</v>
      </c>
      <c r="U1056" s="3">
        <v>72.2</v>
      </c>
      <c r="V1056" s="3">
        <v>968</v>
      </c>
      <c r="W1056" s="3">
        <v>0</v>
      </c>
      <c r="X1056" s="3">
        <v>47.5</v>
      </c>
      <c r="Y1056" s="3">
        <v>47.8</v>
      </c>
      <c r="Z1056" s="3">
        <v>47.5</v>
      </c>
      <c r="AA1056" s="3">
        <v>43.1</v>
      </c>
      <c r="AB1056" s="3">
        <v>38</v>
      </c>
      <c r="AC1056" s="3">
        <v>37.200000000000003</v>
      </c>
      <c r="AD1056" s="3">
        <v>40.1</v>
      </c>
      <c r="AE1056" s="3">
        <v>41.1</v>
      </c>
      <c r="AF1056" s="3">
        <v>45.1</v>
      </c>
      <c r="AG1056" s="3">
        <v>39.799999999999997</v>
      </c>
      <c r="AH1056" s="3">
        <v>37.5</v>
      </c>
      <c r="AI1056" s="3">
        <v>37.1</v>
      </c>
      <c r="AJ1056" s="3">
        <v>36.4</v>
      </c>
      <c r="AK1056" s="3">
        <v>35.1</v>
      </c>
      <c r="AL1056" s="3">
        <v>33.9</v>
      </c>
      <c r="AM1056" s="3">
        <v>34.1</v>
      </c>
      <c r="AN1056" s="3">
        <v>33.200000000000003</v>
      </c>
      <c r="AO1056" s="3">
        <v>31.1</v>
      </c>
      <c r="AP1056" s="3">
        <v>29.9</v>
      </c>
      <c r="AQ1056" s="3">
        <v>28.9</v>
      </c>
      <c r="AR1056" s="3">
        <v>28.1</v>
      </c>
      <c r="AS1056" s="3">
        <v>27.5</v>
      </c>
      <c r="AT1056" s="3">
        <v>30.4</v>
      </c>
      <c r="AU1056" s="3">
        <v>25.2</v>
      </c>
      <c r="AV1056" s="3">
        <v>23.8</v>
      </c>
      <c r="AW1056" s="3">
        <v>22.1</v>
      </c>
      <c r="AX1056" s="3">
        <v>17.7</v>
      </c>
      <c r="AY1056" s="3">
        <v>16.2</v>
      </c>
      <c r="AZ1056" s="3">
        <v>0</v>
      </c>
      <c r="BA1056" s="3">
        <v>0</v>
      </c>
      <c r="BB1056" s="3">
        <v>0</v>
      </c>
      <c r="BC1056" s="3">
        <v>42.187530234541278</v>
      </c>
      <c r="BD1056" s="3">
        <v>47.512469765458725</v>
      </c>
      <c r="BE1056" s="3">
        <v>47.812469765458722</v>
      </c>
      <c r="BF1056" s="3">
        <v>46.27246976545873</v>
      </c>
      <c r="BG1056" s="3">
        <v>42.199136432125393</v>
      </c>
      <c r="BH1056" s="3">
        <v>37.239136432125399</v>
      </c>
      <c r="BI1056" s="3">
        <v>36.852469765458729</v>
      </c>
      <c r="BJ1056" s="3">
        <v>40.545803098792057</v>
      </c>
      <c r="BK1056" s="3">
        <v>41.419136432125391</v>
      </c>
      <c r="BL1056" s="3">
        <v>44.992469765458729</v>
      </c>
      <c r="BM1056" s="3">
        <v>39.825803098792058</v>
      </c>
      <c r="BN1056" s="3">
        <v>37.809136432125392</v>
      </c>
      <c r="BO1056" s="3">
        <v>36.775803098792061</v>
      </c>
      <c r="BP1056" s="3">
        <v>35.792469765458726</v>
      </c>
      <c r="BQ1056" s="3">
        <v>34.909136432125386</v>
      </c>
      <c r="BR1056" s="3">
        <v>34.035803098792051</v>
      </c>
      <c r="BS1056" s="3">
        <v>34.039136432125396</v>
      </c>
      <c r="BT1056" s="3">
        <v>33.335803098792063</v>
      </c>
      <c r="BU1056" s="3">
        <v>31.202469765458737</v>
      </c>
      <c r="BV1056" s="3">
        <v>29.719136432125389</v>
      </c>
      <c r="BW1056" s="3">
        <v>29.25246976545872</v>
      </c>
      <c r="BX1056" s="3">
        <v>28.372469765458725</v>
      </c>
      <c r="BY1056" s="3">
        <v>27.592469765458723</v>
      </c>
      <c r="BZ1056" s="3">
        <v>30.622469765458725</v>
      </c>
      <c r="CA1056" s="3">
        <v>25.522469765458716</v>
      </c>
      <c r="CB1056" s="3">
        <v>23.559136432125392</v>
      </c>
      <c r="CC1056" s="3">
        <v>22.072469765458727</v>
      </c>
      <c r="CD1056" s="3">
        <v>16.979136432125394</v>
      </c>
      <c r="CE1056" s="3">
        <v>15.672469765458722</v>
      </c>
      <c r="CF1056" s="3">
        <v>-0.91419690120794428</v>
      </c>
      <c r="CG1056" s="3">
        <v>-1.4475302345412757</v>
      </c>
      <c r="CH1056" s="3">
        <v>-2.5241969012079437</v>
      </c>
      <c r="CI1056" s="13">
        <f>[1]!dbasum(RecData[[#This Row],[20]:[2000]],RecData[[#Headers],[20]:[2000]])</f>
        <v>41.284775541377854</v>
      </c>
      <c r="CJ1056" s="14">
        <v>10574</v>
      </c>
      <c r="CK1056" s="15" t="s">
        <v>249</v>
      </c>
      <c r="CL1056" s="15">
        <f>RecData[[#This Row],[Start Time]]</f>
        <v>43275.192361111112</v>
      </c>
      <c r="CM1056" s="16">
        <f>RecData[[#This Row],[Wind Speed avg]]</f>
        <v>1.33</v>
      </c>
      <c r="CN1056" s="16">
        <f>RecData[[#This Row],[Wind Dir. avg]]</f>
        <v>178.1</v>
      </c>
      <c r="CO1056" s="16">
        <f>RecData[[#This Row],[Amb. Humidity]]</f>
        <v>72.2</v>
      </c>
      <c r="CP1056" s="16">
        <f>RecData[[#This Row],[Amb. Temperature]]</f>
        <v>10.6</v>
      </c>
      <c r="CQ1056" s="17">
        <f>RecData[[#This Row],[Amb. Rain Gauge]]</f>
        <v>0</v>
      </c>
      <c r="CR1056" s="4" t="s">
        <v>1</v>
      </c>
      <c r="CS1056" s="4" t="s">
        <v>49</v>
      </c>
      <c r="CT1056" s="70">
        <v>1605.46606445312</v>
      </c>
      <c r="CU1056" s="70">
        <v>33.000282287597599</v>
      </c>
      <c r="CV1056" s="70">
        <v>13.655473709106399</v>
      </c>
      <c r="CW1056" s="70">
        <v>15.2795705795288</v>
      </c>
      <c r="CX1056" s="4"/>
      <c r="CY1056" s="69"/>
      <c r="CZ1056" s="2" t="b">
        <f>IF($DP$1="YES",IF(RecData[[#This Row],[Power (kW)]]&gt;=$CR$3, TRUE,FALSE),TRUE)</f>
        <v>1</v>
      </c>
      <c r="DA1056" s="16">
        <f>MIN(MOD(180-ABS(ABS($DA$1-RecData[Yaw Angle (°)])-180),360),MOD(180-ABS(ABS($DB$1-RecData[Yaw Angle (°)])-180),360))</f>
        <v>25.470355509910064</v>
      </c>
      <c r="DB1056" s="2" t="str">
        <f>IF($DP$2="None","None",IF(RecData[[#This Row],[Relative Wind Direction]]&lt;=45,"DW",IF(RecData[[#This Row],[Relative Wind Direction]]&lt;=135,"CW","UW")))</f>
        <v>DW</v>
      </c>
      <c r="DC1056" s="61" t="e">
        <f>IF($CL1056-#REF!&gt;1/24,#REF!,IF(SUM($CQ1056:$CQ1056)&gt;$DS$1,$DS$5,#REF!-1))</f>
        <v>#REF!</v>
      </c>
      <c r="DD1056" s="61" t="e">
        <f>IF(#REF!-$CL1056&gt;1/24,#REF!,IF(SUM($CQ1056:$CQ1056)&gt;$DS$1,$DS$6,#REF!-1))</f>
        <v>#REF!</v>
      </c>
      <c r="DE1056" s="18" t="b">
        <v>0</v>
      </c>
      <c r="DF1056" s="2" t="b">
        <f>IF(OR(RecData[[#This Row],[WSpd_Avg '[m/s']]]-RecData[[#This Row],[Wind Speed min]]&gt;=$DF$3,RecData[[#This Row],[Wind Speed max]]-RecData[[#This Row],[WSpd_Avg '[m/s']]]&gt;=$DF$2),TRUE,FALSE)</f>
        <v>0</v>
      </c>
      <c r="DG1056" s="2" t="b">
        <f>RecData[[#This Row],[Temperature '[°C']]]&lt;=-20</f>
        <v>0</v>
      </c>
      <c r="DH1056" s="18" t="b">
        <f>NOT(OR(MOD(RecData[[#This Row],[TIMESTAMP]],1)&gt;0.91632,MOD(RecData[[#This Row],[TIMESTAMP]],1)&lt;0.208681))</f>
        <v>0</v>
      </c>
      <c r="DI1056" s="18" t="b">
        <f>RecData[[#This Row],[Overall (dBA)]]-RecData[[#This Row],[L90]]&gt;=$DS$4</f>
        <v>0</v>
      </c>
      <c r="DJ1056" s="18" t="b">
        <f>RecData[[#This Row],[Overall (dBA)]]&gt;$DS$2</f>
        <v>0</v>
      </c>
      <c r="DK1056" s="18" t="b">
        <f>RecData[[#This Row],[Overall (dBA)]]&lt;$DS$3</f>
        <v>0</v>
      </c>
      <c r="DL10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6" s="2">
        <f>IF(AND(RecData[[#This Row],[Turbines ON/OFF]] = "OFF", NOT(OR(RecData[[#This Row],[Junk?]]="YES",RecData[[#This Row],[Gust?]],RecData[[#This Row],[Rain?]:[Min SPL Threshold?]]))),1,0)</f>
        <v>0</v>
      </c>
      <c r="DN1056" s="16">
        <f>RecData[[#This Row],[dBA Sum]]</f>
        <v>41.284775541377854</v>
      </c>
      <c r="DO1056" s="16">
        <f>RecData[[#This Row],[LAF90.0]]</f>
        <v>40.799999999999997</v>
      </c>
      <c r="DP1056" s="55">
        <f>IF(AND(RecData[[#This Row],[Useable TON Data?]],RecData[[#This Row],[Turbines ON/OFF]]="ON"),RecData[[#This Row],[dBA Sum]],"")</f>
        <v>41.284775541377854</v>
      </c>
      <c r="DQ1056" s="55" t="str">
        <f>IF(AND(RecData[[#This Row],[Useable Background Data?]],RecData[[#This Row],[Turbines ON/OFF]]="OFF"),RecData[[#This Row],[dBA Sum]],"")</f>
        <v/>
      </c>
      <c r="DR1056" s="3">
        <f>IF(OR(RecData[[#This Row],[Useable TON Data?]],RecData[[#This Row],[Useable Background Data?]]),ROUND(RecData[[#This Row],[WSpd_Avg '[m/s']]],0),"")</f>
        <v>1</v>
      </c>
      <c r="DS1056" s="85">
        <f>(0.00002)^2*(10^(RecData[[#This Row],[Overall (dBA)]]/10))</f>
        <v>5.3769691588765585E-6</v>
      </c>
    </row>
    <row r="1057" spans="1:123" ht="15" x14ac:dyDescent="0.25">
      <c r="A1057" s="3" t="s">
        <v>249</v>
      </c>
      <c r="B1057" s="12">
        <v>43275.200000000004</v>
      </c>
      <c r="C1057" s="3"/>
      <c r="D1057" s="3">
        <v>42.9</v>
      </c>
      <c r="E1057" s="3"/>
      <c r="F1057" s="3"/>
      <c r="G1057" s="3"/>
      <c r="H1057" s="3"/>
      <c r="I1057" s="3"/>
      <c r="J1057" s="3"/>
      <c r="K1057" s="3">
        <v>41.7</v>
      </c>
      <c r="L1057" s="3"/>
      <c r="M1057" s="3"/>
      <c r="N1057" s="3">
        <v>152.30000000000001</v>
      </c>
      <c r="O1057" s="3"/>
      <c r="P1057" s="3"/>
      <c r="Q1057" s="3">
        <v>1.58</v>
      </c>
      <c r="R1057" s="3">
        <v>0.1</v>
      </c>
      <c r="S1057" s="3">
        <v>2.8</v>
      </c>
      <c r="T1057" s="3">
        <v>10.5</v>
      </c>
      <c r="U1057" s="3">
        <v>71.900000000000006</v>
      </c>
      <c r="V1057" s="3">
        <v>968</v>
      </c>
      <c r="W1057" s="3">
        <v>0</v>
      </c>
      <c r="X1057" s="3">
        <v>48</v>
      </c>
      <c r="Y1057" s="3">
        <v>48</v>
      </c>
      <c r="Z1057" s="3">
        <v>47.4</v>
      </c>
      <c r="AA1057" s="3">
        <v>43.4</v>
      </c>
      <c r="AB1057" s="3">
        <v>38.4</v>
      </c>
      <c r="AC1057" s="3">
        <v>37.6</v>
      </c>
      <c r="AD1057" s="3">
        <v>41.3</v>
      </c>
      <c r="AE1057" s="3">
        <v>42.5</v>
      </c>
      <c r="AF1057" s="3">
        <v>45.2</v>
      </c>
      <c r="AG1057" s="3">
        <v>39.9</v>
      </c>
      <c r="AH1057" s="3">
        <v>38.200000000000003</v>
      </c>
      <c r="AI1057" s="3">
        <v>37.700000000000003</v>
      </c>
      <c r="AJ1057" s="3">
        <v>37</v>
      </c>
      <c r="AK1057" s="3">
        <v>35.4</v>
      </c>
      <c r="AL1057" s="3">
        <v>34.1</v>
      </c>
      <c r="AM1057" s="3">
        <v>34.200000000000003</v>
      </c>
      <c r="AN1057" s="3">
        <v>33.4</v>
      </c>
      <c r="AO1057" s="3">
        <v>31.6</v>
      </c>
      <c r="AP1057" s="3">
        <v>30.5</v>
      </c>
      <c r="AQ1057" s="3">
        <v>29.9</v>
      </c>
      <c r="AR1057" s="3">
        <v>29.7</v>
      </c>
      <c r="AS1057" s="3">
        <v>29.5</v>
      </c>
      <c r="AT1057" s="3">
        <v>30.7</v>
      </c>
      <c r="AU1057" s="3">
        <v>27.7</v>
      </c>
      <c r="AV1057" s="3">
        <v>26.3</v>
      </c>
      <c r="AW1057" s="3">
        <v>24.4</v>
      </c>
      <c r="AX1057" s="3">
        <v>19.5</v>
      </c>
      <c r="AY1057" s="3">
        <v>17.100000000000001</v>
      </c>
      <c r="AZ1057" s="3">
        <v>0</v>
      </c>
      <c r="BA1057" s="3">
        <v>0</v>
      </c>
      <c r="BB1057" s="3">
        <v>0</v>
      </c>
      <c r="BC1057" s="3">
        <v>42.878667035397754</v>
      </c>
      <c r="BD1057" s="3">
        <v>48.021332964602252</v>
      </c>
      <c r="BE1057" s="3">
        <v>48.021332964602252</v>
      </c>
      <c r="BF1057" s="3">
        <v>46.181332964602248</v>
      </c>
      <c r="BG1057" s="3">
        <v>42.507999631268902</v>
      </c>
      <c r="BH1057" s="3">
        <v>37.647999631268917</v>
      </c>
      <c r="BI1057" s="3">
        <v>37.261332964602246</v>
      </c>
      <c r="BJ1057" s="3">
        <v>41.754666297935572</v>
      </c>
      <c r="BK1057" s="3">
        <v>42.827999631268909</v>
      </c>
      <c r="BL1057" s="3">
        <v>45.10133296460225</v>
      </c>
      <c r="BM1057" s="3">
        <v>39.934666297935578</v>
      </c>
      <c r="BN1057" s="3">
        <v>38.517999631268921</v>
      </c>
      <c r="BO1057" s="3">
        <v>37.384666297935581</v>
      </c>
      <c r="BP1057" s="3">
        <v>36.401332964602247</v>
      </c>
      <c r="BQ1057" s="3">
        <v>35.21799963126891</v>
      </c>
      <c r="BR1057" s="3">
        <v>34.244666297935581</v>
      </c>
      <c r="BS1057" s="3">
        <v>34.147999631268917</v>
      </c>
      <c r="BT1057" s="3">
        <v>33.544666297935578</v>
      </c>
      <c r="BU1057" s="3">
        <v>31.711332964602249</v>
      </c>
      <c r="BV1057" s="3">
        <v>30.327999631268909</v>
      </c>
      <c r="BW1057" s="3">
        <v>30.261332964602246</v>
      </c>
      <c r="BX1057" s="3">
        <v>29.981332964602245</v>
      </c>
      <c r="BY1057" s="3">
        <v>29.601332964602236</v>
      </c>
      <c r="BZ1057" s="3">
        <v>30.931332964602248</v>
      </c>
      <c r="CA1057" s="3">
        <v>28.031332964602242</v>
      </c>
      <c r="CB1057" s="3">
        <v>26.067999631268904</v>
      </c>
      <c r="CC1057" s="3">
        <v>24.381332964602237</v>
      </c>
      <c r="CD1057" s="3">
        <v>18.787999631268917</v>
      </c>
      <c r="CE1057" s="3">
        <v>16.58133296460224</v>
      </c>
      <c r="CF1057" s="3">
        <v>-0.90533370206442498</v>
      </c>
      <c r="CG1057" s="3">
        <v>-1.4386670353977564</v>
      </c>
      <c r="CH1057" s="3">
        <v>-2.5153337020644244</v>
      </c>
      <c r="CI1057" s="13">
        <f>[1]!dbasum(RecData[[#This Row],[20]:[2000]],RecData[[#Headers],[20]:[2000]])</f>
        <v>41.801724913515521</v>
      </c>
      <c r="CJ1057" s="14">
        <v>10585</v>
      </c>
      <c r="CK1057" s="15" t="s">
        <v>249</v>
      </c>
      <c r="CL1057" s="15">
        <f>RecData[[#This Row],[Start Time]]</f>
        <v>43275.200000000004</v>
      </c>
      <c r="CM1057" s="16">
        <f>RecData[[#This Row],[Wind Speed avg]]</f>
        <v>1.58</v>
      </c>
      <c r="CN1057" s="16">
        <f>RecData[[#This Row],[Wind Dir. avg]]</f>
        <v>152.30000000000001</v>
      </c>
      <c r="CO1057" s="16">
        <f>RecData[[#This Row],[Amb. Humidity]]</f>
        <v>71.900000000000006</v>
      </c>
      <c r="CP1057" s="16">
        <f>RecData[[#This Row],[Amb. Temperature]]</f>
        <v>10.5</v>
      </c>
      <c r="CQ1057" s="17">
        <f>RecData[[#This Row],[Amb. Rain Gauge]]</f>
        <v>0</v>
      </c>
      <c r="CR1057" s="4" t="s">
        <v>1</v>
      </c>
      <c r="CS1057" s="4" t="s">
        <v>49</v>
      </c>
      <c r="CT1057" s="70">
        <v>1620.173828125</v>
      </c>
      <c r="CU1057" s="70">
        <v>33.000282287597599</v>
      </c>
      <c r="CV1057" s="70">
        <v>13.586162567138601</v>
      </c>
      <c r="CW1057" s="70">
        <v>15.318777084350501</v>
      </c>
      <c r="CX1057" s="4"/>
      <c r="CY1057" s="69"/>
      <c r="CZ1057" s="2" t="b">
        <f>IF($DP$1="YES",IF(RecData[[#This Row],[Power (kW)]]&gt;=$CR$3, TRUE,FALSE),TRUE)</f>
        <v>1</v>
      </c>
      <c r="DA1057" s="16">
        <f>MIN(MOD(180-ABS(ABS($DA$1-RecData[Yaw Angle (°)])-180),360),MOD(180-ABS(ABS($DB$1-RecData[Yaw Angle (°)])-180),360))</f>
        <v>25.470355509910064</v>
      </c>
      <c r="DB1057" s="2" t="str">
        <f>IF($DP$2="None","None",IF(RecData[[#This Row],[Relative Wind Direction]]&lt;=45,"DW",IF(RecData[[#This Row],[Relative Wind Direction]]&lt;=135,"CW","UW")))</f>
        <v>DW</v>
      </c>
      <c r="DC1057" s="61">
        <v>-1</v>
      </c>
      <c r="DD1057" s="61">
        <v>-1</v>
      </c>
      <c r="DE1057" s="18" t="b">
        <v>0</v>
      </c>
      <c r="DF1057" s="2" t="b">
        <f>IF(OR(RecData[[#This Row],[WSpd_Avg '[m/s']]]-RecData[[#This Row],[Wind Speed min]]&gt;=$DF$3,RecData[[#This Row],[Wind Speed max]]-RecData[[#This Row],[WSpd_Avg '[m/s']]]&gt;=$DF$2),TRUE,FALSE)</f>
        <v>0</v>
      </c>
      <c r="DG1057" s="2" t="b">
        <f>RecData[[#This Row],[Temperature '[°C']]]&lt;=-20</f>
        <v>0</v>
      </c>
      <c r="DH1057" s="18" t="b">
        <f>NOT(OR(MOD(RecData[[#This Row],[TIMESTAMP]],1)&gt;0.91632,MOD(RecData[[#This Row],[TIMESTAMP]],1)&lt;0.208681))</f>
        <v>0</v>
      </c>
      <c r="DI1057" s="18" t="b">
        <f>RecData[[#This Row],[Overall (dBA)]]-RecData[[#This Row],[L90]]&gt;=$DS$4</f>
        <v>0</v>
      </c>
      <c r="DJ1057" s="18" t="b">
        <f>RecData[[#This Row],[Overall (dBA)]]&gt;$DS$2</f>
        <v>0</v>
      </c>
      <c r="DK1057" s="18" t="b">
        <f>RecData[[#This Row],[Overall (dBA)]]&lt;$DS$3</f>
        <v>0</v>
      </c>
      <c r="DL10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7" s="2">
        <f>IF(AND(RecData[[#This Row],[Turbines ON/OFF]] = "OFF", NOT(OR(RecData[[#This Row],[Junk?]]="YES",RecData[[#This Row],[Gust?]],RecData[[#This Row],[Rain?]:[Min SPL Threshold?]]))),1,0)</f>
        <v>0</v>
      </c>
      <c r="DN1057" s="16">
        <f>RecData[[#This Row],[dBA Sum]]</f>
        <v>41.801724913515521</v>
      </c>
      <c r="DO1057" s="16">
        <f>RecData[[#This Row],[LAF90.0]]</f>
        <v>41.7</v>
      </c>
      <c r="DP1057" s="55">
        <f>IF(AND(RecData[[#This Row],[Useable TON Data?]],RecData[[#This Row],[Turbines ON/OFF]]="ON"),RecData[[#This Row],[dBA Sum]],"")</f>
        <v>41.801724913515521</v>
      </c>
      <c r="DQ1057" s="55" t="str">
        <f>IF(AND(RecData[[#This Row],[Useable Background Data?]],RecData[[#This Row],[Turbines ON/OFF]]="OFF"),RecData[[#This Row],[dBA Sum]],"")</f>
        <v/>
      </c>
      <c r="DR1057" s="3">
        <f>IF(OR(RecData[[#This Row],[Useable TON Data?]],RecData[[#This Row],[Useable Background Data?]]),ROUND(RecData[[#This Row],[WSpd_Avg '[m/s']]],0),"")</f>
        <v>2</v>
      </c>
      <c r="DS1057" s="85">
        <f>(0.00002)^2*(10^(RecData[[#This Row],[Overall (dBA)]]/10))</f>
        <v>6.0566500722319287E-6</v>
      </c>
    </row>
    <row r="1058" spans="1:123" ht="15" x14ac:dyDescent="0.25">
      <c r="A1058" s="3" t="s">
        <v>249</v>
      </c>
      <c r="B1058" s="12">
        <v>43275.202777777784</v>
      </c>
      <c r="C1058" s="3"/>
      <c r="D1058" s="3">
        <v>43.8</v>
      </c>
      <c r="E1058" s="3"/>
      <c r="F1058" s="3"/>
      <c r="G1058" s="3"/>
      <c r="H1058" s="3"/>
      <c r="I1058" s="3"/>
      <c r="J1058" s="3"/>
      <c r="K1058" s="3">
        <v>42.4</v>
      </c>
      <c r="L1058" s="3"/>
      <c r="M1058" s="3"/>
      <c r="N1058" s="3">
        <v>182</v>
      </c>
      <c r="O1058" s="3"/>
      <c r="P1058" s="3"/>
      <c r="Q1058" s="3">
        <v>1.8</v>
      </c>
      <c r="R1058" s="3">
        <v>0.9</v>
      </c>
      <c r="S1058" s="3">
        <v>3.1</v>
      </c>
      <c r="T1058" s="3">
        <v>10.4</v>
      </c>
      <c r="U1058" s="3">
        <v>72.2</v>
      </c>
      <c r="V1058" s="3">
        <v>968</v>
      </c>
      <c r="W1058" s="3">
        <v>0</v>
      </c>
      <c r="X1058" s="3">
        <v>47.9</v>
      </c>
      <c r="Y1058" s="3">
        <v>46.6</v>
      </c>
      <c r="Z1058" s="3">
        <v>46.1</v>
      </c>
      <c r="AA1058" s="3">
        <v>42.4</v>
      </c>
      <c r="AB1058" s="3">
        <v>37</v>
      </c>
      <c r="AC1058" s="3">
        <v>36.9</v>
      </c>
      <c r="AD1058" s="3">
        <v>40.6</v>
      </c>
      <c r="AE1058" s="3">
        <v>41.8</v>
      </c>
      <c r="AF1058" s="3">
        <v>45.7</v>
      </c>
      <c r="AG1058" s="3">
        <v>39</v>
      </c>
      <c r="AH1058" s="3">
        <v>38.1</v>
      </c>
      <c r="AI1058" s="3">
        <v>37.6</v>
      </c>
      <c r="AJ1058" s="3">
        <v>36.9</v>
      </c>
      <c r="AK1058" s="3">
        <v>35.700000000000003</v>
      </c>
      <c r="AL1058" s="3">
        <v>34.4</v>
      </c>
      <c r="AM1058" s="3">
        <v>34.5</v>
      </c>
      <c r="AN1058" s="3">
        <v>33.6</v>
      </c>
      <c r="AO1058" s="3">
        <v>32</v>
      </c>
      <c r="AP1058" s="3">
        <v>31.5</v>
      </c>
      <c r="AQ1058" s="3">
        <v>31.4</v>
      </c>
      <c r="AR1058" s="3">
        <v>31.6</v>
      </c>
      <c r="AS1058" s="3">
        <v>31.7</v>
      </c>
      <c r="AT1058" s="3">
        <v>32.6</v>
      </c>
      <c r="AU1058" s="3">
        <v>29.8</v>
      </c>
      <c r="AV1058" s="3">
        <v>28.4</v>
      </c>
      <c r="AW1058" s="3">
        <v>27.2</v>
      </c>
      <c r="AX1058" s="3">
        <v>22.2</v>
      </c>
      <c r="AY1058" s="3">
        <v>19.7</v>
      </c>
      <c r="AZ1058" s="3">
        <v>0</v>
      </c>
      <c r="BA1058" s="3">
        <v>0</v>
      </c>
      <c r="BB1058" s="3">
        <v>0</v>
      </c>
      <c r="BC1058" s="3">
        <v>43.812003295422024</v>
      </c>
      <c r="BD1058" s="3">
        <v>47.887996704577965</v>
      </c>
      <c r="BE1058" s="3">
        <v>46.587996704577982</v>
      </c>
      <c r="BF1058" s="3">
        <v>44.847996704577973</v>
      </c>
      <c r="BG1058" s="3">
        <v>41.474663371244638</v>
      </c>
      <c r="BH1058" s="3">
        <v>36.214663371244647</v>
      </c>
      <c r="BI1058" s="3">
        <v>36.52799670457798</v>
      </c>
      <c r="BJ1058" s="3">
        <v>41.021330037911305</v>
      </c>
      <c r="BK1058" s="3">
        <v>42.094663371244643</v>
      </c>
      <c r="BL1058" s="3">
        <v>45.567996704577972</v>
      </c>
      <c r="BM1058" s="3">
        <v>39.001330037911309</v>
      </c>
      <c r="BN1058" s="3">
        <v>38.384663371244635</v>
      </c>
      <c r="BO1058" s="3">
        <v>37.251330037911309</v>
      </c>
      <c r="BP1058" s="3">
        <v>36.267996704577975</v>
      </c>
      <c r="BQ1058" s="3">
        <v>35.484663371244629</v>
      </c>
      <c r="BR1058" s="3">
        <v>34.5113300379113</v>
      </c>
      <c r="BS1058" s="3">
        <v>34.414663371244636</v>
      </c>
      <c r="BT1058" s="3">
        <v>33.711330037911317</v>
      </c>
      <c r="BU1058" s="3">
        <v>32.077996704577977</v>
      </c>
      <c r="BV1058" s="3">
        <v>31.294663371244646</v>
      </c>
      <c r="BW1058" s="3">
        <v>31.727996704577969</v>
      </c>
      <c r="BX1058" s="3">
        <v>31.847996704577973</v>
      </c>
      <c r="BY1058" s="3">
        <v>31.767996704577975</v>
      </c>
      <c r="BZ1058" s="3">
        <v>32.797996704577976</v>
      </c>
      <c r="CA1058" s="3">
        <v>30.097996704577973</v>
      </c>
      <c r="CB1058" s="3">
        <v>28.134663371244635</v>
      </c>
      <c r="CC1058" s="3">
        <v>27.14799670457797</v>
      </c>
      <c r="CD1058" s="3">
        <v>21.454663371244642</v>
      </c>
      <c r="CE1058" s="3">
        <v>19.14799670457797</v>
      </c>
      <c r="CF1058" s="3">
        <v>-0.9386699620886958</v>
      </c>
      <c r="CG1058" s="3">
        <v>-1.4720032954220272</v>
      </c>
      <c r="CH1058" s="3">
        <v>-2.5486699620886952</v>
      </c>
      <c r="CI1058" s="13">
        <f>[1]!dbasum(RecData[[#This Row],[20]:[2000]],RecData[[#Headers],[20]:[2000]])</f>
        <v>42.309936038025889</v>
      </c>
      <c r="CJ1058" s="14">
        <v>10589</v>
      </c>
      <c r="CK1058" s="15" t="s">
        <v>249</v>
      </c>
      <c r="CL1058" s="15">
        <f>RecData[[#This Row],[Start Time]]</f>
        <v>43275.202777777784</v>
      </c>
      <c r="CM1058" s="16">
        <f>RecData[[#This Row],[Wind Speed avg]]</f>
        <v>1.8</v>
      </c>
      <c r="CN1058" s="16">
        <f>RecData[[#This Row],[Wind Dir. avg]]</f>
        <v>182</v>
      </c>
      <c r="CO1058" s="16">
        <f>RecData[[#This Row],[Amb. Humidity]]</f>
        <v>72.2</v>
      </c>
      <c r="CP1058" s="16">
        <f>RecData[[#This Row],[Amb. Temperature]]</f>
        <v>10.4</v>
      </c>
      <c r="CQ1058" s="17">
        <f>RecData[[#This Row],[Amb. Rain Gauge]]</f>
        <v>0</v>
      </c>
      <c r="CR1058" s="4" t="s">
        <v>1</v>
      </c>
      <c r="CS1058" s="4" t="s">
        <v>49</v>
      </c>
      <c r="CT1058" s="70">
        <v>1610.95483398437</v>
      </c>
      <c r="CU1058" s="70">
        <v>33.000282287597599</v>
      </c>
      <c r="CV1058" s="70">
        <v>11.882133483886699</v>
      </c>
      <c r="CW1058" s="70">
        <v>15.252748489379799</v>
      </c>
      <c r="CX1058" s="4"/>
      <c r="CY1058" s="69"/>
      <c r="CZ1058" s="2" t="b">
        <f>IF($DP$1="YES",IF(RecData[[#This Row],[Power (kW)]]&gt;=$CR$3, TRUE,FALSE),TRUE)</f>
        <v>1</v>
      </c>
      <c r="DA1058" s="16">
        <f>MIN(MOD(180-ABS(ABS($DA$1-RecData[Yaw Angle (°)])-180),360),MOD(180-ABS(ABS($DB$1-RecData[Yaw Angle (°)])-180),360))</f>
        <v>25.470355509910064</v>
      </c>
      <c r="DB1058" s="2" t="str">
        <f>IF($DP$2="None","None",IF(RecData[[#This Row],[Relative Wind Direction]]&lt;=45,"DW",IF(RecData[[#This Row],[Relative Wind Direction]]&lt;=135,"CW","UW")))</f>
        <v>DW</v>
      </c>
      <c r="DC1058" s="61" t="e">
        <f>IF($CL1058-$CL1057&gt;1/24,#REF!,IF(SUM($CQ1057:$CQ1058)&gt;$DS$1,$DS$5,#REF!-1))</f>
        <v>#REF!</v>
      </c>
      <c r="DD1058" s="61" t="e">
        <f>IF(#REF!-$CL1058&gt;1/24,#REF!,IF(SUM($CQ1057:$CQ1058)&gt;$DS$1,$DS$6,#REF!-1))</f>
        <v>#REF!</v>
      </c>
      <c r="DE1058" s="18" t="b">
        <v>0</v>
      </c>
      <c r="DF1058" s="2" t="b">
        <f>IF(OR(RecData[[#This Row],[WSpd_Avg '[m/s']]]-RecData[[#This Row],[Wind Speed min]]&gt;=$DF$3,RecData[[#This Row],[Wind Speed max]]-RecData[[#This Row],[WSpd_Avg '[m/s']]]&gt;=$DF$2),TRUE,FALSE)</f>
        <v>0</v>
      </c>
      <c r="DG1058" s="2" t="b">
        <f>RecData[[#This Row],[Temperature '[°C']]]&lt;=-20</f>
        <v>0</v>
      </c>
      <c r="DH1058" s="18" t="b">
        <f>NOT(OR(MOD(RecData[[#This Row],[TIMESTAMP]],1)&gt;0.91632,MOD(RecData[[#This Row],[TIMESTAMP]],1)&lt;0.208681))</f>
        <v>0</v>
      </c>
      <c r="DI1058" s="18" t="b">
        <f>RecData[[#This Row],[Overall (dBA)]]-RecData[[#This Row],[L90]]&gt;=$DS$4</f>
        <v>0</v>
      </c>
      <c r="DJ1058" s="18" t="b">
        <f>RecData[[#This Row],[Overall (dBA)]]&gt;$DS$2</f>
        <v>0</v>
      </c>
      <c r="DK1058" s="18" t="b">
        <f>RecData[[#This Row],[Overall (dBA)]]&lt;$DS$3</f>
        <v>0</v>
      </c>
      <c r="DL10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8" s="2">
        <f>IF(AND(RecData[[#This Row],[Turbines ON/OFF]] = "OFF", NOT(OR(RecData[[#This Row],[Junk?]]="YES",RecData[[#This Row],[Gust?]],RecData[[#This Row],[Rain?]:[Min SPL Threshold?]]))),1,0)</f>
        <v>0</v>
      </c>
      <c r="DN1058" s="16">
        <f>RecData[[#This Row],[dBA Sum]]</f>
        <v>42.309936038025889</v>
      </c>
      <c r="DO1058" s="16">
        <f>RecData[[#This Row],[LAF90.0]]</f>
        <v>42.4</v>
      </c>
      <c r="DP1058" s="55">
        <f>IF(AND(RecData[[#This Row],[Useable TON Data?]],RecData[[#This Row],[Turbines ON/OFF]]="ON"),RecData[[#This Row],[dBA Sum]],"")</f>
        <v>42.309936038025889</v>
      </c>
      <c r="DQ1058" s="55" t="str">
        <f>IF(AND(RecData[[#This Row],[Useable Background Data?]],RecData[[#This Row],[Turbines ON/OFF]]="OFF"),RecData[[#This Row],[dBA Sum]],"")</f>
        <v/>
      </c>
      <c r="DR1058" s="3">
        <f>IF(OR(RecData[[#This Row],[Useable TON Data?]],RecData[[#This Row],[Useable Background Data?]]),ROUND(RecData[[#This Row],[WSpd_Avg '[m/s']]],0),"")</f>
        <v>2</v>
      </c>
      <c r="DS1058" s="85">
        <f>(0.00002)^2*(10^(RecData[[#This Row],[Overall (dBA)]]/10))</f>
        <v>6.8085337581940942E-6</v>
      </c>
    </row>
    <row r="1059" spans="1:123" ht="15" x14ac:dyDescent="0.25">
      <c r="A1059" s="3" t="s">
        <v>249</v>
      </c>
      <c r="B1059" s="12">
        <v>43275.204861111117</v>
      </c>
      <c r="C1059" s="3"/>
      <c r="D1059" s="3">
        <v>46.4</v>
      </c>
      <c r="E1059" s="3"/>
      <c r="F1059" s="3"/>
      <c r="G1059" s="3"/>
      <c r="H1059" s="3"/>
      <c r="I1059" s="3"/>
      <c r="J1059" s="3"/>
      <c r="K1059" s="3">
        <v>43.6</v>
      </c>
      <c r="L1059" s="3"/>
      <c r="M1059" s="3"/>
      <c r="N1059" s="3">
        <v>181.8</v>
      </c>
      <c r="O1059" s="3"/>
      <c r="P1059" s="3"/>
      <c r="Q1059" s="3">
        <v>1.52</v>
      </c>
      <c r="R1059" s="3">
        <v>0.3</v>
      </c>
      <c r="S1059" s="3">
        <v>2.6</v>
      </c>
      <c r="T1059" s="3">
        <v>10.4</v>
      </c>
      <c r="U1059" s="3">
        <v>71.8</v>
      </c>
      <c r="V1059" s="3">
        <v>968</v>
      </c>
      <c r="W1059" s="3">
        <v>0</v>
      </c>
      <c r="X1059" s="3">
        <v>48.8</v>
      </c>
      <c r="Y1059" s="3">
        <v>47.7</v>
      </c>
      <c r="Z1059" s="3">
        <v>47.3</v>
      </c>
      <c r="AA1059" s="3">
        <v>43.5</v>
      </c>
      <c r="AB1059" s="3">
        <v>38.700000000000003</v>
      </c>
      <c r="AC1059" s="3">
        <v>38.700000000000003</v>
      </c>
      <c r="AD1059" s="3">
        <v>40.299999999999997</v>
      </c>
      <c r="AE1059" s="3">
        <v>41.2</v>
      </c>
      <c r="AF1059" s="3">
        <v>46.4</v>
      </c>
      <c r="AG1059" s="3">
        <v>40.700000000000003</v>
      </c>
      <c r="AH1059" s="3">
        <v>38.299999999999997</v>
      </c>
      <c r="AI1059" s="3">
        <v>38.200000000000003</v>
      </c>
      <c r="AJ1059" s="3">
        <v>37.700000000000003</v>
      </c>
      <c r="AK1059" s="3">
        <v>36.200000000000003</v>
      </c>
      <c r="AL1059" s="3">
        <v>35.299999999999997</v>
      </c>
      <c r="AM1059" s="3">
        <v>35.200000000000003</v>
      </c>
      <c r="AN1059" s="3">
        <v>34.5</v>
      </c>
      <c r="AO1059" s="3">
        <v>33.200000000000003</v>
      </c>
      <c r="AP1059" s="3">
        <v>32.6</v>
      </c>
      <c r="AQ1059" s="3">
        <v>32.299999999999997</v>
      </c>
      <c r="AR1059" s="3">
        <v>32.6</v>
      </c>
      <c r="AS1059" s="3">
        <v>33.5</v>
      </c>
      <c r="AT1059" s="3">
        <v>39.6</v>
      </c>
      <c r="AU1059" s="3">
        <v>36.9</v>
      </c>
      <c r="AV1059" s="3">
        <v>30</v>
      </c>
      <c r="AW1059" s="3">
        <v>27.3</v>
      </c>
      <c r="AX1059" s="3">
        <v>22.3</v>
      </c>
      <c r="AY1059" s="3">
        <v>19.7</v>
      </c>
      <c r="AZ1059" s="3">
        <v>0</v>
      </c>
      <c r="BA1059" s="3">
        <v>0</v>
      </c>
      <c r="BB1059" s="3">
        <v>0</v>
      </c>
      <c r="BC1059" s="3">
        <v>46.406368449567694</v>
      </c>
      <c r="BD1059" s="3">
        <v>48.793631550432295</v>
      </c>
      <c r="BE1059" s="3">
        <v>47.693631550432301</v>
      </c>
      <c r="BF1059" s="3">
        <v>46.0536315504323</v>
      </c>
      <c r="BG1059" s="3">
        <v>42.580298217098971</v>
      </c>
      <c r="BH1059" s="3">
        <v>37.920298217098974</v>
      </c>
      <c r="BI1059" s="3">
        <v>38.333631550432315</v>
      </c>
      <c r="BJ1059" s="3">
        <v>40.726964883765632</v>
      </c>
      <c r="BK1059" s="3">
        <v>41.500298217098972</v>
      </c>
      <c r="BL1059" s="3">
        <v>46.273631550432313</v>
      </c>
      <c r="BM1059" s="3">
        <v>40.70696488376565</v>
      </c>
      <c r="BN1059" s="3">
        <v>38.590298217098976</v>
      </c>
      <c r="BO1059" s="3">
        <v>37.856964883765642</v>
      </c>
      <c r="BP1059" s="3">
        <v>37.07363155043231</v>
      </c>
      <c r="BQ1059" s="3">
        <v>35.990298217098967</v>
      </c>
      <c r="BR1059" s="3">
        <v>35.41696488376563</v>
      </c>
      <c r="BS1059" s="3">
        <v>35.120298217098977</v>
      </c>
      <c r="BT1059" s="3">
        <v>34.616964883765647</v>
      </c>
      <c r="BU1059" s="3">
        <v>33.283631550432304</v>
      </c>
      <c r="BV1059" s="3">
        <v>32.400298217098978</v>
      </c>
      <c r="BW1059" s="3">
        <v>32.633631550432298</v>
      </c>
      <c r="BX1059" s="3">
        <v>32.853631550432311</v>
      </c>
      <c r="BY1059" s="3">
        <v>33.573631550432296</v>
      </c>
      <c r="BZ1059" s="3">
        <v>39.803631550432314</v>
      </c>
      <c r="CA1059" s="3">
        <v>37.203631550432291</v>
      </c>
      <c r="CB1059" s="3">
        <v>29.740298217098967</v>
      </c>
      <c r="CC1059" s="3">
        <v>27.253631550432303</v>
      </c>
      <c r="CD1059" s="3">
        <v>21.560298217098975</v>
      </c>
      <c r="CE1059" s="3">
        <v>19.153631550432308</v>
      </c>
      <c r="CF1059" s="3">
        <v>-0.93303511623436464</v>
      </c>
      <c r="CG1059" s="3">
        <v>-1.4663684495676961</v>
      </c>
      <c r="CH1059" s="3">
        <v>-2.5430351162343641</v>
      </c>
      <c r="CI1059" s="13">
        <f>[1]!dbasum(RecData[[#This Row],[20]:[2000]],RecData[[#Headers],[20]:[2000]])</f>
        <v>43.180638007425699</v>
      </c>
      <c r="CJ1059" s="14">
        <v>10592</v>
      </c>
      <c r="CK1059" s="15" t="s">
        <v>249</v>
      </c>
      <c r="CL1059" s="15">
        <f>RecData[[#This Row],[Start Time]]</f>
        <v>43275.204861111117</v>
      </c>
      <c r="CM1059" s="16">
        <f>RecData[[#This Row],[Wind Speed avg]]</f>
        <v>1.52</v>
      </c>
      <c r="CN1059" s="16">
        <f>RecData[[#This Row],[Wind Dir. avg]]</f>
        <v>181.8</v>
      </c>
      <c r="CO1059" s="16">
        <f>RecData[[#This Row],[Amb. Humidity]]</f>
        <v>71.8</v>
      </c>
      <c r="CP1059" s="16">
        <f>RecData[[#This Row],[Amb. Temperature]]</f>
        <v>10.4</v>
      </c>
      <c r="CQ1059" s="17">
        <f>RecData[[#This Row],[Amb. Rain Gauge]]</f>
        <v>0</v>
      </c>
      <c r="CR1059" s="4" t="s">
        <v>1</v>
      </c>
      <c r="CS1059" s="4" t="s">
        <v>49</v>
      </c>
      <c r="CT1059" s="70">
        <v>1610.95483398437</v>
      </c>
      <c r="CU1059" s="70">
        <v>33.000282287597599</v>
      </c>
      <c r="CV1059" s="70">
        <v>11.882133483886699</v>
      </c>
      <c r="CW1059" s="70">
        <v>15.252748489379799</v>
      </c>
      <c r="CX1059" s="4"/>
      <c r="CY1059" s="69"/>
      <c r="CZ1059" s="2" t="b">
        <f>IF($DP$1="YES",IF(RecData[[#This Row],[Power (kW)]]&gt;=$CR$3, TRUE,FALSE),TRUE)</f>
        <v>1</v>
      </c>
      <c r="DA1059" s="16">
        <f>MIN(MOD(180-ABS(ABS($DA$1-RecData[Yaw Angle (°)])-180),360),MOD(180-ABS(ABS($DB$1-RecData[Yaw Angle (°)])-180),360))</f>
        <v>25.470355509910064</v>
      </c>
      <c r="DB1059" s="2" t="str">
        <f>IF($DP$2="None","None",IF(RecData[[#This Row],[Relative Wind Direction]]&lt;=45,"DW",IF(RecData[[#This Row],[Relative Wind Direction]]&lt;=135,"CW","UW")))</f>
        <v>DW</v>
      </c>
      <c r="DC1059" s="61" t="e">
        <f>IF($CL1059-#REF!&gt;1/24,#REF!,IF(SUM($CQ1058:$CQ1059)&gt;$DS$1,$DS$5,#REF!-1))</f>
        <v>#REF!</v>
      </c>
      <c r="DD1059" s="61" t="e">
        <f>IF(#REF!-$CL1059&gt;1/24,#REF!,IF(SUM($CQ1058:$CQ1059)&gt;$DS$1,$DS$6,#REF!-1))</f>
        <v>#REF!</v>
      </c>
      <c r="DE1059" s="18" t="b">
        <v>0</v>
      </c>
      <c r="DF1059" s="2" t="b">
        <f>IF(OR(RecData[[#This Row],[WSpd_Avg '[m/s']]]-RecData[[#This Row],[Wind Speed min]]&gt;=$DF$3,RecData[[#This Row],[Wind Speed max]]-RecData[[#This Row],[WSpd_Avg '[m/s']]]&gt;=$DF$2),TRUE,FALSE)</f>
        <v>0</v>
      </c>
      <c r="DG1059" s="2" t="b">
        <f>RecData[[#This Row],[Temperature '[°C']]]&lt;=-20</f>
        <v>0</v>
      </c>
      <c r="DH1059" s="18" t="b">
        <f>NOT(OR(MOD(RecData[[#This Row],[TIMESTAMP]],1)&gt;0.91632,MOD(RecData[[#This Row],[TIMESTAMP]],1)&lt;0.208681))</f>
        <v>0</v>
      </c>
      <c r="DI1059" s="18" t="b">
        <f>RecData[[#This Row],[Overall (dBA)]]-RecData[[#This Row],[L90]]&gt;=$DS$4</f>
        <v>0</v>
      </c>
      <c r="DJ1059" s="18" t="b">
        <f>RecData[[#This Row],[Overall (dBA)]]&gt;$DS$2</f>
        <v>0</v>
      </c>
      <c r="DK1059" s="18" t="b">
        <f>RecData[[#This Row],[Overall (dBA)]]&lt;$DS$3</f>
        <v>0</v>
      </c>
      <c r="DL10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59" s="2">
        <f>IF(AND(RecData[[#This Row],[Turbines ON/OFF]] = "OFF", NOT(OR(RecData[[#This Row],[Junk?]]="YES",RecData[[#This Row],[Gust?]],RecData[[#This Row],[Rain?]:[Min SPL Threshold?]]))),1,0)</f>
        <v>0</v>
      </c>
      <c r="DN1059" s="16">
        <f>RecData[[#This Row],[dBA Sum]]</f>
        <v>43.180638007425699</v>
      </c>
      <c r="DO1059" s="16">
        <f>RecData[[#This Row],[LAF90.0]]</f>
        <v>43.6</v>
      </c>
      <c r="DP1059" s="55">
        <f>IF(AND(RecData[[#This Row],[Useable TON Data?]],RecData[[#This Row],[Turbines ON/OFF]]="ON"),RecData[[#This Row],[dBA Sum]],"")</f>
        <v>43.180638007425699</v>
      </c>
      <c r="DQ1059" s="55" t="str">
        <f>IF(AND(RecData[[#This Row],[Useable Background Data?]],RecData[[#This Row],[Turbines ON/OFF]]="OFF"),RecData[[#This Row],[dBA Sum]],"")</f>
        <v/>
      </c>
      <c r="DR1059" s="3">
        <f>IF(OR(RecData[[#This Row],[Useable TON Data?]],RecData[[#This Row],[Useable Background Data?]]),ROUND(RecData[[#This Row],[WSpd_Avg '[m/s']]],0),"")</f>
        <v>2</v>
      </c>
      <c r="DS1059" s="85">
        <f>(0.00002)^2*(10^(RecData[[#This Row],[Overall (dBA)]]/10))</f>
        <v>8.3200089231851769E-6</v>
      </c>
    </row>
    <row r="1060" spans="1:123" ht="15" x14ac:dyDescent="0.25">
      <c r="A1060" s="3" t="s">
        <v>249</v>
      </c>
      <c r="B1060" s="12">
        <v>43275.945138888892</v>
      </c>
      <c r="C1060" s="3"/>
      <c r="D1060" s="3">
        <v>38</v>
      </c>
      <c r="E1060" s="3"/>
      <c r="F1060" s="3"/>
      <c r="G1060" s="3"/>
      <c r="H1060" s="3"/>
      <c r="I1060" s="3"/>
      <c r="J1060" s="3"/>
      <c r="K1060" s="3">
        <v>36.700000000000003</v>
      </c>
      <c r="L1060" s="3"/>
      <c r="M1060" s="3"/>
      <c r="N1060" s="3">
        <v>218.4</v>
      </c>
      <c r="O1060" s="3"/>
      <c r="P1060" s="3"/>
      <c r="Q1060" s="3">
        <v>0.25</v>
      </c>
      <c r="R1060" s="3">
        <v>0.1</v>
      </c>
      <c r="S1060" s="3">
        <v>0.4</v>
      </c>
      <c r="T1060" s="3">
        <v>13.8</v>
      </c>
      <c r="U1060" s="3">
        <v>47.7</v>
      </c>
      <c r="V1060" s="3">
        <v>976.4</v>
      </c>
      <c r="W1060" s="3">
        <v>0</v>
      </c>
      <c r="X1060" s="3">
        <v>45.6</v>
      </c>
      <c r="Y1060" s="3">
        <v>45.1</v>
      </c>
      <c r="Z1060" s="3">
        <v>44.1</v>
      </c>
      <c r="AA1060" s="3">
        <v>39.799999999999997</v>
      </c>
      <c r="AB1060" s="3">
        <v>36.5</v>
      </c>
      <c r="AC1060" s="3">
        <v>35.9</v>
      </c>
      <c r="AD1060" s="3">
        <v>39.4</v>
      </c>
      <c r="AE1060" s="3">
        <v>41.4</v>
      </c>
      <c r="AF1060" s="3">
        <v>42.5</v>
      </c>
      <c r="AG1060" s="3">
        <v>35.9</v>
      </c>
      <c r="AH1060" s="3">
        <v>38.4</v>
      </c>
      <c r="AI1060" s="3">
        <v>37.4</v>
      </c>
      <c r="AJ1060" s="3">
        <v>36.4</v>
      </c>
      <c r="AK1060" s="3">
        <v>33.700000000000003</v>
      </c>
      <c r="AL1060" s="3">
        <v>30.7</v>
      </c>
      <c r="AM1060" s="3">
        <v>28.9</v>
      </c>
      <c r="AN1060" s="3">
        <v>26.4</v>
      </c>
      <c r="AO1060" s="3">
        <v>22.4</v>
      </c>
      <c r="AP1060" s="3">
        <v>19.899999999999999</v>
      </c>
      <c r="AQ1060" s="3">
        <v>17.100000000000001</v>
      </c>
      <c r="AR1060" s="3">
        <v>13</v>
      </c>
      <c r="AS1060" s="3">
        <v>16.2</v>
      </c>
      <c r="AT1060" s="3">
        <v>25.4</v>
      </c>
      <c r="AU1060" s="3">
        <v>10.8</v>
      </c>
      <c r="AV1060" s="3">
        <v>8.9</v>
      </c>
      <c r="AW1060" s="3">
        <v>9.4</v>
      </c>
      <c r="AX1060" s="3">
        <v>9.1</v>
      </c>
      <c r="AY1060" s="3">
        <v>9.3000000000000007</v>
      </c>
      <c r="AZ1060" s="3">
        <v>0</v>
      </c>
      <c r="BA1060" s="3">
        <v>0</v>
      </c>
      <c r="BB1060" s="3">
        <v>0</v>
      </c>
      <c r="BC1060" s="3">
        <v>37.950972330177322</v>
      </c>
      <c r="BD1060" s="3">
        <v>45.649027669822672</v>
      </c>
      <c r="BE1060" s="3">
        <v>45.149027669822672</v>
      </c>
      <c r="BF1060" s="3">
        <v>42.909027669822677</v>
      </c>
      <c r="BG1060" s="3">
        <v>38.935694336489334</v>
      </c>
      <c r="BH1060" s="3">
        <v>35.775694336489337</v>
      </c>
      <c r="BI1060" s="3">
        <v>35.58902766982267</v>
      </c>
      <c r="BJ1060" s="3">
        <v>39.882361003156007</v>
      </c>
      <c r="BK1060" s="3">
        <v>41.755694336489341</v>
      </c>
      <c r="BL1060" s="3">
        <v>42.429027669822673</v>
      </c>
      <c r="BM1060" s="3">
        <v>35.962361003156005</v>
      </c>
      <c r="BN1060" s="3">
        <v>38.745694336489336</v>
      </c>
      <c r="BO1060" s="3">
        <v>37.11236100315601</v>
      </c>
      <c r="BP1060" s="3">
        <v>35.829027669822679</v>
      </c>
      <c r="BQ1060" s="3">
        <v>33.545694336489348</v>
      </c>
      <c r="BR1060" s="3">
        <v>30.872361003156016</v>
      </c>
      <c r="BS1060" s="3">
        <v>28.875694336489346</v>
      </c>
      <c r="BT1060" s="3">
        <v>26.572361003156018</v>
      </c>
      <c r="BU1060" s="3">
        <v>22.53902766982268</v>
      </c>
      <c r="BV1060" s="3">
        <v>19.755694336489341</v>
      </c>
      <c r="BW1060" s="3">
        <v>17.489027669822683</v>
      </c>
      <c r="BX1060" s="3">
        <v>13.309027669822683</v>
      </c>
      <c r="BY1060" s="3">
        <v>16.329027669822679</v>
      </c>
      <c r="BZ1060" s="3">
        <v>25.659027669822677</v>
      </c>
      <c r="CA1060" s="3">
        <v>11.15902766982267</v>
      </c>
      <c r="CB1060" s="3">
        <v>8.6956943364893391</v>
      </c>
      <c r="CC1060" s="3">
        <v>9.4090276698226774</v>
      </c>
      <c r="CD1060" s="3">
        <v>8.4156943364893522</v>
      </c>
      <c r="CE1060" s="3">
        <v>8.8090276698226759</v>
      </c>
      <c r="CF1060" s="3">
        <v>-0.87763899684399149</v>
      </c>
      <c r="CG1060" s="3">
        <v>-1.4109723301773229</v>
      </c>
      <c r="CH1060" s="3">
        <v>-2.4876389968439909</v>
      </c>
      <c r="CI1060" s="13">
        <f>[1]!dbasum(RecData[[#This Row],[20]:[2000]],RecData[[#Headers],[20]:[2000]])</f>
        <v>37.479056190882801</v>
      </c>
      <c r="CJ1060" s="14">
        <v>10642</v>
      </c>
      <c r="CK1060" s="15" t="s">
        <v>249</v>
      </c>
      <c r="CL1060" s="15">
        <f>RecData[[#This Row],[Start Time]]</f>
        <v>43275.945138888892</v>
      </c>
      <c r="CM1060" s="16">
        <f>RecData[[#This Row],[Wind Speed avg]]</f>
        <v>0.25</v>
      </c>
      <c r="CN1060" s="16">
        <f>RecData[[#This Row],[Wind Dir. avg]]</f>
        <v>218.4</v>
      </c>
      <c r="CO1060" s="16">
        <f>RecData[[#This Row],[Amb. Humidity]]</f>
        <v>47.7</v>
      </c>
      <c r="CP1060" s="16">
        <f>RecData[[#This Row],[Amb. Temperature]]</f>
        <v>13.8</v>
      </c>
      <c r="CQ1060" s="17">
        <f>RecData[[#This Row],[Amb. Rain Gauge]]</f>
        <v>0</v>
      </c>
      <c r="CR1060" s="4" t="s">
        <v>1</v>
      </c>
      <c r="CS1060" s="4" t="s">
        <v>49</v>
      </c>
      <c r="CT1060" s="70">
        <v>1379.69995117187</v>
      </c>
      <c r="CU1060" s="70">
        <v>15.000126838684</v>
      </c>
      <c r="CV1060" s="70">
        <v>9.2706146240234304</v>
      </c>
      <c r="CW1060" s="70">
        <v>15.126360893249499</v>
      </c>
      <c r="CX1060" s="4"/>
      <c r="CY1060" s="69"/>
      <c r="CZ1060" s="2" t="b">
        <f>IF($DP$1="YES",IF(RecData[[#This Row],[Power (kW)]]&gt;=$CR$3, TRUE,FALSE),TRUE)</f>
        <v>1</v>
      </c>
      <c r="DA1060" s="16">
        <f>MIN(MOD(180-ABS(ABS($DA$1-RecData[Yaw Angle (°)])-180),360),MOD(180-ABS(ABS($DB$1-RecData[Yaw Angle (°)])-180),360))</f>
        <v>7.4702000609964614</v>
      </c>
      <c r="DB1060" s="2" t="str">
        <f>IF($DP$2="None","None",IF(RecData[[#This Row],[Relative Wind Direction]]&lt;=45,"DW",IF(RecData[[#This Row],[Relative Wind Direction]]&lt;=135,"CW","UW")))</f>
        <v>DW</v>
      </c>
      <c r="DC1060" s="61" t="e">
        <f>IF($CL1060-#REF!&gt;1/24,#REF!,IF(SUM($CQ1060:$CQ1060)&gt;$DS$1,$DS$5,DC1061-1))</f>
        <v>#REF!</v>
      </c>
      <c r="DD1060" s="61" t="e">
        <f>IF($CL1061-$CL1060&gt;1/24,#REF!,IF(SUM($CQ1060:$CQ1060)&gt;$DS$1,$DS$6,#REF!-1))</f>
        <v>#REF!</v>
      </c>
      <c r="DE1060" s="18" t="b">
        <v>0</v>
      </c>
      <c r="DF1060" s="2" t="b">
        <f>IF(OR(RecData[[#This Row],[WSpd_Avg '[m/s']]]-RecData[[#This Row],[Wind Speed min]]&gt;=$DF$3,RecData[[#This Row],[Wind Speed max]]-RecData[[#This Row],[WSpd_Avg '[m/s']]]&gt;=$DF$2),TRUE,FALSE)</f>
        <v>0</v>
      </c>
      <c r="DG1060" s="2" t="b">
        <f>RecData[[#This Row],[Temperature '[°C']]]&lt;=-20</f>
        <v>0</v>
      </c>
      <c r="DH1060" s="18" t="b">
        <f>NOT(OR(MOD(RecData[[#This Row],[TIMESTAMP]],1)&gt;0.91632,MOD(RecData[[#This Row],[TIMESTAMP]],1)&lt;0.208681))</f>
        <v>0</v>
      </c>
      <c r="DI1060" s="18" t="b">
        <f>RecData[[#This Row],[Overall (dBA)]]-RecData[[#This Row],[L90]]&gt;=$DS$4</f>
        <v>0</v>
      </c>
      <c r="DJ1060" s="18" t="b">
        <f>RecData[[#This Row],[Overall (dBA)]]&gt;$DS$2</f>
        <v>0</v>
      </c>
      <c r="DK1060" s="18" t="b">
        <f>RecData[[#This Row],[Overall (dBA)]]&lt;$DS$3</f>
        <v>0</v>
      </c>
      <c r="DL10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0" s="2">
        <f>IF(AND(RecData[[#This Row],[Turbines ON/OFF]] = "OFF", NOT(OR(RecData[[#This Row],[Junk?]]="YES",RecData[[#This Row],[Gust?]],RecData[[#This Row],[Rain?]:[Min SPL Threshold?]]))),1,0)</f>
        <v>0</v>
      </c>
      <c r="DN1060" s="16">
        <f>RecData[[#This Row],[dBA Sum]]</f>
        <v>37.479056190882801</v>
      </c>
      <c r="DO1060" s="16">
        <f>RecData[[#This Row],[LAF90.0]]</f>
        <v>36.700000000000003</v>
      </c>
      <c r="DP1060" s="55">
        <f>IF(AND(RecData[[#This Row],[Useable TON Data?]],RecData[[#This Row],[Turbines ON/OFF]]="ON"),RecData[[#This Row],[dBA Sum]],"")</f>
        <v>37.479056190882801</v>
      </c>
      <c r="DQ1060" s="55" t="str">
        <f>IF(AND(RecData[[#This Row],[Useable Background Data?]],RecData[[#This Row],[Turbines ON/OFF]]="OFF"),RecData[[#This Row],[dBA Sum]],"")</f>
        <v/>
      </c>
      <c r="DR1060" s="3">
        <f>IF(OR(RecData[[#This Row],[Useable TON Data?]],RecData[[#This Row],[Useable Background Data?]]),ROUND(RecData[[#This Row],[WSpd_Avg '[m/s']]],0),"")</f>
        <v>0</v>
      </c>
      <c r="DS1060" s="85">
        <f>(0.00002)^2*(10^(RecData[[#This Row],[Overall (dBA)]]/10))</f>
        <v>2.2385438725812757E-6</v>
      </c>
    </row>
    <row r="1061" spans="1:123" ht="15" x14ac:dyDescent="0.25">
      <c r="A1061" s="3" t="s">
        <v>249</v>
      </c>
      <c r="B1061" s="12">
        <v>43275.945833333339</v>
      </c>
      <c r="C1061" s="3"/>
      <c r="D1061" s="3">
        <v>37.799999999999997</v>
      </c>
      <c r="E1061" s="3"/>
      <c r="F1061" s="3"/>
      <c r="G1061" s="3"/>
      <c r="H1061" s="3"/>
      <c r="I1061" s="3"/>
      <c r="J1061" s="3"/>
      <c r="K1061" s="3">
        <v>36.6</v>
      </c>
      <c r="L1061" s="3"/>
      <c r="M1061" s="3"/>
      <c r="N1061" s="3">
        <v>148.6</v>
      </c>
      <c r="O1061" s="3"/>
      <c r="P1061" s="3"/>
      <c r="Q1061" s="3">
        <v>0.57999999999999996</v>
      </c>
      <c r="R1061" s="3">
        <v>0.2</v>
      </c>
      <c r="S1061" s="3">
        <v>1.3</v>
      </c>
      <c r="T1061" s="3">
        <v>13.8</v>
      </c>
      <c r="U1061" s="3">
        <v>47.2</v>
      </c>
      <c r="V1061" s="3">
        <v>976.4</v>
      </c>
      <c r="W1061" s="3">
        <v>0</v>
      </c>
      <c r="X1061" s="3">
        <v>45.7</v>
      </c>
      <c r="Y1061" s="3">
        <v>45.1</v>
      </c>
      <c r="Z1061" s="3">
        <v>44.5</v>
      </c>
      <c r="AA1061" s="3">
        <v>39.6</v>
      </c>
      <c r="AB1061" s="3">
        <v>35.700000000000003</v>
      </c>
      <c r="AC1061" s="3">
        <v>35.4</v>
      </c>
      <c r="AD1061" s="3">
        <v>38.4</v>
      </c>
      <c r="AE1061" s="3">
        <v>41</v>
      </c>
      <c r="AF1061" s="3">
        <v>42.3</v>
      </c>
      <c r="AG1061" s="3">
        <v>36.4</v>
      </c>
      <c r="AH1061" s="3">
        <v>38.200000000000003</v>
      </c>
      <c r="AI1061" s="3">
        <v>37.5</v>
      </c>
      <c r="AJ1061" s="3">
        <v>36</v>
      </c>
      <c r="AK1061" s="3">
        <v>33.6</v>
      </c>
      <c r="AL1061" s="3">
        <v>30.7</v>
      </c>
      <c r="AM1061" s="3">
        <v>29.3</v>
      </c>
      <c r="AN1061" s="3">
        <v>26.8</v>
      </c>
      <c r="AO1061" s="3">
        <v>22.6</v>
      </c>
      <c r="AP1061" s="3">
        <v>20.3</v>
      </c>
      <c r="AQ1061" s="3">
        <v>17.7</v>
      </c>
      <c r="AR1061" s="3">
        <v>14</v>
      </c>
      <c r="AS1061" s="3">
        <v>17.2</v>
      </c>
      <c r="AT1061" s="3">
        <v>23.6</v>
      </c>
      <c r="AU1061" s="3">
        <v>10</v>
      </c>
      <c r="AV1061" s="3">
        <v>8.9</v>
      </c>
      <c r="AW1061" s="3">
        <v>9.1999999999999993</v>
      </c>
      <c r="AX1061" s="3">
        <v>9</v>
      </c>
      <c r="AY1061" s="3">
        <v>9.1999999999999993</v>
      </c>
      <c r="AZ1061" s="3">
        <v>0</v>
      </c>
      <c r="BA1061" s="3">
        <v>0</v>
      </c>
      <c r="BB1061" s="3">
        <v>0</v>
      </c>
      <c r="BC1061" s="3">
        <v>37.839783032481428</v>
      </c>
      <c r="BD1061" s="3">
        <v>45.660216967518572</v>
      </c>
      <c r="BE1061" s="3">
        <v>45.060216967518578</v>
      </c>
      <c r="BF1061" s="3">
        <v>43.220216967518574</v>
      </c>
      <c r="BG1061" s="3">
        <v>38.646883634185237</v>
      </c>
      <c r="BH1061" s="3">
        <v>34.886883634185232</v>
      </c>
      <c r="BI1061" s="3">
        <v>35.000216967518575</v>
      </c>
      <c r="BJ1061" s="3">
        <v>38.793550300851898</v>
      </c>
      <c r="BK1061" s="3">
        <v>41.266883634185227</v>
      </c>
      <c r="BL1061" s="3">
        <v>42.140216967518562</v>
      </c>
      <c r="BM1061" s="3">
        <v>36.37355030085191</v>
      </c>
      <c r="BN1061" s="3">
        <v>38.456883634185239</v>
      </c>
      <c r="BO1061" s="3">
        <v>37.12355030085191</v>
      </c>
      <c r="BP1061" s="3">
        <v>35.340216967518579</v>
      </c>
      <c r="BQ1061" s="3">
        <v>33.35688363418523</v>
      </c>
      <c r="BR1061" s="3">
        <v>30.783550300851907</v>
      </c>
      <c r="BS1061" s="3">
        <v>29.186883634185243</v>
      </c>
      <c r="BT1061" s="3">
        <v>26.883550300851901</v>
      </c>
      <c r="BU1061" s="3">
        <v>22.650216967518574</v>
      </c>
      <c r="BV1061" s="3">
        <v>20.066883634185238</v>
      </c>
      <c r="BW1061" s="3">
        <v>18.000216967518575</v>
      </c>
      <c r="BX1061" s="3">
        <v>14.220216967518574</v>
      </c>
      <c r="BY1061" s="3">
        <v>17.24021696751857</v>
      </c>
      <c r="BZ1061" s="3">
        <v>23.770216967518571</v>
      </c>
      <c r="CA1061" s="3">
        <v>10.270216967518564</v>
      </c>
      <c r="CB1061" s="3">
        <v>8.6068836341852304</v>
      </c>
      <c r="CC1061" s="3">
        <v>9.1202169675185658</v>
      </c>
      <c r="CD1061" s="3">
        <v>8.226883634185242</v>
      </c>
      <c r="CE1061" s="3">
        <v>8.6202169675185658</v>
      </c>
      <c r="CF1061" s="3">
        <v>-0.96644969914810019</v>
      </c>
      <c r="CG1061" s="3">
        <v>-1.4997830324814316</v>
      </c>
      <c r="CH1061" s="3">
        <v>-2.5764496991480996</v>
      </c>
      <c r="CI1061" s="13">
        <f>[1]!dbasum(RecData[[#This Row],[20]:[2000]],RecData[[#Headers],[20]:[2000]])</f>
        <v>37.385900393138229</v>
      </c>
      <c r="CJ1061" s="14">
        <v>10643</v>
      </c>
      <c r="CK1061" s="15" t="s">
        <v>249</v>
      </c>
      <c r="CL1061" s="15">
        <f>RecData[[#This Row],[Start Time]]</f>
        <v>43275.945833333339</v>
      </c>
      <c r="CM1061" s="16">
        <f>RecData[[#This Row],[Wind Speed avg]]</f>
        <v>0.57999999999999996</v>
      </c>
      <c r="CN1061" s="16">
        <f>RecData[[#This Row],[Wind Dir. avg]]</f>
        <v>148.6</v>
      </c>
      <c r="CO1061" s="16">
        <f>RecData[[#This Row],[Amb. Humidity]]</f>
        <v>47.2</v>
      </c>
      <c r="CP1061" s="16">
        <f>RecData[[#This Row],[Amb. Temperature]]</f>
        <v>13.8</v>
      </c>
      <c r="CQ1061" s="17">
        <f>RecData[[#This Row],[Amb. Rain Gauge]]</f>
        <v>0</v>
      </c>
      <c r="CR1061" s="4" t="s">
        <v>1</v>
      </c>
      <c r="CS1061" s="4" t="s">
        <v>49</v>
      </c>
      <c r="CT1061" s="70">
        <v>1379.69995117187</v>
      </c>
      <c r="CU1061" s="70">
        <v>15.000126838684</v>
      </c>
      <c r="CV1061" s="70">
        <v>9.2706146240234304</v>
      </c>
      <c r="CW1061" s="70">
        <v>15.126360893249499</v>
      </c>
      <c r="CX1061" s="4"/>
      <c r="CY1061" s="69"/>
      <c r="CZ1061" s="2" t="b">
        <f>IF($DP$1="YES",IF(RecData[[#This Row],[Power (kW)]]&gt;=$CR$3, TRUE,FALSE),TRUE)</f>
        <v>1</v>
      </c>
      <c r="DA1061" s="16">
        <f>MIN(MOD(180-ABS(ABS($DA$1-RecData[Yaw Angle (°)])-180),360),MOD(180-ABS(ABS($DB$1-RecData[Yaw Angle (°)])-180),360))</f>
        <v>7.4702000609964614</v>
      </c>
      <c r="DB1061" s="2" t="str">
        <f>IF($DP$2="None","None",IF(RecData[[#This Row],[Relative Wind Direction]]&lt;=45,"DW",IF(RecData[[#This Row],[Relative Wind Direction]]&lt;=135,"CW","UW")))</f>
        <v>DW</v>
      </c>
      <c r="DC1061" s="61" t="e">
        <f>IF($CL1061-#REF!&gt;1/24,#REF!,IF(SUM($CQ1060:$CQ1061)&gt;$DS$1,$DS$5,DC1062-1))</f>
        <v>#REF!</v>
      </c>
      <c r="DD1061" s="61" t="e">
        <f>IF($CL1062-$CL1061&gt;1/24,#REF!,IF(SUM($CQ1060:$CQ1061)&gt;$DS$1,$DS$6,DD1060-1))</f>
        <v>#REF!</v>
      </c>
      <c r="DE1061" s="18" t="b">
        <v>0</v>
      </c>
      <c r="DF1061" s="2" t="b">
        <f>IF(OR(RecData[[#This Row],[WSpd_Avg '[m/s']]]-RecData[[#This Row],[Wind Speed min]]&gt;=$DF$3,RecData[[#This Row],[Wind Speed max]]-RecData[[#This Row],[WSpd_Avg '[m/s']]]&gt;=$DF$2),TRUE,FALSE)</f>
        <v>0</v>
      </c>
      <c r="DG1061" s="2" t="b">
        <f>RecData[[#This Row],[Temperature '[°C']]]&lt;=-20</f>
        <v>0</v>
      </c>
      <c r="DH1061" s="18" t="b">
        <f>NOT(OR(MOD(RecData[[#This Row],[TIMESTAMP]],1)&gt;0.91632,MOD(RecData[[#This Row],[TIMESTAMP]],1)&lt;0.208681))</f>
        <v>0</v>
      </c>
      <c r="DI1061" s="18" t="b">
        <f>RecData[[#This Row],[Overall (dBA)]]-RecData[[#This Row],[L90]]&gt;=$DS$4</f>
        <v>0</v>
      </c>
      <c r="DJ1061" s="18" t="b">
        <f>RecData[[#This Row],[Overall (dBA)]]&gt;$DS$2</f>
        <v>0</v>
      </c>
      <c r="DK1061" s="18" t="b">
        <f>RecData[[#This Row],[Overall (dBA)]]&lt;$DS$3</f>
        <v>0</v>
      </c>
      <c r="DL10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1" s="2">
        <f>IF(AND(RecData[[#This Row],[Turbines ON/OFF]] = "OFF", NOT(OR(RecData[[#This Row],[Junk?]]="YES",RecData[[#This Row],[Gust?]],RecData[[#This Row],[Rain?]:[Min SPL Threshold?]]))),1,0)</f>
        <v>0</v>
      </c>
      <c r="DN1061" s="16">
        <f>RecData[[#This Row],[dBA Sum]]</f>
        <v>37.385900393138229</v>
      </c>
      <c r="DO1061" s="16">
        <f>RecData[[#This Row],[LAF90.0]]</f>
        <v>36.6</v>
      </c>
      <c r="DP1061" s="55">
        <f>IF(AND(RecData[[#This Row],[Useable TON Data?]],RecData[[#This Row],[Turbines ON/OFF]]="ON"),RecData[[#This Row],[dBA Sum]],"")</f>
        <v>37.385900393138229</v>
      </c>
      <c r="DQ1061" s="55" t="str">
        <f>IF(AND(RecData[[#This Row],[Useable Background Data?]],RecData[[#This Row],[Turbines ON/OFF]]="OFF"),RecData[[#This Row],[dBA Sum]],"")</f>
        <v/>
      </c>
      <c r="DR1061" s="3">
        <f>IF(OR(RecData[[#This Row],[Useable TON Data?]],RecData[[#This Row],[Useable Background Data?]]),ROUND(RecData[[#This Row],[WSpd_Avg '[m/s']]],0),"")</f>
        <v>1</v>
      </c>
      <c r="DS1061" s="85">
        <f>(0.00002)^2*(10^(RecData[[#This Row],[Overall (dBA)]]/10))</f>
        <v>2.1910386098582583E-6</v>
      </c>
    </row>
    <row r="1062" spans="1:123" ht="15" x14ac:dyDescent="0.25">
      <c r="A1062" s="3" t="s">
        <v>249</v>
      </c>
      <c r="B1062" s="12">
        <v>43275.946527777785</v>
      </c>
      <c r="C1062" s="3"/>
      <c r="D1062" s="3">
        <v>39.5</v>
      </c>
      <c r="E1062" s="3"/>
      <c r="F1062" s="3"/>
      <c r="G1062" s="3"/>
      <c r="H1062" s="3"/>
      <c r="I1062" s="3"/>
      <c r="J1062" s="3"/>
      <c r="K1062" s="3">
        <v>37.9</v>
      </c>
      <c r="L1062" s="3"/>
      <c r="M1062" s="3"/>
      <c r="N1062" s="3">
        <v>138.30000000000001</v>
      </c>
      <c r="O1062" s="3"/>
      <c r="P1062" s="3"/>
      <c r="Q1062" s="3">
        <v>0.5</v>
      </c>
      <c r="R1062" s="3">
        <v>0.1</v>
      </c>
      <c r="S1062" s="3">
        <v>1.2</v>
      </c>
      <c r="T1062" s="3">
        <v>13.8</v>
      </c>
      <c r="U1062" s="3">
        <v>48.3</v>
      </c>
      <c r="V1062" s="3">
        <v>976.4</v>
      </c>
      <c r="W1062" s="3">
        <v>0</v>
      </c>
      <c r="X1062" s="3">
        <v>47.4</v>
      </c>
      <c r="Y1062" s="3">
        <v>47.1</v>
      </c>
      <c r="Z1062" s="3">
        <v>46.4</v>
      </c>
      <c r="AA1062" s="3">
        <v>42.7</v>
      </c>
      <c r="AB1062" s="3">
        <v>37.9</v>
      </c>
      <c r="AC1062" s="3">
        <v>37.799999999999997</v>
      </c>
      <c r="AD1062" s="3">
        <v>40.700000000000003</v>
      </c>
      <c r="AE1062" s="3">
        <v>42.7</v>
      </c>
      <c r="AF1062" s="3">
        <v>43.8</v>
      </c>
      <c r="AG1062" s="3">
        <v>37.9</v>
      </c>
      <c r="AH1062" s="3">
        <v>39.299999999999997</v>
      </c>
      <c r="AI1062" s="3">
        <v>38.5</v>
      </c>
      <c r="AJ1062" s="3">
        <v>37.4</v>
      </c>
      <c r="AK1062" s="3">
        <v>35.200000000000003</v>
      </c>
      <c r="AL1062" s="3">
        <v>32.5</v>
      </c>
      <c r="AM1062" s="3">
        <v>31.2</v>
      </c>
      <c r="AN1062" s="3">
        <v>28.7</v>
      </c>
      <c r="AO1062" s="3">
        <v>24.7</v>
      </c>
      <c r="AP1062" s="3">
        <v>22.5</v>
      </c>
      <c r="AQ1062" s="3">
        <v>20.7</v>
      </c>
      <c r="AR1062" s="3">
        <v>18.899999999999999</v>
      </c>
      <c r="AS1062" s="3">
        <v>20.5</v>
      </c>
      <c r="AT1062" s="3">
        <v>25.1</v>
      </c>
      <c r="AU1062" s="3">
        <v>13.4</v>
      </c>
      <c r="AV1062" s="3">
        <v>11.2</v>
      </c>
      <c r="AW1062" s="3">
        <v>10.4</v>
      </c>
      <c r="AX1062" s="3">
        <v>9.3000000000000007</v>
      </c>
      <c r="AY1062" s="3">
        <v>9.3000000000000007</v>
      </c>
      <c r="AZ1062" s="3">
        <v>0</v>
      </c>
      <c r="BA1062" s="3">
        <v>0</v>
      </c>
      <c r="BB1062" s="3">
        <v>0</v>
      </c>
      <c r="BC1062" s="3">
        <v>39.464858739111072</v>
      </c>
      <c r="BD1062" s="3">
        <v>47.435141260888933</v>
      </c>
      <c r="BE1062" s="3">
        <v>47.135141260888922</v>
      </c>
      <c r="BF1062" s="3">
        <v>45.195141260888924</v>
      </c>
      <c r="BG1062" s="3">
        <v>41.821807927555589</v>
      </c>
      <c r="BH1062" s="3">
        <v>37.161807927555593</v>
      </c>
      <c r="BI1062" s="3">
        <v>37.475141260888925</v>
      </c>
      <c r="BJ1062" s="3">
        <v>41.168474594222253</v>
      </c>
      <c r="BK1062" s="3">
        <v>43.041807927555588</v>
      </c>
      <c r="BL1062" s="3">
        <v>43.715141260888934</v>
      </c>
      <c r="BM1062" s="3">
        <v>37.948474594222255</v>
      </c>
      <c r="BN1062" s="3">
        <v>39.631807927555592</v>
      </c>
      <c r="BO1062" s="3">
        <v>38.198474594222255</v>
      </c>
      <c r="BP1062" s="3">
        <v>36.815141260888929</v>
      </c>
      <c r="BQ1062" s="3">
        <v>35.031807927555597</v>
      </c>
      <c r="BR1062" s="3">
        <v>32.658474594222263</v>
      </c>
      <c r="BS1062" s="3">
        <v>31.161807927555593</v>
      </c>
      <c r="BT1062" s="3">
        <v>28.858474594222265</v>
      </c>
      <c r="BU1062" s="3">
        <v>24.825141260888934</v>
      </c>
      <c r="BV1062" s="3">
        <v>22.3418079275556</v>
      </c>
      <c r="BW1062" s="3">
        <v>21.075141260888934</v>
      </c>
      <c r="BX1062" s="3">
        <v>19.195141260888931</v>
      </c>
      <c r="BY1062" s="3">
        <v>20.615141260888926</v>
      </c>
      <c r="BZ1062" s="3">
        <v>25.34514126088893</v>
      </c>
      <c r="CA1062" s="3">
        <v>13.745141260888921</v>
      </c>
      <c r="CB1062" s="3">
        <v>10.981807927555593</v>
      </c>
      <c r="CC1062" s="3">
        <v>10.395141260888927</v>
      </c>
      <c r="CD1062" s="3">
        <v>8.6018079275555976</v>
      </c>
      <c r="CE1062" s="3">
        <v>8.7951412608889257</v>
      </c>
      <c r="CF1062" s="3">
        <v>-0.89152540577774175</v>
      </c>
      <c r="CG1062" s="3">
        <v>-1.4248587391110732</v>
      </c>
      <c r="CH1062" s="3">
        <v>-2.5015254057777412</v>
      </c>
      <c r="CI1062" s="13">
        <f>[1]!dbasum(RecData[[#This Row],[20]:[2000]],RecData[[#Headers],[20]:[2000]])</f>
        <v>39.075229708492031</v>
      </c>
      <c r="CJ1062" s="14">
        <v>10644</v>
      </c>
      <c r="CK1062" s="15" t="s">
        <v>249</v>
      </c>
      <c r="CL1062" s="15">
        <f>RecData[[#This Row],[Start Time]]</f>
        <v>43275.946527777785</v>
      </c>
      <c r="CM1062" s="16">
        <f>RecData[[#This Row],[Wind Speed avg]]</f>
        <v>0.5</v>
      </c>
      <c r="CN1062" s="16">
        <f>RecData[[#This Row],[Wind Dir. avg]]</f>
        <v>138.30000000000001</v>
      </c>
      <c r="CO1062" s="16">
        <f>RecData[[#This Row],[Amb. Humidity]]</f>
        <v>48.3</v>
      </c>
      <c r="CP1062" s="16">
        <f>RecData[[#This Row],[Amb. Temperature]]</f>
        <v>13.8</v>
      </c>
      <c r="CQ1062" s="17">
        <f>RecData[[#This Row],[Amb. Rain Gauge]]</f>
        <v>0</v>
      </c>
      <c r="CR1062" s="4" t="s">
        <v>1</v>
      </c>
      <c r="CS1062" s="4" t="s">
        <v>49</v>
      </c>
      <c r="CT1062" s="70">
        <v>1379.69995117187</v>
      </c>
      <c r="CU1062" s="70">
        <v>15.000126838684</v>
      </c>
      <c r="CV1062" s="70">
        <v>9.2706146240234304</v>
      </c>
      <c r="CW1062" s="70">
        <v>15.126360893249499</v>
      </c>
      <c r="CX1062" s="4"/>
      <c r="CY1062" s="69"/>
      <c r="CZ1062" s="2" t="b">
        <f>IF($DP$1="YES",IF(RecData[[#This Row],[Power (kW)]]&gt;=$CR$3, TRUE,FALSE),TRUE)</f>
        <v>1</v>
      </c>
      <c r="DA1062" s="16">
        <f>MIN(MOD(180-ABS(ABS($DA$1-RecData[Yaw Angle (°)])-180),360),MOD(180-ABS(ABS($DB$1-RecData[Yaw Angle (°)])-180),360))</f>
        <v>7.4702000609964614</v>
      </c>
      <c r="DB1062" s="2" t="str">
        <f>IF($DP$2="None","None",IF(RecData[[#This Row],[Relative Wind Direction]]&lt;=45,"DW",IF(RecData[[#This Row],[Relative Wind Direction]]&lt;=135,"CW","UW")))</f>
        <v>DW</v>
      </c>
      <c r="DC1062" s="61" t="e">
        <f>IF($CL1062-#REF!&gt;1/24,#REF!,IF(SUM($CQ1060:$CQ1062)&gt;$DS$1,$DS$5,DC1063-1))</f>
        <v>#REF!</v>
      </c>
      <c r="DD1062" s="61" t="e">
        <f>IF($CL1063-$CL1062&gt;1/24,#REF!,IF(SUM($CQ1060:$CQ1062)&gt;$DS$1,$DS$6,DD1061-1))</f>
        <v>#REF!</v>
      </c>
      <c r="DE1062" s="18" t="b">
        <v>0</v>
      </c>
      <c r="DF1062" s="2" t="b">
        <f>IF(OR(RecData[[#This Row],[WSpd_Avg '[m/s']]]-RecData[[#This Row],[Wind Speed min]]&gt;=$DF$3,RecData[[#This Row],[Wind Speed max]]-RecData[[#This Row],[WSpd_Avg '[m/s']]]&gt;=$DF$2),TRUE,FALSE)</f>
        <v>0</v>
      </c>
      <c r="DG1062" s="2" t="b">
        <f>RecData[[#This Row],[Temperature '[°C']]]&lt;=-20</f>
        <v>0</v>
      </c>
      <c r="DH1062" s="18" t="b">
        <f>NOT(OR(MOD(RecData[[#This Row],[TIMESTAMP]],1)&gt;0.91632,MOD(RecData[[#This Row],[TIMESTAMP]],1)&lt;0.208681))</f>
        <v>0</v>
      </c>
      <c r="DI1062" s="18" t="b">
        <f>RecData[[#This Row],[Overall (dBA)]]-RecData[[#This Row],[L90]]&gt;=$DS$4</f>
        <v>0</v>
      </c>
      <c r="DJ1062" s="18" t="b">
        <f>RecData[[#This Row],[Overall (dBA)]]&gt;$DS$2</f>
        <v>0</v>
      </c>
      <c r="DK1062" s="18" t="b">
        <f>RecData[[#This Row],[Overall (dBA)]]&lt;$DS$3</f>
        <v>0</v>
      </c>
      <c r="DL10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2" s="2">
        <f>IF(AND(RecData[[#This Row],[Turbines ON/OFF]] = "OFF", NOT(OR(RecData[[#This Row],[Junk?]]="YES",RecData[[#This Row],[Gust?]],RecData[[#This Row],[Rain?]:[Min SPL Threshold?]]))),1,0)</f>
        <v>0</v>
      </c>
      <c r="DN1062" s="16">
        <f>RecData[[#This Row],[dBA Sum]]</f>
        <v>39.075229708492031</v>
      </c>
      <c r="DO1062" s="16">
        <f>RecData[[#This Row],[LAF90.0]]</f>
        <v>37.9</v>
      </c>
      <c r="DP1062" s="55">
        <f>IF(AND(RecData[[#This Row],[Useable TON Data?]],RecData[[#This Row],[Turbines ON/OFF]]="ON"),RecData[[#This Row],[dBA Sum]],"")</f>
        <v>39.075229708492031</v>
      </c>
      <c r="DQ1062" s="55" t="str">
        <f>IF(AND(RecData[[#This Row],[Useable Background Data?]],RecData[[#This Row],[Turbines ON/OFF]]="OFF"),RecData[[#This Row],[dBA Sum]],"")</f>
        <v/>
      </c>
      <c r="DR1062" s="3">
        <f>IF(OR(RecData[[#This Row],[Useable TON Data?]],RecData[[#This Row],[Useable Background Data?]]),ROUND(RecData[[#This Row],[WSpd_Avg '[m/s']]],0),"")</f>
        <v>1</v>
      </c>
      <c r="DS1062" s="85">
        <f>(0.00002)^2*(10^(RecData[[#This Row],[Overall (dBA)]]/10))</f>
        <v>3.2328307038925714E-6</v>
      </c>
    </row>
    <row r="1063" spans="1:123" ht="15" x14ac:dyDescent="0.25">
      <c r="A1063" s="3" t="s">
        <v>249</v>
      </c>
      <c r="B1063" s="12">
        <v>43275.947222222225</v>
      </c>
      <c r="C1063" s="3"/>
      <c r="D1063" s="3">
        <v>39.4</v>
      </c>
      <c r="E1063" s="3"/>
      <c r="F1063" s="3"/>
      <c r="G1063" s="3"/>
      <c r="H1063" s="3"/>
      <c r="I1063" s="3"/>
      <c r="J1063" s="3"/>
      <c r="K1063" s="3">
        <v>38.1</v>
      </c>
      <c r="L1063" s="3"/>
      <c r="M1063" s="3"/>
      <c r="N1063" s="3">
        <v>106.6</v>
      </c>
      <c r="O1063" s="3"/>
      <c r="P1063" s="3"/>
      <c r="Q1063" s="3">
        <v>0.63</v>
      </c>
      <c r="R1063" s="3">
        <v>0.1</v>
      </c>
      <c r="S1063" s="3">
        <v>1.4</v>
      </c>
      <c r="T1063" s="3">
        <v>13.8</v>
      </c>
      <c r="U1063" s="3">
        <v>47</v>
      </c>
      <c r="V1063" s="3">
        <v>976.4</v>
      </c>
      <c r="W1063" s="3">
        <v>0</v>
      </c>
      <c r="X1063" s="3">
        <v>45.6</v>
      </c>
      <c r="Y1063" s="3">
        <v>45</v>
      </c>
      <c r="Z1063" s="3">
        <v>43.9</v>
      </c>
      <c r="AA1063" s="3">
        <v>40.1</v>
      </c>
      <c r="AB1063" s="3">
        <v>36.1</v>
      </c>
      <c r="AC1063" s="3">
        <v>36.5</v>
      </c>
      <c r="AD1063" s="3">
        <v>40.299999999999997</v>
      </c>
      <c r="AE1063" s="3">
        <v>42.2</v>
      </c>
      <c r="AF1063" s="3">
        <v>43.1</v>
      </c>
      <c r="AG1063" s="3">
        <v>36.5</v>
      </c>
      <c r="AH1063" s="3">
        <v>39.799999999999997</v>
      </c>
      <c r="AI1063" s="3">
        <v>38.299999999999997</v>
      </c>
      <c r="AJ1063" s="3">
        <v>38</v>
      </c>
      <c r="AK1063" s="3">
        <v>35.4</v>
      </c>
      <c r="AL1063" s="3">
        <v>32.4</v>
      </c>
      <c r="AM1063" s="3">
        <v>30.6</v>
      </c>
      <c r="AN1063" s="3">
        <v>28.5</v>
      </c>
      <c r="AO1063" s="3">
        <v>24.3</v>
      </c>
      <c r="AP1063" s="3">
        <v>22</v>
      </c>
      <c r="AQ1063" s="3">
        <v>19.600000000000001</v>
      </c>
      <c r="AR1063" s="3">
        <v>16.899999999999999</v>
      </c>
      <c r="AS1063" s="3">
        <v>17.100000000000001</v>
      </c>
      <c r="AT1063" s="3">
        <v>25.8</v>
      </c>
      <c r="AU1063" s="3">
        <v>12.6</v>
      </c>
      <c r="AV1063" s="3">
        <v>10.3</v>
      </c>
      <c r="AW1063" s="3">
        <v>9.9</v>
      </c>
      <c r="AX1063" s="3">
        <v>9.1999999999999993</v>
      </c>
      <c r="AY1063" s="3">
        <v>9.3000000000000007</v>
      </c>
      <c r="AZ1063" s="3">
        <v>0</v>
      </c>
      <c r="BA1063" s="3">
        <v>0</v>
      </c>
      <c r="BB1063" s="3">
        <v>0</v>
      </c>
      <c r="BC1063" s="3">
        <v>39.350920865025209</v>
      </c>
      <c r="BD1063" s="3">
        <v>45.649079134974791</v>
      </c>
      <c r="BE1063" s="3">
        <v>45.049079134974797</v>
      </c>
      <c r="BF1063" s="3">
        <v>42.709079134974793</v>
      </c>
      <c r="BG1063" s="3">
        <v>39.235745801641464</v>
      </c>
      <c r="BH1063" s="3">
        <v>35.37574580164145</v>
      </c>
      <c r="BI1063" s="3">
        <v>36.189079134974783</v>
      </c>
      <c r="BJ1063" s="3">
        <v>40.782412468308117</v>
      </c>
      <c r="BK1063" s="3">
        <v>42.555745801641457</v>
      </c>
      <c r="BL1063" s="3">
        <v>43.029079134974786</v>
      </c>
      <c r="BM1063" s="3">
        <v>36.562412468308118</v>
      </c>
      <c r="BN1063" s="3">
        <v>40.145745801641461</v>
      </c>
      <c r="BO1063" s="3">
        <v>38.012412468308121</v>
      </c>
      <c r="BP1063" s="3">
        <v>37.429079134974792</v>
      </c>
      <c r="BQ1063" s="3">
        <v>35.245745801641455</v>
      </c>
      <c r="BR1063" s="3">
        <v>32.572412468308123</v>
      </c>
      <c r="BS1063" s="3">
        <v>30.575745801641453</v>
      </c>
      <c r="BT1063" s="3">
        <v>28.672412468308131</v>
      </c>
      <c r="BU1063" s="3">
        <v>24.439079134974797</v>
      </c>
      <c r="BV1063" s="3">
        <v>21.855745801641454</v>
      </c>
      <c r="BW1063" s="3">
        <v>19.989079134974794</v>
      </c>
      <c r="BX1063" s="3">
        <v>17.209079134974793</v>
      </c>
      <c r="BY1063" s="3">
        <v>17.229079134974789</v>
      </c>
      <c r="BZ1063" s="3">
        <v>26.059079134974787</v>
      </c>
      <c r="CA1063" s="3">
        <v>12.959079134974779</v>
      </c>
      <c r="CB1063" s="3">
        <v>10.095745801641456</v>
      </c>
      <c r="CC1063" s="3">
        <v>9.9090791349747889</v>
      </c>
      <c r="CD1063" s="3">
        <v>8.515745801641458</v>
      </c>
      <c r="CE1063" s="3">
        <v>8.8090791349747875</v>
      </c>
      <c r="CF1063" s="3">
        <v>-0.87758753169187997</v>
      </c>
      <c r="CG1063" s="3">
        <v>-1.4109208650252114</v>
      </c>
      <c r="CH1063" s="3">
        <v>-2.4875875316918794</v>
      </c>
      <c r="CI1063" s="13">
        <f>[1]!dbasum(RecData[[#This Row],[20]:[2000]],RecData[[#Headers],[20]:[2000]])</f>
        <v>38.961332589935878</v>
      </c>
      <c r="CJ1063" s="14">
        <v>10645</v>
      </c>
      <c r="CK1063" s="15" t="s">
        <v>249</v>
      </c>
      <c r="CL1063" s="15">
        <f>RecData[[#This Row],[Start Time]]</f>
        <v>43275.947222222225</v>
      </c>
      <c r="CM1063" s="16">
        <f>RecData[[#This Row],[Wind Speed avg]]</f>
        <v>0.63</v>
      </c>
      <c r="CN1063" s="16">
        <f>RecData[[#This Row],[Wind Dir. avg]]</f>
        <v>106.6</v>
      </c>
      <c r="CO1063" s="16">
        <f>RecData[[#This Row],[Amb. Humidity]]</f>
        <v>47</v>
      </c>
      <c r="CP1063" s="16">
        <f>RecData[[#This Row],[Amb. Temperature]]</f>
        <v>13.8</v>
      </c>
      <c r="CQ1063" s="17">
        <f>RecData[[#This Row],[Amb. Rain Gauge]]</f>
        <v>0</v>
      </c>
      <c r="CR1063" s="4" t="s">
        <v>1</v>
      </c>
      <c r="CS1063" s="4" t="s">
        <v>49</v>
      </c>
      <c r="CT1063" s="70">
        <v>1379.69995117187</v>
      </c>
      <c r="CU1063" s="70">
        <v>15.000126838684</v>
      </c>
      <c r="CV1063" s="70">
        <v>9.2706146240234304</v>
      </c>
      <c r="CW1063" s="70">
        <v>15.126360893249499</v>
      </c>
      <c r="CX1063" s="4"/>
      <c r="CY1063" s="69"/>
      <c r="CZ1063" s="2" t="b">
        <f>IF($DP$1="YES",IF(RecData[[#This Row],[Power (kW)]]&gt;=$CR$3, TRUE,FALSE),TRUE)</f>
        <v>1</v>
      </c>
      <c r="DA1063" s="16">
        <f>MIN(MOD(180-ABS(ABS($DA$1-RecData[Yaw Angle (°)])-180),360),MOD(180-ABS(ABS($DB$1-RecData[Yaw Angle (°)])-180),360))</f>
        <v>7.4702000609964614</v>
      </c>
      <c r="DB1063" s="2" t="str">
        <f>IF($DP$2="None","None",IF(RecData[[#This Row],[Relative Wind Direction]]&lt;=45,"DW",IF(RecData[[#This Row],[Relative Wind Direction]]&lt;=135,"CW","UW")))</f>
        <v>DW</v>
      </c>
      <c r="DC1063" s="61" t="e">
        <f>IF($CL1063-#REF!&gt;1/24,#REF!,IF(SUM($CQ1060:$CQ1063)&gt;$DS$1,$DS$5,DC1064-1))</f>
        <v>#REF!</v>
      </c>
      <c r="DD1063" s="61" t="e">
        <f>IF($CL1064-$CL1063&gt;1/24,#REF!,IF(SUM($CQ1060:$CQ1063)&gt;$DS$1,$DS$6,DD1062-1))</f>
        <v>#REF!</v>
      </c>
      <c r="DE1063" s="18" t="b">
        <v>0</v>
      </c>
      <c r="DF1063" s="2" t="b">
        <f>IF(OR(RecData[[#This Row],[WSpd_Avg '[m/s']]]-RecData[[#This Row],[Wind Speed min]]&gt;=$DF$3,RecData[[#This Row],[Wind Speed max]]-RecData[[#This Row],[WSpd_Avg '[m/s']]]&gt;=$DF$2),TRUE,FALSE)</f>
        <v>0</v>
      </c>
      <c r="DG1063" s="2" t="b">
        <f>RecData[[#This Row],[Temperature '[°C']]]&lt;=-20</f>
        <v>0</v>
      </c>
      <c r="DH1063" s="18" t="b">
        <f>NOT(OR(MOD(RecData[[#This Row],[TIMESTAMP]],1)&gt;0.91632,MOD(RecData[[#This Row],[TIMESTAMP]],1)&lt;0.208681))</f>
        <v>0</v>
      </c>
      <c r="DI1063" s="18" t="b">
        <f>RecData[[#This Row],[Overall (dBA)]]-RecData[[#This Row],[L90]]&gt;=$DS$4</f>
        <v>0</v>
      </c>
      <c r="DJ1063" s="18" t="b">
        <f>RecData[[#This Row],[Overall (dBA)]]&gt;$DS$2</f>
        <v>0</v>
      </c>
      <c r="DK1063" s="18" t="b">
        <f>RecData[[#This Row],[Overall (dBA)]]&lt;$DS$3</f>
        <v>0</v>
      </c>
      <c r="DL10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3" s="2">
        <f>IF(AND(RecData[[#This Row],[Turbines ON/OFF]] = "OFF", NOT(OR(RecData[[#This Row],[Junk?]]="YES",RecData[[#This Row],[Gust?]],RecData[[#This Row],[Rain?]:[Min SPL Threshold?]]))),1,0)</f>
        <v>0</v>
      </c>
      <c r="DN1063" s="16">
        <f>RecData[[#This Row],[dBA Sum]]</f>
        <v>38.961332589935878</v>
      </c>
      <c r="DO1063" s="16">
        <f>RecData[[#This Row],[LAF90.0]]</f>
        <v>38.1</v>
      </c>
      <c r="DP1063" s="55">
        <f>IF(AND(RecData[[#This Row],[Useable TON Data?]],RecData[[#This Row],[Turbines ON/OFF]]="ON"),RecData[[#This Row],[dBA Sum]],"")</f>
        <v>38.961332589935878</v>
      </c>
      <c r="DQ1063" s="55" t="str">
        <f>IF(AND(RecData[[#This Row],[Useable Background Data?]],RecData[[#This Row],[Turbines ON/OFF]]="OFF"),RecData[[#This Row],[dBA Sum]],"")</f>
        <v/>
      </c>
      <c r="DR1063" s="3">
        <f>IF(OR(RecData[[#This Row],[Useable TON Data?]],RecData[[#This Row],[Useable Background Data?]]),ROUND(RecData[[#This Row],[WSpd_Avg '[m/s']]],0),"")</f>
        <v>1</v>
      </c>
      <c r="DS1063" s="85">
        <f>(0.00002)^2*(10^(RecData[[#This Row],[Overall (dBA)]]/10))</f>
        <v>3.1491492960600561E-6</v>
      </c>
    </row>
    <row r="1064" spans="1:123" ht="15" x14ac:dyDescent="0.25">
      <c r="A1064" s="3" t="s">
        <v>249</v>
      </c>
      <c r="B1064" s="12">
        <v>43275.947916666672</v>
      </c>
      <c r="C1064" s="3"/>
      <c r="D1064" s="3">
        <v>38.700000000000003</v>
      </c>
      <c r="E1064" s="3"/>
      <c r="F1064" s="3"/>
      <c r="G1064" s="3"/>
      <c r="H1064" s="3"/>
      <c r="I1064" s="3"/>
      <c r="J1064" s="3"/>
      <c r="K1064" s="3">
        <v>37.299999999999997</v>
      </c>
      <c r="L1064" s="3"/>
      <c r="M1064" s="3"/>
      <c r="N1064" s="3">
        <v>245.5</v>
      </c>
      <c r="O1064" s="3"/>
      <c r="P1064" s="3"/>
      <c r="Q1064" s="3">
        <v>0.47</v>
      </c>
      <c r="R1064" s="3">
        <v>0.3</v>
      </c>
      <c r="S1064" s="3">
        <v>0.7</v>
      </c>
      <c r="T1064" s="3">
        <v>13.8</v>
      </c>
      <c r="U1064" s="3">
        <v>46.7</v>
      </c>
      <c r="V1064" s="3">
        <v>976.4</v>
      </c>
      <c r="W1064" s="3">
        <v>0</v>
      </c>
      <c r="X1064" s="3">
        <v>45.8</v>
      </c>
      <c r="Y1064" s="3">
        <v>45.3</v>
      </c>
      <c r="Z1064" s="3">
        <v>44.5</v>
      </c>
      <c r="AA1064" s="3">
        <v>40</v>
      </c>
      <c r="AB1064" s="3">
        <v>36.1</v>
      </c>
      <c r="AC1064" s="3">
        <v>36</v>
      </c>
      <c r="AD1064" s="3">
        <v>39.4</v>
      </c>
      <c r="AE1064" s="3">
        <v>41.6</v>
      </c>
      <c r="AF1064" s="3">
        <v>42.7</v>
      </c>
      <c r="AG1064" s="3">
        <v>37</v>
      </c>
      <c r="AH1064" s="3">
        <v>39</v>
      </c>
      <c r="AI1064" s="3">
        <v>38.1</v>
      </c>
      <c r="AJ1064" s="3">
        <v>37.1</v>
      </c>
      <c r="AK1064" s="3">
        <v>34.5</v>
      </c>
      <c r="AL1064" s="3">
        <v>31.6</v>
      </c>
      <c r="AM1064" s="3">
        <v>30.4</v>
      </c>
      <c r="AN1064" s="3">
        <v>27.8</v>
      </c>
      <c r="AO1064" s="3">
        <v>23.6</v>
      </c>
      <c r="AP1064" s="3">
        <v>21.4</v>
      </c>
      <c r="AQ1064" s="3">
        <v>18.7</v>
      </c>
      <c r="AR1064" s="3">
        <v>14.9</v>
      </c>
      <c r="AS1064" s="3">
        <v>16.7</v>
      </c>
      <c r="AT1064" s="3">
        <v>24.5</v>
      </c>
      <c r="AU1064" s="3">
        <v>11</v>
      </c>
      <c r="AV1064" s="3">
        <v>9.3000000000000007</v>
      </c>
      <c r="AW1064" s="3">
        <v>9.5</v>
      </c>
      <c r="AX1064" s="3">
        <v>9.1</v>
      </c>
      <c r="AY1064" s="3">
        <v>9.3000000000000007</v>
      </c>
      <c r="AZ1064" s="3">
        <v>0</v>
      </c>
      <c r="BA1064" s="3">
        <v>0</v>
      </c>
      <c r="BB1064" s="3">
        <v>0</v>
      </c>
      <c r="BC1064" s="3">
        <v>38.690771048316783</v>
      </c>
      <c r="BD1064" s="3">
        <v>45.809228951683217</v>
      </c>
      <c r="BE1064" s="3">
        <v>45.309228951683217</v>
      </c>
      <c r="BF1064" s="3">
        <v>43.269228951683225</v>
      </c>
      <c r="BG1064" s="3">
        <v>39.095895618349878</v>
      </c>
      <c r="BH1064" s="3">
        <v>35.335895618349888</v>
      </c>
      <c r="BI1064" s="3">
        <v>35.64922895168322</v>
      </c>
      <c r="BJ1064" s="3">
        <v>39.842562285016548</v>
      </c>
      <c r="BK1064" s="3">
        <v>41.915895618349886</v>
      </c>
      <c r="BL1064" s="3">
        <v>42.589228951683218</v>
      </c>
      <c r="BM1064" s="3">
        <v>37.022562285016555</v>
      </c>
      <c r="BN1064" s="3">
        <v>39.305895618349886</v>
      </c>
      <c r="BO1064" s="3">
        <v>37.772562285016555</v>
      </c>
      <c r="BP1064" s="3">
        <v>36.489228951683224</v>
      </c>
      <c r="BQ1064" s="3">
        <v>34.305895618349886</v>
      </c>
      <c r="BR1064" s="3">
        <v>31.732562285016563</v>
      </c>
      <c r="BS1064" s="3">
        <v>30.335895618349888</v>
      </c>
      <c r="BT1064" s="3">
        <v>27.932562285016552</v>
      </c>
      <c r="BU1064" s="3">
        <v>23.699228951683224</v>
      </c>
      <c r="BV1064" s="3">
        <v>21.215895618349883</v>
      </c>
      <c r="BW1064" s="3">
        <v>19.049228951683226</v>
      </c>
      <c r="BX1064" s="3">
        <v>15.169228951683223</v>
      </c>
      <c r="BY1064" s="3">
        <v>16.789228951683221</v>
      </c>
      <c r="BZ1064" s="3">
        <v>24.719228951683228</v>
      </c>
      <c r="CA1064" s="3">
        <v>11.319228951683215</v>
      </c>
      <c r="CB1064" s="3">
        <v>9.0558956183498864</v>
      </c>
      <c r="CC1064" s="3">
        <v>9.4692289516832204</v>
      </c>
      <c r="CD1064" s="3">
        <v>8.3758956183498938</v>
      </c>
      <c r="CE1064" s="3">
        <v>8.7692289516832176</v>
      </c>
      <c r="CF1064" s="3">
        <v>-0.91743771498344984</v>
      </c>
      <c r="CG1064" s="3">
        <v>-1.4507710483167813</v>
      </c>
      <c r="CH1064" s="3">
        <v>-2.5274377149834493</v>
      </c>
      <c r="CI1064" s="13">
        <f>[1]!dbasum(RecData[[#This Row],[20]:[2000]],RecData[[#Headers],[20]:[2000]])</f>
        <v>38.297681255908408</v>
      </c>
      <c r="CJ1064" s="14">
        <v>10646</v>
      </c>
      <c r="CK1064" s="15" t="s">
        <v>249</v>
      </c>
      <c r="CL1064" s="15">
        <f>RecData[[#This Row],[Start Time]]</f>
        <v>43275.947916666672</v>
      </c>
      <c r="CM1064" s="16">
        <f>RecData[[#This Row],[Wind Speed avg]]</f>
        <v>0.47</v>
      </c>
      <c r="CN1064" s="16">
        <f>RecData[[#This Row],[Wind Dir. avg]]</f>
        <v>245.5</v>
      </c>
      <c r="CO1064" s="16">
        <f>RecData[[#This Row],[Amb. Humidity]]</f>
        <v>46.7</v>
      </c>
      <c r="CP1064" s="16">
        <f>RecData[[#This Row],[Amb. Temperature]]</f>
        <v>13.8</v>
      </c>
      <c r="CQ1064" s="17">
        <f>RecData[[#This Row],[Amb. Rain Gauge]]</f>
        <v>0</v>
      </c>
      <c r="CR1064" s="4" t="s">
        <v>1</v>
      </c>
      <c r="CS1064" s="4" t="s">
        <v>49</v>
      </c>
      <c r="CT1064" s="70">
        <v>1379.69995117187</v>
      </c>
      <c r="CU1064" s="70">
        <v>15.000126838684</v>
      </c>
      <c r="CV1064" s="70">
        <v>9.2706146240234304</v>
      </c>
      <c r="CW1064" s="70">
        <v>15.126360893249499</v>
      </c>
      <c r="CX1064" s="4"/>
      <c r="CY1064" s="69"/>
      <c r="CZ1064" s="2" t="b">
        <f>IF($DP$1="YES",IF(RecData[[#This Row],[Power (kW)]]&gt;=$CR$3, TRUE,FALSE),TRUE)</f>
        <v>1</v>
      </c>
      <c r="DA1064" s="16">
        <f>MIN(MOD(180-ABS(ABS($DA$1-RecData[Yaw Angle (°)])-180),360),MOD(180-ABS(ABS($DB$1-RecData[Yaw Angle (°)])-180),360))</f>
        <v>7.4702000609964614</v>
      </c>
      <c r="DB1064" s="2" t="str">
        <f>IF($DP$2="None","None",IF(RecData[[#This Row],[Relative Wind Direction]]&lt;=45,"DW",IF(RecData[[#This Row],[Relative Wind Direction]]&lt;=135,"CW","UW")))</f>
        <v>DW</v>
      </c>
      <c r="DC1064" s="61">
        <f>IF($CL1064-$CL1060&gt;1/24,#REF!,IF(SUM($CQ1060:$CQ1064)&gt;$DS$1,$DS$5,DC1065-1))</f>
        <v>-3</v>
      </c>
      <c r="DD1064" s="61" t="e">
        <f>IF($CL1065-$CL1064&gt;1/24,#REF!,IF(SUM($CQ1060:$CQ1064)&gt;$DS$1,$DS$6,DD1063-1))</f>
        <v>#REF!</v>
      </c>
      <c r="DE1064" s="18" t="b">
        <v>0</v>
      </c>
      <c r="DF1064" s="2" t="b">
        <f>IF(OR(RecData[[#This Row],[WSpd_Avg '[m/s']]]-RecData[[#This Row],[Wind Speed min]]&gt;=$DF$3,RecData[[#This Row],[Wind Speed max]]-RecData[[#This Row],[WSpd_Avg '[m/s']]]&gt;=$DF$2),TRUE,FALSE)</f>
        <v>0</v>
      </c>
      <c r="DG1064" s="2" t="b">
        <f>RecData[[#This Row],[Temperature '[°C']]]&lt;=-20</f>
        <v>0</v>
      </c>
      <c r="DH1064" s="18" t="b">
        <f>NOT(OR(MOD(RecData[[#This Row],[TIMESTAMP]],1)&gt;0.91632,MOD(RecData[[#This Row],[TIMESTAMP]],1)&lt;0.208681))</f>
        <v>0</v>
      </c>
      <c r="DI1064" s="18" t="b">
        <f>RecData[[#This Row],[Overall (dBA)]]-RecData[[#This Row],[L90]]&gt;=$DS$4</f>
        <v>0</v>
      </c>
      <c r="DJ1064" s="18" t="b">
        <f>RecData[[#This Row],[Overall (dBA)]]&gt;$DS$2</f>
        <v>0</v>
      </c>
      <c r="DK1064" s="18" t="b">
        <f>RecData[[#This Row],[Overall (dBA)]]&lt;$DS$3</f>
        <v>0</v>
      </c>
      <c r="DL10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4" s="2">
        <f>IF(AND(RecData[[#This Row],[Turbines ON/OFF]] = "OFF", NOT(OR(RecData[[#This Row],[Junk?]]="YES",RecData[[#This Row],[Gust?]],RecData[[#This Row],[Rain?]:[Min SPL Threshold?]]))),1,0)</f>
        <v>0</v>
      </c>
      <c r="DN1064" s="16">
        <f>RecData[[#This Row],[dBA Sum]]</f>
        <v>38.297681255908408</v>
      </c>
      <c r="DO1064" s="16">
        <f>RecData[[#This Row],[LAF90.0]]</f>
        <v>37.299999999999997</v>
      </c>
      <c r="DP1064" s="55">
        <f>IF(AND(RecData[[#This Row],[Useable TON Data?]],RecData[[#This Row],[Turbines ON/OFF]]="ON"),RecData[[#This Row],[dBA Sum]],"")</f>
        <v>38.297681255908408</v>
      </c>
      <c r="DQ1064" s="55" t="str">
        <f>IF(AND(RecData[[#This Row],[Useable Background Data?]],RecData[[#This Row],[Turbines ON/OFF]]="OFF"),RecData[[#This Row],[dBA Sum]],"")</f>
        <v/>
      </c>
      <c r="DR1064" s="3">
        <f>IF(OR(RecData[[#This Row],[Useable TON Data?]],RecData[[#This Row],[Useable Background Data?]]),ROUND(RecData[[#This Row],[WSpd_Avg '[m/s']]],0),"")</f>
        <v>0</v>
      </c>
      <c r="DS1064" s="85">
        <f>(0.00002)^2*(10^(RecData[[#This Row],[Overall (dBA)]]/10))</f>
        <v>2.7028884155939005E-6</v>
      </c>
    </row>
    <row r="1065" spans="1:123" ht="15" x14ac:dyDescent="0.25">
      <c r="A1065" s="3" t="s">
        <v>249</v>
      </c>
      <c r="B1065" s="12">
        <v>43275.948611111118</v>
      </c>
      <c r="C1065" s="3"/>
      <c r="D1065" s="3">
        <v>39.1</v>
      </c>
      <c r="E1065" s="3"/>
      <c r="F1065" s="3"/>
      <c r="G1065" s="3"/>
      <c r="H1065" s="3"/>
      <c r="I1065" s="3"/>
      <c r="J1065" s="3"/>
      <c r="K1065" s="3">
        <v>37.299999999999997</v>
      </c>
      <c r="L1065" s="3"/>
      <c r="M1065" s="3"/>
      <c r="N1065" s="3">
        <v>145.69999999999999</v>
      </c>
      <c r="O1065" s="3"/>
      <c r="P1065" s="3"/>
      <c r="Q1065" s="3">
        <v>0.66</v>
      </c>
      <c r="R1065" s="3">
        <v>0.1</v>
      </c>
      <c r="S1065" s="3">
        <v>1.3</v>
      </c>
      <c r="T1065" s="3">
        <v>13.8</v>
      </c>
      <c r="U1065" s="3">
        <v>47</v>
      </c>
      <c r="V1065" s="3">
        <v>976.4</v>
      </c>
      <c r="W1065" s="3">
        <v>0</v>
      </c>
      <c r="X1065" s="3">
        <v>46.8</v>
      </c>
      <c r="Y1065" s="3">
        <v>46.4</v>
      </c>
      <c r="Z1065" s="3">
        <v>46.2</v>
      </c>
      <c r="AA1065" s="3">
        <v>41.8</v>
      </c>
      <c r="AB1065" s="3">
        <v>35.6</v>
      </c>
      <c r="AC1065" s="3">
        <v>36.4</v>
      </c>
      <c r="AD1065" s="3">
        <v>39.700000000000003</v>
      </c>
      <c r="AE1065" s="3">
        <v>42.1</v>
      </c>
      <c r="AF1065" s="3">
        <v>43.4</v>
      </c>
      <c r="AG1065" s="3">
        <v>38</v>
      </c>
      <c r="AH1065" s="3">
        <v>39</v>
      </c>
      <c r="AI1065" s="3">
        <v>38.6</v>
      </c>
      <c r="AJ1065" s="3">
        <v>37.299999999999997</v>
      </c>
      <c r="AK1065" s="3">
        <v>35</v>
      </c>
      <c r="AL1065" s="3">
        <v>32.1</v>
      </c>
      <c r="AM1065" s="3">
        <v>30.7</v>
      </c>
      <c r="AN1065" s="3">
        <v>28.7</v>
      </c>
      <c r="AO1065" s="3">
        <v>24.5</v>
      </c>
      <c r="AP1065" s="3">
        <v>21.8</v>
      </c>
      <c r="AQ1065" s="3">
        <v>19.100000000000001</v>
      </c>
      <c r="AR1065" s="3">
        <v>14.9</v>
      </c>
      <c r="AS1065" s="3">
        <v>15.3</v>
      </c>
      <c r="AT1065" s="3">
        <v>24</v>
      </c>
      <c r="AU1065" s="3">
        <v>10.9</v>
      </c>
      <c r="AV1065" s="3">
        <v>9.1</v>
      </c>
      <c r="AW1065" s="3">
        <v>9.3000000000000007</v>
      </c>
      <c r="AX1065" s="3">
        <v>9.1</v>
      </c>
      <c r="AY1065" s="3">
        <v>9.1999999999999993</v>
      </c>
      <c r="AZ1065" s="3">
        <v>0</v>
      </c>
      <c r="BA1065" s="3">
        <v>0</v>
      </c>
      <c r="BB1065" s="3">
        <v>0</v>
      </c>
      <c r="BC1065" s="3">
        <v>39.088637507466075</v>
      </c>
      <c r="BD1065" s="3">
        <v>46.811362492533931</v>
      </c>
      <c r="BE1065" s="3">
        <v>46.411362492533925</v>
      </c>
      <c r="BF1065" s="3">
        <v>44.971362492533927</v>
      </c>
      <c r="BG1065" s="3">
        <v>40.89802915920059</v>
      </c>
      <c r="BH1065" s="3">
        <v>34.838029159200602</v>
      </c>
      <c r="BI1065" s="3">
        <v>36.051362492533926</v>
      </c>
      <c r="BJ1065" s="3">
        <v>40.144695825867259</v>
      </c>
      <c r="BK1065" s="3">
        <v>42.418029159200586</v>
      </c>
      <c r="BL1065" s="3">
        <v>43.291362492533921</v>
      </c>
      <c r="BM1065" s="3">
        <v>38.024695825867269</v>
      </c>
      <c r="BN1065" s="3">
        <v>39.308029159200601</v>
      </c>
      <c r="BO1065" s="3">
        <v>38.274695825867269</v>
      </c>
      <c r="BP1065" s="3">
        <v>36.691362492533926</v>
      </c>
      <c r="BQ1065" s="3">
        <v>34.808029159200586</v>
      </c>
      <c r="BR1065" s="3">
        <v>32.234695825867263</v>
      </c>
      <c r="BS1065" s="3">
        <v>30.638029159200585</v>
      </c>
      <c r="BT1065" s="3">
        <v>28.834695825867257</v>
      </c>
      <c r="BU1065" s="3">
        <v>24.60136249253393</v>
      </c>
      <c r="BV1065" s="3">
        <v>21.618029159200596</v>
      </c>
      <c r="BW1065" s="3">
        <v>19.451362492533931</v>
      </c>
      <c r="BX1065" s="3">
        <v>15.17136249253393</v>
      </c>
      <c r="BY1065" s="3">
        <v>15.391362492533929</v>
      </c>
      <c r="BZ1065" s="3">
        <v>24.221362492533927</v>
      </c>
      <c r="CA1065" s="3">
        <v>11.22136249253392</v>
      </c>
      <c r="CB1065" s="3">
        <v>8.8580291592005906</v>
      </c>
      <c r="CC1065" s="3">
        <v>9.2713624925339246</v>
      </c>
      <c r="CD1065" s="3">
        <v>8.3780291592005938</v>
      </c>
      <c r="CE1065" s="3">
        <v>8.6713624925339232</v>
      </c>
      <c r="CF1065" s="3">
        <v>-0.91530417413274279</v>
      </c>
      <c r="CG1065" s="3">
        <v>-1.4486375074660742</v>
      </c>
      <c r="CH1065" s="3">
        <v>-2.5253041741327422</v>
      </c>
      <c r="CI1065" s="13">
        <f>[1]!dbasum(RecData[[#This Row],[20]:[2000]],RecData[[#Headers],[20]:[2000]])</f>
        <v>38.760056033631137</v>
      </c>
      <c r="CJ1065" s="14">
        <v>10647</v>
      </c>
      <c r="CK1065" s="15" t="s">
        <v>249</v>
      </c>
      <c r="CL1065" s="15">
        <f>RecData[[#This Row],[Start Time]]</f>
        <v>43275.948611111118</v>
      </c>
      <c r="CM1065" s="16">
        <f>RecData[[#This Row],[Wind Speed avg]]</f>
        <v>0.66</v>
      </c>
      <c r="CN1065" s="16">
        <f>RecData[[#This Row],[Wind Dir. avg]]</f>
        <v>145.69999999999999</v>
      </c>
      <c r="CO1065" s="16">
        <f>RecData[[#This Row],[Amb. Humidity]]</f>
        <v>47</v>
      </c>
      <c r="CP1065" s="16">
        <f>RecData[[#This Row],[Amb. Temperature]]</f>
        <v>13.8</v>
      </c>
      <c r="CQ1065" s="17">
        <f>RecData[[#This Row],[Amb. Rain Gauge]]</f>
        <v>0</v>
      </c>
      <c r="CR1065" s="4" t="s">
        <v>1</v>
      </c>
      <c r="CS1065" s="4" t="s">
        <v>49</v>
      </c>
      <c r="CT1065" s="70">
        <v>1379.69995117187</v>
      </c>
      <c r="CU1065" s="70">
        <v>15.000126838684</v>
      </c>
      <c r="CV1065" s="70">
        <v>9.2706146240234304</v>
      </c>
      <c r="CW1065" s="70">
        <v>15.126360893249499</v>
      </c>
      <c r="CX1065" s="4"/>
      <c r="CY1065" s="69"/>
      <c r="CZ1065" s="2" t="b">
        <f>IF($DP$1="YES",IF(RecData[[#This Row],[Power (kW)]]&gt;=$CR$3, TRUE,FALSE),TRUE)</f>
        <v>1</v>
      </c>
      <c r="DA1065" s="16">
        <f>MIN(MOD(180-ABS(ABS($DA$1-RecData[Yaw Angle (°)])-180),360),MOD(180-ABS(ABS($DB$1-RecData[Yaw Angle (°)])-180),360))</f>
        <v>7.4702000609964614</v>
      </c>
      <c r="DB1065" s="2" t="str">
        <f>IF($DP$2="None","None",IF(RecData[[#This Row],[Relative Wind Direction]]&lt;=45,"DW",IF(RecData[[#This Row],[Relative Wind Direction]]&lt;=135,"CW","UW")))</f>
        <v>DW</v>
      </c>
      <c r="DC1065" s="61">
        <f>IF($CL1065-$CL1061&gt;1/24,#REF!,IF(SUM($CQ1061:$CQ1065)&gt;$DS$1,$DS$5,DC1066-1))</f>
        <v>-2</v>
      </c>
      <c r="DD1065" s="61" t="e">
        <f>IF($CL1066-$CL1065&gt;1/24,#REF!,IF(SUM($CQ1061:$CQ1065)&gt;$DS$1,$DS$6,DD1064-1))</f>
        <v>#REF!</v>
      </c>
      <c r="DE1065" s="18" t="b">
        <v>0</v>
      </c>
      <c r="DF1065" s="2" t="b">
        <f>IF(OR(RecData[[#This Row],[WSpd_Avg '[m/s']]]-RecData[[#This Row],[Wind Speed min]]&gt;=$DF$3,RecData[[#This Row],[Wind Speed max]]-RecData[[#This Row],[WSpd_Avg '[m/s']]]&gt;=$DF$2),TRUE,FALSE)</f>
        <v>0</v>
      </c>
      <c r="DG1065" s="2" t="b">
        <f>RecData[[#This Row],[Temperature '[°C']]]&lt;=-20</f>
        <v>0</v>
      </c>
      <c r="DH1065" s="18" t="b">
        <f>NOT(OR(MOD(RecData[[#This Row],[TIMESTAMP]],1)&gt;0.91632,MOD(RecData[[#This Row],[TIMESTAMP]],1)&lt;0.208681))</f>
        <v>0</v>
      </c>
      <c r="DI1065" s="18" t="b">
        <f>RecData[[#This Row],[Overall (dBA)]]-RecData[[#This Row],[L90]]&gt;=$DS$4</f>
        <v>0</v>
      </c>
      <c r="DJ1065" s="18" t="b">
        <f>RecData[[#This Row],[Overall (dBA)]]&gt;$DS$2</f>
        <v>0</v>
      </c>
      <c r="DK1065" s="18" t="b">
        <f>RecData[[#This Row],[Overall (dBA)]]&lt;$DS$3</f>
        <v>0</v>
      </c>
      <c r="DL10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5" s="2">
        <f>IF(AND(RecData[[#This Row],[Turbines ON/OFF]] = "OFF", NOT(OR(RecData[[#This Row],[Junk?]]="YES",RecData[[#This Row],[Gust?]],RecData[[#This Row],[Rain?]:[Min SPL Threshold?]]))),1,0)</f>
        <v>0</v>
      </c>
      <c r="DN1065" s="16">
        <f>RecData[[#This Row],[dBA Sum]]</f>
        <v>38.760056033631137</v>
      </c>
      <c r="DO1065" s="16">
        <f>RecData[[#This Row],[LAF90.0]]</f>
        <v>37.299999999999997</v>
      </c>
      <c r="DP1065" s="55">
        <f>IF(AND(RecData[[#This Row],[Useable TON Data?]],RecData[[#This Row],[Turbines ON/OFF]]="ON"),RecData[[#This Row],[dBA Sum]],"")</f>
        <v>38.760056033631137</v>
      </c>
      <c r="DQ1065" s="55" t="str">
        <f>IF(AND(RecData[[#This Row],[Useable Background Data?]],RecData[[#This Row],[Turbines ON/OFF]]="OFF"),RecData[[#This Row],[dBA Sum]],"")</f>
        <v/>
      </c>
      <c r="DR1065" s="3">
        <f>IF(OR(RecData[[#This Row],[Useable TON Data?]],RecData[[#This Row],[Useable Background Data?]]),ROUND(RecData[[#This Row],[WSpd_Avg '[m/s']]],0),"")</f>
        <v>1</v>
      </c>
      <c r="DS1065" s="85">
        <f>(0.00002)^2*(10^(RecData[[#This Row],[Overall (dBA)]]/10))</f>
        <v>3.0065303667399423E-6</v>
      </c>
    </row>
    <row r="1066" spans="1:123" ht="15" x14ac:dyDescent="0.25">
      <c r="A1066" s="3" t="s">
        <v>249</v>
      </c>
      <c r="B1066" s="12">
        <v>43275.949305555558</v>
      </c>
      <c r="C1066" s="3"/>
      <c r="D1066" s="3">
        <v>38.4</v>
      </c>
      <c r="E1066" s="3"/>
      <c r="F1066" s="3"/>
      <c r="G1066" s="3"/>
      <c r="H1066" s="3"/>
      <c r="I1066" s="3"/>
      <c r="J1066" s="3"/>
      <c r="K1066" s="3">
        <v>37</v>
      </c>
      <c r="L1066" s="3"/>
      <c r="M1066" s="3"/>
      <c r="N1066" s="3">
        <v>115.5</v>
      </c>
      <c r="O1066" s="3"/>
      <c r="P1066" s="3"/>
      <c r="Q1066" s="3">
        <v>0.62</v>
      </c>
      <c r="R1066" s="3">
        <v>0.1</v>
      </c>
      <c r="S1066" s="3">
        <v>1.5</v>
      </c>
      <c r="T1066" s="3">
        <v>13.8</v>
      </c>
      <c r="U1066" s="3">
        <v>45.9</v>
      </c>
      <c r="V1066" s="3">
        <v>976.5</v>
      </c>
      <c r="W1066" s="3">
        <v>0</v>
      </c>
      <c r="X1066" s="3">
        <v>45.9</v>
      </c>
      <c r="Y1066" s="3">
        <v>45.8</v>
      </c>
      <c r="Z1066" s="3">
        <v>45.3</v>
      </c>
      <c r="AA1066" s="3">
        <v>40.4</v>
      </c>
      <c r="AB1066" s="3">
        <v>36</v>
      </c>
      <c r="AC1066" s="3">
        <v>35.299999999999997</v>
      </c>
      <c r="AD1066" s="3">
        <v>38.700000000000003</v>
      </c>
      <c r="AE1066" s="3">
        <v>41.3</v>
      </c>
      <c r="AF1066" s="3">
        <v>43</v>
      </c>
      <c r="AG1066" s="3">
        <v>36.5</v>
      </c>
      <c r="AH1066" s="3">
        <v>38.299999999999997</v>
      </c>
      <c r="AI1066" s="3">
        <v>37.4</v>
      </c>
      <c r="AJ1066" s="3">
        <v>36.4</v>
      </c>
      <c r="AK1066" s="3">
        <v>33.799999999999997</v>
      </c>
      <c r="AL1066" s="3">
        <v>31.5</v>
      </c>
      <c r="AM1066" s="3">
        <v>30.7</v>
      </c>
      <c r="AN1066" s="3">
        <v>28</v>
      </c>
      <c r="AO1066" s="3">
        <v>23.9</v>
      </c>
      <c r="AP1066" s="3">
        <v>21.1</v>
      </c>
      <c r="AQ1066" s="3">
        <v>18.2</v>
      </c>
      <c r="AR1066" s="3">
        <v>14.1</v>
      </c>
      <c r="AS1066" s="3">
        <v>16.8</v>
      </c>
      <c r="AT1066" s="3">
        <v>25.2</v>
      </c>
      <c r="AU1066" s="3">
        <v>10.3</v>
      </c>
      <c r="AV1066" s="3">
        <v>8.6</v>
      </c>
      <c r="AW1066" s="3">
        <v>8.9</v>
      </c>
      <c r="AX1066" s="3">
        <v>8.9</v>
      </c>
      <c r="AY1066" s="3">
        <v>9.1999999999999993</v>
      </c>
      <c r="AZ1066" s="3">
        <v>0</v>
      </c>
      <c r="BA1066" s="3">
        <v>0</v>
      </c>
      <c r="BB1066" s="3">
        <v>0</v>
      </c>
      <c r="BC1066" s="3">
        <v>38.426255395074278</v>
      </c>
      <c r="BD1066" s="3">
        <v>45.873744604925719</v>
      </c>
      <c r="BE1066" s="3">
        <v>45.77374460492571</v>
      </c>
      <c r="BF1066" s="3">
        <v>44.033744604925715</v>
      </c>
      <c r="BG1066" s="3">
        <v>39.460411271592378</v>
      </c>
      <c r="BH1066" s="3">
        <v>35.200411271592387</v>
      </c>
      <c r="BI1066" s="3">
        <v>34.913744604925725</v>
      </c>
      <c r="BJ1066" s="3">
        <v>39.107077938259053</v>
      </c>
      <c r="BK1066" s="3">
        <v>41.580411271592382</v>
      </c>
      <c r="BL1066" s="3">
        <v>42.853744604925723</v>
      </c>
      <c r="BM1066" s="3">
        <v>36.487077938259048</v>
      </c>
      <c r="BN1066" s="3">
        <v>38.570411271592391</v>
      </c>
      <c r="BO1066" s="3">
        <v>37.03707793825906</v>
      </c>
      <c r="BP1066" s="3">
        <v>35.753744604925728</v>
      </c>
      <c r="BQ1066" s="3">
        <v>33.570411271592377</v>
      </c>
      <c r="BR1066" s="3">
        <v>31.597077938259062</v>
      </c>
      <c r="BS1066" s="3">
        <v>30.600411271592392</v>
      </c>
      <c r="BT1066" s="3">
        <v>28.097077938259062</v>
      </c>
      <c r="BU1066" s="3">
        <v>23.963744604925722</v>
      </c>
      <c r="BV1066" s="3">
        <v>20.880411271592394</v>
      </c>
      <c r="BW1066" s="3">
        <v>18.513744604925719</v>
      </c>
      <c r="BX1066" s="3">
        <v>14.333744604925727</v>
      </c>
      <c r="BY1066" s="3">
        <v>16.853744604925723</v>
      </c>
      <c r="BZ1066" s="3">
        <v>25.383744604925724</v>
      </c>
      <c r="CA1066" s="3">
        <v>10.583744604925712</v>
      </c>
      <c r="CB1066" s="3">
        <v>8.3204112715923841</v>
      </c>
      <c r="CC1066" s="3">
        <v>8.8337446049257196</v>
      </c>
      <c r="CD1066" s="3">
        <v>8.1404112715923915</v>
      </c>
      <c r="CE1066" s="3">
        <v>8.6337446049257167</v>
      </c>
      <c r="CF1066" s="3">
        <v>-0.95292206174094929</v>
      </c>
      <c r="CG1066" s="3">
        <v>-1.4862553950742807</v>
      </c>
      <c r="CH1066" s="3">
        <v>-2.5629220617409487</v>
      </c>
      <c r="CI1066" s="13">
        <f>[1]!dbasum(RecData[[#This Row],[20]:[2000]],RecData[[#Headers],[20]:[2000]])</f>
        <v>37.947885154794953</v>
      </c>
      <c r="CJ1066" s="14">
        <v>10648</v>
      </c>
      <c r="CK1066" s="15" t="s">
        <v>249</v>
      </c>
      <c r="CL1066" s="15">
        <f>RecData[[#This Row],[Start Time]]</f>
        <v>43275.949305555558</v>
      </c>
      <c r="CM1066" s="16">
        <f>RecData[[#This Row],[Wind Speed avg]]</f>
        <v>0.62</v>
      </c>
      <c r="CN1066" s="16">
        <f>RecData[[#This Row],[Wind Dir. avg]]</f>
        <v>115.5</v>
      </c>
      <c r="CO1066" s="16">
        <f>RecData[[#This Row],[Amb. Humidity]]</f>
        <v>45.9</v>
      </c>
      <c r="CP1066" s="16">
        <f>RecData[[#This Row],[Amb. Temperature]]</f>
        <v>13.8</v>
      </c>
      <c r="CQ1066" s="17">
        <f>RecData[[#This Row],[Amb. Rain Gauge]]</f>
        <v>0</v>
      </c>
      <c r="CR1066" s="4" t="s">
        <v>1</v>
      </c>
      <c r="CS1066" s="4" t="s">
        <v>49</v>
      </c>
      <c r="CT1066" s="70">
        <v>1379.69995117187</v>
      </c>
      <c r="CU1066" s="70">
        <v>15.000126838684</v>
      </c>
      <c r="CV1066" s="70">
        <v>9.2706146240234304</v>
      </c>
      <c r="CW1066" s="70">
        <v>15.126360893249499</v>
      </c>
      <c r="CX1066" s="4"/>
      <c r="CY1066" s="69"/>
      <c r="CZ1066" s="2" t="b">
        <f>IF($DP$1="YES",IF(RecData[[#This Row],[Power (kW)]]&gt;=$CR$3, TRUE,FALSE),TRUE)</f>
        <v>1</v>
      </c>
      <c r="DA1066" s="16">
        <f>MIN(MOD(180-ABS(ABS($DA$1-RecData[Yaw Angle (°)])-180),360),MOD(180-ABS(ABS($DB$1-RecData[Yaw Angle (°)])-180),360))</f>
        <v>7.4702000609964614</v>
      </c>
      <c r="DB1066" s="2" t="str">
        <f>IF($DP$2="None","None",IF(RecData[[#This Row],[Relative Wind Direction]]&lt;=45,"DW",IF(RecData[[#This Row],[Relative Wind Direction]]&lt;=135,"CW","UW")))</f>
        <v>DW</v>
      </c>
      <c r="DC1066" s="61">
        <v>-1</v>
      </c>
      <c r="DD1066" s="61">
        <v>-1</v>
      </c>
      <c r="DE1066" s="18" t="b">
        <v>0</v>
      </c>
      <c r="DF1066" s="2" t="b">
        <f>IF(OR(RecData[[#This Row],[WSpd_Avg '[m/s']]]-RecData[[#This Row],[Wind Speed min]]&gt;=$DF$3,RecData[[#This Row],[Wind Speed max]]-RecData[[#This Row],[WSpd_Avg '[m/s']]]&gt;=$DF$2),TRUE,FALSE)</f>
        <v>0</v>
      </c>
      <c r="DG1066" s="2" t="b">
        <f>RecData[[#This Row],[Temperature '[°C']]]&lt;=-20</f>
        <v>0</v>
      </c>
      <c r="DH1066" s="18" t="b">
        <f>NOT(OR(MOD(RecData[[#This Row],[TIMESTAMP]],1)&gt;0.91632,MOD(RecData[[#This Row],[TIMESTAMP]],1)&lt;0.208681))</f>
        <v>0</v>
      </c>
      <c r="DI1066" s="18" t="b">
        <f>RecData[[#This Row],[Overall (dBA)]]-RecData[[#This Row],[L90]]&gt;=$DS$4</f>
        <v>0</v>
      </c>
      <c r="DJ1066" s="18" t="b">
        <f>RecData[[#This Row],[Overall (dBA)]]&gt;$DS$2</f>
        <v>0</v>
      </c>
      <c r="DK1066" s="18" t="b">
        <f>RecData[[#This Row],[Overall (dBA)]]&lt;$DS$3</f>
        <v>0</v>
      </c>
      <c r="DL10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6" s="2">
        <f>IF(AND(RecData[[#This Row],[Turbines ON/OFF]] = "OFF", NOT(OR(RecData[[#This Row],[Junk?]]="YES",RecData[[#This Row],[Gust?]],RecData[[#This Row],[Rain?]:[Min SPL Threshold?]]))),1,0)</f>
        <v>0</v>
      </c>
      <c r="DN1066" s="16">
        <f>RecData[[#This Row],[dBA Sum]]</f>
        <v>37.947885154794953</v>
      </c>
      <c r="DO1066" s="16">
        <f>RecData[[#This Row],[LAF90.0]]</f>
        <v>37</v>
      </c>
      <c r="DP1066" s="55">
        <f>IF(AND(RecData[[#This Row],[Useable TON Data?]],RecData[[#This Row],[Turbines ON/OFF]]="ON"),RecData[[#This Row],[dBA Sum]],"")</f>
        <v>37.947885154794953</v>
      </c>
      <c r="DQ1066" s="55" t="str">
        <f>IF(AND(RecData[[#This Row],[Useable Background Data?]],RecData[[#This Row],[Turbines ON/OFF]]="OFF"),RecData[[#This Row],[dBA Sum]],"")</f>
        <v/>
      </c>
      <c r="DR1066" s="3">
        <f>IF(OR(RecData[[#This Row],[Useable TON Data?]],RecData[[#This Row],[Useable Background Data?]]),ROUND(RecData[[#This Row],[WSpd_Avg '[m/s']]],0),"")</f>
        <v>1</v>
      </c>
      <c r="DS1066" s="85">
        <f>(0.00002)^2*(10^(RecData[[#This Row],[Overall (dBA)]]/10))</f>
        <v>2.4937246992784056E-6</v>
      </c>
    </row>
    <row r="1067" spans="1:123" ht="15" x14ac:dyDescent="0.25">
      <c r="A1067" s="3" t="s">
        <v>249</v>
      </c>
      <c r="B1067" s="12">
        <v>43275.950000000004</v>
      </c>
      <c r="C1067" s="3"/>
      <c r="D1067" s="3">
        <v>38</v>
      </c>
      <c r="E1067" s="3"/>
      <c r="F1067" s="3"/>
      <c r="G1067" s="3"/>
      <c r="H1067" s="3"/>
      <c r="I1067" s="3"/>
      <c r="J1067" s="3"/>
      <c r="K1067" s="3">
        <v>36.799999999999997</v>
      </c>
      <c r="L1067" s="3"/>
      <c r="M1067" s="3"/>
      <c r="N1067" s="3">
        <v>271.2</v>
      </c>
      <c r="O1067" s="3"/>
      <c r="P1067" s="3"/>
      <c r="Q1067" s="3">
        <v>0.57999999999999996</v>
      </c>
      <c r="R1067" s="3">
        <v>0.1</v>
      </c>
      <c r="S1067" s="3">
        <v>1.1000000000000001</v>
      </c>
      <c r="T1067" s="3">
        <v>13.9</v>
      </c>
      <c r="U1067" s="3">
        <v>47.9</v>
      </c>
      <c r="V1067" s="3">
        <v>976.5</v>
      </c>
      <c r="W1067" s="3">
        <v>0</v>
      </c>
      <c r="X1067" s="3">
        <v>45.9</v>
      </c>
      <c r="Y1067" s="3">
        <v>45.6</v>
      </c>
      <c r="Z1067" s="3">
        <v>45</v>
      </c>
      <c r="AA1067" s="3">
        <v>40.6</v>
      </c>
      <c r="AB1067" s="3">
        <v>36.799999999999997</v>
      </c>
      <c r="AC1067" s="3">
        <v>36</v>
      </c>
      <c r="AD1067" s="3">
        <v>38.700000000000003</v>
      </c>
      <c r="AE1067" s="3">
        <v>40.9</v>
      </c>
      <c r="AF1067" s="3">
        <v>42.2</v>
      </c>
      <c r="AG1067" s="3">
        <v>36.1</v>
      </c>
      <c r="AH1067" s="3">
        <v>38.1</v>
      </c>
      <c r="AI1067" s="3">
        <v>37.200000000000003</v>
      </c>
      <c r="AJ1067" s="3">
        <v>36.200000000000003</v>
      </c>
      <c r="AK1067" s="3">
        <v>33.700000000000003</v>
      </c>
      <c r="AL1067" s="3">
        <v>31</v>
      </c>
      <c r="AM1067" s="3">
        <v>29.6</v>
      </c>
      <c r="AN1067" s="3">
        <v>27.1</v>
      </c>
      <c r="AO1067" s="3">
        <v>23</v>
      </c>
      <c r="AP1067" s="3">
        <v>20.8</v>
      </c>
      <c r="AQ1067" s="3">
        <v>18.3</v>
      </c>
      <c r="AR1067" s="3">
        <v>14.7</v>
      </c>
      <c r="AS1067" s="3">
        <v>16.3</v>
      </c>
      <c r="AT1067" s="3">
        <v>24.4</v>
      </c>
      <c r="AU1067" s="3">
        <v>10.3</v>
      </c>
      <c r="AV1067" s="3">
        <v>9.1999999999999993</v>
      </c>
      <c r="AW1067" s="3">
        <v>9.1999999999999993</v>
      </c>
      <c r="AX1067" s="3">
        <v>9</v>
      </c>
      <c r="AY1067" s="3">
        <v>9.1999999999999993</v>
      </c>
      <c r="AZ1067" s="3">
        <v>0</v>
      </c>
      <c r="BA1067" s="3">
        <v>0</v>
      </c>
      <c r="BB1067" s="3">
        <v>0</v>
      </c>
      <c r="BC1067" s="3">
        <v>37.967170027962482</v>
      </c>
      <c r="BD1067" s="3">
        <v>45.932829972037524</v>
      </c>
      <c r="BE1067" s="3">
        <v>45.632829972037513</v>
      </c>
      <c r="BF1067" s="3">
        <v>43.792829972037509</v>
      </c>
      <c r="BG1067" s="3">
        <v>39.719496638704186</v>
      </c>
      <c r="BH1067" s="3">
        <v>36.059496638704189</v>
      </c>
      <c r="BI1067" s="3">
        <v>35.672829972037519</v>
      </c>
      <c r="BJ1067" s="3">
        <v>39.166163305370844</v>
      </c>
      <c r="BK1067" s="3">
        <v>41.239496638704182</v>
      </c>
      <c r="BL1067" s="3">
        <v>42.112829972037531</v>
      </c>
      <c r="BM1067" s="3">
        <v>36.146163305370862</v>
      </c>
      <c r="BN1067" s="3">
        <v>38.429496638704194</v>
      </c>
      <c r="BO1067" s="3">
        <v>36.896163305370862</v>
      </c>
      <c r="BP1067" s="3">
        <v>35.612829972037531</v>
      </c>
      <c r="BQ1067" s="3">
        <v>33.529496638704188</v>
      </c>
      <c r="BR1067" s="3">
        <v>31.156163305370853</v>
      </c>
      <c r="BS1067" s="3">
        <v>29.559496638704189</v>
      </c>
      <c r="BT1067" s="3">
        <v>27.256163305370848</v>
      </c>
      <c r="BU1067" s="3">
        <v>23.122829972037522</v>
      </c>
      <c r="BV1067" s="3">
        <v>20.639496638704188</v>
      </c>
      <c r="BW1067" s="3">
        <v>18.672829972037519</v>
      </c>
      <c r="BX1067" s="3">
        <v>14.992829972037526</v>
      </c>
      <c r="BY1067" s="3">
        <v>16.412829972037514</v>
      </c>
      <c r="BZ1067" s="3">
        <v>24.642829972037518</v>
      </c>
      <c r="CA1067" s="3">
        <v>10.642829972037511</v>
      </c>
      <c r="CB1067" s="3">
        <v>8.9794966387041839</v>
      </c>
      <c r="CC1067" s="3">
        <v>9.1928299720375151</v>
      </c>
      <c r="CD1067" s="3">
        <v>8.2994966387041913</v>
      </c>
      <c r="CE1067" s="3">
        <v>8.6928299720375151</v>
      </c>
      <c r="CF1067" s="3">
        <v>-0.89383669462915094</v>
      </c>
      <c r="CG1067" s="3">
        <v>-1.4271700279624824</v>
      </c>
      <c r="CH1067" s="3">
        <v>-2.5038366946291504</v>
      </c>
      <c r="CI1067" s="13">
        <f>[1]!dbasum(RecData[[#This Row],[20]:[2000]],RecData[[#Headers],[20]:[2000]])</f>
        <v>37.559703241444907</v>
      </c>
      <c r="CJ1067" s="14">
        <v>10649</v>
      </c>
      <c r="CK1067" s="15" t="s">
        <v>249</v>
      </c>
      <c r="CL1067" s="15">
        <f>RecData[[#This Row],[Start Time]]</f>
        <v>43275.950000000004</v>
      </c>
      <c r="CM1067" s="16">
        <f>RecData[[#This Row],[Wind Speed avg]]</f>
        <v>0.57999999999999996</v>
      </c>
      <c r="CN1067" s="16">
        <f>RecData[[#This Row],[Wind Dir. avg]]</f>
        <v>271.2</v>
      </c>
      <c r="CO1067" s="16">
        <f>RecData[[#This Row],[Amb. Humidity]]</f>
        <v>47.9</v>
      </c>
      <c r="CP1067" s="16">
        <f>RecData[[#This Row],[Amb. Temperature]]</f>
        <v>13.9</v>
      </c>
      <c r="CQ1067" s="17">
        <f>RecData[[#This Row],[Amb. Rain Gauge]]</f>
        <v>0</v>
      </c>
      <c r="CR1067" s="4" t="s">
        <v>1</v>
      </c>
      <c r="CS1067" s="4" t="s">
        <v>49</v>
      </c>
      <c r="CT1067" s="70">
        <v>1379.69995117187</v>
      </c>
      <c r="CU1067" s="70">
        <v>15.000126838684</v>
      </c>
      <c r="CV1067" s="70">
        <v>9.2706146240234304</v>
      </c>
      <c r="CW1067" s="70">
        <v>15.126360893249499</v>
      </c>
      <c r="CX1067" s="4"/>
      <c r="CY1067" s="69"/>
      <c r="CZ1067" s="2" t="b">
        <f>IF($DP$1="YES",IF(RecData[[#This Row],[Power (kW)]]&gt;=$CR$3, TRUE,FALSE),TRUE)</f>
        <v>1</v>
      </c>
      <c r="DA1067" s="16">
        <f>MIN(MOD(180-ABS(ABS($DA$1-RecData[Yaw Angle (°)])-180),360),MOD(180-ABS(ABS($DB$1-RecData[Yaw Angle (°)])-180),360))</f>
        <v>7.4702000609964614</v>
      </c>
      <c r="DB1067" s="2" t="str">
        <f>IF($DP$2="None","None",IF(RecData[[#This Row],[Relative Wind Direction]]&lt;=45,"DW",IF(RecData[[#This Row],[Relative Wind Direction]]&lt;=135,"CW","UW")))</f>
        <v>DW</v>
      </c>
      <c r="DC1067" s="61">
        <f>IF($CL1067-$CL1066&gt;1/24,#REF!,IF(SUM($CQ1066:$CQ1067)&gt;$DS$1,$DS$5,DC1068-1))</f>
        <v>-9</v>
      </c>
      <c r="DD1067" s="61">
        <f>IF($CL1068-$CL1067&gt;1/24,#REF!,IF(SUM($CQ1066:$CQ1067)&gt;$DS$1,$DS$6,DD1066-1))</f>
        <v>-2</v>
      </c>
      <c r="DE1067" s="18" t="b">
        <v>0</v>
      </c>
      <c r="DF1067" s="2" t="b">
        <f>IF(OR(RecData[[#This Row],[WSpd_Avg '[m/s']]]-RecData[[#This Row],[Wind Speed min]]&gt;=$DF$3,RecData[[#This Row],[Wind Speed max]]-RecData[[#This Row],[WSpd_Avg '[m/s']]]&gt;=$DF$2),TRUE,FALSE)</f>
        <v>0</v>
      </c>
      <c r="DG1067" s="2" t="b">
        <f>RecData[[#This Row],[Temperature '[°C']]]&lt;=-20</f>
        <v>0</v>
      </c>
      <c r="DH1067" s="18" t="b">
        <f>NOT(OR(MOD(RecData[[#This Row],[TIMESTAMP]],1)&gt;0.91632,MOD(RecData[[#This Row],[TIMESTAMP]],1)&lt;0.208681))</f>
        <v>0</v>
      </c>
      <c r="DI1067" s="18" t="b">
        <f>RecData[[#This Row],[Overall (dBA)]]-RecData[[#This Row],[L90]]&gt;=$DS$4</f>
        <v>0</v>
      </c>
      <c r="DJ1067" s="18" t="b">
        <f>RecData[[#This Row],[Overall (dBA)]]&gt;$DS$2</f>
        <v>0</v>
      </c>
      <c r="DK1067" s="18" t="b">
        <f>RecData[[#This Row],[Overall (dBA)]]&lt;$DS$3</f>
        <v>0</v>
      </c>
      <c r="DL10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7" s="2">
        <f>IF(AND(RecData[[#This Row],[Turbines ON/OFF]] = "OFF", NOT(OR(RecData[[#This Row],[Junk?]]="YES",RecData[[#This Row],[Gust?]],RecData[[#This Row],[Rain?]:[Min SPL Threshold?]]))),1,0)</f>
        <v>0</v>
      </c>
      <c r="DN1067" s="16">
        <f>RecData[[#This Row],[dBA Sum]]</f>
        <v>37.559703241444907</v>
      </c>
      <c r="DO1067" s="16">
        <f>RecData[[#This Row],[LAF90.0]]</f>
        <v>36.799999999999997</v>
      </c>
      <c r="DP1067" s="55">
        <f>IF(AND(RecData[[#This Row],[Useable TON Data?]],RecData[[#This Row],[Turbines ON/OFF]]="ON"),RecData[[#This Row],[dBA Sum]],"")</f>
        <v>37.559703241444907</v>
      </c>
      <c r="DQ1067" s="55" t="str">
        <f>IF(AND(RecData[[#This Row],[Useable Background Data?]],RecData[[#This Row],[Turbines ON/OFF]]="OFF"),RecData[[#This Row],[dBA Sum]],"")</f>
        <v/>
      </c>
      <c r="DR1067" s="3">
        <f>IF(OR(RecData[[#This Row],[Useable TON Data?]],RecData[[#This Row],[Useable Background Data?]]),ROUND(RecData[[#This Row],[WSpd_Avg '[m/s']]],0),"")</f>
        <v>1</v>
      </c>
      <c r="DS1067" s="85">
        <f>(0.00002)^2*(10^(RecData[[#This Row],[Overall (dBA)]]/10))</f>
        <v>2.2805012544514208E-6</v>
      </c>
    </row>
    <row r="1068" spans="1:123" ht="15" x14ac:dyDescent="0.25">
      <c r="A1068" s="3" t="s">
        <v>249</v>
      </c>
      <c r="B1068" s="12">
        <v>43275.950694444451</v>
      </c>
      <c r="C1068" s="3"/>
      <c r="D1068" s="3">
        <v>40.1</v>
      </c>
      <c r="E1068" s="3"/>
      <c r="F1068" s="3"/>
      <c r="G1068" s="3"/>
      <c r="H1068" s="3"/>
      <c r="I1068" s="3"/>
      <c r="J1068" s="3"/>
      <c r="K1068" s="3">
        <v>38.6</v>
      </c>
      <c r="L1068" s="3"/>
      <c r="M1068" s="3"/>
      <c r="N1068" s="3">
        <v>173.4</v>
      </c>
      <c r="O1068" s="3"/>
      <c r="P1068" s="3"/>
      <c r="Q1068" s="3">
        <v>1.06</v>
      </c>
      <c r="R1068" s="3">
        <v>0.4</v>
      </c>
      <c r="S1068" s="3">
        <v>1.6</v>
      </c>
      <c r="T1068" s="3">
        <v>13.9</v>
      </c>
      <c r="U1068" s="3">
        <v>46.4</v>
      </c>
      <c r="V1068" s="3">
        <v>976.5</v>
      </c>
      <c r="W1068" s="3">
        <v>0</v>
      </c>
      <c r="X1068" s="3">
        <v>46.7</v>
      </c>
      <c r="Y1068" s="3">
        <v>47</v>
      </c>
      <c r="Z1068" s="3">
        <v>45.9</v>
      </c>
      <c r="AA1068" s="3">
        <v>42</v>
      </c>
      <c r="AB1068" s="3">
        <v>37.299999999999997</v>
      </c>
      <c r="AC1068" s="3">
        <v>38.299999999999997</v>
      </c>
      <c r="AD1068" s="3">
        <v>41.4</v>
      </c>
      <c r="AE1068" s="3">
        <v>43.7</v>
      </c>
      <c r="AF1068" s="3">
        <v>44.3</v>
      </c>
      <c r="AG1068" s="3">
        <v>38.5</v>
      </c>
      <c r="AH1068" s="3">
        <v>40.5</v>
      </c>
      <c r="AI1068" s="3">
        <v>39.200000000000003</v>
      </c>
      <c r="AJ1068" s="3">
        <v>37.9</v>
      </c>
      <c r="AK1068" s="3">
        <v>35.6</v>
      </c>
      <c r="AL1068" s="3">
        <v>32.700000000000003</v>
      </c>
      <c r="AM1068" s="3">
        <v>31.4</v>
      </c>
      <c r="AN1068" s="3">
        <v>29.2</v>
      </c>
      <c r="AO1068" s="3">
        <v>25.6</v>
      </c>
      <c r="AP1068" s="3">
        <v>23.8</v>
      </c>
      <c r="AQ1068" s="3">
        <v>22.7</v>
      </c>
      <c r="AR1068" s="3">
        <v>21.8</v>
      </c>
      <c r="AS1068" s="3">
        <v>21.6</v>
      </c>
      <c r="AT1068" s="3">
        <v>24.2</v>
      </c>
      <c r="AU1068" s="3">
        <v>18.399999999999999</v>
      </c>
      <c r="AV1068" s="3">
        <v>17.100000000000001</v>
      </c>
      <c r="AW1068" s="3">
        <v>16.399999999999999</v>
      </c>
      <c r="AX1068" s="3">
        <v>12.9</v>
      </c>
      <c r="AY1068" s="3">
        <v>11.9</v>
      </c>
      <c r="AZ1068" s="3">
        <v>0</v>
      </c>
      <c r="BA1068" s="3">
        <v>0</v>
      </c>
      <c r="BB1068" s="3">
        <v>0</v>
      </c>
      <c r="BC1068" s="3">
        <v>40.108469264286406</v>
      </c>
      <c r="BD1068" s="3">
        <v>46.691530735713606</v>
      </c>
      <c r="BE1068" s="3">
        <v>46.991530735713589</v>
      </c>
      <c r="BF1068" s="3">
        <v>44.651530735713585</v>
      </c>
      <c r="BG1068" s="3">
        <v>41.078197402380262</v>
      </c>
      <c r="BH1068" s="3">
        <v>36.51819740238026</v>
      </c>
      <c r="BI1068" s="3">
        <v>37.931530735713586</v>
      </c>
      <c r="BJ1068" s="3">
        <v>41.824864069046932</v>
      </c>
      <c r="BK1068" s="3">
        <v>43.998197402380264</v>
      </c>
      <c r="BL1068" s="3">
        <v>44.171530735713596</v>
      </c>
      <c r="BM1068" s="3">
        <v>38.504864069046938</v>
      </c>
      <c r="BN1068" s="3">
        <v>40.78819740238027</v>
      </c>
      <c r="BO1068" s="3">
        <v>38.854864069046933</v>
      </c>
      <c r="BP1068" s="3">
        <v>37.27153073571359</v>
      </c>
      <c r="BQ1068" s="3">
        <v>35.388197402380264</v>
      </c>
      <c r="BR1068" s="3">
        <v>32.814864069046941</v>
      </c>
      <c r="BS1068" s="3">
        <v>31.318197402380257</v>
      </c>
      <c r="BT1068" s="3">
        <v>29.314864069046926</v>
      </c>
      <c r="BU1068" s="3">
        <v>25.681530735713601</v>
      </c>
      <c r="BV1068" s="3">
        <v>23.598197402380265</v>
      </c>
      <c r="BW1068" s="3">
        <v>23.031530735713595</v>
      </c>
      <c r="BX1068" s="3">
        <v>22.051530735713605</v>
      </c>
      <c r="BY1068" s="3">
        <v>21.671530735713596</v>
      </c>
      <c r="BZ1068" s="3">
        <v>24.4015307357136</v>
      </c>
      <c r="CA1068" s="3">
        <v>18.701530735713582</v>
      </c>
      <c r="CB1068" s="3">
        <v>16.838197402380267</v>
      </c>
      <c r="CC1068" s="3">
        <v>16.351530735713588</v>
      </c>
      <c r="CD1068" s="3">
        <v>12.158197402380267</v>
      </c>
      <c r="CE1068" s="3">
        <v>11.351530735713595</v>
      </c>
      <c r="CF1068" s="3">
        <v>-0.93513593095307357</v>
      </c>
      <c r="CG1068" s="3">
        <v>-1.468469264286405</v>
      </c>
      <c r="CH1068" s="3">
        <v>-2.545135930953073</v>
      </c>
      <c r="CI1068" s="13">
        <f>[1]!dbasum(RecData[[#This Row],[20]:[2000]],RecData[[#Headers],[20]:[2000]])</f>
        <v>39.683977976730837</v>
      </c>
      <c r="CJ1068" s="14">
        <v>10650</v>
      </c>
      <c r="CK1068" s="15" t="s">
        <v>249</v>
      </c>
      <c r="CL1068" s="15">
        <f>RecData[[#This Row],[Start Time]]</f>
        <v>43275.950694444451</v>
      </c>
      <c r="CM1068" s="16">
        <f>RecData[[#This Row],[Wind Speed avg]]</f>
        <v>1.06</v>
      </c>
      <c r="CN1068" s="16">
        <f>RecData[[#This Row],[Wind Dir. avg]]</f>
        <v>173.4</v>
      </c>
      <c r="CO1068" s="16">
        <f>RecData[[#This Row],[Amb. Humidity]]</f>
        <v>46.4</v>
      </c>
      <c r="CP1068" s="16">
        <f>RecData[[#This Row],[Amb. Temperature]]</f>
        <v>13.9</v>
      </c>
      <c r="CQ1068" s="17">
        <f>RecData[[#This Row],[Amb. Rain Gauge]]</f>
        <v>0</v>
      </c>
      <c r="CR1068" s="4" t="s">
        <v>1</v>
      </c>
      <c r="CS1068" s="4" t="s">
        <v>49</v>
      </c>
      <c r="CT1068" s="70">
        <v>1379.69995117187</v>
      </c>
      <c r="CU1068" s="70">
        <v>15.000126838684</v>
      </c>
      <c r="CV1068" s="70">
        <v>9.2706146240234304</v>
      </c>
      <c r="CW1068" s="70">
        <v>15.126360893249499</v>
      </c>
      <c r="CX1068" s="4"/>
      <c r="CY1068" s="69"/>
      <c r="CZ1068" s="2" t="b">
        <f>IF($DP$1="YES",IF(RecData[[#This Row],[Power (kW)]]&gt;=$CR$3, TRUE,FALSE),TRUE)</f>
        <v>1</v>
      </c>
      <c r="DA1068" s="16">
        <f>MIN(MOD(180-ABS(ABS($DA$1-RecData[Yaw Angle (°)])-180),360),MOD(180-ABS(ABS($DB$1-RecData[Yaw Angle (°)])-180),360))</f>
        <v>7.4702000609964614</v>
      </c>
      <c r="DB1068" s="2" t="str">
        <f>IF($DP$2="None","None",IF(RecData[[#This Row],[Relative Wind Direction]]&lt;=45,"DW",IF(RecData[[#This Row],[Relative Wind Direction]]&lt;=135,"CW","UW")))</f>
        <v>DW</v>
      </c>
      <c r="DC1068" s="61">
        <f>IF($CL1068-$CL1066&gt;1/24,#REF!,IF(SUM($CQ1066:$CQ1068)&gt;$DS$1,$DS$5,DC1069-1))</f>
        <v>-8</v>
      </c>
      <c r="DD1068" s="61">
        <f>IF($CL1069-$CL1068&gt;1/24,#REF!,IF(SUM($CQ1066:$CQ1068)&gt;$DS$1,$DS$6,DD1067-1))</f>
        <v>-3</v>
      </c>
      <c r="DE1068" s="18" t="b">
        <v>0</v>
      </c>
      <c r="DF1068" s="2" t="b">
        <f>IF(OR(RecData[[#This Row],[WSpd_Avg '[m/s']]]-RecData[[#This Row],[Wind Speed min]]&gt;=$DF$3,RecData[[#This Row],[Wind Speed max]]-RecData[[#This Row],[WSpd_Avg '[m/s']]]&gt;=$DF$2),TRUE,FALSE)</f>
        <v>0</v>
      </c>
      <c r="DG1068" s="2" t="b">
        <f>RecData[[#This Row],[Temperature '[°C']]]&lt;=-20</f>
        <v>0</v>
      </c>
      <c r="DH1068" s="18" t="b">
        <f>NOT(OR(MOD(RecData[[#This Row],[TIMESTAMP]],1)&gt;0.91632,MOD(RecData[[#This Row],[TIMESTAMP]],1)&lt;0.208681))</f>
        <v>0</v>
      </c>
      <c r="DI1068" s="18" t="b">
        <f>RecData[[#This Row],[Overall (dBA)]]-RecData[[#This Row],[L90]]&gt;=$DS$4</f>
        <v>0</v>
      </c>
      <c r="DJ1068" s="18" t="b">
        <f>RecData[[#This Row],[Overall (dBA)]]&gt;$DS$2</f>
        <v>0</v>
      </c>
      <c r="DK1068" s="18" t="b">
        <f>RecData[[#This Row],[Overall (dBA)]]&lt;$DS$3</f>
        <v>0</v>
      </c>
      <c r="DL10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8" s="2">
        <f>IF(AND(RecData[[#This Row],[Turbines ON/OFF]] = "OFF", NOT(OR(RecData[[#This Row],[Junk?]]="YES",RecData[[#This Row],[Gust?]],RecData[[#This Row],[Rain?]:[Min SPL Threshold?]]))),1,0)</f>
        <v>0</v>
      </c>
      <c r="DN1068" s="16">
        <f>RecData[[#This Row],[dBA Sum]]</f>
        <v>39.683977976730837</v>
      </c>
      <c r="DO1068" s="16">
        <f>RecData[[#This Row],[LAF90.0]]</f>
        <v>38.6</v>
      </c>
      <c r="DP1068" s="55">
        <f>IF(AND(RecData[[#This Row],[Useable TON Data?]],RecData[[#This Row],[Turbines ON/OFF]]="ON"),RecData[[#This Row],[dBA Sum]],"")</f>
        <v>39.683977976730837</v>
      </c>
      <c r="DQ1068" s="55" t="str">
        <f>IF(AND(RecData[[#This Row],[Useable Background Data?]],RecData[[#This Row],[Turbines ON/OFF]]="OFF"),RecData[[#This Row],[dBA Sum]],"")</f>
        <v/>
      </c>
      <c r="DR1068" s="3">
        <f>IF(OR(RecData[[#This Row],[Useable TON Data?]],RecData[[#This Row],[Useable Background Data?]]),ROUND(RecData[[#This Row],[WSpd_Avg '[m/s']]],0),"")</f>
        <v>1</v>
      </c>
      <c r="DS1068" s="85">
        <f>(0.00002)^2*(10^(RecData[[#This Row],[Overall (dBA)]]/10))</f>
        <v>3.7192707017041356E-6</v>
      </c>
    </row>
    <row r="1069" spans="1:123" ht="15" x14ac:dyDescent="0.25">
      <c r="A1069" s="3" t="s">
        <v>249</v>
      </c>
      <c r="B1069" s="12">
        <v>43275.951388888891</v>
      </c>
      <c r="C1069" s="3"/>
      <c r="D1069" s="3">
        <v>38.5</v>
      </c>
      <c r="E1069" s="3"/>
      <c r="F1069" s="3"/>
      <c r="G1069" s="3"/>
      <c r="H1069" s="3"/>
      <c r="I1069" s="3"/>
      <c r="J1069" s="3"/>
      <c r="K1069" s="3">
        <v>36.700000000000003</v>
      </c>
      <c r="L1069" s="3"/>
      <c r="M1069" s="3"/>
      <c r="N1069" s="3">
        <v>228.9</v>
      </c>
      <c r="O1069" s="3"/>
      <c r="P1069" s="3"/>
      <c r="Q1069" s="3">
        <v>0.67</v>
      </c>
      <c r="R1069" s="3">
        <v>0.4</v>
      </c>
      <c r="S1069" s="3">
        <v>1.3</v>
      </c>
      <c r="T1069" s="3">
        <v>14</v>
      </c>
      <c r="U1069" s="3">
        <v>47.9</v>
      </c>
      <c r="V1069" s="3">
        <v>976.5</v>
      </c>
      <c r="W1069" s="3">
        <v>0</v>
      </c>
      <c r="X1069" s="3">
        <v>47.1</v>
      </c>
      <c r="Y1069" s="3">
        <v>46.9</v>
      </c>
      <c r="Z1069" s="3">
        <v>46.2</v>
      </c>
      <c r="AA1069" s="3">
        <v>41.4</v>
      </c>
      <c r="AB1069" s="3">
        <v>37</v>
      </c>
      <c r="AC1069" s="3">
        <v>35.6</v>
      </c>
      <c r="AD1069" s="3">
        <v>38.799999999999997</v>
      </c>
      <c r="AE1069" s="3">
        <v>41.9</v>
      </c>
      <c r="AF1069" s="3">
        <v>43.1</v>
      </c>
      <c r="AG1069" s="3">
        <v>37.700000000000003</v>
      </c>
      <c r="AH1069" s="3">
        <v>38.5</v>
      </c>
      <c r="AI1069" s="3">
        <v>38</v>
      </c>
      <c r="AJ1069" s="3">
        <v>36.6</v>
      </c>
      <c r="AK1069" s="3">
        <v>34</v>
      </c>
      <c r="AL1069" s="3">
        <v>31.3</v>
      </c>
      <c r="AM1069" s="3">
        <v>30</v>
      </c>
      <c r="AN1069" s="3">
        <v>27.7</v>
      </c>
      <c r="AO1069" s="3">
        <v>23.4</v>
      </c>
      <c r="AP1069" s="3">
        <v>21.3</v>
      </c>
      <c r="AQ1069" s="3">
        <v>19</v>
      </c>
      <c r="AR1069" s="3">
        <v>16.100000000000001</v>
      </c>
      <c r="AS1069" s="3">
        <v>17.3</v>
      </c>
      <c r="AT1069" s="3">
        <v>24.1</v>
      </c>
      <c r="AU1069" s="3">
        <v>11.1</v>
      </c>
      <c r="AV1069" s="3">
        <v>9.6</v>
      </c>
      <c r="AW1069" s="3">
        <v>9.4</v>
      </c>
      <c r="AX1069" s="3">
        <v>9</v>
      </c>
      <c r="AY1069" s="3">
        <v>9.1999999999999993</v>
      </c>
      <c r="AZ1069" s="3">
        <v>0</v>
      </c>
      <c r="BA1069" s="3">
        <v>0</v>
      </c>
      <c r="BB1069" s="3">
        <v>0</v>
      </c>
      <c r="BC1069" s="3">
        <v>38.476850020118675</v>
      </c>
      <c r="BD1069" s="3">
        <v>47.123149979881319</v>
      </c>
      <c r="BE1069" s="3">
        <v>46.92314997988133</v>
      </c>
      <c r="BF1069" s="3">
        <v>44.983149979881333</v>
      </c>
      <c r="BG1069" s="3">
        <v>40.509816646547989</v>
      </c>
      <c r="BH1069" s="3">
        <v>36.249816646547984</v>
      </c>
      <c r="BI1069" s="3">
        <v>35.263149979881334</v>
      </c>
      <c r="BJ1069" s="3">
        <v>39.256483313214645</v>
      </c>
      <c r="BK1069" s="3">
        <v>42.229816646547988</v>
      </c>
      <c r="BL1069" s="3">
        <v>43.003149979881329</v>
      </c>
      <c r="BM1069" s="3">
        <v>37.736483313214663</v>
      </c>
      <c r="BN1069" s="3">
        <v>38.819816646547991</v>
      </c>
      <c r="BO1069" s="3">
        <v>37.686483313214652</v>
      </c>
      <c r="BP1069" s="3">
        <v>36.003149979881329</v>
      </c>
      <c r="BQ1069" s="3">
        <v>33.819816646547977</v>
      </c>
      <c r="BR1069" s="3">
        <v>31.446483313214657</v>
      </c>
      <c r="BS1069" s="3">
        <v>29.949816646547987</v>
      </c>
      <c r="BT1069" s="3">
        <v>27.846483313214662</v>
      </c>
      <c r="BU1069" s="3">
        <v>23.513149979881327</v>
      </c>
      <c r="BV1069" s="3">
        <v>21.129816646547994</v>
      </c>
      <c r="BW1069" s="3">
        <v>19.363149979881328</v>
      </c>
      <c r="BX1069" s="3">
        <v>16.383149979881331</v>
      </c>
      <c r="BY1069" s="3">
        <v>17.40314997988132</v>
      </c>
      <c r="BZ1069" s="3">
        <v>24.333149979881327</v>
      </c>
      <c r="CA1069" s="3">
        <v>11.433149979881321</v>
      </c>
      <c r="CB1069" s="3">
        <v>9.3698166465479886</v>
      </c>
      <c r="CC1069" s="3">
        <v>9.383149979881324</v>
      </c>
      <c r="CD1069" s="3">
        <v>8.2898166465479974</v>
      </c>
      <c r="CE1069" s="3">
        <v>8.6831499798813212</v>
      </c>
      <c r="CF1069" s="3">
        <v>-0.9035166867853448</v>
      </c>
      <c r="CG1069" s="3">
        <v>-1.4368500201186762</v>
      </c>
      <c r="CH1069" s="3">
        <v>-2.5135166867853442</v>
      </c>
      <c r="CI1069" s="13">
        <f>[1]!dbasum(RecData[[#This Row],[20]:[2000]],RecData[[#Headers],[20]:[2000]])</f>
        <v>38.102877484112369</v>
      </c>
      <c r="CJ1069" s="14">
        <v>10651</v>
      </c>
      <c r="CK1069" s="15" t="s">
        <v>249</v>
      </c>
      <c r="CL1069" s="15">
        <f>RecData[[#This Row],[Start Time]]</f>
        <v>43275.951388888891</v>
      </c>
      <c r="CM1069" s="16">
        <f>RecData[[#This Row],[Wind Speed avg]]</f>
        <v>0.67</v>
      </c>
      <c r="CN1069" s="16">
        <f>RecData[[#This Row],[Wind Dir. avg]]</f>
        <v>228.9</v>
      </c>
      <c r="CO1069" s="16">
        <f>RecData[[#This Row],[Amb. Humidity]]</f>
        <v>47.9</v>
      </c>
      <c r="CP1069" s="16">
        <f>RecData[[#This Row],[Amb. Temperature]]</f>
        <v>14</v>
      </c>
      <c r="CQ1069" s="17">
        <f>RecData[[#This Row],[Amb. Rain Gauge]]</f>
        <v>0</v>
      </c>
      <c r="CR1069" s="4" t="s">
        <v>1</v>
      </c>
      <c r="CS1069" s="4" t="s">
        <v>49</v>
      </c>
      <c r="CT1069" s="70">
        <v>1379.69995117187</v>
      </c>
      <c r="CU1069" s="70">
        <v>15.000126838684</v>
      </c>
      <c r="CV1069" s="70">
        <v>9.2706146240234304</v>
      </c>
      <c r="CW1069" s="70">
        <v>15.126360893249499</v>
      </c>
      <c r="CX1069" s="4"/>
      <c r="CY1069" s="69"/>
      <c r="CZ1069" s="2" t="b">
        <f>IF($DP$1="YES",IF(RecData[[#This Row],[Power (kW)]]&gt;=$CR$3, TRUE,FALSE),TRUE)</f>
        <v>1</v>
      </c>
      <c r="DA1069" s="16">
        <f>MIN(MOD(180-ABS(ABS($DA$1-RecData[Yaw Angle (°)])-180),360),MOD(180-ABS(ABS($DB$1-RecData[Yaw Angle (°)])-180),360))</f>
        <v>7.4702000609964614</v>
      </c>
      <c r="DB1069" s="2" t="str">
        <f>IF($DP$2="None","None",IF(RecData[[#This Row],[Relative Wind Direction]]&lt;=45,"DW",IF(RecData[[#This Row],[Relative Wind Direction]]&lt;=135,"CW","UW")))</f>
        <v>DW</v>
      </c>
      <c r="DC1069" s="61">
        <f>IF($CL1069-$CL1066&gt;1/24,#REF!,IF(SUM($CQ1066:$CQ1069)&gt;$DS$1,$DS$5,DC1070-1))</f>
        <v>-7</v>
      </c>
      <c r="DD1069" s="61">
        <f>IF($CL1070-$CL1069&gt;1/24,#REF!,IF(SUM($CQ1066:$CQ1069)&gt;$DS$1,$DS$6,DD1068-1))</f>
        <v>-4</v>
      </c>
      <c r="DE1069" s="18" t="b">
        <v>0</v>
      </c>
      <c r="DF1069" s="2" t="b">
        <f>IF(OR(RecData[[#This Row],[WSpd_Avg '[m/s']]]-RecData[[#This Row],[Wind Speed min]]&gt;=$DF$3,RecData[[#This Row],[Wind Speed max]]-RecData[[#This Row],[WSpd_Avg '[m/s']]]&gt;=$DF$2),TRUE,FALSE)</f>
        <v>0</v>
      </c>
      <c r="DG1069" s="2" t="b">
        <f>RecData[[#This Row],[Temperature '[°C']]]&lt;=-20</f>
        <v>0</v>
      </c>
      <c r="DH1069" s="18" t="b">
        <f>NOT(OR(MOD(RecData[[#This Row],[TIMESTAMP]],1)&gt;0.91632,MOD(RecData[[#This Row],[TIMESTAMP]],1)&lt;0.208681))</f>
        <v>0</v>
      </c>
      <c r="DI1069" s="18" t="b">
        <f>RecData[[#This Row],[Overall (dBA)]]-RecData[[#This Row],[L90]]&gt;=$DS$4</f>
        <v>0</v>
      </c>
      <c r="DJ1069" s="18" t="b">
        <f>RecData[[#This Row],[Overall (dBA)]]&gt;$DS$2</f>
        <v>0</v>
      </c>
      <c r="DK1069" s="18" t="b">
        <f>RecData[[#This Row],[Overall (dBA)]]&lt;$DS$3</f>
        <v>0</v>
      </c>
      <c r="DL10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69" s="2">
        <f>IF(AND(RecData[[#This Row],[Turbines ON/OFF]] = "OFF", NOT(OR(RecData[[#This Row],[Junk?]]="YES",RecData[[#This Row],[Gust?]],RecData[[#This Row],[Rain?]:[Min SPL Threshold?]]))),1,0)</f>
        <v>0</v>
      </c>
      <c r="DN1069" s="16">
        <f>RecData[[#This Row],[dBA Sum]]</f>
        <v>38.102877484112369</v>
      </c>
      <c r="DO1069" s="16">
        <f>RecData[[#This Row],[LAF90.0]]</f>
        <v>36.700000000000003</v>
      </c>
      <c r="DP1069" s="55">
        <f>IF(AND(RecData[[#This Row],[Useable TON Data?]],RecData[[#This Row],[Turbines ON/OFF]]="ON"),RecData[[#This Row],[dBA Sum]],"")</f>
        <v>38.102877484112369</v>
      </c>
      <c r="DQ1069" s="55" t="str">
        <f>IF(AND(RecData[[#This Row],[Useable Background Data?]],RecData[[#This Row],[Turbines ON/OFF]]="OFF"),RecData[[#This Row],[dBA Sum]],"")</f>
        <v/>
      </c>
      <c r="DR1069" s="3">
        <f>IF(OR(RecData[[#This Row],[Useable TON Data?]],RecData[[#This Row],[Useable Background Data?]]),ROUND(RecData[[#This Row],[WSpd_Avg '[m/s']]],0),"")</f>
        <v>1</v>
      </c>
      <c r="DS1069" s="85">
        <f>(0.00002)^2*(10^(RecData[[#This Row],[Overall (dBA)]]/10))</f>
        <v>2.5843286352381266E-6</v>
      </c>
    </row>
    <row r="1070" spans="1:123" ht="15" x14ac:dyDescent="0.25">
      <c r="A1070" s="3" t="s">
        <v>249</v>
      </c>
      <c r="B1070" s="12">
        <v>43275.952083333337</v>
      </c>
      <c r="C1070" s="3"/>
      <c r="D1070" s="3">
        <v>38.6</v>
      </c>
      <c r="E1070" s="3"/>
      <c r="F1070" s="3"/>
      <c r="G1070" s="3"/>
      <c r="H1070" s="3"/>
      <c r="I1070" s="3"/>
      <c r="J1070" s="3"/>
      <c r="K1070" s="3">
        <v>37.1</v>
      </c>
      <c r="L1070" s="3"/>
      <c r="M1070" s="3"/>
      <c r="N1070" s="3">
        <v>286.2</v>
      </c>
      <c r="O1070" s="3"/>
      <c r="P1070" s="3"/>
      <c r="Q1070" s="3">
        <v>0.44</v>
      </c>
      <c r="R1070" s="3">
        <v>0.1</v>
      </c>
      <c r="S1070" s="3">
        <v>0.8</v>
      </c>
      <c r="T1070" s="3">
        <v>14</v>
      </c>
      <c r="U1070" s="3">
        <v>46.2</v>
      </c>
      <c r="V1070" s="3">
        <v>976.5</v>
      </c>
      <c r="W1070" s="3">
        <v>0</v>
      </c>
      <c r="X1070" s="3">
        <v>46.1</v>
      </c>
      <c r="Y1070" s="3">
        <v>46</v>
      </c>
      <c r="Z1070" s="3">
        <v>45.1</v>
      </c>
      <c r="AA1070" s="3">
        <v>40.799999999999997</v>
      </c>
      <c r="AB1070" s="3">
        <v>36.4</v>
      </c>
      <c r="AC1070" s="3">
        <v>34.9</v>
      </c>
      <c r="AD1070" s="3">
        <v>38.799999999999997</v>
      </c>
      <c r="AE1070" s="3">
        <v>41.3</v>
      </c>
      <c r="AF1070" s="3">
        <v>42.8</v>
      </c>
      <c r="AG1070" s="3">
        <v>36.700000000000003</v>
      </c>
      <c r="AH1070" s="3">
        <v>38</v>
      </c>
      <c r="AI1070" s="3">
        <v>37.700000000000003</v>
      </c>
      <c r="AJ1070" s="3">
        <v>36.6</v>
      </c>
      <c r="AK1070" s="3">
        <v>34.6</v>
      </c>
      <c r="AL1070" s="3">
        <v>32</v>
      </c>
      <c r="AM1070" s="3">
        <v>30.9</v>
      </c>
      <c r="AN1070" s="3">
        <v>28.6</v>
      </c>
      <c r="AO1070" s="3">
        <v>24.4</v>
      </c>
      <c r="AP1070" s="3">
        <v>21.6</v>
      </c>
      <c r="AQ1070" s="3">
        <v>18.8</v>
      </c>
      <c r="AR1070" s="3">
        <v>14.7</v>
      </c>
      <c r="AS1070" s="3">
        <v>16.899999999999999</v>
      </c>
      <c r="AT1070" s="3">
        <v>23.6</v>
      </c>
      <c r="AU1070" s="3">
        <v>9.5</v>
      </c>
      <c r="AV1070" s="3">
        <v>8.6</v>
      </c>
      <c r="AW1070" s="3">
        <v>9</v>
      </c>
      <c r="AX1070" s="3">
        <v>8.9</v>
      </c>
      <c r="AY1070" s="3">
        <v>9.1999999999999993</v>
      </c>
      <c r="AZ1070" s="3">
        <v>0</v>
      </c>
      <c r="BA1070" s="3">
        <v>0</v>
      </c>
      <c r="BB1070" s="3">
        <v>0</v>
      </c>
      <c r="BC1070" s="3">
        <v>38.631322972366682</v>
      </c>
      <c r="BD1070" s="3">
        <v>46.068677027633321</v>
      </c>
      <c r="BE1070" s="3">
        <v>45.968677027633312</v>
      </c>
      <c r="BF1070" s="3">
        <v>43.828677027633326</v>
      </c>
      <c r="BG1070" s="3">
        <v>39.855343694299982</v>
      </c>
      <c r="BH1070" s="3">
        <v>35.595343694299977</v>
      </c>
      <c r="BI1070" s="3">
        <v>34.508677027633318</v>
      </c>
      <c r="BJ1070" s="3">
        <v>39.202010360966646</v>
      </c>
      <c r="BK1070" s="3">
        <v>41.575343694299981</v>
      </c>
      <c r="BL1070" s="3">
        <v>42.648677027633319</v>
      </c>
      <c r="BM1070" s="3">
        <v>36.68201036096665</v>
      </c>
      <c r="BN1070" s="3">
        <v>38.265343694299993</v>
      </c>
      <c r="BO1070" s="3">
        <v>37.332010360966656</v>
      </c>
      <c r="BP1070" s="3">
        <v>35.94867702763333</v>
      </c>
      <c r="BQ1070" s="3">
        <v>34.365343694299987</v>
      </c>
      <c r="BR1070" s="3">
        <v>32.092010360966647</v>
      </c>
      <c r="BS1070" s="3">
        <v>30.79534369429998</v>
      </c>
      <c r="BT1070" s="3">
        <v>28.692010360966655</v>
      </c>
      <c r="BU1070" s="3">
        <v>24.458677027633321</v>
      </c>
      <c r="BV1070" s="3">
        <v>21.375343694299993</v>
      </c>
      <c r="BW1070" s="3">
        <v>19.108677027633327</v>
      </c>
      <c r="BX1070" s="3">
        <v>14.92867702763332</v>
      </c>
      <c r="BY1070" s="3">
        <v>16.948677027633316</v>
      </c>
      <c r="BZ1070" s="3">
        <v>23.778677027633329</v>
      </c>
      <c r="CA1070" s="3">
        <v>9.7786770276333144</v>
      </c>
      <c r="CB1070" s="3">
        <v>8.3153436942999832</v>
      </c>
      <c r="CC1070" s="3">
        <v>8.9286770276333201</v>
      </c>
      <c r="CD1070" s="3">
        <v>8.1353436942999906</v>
      </c>
      <c r="CE1070" s="3">
        <v>8.6286770276333158</v>
      </c>
      <c r="CF1070" s="3">
        <v>-0.95798963903335022</v>
      </c>
      <c r="CG1070" s="3">
        <v>-1.4913229723666817</v>
      </c>
      <c r="CH1070" s="3">
        <v>-2.5679896390333496</v>
      </c>
      <c r="CI1070" s="13">
        <f>[1]!dbasum(RecData[[#This Row],[20]:[2000]],RecData[[#Headers],[20]:[2000]])</f>
        <v>38.248578950004685</v>
      </c>
      <c r="CJ1070" s="14">
        <v>10652</v>
      </c>
      <c r="CK1070" s="15" t="s">
        <v>249</v>
      </c>
      <c r="CL1070" s="15">
        <f>RecData[[#This Row],[Start Time]]</f>
        <v>43275.952083333337</v>
      </c>
      <c r="CM1070" s="16">
        <f>RecData[[#This Row],[Wind Speed avg]]</f>
        <v>0.44</v>
      </c>
      <c r="CN1070" s="16">
        <f>RecData[[#This Row],[Wind Dir. avg]]</f>
        <v>286.2</v>
      </c>
      <c r="CO1070" s="16">
        <f>RecData[[#This Row],[Amb. Humidity]]</f>
        <v>46.2</v>
      </c>
      <c r="CP1070" s="16">
        <f>RecData[[#This Row],[Amb. Temperature]]</f>
        <v>14</v>
      </c>
      <c r="CQ1070" s="17">
        <f>RecData[[#This Row],[Amb. Rain Gauge]]</f>
        <v>0</v>
      </c>
      <c r="CR1070" s="4" t="s">
        <v>1</v>
      </c>
      <c r="CS1070" s="4" t="s">
        <v>49</v>
      </c>
      <c r="CT1070" s="70">
        <v>1381.55358886718</v>
      </c>
      <c r="CU1070" s="70">
        <v>17.964025497436499</v>
      </c>
      <c r="CV1070" s="70">
        <v>9.7294082641601491</v>
      </c>
      <c r="CW1070" s="70">
        <v>14.9857330322265</v>
      </c>
      <c r="CX1070" s="4"/>
      <c r="CY1070" s="69"/>
      <c r="CZ1070" s="2" t="b">
        <f>IF($DP$1="YES",IF(RecData[[#This Row],[Power (kW)]]&gt;=$CR$3, TRUE,FALSE),TRUE)</f>
        <v>1</v>
      </c>
      <c r="DA1070" s="16">
        <f>MIN(MOD(180-ABS(ABS($DA$1-RecData[Yaw Angle (°)])-180),360),MOD(180-ABS(ABS($DB$1-RecData[Yaw Angle (°)])-180),360))</f>
        <v>10.43409871974896</v>
      </c>
      <c r="DB1070" s="2" t="str">
        <f>IF($DP$2="None","None",IF(RecData[[#This Row],[Relative Wind Direction]]&lt;=45,"DW",IF(RecData[[#This Row],[Relative Wind Direction]]&lt;=135,"CW","UW")))</f>
        <v>DW</v>
      </c>
      <c r="DC1070" s="61">
        <f>IF($CL1070-$CL1066&gt;1/24,#REF!,IF(SUM($CQ1066:$CQ1070)&gt;$DS$1,$DS$5,DC1071-1))</f>
        <v>-6</v>
      </c>
      <c r="DD1070" s="61">
        <f>IF($CL1071-$CL1070&gt;1/24,#REF!,IF(SUM($CQ1066:$CQ1070)&gt;$DS$1,$DS$6,DD1069-1))</f>
        <v>-5</v>
      </c>
      <c r="DE1070" s="18" t="b">
        <v>0</v>
      </c>
      <c r="DF1070" s="2" t="b">
        <f>IF(OR(RecData[[#This Row],[WSpd_Avg '[m/s']]]-RecData[[#This Row],[Wind Speed min]]&gt;=$DF$3,RecData[[#This Row],[Wind Speed max]]-RecData[[#This Row],[WSpd_Avg '[m/s']]]&gt;=$DF$2),TRUE,FALSE)</f>
        <v>0</v>
      </c>
      <c r="DG1070" s="2" t="b">
        <f>RecData[[#This Row],[Temperature '[°C']]]&lt;=-20</f>
        <v>0</v>
      </c>
      <c r="DH1070" s="18" t="b">
        <f>NOT(OR(MOD(RecData[[#This Row],[TIMESTAMP]],1)&gt;0.91632,MOD(RecData[[#This Row],[TIMESTAMP]],1)&lt;0.208681))</f>
        <v>0</v>
      </c>
      <c r="DI1070" s="18" t="b">
        <f>RecData[[#This Row],[Overall (dBA)]]-RecData[[#This Row],[L90]]&gt;=$DS$4</f>
        <v>0</v>
      </c>
      <c r="DJ1070" s="18" t="b">
        <f>RecData[[#This Row],[Overall (dBA)]]&gt;$DS$2</f>
        <v>0</v>
      </c>
      <c r="DK1070" s="18" t="b">
        <f>RecData[[#This Row],[Overall (dBA)]]&lt;$DS$3</f>
        <v>0</v>
      </c>
      <c r="DL10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0" s="2">
        <f>IF(AND(RecData[[#This Row],[Turbines ON/OFF]] = "OFF", NOT(OR(RecData[[#This Row],[Junk?]]="YES",RecData[[#This Row],[Gust?]],RecData[[#This Row],[Rain?]:[Min SPL Threshold?]]))),1,0)</f>
        <v>0</v>
      </c>
      <c r="DN1070" s="16">
        <f>RecData[[#This Row],[dBA Sum]]</f>
        <v>38.248578950004685</v>
      </c>
      <c r="DO1070" s="16">
        <f>RecData[[#This Row],[LAF90.0]]</f>
        <v>37.1</v>
      </c>
      <c r="DP1070" s="55">
        <f>IF(AND(RecData[[#This Row],[Useable TON Data?]],RecData[[#This Row],[Turbines ON/OFF]]="ON"),RecData[[#This Row],[dBA Sum]],"")</f>
        <v>38.248578950004685</v>
      </c>
      <c r="DQ1070" s="55" t="str">
        <f>IF(AND(RecData[[#This Row],[Useable Background Data?]],RecData[[#This Row],[Turbines ON/OFF]]="OFF"),RecData[[#This Row],[dBA Sum]],"")</f>
        <v/>
      </c>
      <c r="DR1070" s="3">
        <f>IF(OR(RecData[[#This Row],[Useable TON Data?]],RecData[[#This Row],[Useable Background Data?]]),ROUND(RecData[[#This Row],[WSpd_Avg '[m/s']]],0),"")</f>
        <v>0</v>
      </c>
      <c r="DS1070" s="85">
        <f>(0.00002)^2*(10^(RecData[[#This Row],[Overall (dBA)]]/10))</f>
        <v>2.6725010611839757E-6</v>
      </c>
    </row>
    <row r="1071" spans="1:123" ht="15" x14ac:dyDescent="0.25">
      <c r="A1071" s="3" t="s">
        <v>249</v>
      </c>
      <c r="B1071" s="12">
        <v>43275.952777777784</v>
      </c>
      <c r="C1071" s="3"/>
      <c r="D1071" s="3">
        <v>38.799999999999997</v>
      </c>
      <c r="E1071" s="3"/>
      <c r="F1071" s="3"/>
      <c r="G1071" s="3"/>
      <c r="H1071" s="3"/>
      <c r="I1071" s="3"/>
      <c r="J1071" s="3"/>
      <c r="K1071" s="3">
        <v>37.5</v>
      </c>
      <c r="L1071" s="3"/>
      <c r="M1071" s="3"/>
      <c r="N1071" s="3">
        <v>177.1</v>
      </c>
      <c r="O1071" s="3"/>
      <c r="P1071" s="3"/>
      <c r="Q1071" s="3">
        <v>0.24</v>
      </c>
      <c r="R1071" s="3">
        <v>0.1</v>
      </c>
      <c r="S1071" s="3">
        <v>0.6</v>
      </c>
      <c r="T1071" s="3">
        <v>14</v>
      </c>
      <c r="U1071" s="3">
        <v>46.4</v>
      </c>
      <c r="V1071" s="3">
        <v>976.5</v>
      </c>
      <c r="W1071" s="3">
        <v>0</v>
      </c>
      <c r="X1071" s="3">
        <v>46.4</v>
      </c>
      <c r="Y1071" s="3">
        <v>46.2</v>
      </c>
      <c r="Z1071" s="3">
        <v>45.6</v>
      </c>
      <c r="AA1071" s="3">
        <v>40.799999999999997</v>
      </c>
      <c r="AB1071" s="3">
        <v>36.4</v>
      </c>
      <c r="AC1071" s="3">
        <v>36.200000000000003</v>
      </c>
      <c r="AD1071" s="3">
        <v>40.1</v>
      </c>
      <c r="AE1071" s="3">
        <v>42.5</v>
      </c>
      <c r="AF1071" s="3">
        <v>44.9</v>
      </c>
      <c r="AG1071" s="3">
        <v>37.1</v>
      </c>
      <c r="AH1071" s="3">
        <v>38.6</v>
      </c>
      <c r="AI1071" s="3">
        <v>37.9</v>
      </c>
      <c r="AJ1071" s="3">
        <v>36.4</v>
      </c>
      <c r="AK1071" s="3">
        <v>34.200000000000003</v>
      </c>
      <c r="AL1071" s="3">
        <v>31.6</v>
      </c>
      <c r="AM1071" s="3">
        <v>30.6</v>
      </c>
      <c r="AN1071" s="3">
        <v>28.8</v>
      </c>
      <c r="AO1071" s="3">
        <v>24.6</v>
      </c>
      <c r="AP1071" s="3">
        <v>21.7</v>
      </c>
      <c r="AQ1071" s="3">
        <v>18.7</v>
      </c>
      <c r="AR1071" s="3">
        <v>14.5</v>
      </c>
      <c r="AS1071" s="3">
        <v>14.5</v>
      </c>
      <c r="AT1071" s="3">
        <v>23.1</v>
      </c>
      <c r="AU1071" s="3">
        <v>9.1</v>
      </c>
      <c r="AV1071" s="3">
        <v>8.4</v>
      </c>
      <c r="AW1071" s="3">
        <v>8.8000000000000007</v>
      </c>
      <c r="AX1071" s="3">
        <v>8.9</v>
      </c>
      <c r="AY1071" s="3">
        <v>9.1</v>
      </c>
      <c r="AZ1071" s="3">
        <v>0</v>
      </c>
      <c r="BA1071" s="3">
        <v>0</v>
      </c>
      <c r="BB1071" s="3">
        <v>0</v>
      </c>
      <c r="BC1071" s="3">
        <v>38.761498290544225</v>
      </c>
      <c r="BD1071" s="3">
        <v>46.438501709455764</v>
      </c>
      <c r="BE1071" s="3">
        <v>46.238501709455775</v>
      </c>
      <c r="BF1071" s="3">
        <v>44.398501709455772</v>
      </c>
      <c r="BG1071" s="3">
        <v>39.925168376122443</v>
      </c>
      <c r="BH1071" s="3">
        <v>35.665168376122438</v>
      </c>
      <c r="BI1071" s="3">
        <v>35.878501709455776</v>
      </c>
      <c r="BJ1071" s="3">
        <v>40.571835042789104</v>
      </c>
      <c r="BK1071" s="3">
        <v>42.84516837612243</v>
      </c>
      <c r="BL1071" s="3">
        <v>44.818501709455774</v>
      </c>
      <c r="BM1071" s="3">
        <v>37.151835042789102</v>
      </c>
      <c r="BN1071" s="3">
        <v>38.935168376122434</v>
      </c>
      <c r="BO1071" s="3">
        <v>37.601835042789105</v>
      </c>
      <c r="BP1071" s="3">
        <v>35.818501709455774</v>
      </c>
      <c r="BQ1071" s="3">
        <v>34.035168376122428</v>
      </c>
      <c r="BR1071" s="3">
        <v>31.761835042789116</v>
      </c>
      <c r="BS1071" s="3">
        <v>30.565168376122443</v>
      </c>
      <c r="BT1071" s="3">
        <v>28.961835042789104</v>
      </c>
      <c r="BU1071" s="3">
        <v>24.728501709455777</v>
      </c>
      <c r="BV1071" s="3">
        <v>21.54516837612244</v>
      </c>
      <c r="BW1071" s="3">
        <v>19.078501709455779</v>
      </c>
      <c r="BX1071" s="3">
        <v>14.798501709455778</v>
      </c>
      <c r="BY1071" s="3">
        <v>14.618501709455771</v>
      </c>
      <c r="BZ1071" s="3">
        <v>23.348501709455775</v>
      </c>
      <c r="CA1071" s="3">
        <v>9.4485017094557691</v>
      </c>
      <c r="CB1071" s="3">
        <v>8.1851683761224336</v>
      </c>
      <c r="CC1071" s="3">
        <v>8.7985017094557705</v>
      </c>
      <c r="CD1071" s="3">
        <v>8.2051683761224439</v>
      </c>
      <c r="CE1071" s="3">
        <v>8.5985017094557747</v>
      </c>
      <c r="CF1071" s="3">
        <v>-0.88816495721089694</v>
      </c>
      <c r="CG1071" s="3">
        <v>-1.4214982905442284</v>
      </c>
      <c r="CH1071" s="3">
        <v>-2.4981649572108964</v>
      </c>
      <c r="CI1071" s="13">
        <f>[1]!dbasum(RecData[[#This Row],[20]:[2000]],RecData[[#Headers],[20]:[2000]])</f>
        <v>38.504069326305611</v>
      </c>
      <c r="CJ1071" s="14">
        <v>10653</v>
      </c>
      <c r="CK1071" s="15" t="s">
        <v>249</v>
      </c>
      <c r="CL1071" s="15">
        <f>RecData[[#This Row],[Start Time]]</f>
        <v>43275.952777777784</v>
      </c>
      <c r="CM1071" s="16">
        <f>RecData[[#This Row],[Wind Speed avg]]</f>
        <v>0.24</v>
      </c>
      <c r="CN1071" s="16">
        <f>RecData[[#This Row],[Wind Dir. avg]]</f>
        <v>177.1</v>
      </c>
      <c r="CO1071" s="16">
        <f>RecData[[#This Row],[Amb. Humidity]]</f>
        <v>46.4</v>
      </c>
      <c r="CP1071" s="16">
        <f>RecData[[#This Row],[Amb. Temperature]]</f>
        <v>14</v>
      </c>
      <c r="CQ1071" s="17">
        <f>RecData[[#This Row],[Amb. Rain Gauge]]</f>
        <v>0</v>
      </c>
      <c r="CR1071" s="4" t="s">
        <v>1</v>
      </c>
      <c r="CS1071" s="4" t="s">
        <v>49</v>
      </c>
      <c r="CT1071" s="70">
        <v>1381.55358886718</v>
      </c>
      <c r="CU1071" s="70">
        <v>17.964025497436499</v>
      </c>
      <c r="CV1071" s="70">
        <v>9.7294082641601491</v>
      </c>
      <c r="CW1071" s="70">
        <v>14.9857330322265</v>
      </c>
      <c r="CX1071" s="4"/>
      <c r="CY1071" s="69"/>
      <c r="CZ1071" s="2" t="b">
        <f>IF($DP$1="YES",IF(RecData[[#This Row],[Power (kW)]]&gt;=$CR$3, TRUE,FALSE),TRUE)</f>
        <v>1</v>
      </c>
      <c r="DA1071" s="16">
        <f>MIN(MOD(180-ABS(ABS($DA$1-RecData[Yaw Angle (°)])-180),360),MOD(180-ABS(ABS($DB$1-RecData[Yaw Angle (°)])-180),360))</f>
        <v>10.43409871974896</v>
      </c>
      <c r="DB1071" s="2" t="str">
        <f>IF($DP$2="None","None",IF(RecData[[#This Row],[Relative Wind Direction]]&lt;=45,"DW",IF(RecData[[#This Row],[Relative Wind Direction]]&lt;=135,"CW","UW")))</f>
        <v>DW</v>
      </c>
      <c r="DC1071" s="61">
        <f>IF($CL1071-$CL1067&gt;1/24,#REF!,IF(SUM($CQ1067:$CQ1071)&gt;$DS$1,$DS$5,DC1072-1))</f>
        <v>-5</v>
      </c>
      <c r="DD1071" s="61">
        <f>IF($CL1072-$CL1071&gt;1/24,#REF!,IF(SUM($CQ1067:$CQ1071)&gt;$DS$1,$DS$6,DD1070-1))</f>
        <v>-6</v>
      </c>
      <c r="DE1071" s="18" t="b">
        <v>0</v>
      </c>
      <c r="DF1071" s="2" t="b">
        <f>IF(OR(RecData[[#This Row],[WSpd_Avg '[m/s']]]-RecData[[#This Row],[Wind Speed min]]&gt;=$DF$3,RecData[[#This Row],[Wind Speed max]]-RecData[[#This Row],[WSpd_Avg '[m/s']]]&gt;=$DF$2),TRUE,FALSE)</f>
        <v>0</v>
      </c>
      <c r="DG1071" s="2" t="b">
        <f>RecData[[#This Row],[Temperature '[°C']]]&lt;=-20</f>
        <v>0</v>
      </c>
      <c r="DH1071" s="18" t="b">
        <f>NOT(OR(MOD(RecData[[#This Row],[TIMESTAMP]],1)&gt;0.91632,MOD(RecData[[#This Row],[TIMESTAMP]],1)&lt;0.208681))</f>
        <v>0</v>
      </c>
      <c r="DI1071" s="18" t="b">
        <f>RecData[[#This Row],[Overall (dBA)]]-RecData[[#This Row],[L90]]&gt;=$DS$4</f>
        <v>0</v>
      </c>
      <c r="DJ1071" s="18" t="b">
        <f>RecData[[#This Row],[Overall (dBA)]]&gt;$DS$2</f>
        <v>0</v>
      </c>
      <c r="DK1071" s="18" t="b">
        <f>RecData[[#This Row],[Overall (dBA)]]&lt;$DS$3</f>
        <v>0</v>
      </c>
      <c r="DL10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1" s="2">
        <f>IF(AND(RecData[[#This Row],[Turbines ON/OFF]] = "OFF", NOT(OR(RecData[[#This Row],[Junk?]]="YES",RecData[[#This Row],[Gust?]],RecData[[#This Row],[Rain?]:[Min SPL Threshold?]]))),1,0)</f>
        <v>0</v>
      </c>
      <c r="DN1071" s="16">
        <f>RecData[[#This Row],[dBA Sum]]</f>
        <v>38.504069326305611</v>
      </c>
      <c r="DO1071" s="16">
        <f>RecData[[#This Row],[LAF90.0]]</f>
        <v>37.5</v>
      </c>
      <c r="DP1071" s="55">
        <f>IF(AND(RecData[[#This Row],[Useable TON Data?]],RecData[[#This Row],[Turbines ON/OFF]]="ON"),RecData[[#This Row],[dBA Sum]],"")</f>
        <v>38.504069326305611</v>
      </c>
      <c r="DQ1071" s="55" t="str">
        <f>IF(AND(RecData[[#This Row],[Useable Background Data?]],RecData[[#This Row],[Turbines ON/OFF]]="OFF"),RecData[[#This Row],[dBA Sum]],"")</f>
        <v/>
      </c>
      <c r="DR1071" s="3">
        <f>IF(OR(RecData[[#This Row],[Useable TON Data?]],RecData[[#This Row],[Useable Background Data?]]),ROUND(RecData[[#This Row],[WSpd_Avg '[m/s']]],0),"")</f>
        <v>0</v>
      </c>
      <c r="DS1071" s="85">
        <f>(0.00002)^2*(10^(RecData[[#This Row],[Overall (dBA)]]/10))</f>
        <v>2.8344377533558347E-6</v>
      </c>
    </row>
    <row r="1072" spans="1:123" ht="15" x14ac:dyDescent="0.25">
      <c r="A1072" s="3" t="s">
        <v>249</v>
      </c>
      <c r="B1072" s="12">
        <v>43275.953472222231</v>
      </c>
      <c r="C1072" s="3"/>
      <c r="D1072" s="3">
        <v>39.200000000000003</v>
      </c>
      <c r="E1072" s="3"/>
      <c r="F1072" s="3"/>
      <c r="G1072" s="3"/>
      <c r="H1072" s="3"/>
      <c r="I1072" s="3"/>
      <c r="J1072" s="3"/>
      <c r="K1072" s="3">
        <v>38</v>
      </c>
      <c r="L1072" s="3"/>
      <c r="M1072" s="3"/>
      <c r="N1072" s="3">
        <v>205.9</v>
      </c>
      <c r="O1072" s="3"/>
      <c r="P1072" s="3"/>
      <c r="Q1072" s="3">
        <v>0.87</v>
      </c>
      <c r="R1072" s="3">
        <v>0.5</v>
      </c>
      <c r="S1072" s="3">
        <v>1.2</v>
      </c>
      <c r="T1072" s="3">
        <v>14</v>
      </c>
      <c r="U1072" s="3">
        <v>46.3</v>
      </c>
      <c r="V1072" s="3">
        <v>976.5</v>
      </c>
      <c r="W1072" s="3">
        <v>0</v>
      </c>
      <c r="X1072" s="3">
        <v>47.4</v>
      </c>
      <c r="Y1072" s="3">
        <v>46.6</v>
      </c>
      <c r="Z1072" s="3">
        <v>46.7</v>
      </c>
      <c r="AA1072" s="3">
        <v>42</v>
      </c>
      <c r="AB1072" s="3">
        <v>36.6</v>
      </c>
      <c r="AC1072" s="3">
        <v>35.799999999999997</v>
      </c>
      <c r="AD1072" s="3">
        <v>39.299999999999997</v>
      </c>
      <c r="AE1072" s="3">
        <v>41.9</v>
      </c>
      <c r="AF1072" s="3">
        <v>44.6</v>
      </c>
      <c r="AG1072" s="3">
        <v>36.700000000000003</v>
      </c>
      <c r="AH1072" s="3">
        <v>38.299999999999997</v>
      </c>
      <c r="AI1072" s="3">
        <v>37.700000000000003</v>
      </c>
      <c r="AJ1072" s="3">
        <v>36.799999999999997</v>
      </c>
      <c r="AK1072" s="3">
        <v>34.6</v>
      </c>
      <c r="AL1072" s="3">
        <v>32.5</v>
      </c>
      <c r="AM1072" s="3">
        <v>32</v>
      </c>
      <c r="AN1072" s="3">
        <v>30.1</v>
      </c>
      <c r="AO1072" s="3">
        <v>26.1</v>
      </c>
      <c r="AP1072" s="3">
        <v>23</v>
      </c>
      <c r="AQ1072" s="3">
        <v>20.100000000000001</v>
      </c>
      <c r="AR1072" s="3">
        <v>15.6</v>
      </c>
      <c r="AS1072" s="3">
        <v>16.600000000000001</v>
      </c>
      <c r="AT1072" s="3">
        <v>21.3</v>
      </c>
      <c r="AU1072" s="3">
        <v>8.6999999999999993</v>
      </c>
      <c r="AV1072" s="3">
        <v>8.5</v>
      </c>
      <c r="AW1072" s="3">
        <v>8.8000000000000007</v>
      </c>
      <c r="AX1072" s="3">
        <v>8.9</v>
      </c>
      <c r="AY1072" s="3">
        <v>9.1999999999999993</v>
      </c>
      <c r="AZ1072" s="3">
        <v>0</v>
      </c>
      <c r="BA1072" s="3">
        <v>0</v>
      </c>
      <c r="BB1072" s="3">
        <v>0</v>
      </c>
      <c r="BC1072" s="3">
        <v>39.203637392780763</v>
      </c>
      <c r="BD1072" s="3">
        <v>47.396362607219231</v>
      </c>
      <c r="BE1072" s="3">
        <v>46.596362607219248</v>
      </c>
      <c r="BF1072" s="3">
        <v>45.456362607219233</v>
      </c>
      <c r="BG1072" s="3">
        <v>41.083029273885899</v>
      </c>
      <c r="BH1072" s="3">
        <v>35.823029273885908</v>
      </c>
      <c r="BI1072" s="3">
        <v>35.436362607219237</v>
      </c>
      <c r="BJ1072" s="3">
        <v>39.729695940552574</v>
      </c>
      <c r="BK1072" s="3">
        <v>42.203029273885903</v>
      </c>
      <c r="BL1072" s="3">
        <v>44.476362607219244</v>
      </c>
      <c r="BM1072" s="3">
        <v>36.709695940552578</v>
      </c>
      <c r="BN1072" s="3">
        <v>38.593029273885904</v>
      </c>
      <c r="BO1072" s="3">
        <v>37.359695940552569</v>
      </c>
      <c r="BP1072" s="3">
        <v>36.176362607219232</v>
      </c>
      <c r="BQ1072" s="3">
        <v>34.393029273885901</v>
      </c>
      <c r="BR1072" s="3">
        <v>32.619695940552575</v>
      </c>
      <c r="BS1072" s="3">
        <v>31.923029273885902</v>
      </c>
      <c r="BT1072" s="3">
        <v>30.219695940552583</v>
      </c>
      <c r="BU1072" s="3">
        <v>26.186362607219252</v>
      </c>
      <c r="BV1072" s="3">
        <v>22.803029273885912</v>
      </c>
      <c r="BW1072" s="3">
        <v>20.436362607219245</v>
      </c>
      <c r="BX1072" s="3">
        <v>15.856362607219246</v>
      </c>
      <c r="BY1072" s="3">
        <v>16.676362607219239</v>
      </c>
      <c r="BZ1072" s="3">
        <v>21.506362607219245</v>
      </c>
      <c r="CA1072" s="3">
        <v>9.0063626072192307</v>
      </c>
      <c r="CB1072" s="3">
        <v>8.2430292738859023</v>
      </c>
      <c r="CC1072" s="3">
        <v>8.7563626072192378</v>
      </c>
      <c r="CD1072" s="3">
        <v>8.1630292738859112</v>
      </c>
      <c r="CE1072" s="3">
        <v>8.6563626072192363</v>
      </c>
      <c r="CF1072" s="3">
        <v>-0.93030405944742967</v>
      </c>
      <c r="CG1072" s="3">
        <v>-1.4636373927807611</v>
      </c>
      <c r="CH1072" s="3">
        <v>-2.5403040594474291</v>
      </c>
      <c r="CI1072" s="13">
        <f>[1]!dbasum(RecData[[#This Row],[20]:[2000]],RecData[[#Headers],[20]:[2000]])</f>
        <v>38.966637048611126</v>
      </c>
      <c r="CJ1072" s="14">
        <v>10654</v>
      </c>
      <c r="CK1072" s="15" t="s">
        <v>249</v>
      </c>
      <c r="CL1072" s="15">
        <f>RecData[[#This Row],[Start Time]]</f>
        <v>43275.953472222231</v>
      </c>
      <c r="CM1072" s="16">
        <f>RecData[[#This Row],[Wind Speed avg]]</f>
        <v>0.87</v>
      </c>
      <c r="CN1072" s="16">
        <f>RecData[[#This Row],[Wind Dir. avg]]</f>
        <v>205.9</v>
      </c>
      <c r="CO1072" s="16">
        <f>RecData[[#This Row],[Amb. Humidity]]</f>
        <v>46.3</v>
      </c>
      <c r="CP1072" s="16">
        <f>RecData[[#This Row],[Amb. Temperature]]</f>
        <v>14</v>
      </c>
      <c r="CQ1072" s="17">
        <f>RecData[[#This Row],[Amb. Rain Gauge]]</f>
        <v>0</v>
      </c>
      <c r="CR1072" s="4" t="s">
        <v>1</v>
      </c>
      <c r="CS1072" s="4" t="s">
        <v>49</v>
      </c>
      <c r="CT1072" s="70">
        <v>1381.55358886718</v>
      </c>
      <c r="CU1072" s="70">
        <v>17.964025497436499</v>
      </c>
      <c r="CV1072" s="70">
        <v>9.7294082641601491</v>
      </c>
      <c r="CW1072" s="70">
        <v>14.9857330322265</v>
      </c>
      <c r="CX1072" s="4"/>
      <c r="CY1072" s="69"/>
      <c r="CZ1072" s="2" t="b">
        <f>IF($DP$1="YES",IF(RecData[[#This Row],[Power (kW)]]&gt;=$CR$3, TRUE,FALSE),TRUE)</f>
        <v>1</v>
      </c>
      <c r="DA1072" s="16">
        <f>MIN(MOD(180-ABS(ABS($DA$1-RecData[Yaw Angle (°)])-180),360),MOD(180-ABS(ABS($DB$1-RecData[Yaw Angle (°)])-180),360))</f>
        <v>10.43409871974896</v>
      </c>
      <c r="DB1072" s="2" t="str">
        <f>IF($DP$2="None","None",IF(RecData[[#This Row],[Relative Wind Direction]]&lt;=45,"DW",IF(RecData[[#This Row],[Relative Wind Direction]]&lt;=135,"CW","UW")))</f>
        <v>DW</v>
      </c>
      <c r="DC1072" s="61">
        <f>IF($CL1072-$CL1068&gt;1/24,#REF!,IF(SUM($CQ1068:$CQ1072)&gt;$DS$1,$DS$5,DC1073-1))</f>
        <v>-4</v>
      </c>
      <c r="DD1072" s="61">
        <f>IF($CL1073-$CL1072&gt;1/24,#REF!,IF(SUM($CQ1068:$CQ1072)&gt;$DS$1,$DS$6,DD1071-1))</f>
        <v>-7</v>
      </c>
      <c r="DE1072" s="18" t="b">
        <v>0</v>
      </c>
      <c r="DF1072" s="2" t="b">
        <f>IF(OR(RecData[[#This Row],[WSpd_Avg '[m/s']]]-RecData[[#This Row],[Wind Speed min]]&gt;=$DF$3,RecData[[#This Row],[Wind Speed max]]-RecData[[#This Row],[WSpd_Avg '[m/s']]]&gt;=$DF$2),TRUE,FALSE)</f>
        <v>0</v>
      </c>
      <c r="DG1072" s="2" t="b">
        <f>RecData[[#This Row],[Temperature '[°C']]]&lt;=-20</f>
        <v>0</v>
      </c>
      <c r="DH1072" s="18" t="b">
        <f>NOT(OR(MOD(RecData[[#This Row],[TIMESTAMP]],1)&gt;0.91632,MOD(RecData[[#This Row],[TIMESTAMP]],1)&lt;0.208681))</f>
        <v>0</v>
      </c>
      <c r="DI1072" s="18" t="b">
        <f>RecData[[#This Row],[Overall (dBA)]]-RecData[[#This Row],[L90]]&gt;=$DS$4</f>
        <v>0</v>
      </c>
      <c r="DJ1072" s="18" t="b">
        <f>RecData[[#This Row],[Overall (dBA)]]&gt;$DS$2</f>
        <v>0</v>
      </c>
      <c r="DK1072" s="18" t="b">
        <f>RecData[[#This Row],[Overall (dBA)]]&lt;$DS$3</f>
        <v>0</v>
      </c>
      <c r="DL10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2" s="2">
        <f>IF(AND(RecData[[#This Row],[Turbines ON/OFF]] = "OFF", NOT(OR(RecData[[#This Row],[Junk?]]="YES",RecData[[#This Row],[Gust?]],RecData[[#This Row],[Rain?]:[Min SPL Threshold?]]))),1,0)</f>
        <v>0</v>
      </c>
      <c r="DN1072" s="16">
        <f>RecData[[#This Row],[dBA Sum]]</f>
        <v>38.966637048611126</v>
      </c>
      <c r="DO1072" s="16">
        <f>RecData[[#This Row],[LAF90.0]]</f>
        <v>38</v>
      </c>
      <c r="DP1072" s="55">
        <f>IF(AND(RecData[[#This Row],[Useable TON Data?]],RecData[[#This Row],[Turbines ON/OFF]]="ON"),RecData[[#This Row],[dBA Sum]],"")</f>
        <v>38.966637048611126</v>
      </c>
      <c r="DQ1072" s="55" t="str">
        <f>IF(AND(RecData[[#This Row],[Useable Background Data?]],RecData[[#This Row],[Turbines ON/OFF]]="OFF"),RecData[[#This Row],[dBA Sum]],"")</f>
        <v/>
      </c>
      <c r="DR1072" s="3">
        <f>IF(OR(RecData[[#This Row],[Useable TON Data?]],RecData[[#This Row],[Useable Background Data?]]),ROUND(RecData[[#This Row],[WSpd_Avg '[m/s']]],0),"")</f>
        <v>1</v>
      </c>
      <c r="DS1072" s="85">
        <f>(0.00002)^2*(10^(RecData[[#This Row],[Overall (dBA)]]/10))</f>
        <v>3.1529980066895864E-6</v>
      </c>
    </row>
    <row r="1073" spans="1:123" ht="15" x14ac:dyDescent="0.25">
      <c r="A1073" s="3" t="s">
        <v>249</v>
      </c>
      <c r="B1073" s="12">
        <v>43275.95416666667</v>
      </c>
      <c r="C1073" s="3"/>
      <c r="D1073" s="3">
        <v>37.9</v>
      </c>
      <c r="E1073" s="3"/>
      <c r="F1073" s="3"/>
      <c r="G1073" s="3"/>
      <c r="H1073" s="3"/>
      <c r="I1073" s="3"/>
      <c r="J1073" s="3"/>
      <c r="K1073" s="3">
        <v>36.700000000000003</v>
      </c>
      <c r="L1073" s="3"/>
      <c r="M1073" s="3"/>
      <c r="N1073" s="3">
        <v>102.6</v>
      </c>
      <c r="O1073" s="3"/>
      <c r="P1073" s="3"/>
      <c r="Q1073" s="3">
        <v>0.44</v>
      </c>
      <c r="R1073" s="3">
        <v>0</v>
      </c>
      <c r="S1073" s="3">
        <v>1.2</v>
      </c>
      <c r="T1073" s="3">
        <v>14</v>
      </c>
      <c r="U1073" s="3">
        <v>46.7</v>
      </c>
      <c r="V1073" s="3">
        <v>976.5</v>
      </c>
      <c r="W1073" s="3">
        <v>0</v>
      </c>
      <c r="X1073" s="3">
        <v>45.5</v>
      </c>
      <c r="Y1073" s="3">
        <v>44.9</v>
      </c>
      <c r="Z1073" s="3">
        <v>44.3</v>
      </c>
      <c r="AA1073" s="3">
        <v>40.200000000000003</v>
      </c>
      <c r="AB1073" s="3">
        <v>35.700000000000003</v>
      </c>
      <c r="AC1073" s="3">
        <v>35</v>
      </c>
      <c r="AD1073" s="3">
        <v>38.1</v>
      </c>
      <c r="AE1073" s="3">
        <v>40.6</v>
      </c>
      <c r="AF1073" s="3">
        <v>42.3</v>
      </c>
      <c r="AG1073" s="3">
        <v>34.700000000000003</v>
      </c>
      <c r="AH1073" s="3">
        <v>36.700000000000003</v>
      </c>
      <c r="AI1073" s="3">
        <v>36.299999999999997</v>
      </c>
      <c r="AJ1073" s="3">
        <v>35.299999999999997</v>
      </c>
      <c r="AK1073" s="3">
        <v>33.700000000000003</v>
      </c>
      <c r="AL1073" s="3">
        <v>31.5</v>
      </c>
      <c r="AM1073" s="3">
        <v>30.3</v>
      </c>
      <c r="AN1073" s="3">
        <v>28.7</v>
      </c>
      <c r="AO1073" s="3">
        <v>25</v>
      </c>
      <c r="AP1073" s="3">
        <v>22.1</v>
      </c>
      <c r="AQ1073" s="3">
        <v>19.399999999999999</v>
      </c>
      <c r="AR1073" s="3">
        <v>15.7</v>
      </c>
      <c r="AS1073" s="3">
        <v>16.899999999999999</v>
      </c>
      <c r="AT1073" s="3">
        <v>22.7</v>
      </c>
      <c r="AU1073" s="3">
        <v>10.1</v>
      </c>
      <c r="AV1073" s="3">
        <v>9.6</v>
      </c>
      <c r="AW1073" s="3">
        <v>9.6999999999999993</v>
      </c>
      <c r="AX1073" s="3">
        <v>9.1</v>
      </c>
      <c r="AY1073" s="3">
        <v>9.3000000000000007</v>
      </c>
      <c r="AZ1073" s="3">
        <v>0</v>
      </c>
      <c r="BA1073" s="3">
        <v>0</v>
      </c>
      <c r="BB1073" s="3">
        <v>0</v>
      </c>
      <c r="BC1073" s="3">
        <v>37.929040325696981</v>
      </c>
      <c r="BD1073" s="3">
        <v>45.470959674303025</v>
      </c>
      <c r="BE1073" s="3">
        <v>44.870959674303016</v>
      </c>
      <c r="BF1073" s="3">
        <v>43.030959674303013</v>
      </c>
      <c r="BG1073" s="3">
        <v>39.257626340969686</v>
      </c>
      <c r="BH1073" s="3">
        <v>34.897626340969687</v>
      </c>
      <c r="BI1073" s="3">
        <v>34.610959674303011</v>
      </c>
      <c r="BJ1073" s="3">
        <v>38.504293007636356</v>
      </c>
      <c r="BK1073" s="3">
        <v>40.877626340969691</v>
      </c>
      <c r="BL1073" s="3">
        <v>42.150959674303017</v>
      </c>
      <c r="BM1073" s="3">
        <v>34.684293007636363</v>
      </c>
      <c r="BN1073" s="3">
        <v>36.967626340969694</v>
      </c>
      <c r="BO1073" s="3">
        <v>35.934293007636349</v>
      </c>
      <c r="BP1073" s="3">
        <v>34.650959674303017</v>
      </c>
      <c r="BQ1073" s="3">
        <v>33.46762634096968</v>
      </c>
      <c r="BR1073" s="3">
        <v>31.59429300763636</v>
      </c>
      <c r="BS1073" s="3">
        <v>30.197626340969684</v>
      </c>
      <c r="BT1073" s="3">
        <v>28.794293007636348</v>
      </c>
      <c r="BU1073" s="3">
        <v>25.060959674303021</v>
      </c>
      <c r="BV1073" s="3">
        <v>21.877626340969691</v>
      </c>
      <c r="BW1073" s="3">
        <v>19.71095967430302</v>
      </c>
      <c r="BX1073" s="3">
        <v>15.930959674303018</v>
      </c>
      <c r="BY1073" s="3">
        <v>16.950959674303014</v>
      </c>
      <c r="BZ1073" s="3">
        <v>22.880959674303021</v>
      </c>
      <c r="CA1073" s="3">
        <v>10.380959674303007</v>
      </c>
      <c r="CB1073" s="3">
        <v>9.3176263409696816</v>
      </c>
      <c r="CC1073" s="3">
        <v>9.6309596743030141</v>
      </c>
      <c r="CD1073" s="3">
        <v>8.3376263409696847</v>
      </c>
      <c r="CE1073" s="3">
        <v>8.7309596743030156</v>
      </c>
      <c r="CF1073" s="3">
        <v>-0.95570699236365186</v>
      </c>
      <c r="CG1073" s="3">
        <v>-1.4890403256969833</v>
      </c>
      <c r="CH1073" s="3">
        <v>-2.5657069923636513</v>
      </c>
      <c r="CI1073" s="13">
        <f>[1]!dbasum(RecData[[#This Row],[20]:[2000]],RecData[[#Headers],[20]:[2000]])</f>
        <v>37.560665139495399</v>
      </c>
      <c r="CJ1073" s="14">
        <v>10655</v>
      </c>
      <c r="CK1073" s="15" t="s">
        <v>249</v>
      </c>
      <c r="CL1073" s="15">
        <f>RecData[[#This Row],[Start Time]]</f>
        <v>43275.95416666667</v>
      </c>
      <c r="CM1073" s="16">
        <f>RecData[[#This Row],[Wind Speed avg]]</f>
        <v>0.44</v>
      </c>
      <c r="CN1073" s="16">
        <f>RecData[[#This Row],[Wind Dir. avg]]</f>
        <v>102.6</v>
      </c>
      <c r="CO1073" s="16">
        <f>RecData[[#This Row],[Amb. Humidity]]</f>
        <v>46.7</v>
      </c>
      <c r="CP1073" s="16">
        <f>RecData[[#This Row],[Amb. Temperature]]</f>
        <v>14</v>
      </c>
      <c r="CQ1073" s="17">
        <f>RecData[[#This Row],[Amb. Rain Gauge]]</f>
        <v>0</v>
      </c>
      <c r="CR1073" s="4" t="s">
        <v>1</v>
      </c>
      <c r="CS1073" s="4" t="s">
        <v>49</v>
      </c>
      <c r="CT1073" s="70">
        <v>1381.55358886718</v>
      </c>
      <c r="CU1073" s="70">
        <v>17.964025497436499</v>
      </c>
      <c r="CV1073" s="70">
        <v>9.7294082641601491</v>
      </c>
      <c r="CW1073" s="70">
        <v>14.9857330322265</v>
      </c>
      <c r="CX1073" s="4"/>
      <c r="CY1073" s="69"/>
      <c r="CZ1073" s="2" t="b">
        <f>IF($DP$1="YES",IF(RecData[[#This Row],[Power (kW)]]&gt;=$CR$3, TRUE,FALSE),TRUE)</f>
        <v>1</v>
      </c>
      <c r="DA1073" s="16">
        <f>MIN(MOD(180-ABS(ABS($DA$1-RecData[Yaw Angle (°)])-180),360),MOD(180-ABS(ABS($DB$1-RecData[Yaw Angle (°)])-180),360))</f>
        <v>10.43409871974896</v>
      </c>
      <c r="DB1073" s="2" t="str">
        <f>IF($DP$2="None","None",IF(RecData[[#This Row],[Relative Wind Direction]]&lt;=45,"DW",IF(RecData[[#This Row],[Relative Wind Direction]]&lt;=135,"CW","UW")))</f>
        <v>DW</v>
      </c>
      <c r="DC1073" s="61">
        <f>IF($CL1073-$CL1069&gt;1/24,#REF!,IF(SUM($CQ1069:$CQ1073)&gt;$DS$1,$DS$5,DC1074-1))</f>
        <v>-3</v>
      </c>
      <c r="DD1073" s="61">
        <f>IF($CL1074-$CL1073&gt;1/24,#REF!,IF(SUM($CQ1069:$CQ1073)&gt;$DS$1,$DS$6,DD1072-1))</f>
        <v>-8</v>
      </c>
      <c r="DE1073" s="18" t="b">
        <v>0</v>
      </c>
      <c r="DF1073" s="2" t="b">
        <f>IF(OR(RecData[[#This Row],[WSpd_Avg '[m/s']]]-RecData[[#This Row],[Wind Speed min]]&gt;=$DF$3,RecData[[#This Row],[Wind Speed max]]-RecData[[#This Row],[WSpd_Avg '[m/s']]]&gt;=$DF$2),TRUE,FALSE)</f>
        <v>0</v>
      </c>
      <c r="DG1073" s="2" t="b">
        <f>RecData[[#This Row],[Temperature '[°C']]]&lt;=-20</f>
        <v>0</v>
      </c>
      <c r="DH1073" s="18" t="b">
        <f>NOT(OR(MOD(RecData[[#This Row],[TIMESTAMP]],1)&gt;0.91632,MOD(RecData[[#This Row],[TIMESTAMP]],1)&lt;0.208681))</f>
        <v>0</v>
      </c>
      <c r="DI1073" s="18" t="b">
        <f>RecData[[#This Row],[Overall (dBA)]]-RecData[[#This Row],[L90]]&gt;=$DS$4</f>
        <v>0</v>
      </c>
      <c r="DJ1073" s="18" t="b">
        <f>RecData[[#This Row],[Overall (dBA)]]&gt;$DS$2</f>
        <v>0</v>
      </c>
      <c r="DK1073" s="18" t="b">
        <f>RecData[[#This Row],[Overall (dBA)]]&lt;$DS$3</f>
        <v>0</v>
      </c>
      <c r="DL10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3" s="2">
        <f>IF(AND(RecData[[#This Row],[Turbines ON/OFF]] = "OFF", NOT(OR(RecData[[#This Row],[Junk?]]="YES",RecData[[#This Row],[Gust?]],RecData[[#This Row],[Rain?]:[Min SPL Threshold?]]))),1,0)</f>
        <v>0</v>
      </c>
      <c r="DN1073" s="16">
        <f>RecData[[#This Row],[dBA Sum]]</f>
        <v>37.560665139495399</v>
      </c>
      <c r="DO1073" s="16">
        <f>RecData[[#This Row],[LAF90.0]]</f>
        <v>36.700000000000003</v>
      </c>
      <c r="DP1073" s="55">
        <f>IF(AND(RecData[[#This Row],[Useable TON Data?]],RecData[[#This Row],[Turbines ON/OFF]]="ON"),RecData[[#This Row],[dBA Sum]],"")</f>
        <v>37.560665139495399</v>
      </c>
      <c r="DQ1073" s="55" t="str">
        <f>IF(AND(RecData[[#This Row],[Useable Background Data?]],RecData[[#This Row],[Turbines ON/OFF]]="OFF"),RecData[[#This Row],[dBA Sum]],"")</f>
        <v/>
      </c>
      <c r="DR1073" s="3">
        <f>IF(OR(RecData[[#This Row],[Useable TON Data?]],RecData[[#This Row],[Useable Background Data?]]),ROUND(RecData[[#This Row],[WSpd_Avg '[m/s']]],0),"")</f>
        <v>0</v>
      </c>
      <c r="DS1073" s="85">
        <f>(0.00002)^2*(10^(RecData[[#This Row],[Overall (dBA)]]/10))</f>
        <v>2.2810064076933358E-6</v>
      </c>
    </row>
    <row r="1074" spans="1:123" ht="15" x14ac:dyDescent="0.25">
      <c r="A1074" s="3" t="s">
        <v>249</v>
      </c>
      <c r="B1074" s="12">
        <v>43275.954861111117</v>
      </c>
      <c r="C1074" s="3"/>
      <c r="D1074" s="3">
        <v>38.200000000000003</v>
      </c>
      <c r="E1074" s="3"/>
      <c r="F1074" s="3"/>
      <c r="G1074" s="3"/>
      <c r="H1074" s="3"/>
      <c r="I1074" s="3"/>
      <c r="J1074" s="3"/>
      <c r="K1074" s="3">
        <v>36.799999999999997</v>
      </c>
      <c r="L1074" s="3"/>
      <c r="M1074" s="3"/>
      <c r="N1074" s="3">
        <v>132</v>
      </c>
      <c r="O1074" s="3"/>
      <c r="P1074" s="3"/>
      <c r="Q1074" s="3">
        <v>0.85</v>
      </c>
      <c r="R1074" s="3">
        <v>0.4</v>
      </c>
      <c r="S1074" s="3">
        <v>1.5</v>
      </c>
      <c r="T1074" s="3">
        <v>13.9</v>
      </c>
      <c r="U1074" s="3">
        <v>45.4</v>
      </c>
      <c r="V1074" s="3">
        <v>976.5</v>
      </c>
      <c r="W1074" s="3">
        <v>0</v>
      </c>
      <c r="X1074" s="3">
        <v>45.8</v>
      </c>
      <c r="Y1074" s="3">
        <v>45.3</v>
      </c>
      <c r="Z1074" s="3">
        <v>44.8</v>
      </c>
      <c r="AA1074" s="3">
        <v>39.9</v>
      </c>
      <c r="AB1074" s="3">
        <v>34.9</v>
      </c>
      <c r="AC1074" s="3">
        <v>34.4</v>
      </c>
      <c r="AD1074" s="3">
        <v>38.4</v>
      </c>
      <c r="AE1074" s="3">
        <v>40.700000000000003</v>
      </c>
      <c r="AF1074" s="3">
        <v>42.9</v>
      </c>
      <c r="AG1074" s="3">
        <v>34.5</v>
      </c>
      <c r="AH1074" s="3">
        <v>36.200000000000003</v>
      </c>
      <c r="AI1074" s="3">
        <v>35.6</v>
      </c>
      <c r="AJ1074" s="3">
        <v>34.9</v>
      </c>
      <c r="AK1074" s="3">
        <v>33.5</v>
      </c>
      <c r="AL1074" s="3">
        <v>31.7</v>
      </c>
      <c r="AM1074" s="3">
        <v>31.2</v>
      </c>
      <c r="AN1074" s="3">
        <v>29.8</v>
      </c>
      <c r="AO1074" s="3">
        <v>26.1</v>
      </c>
      <c r="AP1074" s="3">
        <v>23.3</v>
      </c>
      <c r="AQ1074" s="3">
        <v>21.1</v>
      </c>
      <c r="AR1074" s="3">
        <v>18.5</v>
      </c>
      <c r="AS1074" s="3">
        <v>18.2</v>
      </c>
      <c r="AT1074" s="3">
        <v>21.5</v>
      </c>
      <c r="AU1074" s="3">
        <v>12.3</v>
      </c>
      <c r="AV1074" s="3">
        <v>10.8</v>
      </c>
      <c r="AW1074" s="3">
        <v>10.3</v>
      </c>
      <c r="AX1074" s="3">
        <v>9.3000000000000007</v>
      </c>
      <c r="AY1074" s="3">
        <v>9.3000000000000007</v>
      </c>
      <c r="AZ1074" s="3">
        <v>0</v>
      </c>
      <c r="BA1074" s="3">
        <v>0</v>
      </c>
      <c r="BB1074" s="3">
        <v>0</v>
      </c>
      <c r="BC1074" s="3">
        <v>38.215349409973875</v>
      </c>
      <c r="BD1074" s="3">
        <v>45.784650590026125</v>
      </c>
      <c r="BE1074" s="3">
        <v>45.284650590026125</v>
      </c>
      <c r="BF1074" s="3">
        <v>43.544650590026116</v>
      </c>
      <c r="BG1074" s="3">
        <v>38.971317256692792</v>
      </c>
      <c r="BH1074" s="3">
        <v>34.111317256692793</v>
      </c>
      <c r="BI1074" s="3">
        <v>34.024650590026134</v>
      </c>
      <c r="BJ1074" s="3">
        <v>38.817983923359456</v>
      </c>
      <c r="BK1074" s="3">
        <v>40.991317256692803</v>
      </c>
      <c r="BL1074" s="3">
        <v>42.764650590026129</v>
      </c>
      <c r="BM1074" s="3">
        <v>34.497983923359463</v>
      </c>
      <c r="BN1074" s="3">
        <v>36.481317256692797</v>
      </c>
      <c r="BO1074" s="3">
        <v>35.247983923359463</v>
      </c>
      <c r="BP1074" s="3">
        <v>34.264650590026129</v>
      </c>
      <c r="BQ1074" s="3">
        <v>33.281317256692795</v>
      </c>
      <c r="BR1074" s="3">
        <v>31.807983923359465</v>
      </c>
      <c r="BS1074" s="3">
        <v>31.111317256692793</v>
      </c>
      <c r="BT1074" s="3">
        <v>29.90798392335946</v>
      </c>
      <c r="BU1074" s="3">
        <v>26.17465059002614</v>
      </c>
      <c r="BV1074" s="3">
        <v>23.091317256692797</v>
      </c>
      <c r="BW1074" s="3">
        <v>21.424650590026133</v>
      </c>
      <c r="BX1074" s="3">
        <v>18.744650590026133</v>
      </c>
      <c r="BY1074" s="3">
        <v>18.264650590026129</v>
      </c>
      <c r="BZ1074" s="3">
        <v>21.694650590026136</v>
      </c>
      <c r="CA1074" s="3">
        <v>12.59465059002612</v>
      </c>
      <c r="CB1074" s="3">
        <v>10.531317256692795</v>
      </c>
      <c r="CC1074" s="3">
        <v>10.244650590026126</v>
      </c>
      <c r="CD1074" s="3">
        <v>8.5513172566927977</v>
      </c>
      <c r="CE1074" s="3">
        <v>8.7446505900261258</v>
      </c>
      <c r="CF1074" s="3">
        <v>-0.94201607664054166</v>
      </c>
      <c r="CG1074" s="3">
        <v>-1.4753494099738731</v>
      </c>
      <c r="CH1074" s="3">
        <v>-2.5520160766405411</v>
      </c>
      <c r="CI1074" s="13">
        <f>[1]!dbasum(RecData[[#This Row],[20]:[2000]],RecData[[#Headers],[20]:[2000]])</f>
        <v>37.914952711559515</v>
      </c>
      <c r="CJ1074" s="14">
        <v>10656</v>
      </c>
      <c r="CK1074" s="15" t="s">
        <v>249</v>
      </c>
      <c r="CL1074" s="15">
        <f>RecData[[#This Row],[Start Time]]</f>
        <v>43275.954861111117</v>
      </c>
      <c r="CM1074" s="16">
        <f>RecData[[#This Row],[Wind Speed avg]]</f>
        <v>0.85</v>
      </c>
      <c r="CN1074" s="16">
        <f>RecData[[#This Row],[Wind Dir. avg]]</f>
        <v>132</v>
      </c>
      <c r="CO1074" s="16">
        <f>RecData[[#This Row],[Amb. Humidity]]</f>
        <v>45.4</v>
      </c>
      <c r="CP1074" s="16">
        <f>RecData[[#This Row],[Amb. Temperature]]</f>
        <v>13.9</v>
      </c>
      <c r="CQ1074" s="17">
        <f>RecData[[#This Row],[Amb. Rain Gauge]]</f>
        <v>0</v>
      </c>
      <c r="CR1074" s="4" t="s">
        <v>1</v>
      </c>
      <c r="CS1074" s="4" t="s">
        <v>49</v>
      </c>
      <c r="CT1074" s="70">
        <v>1381.55358886718</v>
      </c>
      <c r="CU1074" s="70">
        <v>17.964025497436499</v>
      </c>
      <c r="CV1074" s="70">
        <v>9.7294082641601491</v>
      </c>
      <c r="CW1074" s="70">
        <v>14.9857330322265</v>
      </c>
      <c r="CX1074" s="4"/>
      <c r="CY1074" s="69"/>
      <c r="CZ1074" s="2" t="b">
        <f>IF($DP$1="YES",IF(RecData[[#This Row],[Power (kW)]]&gt;=$CR$3, TRUE,FALSE),TRUE)</f>
        <v>1</v>
      </c>
      <c r="DA1074" s="16">
        <f>MIN(MOD(180-ABS(ABS($DA$1-RecData[Yaw Angle (°)])-180),360),MOD(180-ABS(ABS($DB$1-RecData[Yaw Angle (°)])-180),360))</f>
        <v>10.43409871974896</v>
      </c>
      <c r="DB1074" s="2" t="str">
        <f>IF($DP$2="None","None",IF(RecData[[#This Row],[Relative Wind Direction]]&lt;=45,"DW",IF(RecData[[#This Row],[Relative Wind Direction]]&lt;=135,"CW","UW")))</f>
        <v>DW</v>
      </c>
      <c r="DC1074" s="61">
        <f>IF($CL1074-$CL1070&gt;1/24,#REF!,IF(SUM($CQ1070:$CQ1074)&gt;$DS$1,$DS$5,DC1075-1))</f>
        <v>-2</v>
      </c>
      <c r="DD1074" s="61">
        <f>IF($CL1075-$CL1074&gt;1/24,#REF!,IF(SUM($CQ1070:$CQ1074)&gt;$DS$1,$DS$6,DD1073-1))</f>
        <v>-9</v>
      </c>
      <c r="DE1074" s="18" t="b">
        <v>0</v>
      </c>
      <c r="DF1074" s="2" t="b">
        <f>IF(OR(RecData[[#This Row],[WSpd_Avg '[m/s']]]-RecData[[#This Row],[Wind Speed min]]&gt;=$DF$3,RecData[[#This Row],[Wind Speed max]]-RecData[[#This Row],[WSpd_Avg '[m/s']]]&gt;=$DF$2),TRUE,FALSE)</f>
        <v>0</v>
      </c>
      <c r="DG1074" s="2" t="b">
        <f>RecData[[#This Row],[Temperature '[°C']]]&lt;=-20</f>
        <v>0</v>
      </c>
      <c r="DH1074" s="18" t="b">
        <f>NOT(OR(MOD(RecData[[#This Row],[TIMESTAMP]],1)&gt;0.91632,MOD(RecData[[#This Row],[TIMESTAMP]],1)&lt;0.208681))</f>
        <v>0</v>
      </c>
      <c r="DI1074" s="18" t="b">
        <f>RecData[[#This Row],[Overall (dBA)]]-RecData[[#This Row],[L90]]&gt;=$DS$4</f>
        <v>0</v>
      </c>
      <c r="DJ1074" s="18" t="b">
        <f>RecData[[#This Row],[Overall (dBA)]]&gt;$DS$2</f>
        <v>0</v>
      </c>
      <c r="DK1074" s="18" t="b">
        <f>RecData[[#This Row],[Overall (dBA)]]&lt;$DS$3</f>
        <v>0</v>
      </c>
      <c r="DL10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4" s="2">
        <f>IF(AND(RecData[[#This Row],[Turbines ON/OFF]] = "OFF", NOT(OR(RecData[[#This Row],[Junk?]]="YES",RecData[[#This Row],[Gust?]],RecData[[#This Row],[Rain?]:[Min SPL Threshold?]]))),1,0)</f>
        <v>0</v>
      </c>
      <c r="DN1074" s="16">
        <f>RecData[[#This Row],[dBA Sum]]</f>
        <v>37.914952711559515</v>
      </c>
      <c r="DO1074" s="16">
        <f>RecData[[#This Row],[LAF90.0]]</f>
        <v>36.799999999999997</v>
      </c>
      <c r="DP1074" s="55">
        <f>IF(AND(RecData[[#This Row],[Useable TON Data?]],RecData[[#This Row],[Turbines ON/OFF]]="ON"),RecData[[#This Row],[dBA Sum]],"")</f>
        <v>37.914952711559515</v>
      </c>
      <c r="DQ1074" s="55" t="str">
        <f>IF(AND(RecData[[#This Row],[Useable Background Data?]],RecData[[#This Row],[Turbines ON/OFF]]="OFF"),RecData[[#This Row],[dBA Sum]],"")</f>
        <v/>
      </c>
      <c r="DR1074" s="3">
        <f>IF(OR(RecData[[#This Row],[Useable TON Data?]],RecData[[#This Row],[Useable Background Data?]]),ROUND(RecData[[#This Row],[WSpd_Avg '[m/s']]],0),"")</f>
        <v>1</v>
      </c>
      <c r="DS1074" s="85">
        <f>(0.00002)^2*(10^(RecData[[#This Row],[Overall (dBA)]]/10))</f>
        <v>2.4748863621031941E-6</v>
      </c>
    </row>
    <row r="1075" spans="1:123" ht="15" x14ac:dyDescent="0.25">
      <c r="A1075" s="3" t="s">
        <v>249</v>
      </c>
      <c r="B1075" s="12">
        <v>43275.955555555563</v>
      </c>
      <c r="C1075" s="3"/>
      <c r="D1075" s="3">
        <v>36.5</v>
      </c>
      <c r="E1075" s="3"/>
      <c r="F1075" s="3"/>
      <c r="G1075" s="3"/>
      <c r="H1075" s="3"/>
      <c r="I1075" s="3"/>
      <c r="J1075" s="3"/>
      <c r="K1075" s="3">
        <v>35.5</v>
      </c>
      <c r="L1075" s="3"/>
      <c r="M1075" s="3"/>
      <c r="N1075" s="3">
        <v>194.2</v>
      </c>
      <c r="O1075" s="3"/>
      <c r="P1075" s="3"/>
      <c r="Q1075" s="3">
        <v>0.57999999999999996</v>
      </c>
      <c r="R1075" s="3">
        <v>0.1</v>
      </c>
      <c r="S1075" s="3">
        <v>1.3</v>
      </c>
      <c r="T1075" s="3">
        <v>13.9</v>
      </c>
      <c r="U1075" s="3">
        <v>46.2</v>
      </c>
      <c r="V1075" s="3">
        <v>976.5</v>
      </c>
      <c r="W1075" s="3">
        <v>0</v>
      </c>
      <c r="X1075" s="3">
        <v>45.6</v>
      </c>
      <c r="Y1075" s="3">
        <v>45.2</v>
      </c>
      <c r="Z1075" s="3">
        <v>44</v>
      </c>
      <c r="AA1075" s="3">
        <v>38.6</v>
      </c>
      <c r="AB1075" s="3">
        <v>34.200000000000003</v>
      </c>
      <c r="AC1075" s="3">
        <v>33.6</v>
      </c>
      <c r="AD1075" s="3">
        <v>36.6</v>
      </c>
      <c r="AE1075" s="3">
        <v>39</v>
      </c>
      <c r="AF1075" s="3">
        <v>40.9</v>
      </c>
      <c r="AG1075" s="3">
        <v>32.700000000000003</v>
      </c>
      <c r="AH1075" s="3">
        <v>34.5</v>
      </c>
      <c r="AI1075" s="3">
        <v>34</v>
      </c>
      <c r="AJ1075" s="3">
        <v>33.6</v>
      </c>
      <c r="AK1075" s="3">
        <v>31.8</v>
      </c>
      <c r="AL1075" s="3">
        <v>30</v>
      </c>
      <c r="AM1075" s="3">
        <v>29.3</v>
      </c>
      <c r="AN1075" s="3">
        <v>27.9</v>
      </c>
      <c r="AO1075" s="3">
        <v>24.6</v>
      </c>
      <c r="AP1075" s="3">
        <v>21.9</v>
      </c>
      <c r="AQ1075" s="3">
        <v>19.5</v>
      </c>
      <c r="AR1075" s="3">
        <v>16.399999999999999</v>
      </c>
      <c r="AS1075" s="3">
        <v>15.1</v>
      </c>
      <c r="AT1075" s="3">
        <v>19.3</v>
      </c>
      <c r="AU1075" s="3">
        <v>9.6</v>
      </c>
      <c r="AV1075" s="3">
        <v>9</v>
      </c>
      <c r="AW1075" s="3">
        <v>9.1</v>
      </c>
      <c r="AX1075" s="3">
        <v>9</v>
      </c>
      <c r="AY1075" s="3">
        <v>9.1999999999999993</v>
      </c>
      <c r="AZ1075" s="3">
        <v>0</v>
      </c>
      <c r="BA1075" s="3">
        <v>0</v>
      </c>
      <c r="BB1075" s="3">
        <v>0</v>
      </c>
      <c r="BC1075" s="3">
        <v>36.488818575137138</v>
      </c>
      <c r="BD1075" s="3">
        <v>45.611181424862856</v>
      </c>
      <c r="BE1075" s="3">
        <v>45.211181424862865</v>
      </c>
      <c r="BF1075" s="3">
        <v>42.771181424862853</v>
      </c>
      <c r="BG1075" s="3">
        <v>37.697848091529529</v>
      </c>
      <c r="BH1075" s="3">
        <v>33.437848091529538</v>
      </c>
      <c r="BI1075" s="3">
        <v>33.251181424862871</v>
      </c>
      <c r="BJ1075" s="3">
        <v>37.044514758196193</v>
      </c>
      <c r="BK1075" s="3">
        <v>39.317848091529534</v>
      </c>
      <c r="BL1075" s="3">
        <v>40.791181424862863</v>
      </c>
      <c r="BM1075" s="3">
        <v>32.7245147581962</v>
      </c>
      <c r="BN1075" s="3">
        <v>34.807848091529529</v>
      </c>
      <c r="BO1075" s="3">
        <v>33.674514758196189</v>
      </c>
      <c r="BP1075" s="3">
        <v>32.991181424862866</v>
      </c>
      <c r="BQ1075" s="3">
        <v>31.607848091529526</v>
      </c>
      <c r="BR1075" s="3">
        <v>30.134514758196197</v>
      </c>
      <c r="BS1075" s="3">
        <v>29.237848091529521</v>
      </c>
      <c r="BT1075" s="3">
        <v>28.034514758196202</v>
      </c>
      <c r="BU1075" s="3">
        <v>24.701181424862867</v>
      </c>
      <c r="BV1075" s="3">
        <v>21.717848091529525</v>
      </c>
      <c r="BW1075" s="3">
        <v>19.851181424862865</v>
      </c>
      <c r="BX1075" s="3">
        <v>16.671181424862866</v>
      </c>
      <c r="BY1075" s="3">
        <v>15.191181424862862</v>
      </c>
      <c r="BZ1075" s="3">
        <v>19.521181424862867</v>
      </c>
      <c r="CA1075" s="3">
        <v>9.9211814248628585</v>
      </c>
      <c r="CB1075" s="3">
        <v>8.7578480915295245</v>
      </c>
      <c r="CC1075" s="3">
        <v>9.0711814248628642</v>
      </c>
      <c r="CD1075" s="3">
        <v>8.2778480915295347</v>
      </c>
      <c r="CE1075" s="3">
        <v>8.6711814248628585</v>
      </c>
      <c r="CF1075" s="3">
        <v>-0.91548524180380753</v>
      </c>
      <c r="CG1075" s="3">
        <v>-1.448818575137139</v>
      </c>
      <c r="CH1075" s="3">
        <v>-2.525485241803807</v>
      </c>
      <c r="CI1075" s="13">
        <f>[1]!dbasum(RecData[[#This Row],[20]:[2000]],RecData[[#Headers],[20]:[2000]])</f>
        <v>36.236493947623181</v>
      </c>
      <c r="CJ1075" s="14">
        <v>10657</v>
      </c>
      <c r="CK1075" s="15" t="s">
        <v>249</v>
      </c>
      <c r="CL1075" s="15">
        <f>RecData[[#This Row],[Start Time]]</f>
        <v>43275.955555555563</v>
      </c>
      <c r="CM1075" s="16">
        <f>RecData[[#This Row],[Wind Speed avg]]</f>
        <v>0.57999999999999996</v>
      </c>
      <c r="CN1075" s="16">
        <f>RecData[[#This Row],[Wind Dir. avg]]</f>
        <v>194.2</v>
      </c>
      <c r="CO1075" s="16">
        <f>RecData[[#This Row],[Amb. Humidity]]</f>
        <v>46.2</v>
      </c>
      <c r="CP1075" s="16">
        <f>RecData[[#This Row],[Amb. Temperature]]</f>
        <v>13.9</v>
      </c>
      <c r="CQ1075" s="17">
        <f>RecData[[#This Row],[Amb. Rain Gauge]]</f>
        <v>0</v>
      </c>
      <c r="CR1075" s="4" t="s">
        <v>1</v>
      </c>
      <c r="CS1075" s="4" t="s">
        <v>49</v>
      </c>
      <c r="CT1075" s="70">
        <v>1381.55358886718</v>
      </c>
      <c r="CU1075" s="70">
        <v>17.964025497436499</v>
      </c>
      <c r="CV1075" s="70">
        <v>9.7294082641601491</v>
      </c>
      <c r="CW1075" s="70">
        <v>14.9857330322265</v>
      </c>
      <c r="CX1075" s="4"/>
      <c r="CY1075" s="69"/>
      <c r="CZ1075" s="2" t="b">
        <f>IF($DP$1="YES",IF(RecData[[#This Row],[Power (kW)]]&gt;=$CR$3, TRUE,FALSE),TRUE)</f>
        <v>1</v>
      </c>
      <c r="DA1075" s="16">
        <f>MIN(MOD(180-ABS(ABS($DA$1-RecData[Yaw Angle (°)])-180),360),MOD(180-ABS(ABS($DB$1-RecData[Yaw Angle (°)])-180),360))</f>
        <v>10.43409871974896</v>
      </c>
      <c r="DB1075" s="2" t="str">
        <f>IF($DP$2="None","None",IF(RecData[[#This Row],[Relative Wind Direction]]&lt;=45,"DW",IF(RecData[[#This Row],[Relative Wind Direction]]&lt;=135,"CW","UW")))</f>
        <v>DW</v>
      </c>
      <c r="DC1075" s="61">
        <v>-1</v>
      </c>
      <c r="DD1075" s="61">
        <v>-1</v>
      </c>
      <c r="DE1075" s="18" t="b">
        <v>0</v>
      </c>
      <c r="DF1075" s="2" t="b">
        <f>IF(OR(RecData[[#This Row],[WSpd_Avg '[m/s']]]-RecData[[#This Row],[Wind Speed min]]&gt;=$DF$3,RecData[[#This Row],[Wind Speed max]]-RecData[[#This Row],[WSpd_Avg '[m/s']]]&gt;=$DF$2),TRUE,FALSE)</f>
        <v>0</v>
      </c>
      <c r="DG1075" s="2" t="b">
        <f>RecData[[#This Row],[Temperature '[°C']]]&lt;=-20</f>
        <v>0</v>
      </c>
      <c r="DH1075" s="18" t="b">
        <f>NOT(OR(MOD(RecData[[#This Row],[TIMESTAMP]],1)&gt;0.91632,MOD(RecData[[#This Row],[TIMESTAMP]],1)&lt;0.208681))</f>
        <v>0</v>
      </c>
      <c r="DI1075" s="18" t="b">
        <f>RecData[[#This Row],[Overall (dBA)]]-RecData[[#This Row],[L90]]&gt;=$DS$4</f>
        <v>0</v>
      </c>
      <c r="DJ1075" s="18" t="b">
        <f>RecData[[#This Row],[Overall (dBA)]]&gt;$DS$2</f>
        <v>0</v>
      </c>
      <c r="DK1075" s="18" t="b">
        <f>RecData[[#This Row],[Overall (dBA)]]&lt;$DS$3</f>
        <v>0</v>
      </c>
      <c r="DL10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5" s="2">
        <f>IF(AND(RecData[[#This Row],[Turbines ON/OFF]] = "OFF", NOT(OR(RecData[[#This Row],[Junk?]]="YES",RecData[[#This Row],[Gust?]],RecData[[#This Row],[Rain?]:[Min SPL Threshold?]]))),1,0)</f>
        <v>0</v>
      </c>
      <c r="DN1075" s="16">
        <f>RecData[[#This Row],[dBA Sum]]</f>
        <v>36.236493947623181</v>
      </c>
      <c r="DO1075" s="16">
        <f>RecData[[#This Row],[LAF90.0]]</f>
        <v>35.5</v>
      </c>
      <c r="DP1075" s="55">
        <f>IF(AND(RecData[[#This Row],[Useable TON Data?]],RecData[[#This Row],[Turbines ON/OFF]]="ON"),RecData[[#This Row],[dBA Sum]],"")</f>
        <v>36.236493947623181</v>
      </c>
      <c r="DQ1075" s="55" t="str">
        <f>IF(AND(RecData[[#This Row],[Useable Background Data?]],RecData[[#This Row],[Turbines ON/OFF]]="OFF"),RecData[[#This Row],[dBA Sum]],"")</f>
        <v/>
      </c>
      <c r="DR1075" s="3">
        <f>IF(OR(RecData[[#This Row],[Useable TON Data?]],RecData[[#This Row],[Useable Background Data?]]),ROUND(RecData[[#This Row],[WSpd_Avg '[m/s']]],0),"")</f>
        <v>1</v>
      </c>
      <c r="DS1075" s="85">
        <f>(0.00002)^2*(10^(RecData[[#This Row],[Overall (dBA)]]/10))</f>
        <v>1.6815484540658366E-6</v>
      </c>
    </row>
    <row r="1076" spans="1:123" ht="15" x14ac:dyDescent="0.25">
      <c r="A1076" s="3" t="s">
        <v>249</v>
      </c>
      <c r="B1076" s="12">
        <v>43275.956250000003</v>
      </c>
      <c r="C1076" s="3"/>
      <c r="D1076" s="3">
        <v>37.200000000000003</v>
      </c>
      <c r="E1076" s="3"/>
      <c r="F1076" s="3"/>
      <c r="G1076" s="3"/>
      <c r="H1076" s="3"/>
      <c r="I1076" s="3"/>
      <c r="J1076" s="3"/>
      <c r="K1076" s="3">
        <v>35.799999999999997</v>
      </c>
      <c r="L1076" s="3"/>
      <c r="M1076" s="3"/>
      <c r="N1076" s="3">
        <v>230.4</v>
      </c>
      <c r="O1076" s="3"/>
      <c r="P1076" s="3"/>
      <c r="Q1076" s="3">
        <v>0.43</v>
      </c>
      <c r="R1076" s="3">
        <v>0</v>
      </c>
      <c r="S1076" s="3">
        <v>1.1000000000000001</v>
      </c>
      <c r="T1076" s="3">
        <v>13.9</v>
      </c>
      <c r="U1076" s="3">
        <v>45.3</v>
      </c>
      <c r="V1076" s="3">
        <v>976.5</v>
      </c>
      <c r="W1076" s="3">
        <v>0</v>
      </c>
      <c r="X1076" s="3">
        <v>46.4</v>
      </c>
      <c r="Y1076" s="3">
        <v>45.9</v>
      </c>
      <c r="Z1076" s="3">
        <v>45.5</v>
      </c>
      <c r="AA1076" s="3">
        <v>40.200000000000003</v>
      </c>
      <c r="AB1076" s="3">
        <v>35.5</v>
      </c>
      <c r="AC1076" s="3">
        <v>34.200000000000003</v>
      </c>
      <c r="AD1076" s="3">
        <v>37.200000000000003</v>
      </c>
      <c r="AE1076" s="3">
        <v>39.6</v>
      </c>
      <c r="AF1076" s="3">
        <v>43.1</v>
      </c>
      <c r="AG1076" s="3">
        <v>34.9</v>
      </c>
      <c r="AH1076" s="3">
        <v>36.1</v>
      </c>
      <c r="AI1076" s="3">
        <v>35.5</v>
      </c>
      <c r="AJ1076" s="3">
        <v>34.6</v>
      </c>
      <c r="AK1076" s="3">
        <v>32.5</v>
      </c>
      <c r="AL1076" s="3">
        <v>30.4</v>
      </c>
      <c r="AM1076" s="3">
        <v>29.7</v>
      </c>
      <c r="AN1076" s="3">
        <v>27.6</v>
      </c>
      <c r="AO1076" s="3">
        <v>23.7</v>
      </c>
      <c r="AP1076" s="3">
        <v>21.4</v>
      </c>
      <c r="AQ1076" s="3">
        <v>18.7</v>
      </c>
      <c r="AR1076" s="3">
        <v>15.5</v>
      </c>
      <c r="AS1076" s="3">
        <v>13</v>
      </c>
      <c r="AT1076" s="3">
        <v>21.6</v>
      </c>
      <c r="AU1076" s="3">
        <v>10.199999999999999</v>
      </c>
      <c r="AV1076" s="3">
        <v>8.6999999999999993</v>
      </c>
      <c r="AW1076" s="3">
        <v>9</v>
      </c>
      <c r="AX1076" s="3">
        <v>9</v>
      </c>
      <c r="AY1076" s="3">
        <v>9.1999999999999993</v>
      </c>
      <c r="AZ1076" s="3">
        <v>0</v>
      </c>
      <c r="BA1076" s="3">
        <v>0</v>
      </c>
      <c r="BB1076" s="3">
        <v>0</v>
      </c>
      <c r="BC1076" s="3">
        <v>37.172561028991495</v>
      </c>
      <c r="BD1076" s="3">
        <v>46.427438971008499</v>
      </c>
      <c r="BE1076" s="3">
        <v>45.927438971008499</v>
      </c>
      <c r="BF1076" s="3">
        <v>44.287438971008513</v>
      </c>
      <c r="BG1076" s="3">
        <v>39.314105637675183</v>
      </c>
      <c r="BH1076" s="3">
        <v>34.754105637675181</v>
      </c>
      <c r="BI1076" s="3">
        <v>33.867438971008511</v>
      </c>
      <c r="BJ1076" s="3">
        <v>37.660772304341847</v>
      </c>
      <c r="BK1076" s="3">
        <v>39.934105637675174</v>
      </c>
      <c r="BL1076" s="3">
        <v>43.007438971008511</v>
      </c>
      <c r="BM1076" s="3">
        <v>34.940772304341849</v>
      </c>
      <c r="BN1076" s="3">
        <v>36.424105637675169</v>
      </c>
      <c r="BO1076" s="3">
        <v>35.190772304341849</v>
      </c>
      <c r="BP1076" s="3">
        <v>34.007438971008511</v>
      </c>
      <c r="BQ1076" s="3">
        <v>32.324105637675174</v>
      </c>
      <c r="BR1076" s="3">
        <v>30.550772304341834</v>
      </c>
      <c r="BS1076" s="3">
        <v>29.654105637675173</v>
      </c>
      <c r="BT1076" s="3">
        <v>27.750772304341851</v>
      </c>
      <c r="BU1076" s="3">
        <v>23.817438971008514</v>
      </c>
      <c r="BV1076" s="3">
        <v>21.234105637675171</v>
      </c>
      <c r="BW1076" s="3">
        <v>19.067438971008514</v>
      </c>
      <c r="BX1076" s="3">
        <v>15.787438971008513</v>
      </c>
      <c r="BY1076" s="3">
        <v>13.107438971008506</v>
      </c>
      <c r="BZ1076" s="3">
        <v>21.83743897100851</v>
      </c>
      <c r="CA1076" s="3">
        <v>10.537438971008498</v>
      </c>
      <c r="CB1076" s="3">
        <v>8.4741056376751729</v>
      </c>
      <c r="CC1076" s="3">
        <v>8.9874389710085083</v>
      </c>
      <c r="CD1076" s="3">
        <v>8.2941056376751803</v>
      </c>
      <c r="CE1076" s="3">
        <v>8.687438971008504</v>
      </c>
      <c r="CF1076" s="3">
        <v>-0.89922769565816196</v>
      </c>
      <c r="CG1076" s="3">
        <v>-1.4325610289914934</v>
      </c>
      <c r="CH1076" s="3">
        <v>-2.5092276956581614</v>
      </c>
      <c r="CI1076" s="13">
        <f>[1]!dbasum(RecData[[#This Row],[20]:[2000]],RecData[[#Headers],[20]:[2000]])</f>
        <v>36.892391247923989</v>
      </c>
      <c r="CJ1076" s="14">
        <v>10658</v>
      </c>
      <c r="CK1076" s="15" t="s">
        <v>249</v>
      </c>
      <c r="CL1076" s="15">
        <f>RecData[[#This Row],[Start Time]]</f>
        <v>43275.956250000003</v>
      </c>
      <c r="CM1076" s="16">
        <f>RecData[[#This Row],[Wind Speed avg]]</f>
        <v>0.43</v>
      </c>
      <c r="CN1076" s="16">
        <f>RecData[[#This Row],[Wind Dir. avg]]</f>
        <v>230.4</v>
      </c>
      <c r="CO1076" s="16">
        <f>RecData[[#This Row],[Amb. Humidity]]</f>
        <v>45.3</v>
      </c>
      <c r="CP1076" s="16">
        <f>RecData[[#This Row],[Amb. Temperature]]</f>
        <v>13.9</v>
      </c>
      <c r="CQ1076" s="17">
        <f>RecData[[#This Row],[Amb. Rain Gauge]]</f>
        <v>0</v>
      </c>
      <c r="CR1076" s="4" t="s">
        <v>1</v>
      </c>
      <c r="CS1076" s="4" t="s">
        <v>49</v>
      </c>
      <c r="CT1076" s="70">
        <v>1381.55358886718</v>
      </c>
      <c r="CU1076" s="70">
        <v>17.964025497436499</v>
      </c>
      <c r="CV1076" s="70">
        <v>9.7294082641601491</v>
      </c>
      <c r="CW1076" s="70">
        <v>14.9857330322265</v>
      </c>
      <c r="CX1076" s="4"/>
      <c r="CY1076" s="69"/>
      <c r="CZ1076" s="2" t="b">
        <f>IF($DP$1="YES",IF(RecData[[#This Row],[Power (kW)]]&gt;=$CR$3, TRUE,FALSE),TRUE)</f>
        <v>1</v>
      </c>
      <c r="DA1076" s="16">
        <f>MIN(MOD(180-ABS(ABS($DA$1-RecData[Yaw Angle (°)])-180),360),MOD(180-ABS(ABS($DB$1-RecData[Yaw Angle (°)])-180),360))</f>
        <v>10.43409871974896</v>
      </c>
      <c r="DB1076" s="2" t="str">
        <f>IF($DP$2="None","None",IF(RecData[[#This Row],[Relative Wind Direction]]&lt;=45,"DW",IF(RecData[[#This Row],[Relative Wind Direction]]&lt;=135,"CW","UW")))</f>
        <v>DW</v>
      </c>
      <c r="DC1076" s="61" t="e">
        <f>IF($CL1076-$CL1075&gt;1/24,#REF!,IF(SUM($CQ1075:$CQ1076)&gt;$DS$1,$DS$5,DC1077-1))</f>
        <v>#REF!</v>
      </c>
      <c r="DD1076" s="61">
        <f>IF($CL1077-$CL1076&gt;1/24,#REF!,IF(SUM($CQ1075:$CQ1076)&gt;$DS$1,$DS$6,DD1075-1))</f>
        <v>-2</v>
      </c>
      <c r="DE1076" s="18" t="b">
        <v>0</v>
      </c>
      <c r="DF1076" s="2" t="b">
        <f>IF(OR(RecData[[#This Row],[WSpd_Avg '[m/s']]]-RecData[[#This Row],[Wind Speed min]]&gt;=$DF$3,RecData[[#This Row],[Wind Speed max]]-RecData[[#This Row],[WSpd_Avg '[m/s']]]&gt;=$DF$2),TRUE,FALSE)</f>
        <v>0</v>
      </c>
      <c r="DG1076" s="2" t="b">
        <f>RecData[[#This Row],[Temperature '[°C']]]&lt;=-20</f>
        <v>0</v>
      </c>
      <c r="DH1076" s="18" t="b">
        <f>NOT(OR(MOD(RecData[[#This Row],[TIMESTAMP]],1)&gt;0.91632,MOD(RecData[[#This Row],[TIMESTAMP]],1)&lt;0.208681))</f>
        <v>0</v>
      </c>
      <c r="DI1076" s="18" t="b">
        <f>RecData[[#This Row],[Overall (dBA)]]-RecData[[#This Row],[L90]]&gt;=$DS$4</f>
        <v>0</v>
      </c>
      <c r="DJ1076" s="18" t="b">
        <f>RecData[[#This Row],[Overall (dBA)]]&gt;$DS$2</f>
        <v>0</v>
      </c>
      <c r="DK1076" s="18" t="b">
        <f>RecData[[#This Row],[Overall (dBA)]]&lt;$DS$3</f>
        <v>0</v>
      </c>
      <c r="DL10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6" s="2">
        <f>IF(AND(RecData[[#This Row],[Turbines ON/OFF]] = "OFF", NOT(OR(RecData[[#This Row],[Junk?]]="YES",RecData[[#This Row],[Gust?]],RecData[[#This Row],[Rain?]:[Min SPL Threshold?]]))),1,0)</f>
        <v>0</v>
      </c>
      <c r="DN1076" s="16">
        <f>RecData[[#This Row],[dBA Sum]]</f>
        <v>36.892391247923989</v>
      </c>
      <c r="DO1076" s="16">
        <f>RecData[[#This Row],[LAF90.0]]</f>
        <v>35.799999999999997</v>
      </c>
      <c r="DP1076" s="55">
        <f>IF(AND(RecData[[#This Row],[Useable TON Data?]],RecData[[#This Row],[Turbines ON/OFF]]="ON"),RecData[[#This Row],[dBA Sum]],"")</f>
        <v>36.892391247923989</v>
      </c>
      <c r="DQ1076" s="55" t="str">
        <f>IF(AND(RecData[[#This Row],[Useable Background Data?]],RecData[[#This Row],[Turbines ON/OFF]]="OFF"),RecData[[#This Row],[dBA Sum]],"")</f>
        <v/>
      </c>
      <c r="DR1076" s="3">
        <f>IF(OR(RecData[[#This Row],[Useable TON Data?]],RecData[[#This Row],[Useable Background Data?]]),ROUND(RecData[[#This Row],[WSpd_Avg '[m/s']]],0),"")</f>
        <v>0</v>
      </c>
      <c r="DS1076" s="85">
        <f>(0.00002)^2*(10^(RecData[[#This Row],[Overall (dBA)]]/10))</f>
        <v>1.9556859517970226E-6</v>
      </c>
    </row>
    <row r="1077" spans="1:123" ht="15" x14ac:dyDescent="0.25">
      <c r="A1077" s="3" t="s">
        <v>249</v>
      </c>
      <c r="B1077" s="12">
        <v>43275.95694444445</v>
      </c>
      <c r="C1077" s="3"/>
      <c r="D1077" s="3">
        <v>38.799999999999997</v>
      </c>
      <c r="E1077" s="3"/>
      <c r="F1077" s="3"/>
      <c r="G1077" s="3"/>
      <c r="H1077" s="3"/>
      <c r="I1077" s="3"/>
      <c r="J1077" s="3"/>
      <c r="K1077" s="3">
        <v>37.299999999999997</v>
      </c>
      <c r="L1077" s="3"/>
      <c r="M1077" s="3"/>
      <c r="N1077" s="3">
        <v>273.5</v>
      </c>
      <c r="O1077" s="3"/>
      <c r="P1077" s="3"/>
      <c r="Q1077" s="3">
        <v>0.83</v>
      </c>
      <c r="R1077" s="3">
        <v>0.1</v>
      </c>
      <c r="S1077" s="3">
        <v>2.2000000000000002</v>
      </c>
      <c r="T1077" s="3">
        <v>13.9</v>
      </c>
      <c r="U1077" s="3">
        <v>45.6</v>
      </c>
      <c r="V1077" s="3">
        <v>976.5</v>
      </c>
      <c r="W1077" s="3">
        <v>0</v>
      </c>
      <c r="X1077" s="3">
        <v>46.2</v>
      </c>
      <c r="Y1077" s="3">
        <v>46.5</v>
      </c>
      <c r="Z1077" s="3">
        <v>46.4</v>
      </c>
      <c r="AA1077" s="3">
        <v>40.799999999999997</v>
      </c>
      <c r="AB1077" s="3">
        <v>36.1</v>
      </c>
      <c r="AC1077" s="3">
        <v>36.299999999999997</v>
      </c>
      <c r="AD1077" s="3">
        <v>39.9</v>
      </c>
      <c r="AE1077" s="3">
        <v>41.5</v>
      </c>
      <c r="AF1077" s="3">
        <v>43.3</v>
      </c>
      <c r="AG1077" s="3">
        <v>35.299999999999997</v>
      </c>
      <c r="AH1077" s="3">
        <v>37.799999999999997</v>
      </c>
      <c r="AI1077" s="3">
        <v>36.299999999999997</v>
      </c>
      <c r="AJ1077" s="3">
        <v>36.299999999999997</v>
      </c>
      <c r="AK1077" s="3">
        <v>34.200000000000003</v>
      </c>
      <c r="AL1077" s="3">
        <v>32.200000000000003</v>
      </c>
      <c r="AM1077" s="3">
        <v>31.8</v>
      </c>
      <c r="AN1077" s="3">
        <v>30</v>
      </c>
      <c r="AO1077" s="3">
        <v>26</v>
      </c>
      <c r="AP1077" s="3">
        <v>23.6</v>
      </c>
      <c r="AQ1077" s="3">
        <v>20.8</v>
      </c>
      <c r="AR1077" s="3">
        <v>17.3</v>
      </c>
      <c r="AS1077" s="3">
        <v>16</v>
      </c>
      <c r="AT1077" s="3">
        <v>21.5</v>
      </c>
      <c r="AU1077" s="3">
        <v>12.1</v>
      </c>
      <c r="AV1077" s="3">
        <v>10.199999999999999</v>
      </c>
      <c r="AW1077" s="3">
        <v>9.9</v>
      </c>
      <c r="AX1077" s="3">
        <v>9.1999999999999993</v>
      </c>
      <c r="AY1077" s="3">
        <v>9.3000000000000007</v>
      </c>
      <c r="AZ1077" s="3">
        <v>0</v>
      </c>
      <c r="BA1077" s="3">
        <v>0</v>
      </c>
      <c r="BB1077" s="3">
        <v>0</v>
      </c>
      <c r="BC1077" s="3">
        <v>38.786834174502339</v>
      </c>
      <c r="BD1077" s="3">
        <v>46.213165825497661</v>
      </c>
      <c r="BE1077" s="3">
        <v>46.513165825497659</v>
      </c>
      <c r="BF1077" s="3">
        <v>45.173165825497655</v>
      </c>
      <c r="BG1077" s="3">
        <v>39.899832492164329</v>
      </c>
      <c r="BH1077" s="3">
        <v>35.339832492164327</v>
      </c>
      <c r="BI1077" s="3">
        <v>35.953165825497656</v>
      </c>
      <c r="BJ1077" s="3">
        <v>40.346499158830987</v>
      </c>
      <c r="BK1077" s="3">
        <v>41.819832492164316</v>
      </c>
      <c r="BL1077" s="3">
        <v>43.193165825497651</v>
      </c>
      <c r="BM1077" s="3">
        <v>35.326499158830991</v>
      </c>
      <c r="BN1077" s="3">
        <v>38.109832492164323</v>
      </c>
      <c r="BO1077" s="3">
        <v>35.976499158830983</v>
      </c>
      <c r="BP1077" s="3">
        <v>35.693165825497651</v>
      </c>
      <c r="BQ1077" s="3">
        <v>34.009832492164314</v>
      </c>
      <c r="BR1077" s="3">
        <v>32.336499158830996</v>
      </c>
      <c r="BS1077" s="3">
        <v>31.739832492164332</v>
      </c>
      <c r="BT1077" s="3">
        <v>30.136499158830993</v>
      </c>
      <c r="BU1077" s="3">
        <v>26.103165825497662</v>
      </c>
      <c r="BV1077" s="3">
        <v>23.419832492164325</v>
      </c>
      <c r="BW1077" s="3">
        <v>21.153165825497659</v>
      </c>
      <c r="BX1077" s="3">
        <v>17.573165825497661</v>
      </c>
      <c r="BY1077" s="3">
        <v>16.093165825497657</v>
      </c>
      <c r="BZ1077" s="3">
        <v>21.723165825497667</v>
      </c>
      <c r="CA1077" s="3">
        <v>12.423165825497655</v>
      </c>
      <c r="CB1077" s="3">
        <v>9.959832492164324</v>
      </c>
      <c r="CC1077" s="3">
        <v>9.873165825497658</v>
      </c>
      <c r="CD1077" s="3">
        <v>8.4798324921643271</v>
      </c>
      <c r="CE1077" s="3">
        <v>8.7731658254976566</v>
      </c>
      <c r="CF1077" s="3">
        <v>-0.91350084116901087</v>
      </c>
      <c r="CG1077" s="3">
        <v>-1.4468341745023423</v>
      </c>
      <c r="CH1077" s="3">
        <v>-2.5235008411690103</v>
      </c>
      <c r="CI1077" s="13">
        <f>[1]!dbasum(RecData[[#This Row],[20]:[2000]],RecData[[#Headers],[20]:[2000]])</f>
        <v>38.55322288934444</v>
      </c>
      <c r="CJ1077" s="14">
        <v>10659</v>
      </c>
      <c r="CK1077" s="15" t="s">
        <v>249</v>
      </c>
      <c r="CL1077" s="15">
        <f>RecData[[#This Row],[Start Time]]</f>
        <v>43275.95694444445</v>
      </c>
      <c r="CM1077" s="16">
        <f>RecData[[#This Row],[Wind Speed avg]]</f>
        <v>0.83</v>
      </c>
      <c r="CN1077" s="16">
        <f>RecData[[#This Row],[Wind Dir. avg]]</f>
        <v>273.5</v>
      </c>
      <c r="CO1077" s="16">
        <f>RecData[[#This Row],[Amb. Humidity]]</f>
        <v>45.6</v>
      </c>
      <c r="CP1077" s="16">
        <f>RecData[[#This Row],[Amb. Temperature]]</f>
        <v>13.9</v>
      </c>
      <c r="CQ1077" s="17">
        <f>RecData[[#This Row],[Amb. Rain Gauge]]</f>
        <v>0</v>
      </c>
      <c r="CR1077" s="4" t="s">
        <v>1</v>
      </c>
      <c r="CS1077" s="4" t="s">
        <v>49</v>
      </c>
      <c r="CT1077" s="70">
        <v>1381.55358886718</v>
      </c>
      <c r="CU1077" s="70">
        <v>17.964025497436499</v>
      </c>
      <c r="CV1077" s="70">
        <v>9.7294082641601491</v>
      </c>
      <c r="CW1077" s="70">
        <v>14.9857330322265</v>
      </c>
      <c r="CX1077" s="4"/>
      <c r="CY1077" s="69"/>
      <c r="CZ1077" s="2" t="b">
        <f>IF($DP$1="YES",IF(RecData[[#This Row],[Power (kW)]]&gt;=$CR$3, TRUE,FALSE),TRUE)</f>
        <v>1</v>
      </c>
      <c r="DA1077" s="16">
        <f>MIN(MOD(180-ABS(ABS($DA$1-RecData[Yaw Angle (°)])-180),360),MOD(180-ABS(ABS($DB$1-RecData[Yaw Angle (°)])-180),360))</f>
        <v>10.43409871974896</v>
      </c>
      <c r="DB1077" s="2" t="str">
        <f>IF($DP$2="None","None",IF(RecData[[#This Row],[Relative Wind Direction]]&lt;=45,"DW",IF(RecData[[#This Row],[Relative Wind Direction]]&lt;=135,"CW","UW")))</f>
        <v>DW</v>
      </c>
      <c r="DC1077" s="61" t="e">
        <f>IF($CL1077-$CL1075&gt;1/24,#REF!,IF(SUM($CQ1075:$CQ1077)&gt;$DS$1,$DS$5,DC1078-1))</f>
        <v>#REF!</v>
      </c>
      <c r="DD1077" s="61">
        <f>IF($CL1078-$CL1077&gt;1/24,#REF!,IF(SUM($CQ1075:$CQ1077)&gt;$DS$1,$DS$6,DD1076-1))</f>
        <v>-3</v>
      </c>
      <c r="DE1077" s="18" t="b">
        <v>0</v>
      </c>
      <c r="DF1077" s="2" t="b">
        <f>IF(OR(RecData[[#This Row],[WSpd_Avg '[m/s']]]-RecData[[#This Row],[Wind Speed min]]&gt;=$DF$3,RecData[[#This Row],[Wind Speed max]]-RecData[[#This Row],[WSpd_Avg '[m/s']]]&gt;=$DF$2),TRUE,FALSE)</f>
        <v>0</v>
      </c>
      <c r="DG1077" s="2" t="b">
        <f>RecData[[#This Row],[Temperature '[°C']]]&lt;=-20</f>
        <v>0</v>
      </c>
      <c r="DH1077" s="18" t="b">
        <f>NOT(OR(MOD(RecData[[#This Row],[TIMESTAMP]],1)&gt;0.91632,MOD(RecData[[#This Row],[TIMESTAMP]],1)&lt;0.208681))</f>
        <v>0</v>
      </c>
      <c r="DI1077" s="18" t="b">
        <f>RecData[[#This Row],[Overall (dBA)]]-RecData[[#This Row],[L90]]&gt;=$DS$4</f>
        <v>0</v>
      </c>
      <c r="DJ1077" s="18" t="b">
        <f>RecData[[#This Row],[Overall (dBA)]]&gt;$DS$2</f>
        <v>0</v>
      </c>
      <c r="DK1077" s="18" t="b">
        <f>RecData[[#This Row],[Overall (dBA)]]&lt;$DS$3</f>
        <v>0</v>
      </c>
      <c r="DL10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7" s="2">
        <f>IF(AND(RecData[[#This Row],[Turbines ON/OFF]] = "OFF", NOT(OR(RecData[[#This Row],[Junk?]]="YES",RecData[[#This Row],[Gust?]],RecData[[#This Row],[Rain?]:[Min SPL Threshold?]]))),1,0)</f>
        <v>0</v>
      </c>
      <c r="DN1077" s="16">
        <f>RecData[[#This Row],[dBA Sum]]</f>
        <v>38.55322288934444</v>
      </c>
      <c r="DO1077" s="16">
        <f>RecData[[#This Row],[LAF90.0]]</f>
        <v>37.299999999999997</v>
      </c>
      <c r="DP1077" s="55">
        <f>IF(AND(RecData[[#This Row],[Useable TON Data?]],RecData[[#This Row],[Turbines ON/OFF]]="ON"),RecData[[#This Row],[dBA Sum]],"")</f>
        <v>38.55322288934444</v>
      </c>
      <c r="DQ1077" s="55" t="str">
        <f>IF(AND(RecData[[#This Row],[Useable Background Data?]],RecData[[#This Row],[Turbines ON/OFF]]="OFF"),RecData[[#This Row],[dBA Sum]],"")</f>
        <v/>
      </c>
      <c r="DR1077" s="3">
        <f>IF(OR(RecData[[#This Row],[Useable TON Data?]],RecData[[#This Row],[Useable Background Data?]]),ROUND(RecData[[#This Row],[WSpd_Avg '[m/s']]],0),"")</f>
        <v>1</v>
      </c>
      <c r="DS1077" s="85">
        <f>(0.00002)^2*(10^(RecData[[#This Row],[Overall (dBA)]]/10))</f>
        <v>2.8667002233191422E-6</v>
      </c>
    </row>
    <row r="1078" spans="1:123" ht="15" x14ac:dyDescent="0.25">
      <c r="A1078" s="3" t="s">
        <v>249</v>
      </c>
      <c r="B1078" s="12">
        <v>43275.957638888896</v>
      </c>
      <c r="C1078" s="3"/>
      <c r="D1078" s="3">
        <v>39.5</v>
      </c>
      <c r="E1078" s="3"/>
      <c r="F1078" s="3"/>
      <c r="G1078" s="3"/>
      <c r="H1078" s="3"/>
      <c r="I1078" s="3"/>
      <c r="J1078" s="3"/>
      <c r="K1078" s="3">
        <v>37.6</v>
      </c>
      <c r="L1078" s="3"/>
      <c r="M1078" s="3"/>
      <c r="N1078" s="3">
        <v>229.2</v>
      </c>
      <c r="O1078" s="3"/>
      <c r="P1078" s="3"/>
      <c r="Q1078" s="3">
        <v>0.9</v>
      </c>
      <c r="R1078" s="3">
        <v>0.1</v>
      </c>
      <c r="S1078" s="3">
        <v>2.2000000000000002</v>
      </c>
      <c r="T1078" s="3">
        <v>14</v>
      </c>
      <c r="U1078" s="3">
        <v>44.8</v>
      </c>
      <c r="V1078" s="3">
        <v>976.5</v>
      </c>
      <c r="W1078" s="3">
        <v>0</v>
      </c>
      <c r="X1078" s="3">
        <v>47.1</v>
      </c>
      <c r="Y1078" s="3">
        <v>46.2</v>
      </c>
      <c r="Z1078" s="3">
        <v>45.4</v>
      </c>
      <c r="AA1078" s="3">
        <v>40.799999999999997</v>
      </c>
      <c r="AB1078" s="3">
        <v>36.4</v>
      </c>
      <c r="AC1078" s="3">
        <v>37</v>
      </c>
      <c r="AD1078" s="3">
        <v>40.299999999999997</v>
      </c>
      <c r="AE1078" s="3">
        <v>42</v>
      </c>
      <c r="AF1078" s="3">
        <v>44.7</v>
      </c>
      <c r="AG1078" s="3">
        <v>36.6</v>
      </c>
      <c r="AH1078" s="3">
        <v>38.799999999999997</v>
      </c>
      <c r="AI1078" s="3">
        <v>37.5</v>
      </c>
      <c r="AJ1078" s="3">
        <v>36.9</v>
      </c>
      <c r="AK1078" s="3">
        <v>34.9</v>
      </c>
      <c r="AL1078" s="3">
        <v>32.5</v>
      </c>
      <c r="AM1078" s="3">
        <v>32</v>
      </c>
      <c r="AN1078" s="3">
        <v>30.3</v>
      </c>
      <c r="AO1078" s="3">
        <v>26.2</v>
      </c>
      <c r="AP1078" s="3">
        <v>23.7</v>
      </c>
      <c r="AQ1078" s="3">
        <v>21</v>
      </c>
      <c r="AR1078" s="3">
        <v>18.399999999999999</v>
      </c>
      <c r="AS1078" s="3">
        <v>20.5</v>
      </c>
      <c r="AT1078" s="3">
        <v>23.2</v>
      </c>
      <c r="AU1078" s="3">
        <v>13.2</v>
      </c>
      <c r="AV1078" s="3">
        <v>11.4</v>
      </c>
      <c r="AW1078" s="3">
        <v>10.9</v>
      </c>
      <c r="AX1078" s="3">
        <v>9.4</v>
      </c>
      <c r="AY1078" s="3">
        <v>9.4</v>
      </c>
      <c r="AZ1078" s="3">
        <v>0</v>
      </c>
      <c r="BA1078" s="3">
        <v>0</v>
      </c>
      <c r="BB1078" s="3">
        <v>0</v>
      </c>
      <c r="BC1078" s="3">
        <v>39.472430336608483</v>
      </c>
      <c r="BD1078" s="3">
        <v>47.127569663391512</v>
      </c>
      <c r="BE1078" s="3">
        <v>46.22756966339152</v>
      </c>
      <c r="BF1078" s="3">
        <v>44.187569663391514</v>
      </c>
      <c r="BG1078" s="3">
        <v>39.914236330058174</v>
      </c>
      <c r="BH1078" s="3">
        <v>35.654236330058183</v>
      </c>
      <c r="BI1078" s="3">
        <v>36.667569663391518</v>
      </c>
      <c r="BJ1078" s="3">
        <v>40.760902996724838</v>
      </c>
      <c r="BK1078" s="3">
        <v>42.334236330058189</v>
      </c>
      <c r="BL1078" s="3">
        <v>44.60756966339153</v>
      </c>
      <c r="BM1078" s="3">
        <v>36.640902996724861</v>
      </c>
      <c r="BN1078" s="3">
        <v>39.124236330058181</v>
      </c>
      <c r="BO1078" s="3">
        <v>37.190902996724844</v>
      </c>
      <c r="BP1078" s="3">
        <v>36.307569663391519</v>
      </c>
      <c r="BQ1078" s="3">
        <v>34.724236330058176</v>
      </c>
      <c r="BR1078" s="3">
        <v>32.650902996724852</v>
      </c>
      <c r="BS1078" s="3">
        <v>31.95423633005818</v>
      </c>
      <c r="BT1078" s="3">
        <v>30.450902996724849</v>
      </c>
      <c r="BU1078" s="3">
        <v>26.317569663391524</v>
      </c>
      <c r="BV1078" s="3">
        <v>23.534236330058185</v>
      </c>
      <c r="BW1078" s="3">
        <v>21.367569663391521</v>
      </c>
      <c r="BX1078" s="3">
        <v>18.687569663391521</v>
      </c>
      <c r="BY1078" s="3">
        <v>20.607569663391516</v>
      </c>
      <c r="BZ1078" s="3">
        <v>23.437569663391521</v>
      </c>
      <c r="CA1078" s="3">
        <v>13.537569663391508</v>
      </c>
      <c r="CB1078" s="3">
        <v>11.174236330058179</v>
      </c>
      <c r="CC1078" s="3">
        <v>10.887569663391517</v>
      </c>
      <c r="CD1078" s="3">
        <v>8.6942363300581889</v>
      </c>
      <c r="CE1078" s="3">
        <v>8.8875696633915169</v>
      </c>
      <c r="CF1078" s="3">
        <v>-0.89909700327515196</v>
      </c>
      <c r="CG1078" s="3">
        <v>-1.4324303366084834</v>
      </c>
      <c r="CH1078" s="3">
        <v>-2.5090970032751514</v>
      </c>
      <c r="CI1078" s="13">
        <f>[1]!dbasum(RecData[[#This Row],[20]:[2000]],RecData[[#Headers],[20]:[2000]])</f>
        <v>39.171780914279637</v>
      </c>
      <c r="CJ1078" s="14">
        <v>10660</v>
      </c>
      <c r="CK1078" s="15" t="s">
        <v>249</v>
      </c>
      <c r="CL1078" s="15">
        <f>RecData[[#This Row],[Start Time]]</f>
        <v>43275.957638888896</v>
      </c>
      <c r="CM1078" s="16">
        <f>RecData[[#This Row],[Wind Speed avg]]</f>
        <v>0.9</v>
      </c>
      <c r="CN1078" s="16">
        <f>RecData[[#This Row],[Wind Dir. avg]]</f>
        <v>229.2</v>
      </c>
      <c r="CO1078" s="16">
        <f>RecData[[#This Row],[Amb. Humidity]]</f>
        <v>44.8</v>
      </c>
      <c r="CP1078" s="16">
        <f>RecData[[#This Row],[Amb. Temperature]]</f>
        <v>14</v>
      </c>
      <c r="CQ1078" s="17">
        <f>RecData[[#This Row],[Amb. Rain Gauge]]</f>
        <v>0</v>
      </c>
      <c r="CR1078" s="4" t="s">
        <v>1</v>
      </c>
      <c r="CS1078" s="4" t="s">
        <v>49</v>
      </c>
      <c r="CT1078" s="70">
        <v>1381.55358886718</v>
      </c>
      <c r="CU1078" s="70">
        <v>17.964025497436499</v>
      </c>
      <c r="CV1078" s="70">
        <v>9.7294082641601491</v>
      </c>
      <c r="CW1078" s="70">
        <v>14.9857330322265</v>
      </c>
      <c r="CX1078" s="4"/>
      <c r="CY1078" s="69"/>
      <c r="CZ1078" s="2" t="b">
        <f>IF($DP$1="YES",IF(RecData[[#This Row],[Power (kW)]]&gt;=$CR$3, TRUE,FALSE),TRUE)</f>
        <v>1</v>
      </c>
      <c r="DA1078" s="16">
        <f>MIN(MOD(180-ABS(ABS($DA$1-RecData[Yaw Angle (°)])-180),360),MOD(180-ABS(ABS($DB$1-RecData[Yaw Angle (°)])-180),360))</f>
        <v>10.43409871974896</v>
      </c>
      <c r="DB1078" s="2" t="str">
        <f>IF($DP$2="None","None",IF(RecData[[#This Row],[Relative Wind Direction]]&lt;=45,"DW",IF(RecData[[#This Row],[Relative Wind Direction]]&lt;=135,"CW","UW")))</f>
        <v>DW</v>
      </c>
      <c r="DC1078" s="61" t="e">
        <f>IF($CL1078-$CL1075&gt;1/24,#REF!,IF(SUM($CQ1075:$CQ1078)&gt;$DS$1,$DS$5,DC1079-1))</f>
        <v>#REF!</v>
      </c>
      <c r="DD1078" s="61">
        <f>IF($CL1079-$CL1078&gt;1/24,#REF!,IF(SUM($CQ1075:$CQ1078)&gt;$DS$1,$DS$6,DD1077-1))</f>
        <v>-4</v>
      </c>
      <c r="DE1078" s="18" t="b">
        <v>0</v>
      </c>
      <c r="DF1078" s="2" t="b">
        <f>IF(OR(RecData[[#This Row],[WSpd_Avg '[m/s']]]-RecData[[#This Row],[Wind Speed min]]&gt;=$DF$3,RecData[[#This Row],[Wind Speed max]]-RecData[[#This Row],[WSpd_Avg '[m/s']]]&gt;=$DF$2),TRUE,FALSE)</f>
        <v>0</v>
      </c>
      <c r="DG1078" s="2" t="b">
        <f>RecData[[#This Row],[Temperature '[°C']]]&lt;=-20</f>
        <v>0</v>
      </c>
      <c r="DH1078" s="18" t="b">
        <f>NOT(OR(MOD(RecData[[#This Row],[TIMESTAMP]],1)&gt;0.91632,MOD(RecData[[#This Row],[TIMESTAMP]],1)&lt;0.208681))</f>
        <v>0</v>
      </c>
      <c r="DI1078" s="18" t="b">
        <f>RecData[[#This Row],[Overall (dBA)]]-RecData[[#This Row],[L90]]&gt;=$DS$4</f>
        <v>0</v>
      </c>
      <c r="DJ1078" s="18" t="b">
        <f>RecData[[#This Row],[Overall (dBA)]]&gt;$DS$2</f>
        <v>0</v>
      </c>
      <c r="DK1078" s="18" t="b">
        <f>RecData[[#This Row],[Overall (dBA)]]&lt;$DS$3</f>
        <v>0</v>
      </c>
      <c r="DL10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8" s="2">
        <f>IF(AND(RecData[[#This Row],[Turbines ON/OFF]] = "OFF", NOT(OR(RecData[[#This Row],[Junk?]]="YES",RecData[[#This Row],[Gust?]],RecData[[#This Row],[Rain?]:[Min SPL Threshold?]]))),1,0)</f>
        <v>0</v>
      </c>
      <c r="DN1078" s="16">
        <f>RecData[[#This Row],[dBA Sum]]</f>
        <v>39.171780914279637</v>
      </c>
      <c r="DO1078" s="16">
        <f>RecData[[#This Row],[LAF90.0]]</f>
        <v>37.6</v>
      </c>
      <c r="DP1078" s="55">
        <f>IF(AND(RecData[[#This Row],[Useable TON Data?]],RecData[[#This Row],[Turbines ON/OFF]]="ON"),RecData[[#This Row],[dBA Sum]],"")</f>
        <v>39.171780914279637</v>
      </c>
      <c r="DQ1078" s="55" t="str">
        <f>IF(AND(RecData[[#This Row],[Useable Background Data?]],RecData[[#This Row],[Turbines ON/OFF]]="OFF"),RecData[[#This Row],[dBA Sum]],"")</f>
        <v/>
      </c>
      <c r="DR1078" s="3">
        <f>IF(OR(RecData[[#This Row],[Useable TON Data?]],RecData[[#This Row],[Useable Background Data?]]),ROUND(RecData[[#This Row],[WSpd_Avg '[m/s']]],0),"")</f>
        <v>1</v>
      </c>
      <c r="DS1078" s="85">
        <f>(0.00002)^2*(10^(RecData[[#This Row],[Overall (dBA)]]/10))</f>
        <v>3.3055070118889205E-6</v>
      </c>
    </row>
    <row r="1079" spans="1:123" ht="15" x14ac:dyDescent="0.25">
      <c r="A1079" s="3" t="s">
        <v>249</v>
      </c>
      <c r="B1079" s="12">
        <v>43275.958333333336</v>
      </c>
      <c r="C1079" s="3"/>
      <c r="D1079" s="3">
        <v>38.5</v>
      </c>
      <c r="E1079" s="3"/>
      <c r="F1079" s="3"/>
      <c r="G1079" s="3"/>
      <c r="H1079" s="3"/>
      <c r="I1079" s="3"/>
      <c r="J1079" s="3"/>
      <c r="K1079" s="3">
        <v>37.5</v>
      </c>
      <c r="L1079" s="3"/>
      <c r="M1079" s="3"/>
      <c r="N1079" s="3">
        <v>191.4</v>
      </c>
      <c r="O1079" s="3"/>
      <c r="P1079" s="3"/>
      <c r="Q1079" s="3">
        <v>0.34</v>
      </c>
      <c r="R1079" s="3">
        <v>0</v>
      </c>
      <c r="S1079" s="3">
        <v>1.2</v>
      </c>
      <c r="T1079" s="3">
        <v>14</v>
      </c>
      <c r="U1079" s="3">
        <v>45</v>
      </c>
      <c r="V1079" s="3">
        <v>976.5</v>
      </c>
      <c r="W1079" s="3">
        <v>0</v>
      </c>
      <c r="X1079" s="3">
        <v>45.8</v>
      </c>
      <c r="Y1079" s="3">
        <v>46</v>
      </c>
      <c r="Z1079" s="3">
        <v>45.1</v>
      </c>
      <c r="AA1079" s="3">
        <v>40.5</v>
      </c>
      <c r="AB1079" s="3">
        <v>36.4</v>
      </c>
      <c r="AC1079" s="3">
        <v>36.200000000000003</v>
      </c>
      <c r="AD1079" s="3">
        <v>38.6</v>
      </c>
      <c r="AE1079" s="3">
        <v>40.9</v>
      </c>
      <c r="AF1079" s="3">
        <v>43.4</v>
      </c>
      <c r="AG1079" s="3">
        <v>36.9</v>
      </c>
      <c r="AH1079" s="3">
        <v>37.799999999999997</v>
      </c>
      <c r="AI1079" s="3">
        <v>37.1</v>
      </c>
      <c r="AJ1079" s="3">
        <v>36.200000000000003</v>
      </c>
      <c r="AK1079" s="3">
        <v>34.1</v>
      </c>
      <c r="AL1079" s="3">
        <v>31.6</v>
      </c>
      <c r="AM1079" s="3">
        <v>31</v>
      </c>
      <c r="AN1079" s="3">
        <v>28.7</v>
      </c>
      <c r="AO1079" s="3">
        <v>25</v>
      </c>
      <c r="AP1079" s="3">
        <v>22.8</v>
      </c>
      <c r="AQ1079" s="3">
        <v>20.6</v>
      </c>
      <c r="AR1079" s="3">
        <v>18.600000000000001</v>
      </c>
      <c r="AS1079" s="3">
        <v>17.600000000000001</v>
      </c>
      <c r="AT1079" s="3">
        <v>19.8</v>
      </c>
      <c r="AU1079" s="3">
        <v>13.1</v>
      </c>
      <c r="AV1079" s="3">
        <v>11.2</v>
      </c>
      <c r="AW1079" s="3">
        <v>10.4</v>
      </c>
      <c r="AX1079" s="3">
        <v>9.3000000000000007</v>
      </c>
      <c r="AY1079" s="3">
        <v>9.1999999999999993</v>
      </c>
      <c r="AZ1079" s="3">
        <v>0</v>
      </c>
      <c r="BA1079" s="3">
        <v>0</v>
      </c>
      <c r="BB1079" s="3">
        <v>0</v>
      </c>
      <c r="BC1079" s="3">
        <v>38.493281007950216</v>
      </c>
      <c r="BD1079" s="3">
        <v>45.806718992049781</v>
      </c>
      <c r="BE1079" s="3">
        <v>46.006718992049784</v>
      </c>
      <c r="BF1079" s="3">
        <v>43.866718992049783</v>
      </c>
      <c r="BG1079" s="3">
        <v>39.593385658716457</v>
      </c>
      <c r="BH1079" s="3">
        <v>35.633385658716449</v>
      </c>
      <c r="BI1079" s="3">
        <v>35.846718992049787</v>
      </c>
      <c r="BJ1079" s="3">
        <v>39.040052325383115</v>
      </c>
      <c r="BK1079" s="3">
        <v>41.213385658716447</v>
      </c>
      <c r="BL1079" s="3">
        <v>43.286718992049785</v>
      </c>
      <c r="BM1079" s="3">
        <v>36.920052325383111</v>
      </c>
      <c r="BN1079" s="3">
        <v>38.103385658716448</v>
      </c>
      <c r="BO1079" s="3">
        <v>36.770052325383119</v>
      </c>
      <c r="BP1079" s="3">
        <v>35.586718992049796</v>
      </c>
      <c r="BQ1079" s="3">
        <v>33.903385658716445</v>
      </c>
      <c r="BR1079" s="3">
        <v>31.730052325383113</v>
      </c>
      <c r="BS1079" s="3">
        <v>30.933385658716446</v>
      </c>
      <c r="BT1079" s="3">
        <v>28.830052325383122</v>
      </c>
      <c r="BU1079" s="3">
        <v>25.096718992049787</v>
      </c>
      <c r="BV1079" s="3">
        <v>22.613385658716453</v>
      </c>
      <c r="BW1079" s="3">
        <v>20.946718992049789</v>
      </c>
      <c r="BX1079" s="3">
        <v>18.86671899204979</v>
      </c>
      <c r="BY1079" s="3">
        <v>17.686718992049784</v>
      </c>
      <c r="BZ1079" s="3">
        <v>20.016718992049789</v>
      </c>
      <c r="CA1079" s="3">
        <v>13.41671899204978</v>
      </c>
      <c r="CB1079" s="3">
        <v>10.953385658716449</v>
      </c>
      <c r="CC1079" s="3">
        <v>10.366718992049783</v>
      </c>
      <c r="CD1079" s="3">
        <v>8.5733856587164539</v>
      </c>
      <c r="CE1079" s="3">
        <v>8.6667189920497805</v>
      </c>
      <c r="CF1079" s="3">
        <v>-0.91994767461688554</v>
      </c>
      <c r="CG1079" s="3">
        <v>-1.453281007950217</v>
      </c>
      <c r="CH1079" s="3">
        <v>-2.529947674616885</v>
      </c>
      <c r="CI1079" s="13">
        <f>[1]!dbasum(RecData[[#This Row],[20]:[2000]],RecData[[#Headers],[20]:[2000]])</f>
        <v>38.244493025736915</v>
      </c>
      <c r="CJ1079" s="14">
        <v>10661</v>
      </c>
      <c r="CK1079" s="15" t="s">
        <v>249</v>
      </c>
      <c r="CL1079" s="15">
        <f>RecData[[#This Row],[Start Time]]</f>
        <v>43275.958333333336</v>
      </c>
      <c r="CM1079" s="16">
        <f>RecData[[#This Row],[Wind Speed avg]]</f>
        <v>0.34</v>
      </c>
      <c r="CN1079" s="16">
        <f>RecData[[#This Row],[Wind Dir. avg]]</f>
        <v>191.4</v>
      </c>
      <c r="CO1079" s="16">
        <f>RecData[[#This Row],[Amb. Humidity]]</f>
        <v>45</v>
      </c>
      <c r="CP1079" s="16">
        <f>RecData[[#This Row],[Amb. Temperature]]</f>
        <v>14</v>
      </c>
      <c r="CQ1079" s="17">
        <f>RecData[[#This Row],[Amb. Rain Gauge]]</f>
        <v>0</v>
      </c>
      <c r="CR1079" s="4" t="s">
        <v>1</v>
      </c>
      <c r="CS1079" s="4" t="s">
        <v>49</v>
      </c>
      <c r="CT1079" s="70">
        <v>1381.55358886718</v>
      </c>
      <c r="CU1079" s="70">
        <v>17.964025497436499</v>
      </c>
      <c r="CV1079" s="70">
        <v>9.7294082641601491</v>
      </c>
      <c r="CW1079" s="70">
        <v>14.9857330322265</v>
      </c>
      <c r="CX1079" s="4"/>
      <c r="CY1079" s="69"/>
      <c r="CZ1079" s="2" t="b">
        <f>IF($DP$1="YES",IF(RecData[[#This Row],[Power (kW)]]&gt;=$CR$3, TRUE,FALSE),TRUE)</f>
        <v>1</v>
      </c>
      <c r="DA1079" s="16">
        <f>MIN(MOD(180-ABS(ABS($DA$1-RecData[Yaw Angle (°)])-180),360),MOD(180-ABS(ABS($DB$1-RecData[Yaw Angle (°)])-180),360))</f>
        <v>10.43409871974896</v>
      </c>
      <c r="DB1079" s="2" t="str">
        <f>IF($DP$2="None","None",IF(RecData[[#This Row],[Relative Wind Direction]]&lt;=45,"DW",IF(RecData[[#This Row],[Relative Wind Direction]]&lt;=135,"CW","UW")))</f>
        <v>DW</v>
      </c>
      <c r="DC1079" s="61" t="e">
        <f>IF($CL1079-$CL1075&gt;1/24,#REF!,IF(SUM($CQ1075:$CQ1079)&gt;$DS$1,$DS$5,DC1080-1))</f>
        <v>#REF!</v>
      </c>
      <c r="DD1079" s="61">
        <f>IF($CL1080-$CL1079&gt;1/24,#REF!,IF(SUM($CQ1075:$CQ1079)&gt;$DS$1,$DS$6,DD1078-1))</f>
        <v>-5</v>
      </c>
      <c r="DE1079" s="18" t="b">
        <v>0</v>
      </c>
      <c r="DF1079" s="2" t="b">
        <f>IF(OR(RecData[[#This Row],[WSpd_Avg '[m/s']]]-RecData[[#This Row],[Wind Speed min]]&gt;=$DF$3,RecData[[#This Row],[Wind Speed max]]-RecData[[#This Row],[WSpd_Avg '[m/s']]]&gt;=$DF$2),TRUE,FALSE)</f>
        <v>0</v>
      </c>
      <c r="DG1079" s="2" t="b">
        <f>RecData[[#This Row],[Temperature '[°C']]]&lt;=-20</f>
        <v>0</v>
      </c>
      <c r="DH1079" s="18" t="b">
        <f>NOT(OR(MOD(RecData[[#This Row],[TIMESTAMP]],1)&gt;0.91632,MOD(RecData[[#This Row],[TIMESTAMP]],1)&lt;0.208681))</f>
        <v>0</v>
      </c>
      <c r="DI1079" s="18" t="b">
        <f>RecData[[#This Row],[Overall (dBA)]]-RecData[[#This Row],[L90]]&gt;=$DS$4</f>
        <v>0</v>
      </c>
      <c r="DJ1079" s="18" t="b">
        <f>RecData[[#This Row],[Overall (dBA)]]&gt;$DS$2</f>
        <v>0</v>
      </c>
      <c r="DK1079" s="18" t="b">
        <f>RecData[[#This Row],[Overall (dBA)]]&lt;$DS$3</f>
        <v>0</v>
      </c>
      <c r="DL10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79" s="2">
        <f>IF(AND(RecData[[#This Row],[Turbines ON/OFF]] = "OFF", NOT(OR(RecData[[#This Row],[Junk?]]="YES",RecData[[#This Row],[Gust?]],RecData[[#This Row],[Rain?]:[Min SPL Threshold?]]))),1,0)</f>
        <v>0</v>
      </c>
      <c r="DN1079" s="16">
        <f>RecData[[#This Row],[dBA Sum]]</f>
        <v>38.244493025736915</v>
      </c>
      <c r="DO1079" s="16">
        <f>RecData[[#This Row],[LAF90.0]]</f>
        <v>37.5</v>
      </c>
      <c r="DP1079" s="55">
        <f>IF(AND(RecData[[#This Row],[Useable TON Data?]],RecData[[#This Row],[Turbines ON/OFF]]="ON"),RecData[[#This Row],[dBA Sum]],"")</f>
        <v>38.244493025736915</v>
      </c>
      <c r="DQ1079" s="55" t="str">
        <f>IF(AND(RecData[[#This Row],[Useable Background Data?]],RecData[[#This Row],[Turbines ON/OFF]]="OFF"),RecData[[#This Row],[dBA Sum]],"")</f>
        <v/>
      </c>
      <c r="DR1079" s="3">
        <f>IF(OR(RecData[[#This Row],[Useable TON Data?]],RecData[[#This Row],[Useable Background Data?]]),ROUND(RecData[[#This Row],[WSpd_Avg '[m/s']]],0),"")</f>
        <v>0</v>
      </c>
      <c r="DS1079" s="85">
        <f>(0.00002)^2*(10^(RecData[[#This Row],[Overall (dBA)]]/10))</f>
        <v>2.6699879042577797E-6</v>
      </c>
    </row>
    <row r="1080" spans="1:123" ht="15" x14ac:dyDescent="0.25">
      <c r="A1080" s="3" t="s">
        <v>249</v>
      </c>
      <c r="B1080" s="12">
        <v>43275.959027777782</v>
      </c>
      <c r="C1080" s="3"/>
      <c r="D1080" s="3">
        <v>39.6</v>
      </c>
      <c r="E1080" s="3"/>
      <c r="F1080" s="3"/>
      <c r="G1080" s="3"/>
      <c r="H1080" s="3"/>
      <c r="I1080" s="3"/>
      <c r="J1080" s="3"/>
      <c r="K1080" s="3">
        <v>38.200000000000003</v>
      </c>
      <c r="L1080" s="3"/>
      <c r="M1080" s="3"/>
      <c r="N1080" s="3">
        <v>245.8</v>
      </c>
      <c r="O1080" s="3"/>
      <c r="P1080" s="3"/>
      <c r="Q1080" s="3">
        <v>0.38</v>
      </c>
      <c r="R1080" s="3">
        <v>0.1</v>
      </c>
      <c r="S1080" s="3">
        <v>0.6</v>
      </c>
      <c r="T1080" s="3">
        <v>14.1</v>
      </c>
      <c r="U1080" s="3">
        <v>45.8</v>
      </c>
      <c r="V1080" s="3">
        <v>976.5</v>
      </c>
      <c r="W1080" s="3">
        <v>0</v>
      </c>
      <c r="X1080" s="3">
        <v>46.8</v>
      </c>
      <c r="Y1080" s="3">
        <v>46.8</v>
      </c>
      <c r="Z1080" s="3">
        <v>45.6</v>
      </c>
      <c r="AA1080" s="3">
        <v>41</v>
      </c>
      <c r="AB1080" s="3">
        <v>36.4</v>
      </c>
      <c r="AC1080" s="3">
        <v>36.700000000000003</v>
      </c>
      <c r="AD1080" s="3">
        <v>39.700000000000003</v>
      </c>
      <c r="AE1080" s="3">
        <v>42.1</v>
      </c>
      <c r="AF1080" s="3">
        <v>44.5</v>
      </c>
      <c r="AG1080" s="3">
        <v>38.4</v>
      </c>
      <c r="AH1080" s="3">
        <v>38.700000000000003</v>
      </c>
      <c r="AI1080" s="3">
        <v>38.5</v>
      </c>
      <c r="AJ1080" s="3">
        <v>37.200000000000003</v>
      </c>
      <c r="AK1080" s="3">
        <v>35.4</v>
      </c>
      <c r="AL1080" s="3">
        <v>33.200000000000003</v>
      </c>
      <c r="AM1080" s="3">
        <v>32.4</v>
      </c>
      <c r="AN1080" s="3">
        <v>30</v>
      </c>
      <c r="AO1080" s="3">
        <v>25.9</v>
      </c>
      <c r="AP1080" s="3">
        <v>23.1</v>
      </c>
      <c r="AQ1080" s="3">
        <v>20.399999999999999</v>
      </c>
      <c r="AR1080" s="3">
        <v>16.3</v>
      </c>
      <c r="AS1080" s="3">
        <v>14.7</v>
      </c>
      <c r="AT1080" s="3">
        <v>20.100000000000001</v>
      </c>
      <c r="AU1080" s="3">
        <v>9.5</v>
      </c>
      <c r="AV1080" s="3">
        <v>8.6999999999999993</v>
      </c>
      <c r="AW1080" s="3">
        <v>8.9</v>
      </c>
      <c r="AX1080" s="3">
        <v>8.9</v>
      </c>
      <c r="AY1080" s="3">
        <v>9.1</v>
      </c>
      <c r="AZ1080" s="3">
        <v>0</v>
      </c>
      <c r="BA1080" s="3">
        <v>0</v>
      </c>
      <c r="BB1080" s="3">
        <v>0</v>
      </c>
      <c r="BC1080" s="3">
        <v>39.593078972464838</v>
      </c>
      <c r="BD1080" s="3">
        <v>46.806921027535168</v>
      </c>
      <c r="BE1080" s="3">
        <v>46.806921027535168</v>
      </c>
      <c r="BF1080" s="3">
        <v>44.36692102753517</v>
      </c>
      <c r="BG1080" s="3">
        <v>40.09358769420183</v>
      </c>
      <c r="BH1080" s="3">
        <v>35.633587694201822</v>
      </c>
      <c r="BI1080" s="3">
        <v>36.34692102753516</v>
      </c>
      <c r="BJ1080" s="3">
        <v>40.140254360868497</v>
      </c>
      <c r="BK1080" s="3">
        <v>42.413587694201823</v>
      </c>
      <c r="BL1080" s="3">
        <v>44.386921027535166</v>
      </c>
      <c r="BM1080" s="3">
        <v>38.420254360868498</v>
      </c>
      <c r="BN1080" s="3">
        <v>39.003587694201826</v>
      </c>
      <c r="BO1080" s="3">
        <v>38.170254360868498</v>
      </c>
      <c r="BP1080" s="3">
        <v>36.586921027535169</v>
      </c>
      <c r="BQ1080" s="3">
        <v>35.203587694201815</v>
      </c>
      <c r="BR1080" s="3">
        <v>33.330254360868508</v>
      </c>
      <c r="BS1080" s="3">
        <v>32.333587694201839</v>
      </c>
      <c r="BT1080" s="3">
        <v>30.130254360868491</v>
      </c>
      <c r="BU1080" s="3">
        <v>25.996921027535166</v>
      </c>
      <c r="BV1080" s="3">
        <v>22.913587694201837</v>
      </c>
      <c r="BW1080" s="3">
        <v>20.746921027535166</v>
      </c>
      <c r="BX1080" s="3">
        <v>16.566921027535173</v>
      </c>
      <c r="BY1080" s="3">
        <v>14.786921027535158</v>
      </c>
      <c r="BZ1080" s="3">
        <v>20.316921027535173</v>
      </c>
      <c r="CA1080" s="3">
        <v>9.8169210275351588</v>
      </c>
      <c r="CB1080" s="3">
        <v>8.4535876942018291</v>
      </c>
      <c r="CC1080" s="3">
        <v>8.8669210275351631</v>
      </c>
      <c r="CD1080" s="3">
        <v>8.1735876942018351</v>
      </c>
      <c r="CE1080" s="3">
        <v>8.5669210275351588</v>
      </c>
      <c r="CF1080" s="3">
        <v>-0.91974563913150575</v>
      </c>
      <c r="CG1080" s="3">
        <v>-1.4530789724648372</v>
      </c>
      <c r="CH1080" s="3">
        <v>-2.5297456391315052</v>
      </c>
      <c r="CI1080" s="13">
        <f>[1]!dbasum(RecData[[#This Row],[20]:[2000]],RecData[[#Headers],[20]:[2000]])</f>
        <v>39.405549522983982</v>
      </c>
      <c r="CJ1080" s="14">
        <v>10662</v>
      </c>
      <c r="CK1080" s="15" t="s">
        <v>249</v>
      </c>
      <c r="CL1080" s="15">
        <f>RecData[[#This Row],[Start Time]]</f>
        <v>43275.959027777782</v>
      </c>
      <c r="CM1080" s="16">
        <f>RecData[[#This Row],[Wind Speed avg]]</f>
        <v>0.38</v>
      </c>
      <c r="CN1080" s="16">
        <f>RecData[[#This Row],[Wind Dir. avg]]</f>
        <v>245.8</v>
      </c>
      <c r="CO1080" s="16">
        <f>RecData[[#This Row],[Amb. Humidity]]</f>
        <v>45.8</v>
      </c>
      <c r="CP1080" s="16">
        <f>RecData[[#This Row],[Amb. Temperature]]</f>
        <v>14.1</v>
      </c>
      <c r="CQ1080" s="17">
        <f>RecData[[#This Row],[Amb. Rain Gauge]]</f>
        <v>0</v>
      </c>
      <c r="CR1080" s="4" t="s">
        <v>1</v>
      </c>
      <c r="CS1080" s="4" t="s">
        <v>49</v>
      </c>
      <c r="CT1080" s="70">
        <v>1615.13061523437</v>
      </c>
      <c r="CU1080" s="70">
        <v>21.000177383422798</v>
      </c>
      <c r="CV1080" s="70">
        <v>10.1526222229003</v>
      </c>
      <c r="CW1080" s="70">
        <v>15.288459777831999</v>
      </c>
      <c r="CX1080" s="4"/>
      <c r="CY1080" s="69"/>
      <c r="CZ1080" s="2" t="b">
        <f>IF($DP$1="YES",IF(RecData[[#This Row],[Power (kW)]]&gt;=$CR$3, TRUE,FALSE),TRUE)</f>
        <v>1</v>
      </c>
      <c r="DA1080" s="16">
        <f>MIN(MOD(180-ABS(ABS($DA$1-RecData[Yaw Angle (°)])-180),360),MOD(180-ABS(ABS($DB$1-RecData[Yaw Angle (°)])-180),360))</f>
        <v>13.470250605735259</v>
      </c>
      <c r="DB1080" s="2" t="str">
        <f>IF($DP$2="None","None",IF(RecData[[#This Row],[Relative Wind Direction]]&lt;=45,"DW",IF(RecData[[#This Row],[Relative Wind Direction]]&lt;=135,"CW","UW")))</f>
        <v>DW</v>
      </c>
      <c r="DC1080" s="61" t="e">
        <f>IF($CL1080-$CL1076&gt;1/24,#REF!,IF(SUM($CQ1076:$CQ1080)&gt;$DS$1,$DS$5,DC1081-1))</f>
        <v>#REF!</v>
      </c>
      <c r="DD1080" s="61">
        <f>IF($CL1081-$CL1080&gt;1/24,#REF!,IF(SUM($CQ1076:$CQ1080)&gt;$DS$1,$DS$6,DD1079-1))</f>
        <v>-6</v>
      </c>
      <c r="DE1080" s="18" t="b">
        <v>0</v>
      </c>
      <c r="DF1080" s="2" t="b">
        <f>IF(OR(RecData[[#This Row],[WSpd_Avg '[m/s']]]-RecData[[#This Row],[Wind Speed min]]&gt;=$DF$3,RecData[[#This Row],[Wind Speed max]]-RecData[[#This Row],[WSpd_Avg '[m/s']]]&gt;=$DF$2),TRUE,FALSE)</f>
        <v>0</v>
      </c>
      <c r="DG1080" s="2" t="b">
        <f>RecData[[#This Row],[Temperature '[°C']]]&lt;=-20</f>
        <v>0</v>
      </c>
      <c r="DH1080" s="18" t="b">
        <f>NOT(OR(MOD(RecData[[#This Row],[TIMESTAMP]],1)&gt;0.91632,MOD(RecData[[#This Row],[TIMESTAMP]],1)&lt;0.208681))</f>
        <v>0</v>
      </c>
      <c r="DI1080" s="18" t="b">
        <f>RecData[[#This Row],[Overall (dBA)]]-RecData[[#This Row],[L90]]&gt;=$DS$4</f>
        <v>0</v>
      </c>
      <c r="DJ1080" s="18" t="b">
        <f>RecData[[#This Row],[Overall (dBA)]]&gt;$DS$2</f>
        <v>0</v>
      </c>
      <c r="DK1080" s="18" t="b">
        <f>RecData[[#This Row],[Overall (dBA)]]&lt;$DS$3</f>
        <v>0</v>
      </c>
      <c r="DL10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0" s="2">
        <f>IF(AND(RecData[[#This Row],[Turbines ON/OFF]] = "OFF", NOT(OR(RecData[[#This Row],[Junk?]]="YES",RecData[[#This Row],[Gust?]],RecData[[#This Row],[Rain?]:[Min SPL Threshold?]]))),1,0)</f>
        <v>0</v>
      </c>
      <c r="DN1080" s="16">
        <f>RecData[[#This Row],[dBA Sum]]</f>
        <v>39.405549522983982</v>
      </c>
      <c r="DO1080" s="16">
        <f>RecData[[#This Row],[LAF90.0]]</f>
        <v>38.200000000000003</v>
      </c>
      <c r="DP1080" s="55">
        <f>IF(AND(RecData[[#This Row],[Useable TON Data?]],RecData[[#This Row],[Turbines ON/OFF]]="ON"),RecData[[#This Row],[dBA Sum]],"")</f>
        <v>39.405549522983982</v>
      </c>
      <c r="DQ1080" s="55" t="str">
        <f>IF(AND(RecData[[#This Row],[Useable Background Data?]],RecData[[#This Row],[Turbines ON/OFF]]="OFF"),RecData[[#This Row],[dBA Sum]],"")</f>
        <v/>
      </c>
      <c r="DR1080" s="3">
        <f>IF(OR(RecData[[#This Row],[Useable TON Data?]],RecData[[#This Row],[Useable Background Data?]]),ROUND(RecData[[#This Row],[WSpd_Avg '[m/s']]],0),"")</f>
        <v>0</v>
      </c>
      <c r="DS1080" s="85">
        <f>(0.00002)^2*(10^(RecData[[#This Row],[Overall (dBA)]]/10))</f>
        <v>3.4883089611311782E-6</v>
      </c>
    </row>
    <row r="1081" spans="1:123" ht="15" x14ac:dyDescent="0.25">
      <c r="A1081" s="3" t="s">
        <v>249</v>
      </c>
      <c r="B1081" s="12">
        <v>43275.959722222222</v>
      </c>
      <c r="C1081" s="3"/>
      <c r="D1081" s="3">
        <v>39.5</v>
      </c>
      <c r="E1081" s="3"/>
      <c r="F1081" s="3"/>
      <c r="G1081" s="3"/>
      <c r="H1081" s="3"/>
      <c r="I1081" s="3"/>
      <c r="J1081" s="3"/>
      <c r="K1081" s="3">
        <v>37.9</v>
      </c>
      <c r="L1081" s="3"/>
      <c r="M1081" s="3"/>
      <c r="N1081" s="3">
        <v>170.9</v>
      </c>
      <c r="O1081" s="3"/>
      <c r="P1081" s="3"/>
      <c r="Q1081" s="3">
        <v>0.39</v>
      </c>
      <c r="R1081" s="3">
        <v>0.2</v>
      </c>
      <c r="S1081" s="3">
        <v>0.7</v>
      </c>
      <c r="T1081" s="3">
        <v>14.1</v>
      </c>
      <c r="U1081" s="3">
        <v>46.7</v>
      </c>
      <c r="V1081" s="3">
        <v>976.5</v>
      </c>
      <c r="W1081" s="3">
        <v>0</v>
      </c>
      <c r="X1081" s="3">
        <v>47.3</v>
      </c>
      <c r="Y1081" s="3">
        <v>46.4</v>
      </c>
      <c r="Z1081" s="3">
        <v>46.1</v>
      </c>
      <c r="AA1081" s="3">
        <v>42.6</v>
      </c>
      <c r="AB1081" s="3">
        <v>38.700000000000003</v>
      </c>
      <c r="AC1081" s="3">
        <v>38.5</v>
      </c>
      <c r="AD1081" s="3">
        <v>40.6</v>
      </c>
      <c r="AE1081" s="3">
        <v>42.5</v>
      </c>
      <c r="AF1081" s="3">
        <v>44.7</v>
      </c>
      <c r="AG1081" s="3">
        <v>38.1</v>
      </c>
      <c r="AH1081" s="3">
        <v>39.4</v>
      </c>
      <c r="AI1081" s="3">
        <v>38.6</v>
      </c>
      <c r="AJ1081" s="3">
        <v>37.5</v>
      </c>
      <c r="AK1081" s="3">
        <v>35.4</v>
      </c>
      <c r="AL1081" s="3">
        <v>32.700000000000003</v>
      </c>
      <c r="AM1081" s="3">
        <v>31.8</v>
      </c>
      <c r="AN1081" s="3">
        <v>29.3</v>
      </c>
      <c r="AO1081" s="3">
        <v>25.2</v>
      </c>
      <c r="AP1081" s="3">
        <v>22.9</v>
      </c>
      <c r="AQ1081" s="3">
        <v>20.3</v>
      </c>
      <c r="AR1081" s="3">
        <v>16.899999999999999</v>
      </c>
      <c r="AS1081" s="3">
        <v>15.5</v>
      </c>
      <c r="AT1081" s="3">
        <v>21</v>
      </c>
      <c r="AU1081" s="3">
        <v>9.8000000000000007</v>
      </c>
      <c r="AV1081" s="3">
        <v>9</v>
      </c>
      <c r="AW1081" s="3">
        <v>9</v>
      </c>
      <c r="AX1081" s="3">
        <v>8.9</v>
      </c>
      <c r="AY1081" s="3">
        <v>9.1</v>
      </c>
      <c r="AZ1081" s="3">
        <v>0</v>
      </c>
      <c r="BA1081" s="3">
        <v>0</v>
      </c>
      <c r="BB1081" s="3">
        <v>0</v>
      </c>
      <c r="BC1081" s="3">
        <v>39.527891898474586</v>
      </c>
      <c r="BD1081" s="3">
        <v>47.272108101525411</v>
      </c>
      <c r="BE1081" s="3">
        <v>46.37210810152542</v>
      </c>
      <c r="BF1081" s="3">
        <v>44.832108101525414</v>
      </c>
      <c r="BG1081" s="3">
        <v>41.658774768192082</v>
      </c>
      <c r="BH1081" s="3">
        <v>37.898774768192091</v>
      </c>
      <c r="BI1081" s="3">
        <v>38.112108101525415</v>
      </c>
      <c r="BJ1081" s="3">
        <v>41.005441434858746</v>
      </c>
      <c r="BK1081" s="3">
        <v>42.778774768192086</v>
      </c>
      <c r="BL1081" s="3">
        <v>44.552108101525427</v>
      </c>
      <c r="BM1081" s="3">
        <v>38.085441434858758</v>
      </c>
      <c r="BN1081" s="3">
        <v>39.668774768192073</v>
      </c>
      <c r="BO1081" s="3">
        <v>38.23544143485875</v>
      </c>
      <c r="BP1081" s="3">
        <v>36.85210810152541</v>
      </c>
      <c r="BQ1081" s="3">
        <v>35.168774768192073</v>
      </c>
      <c r="BR1081" s="3">
        <v>32.795441434858752</v>
      </c>
      <c r="BS1081" s="3">
        <v>31.698774768192074</v>
      </c>
      <c r="BT1081" s="3">
        <v>29.395441434858746</v>
      </c>
      <c r="BU1081" s="3">
        <v>25.262108101525421</v>
      </c>
      <c r="BV1081" s="3">
        <v>22.678774768192078</v>
      </c>
      <c r="BW1081" s="3">
        <v>20.612108101525415</v>
      </c>
      <c r="BX1081" s="3">
        <v>17.132108101525418</v>
      </c>
      <c r="BY1081" s="3">
        <v>15.552108101525413</v>
      </c>
      <c r="BZ1081" s="3">
        <v>21.182108101525422</v>
      </c>
      <c r="CA1081" s="3">
        <v>10.082108101525407</v>
      </c>
      <c r="CB1081" s="3">
        <v>8.7187747681920769</v>
      </c>
      <c r="CC1081" s="3">
        <v>8.9321081015254151</v>
      </c>
      <c r="CD1081" s="3">
        <v>8.1387747681920857</v>
      </c>
      <c r="CE1081" s="3">
        <v>8.5321081015254165</v>
      </c>
      <c r="CF1081" s="3">
        <v>-0.95455856514125514</v>
      </c>
      <c r="CG1081" s="3">
        <v>-1.4878918984745866</v>
      </c>
      <c r="CH1081" s="3">
        <v>-2.5645585651412546</v>
      </c>
      <c r="CI1081" s="13">
        <f>[1]!dbasum(RecData[[#This Row],[20]:[2000]],RecData[[#Headers],[20]:[2000]])</f>
        <v>39.277155995423598</v>
      </c>
      <c r="CJ1081" s="14">
        <v>10663</v>
      </c>
      <c r="CK1081" s="15" t="s">
        <v>249</v>
      </c>
      <c r="CL1081" s="15">
        <f>RecData[[#This Row],[Start Time]]</f>
        <v>43275.959722222222</v>
      </c>
      <c r="CM1081" s="16">
        <f>RecData[[#This Row],[Wind Speed avg]]</f>
        <v>0.39</v>
      </c>
      <c r="CN1081" s="16">
        <f>RecData[[#This Row],[Wind Dir. avg]]</f>
        <v>170.9</v>
      </c>
      <c r="CO1081" s="16">
        <f>RecData[[#This Row],[Amb. Humidity]]</f>
        <v>46.7</v>
      </c>
      <c r="CP1081" s="16">
        <f>RecData[[#This Row],[Amb. Temperature]]</f>
        <v>14.1</v>
      </c>
      <c r="CQ1081" s="17">
        <f>RecData[[#This Row],[Amb. Rain Gauge]]</f>
        <v>0</v>
      </c>
      <c r="CR1081" s="4" t="s">
        <v>1</v>
      </c>
      <c r="CS1081" s="4" t="s">
        <v>49</v>
      </c>
      <c r="CT1081" s="70">
        <v>1615.13061523437</v>
      </c>
      <c r="CU1081" s="70">
        <v>21.000177383422798</v>
      </c>
      <c r="CV1081" s="70">
        <v>10.1526222229003</v>
      </c>
      <c r="CW1081" s="70">
        <v>15.288459777831999</v>
      </c>
      <c r="CX1081" s="4"/>
      <c r="CY1081" s="69"/>
      <c r="CZ1081" s="2" t="b">
        <f>IF($DP$1="YES",IF(RecData[[#This Row],[Power (kW)]]&gt;=$CR$3, TRUE,FALSE),TRUE)</f>
        <v>1</v>
      </c>
      <c r="DA1081" s="16">
        <f>MIN(MOD(180-ABS(ABS($DA$1-RecData[Yaw Angle (°)])-180),360),MOD(180-ABS(ABS($DB$1-RecData[Yaw Angle (°)])-180),360))</f>
        <v>13.470250605735259</v>
      </c>
      <c r="DB1081" s="2" t="str">
        <f>IF($DP$2="None","None",IF(RecData[[#This Row],[Relative Wind Direction]]&lt;=45,"DW",IF(RecData[[#This Row],[Relative Wind Direction]]&lt;=135,"CW","UW")))</f>
        <v>DW</v>
      </c>
      <c r="DC1081" s="61" t="e">
        <f>IF($CL1081-$CL1077&gt;1/24,#REF!,IF(SUM($CQ1077:$CQ1081)&gt;$DS$1,$DS$5,#REF!-1))</f>
        <v>#REF!</v>
      </c>
      <c r="DD1081" s="61" t="e">
        <f>IF(#REF!-$CL1081&gt;1/24,#REF!,IF(SUM($CQ1077:$CQ1081)&gt;$DS$1,$DS$6,DD1080-1))</f>
        <v>#REF!</v>
      </c>
      <c r="DE1081" s="18" t="b">
        <v>0</v>
      </c>
      <c r="DF1081" s="2" t="b">
        <f>IF(OR(RecData[[#This Row],[WSpd_Avg '[m/s']]]-RecData[[#This Row],[Wind Speed min]]&gt;=$DF$3,RecData[[#This Row],[Wind Speed max]]-RecData[[#This Row],[WSpd_Avg '[m/s']]]&gt;=$DF$2),TRUE,FALSE)</f>
        <v>0</v>
      </c>
      <c r="DG1081" s="2" t="b">
        <f>RecData[[#This Row],[Temperature '[°C']]]&lt;=-20</f>
        <v>0</v>
      </c>
      <c r="DH1081" s="18" t="b">
        <f>NOT(OR(MOD(RecData[[#This Row],[TIMESTAMP]],1)&gt;0.91632,MOD(RecData[[#This Row],[TIMESTAMP]],1)&lt;0.208681))</f>
        <v>0</v>
      </c>
      <c r="DI1081" s="18" t="b">
        <f>RecData[[#This Row],[Overall (dBA)]]-RecData[[#This Row],[L90]]&gt;=$DS$4</f>
        <v>0</v>
      </c>
      <c r="DJ1081" s="18" t="b">
        <f>RecData[[#This Row],[Overall (dBA)]]&gt;$DS$2</f>
        <v>0</v>
      </c>
      <c r="DK1081" s="18" t="b">
        <f>RecData[[#This Row],[Overall (dBA)]]&lt;$DS$3</f>
        <v>0</v>
      </c>
      <c r="DL10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1" s="2">
        <f>IF(AND(RecData[[#This Row],[Turbines ON/OFF]] = "OFF", NOT(OR(RecData[[#This Row],[Junk?]]="YES",RecData[[#This Row],[Gust?]],RecData[[#This Row],[Rain?]:[Min SPL Threshold?]]))),1,0)</f>
        <v>0</v>
      </c>
      <c r="DN1081" s="16">
        <f>RecData[[#This Row],[dBA Sum]]</f>
        <v>39.277155995423598</v>
      </c>
      <c r="DO1081" s="16">
        <f>RecData[[#This Row],[LAF90.0]]</f>
        <v>37.9</v>
      </c>
      <c r="DP1081" s="55">
        <f>IF(AND(RecData[[#This Row],[Useable TON Data?]],RecData[[#This Row],[Turbines ON/OFF]]="ON"),RecData[[#This Row],[dBA Sum]],"")</f>
        <v>39.277155995423598</v>
      </c>
      <c r="DQ1081" s="55" t="str">
        <f>IF(AND(RecData[[#This Row],[Useable Background Data?]],RecData[[#This Row],[Turbines ON/OFF]]="OFF"),RecData[[#This Row],[dBA Sum]],"")</f>
        <v/>
      </c>
      <c r="DR1081" s="3">
        <f>IF(OR(RecData[[#This Row],[Useable TON Data?]],RecData[[#This Row],[Useable Background Data?]]),ROUND(RecData[[#This Row],[WSpd_Avg '[m/s']]],0),"")</f>
        <v>0</v>
      </c>
      <c r="DS1081" s="85">
        <f>(0.00002)^2*(10^(RecData[[#This Row],[Overall (dBA)]]/10))</f>
        <v>3.3866911343647094E-6</v>
      </c>
    </row>
    <row r="1082" spans="1:123" ht="15" x14ac:dyDescent="0.25">
      <c r="A1082" s="3" t="s">
        <v>249</v>
      </c>
      <c r="B1082" s="12">
        <v>43275.961111111115</v>
      </c>
      <c r="C1082" s="3"/>
      <c r="D1082" s="3">
        <v>39</v>
      </c>
      <c r="E1082" s="3"/>
      <c r="F1082" s="3"/>
      <c r="G1082" s="3"/>
      <c r="H1082" s="3"/>
      <c r="I1082" s="3"/>
      <c r="J1082" s="3"/>
      <c r="K1082" s="3">
        <v>37.4</v>
      </c>
      <c r="L1082" s="3"/>
      <c r="M1082" s="3"/>
      <c r="N1082" s="3">
        <v>174.6</v>
      </c>
      <c r="O1082" s="3"/>
      <c r="P1082" s="3"/>
      <c r="Q1082" s="3">
        <v>0.45</v>
      </c>
      <c r="R1082" s="3">
        <v>0.1</v>
      </c>
      <c r="S1082" s="3">
        <v>1.1000000000000001</v>
      </c>
      <c r="T1082" s="3">
        <v>13.9</v>
      </c>
      <c r="U1082" s="3">
        <v>45.3</v>
      </c>
      <c r="V1082" s="3">
        <v>976.5</v>
      </c>
      <c r="W1082" s="3">
        <v>0</v>
      </c>
      <c r="X1082" s="3">
        <v>47.3</v>
      </c>
      <c r="Y1082" s="3">
        <v>47</v>
      </c>
      <c r="Z1082" s="3">
        <v>45.8</v>
      </c>
      <c r="AA1082" s="3">
        <v>42</v>
      </c>
      <c r="AB1082" s="3">
        <v>37.200000000000003</v>
      </c>
      <c r="AC1082" s="3">
        <v>37.9</v>
      </c>
      <c r="AD1082" s="3">
        <v>39.6</v>
      </c>
      <c r="AE1082" s="3">
        <v>41.3</v>
      </c>
      <c r="AF1082" s="3">
        <v>43.6</v>
      </c>
      <c r="AG1082" s="3">
        <v>37.299999999999997</v>
      </c>
      <c r="AH1082" s="3">
        <v>37.5</v>
      </c>
      <c r="AI1082" s="3">
        <v>37.200000000000003</v>
      </c>
      <c r="AJ1082" s="3">
        <v>36.200000000000003</v>
      </c>
      <c r="AK1082" s="3">
        <v>34.4</v>
      </c>
      <c r="AL1082" s="3">
        <v>32.5</v>
      </c>
      <c r="AM1082" s="3">
        <v>32</v>
      </c>
      <c r="AN1082" s="3">
        <v>29.8</v>
      </c>
      <c r="AO1082" s="3">
        <v>25.9</v>
      </c>
      <c r="AP1082" s="3">
        <v>23.7</v>
      </c>
      <c r="AQ1082" s="3">
        <v>21.1</v>
      </c>
      <c r="AR1082" s="3">
        <v>18.3</v>
      </c>
      <c r="AS1082" s="3">
        <v>18.100000000000001</v>
      </c>
      <c r="AT1082" s="3">
        <v>20.5</v>
      </c>
      <c r="AU1082" s="3">
        <v>12.6</v>
      </c>
      <c r="AV1082" s="3">
        <v>10.9</v>
      </c>
      <c r="AW1082" s="3">
        <v>10.3</v>
      </c>
      <c r="AX1082" s="3">
        <v>9.1999999999999993</v>
      </c>
      <c r="AY1082" s="3">
        <v>9.1999999999999993</v>
      </c>
      <c r="AZ1082" s="3">
        <v>0</v>
      </c>
      <c r="BA1082" s="3">
        <v>0</v>
      </c>
      <c r="BB1082" s="3">
        <v>0</v>
      </c>
      <c r="BC1082" s="3">
        <v>38.976161347848617</v>
      </c>
      <c r="BD1082" s="3">
        <v>47.32383865215138</v>
      </c>
      <c r="BE1082" s="3">
        <v>47.023838652151383</v>
      </c>
      <c r="BF1082" s="3">
        <v>44.583838652151385</v>
      </c>
      <c r="BG1082" s="3">
        <v>41.110505318818056</v>
      </c>
      <c r="BH1082" s="3">
        <v>36.45050531881806</v>
      </c>
      <c r="BI1082" s="3">
        <v>37.563838652151375</v>
      </c>
      <c r="BJ1082" s="3">
        <v>40.057171985484715</v>
      </c>
      <c r="BK1082" s="3">
        <v>41.630505318818038</v>
      </c>
      <c r="BL1082" s="3">
        <v>43.503838652151387</v>
      </c>
      <c r="BM1082" s="3">
        <v>37.337171985484716</v>
      </c>
      <c r="BN1082" s="3">
        <v>37.82050531881805</v>
      </c>
      <c r="BO1082" s="3">
        <v>36.887171985484727</v>
      </c>
      <c r="BP1082" s="3">
        <v>35.603838652151396</v>
      </c>
      <c r="BQ1082" s="3">
        <v>34.220505318818041</v>
      </c>
      <c r="BR1082" s="3">
        <v>32.647171985484718</v>
      </c>
      <c r="BS1082" s="3">
        <v>31.950505318818045</v>
      </c>
      <c r="BT1082" s="3">
        <v>29.947171985484715</v>
      </c>
      <c r="BU1082" s="3">
        <v>26.013838652151392</v>
      </c>
      <c r="BV1082" s="3">
        <v>23.530505318818051</v>
      </c>
      <c r="BW1082" s="3">
        <v>21.463838652151388</v>
      </c>
      <c r="BX1082" s="3">
        <v>18.583838652151385</v>
      </c>
      <c r="BY1082" s="3">
        <v>18.203838652151383</v>
      </c>
      <c r="BZ1082" s="3">
        <v>20.733838652151391</v>
      </c>
      <c r="CA1082" s="3">
        <v>12.93383865215138</v>
      </c>
      <c r="CB1082" s="3">
        <v>10.670505318818044</v>
      </c>
      <c r="CC1082" s="3">
        <v>10.283838652151381</v>
      </c>
      <c r="CD1082" s="3">
        <v>8.4905053188180517</v>
      </c>
      <c r="CE1082" s="3">
        <v>8.6838386521513797</v>
      </c>
      <c r="CF1082" s="3">
        <v>-0.90282801451528627</v>
      </c>
      <c r="CG1082" s="3">
        <v>-1.4361613478486177</v>
      </c>
      <c r="CH1082" s="3">
        <v>-2.5128280145152857</v>
      </c>
      <c r="CI1082" s="13">
        <f>[1]!dbasum(RecData[[#This Row],[20]:[2000]],RecData[[#Headers],[20]:[2000]])</f>
        <v>38.756740939119389</v>
      </c>
      <c r="CJ1082" s="14">
        <v>10665</v>
      </c>
      <c r="CK1082" s="15" t="s">
        <v>249</v>
      </c>
      <c r="CL1082" s="15">
        <f>RecData[[#This Row],[Start Time]]</f>
        <v>43275.961111111115</v>
      </c>
      <c r="CM1082" s="16">
        <f>RecData[[#This Row],[Wind Speed avg]]</f>
        <v>0.45</v>
      </c>
      <c r="CN1082" s="16">
        <f>RecData[[#This Row],[Wind Dir. avg]]</f>
        <v>174.6</v>
      </c>
      <c r="CO1082" s="16">
        <f>RecData[[#This Row],[Amb. Humidity]]</f>
        <v>45.3</v>
      </c>
      <c r="CP1082" s="16">
        <f>RecData[[#This Row],[Amb. Temperature]]</f>
        <v>13.9</v>
      </c>
      <c r="CQ1082" s="17">
        <f>RecData[[#This Row],[Amb. Rain Gauge]]</f>
        <v>0</v>
      </c>
      <c r="CR1082" s="4" t="s">
        <v>1</v>
      </c>
      <c r="CS1082" s="4" t="s">
        <v>49</v>
      </c>
      <c r="CT1082" s="70">
        <v>1615.13061523437</v>
      </c>
      <c r="CU1082" s="70">
        <v>21.000177383422798</v>
      </c>
      <c r="CV1082" s="70">
        <v>10.1526222229003</v>
      </c>
      <c r="CW1082" s="70">
        <v>15.288459777831999</v>
      </c>
      <c r="CX1082" s="4"/>
      <c r="CY1082" s="69"/>
      <c r="CZ1082" s="2" t="b">
        <f>IF($DP$1="YES",IF(RecData[[#This Row],[Power (kW)]]&gt;=$CR$3, TRUE,FALSE),TRUE)</f>
        <v>1</v>
      </c>
      <c r="DA1082" s="16">
        <f>MIN(MOD(180-ABS(ABS($DA$1-RecData[Yaw Angle (°)])-180),360),MOD(180-ABS(ABS($DB$1-RecData[Yaw Angle (°)])-180),360))</f>
        <v>13.470250605735259</v>
      </c>
      <c r="DB1082" s="2" t="str">
        <f>IF($DP$2="None","None",IF(RecData[[#This Row],[Relative Wind Direction]]&lt;=45,"DW",IF(RecData[[#This Row],[Relative Wind Direction]]&lt;=135,"CW","UW")))</f>
        <v>DW</v>
      </c>
      <c r="DC1082" s="61">
        <f>IF($CL1082-$CL1079&gt;1/24,#REF!,IF(SUM($CQ1079:$CQ1082)&gt;$DS$1,$DS$5,DC1083-1))</f>
        <v>-2</v>
      </c>
      <c r="DD1082" s="61" t="e">
        <f>IF($CL1083-$CL1082&gt;1/24,#REF!,IF(SUM($CQ1079:$CQ1082)&gt;$DS$1,$DS$6,#REF!-1))</f>
        <v>#REF!</v>
      </c>
      <c r="DE1082" s="18" t="b">
        <v>0</v>
      </c>
      <c r="DF1082" s="2" t="b">
        <f>IF(OR(RecData[[#This Row],[WSpd_Avg '[m/s']]]-RecData[[#This Row],[Wind Speed min]]&gt;=$DF$3,RecData[[#This Row],[Wind Speed max]]-RecData[[#This Row],[WSpd_Avg '[m/s']]]&gt;=$DF$2),TRUE,FALSE)</f>
        <v>0</v>
      </c>
      <c r="DG1082" s="2" t="b">
        <f>RecData[[#This Row],[Temperature '[°C']]]&lt;=-20</f>
        <v>0</v>
      </c>
      <c r="DH1082" s="18" t="b">
        <f>NOT(OR(MOD(RecData[[#This Row],[TIMESTAMP]],1)&gt;0.91632,MOD(RecData[[#This Row],[TIMESTAMP]],1)&lt;0.208681))</f>
        <v>0</v>
      </c>
      <c r="DI1082" s="18" t="b">
        <f>RecData[[#This Row],[Overall (dBA)]]-RecData[[#This Row],[L90]]&gt;=$DS$4</f>
        <v>0</v>
      </c>
      <c r="DJ1082" s="18" t="b">
        <f>RecData[[#This Row],[Overall (dBA)]]&gt;$DS$2</f>
        <v>0</v>
      </c>
      <c r="DK1082" s="18" t="b">
        <f>RecData[[#This Row],[Overall (dBA)]]&lt;$DS$3</f>
        <v>0</v>
      </c>
      <c r="DL10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2" s="2">
        <f>IF(AND(RecData[[#This Row],[Turbines ON/OFF]] = "OFF", NOT(OR(RecData[[#This Row],[Junk?]]="YES",RecData[[#This Row],[Gust?]],RecData[[#This Row],[Rain?]:[Min SPL Threshold?]]))),1,0)</f>
        <v>0</v>
      </c>
      <c r="DN1082" s="16">
        <f>RecData[[#This Row],[dBA Sum]]</f>
        <v>38.756740939119389</v>
      </c>
      <c r="DO1082" s="16">
        <f>RecData[[#This Row],[LAF90.0]]</f>
        <v>37.4</v>
      </c>
      <c r="DP1082" s="55">
        <f>IF(AND(RecData[[#This Row],[Useable TON Data?]],RecData[[#This Row],[Turbines ON/OFF]]="ON"),RecData[[#This Row],[dBA Sum]],"")</f>
        <v>38.756740939119389</v>
      </c>
      <c r="DQ1082" s="55" t="str">
        <f>IF(AND(RecData[[#This Row],[Useable Background Data?]],RecData[[#This Row],[Turbines ON/OFF]]="OFF"),RecData[[#This Row],[dBA Sum]],"")</f>
        <v/>
      </c>
      <c r="DR1082" s="3">
        <f>IF(OR(RecData[[#This Row],[Useable TON Data?]],RecData[[#This Row],[Useable Background Data?]]),ROUND(RecData[[#This Row],[WSpd_Avg '[m/s']]],0),"")</f>
        <v>0</v>
      </c>
      <c r="DS1082" s="85">
        <f>(0.00002)^2*(10^(RecData[[#This Row],[Overall (dBA)]]/10))</f>
        <v>3.0042362714478682E-6</v>
      </c>
    </row>
    <row r="1083" spans="1:123" ht="15" x14ac:dyDescent="0.25">
      <c r="A1083" s="3" t="s">
        <v>249</v>
      </c>
      <c r="B1083" s="12">
        <v>43275.961805555555</v>
      </c>
      <c r="C1083" s="3"/>
      <c r="D1083" s="3">
        <v>38.6</v>
      </c>
      <c r="E1083" s="3"/>
      <c r="F1083" s="3"/>
      <c r="G1083" s="3"/>
      <c r="H1083" s="3"/>
      <c r="I1083" s="3"/>
      <c r="J1083" s="3"/>
      <c r="K1083" s="3">
        <v>37.6</v>
      </c>
      <c r="L1083" s="3"/>
      <c r="M1083" s="3"/>
      <c r="N1083" s="3">
        <v>81.599999999999994</v>
      </c>
      <c r="O1083" s="3"/>
      <c r="P1083" s="3"/>
      <c r="Q1083" s="3">
        <v>0.96</v>
      </c>
      <c r="R1083" s="3">
        <v>0.2</v>
      </c>
      <c r="S1083" s="3">
        <v>1.5</v>
      </c>
      <c r="T1083" s="3">
        <v>14</v>
      </c>
      <c r="U1083" s="3">
        <v>45.5</v>
      </c>
      <c r="V1083" s="3">
        <v>976.5</v>
      </c>
      <c r="W1083" s="3">
        <v>0</v>
      </c>
      <c r="X1083" s="3">
        <v>46.7</v>
      </c>
      <c r="Y1083" s="3">
        <v>46.6</v>
      </c>
      <c r="Z1083" s="3">
        <v>45.6</v>
      </c>
      <c r="AA1083" s="3">
        <v>40.200000000000003</v>
      </c>
      <c r="AB1083" s="3">
        <v>36.6</v>
      </c>
      <c r="AC1083" s="3">
        <v>36.1</v>
      </c>
      <c r="AD1083" s="3">
        <v>39.200000000000003</v>
      </c>
      <c r="AE1083" s="3">
        <v>41.1</v>
      </c>
      <c r="AF1083" s="3">
        <v>44.1</v>
      </c>
      <c r="AG1083" s="3">
        <v>36.799999999999997</v>
      </c>
      <c r="AH1083" s="3">
        <v>37.799999999999997</v>
      </c>
      <c r="AI1083" s="3">
        <v>37.299999999999997</v>
      </c>
      <c r="AJ1083" s="3">
        <v>36.299999999999997</v>
      </c>
      <c r="AK1083" s="3">
        <v>34.200000000000003</v>
      </c>
      <c r="AL1083" s="3">
        <v>31.8</v>
      </c>
      <c r="AM1083" s="3">
        <v>30.8</v>
      </c>
      <c r="AN1083" s="3">
        <v>28.7</v>
      </c>
      <c r="AO1083" s="3">
        <v>24.8</v>
      </c>
      <c r="AP1083" s="3">
        <v>22.3</v>
      </c>
      <c r="AQ1083" s="3">
        <v>19.899999999999999</v>
      </c>
      <c r="AR1083" s="3">
        <v>17.399999999999999</v>
      </c>
      <c r="AS1083" s="3">
        <v>16.3</v>
      </c>
      <c r="AT1083" s="3">
        <v>20.7</v>
      </c>
      <c r="AU1083" s="3">
        <v>13.3</v>
      </c>
      <c r="AV1083" s="3">
        <v>12.7</v>
      </c>
      <c r="AW1083" s="3">
        <v>12.9</v>
      </c>
      <c r="AX1083" s="3">
        <v>11.9</v>
      </c>
      <c r="AY1083" s="3">
        <v>10.7</v>
      </c>
      <c r="AZ1083" s="3">
        <v>0</v>
      </c>
      <c r="BA1083" s="3">
        <v>0</v>
      </c>
      <c r="BB1083" s="3">
        <v>0</v>
      </c>
      <c r="BC1083" s="3">
        <v>38.566007724527374</v>
      </c>
      <c r="BD1083" s="3">
        <v>46.733992275472637</v>
      </c>
      <c r="BE1083" s="3">
        <v>46.633992275472629</v>
      </c>
      <c r="BF1083" s="3">
        <v>44.393992275472634</v>
      </c>
      <c r="BG1083" s="3">
        <v>39.320658942139296</v>
      </c>
      <c r="BH1083" s="3">
        <v>35.860658942139302</v>
      </c>
      <c r="BI1083" s="3">
        <v>35.773992275472629</v>
      </c>
      <c r="BJ1083" s="3">
        <v>39.66732560880596</v>
      </c>
      <c r="BK1083" s="3">
        <v>41.440658942139287</v>
      </c>
      <c r="BL1083" s="3">
        <v>44.013992275472638</v>
      </c>
      <c r="BM1083" s="3">
        <v>36.847325608805953</v>
      </c>
      <c r="BN1083" s="3">
        <v>38.130658942139284</v>
      </c>
      <c r="BO1083" s="3">
        <v>36.997325608805959</v>
      </c>
      <c r="BP1083" s="3">
        <v>35.713992275472627</v>
      </c>
      <c r="BQ1083" s="3">
        <v>34.03065894213929</v>
      </c>
      <c r="BR1083" s="3">
        <v>31.957325608805967</v>
      </c>
      <c r="BS1083" s="3">
        <v>30.760658942139294</v>
      </c>
      <c r="BT1083" s="3">
        <v>28.857325608805958</v>
      </c>
      <c r="BU1083" s="3">
        <v>24.923992275472635</v>
      </c>
      <c r="BV1083" s="3">
        <v>22.140658942139297</v>
      </c>
      <c r="BW1083" s="3">
        <v>20.273992275472629</v>
      </c>
      <c r="BX1083" s="3">
        <v>17.693992275472631</v>
      </c>
      <c r="BY1083" s="3">
        <v>16.41399227547263</v>
      </c>
      <c r="BZ1083" s="3">
        <v>20.943992275472631</v>
      </c>
      <c r="CA1083" s="3">
        <v>13.64399227547262</v>
      </c>
      <c r="CB1083" s="3">
        <v>12.480658942139293</v>
      </c>
      <c r="CC1083" s="3">
        <v>12.893992275472627</v>
      </c>
      <c r="CD1083" s="3">
        <v>11.200658942139299</v>
      </c>
      <c r="CE1083" s="3">
        <v>10.193992275472624</v>
      </c>
      <c r="CF1083" s="3">
        <v>-0.89267439119404202</v>
      </c>
      <c r="CG1083" s="3">
        <v>-1.4260077245273735</v>
      </c>
      <c r="CH1083" s="3">
        <v>-2.5026743911940414</v>
      </c>
      <c r="CI1083" s="13">
        <f>[1]!dbasum(RecData[[#This Row],[20]:[2000]],RecData[[#Headers],[20]:[2000]])</f>
        <v>38.322861879398246</v>
      </c>
      <c r="CJ1083" s="14">
        <v>10666</v>
      </c>
      <c r="CK1083" s="15" t="s">
        <v>249</v>
      </c>
      <c r="CL1083" s="15">
        <f>RecData[[#This Row],[Start Time]]</f>
        <v>43275.961805555555</v>
      </c>
      <c r="CM1083" s="16">
        <f>RecData[[#This Row],[Wind Speed avg]]</f>
        <v>0.96</v>
      </c>
      <c r="CN1083" s="16">
        <f>RecData[[#This Row],[Wind Dir. avg]]</f>
        <v>81.599999999999994</v>
      </c>
      <c r="CO1083" s="16">
        <f>RecData[[#This Row],[Amb. Humidity]]</f>
        <v>45.5</v>
      </c>
      <c r="CP1083" s="16">
        <f>RecData[[#This Row],[Amb. Temperature]]</f>
        <v>14</v>
      </c>
      <c r="CQ1083" s="17">
        <f>RecData[[#This Row],[Amb. Rain Gauge]]</f>
        <v>0</v>
      </c>
      <c r="CR1083" s="4" t="s">
        <v>1</v>
      </c>
      <c r="CS1083" s="4" t="s">
        <v>49</v>
      </c>
      <c r="CT1083" s="70">
        <v>1615.13061523437</v>
      </c>
      <c r="CU1083" s="70">
        <v>21.000177383422798</v>
      </c>
      <c r="CV1083" s="70">
        <v>10.1526222229003</v>
      </c>
      <c r="CW1083" s="70">
        <v>15.288459777831999</v>
      </c>
      <c r="CX1083" s="4"/>
      <c r="CY1083" s="69"/>
      <c r="CZ1083" s="2" t="b">
        <f>IF($DP$1="YES",IF(RecData[[#This Row],[Power (kW)]]&gt;=$CR$3, TRUE,FALSE),TRUE)</f>
        <v>1</v>
      </c>
      <c r="DA1083" s="16">
        <f>MIN(MOD(180-ABS(ABS($DA$1-RecData[Yaw Angle (°)])-180),360),MOD(180-ABS(ABS($DB$1-RecData[Yaw Angle (°)])-180),360))</f>
        <v>13.470250605735259</v>
      </c>
      <c r="DB1083" s="2" t="str">
        <f>IF($DP$2="None","None",IF(RecData[[#This Row],[Relative Wind Direction]]&lt;=45,"DW",IF(RecData[[#This Row],[Relative Wind Direction]]&lt;=135,"CW","UW")))</f>
        <v>DW</v>
      </c>
      <c r="DC1083" s="61">
        <v>-1</v>
      </c>
      <c r="DD1083" s="61">
        <v>-1</v>
      </c>
      <c r="DE1083" s="18" t="b">
        <v>0</v>
      </c>
      <c r="DF1083" s="2" t="b">
        <f>IF(OR(RecData[[#This Row],[WSpd_Avg '[m/s']]]-RecData[[#This Row],[Wind Speed min]]&gt;=$DF$3,RecData[[#This Row],[Wind Speed max]]-RecData[[#This Row],[WSpd_Avg '[m/s']]]&gt;=$DF$2),TRUE,FALSE)</f>
        <v>0</v>
      </c>
      <c r="DG1083" s="2" t="b">
        <f>RecData[[#This Row],[Temperature '[°C']]]&lt;=-20</f>
        <v>0</v>
      </c>
      <c r="DH1083" s="18" t="b">
        <f>NOT(OR(MOD(RecData[[#This Row],[TIMESTAMP]],1)&gt;0.91632,MOD(RecData[[#This Row],[TIMESTAMP]],1)&lt;0.208681))</f>
        <v>0</v>
      </c>
      <c r="DI1083" s="18" t="b">
        <f>RecData[[#This Row],[Overall (dBA)]]-RecData[[#This Row],[L90]]&gt;=$DS$4</f>
        <v>0</v>
      </c>
      <c r="DJ1083" s="18" t="b">
        <f>RecData[[#This Row],[Overall (dBA)]]&gt;$DS$2</f>
        <v>0</v>
      </c>
      <c r="DK1083" s="18" t="b">
        <f>RecData[[#This Row],[Overall (dBA)]]&lt;$DS$3</f>
        <v>0</v>
      </c>
      <c r="DL10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3" s="2">
        <f>IF(AND(RecData[[#This Row],[Turbines ON/OFF]] = "OFF", NOT(OR(RecData[[#This Row],[Junk?]]="YES",RecData[[#This Row],[Gust?]],RecData[[#This Row],[Rain?]:[Min SPL Threshold?]]))),1,0)</f>
        <v>0</v>
      </c>
      <c r="DN1083" s="16">
        <f>RecData[[#This Row],[dBA Sum]]</f>
        <v>38.322861879398246</v>
      </c>
      <c r="DO1083" s="16">
        <f>RecData[[#This Row],[LAF90.0]]</f>
        <v>37.6</v>
      </c>
      <c r="DP1083" s="55">
        <f>IF(AND(RecData[[#This Row],[Useable TON Data?]],RecData[[#This Row],[Turbines ON/OFF]]="ON"),RecData[[#This Row],[dBA Sum]],"")</f>
        <v>38.322861879398246</v>
      </c>
      <c r="DQ1083" s="55" t="str">
        <f>IF(AND(RecData[[#This Row],[Useable Background Data?]],RecData[[#This Row],[Turbines ON/OFF]]="OFF"),RecData[[#This Row],[dBA Sum]],"")</f>
        <v/>
      </c>
      <c r="DR1083" s="3">
        <f>IF(OR(RecData[[#This Row],[Useable TON Data?]],RecData[[#This Row],[Useable Background Data?]]),ROUND(RecData[[#This Row],[WSpd_Avg '[m/s']]],0),"")</f>
        <v>1</v>
      </c>
      <c r="DS1083" s="85">
        <f>(0.00002)^2*(10^(RecData[[#This Row],[Overall (dBA)]]/10))</f>
        <v>2.7186054254118962E-6</v>
      </c>
    </row>
    <row r="1084" spans="1:123" ht="15" x14ac:dyDescent="0.25">
      <c r="A1084" s="3" t="s">
        <v>249</v>
      </c>
      <c r="B1084" s="12">
        <v>43275.962500000001</v>
      </c>
      <c r="C1084" s="3"/>
      <c r="D1084" s="3">
        <v>39.1</v>
      </c>
      <c r="E1084" s="3"/>
      <c r="F1084" s="3"/>
      <c r="G1084" s="3"/>
      <c r="H1084" s="3"/>
      <c r="I1084" s="3"/>
      <c r="J1084" s="3"/>
      <c r="K1084" s="3">
        <v>37.799999999999997</v>
      </c>
      <c r="L1084" s="3"/>
      <c r="M1084" s="3"/>
      <c r="N1084" s="3">
        <v>175.7</v>
      </c>
      <c r="O1084" s="3"/>
      <c r="P1084" s="3"/>
      <c r="Q1084" s="3">
        <v>0.34</v>
      </c>
      <c r="R1084" s="3">
        <v>0.1</v>
      </c>
      <c r="S1084" s="3">
        <v>1.3</v>
      </c>
      <c r="T1084" s="3">
        <v>14</v>
      </c>
      <c r="U1084" s="3">
        <v>45.8</v>
      </c>
      <c r="V1084" s="3">
        <v>976.5</v>
      </c>
      <c r="W1084" s="3">
        <v>0</v>
      </c>
      <c r="X1084" s="3">
        <v>47.1</v>
      </c>
      <c r="Y1084" s="3">
        <v>47</v>
      </c>
      <c r="Z1084" s="3">
        <v>46</v>
      </c>
      <c r="AA1084" s="3">
        <v>41.2</v>
      </c>
      <c r="AB1084" s="3">
        <v>37.200000000000003</v>
      </c>
      <c r="AC1084" s="3">
        <v>36.299999999999997</v>
      </c>
      <c r="AD1084" s="3">
        <v>39.6</v>
      </c>
      <c r="AE1084" s="3">
        <v>42</v>
      </c>
      <c r="AF1084" s="3">
        <v>46.5</v>
      </c>
      <c r="AG1084" s="3">
        <v>38.200000000000003</v>
      </c>
      <c r="AH1084" s="3">
        <v>38.5</v>
      </c>
      <c r="AI1084" s="3">
        <v>38.200000000000003</v>
      </c>
      <c r="AJ1084" s="3">
        <v>36.9</v>
      </c>
      <c r="AK1084" s="3">
        <v>34.799999999999997</v>
      </c>
      <c r="AL1084" s="3">
        <v>32</v>
      </c>
      <c r="AM1084" s="3">
        <v>30.8</v>
      </c>
      <c r="AN1084" s="3">
        <v>28.3</v>
      </c>
      <c r="AO1084" s="3">
        <v>24.2</v>
      </c>
      <c r="AP1084" s="3">
        <v>22.1</v>
      </c>
      <c r="AQ1084" s="3">
        <v>19</v>
      </c>
      <c r="AR1084" s="3">
        <v>15.5</v>
      </c>
      <c r="AS1084" s="3">
        <v>14.3</v>
      </c>
      <c r="AT1084" s="3">
        <v>18.2</v>
      </c>
      <c r="AU1084" s="3">
        <v>11.9</v>
      </c>
      <c r="AV1084" s="3">
        <v>12</v>
      </c>
      <c r="AW1084" s="3">
        <v>13.4</v>
      </c>
      <c r="AX1084" s="3">
        <v>11.8</v>
      </c>
      <c r="AY1084" s="3">
        <v>11.1</v>
      </c>
      <c r="AZ1084" s="3">
        <v>0</v>
      </c>
      <c r="BA1084" s="3">
        <v>0</v>
      </c>
      <c r="BB1084" s="3">
        <v>0</v>
      </c>
      <c r="BC1084" s="3">
        <v>39.074187683954129</v>
      </c>
      <c r="BD1084" s="3">
        <v>47.125812316045874</v>
      </c>
      <c r="BE1084" s="3">
        <v>47.025812316045865</v>
      </c>
      <c r="BF1084" s="3">
        <v>44.78581231604587</v>
      </c>
      <c r="BG1084" s="3">
        <v>40.312478982712541</v>
      </c>
      <c r="BH1084" s="3">
        <v>36.452478982712542</v>
      </c>
      <c r="BI1084" s="3">
        <v>35.965812316045863</v>
      </c>
      <c r="BJ1084" s="3">
        <v>40.059145649379197</v>
      </c>
      <c r="BK1084" s="3">
        <v>42.332478982712537</v>
      </c>
      <c r="BL1084" s="3">
        <v>46.405812316045875</v>
      </c>
      <c r="BM1084" s="3">
        <v>38.239145649379203</v>
      </c>
      <c r="BN1084" s="3">
        <v>38.822478982712546</v>
      </c>
      <c r="BO1084" s="3">
        <v>37.889145649379209</v>
      </c>
      <c r="BP1084" s="3">
        <v>36.305812316045866</v>
      </c>
      <c r="BQ1084" s="3">
        <v>34.622478982712529</v>
      </c>
      <c r="BR1084" s="3">
        <v>32.1491456493792</v>
      </c>
      <c r="BS1084" s="3">
        <v>30.752478982712539</v>
      </c>
      <c r="BT1084" s="3">
        <v>28.449145649379211</v>
      </c>
      <c r="BU1084" s="3">
        <v>24.315812316045871</v>
      </c>
      <c r="BV1084" s="3">
        <v>21.932478982712546</v>
      </c>
      <c r="BW1084" s="3">
        <v>19.365812316045876</v>
      </c>
      <c r="BX1084" s="3">
        <v>15.785812316045877</v>
      </c>
      <c r="BY1084" s="3">
        <v>14.405812316045875</v>
      </c>
      <c r="BZ1084" s="3">
        <v>18.435812316045876</v>
      </c>
      <c r="CA1084" s="3">
        <v>12.235812316045866</v>
      </c>
      <c r="CB1084" s="3">
        <v>11.772478982712535</v>
      </c>
      <c r="CC1084" s="3">
        <v>13.385812316045872</v>
      </c>
      <c r="CD1084" s="3">
        <v>11.092478982712542</v>
      </c>
      <c r="CE1084" s="3">
        <v>10.585812316045867</v>
      </c>
      <c r="CF1084" s="3">
        <v>-0.90085435062079711</v>
      </c>
      <c r="CG1084" s="3">
        <v>-1.4341876839541285</v>
      </c>
      <c r="CH1084" s="3">
        <v>-2.5108543506207965</v>
      </c>
      <c r="CI1084" s="13">
        <f>[1]!dbasum(RecData[[#This Row],[20]:[2000]],RecData[[#Headers],[20]:[2000]])</f>
        <v>38.883942345454457</v>
      </c>
      <c r="CJ1084" s="14">
        <v>10667</v>
      </c>
      <c r="CK1084" s="15" t="s">
        <v>249</v>
      </c>
      <c r="CL1084" s="15">
        <f>RecData[[#This Row],[Start Time]]</f>
        <v>43275.962500000001</v>
      </c>
      <c r="CM1084" s="16">
        <f>RecData[[#This Row],[Wind Speed avg]]</f>
        <v>0.34</v>
      </c>
      <c r="CN1084" s="16">
        <f>RecData[[#This Row],[Wind Dir. avg]]</f>
        <v>175.7</v>
      </c>
      <c r="CO1084" s="16">
        <f>RecData[[#This Row],[Amb. Humidity]]</f>
        <v>45.8</v>
      </c>
      <c r="CP1084" s="16">
        <f>RecData[[#This Row],[Amb. Temperature]]</f>
        <v>14</v>
      </c>
      <c r="CQ1084" s="17">
        <f>RecData[[#This Row],[Amb. Rain Gauge]]</f>
        <v>0</v>
      </c>
      <c r="CR1084" s="4" t="s">
        <v>1</v>
      </c>
      <c r="CS1084" s="4" t="s">
        <v>49</v>
      </c>
      <c r="CT1084" s="70">
        <v>1615.13061523437</v>
      </c>
      <c r="CU1084" s="70">
        <v>21.000177383422798</v>
      </c>
      <c r="CV1084" s="70">
        <v>10.1526222229003</v>
      </c>
      <c r="CW1084" s="70">
        <v>15.288459777831999</v>
      </c>
      <c r="CX1084" s="4"/>
      <c r="CY1084" s="69"/>
      <c r="CZ1084" s="2" t="b">
        <f>IF($DP$1="YES",IF(RecData[[#This Row],[Power (kW)]]&gt;=$CR$3, TRUE,FALSE),TRUE)</f>
        <v>1</v>
      </c>
      <c r="DA1084" s="16">
        <f>MIN(MOD(180-ABS(ABS($DA$1-RecData[Yaw Angle (°)])-180),360),MOD(180-ABS(ABS($DB$1-RecData[Yaw Angle (°)])-180),360))</f>
        <v>13.470250605735259</v>
      </c>
      <c r="DB1084" s="2" t="str">
        <f>IF($DP$2="None","None",IF(RecData[[#This Row],[Relative Wind Direction]]&lt;=45,"DW",IF(RecData[[#This Row],[Relative Wind Direction]]&lt;=135,"CW","UW")))</f>
        <v>DW</v>
      </c>
      <c r="DC1084" s="61" t="e">
        <f>IF($CL1084-$CL1083&gt;1/24,#REF!,IF(SUM($CQ1083:$CQ1084)&gt;$DS$1,$DS$5,DC1085-1))</f>
        <v>#REF!</v>
      </c>
      <c r="DD1084" s="61">
        <f>IF($CL1085-$CL1084&gt;1/24,#REF!,IF(SUM($CQ1083:$CQ1084)&gt;$DS$1,$DS$6,DD1083-1))</f>
        <v>-2</v>
      </c>
      <c r="DE1084" s="18" t="b">
        <v>0</v>
      </c>
      <c r="DF1084" s="2" t="b">
        <f>IF(OR(RecData[[#This Row],[WSpd_Avg '[m/s']]]-RecData[[#This Row],[Wind Speed min]]&gt;=$DF$3,RecData[[#This Row],[Wind Speed max]]-RecData[[#This Row],[WSpd_Avg '[m/s']]]&gt;=$DF$2),TRUE,FALSE)</f>
        <v>0</v>
      </c>
      <c r="DG1084" s="2" t="b">
        <f>RecData[[#This Row],[Temperature '[°C']]]&lt;=-20</f>
        <v>0</v>
      </c>
      <c r="DH1084" s="18" t="b">
        <f>NOT(OR(MOD(RecData[[#This Row],[TIMESTAMP]],1)&gt;0.91632,MOD(RecData[[#This Row],[TIMESTAMP]],1)&lt;0.208681))</f>
        <v>0</v>
      </c>
      <c r="DI1084" s="18" t="b">
        <f>RecData[[#This Row],[Overall (dBA)]]-RecData[[#This Row],[L90]]&gt;=$DS$4</f>
        <v>0</v>
      </c>
      <c r="DJ1084" s="18" t="b">
        <f>RecData[[#This Row],[Overall (dBA)]]&gt;$DS$2</f>
        <v>0</v>
      </c>
      <c r="DK1084" s="18" t="b">
        <f>RecData[[#This Row],[Overall (dBA)]]&lt;$DS$3</f>
        <v>0</v>
      </c>
      <c r="DL10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4" s="2">
        <f>IF(AND(RecData[[#This Row],[Turbines ON/OFF]] = "OFF", NOT(OR(RecData[[#This Row],[Junk?]]="YES",RecData[[#This Row],[Gust?]],RecData[[#This Row],[Rain?]:[Min SPL Threshold?]]))),1,0)</f>
        <v>0</v>
      </c>
      <c r="DN1084" s="16">
        <f>RecData[[#This Row],[dBA Sum]]</f>
        <v>38.883942345454457</v>
      </c>
      <c r="DO1084" s="16">
        <f>RecData[[#This Row],[LAF90.0]]</f>
        <v>37.799999999999997</v>
      </c>
      <c r="DP1084" s="55">
        <f>IF(AND(RecData[[#This Row],[Useable TON Data?]],RecData[[#This Row],[Turbines ON/OFF]]="ON"),RecData[[#This Row],[dBA Sum]],"")</f>
        <v>38.883942345454457</v>
      </c>
      <c r="DQ1084" s="55" t="str">
        <f>IF(AND(RecData[[#This Row],[Useable Background Data?]],RecData[[#This Row],[Turbines ON/OFF]]="OFF"),RecData[[#This Row],[dBA Sum]],"")</f>
        <v/>
      </c>
      <c r="DR1084" s="3">
        <f>IF(OR(RecData[[#This Row],[Useable TON Data?]],RecData[[#This Row],[Useable Background Data?]]),ROUND(RecData[[#This Row],[WSpd_Avg '[m/s']]],0),"")</f>
        <v>0</v>
      </c>
      <c r="DS1084" s="85">
        <f>(0.00002)^2*(10^(RecData[[#This Row],[Overall (dBA)]]/10))</f>
        <v>3.0935292439314821E-6</v>
      </c>
    </row>
    <row r="1085" spans="1:123" ht="15" x14ac:dyDescent="0.25">
      <c r="A1085" s="3" t="s">
        <v>249</v>
      </c>
      <c r="B1085" s="12">
        <v>43275.963194444448</v>
      </c>
      <c r="C1085" s="3"/>
      <c r="D1085" s="3">
        <v>39.299999999999997</v>
      </c>
      <c r="E1085" s="3"/>
      <c r="F1085" s="3"/>
      <c r="G1085" s="3"/>
      <c r="H1085" s="3"/>
      <c r="I1085" s="3"/>
      <c r="J1085" s="3"/>
      <c r="K1085" s="3">
        <v>38</v>
      </c>
      <c r="L1085" s="3"/>
      <c r="M1085" s="3"/>
      <c r="N1085" s="3">
        <v>214.6</v>
      </c>
      <c r="O1085" s="3"/>
      <c r="P1085" s="3"/>
      <c r="Q1085" s="3">
        <v>0.63</v>
      </c>
      <c r="R1085" s="3">
        <v>0.4</v>
      </c>
      <c r="S1085" s="3">
        <v>0.9</v>
      </c>
      <c r="T1085" s="3">
        <v>13.9</v>
      </c>
      <c r="U1085" s="3">
        <v>45.8</v>
      </c>
      <c r="V1085" s="3">
        <v>976.5</v>
      </c>
      <c r="W1085" s="3">
        <v>0</v>
      </c>
      <c r="X1085" s="3">
        <v>46.5</v>
      </c>
      <c r="Y1085" s="3">
        <v>46</v>
      </c>
      <c r="Z1085" s="3">
        <v>45.6</v>
      </c>
      <c r="AA1085" s="3">
        <v>41.5</v>
      </c>
      <c r="AB1085" s="3">
        <v>36.5</v>
      </c>
      <c r="AC1085" s="3">
        <v>35.700000000000003</v>
      </c>
      <c r="AD1085" s="3">
        <v>38.700000000000003</v>
      </c>
      <c r="AE1085" s="3">
        <v>41</v>
      </c>
      <c r="AF1085" s="3">
        <v>44.3</v>
      </c>
      <c r="AG1085" s="3">
        <v>39.299999999999997</v>
      </c>
      <c r="AH1085" s="3">
        <v>37.5</v>
      </c>
      <c r="AI1085" s="3">
        <v>38.299999999999997</v>
      </c>
      <c r="AJ1085" s="3">
        <v>36.6</v>
      </c>
      <c r="AK1085" s="3">
        <v>34.9</v>
      </c>
      <c r="AL1085" s="3">
        <v>32.799999999999997</v>
      </c>
      <c r="AM1085" s="3">
        <v>32.200000000000003</v>
      </c>
      <c r="AN1085" s="3">
        <v>30</v>
      </c>
      <c r="AO1085" s="3">
        <v>26</v>
      </c>
      <c r="AP1085" s="3">
        <v>23.4</v>
      </c>
      <c r="AQ1085" s="3">
        <v>20.8</v>
      </c>
      <c r="AR1085" s="3">
        <v>16.5</v>
      </c>
      <c r="AS1085" s="3">
        <v>14.6</v>
      </c>
      <c r="AT1085" s="3">
        <v>19.2</v>
      </c>
      <c r="AU1085" s="3">
        <v>9.1</v>
      </c>
      <c r="AV1085" s="3">
        <v>8.5</v>
      </c>
      <c r="AW1085" s="3">
        <v>8.8000000000000007</v>
      </c>
      <c r="AX1085" s="3">
        <v>8.9</v>
      </c>
      <c r="AY1085" s="3">
        <v>9.1999999999999993</v>
      </c>
      <c r="AZ1085" s="3">
        <v>0</v>
      </c>
      <c r="BA1085" s="3">
        <v>0</v>
      </c>
      <c r="BB1085" s="3">
        <v>0</v>
      </c>
      <c r="BC1085" s="3">
        <v>39.298212992721098</v>
      </c>
      <c r="BD1085" s="3">
        <v>46.501787007278899</v>
      </c>
      <c r="BE1085" s="3">
        <v>46.001787007278899</v>
      </c>
      <c r="BF1085" s="3">
        <v>44.361787007278899</v>
      </c>
      <c r="BG1085" s="3">
        <v>40.588453673945558</v>
      </c>
      <c r="BH1085" s="3">
        <v>35.728453673945573</v>
      </c>
      <c r="BI1085" s="3">
        <v>35.341787007278903</v>
      </c>
      <c r="BJ1085" s="3">
        <v>39.135120340612239</v>
      </c>
      <c r="BK1085" s="3">
        <v>41.308453673945557</v>
      </c>
      <c r="BL1085" s="3">
        <v>44.181787007278892</v>
      </c>
      <c r="BM1085" s="3">
        <v>39.315120340612232</v>
      </c>
      <c r="BN1085" s="3">
        <v>37.798453673945566</v>
      </c>
      <c r="BO1085" s="3">
        <v>37.965120340612224</v>
      </c>
      <c r="BP1085" s="3">
        <v>35.981787007278903</v>
      </c>
      <c r="BQ1085" s="3">
        <v>34.698453673945558</v>
      </c>
      <c r="BR1085" s="3">
        <v>32.925120340612231</v>
      </c>
      <c r="BS1085" s="3">
        <v>32.128453673945579</v>
      </c>
      <c r="BT1085" s="3">
        <v>30.125120340612234</v>
      </c>
      <c r="BU1085" s="3">
        <v>26.091787007278903</v>
      </c>
      <c r="BV1085" s="3">
        <v>23.208453673945563</v>
      </c>
      <c r="BW1085" s="3">
        <v>21.1417870072789</v>
      </c>
      <c r="BX1085" s="3">
        <v>16.761787007278905</v>
      </c>
      <c r="BY1085" s="3">
        <v>14.681787007278899</v>
      </c>
      <c r="BZ1085" s="3">
        <v>19.411787007278903</v>
      </c>
      <c r="CA1085" s="3">
        <v>9.4117870072788961</v>
      </c>
      <c r="CB1085" s="3">
        <v>8.2484536739455621</v>
      </c>
      <c r="CC1085" s="3">
        <v>8.7617870072788975</v>
      </c>
      <c r="CD1085" s="3">
        <v>8.1684536739455709</v>
      </c>
      <c r="CE1085" s="3">
        <v>8.6617870072788961</v>
      </c>
      <c r="CF1085" s="3">
        <v>-0.92487965938776995</v>
      </c>
      <c r="CG1085" s="3">
        <v>-1.4582129927211014</v>
      </c>
      <c r="CH1085" s="3">
        <v>-2.5348796593877694</v>
      </c>
      <c r="CI1085" s="13">
        <f>[1]!dbasum(RecData[[#This Row],[20]:[2000]],RecData[[#Headers],[20]:[2000]])</f>
        <v>39.113669939625169</v>
      </c>
      <c r="CJ1085" s="14">
        <v>10668</v>
      </c>
      <c r="CK1085" s="15" t="s">
        <v>249</v>
      </c>
      <c r="CL1085" s="15">
        <f>RecData[[#This Row],[Start Time]]</f>
        <v>43275.963194444448</v>
      </c>
      <c r="CM1085" s="16">
        <f>RecData[[#This Row],[Wind Speed avg]]</f>
        <v>0.63</v>
      </c>
      <c r="CN1085" s="16">
        <f>RecData[[#This Row],[Wind Dir. avg]]</f>
        <v>214.6</v>
      </c>
      <c r="CO1085" s="16">
        <f>RecData[[#This Row],[Amb. Humidity]]</f>
        <v>45.8</v>
      </c>
      <c r="CP1085" s="16">
        <f>RecData[[#This Row],[Amb. Temperature]]</f>
        <v>13.9</v>
      </c>
      <c r="CQ1085" s="17">
        <f>RecData[[#This Row],[Amb. Rain Gauge]]</f>
        <v>0</v>
      </c>
      <c r="CR1085" s="4" t="s">
        <v>1</v>
      </c>
      <c r="CS1085" s="4" t="s">
        <v>49</v>
      </c>
      <c r="CT1085" s="70">
        <v>1615.13061523437</v>
      </c>
      <c r="CU1085" s="70">
        <v>21.000177383422798</v>
      </c>
      <c r="CV1085" s="70">
        <v>10.1526222229003</v>
      </c>
      <c r="CW1085" s="70">
        <v>15.288459777831999</v>
      </c>
      <c r="CX1085" s="4"/>
      <c r="CY1085" s="69"/>
      <c r="CZ1085" s="2" t="b">
        <f>IF($DP$1="YES",IF(RecData[[#This Row],[Power (kW)]]&gt;=$CR$3, TRUE,FALSE),TRUE)</f>
        <v>1</v>
      </c>
      <c r="DA1085" s="16">
        <f>MIN(MOD(180-ABS(ABS($DA$1-RecData[Yaw Angle (°)])-180),360),MOD(180-ABS(ABS($DB$1-RecData[Yaw Angle (°)])-180),360))</f>
        <v>13.470250605735259</v>
      </c>
      <c r="DB1085" s="2" t="str">
        <f>IF($DP$2="None","None",IF(RecData[[#This Row],[Relative Wind Direction]]&lt;=45,"DW",IF(RecData[[#This Row],[Relative Wind Direction]]&lt;=135,"CW","UW")))</f>
        <v>DW</v>
      </c>
      <c r="DC1085" s="61" t="e">
        <f>IF($CL1085-$CL1083&gt;1/24,#REF!,IF(SUM($CQ1083:$CQ1085)&gt;$DS$1,$DS$5,DC1086-1))</f>
        <v>#REF!</v>
      </c>
      <c r="DD1085" s="61">
        <f>IF($CL1086-$CL1085&gt;1/24,#REF!,IF(SUM($CQ1083:$CQ1085)&gt;$DS$1,$DS$6,DD1084-1))</f>
        <v>-3</v>
      </c>
      <c r="DE1085" s="18" t="b">
        <v>0</v>
      </c>
      <c r="DF1085" s="2" t="b">
        <f>IF(OR(RecData[[#This Row],[WSpd_Avg '[m/s']]]-RecData[[#This Row],[Wind Speed min]]&gt;=$DF$3,RecData[[#This Row],[Wind Speed max]]-RecData[[#This Row],[WSpd_Avg '[m/s']]]&gt;=$DF$2),TRUE,FALSE)</f>
        <v>0</v>
      </c>
      <c r="DG1085" s="2" t="b">
        <f>RecData[[#This Row],[Temperature '[°C']]]&lt;=-20</f>
        <v>0</v>
      </c>
      <c r="DH1085" s="18" t="b">
        <f>NOT(OR(MOD(RecData[[#This Row],[TIMESTAMP]],1)&gt;0.91632,MOD(RecData[[#This Row],[TIMESTAMP]],1)&lt;0.208681))</f>
        <v>0</v>
      </c>
      <c r="DI1085" s="18" t="b">
        <f>RecData[[#This Row],[Overall (dBA)]]-RecData[[#This Row],[L90]]&gt;=$DS$4</f>
        <v>0</v>
      </c>
      <c r="DJ1085" s="18" t="b">
        <f>RecData[[#This Row],[Overall (dBA)]]&gt;$DS$2</f>
        <v>0</v>
      </c>
      <c r="DK1085" s="18" t="b">
        <f>RecData[[#This Row],[Overall (dBA)]]&lt;$DS$3</f>
        <v>0</v>
      </c>
      <c r="DL10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5" s="2">
        <f>IF(AND(RecData[[#This Row],[Turbines ON/OFF]] = "OFF", NOT(OR(RecData[[#This Row],[Junk?]]="YES",RecData[[#This Row],[Gust?]],RecData[[#This Row],[Rain?]:[Min SPL Threshold?]]))),1,0)</f>
        <v>0</v>
      </c>
      <c r="DN1085" s="16">
        <f>RecData[[#This Row],[dBA Sum]]</f>
        <v>39.113669939625169</v>
      </c>
      <c r="DO1085" s="16">
        <f>RecData[[#This Row],[LAF90.0]]</f>
        <v>38</v>
      </c>
      <c r="DP1085" s="55">
        <f>IF(AND(RecData[[#This Row],[Useable TON Data?]],RecData[[#This Row],[Turbines ON/OFF]]="ON"),RecData[[#This Row],[dBA Sum]],"")</f>
        <v>39.113669939625169</v>
      </c>
      <c r="DQ1085" s="55" t="str">
        <f>IF(AND(RecData[[#This Row],[Useable Background Data?]],RecData[[#This Row],[Turbines ON/OFF]]="OFF"),RecData[[#This Row],[dBA Sum]],"")</f>
        <v/>
      </c>
      <c r="DR1085" s="3">
        <f>IF(OR(RecData[[#This Row],[Useable TON Data?]],RecData[[#This Row],[Useable Background Data?]]),ROUND(RecData[[#This Row],[WSpd_Avg '[m/s']]],0),"")</f>
        <v>1</v>
      </c>
      <c r="DS1085" s="85">
        <f>(0.00002)^2*(10^(RecData[[#This Row],[Overall (dBA)]]/10))</f>
        <v>3.261572113921359E-6</v>
      </c>
    </row>
    <row r="1086" spans="1:123" ht="15" x14ac:dyDescent="0.25">
      <c r="A1086" s="3" t="s">
        <v>249</v>
      </c>
      <c r="B1086" s="12">
        <v>43275.963888888895</v>
      </c>
      <c r="C1086" s="3"/>
      <c r="D1086" s="3">
        <v>38.6</v>
      </c>
      <c r="E1086" s="3"/>
      <c r="F1086" s="3"/>
      <c r="G1086" s="3"/>
      <c r="H1086" s="3"/>
      <c r="I1086" s="3"/>
      <c r="J1086" s="3"/>
      <c r="K1086" s="3">
        <v>37.6</v>
      </c>
      <c r="L1086" s="3"/>
      <c r="M1086" s="3"/>
      <c r="N1086" s="3">
        <v>259.2</v>
      </c>
      <c r="O1086" s="3"/>
      <c r="P1086" s="3"/>
      <c r="Q1086" s="3">
        <v>0.5</v>
      </c>
      <c r="R1086" s="3">
        <v>0.3</v>
      </c>
      <c r="S1086" s="3">
        <v>0.9</v>
      </c>
      <c r="T1086" s="3">
        <v>13.9</v>
      </c>
      <c r="U1086" s="3">
        <v>45.8</v>
      </c>
      <c r="V1086" s="3">
        <v>976.5</v>
      </c>
      <c r="W1086" s="3">
        <v>0</v>
      </c>
      <c r="X1086" s="3">
        <v>46.8</v>
      </c>
      <c r="Y1086" s="3">
        <v>46.5</v>
      </c>
      <c r="Z1086" s="3">
        <v>45.8</v>
      </c>
      <c r="AA1086" s="3">
        <v>41</v>
      </c>
      <c r="AB1086" s="3">
        <v>36.6</v>
      </c>
      <c r="AC1086" s="3">
        <v>35.4</v>
      </c>
      <c r="AD1086" s="3">
        <v>39.299999999999997</v>
      </c>
      <c r="AE1086" s="3">
        <v>41.4</v>
      </c>
      <c r="AF1086" s="3">
        <v>43.7</v>
      </c>
      <c r="AG1086" s="3">
        <v>37.200000000000003</v>
      </c>
      <c r="AH1086" s="3">
        <v>37.799999999999997</v>
      </c>
      <c r="AI1086" s="3">
        <v>37.4</v>
      </c>
      <c r="AJ1086" s="3">
        <v>36.299999999999997</v>
      </c>
      <c r="AK1086" s="3">
        <v>34.5</v>
      </c>
      <c r="AL1086" s="3">
        <v>32</v>
      </c>
      <c r="AM1086" s="3">
        <v>31.3</v>
      </c>
      <c r="AN1086" s="3">
        <v>28.9</v>
      </c>
      <c r="AO1086" s="3">
        <v>24.9</v>
      </c>
      <c r="AP1086" s="3">
        <v>22.6</v>
      </c>
      <c r="AQ1086" s="3">
        <v>19.399999999999999</v>
      </c>
      <c r="AR1086" s="3">
        <v>15.5</v>
      </c>
      <c r="AS1086" s="3">
        <v>14.7</v>
      </c>
      <c r="AT1086" s="3">
        <v>20</v>
      </c>
      <c r="AU1086" s="3">
        <v>9</v>
      </c>
      <c r="AV1086" s="3">
        <v>9</v>
      </c>
      <c r="AW1086" s="3">
        <v>9.3000000000000007</v>
      </c>
      <c r="AX1086" s="3">
        <v>9.1</v>
      </c>
      <c r="AY1086" s="3">
        <v>9.1999999999999993</v>
      </c>
      <c r="AZ1086" s="3">
        <v>0</v>
      </c>
      <c r="BA1086" s="3">
        <v>0</v>
      </c>
      <c r="BB1086" s="3">
        <v>0</v>
      </c>
      <c r="BC1086" s="3">
        <v>38.632080971816805</v>
      </c>
      <c r="BD1086" s="3">
        <v>46.767919028183201</v>
      </c>
      <c r="BE1086" s="3">
        <v>46.467919028183189</v>
      </c>
      <c r="BF1086" s="3">
        <v>44.527919028183192</v>
      </c>
      <c r="BG1086" s="3">
        <v>40.054585694849862</v>
      </c>
      <c r="BH1086" s="3">
        <v>35.794585694849872</v>
      </c>
      <c r="BI1086" s="3">
        <v>35.007919028183196</v>
      </c>
      <c r="BJ1086" s="3">
        <v>39.701252361516524</v>
      </c>
      <c r="BK1086" s="3">
        <v>41.674585694849867</v>
      </c>
      <c r="BL1086" s="3">
        <v>43.547919028183202</v>
      </c>
      <c r="BM1086" s="3">
        <v>37.181252361516528</v>
      </c>
      <c r="BN1086" s="3">
        <v>38.064585694849853</v>
      </c>
      <c r="BO1086" s="3">
        <v>37.031252361516522</v>
      </c>
      <c r="BP1086" s="3">
        <v>35.647919028183196</v>
      </c>
      <c r="BQ1086" s="3">
        <v>34.264585694849856</v>
      </c>
      <c r="BR1086" s="3">
        <v>32.091252361516524</v>
      </c>
      <c r="BS1086" s="3">
        <v>31.194585694849863</v>
      </c>
      <c r="BT1086" s="3">
        <v>28.99125236151653</v>
      </c>
      <c r="BU1086" s="3">
        <v>24.957919028183198</v>
      </c>
      <c r="BV1086" s="3">
        <v>22.37458569484987</v>
      </c>
      <c r="BW1086" s="3">
        <v>19.707919028183198</v>
      </c>
      <c r="BX1086" s="3">
        <v>15.727919028183202</v>
      </c>
      <c r="BY1086" s="3">
        <v>14.74791902818319</v>
      </c>
      <c r="BZ1086" s="3">
        <v>20.177919028183197</v>
      </c>
      <c r="CA1086" s="3">
        <v>9.2779190281831916</v>
      </c>
      <c r="CB1086" s="3">
        <v>8.714585694849859</v>
      </c>
      <c r="CC1086" s="3">
        <v>9.2279190281831944</v>
      </c>
      <c r="CD1086" s="3">
        <v>8.3345856948498636</v>
      </c>
      <c r="CE1086" s="3">
        <v>8.627919028183193</v>
      </c>
      <c r="CF1086" s="3">
        <v>-0.958747638483473</v>
      </c>
      <c r="CG1086" s="3">
        <v>-1.4920809718168044</v>
      </c>
      <c r="CH1086" s="3">
        <v>-2.5687476384834724</v>
      </c>
      <c r="CI1086" s="13">
        <f>[1]!dbasum(RecData[[#This Row],[20]:[2000]],RecData[[#Headers],[20]:[2000]])</f>
        <v>38.379574235831136</v>
      </c>
      <c r="CJ1086" s="14">
        <v>10669</v>
      </c>
      <c r="CK1086" s="15" t="s">
        <v>249</v>
      </c>
      <c r="CL1086" s="15">
        <f>RecData[[#This Row],[Start Time]]</f>
        <v>43275.963888888895</v>
      </c>
      <c r="CM1086" s="16">
        <f>RecData[[#This Row],[Wind Speed avg]]</f>
        <v>0.5</v>
      </c>
      <c r="CN1086" s="16">
        <f>RecData[[#This Row],[Wind Dir. avg]]</f>
        <v>259.2</v>
      </c>
      <c r="CO1086" s="16">
        <f>RecData[[#This Row],[Amb. Humidity]]</f>
        <v>45.8</v>
      </c>
      <c r="CP1086" s="16">
        <f>RecData[[#This Row],[Amb. Temperature]]</f>
        <v>13.9</v>
      </c>
      <c r="CQ1086" s="17">
        <f>RecData[[#This Row],[Amb. Rain Gauge]]</f>
        <v>0</v>
      </c>
      <c r="CR1086" s="4" t="s">
        <v>1</v>
      </c>
      <c r="CS1086" s="4" t="s">
        <v>49</v>
      </c>
      <c r="CT1086" s="70">
        <v>1615.13061523437</v>
      </c>
      <c r="CU1086" s="70">
        <v>21.000177383422798</v>
      </c>
      <c r="CV1086" s="70">
        <v>10.1526222229003</v>
      </c>
      <c r="CW1086" s="70">
        <v>15.288459777831999</v>
      </c>
      <c r="CX1086" s="4"/>
      <c r="CY1086" s="69"/>
      <c r="CZ1086" s="2" t="b">
        <f>IF($DP$1="YES",IF(RecData[[#This Row],[Power (kW)]]&gt;=$CR$3, TRUE,FALSE),TRUE)</f>
        <v>1</v>
      </c>
      <c r="DA1086" s="16">
        <f>MIN(MOD(180-ABS(ABS($DA$1-RecData[Yaw Angle (°)])-180),360),MOD(180-ABS(ABS($DB$1-RecData[Yaw Angle (°)])-180),360))</f>
        <v>13.470250605735259</v>
      </c>
      <c r="DB1086" s="2" t="str">
        <f>IF($DP$2="None","None",IF(RecData[[#This Row],[Relative Wind Direction]]&lt;=45,"DW",IF(RecData[[#This Row],[Relative Wind Direction]]&lt;=135,"CW","UW")))</f>
        <v>DW</v>
      </c>
      <c r="DC1086" s="61" t="e">
        <f>IF($CL1086-$CL1083&gt;1/24,#REF!,IF(SUM($CQ1083:$CQ1086)&gt;$DS$1,$DS$5,DC1087-1))</f>
        <v>#REF!</v>
      </c>
      <c r="DD1086" s="61">
        <f>IF($CL1087-$CL1086&gt;1/24,#REF!,IF(SUM($CQ1083:$CQ1086)&gt;$DS$1,$DS$6,DD1085-1))</f>
        <v>-4</v>
      </c>
      <c r="DE1086" s="18" t="b">
        <v>0</v>
      </c>
      <c r="DF1086" s="2" t="b">
        <f>IF(OR(RecData[[#This Row],[WSpd_Avg '[m/s']]]-RecData[[#This Row],[Wind Speed min]]&gt;=$DF$3,RecData[[#This Row],[Wind Speed max]]-RecData[[#This Row],[WSpd_Avg '[m/s']]]&gt;=$DF$2),TRUE,FALSE)</f>
        <v>0</v>
      </c>
      <c r="DG1086" s="2" t="b">
        <f>RecData[[#This Row],[Temperature '[°C']]]&lt;=-20</f>
        <v>0</v>
      </c>
      <c r="DH1086" s="18" t="b">
        <f>NOT(OR(MOD(RecData[[#This Row],[TIMESTAMP]],1)&gt;0.91632,MOD(RecData[[#This Row],[TIMESTAMP]],1)&lt;0.208681))</f>
        <v>0</v>
      </c>
      <c r="DI1086" s="18" t="b">
        <f>RecData[[#This Row],[Overall (dBA)]]-RecData[[#This Row],[L90]]&gt;=$DS$4</f>
        <v>0</v>
      </c>
      <c r="DJ1086" s="18" t="b">
        <f>RecData[[#This Row],[Overall (dBA)]]&gt;$DS$2</f>
        <v>0</v>
      </c>
      <c r="DK1086" s="18" t="b">
        <f>RecData[[#This Row],[Overall (dBA)]]&lt;$DS$3</f>
        <v>0</v>
      </c>
      <c r="DL10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6" s="2">
        <f>IF(AND(RecData[[#This Row],[Turbines ON/OFF]] = "OFF", NOT(OR(RecData[[#This Row],[Junk?]]="YES",RecData[[#This Row],[Gust?]],RecData[[#This Row],[Rain?]:[Min SPL Threshold?]]))),1,0)</f>
        <v>0</v>
      </c>
      <c r="DN1086" s="16">
        <f>RecData[[#This Row],[dBA Sum]]</f>
        <v>38.379574235831136</v>
      </c>
      <c r="DO1086" s="16">
        <f>RecData[[#This Row],[LAF90.0]]</f>
        <v>37.6</v>
      </c>
      <c r="DP1086" s="55">
        <f>IF(AND(RecData[[#This Row],[Useable TON Data?]],RecData[[#This Row],[Turbines ON/OFF]]="ON"),RecData[[#This Row],[dBA Sum]],"")</f>
        <v>38.379574235831136</v>
      </c>
      <c r="DQ1086" s="55" t="str">
        <f>IF(AND(RecData[[#This Row],[Useable Background Data?]],RecData[[#This Row],[Turbines ON/OFF]]="OFF"),RecData[[#This Row],[dBA Sum]],"")</f>
        <v/>
      </c>
      <c r="DR1086" s="3">
        <f>IF(OR(RecData[[#This Row],[Useable TON Data?]],RecData[[#This Row],[Useable Background Data?]]),ROUND(RecData[[#This Row],[WSpd_Avg '[m/s']]],0),"")</f>
        <v>1</v>
      </c>
      <c r="DS1086" s="85">
        <f>(0.00002)^2*(10^(RecData[[#This Row],[Overall (dBA)]]/10))</f>
        <v>2.754339148235901E-6</v>
      </c>
    </row>
    <row r="1087" spans="1:123" ht="15" x14ac:dyDescent="0.25">
      <c r="A1087" s="3" t="s">
        <v>249</v>
      </c>
      <c r="B1087" s="12">
        <v>43275.964583333334</v>
      </c>
      <c r="C1087" s="3"/>
      <c r="D1087" s="3">
        <v>40.1</v>
      </c>
      <c r="E1087" s="3"/>
      <c r="F1087" s="3"/>
      <c r="G1087" s="3"/>
      <c r="H1087" s="3"/>
      <c r="I1087" s="3"/>
      <c r="J1087" s="3"/>
      <c r="K1087" s="3">
        <v>37.9</v>
      </c>
      <c r="L1087" s="3"/>
      <c r="M1087" s="3"/>
      <c r="N1087" s="3">
        <v>221.4</v>
      </c>
      <c r="O1087" s="3"/>
      <c r="P1087" s="3"/>
      <c r="Q1087" s="3">
        <v>0.68</v>
      </c>
      <c r="R1087" s="3">
        <v>0.1</v>
      </c>
      <c r="S1087" s="3">
        <v>1.2</v>
      </c>
      <c r="T1087" s="3">
        <v>13.9</v>
      </c>
      <c r="U1087" s="3">
        <v>46.2</v>
      </c>
      <c r="V1087" s="3">
        <v>976.5</v>
      </c>
      <c r="W1087" s="3">
        <v>0</v>
      </c>
      <c r="X1087" s="3">
        <v>47.3</v>
      </c>
      <c r="Y1087" s="3">
        <v>47.4</v>
      </c>
      <c r="Z1087" s="3">
        <v>47.6</v>
      </c>
      <c r="AA1087" s="3">
        <v>42.2</v>
      </c>
      <c r="AB1087" s="3">
        <v>37</v>
      </c>
      <c r="AC1087" s="3">
        <v>36.1</v>
      </c>
      <c r="AD1087" s="3">
        <v>40</v>
      </c>
      <c r="AE1087" s="3">
        <v>42.3</v>
      </c>
      <c r="AF1087" s="3">
        <v>44.9</v>
      </c>
      <c r="AG1087" s="3">
        <v>39.700000000000003</v>
      </c>
      <c r="AH1087" s="3">
        <v>38.299999999999997</v>
      </c>
      <c r="AI1087" s="3">
        <v>38.9</v>
      </c>
      <c r="AJ1087" s="3">
        <v>37.299999999999997</v>
      </c>
      <c r="AK1087" s="3">
        <v>35.6</v>
      </c>
      <c r="AL1087" s="3">
        <v>33.5</v>
      </c>
      <c r="AM1087" s="3">
        <v>33.200000000000003</v>
      </c>
      <c r="AN1087" s="3">
        <v>31.1</v>
      </c>
      <c r="AO1087" s="3">
        <v>26.9</v>
      </c>
      <c r="AP1087" s="3">
        <v>24.4</v>
      </c>
      <c r="AQ1087" s="3">
        <v>21.3</v>
      </c>
      <c r="AR1087" s="3">
        <v>17.100000000000001</v>
      </c>
      <c r="AS1087" s="3">
        <v>15.5</v>
      </c>
      <c r="AT1087" s="3">
        <v>17.2</v>
      </c>
      <c r="AU1087" s="3">
        <v>9.9</v>
      </c>
      <c r="AV1087" s="3">
        <v>8.8000000000000007</v>
      </c>
      <c r="AW1087" s="3">
        <v>9</v>
      </c>
      <c r="AX1087" s="3">
        <v>8.9</v>
      </c>
      <c r="AY1087" s="3">
        <v>9.1</v>
      </c>
      <c r="AZ1087" s="3">
        <v>0</v>
      </c>
      <c r="BA1087" s="3">
        <v>0</v>
      </c>
      <c r="BB1087" s="3">
        <v>0</v>
      </c>
      <c r="BC1087" s="3">
        <v>40.05473214053999</v>
      </c>
      <c r="BD1087" s="3">
        <v>47.345267859460016</v>
      </c>
      <c r="BE1087" s="3">
        <v>47.44526785946001</v>
      </c>
      <c r="BF1087" s="3">
        <v>46.405267859460018</v>
      </c>
      <c r="BG1087" s="3">
        <v>41.33193452612668</v>
      </c>
      <c r="BH1087" s="3">
        <v>36.271934526126678</v>
      </c>
      <c r="BI1087" s="3">
        <v>35.785267859460014</v>
      </c>
      <c r="BJ1087" s="3">
        <v>40.478601192793342</v>
      </c>
      <c r="BK1087" s="3">
        <v>42.651934526126674</v>
      </c>
      <c r="BL1087" s="3">
        <v>44.825267859460006</v>
      </c>
      <c r="BM1087" s="3">
        <v>39.758601192793343</v>
      </c>
      <c r="BN1087" s="3">
        <v>38.641934526126668</v>
      </c>
      <c r="BO1087" s="3">
        <v>38.608601192793337</v>
      </c>
      <c r="BP1087" s="3">
        <v>36.725267859460011</v>
      </c>
      <c r="BQ1087" s="3">
        <v>35.44193452612668</v>
      </c>
      <c r="BR1087" s="3">
        <v>33.668601192793339</v>
      </c>
      <c r="BS1087" s="3">
        <v>33.171934526126684</v>
      </c>
      <c r="BT1087" s="3">
        <v>31.268601192793348</v>
      </c>
      <c r="BU1087" s="3">
        <v>27.035267859460014</v>
      </c>
      <c r="BV1087" s="3">
        <v>24.251934526126682</v>
      </c>
      <c r="BW1087" s="3">
        <v>21.685267859460019</v>
      </c>
      <c r="BX1087" s="3">
        <v>17.405267859460018</v>
      </c>
      <c r="BY1087" s="3">
        <v>15.62526785946001</v>
      </c>
      <c r="BZ1087" s="3">
        <v>17.455267859460015</v>
      </c>
      <c r="CA1087" s="3">
        <v>10.255267859460005</v>
      </c>
      <c r="CB1087" s="3">
        <v>8.5919345261266784</v>
      </c>
      <c r="CC1087" s="3">
        <v>9.0052678594600124</v>
      </c>
      <c r="CD1087" s="3">
        <v>8.211934526126683</v>
      </c>
      <c r="CE1087" s="3">
        <v>8.6052678594600067</v>
      </c>
      <c r="CF1087" s="3">
        <v>-0.88139880720665786</v>
      </c>
      <c r="CG1087" s="3">
        <v>-1.4147321405399893</v>
      </c>
      <c r="CH1087" s="3">
        <v>-2.4913988072066573</v>
      </c>
      <c r="CI1087" s="13">
        <f>[1]!dbasum(RecData[[#This Row],[20]:[2000]],RecData[[#Headers],[20]:[2000]])</f>
        <v>39.945761703962646</v>
      </c>
      <c r="CJ1087" s="14">
        <v>10670</v>
      </c>
      <c r="CK1087" s="15" t="s">
        <v>249</v>
      </c>
      <c r="CL1087" s="15">
        <f>RecData[[#This Row],[Start Time]]</f>
        <v>43275.964583333334</v>
      </c>
      <c r="CM1087" s="16">
        <f>RecData[[#This Row],[Wind Speed avg]]</f>
        <v>0.68</v>
      </c>
      <c r="CN1087" s="16">
        <f>RecData[[#This Row],[Wind Dir. avg]]</f>
        <v>221.4</v>
      </c>
      <c r="CO1087" s="16">
        <f>RecData[[#This Row],[Amb. Humidity]]</f>
        <v>46.2</v>
      </c>
      <c r="CP1087" s="16">
        <f>RecData[[#This Row],[Amb. Temperature]]</f>
        <v>13.9</v>
      </c>
      <c r="CQ1087" s="17">
        <f>RecData[[#This Row],[Amb. Rain Gauge]]</f>
        <v>0</v>
      </c>
      <c r="CR1087" s="4" t="s">
        <v>1</v>
      </c>
      <c r="CS1087" s="4" t="s">
        <v>49</v>
      </c>
      <c r="CT1087" s="70">
        <v>1615.13061523437</v>
      </c>
      <c r="CU1087" s="70">
        <v>21.000177383422798</v>
      </c>
      <c r="CV1087" s="70">
        <v>10.1526222229003</v>
      </c>
      <c r="CW1087" s="70">
        <v>15.288459777831999</v>
      </c>
      <c r="CX1087" s="4"/>
      <c r="CY1087" s="69"/>
      <c r="CZ1087" s="2" t="b">
        <f>IF($DP$1="YES",IF(RecData[[#This Row],[Power (kW)]]&gt;=$CR$3, TRUE,FALSE),TRUE)</f>
        <v>1</v>
      </c>
      <c r="DA1087" s="16">
        <f>MIN(MOD(180-ABS(ABS($DA$1-RecData[Yaw Angle (°)])-180),360),MOD(180-ABS(ABS($DB$1-RecData[Yaw Angle (°)])-180),360))</f>
        <v>13.470250605735259</v>
      </c>
      <c r="DB1087" s="2" t="str">
        <f>IF($DP$2="None","None",IF(RecData[[#This Row],[Relative Wind Direction]]&lt;=45,"DW",IF(RecData[[#This Row],[Relative Wind Direction]]&lt;=135,"CW","UW")))</f>
        <v>DW</v>
      </c>
      <c r="DC1087" s="61" t="e">
        <f>IF($CL1087-$CL1083&gt;1/24,#REF!,IF(SUM($CQ1083:$CQ1087)&gt;$DS$1,$DS$5,DC1088-1))</f>
        <v>#REF!</v>
      </c>
      <c r="DD1087" s="61">
        <f>IF($CL1088-$CL1087&gt;1/24,#REF!,IF(SUM($CQ1083:$CQ1087)&gt;$DS$1,$DS$6,DD1086-1))</f>
        <v>-5</v>
      </c>
      <c r="DE1087" s="18" t="b">
        <v>0</v>
      </c>
      <c r="DF1087" s="2" t="b">
        <f>IF(OR(RecData[[#This Row],[WSpd_Avg '[m/s']]]-RecData[[#This Row],[Wind Speed min]]&gt;=$DF$3,RecData[[#This Row],[Wind Speed max]]-RecData[[#This Row],[WSpd_Avg '[m/s']]]&gt;=$DF$2),TRUE,FALSE)</f>
        <v>0</v>
      </c>
      <c r="DG1087" s="2" t="b">
        <f>RecData[[#This Row],[Temperature '[°C']]]&lt;=-20</f>
        <v>0</v>
      </c>
      <c r="DH1087" s="18" t="b">
        <f>NOT(OR(MOD(RecData[[#This Row],[TIMESTAMP]],1)&gt;0.91632,MOD(RecData[[#This Row],[TIMESTAMP]],1)&lt;0.208681))</f>
        <v>0</v>
      </c>
      <c r="DI1087" s="18" t="b">
        <f>RecData[[#This Row],[Overall (dBA)]]-RecData[[#This Row],[L90]]&gt;=$DS$4</f>
        <v>0</v>
      </c>
      <c r="DJ1087" s="18" t="b">
        <f>RecData[[#This Row],[Overall (dBA)]]&gt;$DS$2</f>
        <v>0</v>
      </c>
      <c r="DK1087" s="18" t="b">
        <f>RecData[[#This Row],[Overall (dBA)]]&lt;$DS$3</f>
        <v>0</v>
      </c>
      <c r="DL10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7" s="2">
        <f>IF(AND(RecData[[#This Row],[Turbines ON/OFF]] = "OFF", NOT(OR(RecData[[#This Row],[Junk?]]="YES",RecData[[#This Row],[Gust?]],RecData[[#This Row],[Rain?]:[Min SPL Threshold?]]))),1,0)</f>
        <v>0</v>
      </c>
      <c r="DN1087" s="16">
        <f>RecData[[#This Row],[dBA Sum]]</f>
        <v>39.945761703962646</v>
      </c>
      <c r="DO1087" s="16">
        <f>RecData[[#This Row],[LAF90.0]]</f>
        <v>37.9</v>
      </c>
      <c r="DP1087" s="55">
        <f>IF(AND(RecData[[#This Row],[Useable TON Data?]],RecData[[#This Row],[Turbines ON/OFF]]="ON"),RecData[[#This Row],[dBA Sum]],"")</f>
        <v>39.945761703962646</v>
      </c>
      <c r="DQ1087" s="55" t="str">
        <f>IF(AND(RecData[[#This Row],[Useable Background Data?]],RecData[[#This Row],[Turbines ON/OFF]]="OFF"),RecData[[#This Row],[dBA Sum]],"")</f>
        <v/>
      </c>
      <c r="DR1087" s="3">
        <f>IF(OR(RecData[[#This Row],[Useable TON Data?]],RecData[[#This Row],[Useable Background Data?]]),ROUND(RecData[[#This Row],[WSpd_Avg '[m/s']]],0),"")</f>
        <v>1</v>
      </c>
      <c r="DS1087" s="85">
        <f>(0.00002)^2*(10^(RecData[[#This Row],[Overall (dBA)]]/10))</f>
        <v>3.9503553303880045E-6</v>
      </c>
    </row>
    <row r="1088" spans="1:123" ht="15" x14ac:dyDescent="0.25">
      <c r="A1088" s="3" t="s">
        <v>249</v>
      </c>
      <c r="B1088" s="12">
        <v>43275.965277777781</v>
      </c>
      <c r="C1088" s="3"/>
      <c r="D1088" s="3">
        <v>40</v>
      </c>
      <c r="E1088" s="3"/>
      <c r="F1088" s="3"/>
      <c r="G1088" s="3"/>
      <c r="H1088" s="3"/>
      <c r="I1088" s="3"/>
      <c r="J1088" s="3"/>
      <c r="K1088" s="3">
        <v>38.5</v>
      </c>
      <c r="L1088" s="3"/>
      <c r="M1088" s="3"/>
      <c r="N1088" s="3">
        <v>215.6</v>
      </c>
      <c r="O1088" s="3"/>
      <c r="P1088" s="3"/>
      <c r="Q1088" s="3">
        <v>0.45</v>
      </c>
      <c r="R1088" s="3">
        <v>0</v>
      </c>
      <c r="S1088" s="3">
        <v>1.1000000000000001</v>
      </c>
      <c r="T1088" s="3">
        <v>13.8</v>
      </c>
      <c r="U1088" s="3">
        <v>46.2</v>
      </c>
      <c r="V1088" s="3">
        <v>976.6</v>
      </c>
      <c r="W1088" s="3">
        <v>0</v>
      </c>
      <c r="X1088" s="3">
        <v>48.7</v>
      </c>
      <c r="Y1088" s="3">
        <v>47.5</v>
      </c>
      <c r="Z1088" s="3">
        <v>47.3</v>
      </c>
      <c r="AA1088" s="3">
        <v>42.6</v>
      </c>
      <c r="AB1088" s="3">
        <v>37.700000000000003</v>
      </c>
      <c r="AC1088" s="3">
        <v>35.9</v>
      </c>
      <c r="AD1088" s="3">
        <v>40.200000000000003</v>
      </c>
      <c r="AE1088" s="3">
        <v>42.9</v>
      </c>
      <c r="AF1088" s="3">
        <v>46</v>
      </c>
      <c r="AG1088" s="3">
        <v>38.799999999999997</v>
      </c>
      <c r="AH1088" s="3">
        <v>38.4</v>
      </c>
      <c r="AI1088" s="3">
        <v>39.200000000000003</v>
      </c>
      <c r="AJ1088" s="3">
        <v>37.299999999999997</v>
      </c>
      <c r="AK1088" s="3">
        <v>35.9</v>
      </c>
      <c r="AL1088" s="3">
        <v>33.200000000000003</v>
      </c>
      <c r="AM1088" s="3">
        <v>32.700000000000003</v>
      </c>
      <c r="AN1088" s="3">
        <v>29.8</v>
      </c>
      <c r="AO1088" s="3">
        <v>26</v>
      </c>
      <c r="AP1088" s="3">
        <v>24.1</v>
      </c>
      <c r="AQ1088" s="3">
        <v>20.6</v>
      </c>
      <c r="AR1088" s="3">
        <v>16.600000000000001</v>
      </c>
      <c r="AS1088" s="3">
        <v>15.1</v>
      </c>
      <c r="AT1088" s="3">
        <v>20.100000000000001</v>
      </c>
      <c r="AU1088" s="3">
        <v>8.9</v>
      </c>
      <c r="AV1088" s="3">
        <v>8.5</v>
      </c>
      <c r="AW1088" s="3">
        <v>8.8000000000000007</v>
      </c>
      <c r="AX1088" s="3">
        <v>8.9</v>
      </c>
      <c r="AY1088" s="3">
        <v>9.1</v>
      </c>
      <c r="AZ1088" s="3">
        <v>0</v>
      </c>
      <c r="BA1088" s="3">
        <v>0</v>
      </c>
      <c r="BB1088" s="3">
        <v>0</v>
      </c>
      <c r="BC1088" s="3">
        <v>39.950012301030384</v>
      </c>
      <c r="BD1088" s="3">
        <v>48.749987698969619</v>
      </c>
      <c r="BE1088" s="3">
        <v>47.549987698969616</v>
      </c>
      <c r="BF1088" s="3">
        <v>46.109987698969618</v>
      </c>
      <c r="BG1088" s="3">
        <v>41.736654365636284</v>
      </c>
      <c r="BH1088" s="3">
        <v>36.976654365636293</v>
      </c>
      <c r="BI1088" s="3">
        <v>35.589987698969608</v>
      </c>
      <c r="BJ1088" s="3">
        <v>40.683321032302942</v>
      </c>
      <c r="BK1088" s="3">
        <v>43.25665436563628</v>
      </c>
      <c r="BL1088" s="3">
        <v>45.929987698969612</v>
      </c>
      <c r="BM1088" s="3">
        <v>38.863321032302949</v>
      </c>
      <c r="BN1088" s="3">
        <v>38.746654365636275</v>
      </c>
      <c r="BO1088" s="3">
        <v>38.91332103230296</v>
      </c>
      <c r="BP1088" s="3">
        <v>36.729987698969623</v>
      </c>
      <c r="BQ1088" s="3">
        <v>35.746654365636275</v>
      </c>
      <c r="BR1088" s="3">
        <v>33.373321032302954</v>
      </c>
      <c r="BS1088" s="3">
        <v>32.676654365636281</v>
      </c>
      <c r="BT1088" s="3">
        <v>29.973321032302948</v>
      </c>
      <c r="BU1088" s="3">
        <v>26.13998769896962</v>
      </c>
      <c r="BV1088" s="3">
        <v>23.956654365636282</v>
      </c>
      <c r="BW1088" s="3">
        <v>20.989987698969621</v>
      </c>
      <c r="BX1088" s="3">
        <v>16.909987698969623</v>
      </c>
      <c r="BY1088" s="3">
        <v>15.229987698969616</v>
      </c>
      <c r="BZ1088" s="3">
        <v>20.359987698969618</v>
      </c>
      <c r="CA1088" s="3">
        <v>9.2599876989696099</v>
      </c>
      <c r="CB1088" s="3">
        <v>8.2966543656362788</v>
      </c>
      <c r="CC1088" s="3">
        <v>8.8099876989696142</v>
      </c>
      <c r="CD1088" s="3">
        <v>8.2166543656362876</v>
      </c>
      <c r="CE1088" s="3">
        <v>8.6099876989696185</v>
      </c>
      <c r="CF1088" s="3">
        <v>-0.87667896769705322</v>
      </c>
      <c r="CG1088" s="3">
        <v>-1.4100123010303847</v>
      </c>
      <c r="CH1088" s="3">
        <v>-2.4866789676970527</v>
      </c>
      <c r="CI1088" s="13">
        <f>[1]!dbasum(RecData[[#This Row],[20]:[2000]],RecData[[#Headers],[20]:[2000]])</f>
        <v>39.804652954489271</v>
      </c>
      <c r="CJ1088" s="14">
        <v>10671</v>
      </c>
      <c r="CK1088" s="15" t="s">
        <v>249</v>
      </c>
      <c r="CL1088" s="15">
        <f>RecData[[#This Row],[Start Time]]</f>
        <v>43275.965277777781</v>
      </c>
      <c r="CM1088" s="16">
        <f>RecData[[#This Row],[Wind Speed avg]]</f>
        <v>0.45</v>
      </c>
      <c r="CN1088" s="16">
        <f>RecData[[#This Row],[Wind Dir. avg]]</f>
        <v>215.6</v>
      </c>
      <c r="CO1088" s="16">
        <f>RecData[[#This Row],[Amb. Humidity]]</f>
        <v>46.2</v>
      </c>
      <c r="CP1088" s="16">
        <f>RecData[[#This Row],[Amb. Temperature]]</f>
        <v>13.8</v>
      </c>
      <c r="CQ1088" s="17">
        <f>RecData[[#This Row],[Amb. Rain Gauge]]</f>
        <v>0</v>
      </c>
      <c r="CR1088" s="4" t="s">
        <v>1</v>
      </c>
      <c r="CS1088" s="4" t="s">
        <v>49</v>
      </c>
      <c r="CT1088" s="70">
        <v>1615.13061523437</v>
      </c>
      <c r="CU1088" s="70">
        <v>21.000177383422798</v>
      </c>
      <c r="CV1088" s="70">
        <v>10.1526222229003</v>
      </c>
      <c r="CW1088" s="70">
        <v>15.288459777831999</v>
      </c>
      <c r="CX1088" s="4"/>
      <c r="CY1088" s="69"/>
      <c r="CZ1088" s="2" t="b">
        <f>IF($DP$1="YES",IF(RecData[[#This Row],[Power (kW)]]&gt;=$CR$3, TRUE,FALSE),TRUE)</f>
        <v>1</v>
      </c>
      <c r="DA1088" s="16">
        <f>MIN(MOD(180-ABS(ABS($DA$1-RecData[Yaw Angle (°)])-180),360),MOD(180-ABS(ABS($DB$1-RecData[Yaw Angle (°)])-180),360))</f>
        <v>13.470250605735259</v>
      </c>
      <c r="DB1088" s="2" t="str">
        <f>IF($DP$2="None","None",IF(RecData[[#This Row],[Relative Wind Direction]]&lt;=45,"DW",IF(RecData[[#This Row],[Relative Wind Direction]]&lt;=135,"CW","UW")))</f>
        <v>DW</v>
      </c>
      <c r="DC1088" s="61" t="e">
        <f>IF($CL1088-$CL1084&gt;1/24,#REF!,IF(SUM($CQ1084:$CQ1088)&gt;$DS$1,$DS$5,DC1089-1))</f>
        <v>#REF!</v>
      </c>
      <c r="DD1088" s="61">
        <f>IF($CL1089-$CL1088&gt;1/24,#REF!,IF(SUM($CQ1084:$CQ1088)&gt;$DS$1,$DS$6,DD1087-1))</f>
        <v>-6</v>
      </c>
      <c r="DE1088" s="18" t="b">
        <v>0</v>
      </c>
      <c r="DF1088" s="2" t="b">
        <f>IF(OR(RecData[[#This Row],[WSpd_Avg '[m/s']]]-RecData[[#This Row],[Wind Speed min]]&gt;=$DF$3,RecData[[#This Row],[Wind Speed max]]-RecData[[#This Row],[WSpd_Avg '[m/s']]]&gt;=$DF$2),TRUE,FALSE)</f>
        <v>0</v>
      </c>
      <c r="DG1088" s="2" t="b">
        <f>RecData[[#This Row],[Temperature '[°C']]]&lt;=-20</f>
        <v>0</v>
      </c>
      <c r="DH1088" s="18" t="b">
        <f>NOT(OR(MOD(RecData[[#This Row],[TIMESTAMP]],1)&gt;0.91632,MOD(RecData[[#This Row],[TIMESTAMP]],1)&lt;0.208681))</f>
        <v>0</v>
      </c>
      <c r="DI1088" s="18" t="b">
        <f>RecData[[#This Row],[Overall (dBA)]]-RecData[[#This Row],[L90]]&gt;=$DS$4</f>
        <v>0</v>
      </c>
      <c r="DJ1088" s="18" t="b">
        <f>RecData[[#This Row],[Overall (dBA)]]&gt;$DS$2</f>
        <v>0</v>
      </c>
      <c r="DK1088" s="18" t="b">
        <f>RecData[[#This Row],[Overall (dBA)]]&lt;$DS$3</f>
        <v>0</v>
      </c>
      <c r="DL10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8" s="2">
        <f>IF(AND(RecData[[#This Row],[Turbines ON/OFF]] = "OFF", NOT(OR(RecData[[#This Row],[Junk?]]="YES",RecData[[#This Row],[Gust?]],RecData[[#This Row],[Rain?]:[Min SPL Threshold?]]))),1,0)</f>
        <v>0</v>
      </c>
      <c r="DN1088" s="16">
        <f>RecData[[#This Row],[dBA Sum]]</f>
        <v>39.804652954489271</v>
      </c>
      <c r="DO1088" s="16">
        <f>RecData[[#This Row],[LAF90.0]]</f>
        <v>38.5</v>
      </c>
      <c r="DP1088" s="55">
        <f>IF(AND(RecData[[#This Row],[Useable TON Data?]],RecData[[#This Row],[Turbines ON/OFF]]="ON"),RecData[[#This Row],[dBA Sum]],"")</f>
        <v>39.804652954489271</v>
      </c>
      <c r="DQ1088" s="55" t="str">
        <f>IF(AND(RecData[[#This Row],[Useable Background Data?]],RecData[[#This Row],[Turbines ON/OFF]]="OFF"),RecData[[#This Row],[dBA Sum]],"")</f>
        <v/>
      </c>
      <c r="DR1088" s="3">
        <f>IF(OR(RecData[[#This Row],[Useable TON Data?]],RecData[[#This Row],[Useable Background Data?]]),ROUND(RecData[[#This Row],[WSpd_Avg '[m/s']]],0),"")</f>
        <v>0</v>
      </c>
      <c r="DS1088" s="85">
        <f>(0.00002)^2*(10^(RecData[[#This Row],[Overall (dBA)]]/10))</f>
        <v>3.8240651861245402E-6</v>
      </c>
    </row>
    <row r="1089" spans="1:123" ht="15" x14ac:dyDescent="0.25">
      <c r="A1089" s="3" t="s">
        <v>249</v>
      </c>
      <c r="B1089" s="12">
        <v>43275.965972222228</v>
      </c>
      <c r="C1089" s="3"/>
      <c r="D1089" s="3">
        <v>38.6</v>
      </c>
      <c r="E1089" s="3"/>
      <c r="F1089" s="3"/>
      <c r="G1089" s="3"/>
      <c r="H1089" s="3"/>
      <c r="I1089" s="3"/>
      <c r="J1089" s="3"/>
      <c r="K1089" s="3">
        <v>37.299999999999997</v>
      </c>
      <c r="L1089" s="3"/>
      <c r="M1089" s="3"/>
      <c r="N1089" s="3">
        <v>126.8</v>
      </c>
      <c r="O1089" s="3"/>
      <c r="P1089" s="3"/>
      <c r="Q1089" s="3">
        <v>0.34</v>
      </c>
      <c r="R1089" s="3">
        <v>0</v>
      </c>
      <c r="S1089" s="3">
        <v>0.8</v>
      </c>
      <c r="T1089" s="3">
        <v>13.8</v>
      </c>
      <c r="U1089" s="3">
        <v>48.6</v>
      </c>
      <c r="V1089" s="3">
        <v>976.6</v>
      </c>
      <c r="W1089" s="3">
        <v>0</v>
      </c>
      <c r="X1089" s="3">
        <v>47.6</v>
      </c>
      <c r="Y1089" s="3">
        <v>47</v>
      </c>
      <c r="Z1089" s="3">
        <v>46.1</v>
      </c>
      <c r="AA1089" s="3">
        <v>41.8</v>
      </c>
      <c r="AB1089" s="3">
        <v>37.5</v>
      </c>
      <c r="AC1089" s="3">
        <v>35.799999999999997</v>
      </c>
      <c r="AD1089" s="3">
        <v>40</v>
      </c>
      <c r="AE1089" s="3">
        <v>42.1</v>
      </c>
      <c r="AF1089" s="3">
        <v>42.7</v>
      </c>
      <c r="AG1089" s="3">
        <v>36.299999999999997</v>
      </c>
      <c r="AH1089" s="3">
        <v>38.1</v>
      </c>
      <c r="AI1089" s="3">
        <v>37.1</v>
      </c>
      <c r="AJ1089" s="3">
        <v>36.4</v>
      </c>
      <c r="AK1089" s="3">
        <v>34.200000000000003</v>
      </c>
      <c r="AL1089" s="3">
        <v>31.6</v>
      </c>
      <c r="AM1089" s="3">
        <v>30.9</v>
      </c>
      <c r="AN1089" s="3">
        <v>29</v>
      </c>
      <c r="AO1089" s="3">
        <v>25.4</v>
      </c>
      <c r="AP1089" s="3">
        <v>23.3</v>
      </c>
      <c r="AQ1089" s="3">
        <v>20.6</v>
      </c>
      <c r="AR1089" s="3">
        <v>17.3</v>
      </c>
      <c r="AS1089" s="3">
        <v>15.9</v>
      </c>
      <c r="AT1089" s="3">
        <v>22.3</v>
      </c>
      <c r="AU1089" s="3">
        <v>9.9</v>
      </c>
      <c r="AV1089" s="3">
        <v>8.9</v>
      </c>
      <c r="AW1089" s="3">
        <v>9</v>
      </c>
      <c r="AX1089" s="3">
        <v>8.9</v>
      </c>
      <c r="AY1089" s="3">
        <v>9.1</v>
      </c>
      <c r="AZ1089" s="3">
        <v>0</v>
      </c>
      <c r="BA1089" s="3">
        <v>0</v>
      </c>
      <c r="BB1089" s="3">
        <v>0</v>
      </c>
      <c r="BC1089" s="3">
        <v>38.593019030562445</v>
      </c>
      <c r="BD1089" s="3">
        <v>47.606980969437558</v>
      </c>
      <c r="BE1089" s="3">
        <v>47.006980969437549</v>
      </c>
      <c r="BF1089" s="3">
        <v>44.866980969437563</v>
      </c>
      <c r="BG1089" s="3">
        <v>40.89364763610422</v>
      </c>
      <c r="BH1089" s="3">
        <v>36.733647636104223</v>
      </c>
      <c r="BI1089" s="3">
        <v>35.446980969437547</v>
      </c>
      <c r="BJ1089" s="3">
        <v>40.440314302770886</v>
      </c>
      <c r="BK1089" s="3">
        <v>42.413647636104216</v>
      </c>
      <c r="BL1089" s="3">
        <v>42.586980969437562</v>
      </c>
      <c r="BM1089" s="3">
        <v>36.320314302770882</v>
      </c>
      <c r="BN1089" s="3">
        <v>38.403647636104225</v>
      </c>
      <c r="BO1089" s="3">
        <v>36.770314302770899</v>
      </c>
      <c r="BP1089" s="3">
        <v>35.78698096943755</v>
      </c>
      <c r="BQ1089" s="3">
        <v>34.003647636104219</v>
      </c>
      <c r="BR1089" s="3">
        <v>31.730314302770893</v>
      </c>
      <c r="BS1089" s="3">
        <v>30.833647636104217</v>
      </c>
      <c r="BT1089" s="3">
        <v>29.130314302770884</v>
      </c>
      <c r="BU1089" s="3">
        <v>25.496980969437558</v>
      </c>
      <c r="BV1089" s="3">
        <v>23.113647636104226</v>
      </c>
      <c r="BW1089" s="3">
        <v>20.946980969437561</v>
      </c>
      <c r="BX1089" s="3">
        <v>17.566980969437566</v>
      </c>
      <c r="BY1089" s="3">
        <v>15.986980969437553</v>
      </c>
      <c r="BZ1089" s="3">
        <v>22.516980969437562</v>
      </c>
      <c r="CA1089" s="3">
        <v>10.21698096943755</v>
      </c>
      <c r="CB1089" s="3">
        <v>8.6536476361042247</v>
      </c>
      <c r="CC1089" s="3">
        <v>8.9669809694375573</v>
      </c>
      <c r="CD1089" s="3">
        <v>8.1736476361042278</v>
      </c>
      <c r="CE1089" s="3">
        <v>8.5669809694375516</v>
      </c>
      <c r="CF1089" s="3">
        <v>-0.91968569722911298</v>
      </c>
      <c r="CG1089" s="3">
        <v>-1.4530190305624444</v>
      </c>
      <c r="CH1089" s="3">
        <v>-2.5296856972291124</v>
      </c>
      <c r="CI1089" s="13">
        <f>[1]!dbasum(RecData[[#This Row],[20]:[2000]],RecData[[#Headers],[20]:[2000]])</f>
        <v>38.319913910787477</v>
      </c>
      <c r="CJ1089" s="14">
        <v>10672</v>
      </c>
      <c r="CK1089" s="15" t="s">
        <v>249</v>
      </c>
      <c r="CL1089" s="15">
        <f>RecData[[#This Row],[Start Time]]</f>
        <v>43275.965972222228</v>
      </c>
      <c r="CM1089" s="16">
        <f>RecData[[#This Row],[Wind Speed avg]]</f>
        <v>0.34</v>
      </c>
      <c r="CN1089" s="16">
        <f>RecData[[#This Row],[Wind Dir. avg]]</f>
        <v>126.8</v>
      </c>
      <c r="CO1089" s="16">
        <f>RecData[[#This Row],[Amb. Humidity]]</f>
        <v>48.6</v>
      </c>
      <c r="CP1089" s="16">
        <f>RecData[[#This Row],[Amb. Temperature]]</f>
        <v>13.8</v>
      </c>
      <c r="CQ1089" s="17">
        <f>RecData[[#This Row],[Amb. Rain Gauge]]</f>
        <v>0</v>
      </c>
      <c r="CR1089" s="4" t="s">
        <v>1</v>
      </c>
      <c r="CS1089" s="4" t="s">
        <v>49</v>
      </c>
      <c r="CT1089" s="70">
        <v>1569.8134765625</v>
      </c>
      <c r="CU1089" s="70">
        <v>21.000175476074201</v>
      </c>
      <c r="CV1089" s="70">
        <v>10.155972480773899</v>
      </c>
      <c r="CW1089" s="70">
        <v>15.2293901443481</v>
      </c>
      <c r="CX1089" s="4"/>
      <c r="CY1089" s="69"/>
      <c r="CZ1089" s="2" t="b">
        <f>IF($DP$1="YES",IF(RecData[[#This Row],[Power (kW)]]&gt;=$CR$3, TRUE,FALSE),TRUE)</f>
        <v>1</v>
      </c>
      <c r="DA1089" s="16">
        <f>MIN(MOD(180-ABS(ABS($DA$1-RecData[Yaw Angle (°)])-180),360),MOD(180-ABS(ABS($DB$1-RecData[Yaw Angle (°)])-180),360))</f>
        <v>13.470248698386655</v>
      </c>
      <c r="DB1089" s="2" t="str">
        <f>IF($DP$2="None","None",IF(RecData[[#This Row],[Relative Wind Direction]]&lt;=45,"DW",IF(RecData[[#This Row],[Relative Wind Direction]]&lt;=135,"CW","UW")))</f>
        <v>DW</v>
      </c>
      <c r="DC1089" s="61" t="e">
        <f>IF($CL1089-$CL1085&gt;1/24,#REF!,IF(SUM($CQ1085:$CQ1089)&gt;$DS$1,$DS$5,DC1090-1))</f>
        <v>#REF!</v>
      </c>
      <c r="DD1089" s="61">
        <f>IF($CL1090-$CL1089&gt;1/24,#REF!,IF(SUM($CQ1085:$CQ1089)&gt;$DS$1,$DS$6,DD1088-1))</f>
        <v>-7</v>
      </c>
      <c r="DE1089" s="18" t="b">
        <v>0</v>
      </c>
      <c r="DF1089" s="2" t="b">
        <f>IF(OR(RecData[[#This Row],[WSpd_Avg '[m/s']]]-RecData[[#This Row],[Wind Speed min]]&gt;=$DF$3,RecData[[#This Row],[Wind Speed max]]-RecData[[#This Row],[WSpd_Avg '[m/s']]]&gt;=$DF$2),TRUE,FALSE)</f>
        <v>0</v>
      </c>
      <c r="DG1089" s="2" t="b">
        <f>RecData[[#This Row],[Temperature '[°C']]]&lt;=-20</f>
        <v>0</v>
      </c>
      <c r="DH1089" s="18" t="b">
        <f>NOT(OR(MOD(RecData[[#This Row],[TIMESTAMP]],1)&gt;0.91632,MOD(RecData[[#This Row],[TIMESTAMP]],1)&lt;0.208681))</f>
        <v>0</v>
      </c>
      <c r="DI1089" s="18" t="b">
        <f>RecData[[#This Row],[Overall (dBA)]]-RecData[[#This Row],[L90]]&gt;=$DS$4</f>
        <v>0</v>
      </c>
      <c r="DJ1089" s="18" t="b">
        <f>RecData[[#This Row],[Overall (dBA)]]&gt;$DS$2</f>
        <v>0</v>
      </c>
      <c r="DK1089" s="18" t="b">
        <f>RecData[[#This Row],[Overall (dBA)]]&lt;$DS$3</f>
        <v>0</v>
      </c>
      <c r="DL10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89" s="2">
        <f>IF(AND(RecData[[#This Row],[Turbines ON/OFF]] = "OFF", NOT(OR(RecData[[#This Row],[Junk?]]="YES",RecData[[#This Row],[Gust?]],RecData[[#This Row],[Rain?]:[Min SPL Threshold?]]))),1,0)</f>
        <v>0</v>
      </c>
      <c r="DN1089" s="16">
        <f>RecData[[#This Row],[dBA Sum]]</f>
        <v>38.319913910787477</v>
      </c>
      <c r="DO1089" s="16">
        <f>RecData[[#This Row],[LAF90.0]]</f>
        <v>37.299999999999997</v>
      </c>
      <c r="DP1089" s="55">
        <f>IF(AND(RecData[[#This Row],[Useable TON Data?]],RecData[[#This Row],[Turbines ON/OFF]]="ON"),RecData[[#This Row],[dBA Sum]],"")</f>
        <v>38.319913910787477</v>
      </c>
      <c r="DQ1089" s="55" t="str">
        <f>IF(AND(RecData[[#This Row],[Useable Background Data?]],RecData[[#This Row],[Turbines ON/OFF]]="OFF"),RecData[[#This Row],[dBA Sum]],"")</f>
        <v/>
      </c>
      <c r="DR1089" s="3">
        <f>IF(OR(RecData[[#This Row],[Useable TON Data?]],RecData[[#This Row],[Useable Background Data?]]),ROUND(RecData[[#This Row],[WSpd_Avg '[m/s']]],0),"")</f>
        <v>0</v>
      </c>
      <c r="DS1089" s="85">
        <f>(0.00002)^2*(10^(RecData[[#This Row],[Overall (dBA)]]/10))</f>
        <v>2.7167606762027738E-6</v>
      </c>
    </row>
    <row r="1090" spans="1:123" ht="15" x14ac:dyDescent="0.25">
      <c r="A1090" s="3" t="s">
        <v>249</v>
      </c>
      <c r="B1090" s="12">
        <v>43275.966666666667</v>
      </c>
      <c r="C1090" s="3"/>
      <c r="D1090" s="3">
        <v>39.700000000000003</v>
      </c>
      <c r="E1090" s="3"/>
      <c r="F1090" s="3"/>
      <c r="G1090" s="3"/>
      <c r="H1090" s="3"/>
      <c r="I1090" s="3"/>
      <c r="J1090" s="3"/>
      <c r="K1090" s="3">
        <v>38.200000000000003</v>
      </c>
      <c r="L1090" s="3"/>
      <c r="M1090" s="3"/>
      <c r="N1090" s="3">
        <v>189.9</v>
      </c>
      <c r="O1090" s="3"/>
      <c r="P1090" s="3"/>
      <c r="Q1090" s="3">
        <v>0.68</v>
      </c>
      <c r="R1090" s="3">
        <v>0.2</v>
      </c>
      <c r="S1090" s="3">
        <v>1.2</v>
      </c>
      <c r="T1090" s="3">
        <v>13.7</v>
      </c>
      <c r="U1090" s="3">
        <v>46.5</v>
      </c>
      <c r="V1090" s="3">
        <v>976.6</v>
      </c>
      <c r="W1090" s="3">
        <v>0</v>
      </c>
      <c r="X1090" s="3">
        <v>47.7</v>
      </c>
      <c r="Y1090" s="3">
        <v>47.1</v>
      </c>
      <c r="Z1090" s="3">
        <v>46.7</v>
      </c>
      <c r="AA1090" s="3">
        <v>42.3</v>
      </c>
      <c r="AB1090" s="3">
        <v>37.299999999999997</v>
      </c>
      <c r="AC1090" s="3">
        <v>37.6</v>
      </c>
      <c r="AD1090" s="3">
        <v>41.4</v>
      </c>
      <c r="AE1090" s="3">
        <v>43.4</v>
      </c>
      <c r="AF1090" s="3">
        <v>44.4</v>
      </c>
      <c r="AG1090" s="3">
        <v>37.4</v>
      </c>
      <c r="AH1090" s="3">
        <v>39.9</v>
      </c>
      <c r="AI1090" s="3">
        <v>38</v>
      </c>
      <c r="AJ1090" s="3">
        <v>37.5</v>
      </c>
      <c r="AK1090" s="3">
        <v>35.299999999999997</v>
      </c>
      <c r="AL1090" s="3">
        <v>32.799999999999997</v>
      </c>
      <c r="AM1090" s="3">
        <v>32.1</v>
      </c>
      <c r="AN1090" s="3">
        <v>30.2</v>
      </c>
      <c r="AO1090" s="3">
        <v>26.3</v>
      </c>
      <c r="AP1090" s="3">
        <v>24</v>
      </c>
      <c r="AQ1090" s="3">
        <v>21</v>
      </c>
      <c r="AR1090" s="3">
        <v>17.5</v>
      </c>
      <c r="AS1090" s="3">
        <v>16.100000000000001</v>
      </c>
      <c r="AT1090" s="3">
        <v>20.100000000000001</v>
      </c>
      <c r="AU1090" s="3">
        <v>10.199999999999999</v>
      </c>
      <c r="AV1090" s="3">
        <v>8.9</v>
      </c>
      <c r="AW1090" s="3">
        <v>9</v>
      </c>
      <c r="AX1090" s="3">
        <v>8.9</v>
      </c>
      <c r="AY1090" s="3">
        <v>9.1</v>
      </c>
      <c r="AZ1090" s="3">
        <v>0</v>
      </c>
      <c r="BA1090" s="3">
        <v>0</v>
      </c>
      <c r="BB1090" s="3">
        <v>0</v>
      </c>
      <c r="BC1090" s="3">
        <v>39.681512499070585</v>
      </c>
      <c r="BD1090" s="3">
        <v>47.71848750092942</v>
      </c>
      <c r="BE1090" s="3">
        <v>47.118487500929426</v>
      </c>
      <c r="BF1090" s="3">
        <v>45.478487500929411</v>
      </c>
      <c r="BG1090" s="3">
        <v>41.405154167596088</v>
      </c>
      <c r="BH1090" s="3">
        <v>36.545154167596074</v>
      </c>
      <c r="BI1090" s="3">
        <v>37.258487500929412</v>
      </c>
      <c r="BJ1090" s="3">
        <v>41.851820834262746</v>
      </c>
      <c r="BK1090" s="3">
        <v>43.725154167596081</v>
      </c>
      <c r="BL1090" s="3">
        <v>44.298487500929419</v>
      </c>
      <c r="BM1090" s="3">
        <v>37.431820834262759</v>
      </c>
      <c r="BN1090" s="3">
        <v>40.21515416759609</v>
      </c>
      <c r="BO1090" s="3">
        <v>37.681820834262759</v>
      </c>
      <c r="BP1090" s="3">
        <v>36.898487500929427</v>
      </c>
      <c r="BQ1090" s="3">
        <v>35.115154167596067</v>
      </c>
      <c r="BR1090" s="3">
        <v>32.941820834262749</v>
      </c>
      <c r="BS1090" s="3">
        <v>32.045154167596088</v>
      </c>
      <c r="BT1090" s="3">
        <v>30.341820834262755</v>
      </c>
      <c r="BU1090" s="3">
        <v>26.408487500929418</v>
      </c>
      <c r="BV1090" s="3">
        <v>23.825154167596089</v>
      </c>
      <c r="BW1090" s="3">
        <v>21.358487500929421</v>
      </c>
      <c r="BX1090" s="3">
        <v>17.778487500929423</v>
      </c>
      <c r="BY1090" s="3">
        <v>16.198487500929417</v>
      </c>
      <c r="BZ1090" s="3">
        <v>20.32848750092942</v>
      </c>
      <c r="CA1090" s="3">
        <v>10.528487500929408</v>
      </c>
      <c r="CB1090" s="3">
        <v>8.6651541675960786</v>
      </c>
      <c r="CC1090" s="3">
        <v>8.9784875009294183</v>
      </c>
      <c r="CD1090" s="3">
        <v>8.1851541675960888</v>
      </c>
      <c r="CE1090" s="3">
        <v>8.5784875009294197</v>
      </c>
      <c r="CF1090" s="3">
        <v>-0.90817916573725199</v>
      </c>
      <c r="CG1090" s="3">
        <v>-1.4415124990705834</v>
      </c>
      <c r="CH1090" s="3">
        <v>-2.5181791657372514</v>
      </c>
      <c r="CI1090" s="13">
        <f>[1]!dbasum(RecData[[#This Row],[20]:[2000]],RecData[[#Headers],[20]:[2000]])</f>
        <v>39.510749343209717</v>
      </c>
      <c r="CJ1090" s="14">
        <v>10673</v>
      </c>
      <c r="CK1090" s="15" t="s">
        <v>249</v>
      </c>
      <c r="CL1090" s="15">
        <f>RecData[[#This Row],[Start Time]]</f>
        <v>43275.966666666667</v>
      </c>
      <c r="CM1090" s="16">
        <f>RecData[[#This Row],[Wind Speed avg]]</f>
        <v>0.68</v>
      </c>
      <c r="CN1090" s="16">
        <f>RecData[[#This Row],[Wind Dir. avg]]</f>
        <v>189.9</v>
      </c>
      <c r="CO1090" s="16">
        <f>RecData[[#This Row],[Amb. Humidity]]</f>
        <v>46.5</v>
      </c>
      <c r="CP1090" s="16">
        <f>RecData[[#This Row],[Amb. Temperature]]</f>
        <v>13.7</v>
      </c>
      <c r="CQ1090" s="17">
        <f>RecData[[#This Row],[Amb. Rain Gauge]]</f>
        <v>0</v>
      </c>
      <c r="CR1090" s="4" t="s">
        <v>1</v>
      </c>
      <c r="CS1090" s="4" t="s">
        <v>49</v>
      </c>
      <c r="CT1090" s="70">
        <v>1569.8134765625</v>
      </c>
      <c r="CU1090" s="70">
        <v>21.000175476074201</v>
      </c>
      <c r="CV1090" s="70">
        <v>10.155972480773899</v>
      </c>
      <c r="CW1090" s="70">
        <v>15.2293901443481</v>
      </c>
      <c r="CX1090" s="4"/>
      <c r="CY1090" s="69"/>
      <c r="CZ1090" s="2" t="b">
        <f>IF($DP$1="YES",IF(RecData[[#This Row],[Power (kW)]]&gt;=$CR$3, TRUE,FALSE),TRUE)</f>
        <v>1</v>
      </c>
      <c r="DA1090" s="16">
        <f>MIN(MOD(180-ABS(ABS($DA$1-RecData[Yaw Angle (°)])-180),360),MOD(180-ABS(ABS($DB$1-RecData[Yaw Angle (°)])-180),360))</f>
        <v>13.470248698386655</v>
      </c>
      <c r="DB1090" s="2" t="str">
        <f>IF($DP$2="None","None",IF(RecData[[#This Row],[Relative Wind Direction]]&lt;=45,"DW",IF(RecData[[#This Row],[Relative Wind Direction]]&lt;=135,"CW","UW")))</f>
        <v>DW</v>
      </c>
      <c r="DC1090" s="61" t="e">
        <f>IF($CL1090-$CL1086&gt;1/24,#REF!,IF(SUM($CQ1086:$CQ1090)&gt;$DS$1,$DS$5,#REF!-1))</f>
        <v>#REF!</v>
      </c>
      <c r="DD1090" s="61" t="e">
        <f>IF(#REF!-$CL1090&gt;1/24,#REF!,IF(SUM($CQ1086:$CQ1090)&gt;$DS$1,$DS$6,DD1089-1))</f>
        <v>#REF!</v>
      </c>
      <c r="DE1090" s="18" t="b">
        <v>0</v>
      </c>
      <c r="DF1090" s="2" t="b">
        <f>IF(OR(RecData[[#This Row],[WSpd_Avg '[m/s']]]-RecData[[#This Row],[Wind Speed min]]&gt;=$DF$3,RecData[[#This Row],[Wind Speed max]]-RecData[[#This Row],[WSpd_Avg '[m/s']]]&gt;=$DF$2),TRUE,FALSE)</f>
        <v>0</v>
      </c>
      <c r="DG1090" s="2" t="b">
        <f>RecData[[#This Row],[Temperature '[°C']]]&lt;=-20</f>
        <v>0</v>
      </c>
      <c r="DH1090" s="18" t="b">
        <f>NOT(OR(MOD(RecData[[#This Row],[TIMESTAMP]],1)&gt;0.91632,MOD(RecData[[#This Row],[TIMESTAMP]],1)&lt;0.208681))</f>
        <v>0</v>
      </c>
      <c r="DI1090" s="18" t="b">
        <f>RecData[[#This Row],[Overall (dBA)]]-RecData[[#This Row],[L90]]&gt;=$DS$4</f>
        <v>0</v>
      </c>
      <c r="DJ1090" s="18" t="b">
        <f>RecData[[#This Row],[Overall (dBA)]]&gt;$DS$2</f>
        <v>0</v>
      </c>
      <c r="DK1090" s="18" t="b">
        <f>RecData[[#This Row],[Overall (dBA)]]&lt;$DS$3</f>
        <v>0</v>
      </c>
      <c r="DL10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0" s="2">
        <f>IF(AND(RecData[[#This Row],[Turbines ON/OFF]] = "OFF", NOT(OR(RecData[[#This Row],[Junk?]]="YES",RecData[[#This Row],[Gust?]],RecData[[#This Row],[Rain?]:[Min SPL Threshold?]]))),1,0)</f>
        <v>0</v>
      </c>
      <c r="DN1090" s="16">
        <f>RecData[[#This Row],[dBA Sum]]</f>
        <v>39.510749343209717</v>
      </c>
      <c r="DO1090" s="16">
        <f>RecData[[#This Row],[LAF90.0]]</f>
        <v>38.200000000000003</v>
      </c>
      <c r="DP1090" s="55">
        <f>IF(AND(RecData[[#This Row],[Useable TON Data?]],RecData[[#This Row],[Turbines ON/OFF]]="ON"),RecData[[#This Row],[dBA Sum]],"")</f>
        <v>39.510749343209717</v>
      </c>
      <c r="DQ1090" s="55" t="str">
        <f>IF(AND(RecData[[#This Row],[Useable Background Data?]],RecData[[#This Row],[Turbines ON/OFF]]="OFF"),RecData[[#This Row],[dBA Sum]],"")</f>
        <v/>
      </c>
      <c r="DR1090" s="3">
        <f>IF(OR(RecData[[#This Row],[Useable TON Data?]],RecData[[#This Row],[Useable Background Data?]]),ROUND(RecData[[#This Row],[WSpd_Avg '[m/s']]],0),"")</f>
        <v>1</v>
      </c>
      <c r="DS1090" s="85">
        <f>(0.00002)^2*(10^(RecData[[#This Row],[Overall (dBA)]]/10))</f>
        <v>3.5738385213085807E-6</v>
      </c>
    </row>
    <row r="1091" spans="1:123" ht="15" x14ac:dyDescent="0.25">
      <c r="A1091" s="3" t="s">
        <v>249</v>
      </c>
      <c r="B1091" s="12">
        <v>43275.968055555561</v>
      </c>
      <c r="C1091" s="3"/>
      <c r="D1091" s="3">
        <v>40</v>
      </c>
      <c r="E1091" s="3"/>
      <c r="F1091" s="3"/>
      <c r="G1091" s="3"/>
      <c r="H1091" s="3"/>
      <c r="I1091" s="3"/>
      <c r="J1091" s="3"/>
      <c r="K1091" s="3">
        <v>38.4</v>
      </c>
      <c r="L1091" s="3"/>
      <c r="M1091" s="3"/>
      <c r="N1091" s="3">
        <v>78.5</v>
      </c>
      <c r="O1091" s="3"/>
      <c r="P1091" s="3"/>
      <c r="Q1091" s="3">
        <v>1.29</v>
      </c>
      <c r="R1091" s="3">
        <v>0.3</v>
      </c>
      <c r="S1091" s="3">
        <v>2.2000000000000002</v>
      </c>
      <c r="T1091" s="3">
        <v>13.7</v>
      </c>
      <c r="U1091" s="3">
        <v>45.6</v>
      </c>
      <c r="V1091" s="3">
        <v>976.6</v>
      </c>
      <c r="W1091" s="3">
        <v>0</v>
      </c>
      <c r="X1091" s="3">
        <v>47.8</v>
      </c>
      <c r="Y1091" s="3">
        <v>47.3</v>
      </c>
      <c r="Z1091" s="3">
        <v>47.2</v>
      </c>
      <c r="AA1091" s="3">
        <v>42.1</v>
      </c>
      <c r="AB1091" s="3">
        <v>36.799999999999997</v>
      </c>
      <c r="AC1091" s="3">
        <v>36.4</v>
      </c>
      <c r="AD1091" s="3">
        <v>39.799999999999997</v>
      </c>
      <c r="AE1091" s="3">
        <v>41.8</v>
      </c>
      <c r="AF1091" s="3">
        <v>45</v>
      </c>
      <c r="AG1091" s="3">
        <v>38.5</v>
      </c>
      <c r="AH1091" s="3">
        <v>38.6</v>
      </c>
      <c r="AI1091" s="3">
        <v>38.200000000000003</v>
      </c>
      <c r="AJ1091" s="3">
        <v>37</v>
      </c>
      <c r="AK1091" s="3">
        <v>35.4</v>
      </c>
      <c r="AL1091" s="3">
        <v>33.4</v>
      </c>
      <c r="AM1091" s="3">
        <v>32.9</v>
      </c>
      <c r="AN1091" s="3">
        <v>30.9</v>
      </c>
      <c r="AO1091" s="3">
        <v>27.1</v>
      </c>
      <c r="AP1091" s="3">
        <v>24.9</v>
      </c>
      <c r="AQ1091" s="3">
        <v>22.9</v>
      </c>
      <c r="AR1091" s="3">
        <v>20.8</v>
      </c>
      <c r="AS1091" s="3">
        <v>19.8</v>
      </c>
      <c r="AT1091" s="3">
        <v>20.3</v>
      </c>
      <c r="AU1091" s="3">
        <v>15.9</v>
      </c>
      <c r="AV1091" s="3">
        <v>14.4</v>
      </c>
      <c r="AW1091" s="3">
        <v>13.7</v>
      </c>
      <c r="AX1091" s="3">
        <v>10.8</v>
      </c>
      <c r="AY1091" s="3">
        <v>10.199999999999999</v>
      </c>
      <c r="AZ1091" s="3">
        <v>0</v>
      </c>
      <c r="BA1091" s="3">
        <v>0</v>
      </c>
      <c r="BB1091" s="3">
        <v>0</v>
      </c>
      <c r="BC1091" s="3">
        <v>40.025993037456374</v>
      </c>
      <c r="BD1091" s="3">
        <v>47.774006962543623</v>
      </c>
      <c r="BE1091" s="3">
        <v>47.274006962543623</v>
      </c>
      <c r="BF1091" s="3">
        <v>45.934006962543634</v>
      </c>
      <c r="BG1091" s="3">
        <v>41.160673629210294</v>
      </c>
      <c r="BH1091" s="3">
        <v>36.000673629210297</v>
      </c>
      <c r="BI1091" s="3">
        <v>36.014006962543618</v>
      </c>
      <c r="BJ1091" s="3">
        <v>40.207340295876946</v>
      </c>
      <c r="BK1091" s="3">
        <v>42.080673629210281</v>
      </c>
      <c r="BL1091" s="3">
        <v>44.854006962543622</v>
      </c>
      <c r="BM1091" s="3">
        <v>38.487340295876962</v>
      </c>
      <c r="BN1091" s="3">
        <v>38.870673629210302</v>
      </c>
      <c r="BO1091" s="3">
        <v>37.83734029587697</v>
      </c>
      <c r="BP1091" s="3">
        <v>36.354006962543622</v>
      </c>
      <c r="BQ1091" s="3">
        <v>35.170673629210285</v>
      </c>
      <c r="BR1091" s="3">
        <v>33.497340295876967</v>
      </c>
      <c r="BS1091" s="3">
        <v>32.800673629210294</v>
      </c>
      <c r="BT1091" s="3">
        <v>30.997340295876967</v>
      </c>
      <c r="BU1091" s="3">
        <v>27.164006962543624</v>
      </c>
      <c r="BV1091" s="3">
        <v>24.68067362921029</v>
      </c>
      <c r="BW1091" s="3">
        <v>23.214006962543628</v>
      </c>
      <c r="BX1091" s="3">
        <v>21.034006962543629</v>
      </c>
      <c r="BY1091" s="3">
        <v>19.854006962543622</v>
      </c>
      <c r="BZ1091" s="3">
        <v>20.484006962543631</v>
      </c>
      <c r="CA1091" s="3">
        <v>16.18400696254362</v>
      </c>
      <c r="CB1091" s="3">
        <v>14.120673629210287</v>
      </c>
      <c r="CC1091" s="3">
        <v>13.634006962543623</v>
      </c>
      <c r="CD1091" s="3">
        <v>10.040673629210296</v>
      </c>
      <c r="CE1091" s="3">
        <v>9.6340069625436229</v>
      </c>
      <c r="CF1091" s="3">
        <v>-0.95265970412304313</v>
      </c>
      <c r="CG1091" s="3">
        <v>-1.4859930374563746</v>
      </c>
      <c r="CH1091" s="3">
        <v>-2.5626597041230426</v>
      </c>
      <c r="CI1091" s="13">
        <f>[1]!dbasum(RecData[[#This Row],[20]:[2000]],RecData[[#Headers],[20]:[2000]])</f>
        <v>39.755973295627641</v>
      </c>
      <c r="CJ1091" s="14">
        <v>10675</v>
      </c>
      <c r="CK1091" s="15" t="s">
        <v>249</v>
      </c>
      <c r="CL1091" s="15">
        <f>RecData[[#This Row],[Start Time]]</f>
        <v>43275.968055555561</v>
      </c>
      <c r="CM1091" s="16">
        <f>RecData[[#This Row],[Wind Speed avg]]</f>
        <v>1.29</v>
      </c>
      <c r="CN1091" s="16">
        <f>RecData[[#This Row],[Wind Dir. avg]]</f>
        <v>78.5</v>
      </c>
      <c r="CO1091" s="16">
        <f>RecData[[#This Row],[Amb. Humidity]]</f>
        <v>45.6</v>
      </c>
      <c r="CP1091" s="16">
        <f>RecData[[#This Row],[Amb. Temperature]]</f>
        <v>13.7</v>
      </c>
      <c r="CQ1091" s="17">
        <f>RecData[[#This Row],[Amb. Rain Gauge]]</f>
        <v>0</v>
      </c>
      <c r="CR1091" s="4" t="s">
        <v>1</v>
      </c>
      <c r="CS1091" s="4" t="s">
        <v>49</v>
      </c>
      <c r="CT1091" s="70">
        <v>1569.8134765625</v>
      </c>
      <c r="CU1091" s="70">
        <v>21.000175476074201</v>
      </c>
      <c r="CV1091" s="70">
        <v>10.155972480773899</v>
      </c>
      <c r="CW1091" s="70">
        <v>15.2293901443481</v>
      </c>
      <c r="CX1091" s="4"/>
      <c r="CY1091" s="69"/>
      <c r="CZ1091" s="2" t="b">
        <f>IF($DP$1="YES",IF(RecData[[#This Row],[Power (kW)]]&gt;=$CR$3, TRUE,FALSE),TRUE)</f>
        <v>1</v>
      </c>
      <c r="DA1091" s="16">
        <f>MIN(MOD(180-ABS(ABS($DA$1-RecData[Yaw Angle (°)])-180),360),MOD(180-ABS(ABS($DB$1-RecData[Yaw Angle (°)])-180),360))</f>
        <v>13.470248698386655</v>
      </c>
      <c r="DB1091" s="2" t="str">
        <f>IF($DP$2="None","None",IF(RecData[[#This Row],[Relative Wind Direction]]&lt;=45,"DW",IF(RecData[[#This Row],[Relative Wind Direction]]&lt;=135,"CW","UW")))</f>
        <v>DW</v>
      </c>
      <c r="DC1091" s="61">
        <v>-1</v>
      </c>
      <c r="DD1091" s="61">
        <v>-1</v>
      </c>
      <c r="DE1091" s="18" t="b">
        <v>0</v>
      </c>
      <c r="DF1091" s="2" t="b">
        <f>IF(OR(RecData[[#This Row],[WSpd_Avg '[m/s']]]-RecData[[#This Row],[Wind Speed min]]&gt;=$DF$3,RecData[[#This Row],[Wind Speed max]]-RecData[[#This Row],[WSpd_Avg '[m/s']]]&gt;=$DF$2),TRUE,FALSE)</f>
        <v>0</v>
      </c>
      <c r="DG1091" s="2" t="b">
        <f>RecData[[#This Row],[Temperature '[°C']]]&lt;=-20</f>
        <v>0</v>
      </c>
      <c r="DH1091" s="18" t="b">
        <f>NOT(OR(MOD(RecData[[#This Row],[TIMESTAMP]],1)&gt;0.91632,MOD(RecData[[#This Row],[TIMESTAMP]],1)&lt;0.208681))</f>
        <v>0</v>
      </c>
      <c r="DI1091" s="18" t="b">
        <f>RecData[[#This Row],[Overall (dBA)]]-RecData[[#This Row],[L90]]&gt;=$DS$4</f>
        <v>0</v>
      </c>
      <c r="DJ1091" s="18" t="b">
        <f>RecData[[#This Row],[Overall (dBA)]]&gt;$DS$2</f>
        <v>0</v>
      </c>
      <c r="DK1091" s="18" t="b">
        <f>RecData[[#This Row],[Overall (dBA)]]&lt;$DS$3</f>
        <v>0</v>
      </c>
      <c r="DL10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1" s="2">
        <f>IF(AND(RecData[[#This Row],[Turbines ON/OFF]] = "OFF", NOT(OR(RecData[[#This Row],[Junk?]]="YES",RecData[[#This Row],[Gust?]],RecData[[#This Row],[Rain?]:[Min SPL Threshold?]]))),1,0)</f>
        <v>0</v>
      </c>
      <c r="DN1091" s="16">
        <f>RecData[[#This Row],[dBA Sum]]</f>
        <v>39.755973295627641</v>
      </c>
      <c r="DO1091" s="16">
        <f>RecData[[#This Row],[LAF90.0]]</f>
        <v>38.4</v>
      </c>
      <c r="DP1091" s="55">
        <f>IF(AND(RecData[[#This Row],[Useable TON Data?]],RecData[[#This Row],[Turbines ON/OFF]]="ON"),RecData[[#This Row],[dBA Sum]],"")</f>
        <v>39.755973295627641</v>
      </c>
      <c r="DQ1091" s="55" t="str">
        <f>IF(AND(RecData[[#This Row],[Useable Background Data?]],RecData[[#This Row],[Turbines ON/OFF]]="OFF"),RecData[[#This Row],[dBA Sum]],"")</f>
        <v/>
      </c>
      <c r="DR1091" s="3">
        <f>IF(OR(RecData[[#This Row],[Useable TON Data?]],RecData[[#This Row],[Useable Background Data?]]),ROUND(RecData[[#This Row],[WSpd_Avg '[m/s']]],0),"")</f>
        <v>1</v>
      </c>
      <c r="DS1091" s="85">
        <f>(0.00002)^2*(10^(RecData[[#This Row],[Overall (dBA)]]/10))</f>
        <v>3.7814409320243096E-6</v>
      </c>
    </row>
    <row r="1092" spans="1:123" ht="15" x14ac:dyDescent="0.25">
      <c r="A1092" s="3" t="s">
        <v>249</v>
      </c>
      <c r="B1092" s="12">
        <v>43275.96875</v>
      </c>
      <c r="C1092" s="3"/>
      <c r="D1092" s="3">
        <v>39</v>
      </c>
      <c r="E1092" s="3"/>
      <c r="F1092" s="3"/>
      <c r="G1092" s="3"/>
      <c r="H1092" s="3"/>
      <c r="I1092" s="3"/>
      <c r="J1092" s="3"/>
      <c r="K1092" s="3">
        <v>38</v>
      </c>
      <c r="L1092" s="3"/>
      <c r="M1092" s="3"/>
      <c r="N1092" s="3">
        <v>123.8</v>
      </c>
      <c r="O1092" s="3"/>
      <c r="P1092" s="3"/>
      <c r="Q1092" s="3">
        <v>0.71</v>
      </c>
      <c r="R1092" s="3">
        <v>0.1</v>
      </c>
      <c r="S1092" s="3">
        <v>1.9</v>
      </c>
      <c r="T1092" s="3">
        <v>13.8</v>
      </c>
      <c r="U1092" s="3">
        <v>45.6</v>
      </c>
      <c r="V1092" s="3">
        <v>976.6</v>
      </c>
      <c r="W1092" s="3">
        <v>0</v>
      </c>
      <c r="X1092" s="3">
        <v>47.7</v>
      </c>
      <c r="Y1092" s="3">
        <v>47.2</v>
      </c>
      <c r="Z1092" s="3">
        <v>47.1</v>
      </c>
      <c r="AA1092" s="3">
        <v>42.5</v>
      </c>
      <c r="AB1092" s="3">
        <v>37.700000000000003</v>
      </c>
      <c r="AC1092" s="3">
        <v>36.6</v>
      </c>
      <c r="AD1092" s="3">
        <v>39.799999999999997</v>
      </c>
      <c r="AE1092" s="3">
        <v>41.3</v>
      </c>
      <c r="AF1092" s="3">
        <v>44.3</v>
      </c>
      <c r="AG1092" s="3">
        <v>37.4</v>
      </c>
      <c r="AH1092" s="3">
        <v>37.6</v>
      </c>
      <c r="AI1092" s="3">
        <v>37.9</v>
      </c>
      <c r="AJ1092" s="3">
        <v>36.4</v>
      </c>
      <c r="AK1092" s="3">
        <v>34.799999999999997</v>
      </c>
      <c r="AL1092" s="3">
        <v>32.4</v>
      </c>
      <c r="AM1092" s="3">
        <v>31.6</v>
      </c>
      <c r="AN1092" s="3">
        <v>29.3</v>
      </c>
      <c r="AO1092" s="3">
        <v>25.9</v>
      </c>
      <c r="AP1092" s="3">
        <v>23.4</v>
      </c>
      <c r="AQ1092" s="3">
        <v>21.5</v>
      </c>
      <c r="AR1092" s="3">
        <v>19</v>
      </c>
      <c r="AS1092" s="3">
        <v>17.5</v>
      </c>
      <c r="AT1092" s="3">
        <v>17.100000000000001</v>
      </c>
      <c r="AU1092" s="3">
        <v>13.2</v>
      </c>
      <c r="AV1092" s="3">
        <v>11.7</v>
      </c>
      <c r="AW1092" s="3">
        <v>11.1</v>
      </c>
      <c r="AX1092" s="3">
        <v>9.4</v>
      </c>
      <c r="AY1092" s="3">
        <v>9.3000000000000007</v>
      </c>
      <c r="AZ1092" s="3">
        <v>0</v>
      </c>
      <c r="BA1092" s="3">
        <v>0</v>
      </c>
      <c r="BB1092" s="3">
        <v>0</v>
      </c>
      <c r="BC1092" s="3">
        <v>39.033585313346862</v>
      </c>
      <c r="BD1092" s="3">
        <v>47.666414686653141</v>
      </c>
      <c r="BE1092" s="3">
        <v>47.166414686653141</v>
      </c>
      <c r="BF1092" s="3">
        <v>45.826414686653138</v>
      </c>
      <c r="BG1092" s="3">
        <v>41.553081353319811</v>
      </c>
      <c r="BH1092" s="3">
        <v>36.893081353319815</v>
      </c>
      <c r="BI1092" s="3">
        <v>36.206414686653147</v>
      </c>
      <c r="BJ1092" s="3">
        <v>40.199748019986458</v>
      </c>
      <c r="BK1092" s="3">
        <v>41.573081353319793</v>
      </c>
      <c r="BL1092" s="3">
        <v>44.146414686653145</v>
      </c>
      <c r="BM1092" s="3">
        <v>37.379748019986465</v>
      </c>
      <c r="BN1092" s="3">
        <v>37.863081353319814</v>
      </c>
      <c r="BO1092" s="3">
        <v>37.529748019986471</v>
      </c>
      <c r="BP1092" s="3">
        <v>35.746414686653139</v>
      </c>
      <c r="BQ1092" s="3">
        <v>34.563081353319802</v>
      </c>
      <c r="BR1092" s="3">
        <v>32.489748019986479</v>
      </c>
      <c r="BS1092" s="3">
        <v>31.493081353319809</v>
      </c>
      <c r="BT1092" s="3">
        <v>29.38974801998647</v>
      </c>
      <c r="BU1092" s="3">
        <v>25.956414686653147</v>
      </c>
      <c r="BV1092" s="3">
        <v>23.173081353319802</v>
      </c>
      <c r="BW1092" s="3">
        <v>21.806414686653142</v>
      </c>
      <c r="BX1092" s="3">
        <v>19.226414686653143</v>
      </c>
      <c r="BY1092" s="3">
        <v>17.546414686653137</v>
      </c>
      <c r="BZ1092" s="3">
        <v>17.276414686653141</v>
      </c>
      <c r="CA1092" s="3">
        <v>13.476414686653129</v>
      </c>
      <c r="CB1092" s="3">
        <v>11.413081353319804</v>
      </c>
      <c r="CC1092" s="3">
        <v>11.026414686653141</v>
      </c>
      <c r="CD1092" s="3">
        <v>8.6330813533198096</v>
      </c>
      <c r="CE1092" s="3">
        <v>8.7264146866531362</v>
      </c>
      <c r="CF1092" s="3">
        <v>-0.96025198001353118</v>
      </c>
      <c r="CG1092" s="3">
        <v>-1.4935853133468626</v>
      </c>
      <c r="CH1092" s="3">
        <v>-2.5702519800135306</v>
      </c>
      <c r="CI1092" s="13">
        <f>[1]!dbasum(RecData[[#This Row],[20]:[2000]],RecData[[#Headers],[20]:[2000]])</f>
        <v>38.796180380758841</v>
      </c>
      <c r="CJ1092" s="14">
        <v>10676</v>
      </c>
      <c r="CK1092" s="15" t="s">
        <v>249</v>
      </c>
      <c r="CL1092" s="15">
        <f>RecData[[#This Row],[Start Time]]</f>
        <v>43275.96875</v>
      </c>
      <c r="CM1092" s="16">
        <f>RecData[[#This Row],[Wind Speed avg]]</f>
        <v>0.71</v>
      </c>
      <c r="CN1092" s="16">
        <f>RecData[[#This Row],[Wind Dir. avg]]</f>
        <v>123.8</v>
      </c>
      <c r="CO1092" s="16">
        <f>RecData[[#This Row],[Amb. Humidity]]</f>
        <v>45.6</v>
      </c>
      <c r="CP1092" s="16">
        <f>RecData[[#This Row],[Amb. Temperature]]</f>
        <v>13.8</v>
      </c>
      <c r="CQ1092" s="17">
        <f>RecData[[#This Row],[Amb. Rain Gauge]]</f>
        <v>0</v>
      </c>
      <c r="CR1092" s="4" t="s">
        <v>1</v>
      </c>
      <c r="CS1092" s="4" t="s">
        <v>49</v>
      </c>
      <c r="CT1092" s="70">
        <v>1569.8134765625</v>
      </c>
      <c r="CU1092" s="70">
        <v>21.000175476074201</v>
      </c>
      <c r="CV1092" s="70">
        <v>10.155972480773899</v>
      </c>
      <c r="CW1092" s="70">
        <v>15.2293901443481</v>
      </c>
      <c r="CX1092" s="4"/>
      <c r="CY1092" s="69"/>
      <c r="CZ1092" s="2" t="b">
        <f>IF($DP$1="YES",IF(RecData[[#This Row],[Power (kW)]]&gt;=$CR$3, TRUE,FALSE),TRUE)</f>
        <v>1</v>
      </c>
      <c r="DA1092" s="16">
        <f>MIN(MOD(180-ABS(ABS($DA$1-RecData[Yaw Angle (°)])-180),360),MOD(180-ABS(ABS($DB$1-RecData[Yaw Angle (°)])-180),360))</f>
        <v>13.470248698386655</v>
      </c>
      <c r="DB1092" s="2" t="str">
        <f>IF($DP$2="None","None",IF(RecData[[#This Row],[Relative Wind Direction]]&lt;=45,"DW",IF(RecData[[#This Row],[Relative Wind Direction]]&lt;=135,"CW","UW")))</f>
        <v>DW</v>
      </c>
      <c r="DC1092" s="61">
        <f>IF($CL1092-$CL1091&gt;1/24,#REF!,IF(SUM($CQ1091:$CQ1092)&gt;$DS$1,$DS$5,DC1093-1))</f>
        <v>-9</v>
      </c>
      <c r="DD1092" s="61">
        <f>IF($CL1093-$CL1092&gt;1/24,#REF!,IF(SUM($CQ1091:$CQ1092)&gt;$DS$1,$DS$6,DD1091-1))</f>
        <v>-2</v>
      </c>
      <c r="DE1092" s="18" t="b">
        <v>0</v>
      </c>
      <c r="DF1092" s="2" t="b">
        <f>IF(OR(RecData[[#This Row],[WSpd_Avg '[m/s']]]-RecData[[#This Row],[Wind Speed min]]&gt;=$DF$3,RecData[[#This Row],[Wind Speed max]]-RecData[[#This Row],[WSpd_Avg '[m/s']]]&gt;=$DF$2),TRUE,FALSE)</f>
        <v>0</v>
      </c>
      <c r="DG1092" s="2" t="b">
        <f>RecData[[#This Row],[Temperature '[°C']]]&lt;=-20</f>
        <v>0</v>
      </c>
      <c r="DH1092" s="18" t="b">
        <f>NOT(OR(MOD(RecData[[#This Row],[TIMESTAMP]],1)&gt;0.91632,MOD(RecData[[#This Row],[TIMESTAMP]],1)&lt;0.208681))</f>
        <v>0</v>
      </c>
      <c r="DI1092" s="18" t="b">
        <f>RecData[[#This Row],[Overall (dBA)]]-RecData[[#This Row],[L90]]&gt;=$DS$4</f>
        <v>0</v>
      </c>
      <c r="DJ1092" s="18" t="b">
        <f>RecData[[#This Row],[Overall (dBA)]]&gt;$DS$2</f>
        <v>0</v>
      </c>
      <c r="DK1092" s="18" t="b">
        <f>RecData[[#This Row],[Overall (dBA)]]&lt;$DS$3</f>
        <v>0</v>
      </c>
      <c r="DL10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2" s="2">
        <f>IF(AND(RecData[[#This Row],[Turbines ON/OFF]] = "OFF", NOT(OR(RecData[[#This Row],[Junk?]]="YES",RecData[[#This Row],[Gust?]],RecData[[#This Row],[Rain?]:[Min SPL Threshold?]]))),1,0)</f>
        <v>0</v>
      </c>
      <c r="DN1092" s="16">
        <f>RecData[[#This Row],[dBA Sum]]</f>
        <v>38.796180380758841</v>
      </c>
      <c r="DO1092" s="16">
        <f>RecData[[#This Row],[LAF90.0]]</f>
        <v>38</v>
      </c>
      <c r="DP1092" s="55">
        <f>IF(AND(RecData[[#This Row],[Useable TON Data?]],RecData[[#This Row],[Turbines ON/OFF]]="ON"),RecData[[#This Row],[dBA Sum]],"")</f>
        <v>38.796180380758841</v>
      </c>
      <c r="DQ1092" s="55" t="str">
        <f>IF(AND(RecData[[#This Row],[Useable Background Data?]],RecData[[#This Row],[Turbines ON/OFF]]="OFF"),RecData[[#This Row],[dBA Sum]],"")</f>
        <v/>
      </c>
      <c r="DR1092" s="3">
        <f>IF(OR(RecData[[#This Row],[Useable TON Data?]],RecData[[#This Row],[Useable Background Data?]]),ROUND(RecData[[#This Row],[WSpd_Avg '[m/s']]],0),"")</f>
        <v>1</v>
      </c>
      <c r="DS1092" s="85">
        <f>(0.00002)^2*(10^(RecData[[#This Row],[Overall (dBA)]]/10))</f>
        <v>3.0316427979216608E-6</v>
      </c>
    </row>
    <row r="1093" spans="1:123" ht="15" x14ac:dyDescent="0.25">
      <c r="A1093" s="3" t="s">
        <v>249</v>
      </c>
      <c r="B1093" s="12">
        <v>43275.969444444447</v>
      </c>
      <c r="C1093" s="3"/>
      <c r="D1093" s="3">
        <v>39.200000000000003</v>
      </c>
      <c r="E1093" s="3"/>
      <c r="F1093" s="3"/>
      <c r="G1093" s="3"/>
      <c r="H1093" s="3"/>
      <c r="I1093" s="3"/>
      <c r="J1093" s="3"/>
      <c r="K1093" s="3">
        <v>37.6</v>
      </c>
      <c r="L1093" s="3"/>
      <c r="M1093" s="3"/>
      <c r="N1093" s="3">
        <v>220.7</v>
      </c>
      <c r="O1093" s="3"/>
      <c r="P1093" s="3"/>
      <c r="Q1093" s="3">
        <v>0.36</v>
      </c>
      <c r="R1093" s="3">
        <v>0.1</v>
      </c>
      <c r="S1093" s="3">
        <v>0.9</v>
      </c>
      <c r="T1093" s="3">
        <v>13.8</v>
      </c>
      <c r="U1093" s="3">
        <v>46</v>
      </c>
      <c r="V1093" s="3">
        <v>976.6</v>
      </c>
      <c r="W1093" s="3">
        <v>0</v>
      </c>
      <c r="X1093" s="3">
        <v>47.8</v>
      </c>
      <c r="Y1093" s="3">
        <v>47</v>
      </c>
      <c r="Z1093" s="3">
        <v>46.3</v>
      </c>
      <c r="AA1093" s="3">
        <v>41.9</v>
      </c>
      <c r="AB1093" s="3">
        <v>37.200000000000003</v>
      </c>
      <c r="AC1093" s="3">
        <v>35.700000000000003</v>
      </c>
      <c r="AD1093" s="3">
        <v>40.4</v>
      </c>
      <c r="AE1093" s="3">
        <v>43</v>
      </c>
      <c r="AF1093" s="3">
        <v>45.1</v>
      </c>
      <c r="AG1093" s="3">
        <v>38.299999999999997</v>
      </c>
      <c r="AH1093" s="3">
        <v>39.4</v>
      </c>
      <c r="AI1093" s="3">
        <v>38.700000000000003</v>
      </c>
      <c r="AJ1093" s="3">
        <v>37.200000000000003</v>
      </c>
      <c r="AK1093" s="3">
        <v>34.9</v>
      </c>
      <c r="AL1093" s="3">
        <v>32.1</v>
      </c>
      <c r="AM1093" s="3">
        <v>30.8</v>
      </c>
      <c r="AN1093" s="3">
        <v>28.5</v>
      </c>
      <c r="AO1093" s="3">
        <v>24.8</v>
      </c>
      <c r="AP1093" s="3">
        <v>22.8</v>
      </c>
      <c r="AQ1093" s="3">
        <v>20.2</v>
      </c>
      <c r="AR1093" s="3">
        <v>17.2</v>
      </c>
      <c r="AS1093" s="3">
        <v>17.7</v>
      </c>
      <c r="AT1093" s="3">
        <v>18.7</v>
      </c>
      <c r="AU1093" s="3">
        <v>10.7</v>
      </c>
      <c r="AV1093" s="3">
        <v>9.4</v>
      </c>
      <c r="AW1093" s="3">
        <v>9.4</v>
      </c>
      <c r="AX1093" s="3">
        <v>9</v>
      </c>
      <c r="AY1093" s="3">
        <v>9.1999999999999993</v>
      </c>
      <c r="AZ1093" s="3">
        <v>0</v>
      </c>
      <c r="BA1093" s="3">
        <v>0</v>
      </c>
      <c r="BB1093" s="3">
        <v>0</v>
      </c>
      <c r="BC1093" s="3">
        <v>39.234394451875744</v>
      </c>
      <c r="BD1093" s="3">
        <v>47.765605548124256</v>
      </c>
      <c r="BE1093" s="3">
        <v>46.965605548124259</v>
      </c>
      <c r="BF1093" s="3">
        <v>45.025605548124247</v>
      </c>
      <c r="BG1093" s="3">
        <v>40.952272214790923</v>
      </c>
      <c r="BH1093" s="3">
        <v>36.392272214790921</v>
      </c>
      <c r="BI1093" s="3">
        <v>35.305605548124262</v>
      </c>
      <c r="BJ1093" s="3">
        <v>40.798938881457588</v>
      </c>
      <c r="BK1093" s="3">
        <v>43.272272214790917</v>
      </c>
      <c r="BL1093" s="3">
        <v>44.945605548124263</v>
      </c>
      <c r="BM1093" s="3">
        <v>38.278938881457591</v>
      </c>
      <c r="BN1093" s="3">
        <v>39.662272214790931</v>
      </c>
      <c r="BO1093" s="3">
        <v>38.328938881457589</v>
      </c>
      <c r="BP1093" s="3">
        <v>36.545605548124257</v>
      </c>
      <c r="BQ1093" s="3">
        <v>34.662272214790917</v>
      </c>
      <c r="BR1093" s="3">
        <v>32.188938881457602</v>
      </c>
      <c r="BS1093" s="3">
        <v>30.692272214790933</v>
      </c>
      <c r="BT1093" s="3">
        <v>28.588938881457594</v>
      </c>
      <c r="BU1093" s="3">
        <v>24.855605548124259</v>
      </c>
      <c r="BV1093" s="3">
        <v>22.572272214790928</v>
      </c>
      <c r="BW1093" s="3">
        <v>20.505605548124265</v>
      </c>
      <c r="BX1093" s="3">
        <v>17.425605548124267</v>
      </c>
      <c r="BY1093" s="3">
        <v>17.74560554812426</v>
      </c>
      <c r="BZ1093" s="3">
        <v>18.875605548124263</v>
      </c>
      <c r="CA1093" s="3">
        <v>10.97560554812425</v>
      </c>
      <c r="CB1093" s="3">
        <v>9.1122722147909201</v>
      </c>
      <c r="CC1093" s="3">
        <v>9.3256055481242583</v>
      </c>
      <c r="CD1093" s="3">
        <v>8.2322722147909317</v>
      </c>
      <c r="CE1093" s="3">
        <v>8.6256055481242555</v>
      </c>
      <c r="CF1093" s="3">
        <v>-0.9610611185424105</v>
      </c>
      <c r="CG1093" s="3">
        <v>-1.4943944518757419</v>
      </c>
      <c r="CH1093" s="3">
        <v>-2.5710611185424099</v>
      </c>
      <c r="CI1093" s="13">
        <f>[1]!dbasum(RecData[[#This Row],[20]:[2000]],RecData[[#Headers],[20]:[2000]])</f>
        <v>38.985313935785861</v>
      </c>
      <c r="CJ1093" s="14">
        <v>10677</v>
      </c>
      <c r="CK1093" s="15" t="s">
        <v>249</v>
      </c>
      <c r="CL1093" s="15">
        <f>RecData[[#This Row],[Start Time]]</f>
        <v>43275.969444444447</v>
      </c>
      <c r="CM1093" s="16">
        <f>RecData[[#This Row],[Wind Speed avg]]</f>
        <v>0.36</v>
      </c>
      <c r="CN1093" s="16">
        <f>RecData[[#This Row],[Wind Dir. avg]]</f>
        <v>220.7</v>
      </c>
      <c r="CO1093" s="16">
        <f>RecData[[#This Row],[Amb. Humidity]]</f>
        <v>46</v>
      </c>
      <c r="CP1093" s="16">
        <f>RecData[[#This Row],[Amb. Temperature]]</f>
        <v>13.8</v>
      </c>
      <c r="CQ1093" s="17">
        <f>RecData[[#This Row],[Amb. Rain Gauge]]</f>
        <v>0</v>
      </c>
      <c r="CR1093" s="4" t="s">
        <v>1</v>
      </c>
      <c r="CS1093" s="4" t="s">
        <v>49</v>
      </c>
      <c r="CT1093" s="70">
        <v>1569.8134765625</v>
      </c>
      <c r="CU1093" s="70">
        <v>21.000175476074201</v>
      </c>
      <c r="CV1093" s="70">
        <v>10.155972480773899</v>
      </c>
      <c r="CW1093" s="70">
        <v>15.2293901443481</v>
      </c>
      <c r="CX1093" s="4"/>
      <c r="CY1093" s="69"/>
      <c r="CZ1093" s="2" t="b">
        <f>IF($DP$1="YES",IF(RecData[[#This Row],[Power (kW)]]&gt;=$CR$3, TRUE,FALSE),TRUE)</f>
        <v>1</v>
      </c>
      <c r="DA1093" s="16">
        <f>MIN(MOD(180-ABS(ABS($DA$1-RecData[Yaw Angle (°)])-180),360),MOD(180-ABS(ABS($DB$1-RecData[Yaw Angle (°)])-180),360))</f>
        <v>13.470248698386655</v>
      </c>
      <c r="DB1093" s="2" t="str">
        <f>IF($DP$2="None","None",IF(RecData[[#This Row],[Relative Wind Direction]]&lt;=45,"DW",IF(RecData[[#This Row],[Relative Wind Direction]]&lt;=135,"CW","UW")))</f>
        <v>DW</v>
      </c>
      <c r="DC1093" s="61">
        <f>IF($CL1093-$CL1091&gt;1/24,#REF!,IF(SUM($CQ1091:$CQ1093)&gt;$DS$1,$DS$5,DC1094-1))</f>
        <v>-8</v>
      </c>
      <c r="DD1093" s="61">
        <f>IF($CL1094-$CL1093&gt;1/24,#REF!,IF(SUM($CQ1091:$CQ1093)&gt;$DS$1,$DS$6,DD1092-1))</f>
        <v>-3</v>
      </c>
      <c r="DE1093" s="18" t="b">
        <v>0</v>
      </c>
      <c r="DF1093" s="2" t="b">
        <f>IF(OR(RecData[[#This Row],[WSpd_Avg '[m/s']]]-RecData[[#This Row],[Wind Speed min]]&gt;=$DF$3,RecData[[#This Row],[Wind Speed max]]-RecData[[#This Row],[WSpd_Avg '[m/s']]]&gt;=$DF$2),TRUE,FALSE)</f>
        <v>0</v>
      </c>
      <c r="DG1093" s="2" t="b">
        <f>RecData[[#This Row],[Temperature '[°C']]]&lt;=-20</f>
        <v>0</v>
      </c>
      <c r="DH1093" s="18" t="b">
        <f>NOT(OR(MOD(RecData[[#This Row],[TIMESTAMP]],1)&gt;0.91632,MOD(RecData[[#This Row],[TIMESTAMP]],1)&lt;0.208681))</f>
        <v>0</v>
      </c>
      <c r="DI1093" s="18" t="b">
        <f>RecData[[#This Row],[Overall (dBA)]]-RecData[[#This Row],[L90]]&gt;=$DS$4</f>
        <v>0</v>
      </c>
      <c r="DJ1093" s="18" t="b">
        <f>RecData[[#This Row],[Overall (dBA)]]&gt;$DS$2</f>
        <v>0</v>
      </c>
      <c r="DK1093" s="18" t="b">
        <f>RecData[[#This Row],[Overall (dBA)]]&lt;$DS$3</f>
        <v>0</v>
      </c>
      <c r="DL10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3" s="2">
        <f>IF(AND(RecData[[#This Row],[Turbines ON/OFF]] = "OFF", NOT(OR(RecData[[#This Row],[Junk?]]="YES",RecData[[#This Row],[Gust?]],RecData[[#This Row],[Rain?]:[Min SPL Threshold?]]))),1,0)</f>
        <v>0</v>
      </c>
      <c r="DN1093" s="16">
        <f>RecData[[#This Row],[dBA Sum]]</f>
        <v>38.985313935785861</v>
      </c>
      <c r="DO1093" s="16">
        <f>RecData[[#This Row],[LAF90.0]]</f>
        <v>37.6</v>
      </c>
      <c r="DP1093" s="55">
        <f>IF(AND(RecData[[#This Row],[Useable TON Data?]],RecData[[#This Row],[Turbines ON/OFF]]="ON"),RecData[[#This Row],[dBA Sum]],"")</f>
        <v>38.985313935785861</v>
      </c>
      <c r="DQ1093" s="55" t="str">
        <f>IF(AND(RecData[[#This Row],[Useable Background Data?]],RecData[[#This Row],[Turbines ON/OFF]]="OFF"),RecData[[#This Row],[dBA Sum]],"")</f>
        <v/>
      </c>
      <c r="DR1093" s="3">
        <f>IF(OR(RecData[[#This Row],[Useable TON Data?]],RecData[[#This Row],[Useable Background Data?]]),ROUND(RecData[[#This Row],[WSpd_Avg '[m/s']]],0),"")</f>
        <v>0</v>
      </c>
      <c r="DS1093" s="85">
        <f>(0.00002)^2*(10^(RecData[[#This Row],[Overall (dBA)]]/10))</f>
        <v>3.1665867113335638E-6</v>
      </c>
    </row>
    <row r="1094" spans="1:123" ht="15" x14ac:dyDescent="0.25">
      <c r="A1094" s="3" t="s">
        <v>249</v>
      </c>
      <c r="B1094" s="12">
        <v>43275.970138888893</v>
      </c>
      <c r="C1094" s="3"/>
      <c r="D1094" s="3">
        <v>39.4</v>
      </c>
      <c r="E1094" s="3"/>
      <c r="F1094" s="3"/>
      <c r="G1094" s="3"/>
      <c r="H1094" s="3"/>
      <c r="I1094" s="3"/>
      <c r="J1094" s="3"/>
      <c r="K1094" s="3">
        <v>37.700000000000003</v>
      </c>
      <c r="L1094" s="3"/>
      <c r="M1094" s="3"/>
      <c r="N1094" s="3">
        <v>137.5</v>
      </c>
      <c r="O1094" s="3"/>
      <c r="P1094" s="3"/>
      <c r="Q1094" s="3">
        <v>0.94</v>
      </c>
      <c r="R1094" s="3">
        <v>0.3</v>
      </c>
      <c r="S1094" s="3">
        <v>1.4</v>
      </c>
      <c r="T1094" s="3">
        <v>13.8</v>
      </c>
      <c r="U1094" s="3">
        <v>46.4</v>
      </c>
      <c r="V1094" s="3">
        <v>976.6</v>
      </c>
      <c r="W1094" s="3">
        <v>0</v>
      </c>
      <c r="X1094" s="3">
        <v>47.5</v>
      </c>
      <c r="Y1094" s="3">
        <v>47.9</v>
      </c>
      <c r="Z1094" s="3">
        <v>47.6</v>
      </c>
      <c r="AA1094" s="3">
        <v>42.3</v>
      </c>
      <c r="AB1094" s="3">
        <v>37.299999999999997</v>
      </c>
      <c r="AC1094" s="3">
        <v>35.9</v>
      </c>
      <c r="AD1094" s="3">
        <v>39.4</v>
      </c>
      <c r="AE1094" s="3">
        <v>42</v>
      </c>
      <c r="AF1094" s="3">
        <v>44.2</v>
      </c>
      <c r="AG1094" s="3">
        <v>38.6</v>
      </c>
      <c r="AH1094" s="3">
        <v>38.200000000000003</v>
      </c>
      <c r="AI1094" s="3">
        <v>38.1</v>
      </c>
      <c r="AJ1094" s="3">
        <v>36.9</v>
      </c>
      <c r="AK1094" s="3">
        <v>35</v>
      </c>
      <c r="AL1094" s="3">
        <v>32.799999999999997</v>
      </c>
      <c r="AM1094" s="3">
        <v>32.200000000000003</v>
      </c>
      <c r="AN1094" s="3">
        <v>30</v>
      </c>
      <c r="AO1094" s="3">
        <v>26.1</v>
      </c>
      <c r="AP1094" s="3">
        <v>23.8</v>
      </c>
      <c r="AQ1094" s="3">
        <v>20.6</v>
      </c>
      <c r="AR1094" s="3">
        <v>17.3</v>
      </c>
      <c r="AS1094" s="3">
        <v>15.1</v>
      </c>
      <c r="AT1094" s="3">
        <v>18.5</v>
      </c>
      <c r="AU1094" s="3">
        <v>11.7</v>
      </c>
      <c r="AV1094" s="3">
        <v>10.5</v>
      </c>
      <c r="AW1094" s="3">
        <v>10.3</v>
      </c>
      <c r="AX1094" s="3">
        <v>9.4</v>
      </c>
      <c r="AY1094" s="3">
        <v>9.4</v>
      </c>
      <c r="AZ1094" s="3">
        <v>0</v>
      </c>
      <c r="BA1094" s="3">
        <v>0</v>
      </c>
      <c r="BB1094" s="3">
        <v>0</v>
      </c>
      <c r="BC1094" s="3">
        <v>39.377133219641479</v>
      </c>
      <c r="BD1094" s="3">
        <v>47.522866780358527</v>
      </c>
      <c r="BE1094" s="3">
        <v>47.922866780358518</v>
      </c>
      <c r="BF1094" s="3">
        <v>46.382866780358512</v>
      </c>
      <c r="BG1094" s="3">
        <v>41.409533447025183</v>
      </c>
      <c r="BH1094" s="3">
        <v>36.549533447025183</v>
      </c>
      <c r="BI1094" s="3">
        <v>35.562866780358519</v>
      </c>
      <c r="BJ1094" s="3">
        <v>39.856200113691841</v>
      </c>
      <c r="BK1094" s="3">
        <v>42.329533447025185</v>
      </c>
      <c r="BL1094" s="3">
        <v>44.102866780358525</v>
      </c>
      <c r="BM1094" s="3">
        <v>38.636200113691856</v>
      </c>
      <c r="BN1094" s="3">
        <v>38.519533447025196</v>
      </c>
      <c r="BO1094" s="3">
        <v>37.786200113691848</v>
      </c>
      <c r="BP1094" s="3">
        <v>36.302866780358528</v>
      </c>
      <c r="BQ1094" s="3">
        <v>34.819533447025179</v>
      </c>
      <c r="BR1094" s="3">
        <v>32.946200113691845</v>
      </c>
      <c r="BS1094" s="3">
        <v>32.149533447025192</v>
      </c>
      <c r="BT1094" s="3">
        <v>30.146200113691862</v>
      </c>
      <c r="BU1094" s="3">
        <v>26.212866780358524</v>
      </c>
      <c r="BV1094" s="3">
        <v>23.629533447025189</v>
      </c>
      <c r="BW1094" s="3">
        <v>20.962866780358524</v>
      </c>
      <c r="BX1094" s="3">
        <v>17.582866780358529</v>
      </c>
      <c r="BY1094" s="3">
        <v>15.202866780358519</v>
      </c>
      <c r="BZ1094" s="3">
        <v>18.73286678035852</v>
      </c>
      <c r="CA1094" s="3">
        <v>12.032866780358511</v>
      </c>
      <c r="CB1094" s="3">
        <v>10.269533447025182</v>
      </c>
      <c r="CC1094" s="3">
        <v>10.282866780358518</v>
      </c>
      <c r="CD1094" s="3">
        <v>8.689533447025191</v>
      </c>
      <c r="CE1094" s="3">
        <v>8.8828667803585191</v>
      </c>
      <c r="CF1094" s="3">
        <v>-0.90379988630814978</v>
      </c>
      <c r="CG1094" s="3">
        <v>-1.4371332196414812</v>
      </c>
      <c r="CH1094" s="3">
        <v>-2.5137998863081492</v>
      </c>
      <c r="CI1094" s="13">
        <f>[1]!dbasum(RecData[[#This Row],[20]:[2000]],RecData[[#Headers],[20]:[2000]])</f>
        <v>39.214566179015257</v>
      </c>
      <c r="CJ1094" s="14">
        <v>10678</v>
      </c>
      <c r="CK1094" s="15" t="s">
        <v>249</v>
      </c>
      <c r="CL1094" s="15">
        <f>RecData[[#This Row],[Start Time]]</f>
        <v>43275.970138888893</v>
      </c>
      <c r="CM1094" s="16">
        <f>RecData[[#This Row],[Wind Speed avg]]</f>
        <v>0.94</v>
      </c>
      <c r="CN1094" s="16">
        <f>RecData[[#This Row],[Wind Dir. avg]]</f>
        <v>137.5</v>
      </c>
      <c r="CO1094" s="16">
        <f>RecData[[#This Row],[Amb. Humidity]]</f>
        <v>46.4</v>
      </c>
      <c r="CP1094" s="16">
        <f>RecData[[#This Row],[Amb. Temperature]]</f>
        <v>13.8</v>
      </c>
      <c r="CQ1094" s="17">
        <f>RecData[[#This Row],[Amb. Rain Gauge]]</f>
        <v>0</v>
      </c>
      <c r="CR1094" s="4" t="s">
        <v>1</v>
      </c>
      <c r="CS1094" s="4" t="s">
        <v>49</v>
      </c>
      <c r="CT1094" s="70">
        <v>1569.8134765625</v>
      </c>
      <c r="CU1094" s="70">
        <v>21.000175476074201</v>
      </c>
      <c r="CV1094" s="70">
        <v>10.155972480773899</v>
      </c>
      <c r="CW1094" s="70">
        <v>15.2293901443481</v>
      </c>
      <c r="CX1094" s="4"/>
      <c r="CY1094" s="69"/>
      <c r="CZ1094" s="2" t="b">
        <f>IF($DP$1="YES",IF(RecData[[#This Row],[Power (kW)]]&gt;=$CR$3, TRUE,FALSE),TRUE)</f>
        <v>1</v>
      </c>
      <c r="DA1094" s="16">
        <f>MIN(MOD(180-ABS(ABS($DA$1-RecData[Yaw Angle (°)])-180),360),MOD(180-ABS(ABS($DB$1-RecData[Yaw Angle (°)])-180),360))</f>
        <v>13.470248698386655</v>
      </c>
      <c r="DB1094" s="2" t="str">
        <f>IF($DP$2="None","None",IF(RecData[[#This Row],[Relative Wind Direction]]&lt;=45,"DW",IF(RecData[[#This Row],[Relative Wind Direction]]&lt;=135,"CW","UW")))</f>
        <v>DW</v>
      </c>
      <c r="DC1094" s="61">
        <f>IF($CL1094-$CL1091&gt;1/24,#REF!,IF(SUM($CQ1091:$CQ1094)&gt;$DS$1,$DS$5,DC1095-1))</f>
        <v>-7</v>
      </c>
      <c r="DD1094" s="61">
        <f>IF($CL1095-$CL1094&gt;1/24,#REF!,IF(SUM($CQ1091:$CQ1094)&gt;$DS$1,$DS$6,DD1093-1))</f>
        <v>-4</v>
      </c>
      <c r="DE1094" s="18" t="b">
        <v>0</v>
      </c>
      <c r="DF1094" s="2" t="b">
        <f>IF(OR(RecData[[#This Row],[WSpd_Avg '[m/s']]]-RecData[[#This Row],[Wind Speed min]]&gt;=$DF$3,RecData[[#This Row],[Wind Speed max]]-RecData[[#This Row],[WSpd_Avg '[m/s']]]&gt;=$DF$2),TRUE,FALSE)</f>
        <v>0</v>
      </c>
      <c r="DG1094" s="2" t="b">
        <f>RecData[[#This Row],[Temperature '[°C']]]&lt;=-20</f>
        <v>0</v>
      </c>
      <c r="DH1094" s="18" t="b">
        <f>NOT(OR(MOD(RecData[[#This Row],[TIMESTAMP]],1)&gt;0.91632,MOD(RecData[[#This Row],[TIMESTAMP]],1)&lt;0.208681))</f>
        <v>0</v>
      </c>
      <c r="DI1094" s="18" t="b">
        <f>RecData[[#This Row],[Overall (dBA)]]-RecData[[#This Row],[L90]]&gt;=$DS$4</f>
        <v>0</v>
      </c>
      <c r="DJ1094" s="18" t="b">
        <f>RecData[[#This Row],[Overall (dBA)]]&gt;$DS$2</f>
        <v>0</v>
      </c>
      <c r="DK1094" s="18" t="b">
        <f>RecData[[#This Row],[Overall (dBA)]]&lt;$DS$3</f>
        <v>0</v>
      </c>
      <c r="DL10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4" s="2">
        <f>IF(AND(RecData[[#This Row],[Turbines ON/OFF]] = "OFF", NOT(OR(RecData[[#This Row],[Junk?]]="YES",RecData[[#This Row],[Gust?]],RecData[[#This Row],[Rain?]:[Min SPL Threshold?]]))),1,0)</f>
        <v>0</v>
      </c>
      <c r="DN1094" s="16">
        <f>RecData[[#This Row],[dBA Sum]]</f>
        <v>39.214566179015257</v>
      </c>
      <c r="DO1094" s="16">
        <f>RecData[[#This Row],[LAF90.0]]</f>
        <v>37.700000000000003</v>
      </c>
      <c r="DP1094" s="55">
        <f>IF(AND(RecData[[#This Row],[Useable TON Data?]],RecData[[#This Row],[Turbines ON/OFF]]="ON"),RecData[[#This Row],[dBA Sum]],"")</f>
        <v>39.214566179015257</v>
      </c>
      <c r="DQ1094" s="55" t="str">
        <f>IF(AND(RecData[[#This Row],[Useable Background Data?]],RecData[[#This Row],[Turbines ON/OFF]]="OFF"),RecData[[#This Row],[dBA Sum]],"")</f>
        <v/>
      </c>
      <c r="DR1094" s="3">
        <f>IF(OR(RecData[[#This Row],[Useable TON Data?]],RecData[[#This Row],[Useable Background Data?]]),ROUND(RecData[[#This Row],[WSpd_Avg '[m/s']]],0),"")</f>
        <v>1</v>
      </c>
      <c r="DS1094" s="85">
        <f>(0.00002)^2*(10^(RecData[[#This Row],[Overall (dBA)]]/10))</f>
        <v>3.3382327171389092E-6</v>
      </c>
    </row>
    <row r="1095" spans="1:123" ht="15" x14ac:dyDescent="0.25">
      <c r="A1095" s="3" t="s">
        <v>249</v>
      </c>
      <c r="B1095" s="12">
        <v>43275.970833333333</v>
      </c>
      <c r="C1095" s="3"/>
      <c r="D1095" s="3">
        <v>39.200000000000003</v>
      </c>
      <c r="E1095" s="3"/>
      <c r="F1095" s="3"/>
      <c r="G1095" s="3"/>
      <c r="H1095" s="3"/>
      <c r="I1095" s="3"/>
      <c r="J1095" s="3"/>
      <c r="K1095" s="3">
        <v>37.799999999999997</v>
      </c>
      <c r="L1095" s="3"/>
      <c r="M1095" s="3"/>
      <c r="N1095" s="3">
        <v>205.1</v>
      </c>
      <c r="O1095" s="3"/>
      <c r="P1095" s="3"/>
      <c r="Q1095" s="3">
        <v>0.37</v>
      </c>
      <c r="R1095" s="3">
        <v>0.1</v>
      </c>
      <c r="S1095" s="3">
        <v>0.9</v>
      </c>
      <c r="T1095" s="3">
        <v>13.8</v>
      </c>
      <c r="U1095" s="3">
        <v>45.6</v>
      </c>
      <c r="V1095" s="3">
        <v>976.6</v>
      </c>
      <c r="W1095" s="3">
        <v>0</v>
      </c>
      <c r="X1095" s="3">
        <v>47.5</v>
      </c>
      <c r="Y1095" s="3">
        <v>47.5</v>
      </c>
      <c r="Z1095" s="3">
        <v>47.1</v>
      </c>
      <c r="AA1095" s="3">
        <v>41.8</v>
      </c>
      <c r="AB1095" s="3">
        <v>38</v>
      </c>
      <c r="AC1095" s="3">
        <v>38.1</v>
      </c>
      <c r="AD1095" s="3">
        <v>40.799999999999997</v>
      </c>
      <c r="AE1095" s="3">
        <v>42.4</v>
      </c>
      <c r="AF1095" s="3">
        <v>44.9</v>
      </c>
      <c r="AG1095" s="3">
        <v>38.200000000000003</v>
      </c>
      <c r="AH1095" s="3">
        <v>39</v>
      </c>
      <c r="AI1095" s="3">
        <v>38.4</v>
      </c>
      <c r="AJ1095" s="3">
        <v>37</v>
      </c>
      <c r="AK1095" s="3">
        <v>34.799999999999997</v>
      </c>
      <c r="AL1095" s="3">
        <v>32.299999999999997</v>
      </c>
      <c r="AM1095" s="3">
        <v>31</v>
      </c>
      <c r="AN1095" s="3">
        <v>28.7</v>
      </c>
      <c r="AO1095" s="3">
        <v>25.7</v>
      </c>
      <c r="AP1095" s="3">
        <v>22.8</v>
      </c>
      <c r="AQ1095" s="3">
        <v>20.8</v>
      </c>
      <c r="AR1095" s="3">
        <v>18.5</v>
      </c>
      <c r="AS1095" s="3">
        <v>17.5</v>
      </c>
      <c r="AT1095" s="3">
        <v>19.3</v>
      </c>
      <c r="AU1095" s="3">
        <v>14.2</v>
      </c>
      <c r="AV1095" s="3">
        <v>12.9</v>
      </c>
      <c r="AW1095" s="3">
        <v>12.7</v>
      </c>
      <c r="AX1095" s="3">
        <v>10.7</v>
      </c>
      <c r="AY1095" s="3">
        <v>10.199999999999999</v>
      </c>
      <c r="AZ1095" s="3">
        <v>0</v>
      </c>
      <c r="BA1095" s="3">
        <v>0</v>
      </c>
      <c r="BB1095" s="3">
        <v>0</v>
      </c>
      <c r="BC1095" s="3">
        <v>39.236996379975096</v>
      </c>
      <c r="BD1095" s="3">
        <v>47.463003620024907</v>
      </c>
      <c r="BE1095" s="3">
        <v>47.463003620024907</v>
      </c>
      <c r="BF1095" s="3">
        <v>45.823003620024906</v>
      </c>
      <c r="BG1095" s="3">
        <v>40.849670286691577</v>
      </c>
      <c r="BH1095" s="3">
        <v>37.18967028669158</v>
      </c>
      <c r="BI1095" s="3">
        <v>37.703003620024901</v>
      </c>
      <c r="BJ1095" s="3">
        <v>41.196336953358241</v>
      </c>
      <c r="BK1095" s="3">
        <v>42.66967028669157</v>
      </c>
      <c r="BL1095" s="3">
        <v>44.743003620024908</v>
      </c>
      <c r="BM1095" s="3">
        <v>38.176336953358245</v>
      </c>
      <c r="BN1095" s="3">
        <v>39.259670286691573</v>
      </c>
      <c r="BO1095" s="3">
        <v>38.026336953358239</v>
      </c>
      <c r="BP1095" s="3">
        <v>36.343003620024916</v>
      </c>
      <c r="BQ1095" s="3">
        <v>34.559670286691556</v>
      </c>
      <c r="BR1095" s="3">
        <v>32.386336953358239</v>
      </c>
      <c r="BS1095" s="3">
        <v>30.889670286691569</v>
      </c>
      <c r="BT1095" s="3">
        <v>28.786336953358244</v>
      </c>
      <c r="BU1095" s="3">
        <v>25.753003620024913</v>
      </c>
      <c r="BV1095" s="3">
        <v>22.569670286691576</v>
      </c>
      <c r="BW1095" s="3">
        <v>21.103003620024907</v>
      </c>
      <c r="BX1095" s="3">
        <v>18.723003620024912</v>
      </c>
      <c r="BY1095" s="3">
        <v>17.543003620024905</v>
      </c>
      <c r="BZ1095" s="3">
        <v>19.473003620024912</v>
      </c>
      <c r="CA1095" s="3">
        <v>14.473003620024897</v>
      </c>
      <c r="CB1095" s="3">
        <v>12.609670286691568</v>
      </c>
      <c r="CC1095" s="3">
        <v>12.623003620024903</v>
      </c>
      <c r="CD1095" s="3">
        <v>9.9296702866915751</v>
      </c>
      <c r="CE1095" s="3">
        <v>9.6230036200249032</v>
      </c>
      <c r="CF1095" s="3">
        <v>-0.96366304664176283</v>
      </c>
      <c r="CG1095" s="3">
        <v>-1.4969963799750943</v>
      </c>
      <c r="CH1095" s="3">
        <v>-2.5736630466417623</v>
      </c>
      <c r="CI1095" s="13">
        <f>[1]!dbasum(RecData[[#This Row],[20]:[2000]],RecData[[#Headers],[20]:[2000]])</f>
        <v>38.962242324676851</v>
      </c>
      <c r="CJ1095" s="14">
        <v>10679</v>
      </c>
      <c r="CK1095" s="15" t="s">
        <v>249</v>
      </c>
      <c r="CL1095" s="15">
        <f>RecData[[#This Row],[Start Time]]</f>
        <v>43275.970833333333</v>
      </c>
      <c r="CM1095" s="16">
        <f>RecData[[#This Row],[Wind Speed avg]]</f>
        <v>0.37</v>
      </c>
      <c r="CN1095" s="16">
        <f>RecData[[#This Row],[Wind Dir. avg]]</f>
        <v>205.1</v>
      </c>
      <c r="CO1095" s="16">
        <f>RecData[[#This Row],[Amb. Humidity]]</f>
        <v>45.6</v>
      </c>
      <c r="CP1095" s="16">
        <f>RecData[[#This Row],[Amb. Temperature]]</f>
        <v>13.8</v>
      </c>
      <c r="CQ1095" s="17">
        <f>RecData[[#This Row],[Amb. Rain Gauge]]</f>
        <v>0</v>
      </c>
      <c r="CR1095" s="4" t="s">
        <v>1</v>
      </c>
      <c r="CS1095" s="4" t="s">
        <v>49</v>
      </c>
      <c r="CT1095" s="70">
        <v>1569.8134765625</v>
      </c>
      <c r="CU1095" s="70">
        <v>21.000175476074201</v>
      </c>
      <c r="CV1095" s="70">
        <v>10.155972480773899</v>
      </c>
      <c r="CW1095" s="70">
        <v>15.2293901443481</v>
      </c>
      <c r="CX1095" s="4"/>
      <c r="CY1095" s="69"/>
      <c r="CZ1095" s="2" t="b">
        <f>IF($DP$1="YES",IF(RecData[[#This Row],[Power (kW)]]&gt;=$CR$3, TRUE,FALSE),TRUE)</f>
        <v>1</v>
      </c>
      <c r="DA1095" s="16">
        <f>MIN(MOD(180-ABS(ABS($DA$1-RecData[Yaw Angle (°)])-180),360),MOD(180-ABS(ABS($DB$1-RecData[Yaw Angle (°)])-180),360))</f>
        <v>13.470248698386655</v>
      </c>
      <c r="DB1095" s="2" t="str">
        <f>IF($DP$2="None","None",IF(RecData[[#This Row],[Relative Wind Direction]]&lt;=45,"DW",IF(RecData[[#This Row],[Relative Wind Direction]]&lt;=135,"CW","UW")))</f>
        <v>DW</v>
      </c>
      <c r="DC1095" s="61">
        <f>IF($CL1095-$CL1091&gt;1/24,#REF!,IF(SUM($CQ1091:$CQ1095)&gt;$DS$1,$DS$5,DC1096-1))</f>
        <v>-6</v>
      </c>
      <c r="DD1095" s="61">
        <f>IF($CL1096-$CL1095&gt;1/24,#REF!,IF(SUM($CQ1091:$CQ1095)&gt;$DS$1,$DS$6,DD1094-1))</f>
        <v>-5</v>
      </c>
      <c r="DE1095" s="18" t="b">
        <v>0</v>
      </c>
      <c r="DF1095" s="2" t="b">
        <f>IF(OR(RecData[[#This Row],[WSpd_Avg '[m/s']]]-RecData[[#This Row],[Wind Speed min]]&gt;=$DF$3,RecData[[#This Row],[Wind Speed max]]-RecData[[#This Row],[WSpd_Avg '[m/s']]]&gt;=$DF$2),TRUE,FALSE)</f>
        <v>0</v>
      </c>
      <c r="DG1095" s="2" t="b">
        <f>RecData[[#This Row],[Temperature '[°C']]]&lt;=-20</f>
        <v>0</v>
      </c>
      <c r="DH1095" s="18" t="b">
        <f>NOT(OR(MOD(RecData[[#This Row],[TIMESTAMP]],1)&gt;0.91632,MOD(RecData[[#This Row],[TIMESTAMP]],1)&lt;0.208681))</f>
        <v>0</v>
      </c>
      <c r="DI1095" s="18" t="b">
        <f>RecData[[#This Row],[Overall (dBA)]]-RecData[[#This Row],[L90]]&gt;=$DS$4</f>
        <v>0</v>
      </c>
      <c r="DJ1095" s="18" t="b">
        <f>RecData[[#This Row],[Overall (dBA)]]&gt;$DS$2</f>
        <v>0</v>
      </c>
      <c r="DK1095" s="18" t="b">
        <f>RecData[[#This Row],[Overall (dBA)]]&lt;$DS$3</f>
        <v>0</v>
      </c>
      <c r="DL10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5" s="2">
        <f>IF(AND(RecData[[#This Row],[Turbines ON/OFF]] = "OFF", NOT(OR(RecData[[#This Row],[Junk?]]="YES",RecData[[#This Row],[Gust?]],RecData[[#This Row],[Rain?]:[Min SPL Threshold?]]))),1,0)</f>
        <v>0</v>
      </c>
      <c r="DN1095" s="16">
        <f>RecData[[#This Row],[dBA Sum]]</f>
        <v>38.962242324676851</v>
      </c>
      <c r="DO1095" s="16">
        <f>RecData[[#This Row],[LAF90.0]]</f>
        <v>37.799999999999997</v>
      </c>
      <c r="DP1095" s="55">
        <f>IF(AND(RecData[[#This Row],[Useable TON Data?]],RecData[[#This Row],[Turbines ON/OFF]]="ON"),RecData[[#This Row],[dBA Sum]],"")</f>
        <v>38.962242324676851</v>
      </c>
      <c r="DQ1095" s="55" t="str">
        <f>IF(AND(RecData[[#This Row],[Useable Background Data?]],RecData[[#This Row],[Turbines ON/OFF]]="OFF"),RecData[[#This Row],[dBA Sum]],"")</f>
        <v/>
      </c>
      <c r="DR1095" s="3">
        <f>IF(OR(RecData[[#This Row],[Useable TON Data?]],RecData[[#This Row],[Useable Background Data?]]),ROUND(RecData[[#This Row],[WSpd_Avg '[m/s']]],0),"")</f>
        <v>0</v>
      </c>
      <c r="DS1095" s="85">
        <f>(0.00002)^2*(10^(RecData[[#This Row],[Overall (dBA)]]/10))</f>
        <v>3.1498090305765565E-6</v>
      </c>
    </row>
    <row r="1096" spans="1:123" ht="15" x14ac:dyDescent="0.25">
      <c r="A1096" s="3" t="s">
        <v>249</v>
      </c>
      <c r="B1096" s="12">
        <v>43275.97152777778</v>
      </c>
      <c r="C1096" s="3"/>
      <c r="D1096" s="3">
        <v>39.700000000000003</v>
      </c>
      <c r="E1096" s="3"/>
      <c r="F1096" s="3"/>
      <c r="G1096" s="3"/>
      <c r="H1096" s="3"/>
      <c r="I1096" s="3"/>
      <c r="J1096" s="3"/>
      <c r="K1096" s="3">
        <v>38.5</v>
      </c>
      <c r="L1096" s="3"/>
      <c r="M1096" s="3"/>
      <c r="N1096" s="3">
        <v>222</v>
      </c>
      <c r="O1096" s="3"/>
      <c r="P1096" s="3"/>
      <c r="Q1096" s="3">
        <v>0.79</v>
      </c>
      <c r="R1096" s="3">
        <v>0.1</v>
      </c>
      <c r="S1096" s="3">
        <v>1.5</v>
      </c>
      <c r="T1096" s="3">
        <v>13.8</v>
      </c>
      <c r="U1096" s="3">
        <v>45.8</v>
      </c>
      <c r="V1096" s="3">
        <v>976.6</v>
      </c>
      <c r="W1096" s="3">
        <v>0</v>
      </c>
      <c r="X1096" s="3">
        <v>46.1</v>
      </c>
      <c r="Y1096" s="3">
        <v>46.3</v>
      </c>
      <c r="Z1096" s="3">
        <v>45.2</v>
      </c>
      <c r="AA1096" s="3">
        <v>40.1</v>
      </c>
      <c r="AB1096" s="3">
        <v>35.700000000000003</v>
      </c>
      <c r="AC1096" s="3">
        <v>36.299999999999997</v>
      </c>
      <c r="AD1096" s="3">
        <v>39.5</v>
      </c>
      <c r="AE1096" s="3">
        <v>42.1</v>
      </c>
      <c r="AF1096" s="3">
        <v>43.8</v>
      </c>
      <c r="AG1096" s="3">
        <v>38.5</v>
      </c>
      <c r="AH1096" s="3">
        <v>39.6</v>
      </c>
      <c r="AI1096" s="3">
        <v>39.1</v>
      </c>
      <c r="AJ1096" s="3">
        <v>37.6</v>
      </c>
      <c r="AK1096" s="3">
        <v>35.200000000000003</v>
      </c>
      <c r="AL1096" s="3">
        <v>32.6</v>
      </c>
      <c r="AM1096" s="3">
        <v>31.5</v>
      </c>
      <c r="AN1096" s="3">
        <v>29.3</v>
      </c>
      <c r="AO1096" s="3">
        <v>26.4</v>
      </c>
      <c r="AP1096" s="3">
        <v>24.2</v>
      </c>
      <c r="AQ1096" s="3">
        <v>22.3</v>
      </c>
      <c r="AR1096" s="3">
        <v>20.9</v>
      </c>
      <c r="AS1096" s="3">
        <v>19.600000000000001</v>
      </c>
      <c r="AT1096" s="3">
        <v>19.899999999999999</v>
      </c>
      <c r="AU1096" s="3">
        <v>15.3</v>
      </c>
      <c r="AV1096" s="3">
        <v>13.1</v>
      </c>
      <c r="AW1096" s="3">
        <v>12</v>
      </c>
      <c r="AX1096" s="3">
        <v>9.8000000000000007</v>
      </c>
      <c r="AY1096" s="3">
        <v>9.4</v>
      </c>
      <c r="AZ1096" s="3">
        <v>0</v>
      </c>
      <c r="BA1096" s="3">
        <v>0</v>
      </c>
      <c r="BB1096" s="3">
        <v>0</v>
      </c>
      <c r="BC1096" s="3">
        <v>39.691538468848243</v>
      </c>
      <c r="BD1096" s="3">
        <v>46.108461531151768</v>
      </c>
      <c r="BE1096" s="3">
        <v>46.308461531151757</v>
      </c>
      <c r="BF1096" s="3">
        <v>43.968461531151753</v>
      </c>
      <c r="BG1096" s="3">
        <v>39.195128197818427</v>
      </c>
      <c r="BH1096" s="3">
        <v>34.935128197818422</v>
      </c>
      <c r="BI1096" s="3">
        <v>35.948461531151757</v>
      </c>
      <c r="BJ1096" s="3">
        <v>39.941794864485082</v>
      </c>
      <c r="BK1096" s="3">
        <v>42.415128197818426</v>
      </c>
      <c r="BL1096" s="3">
        <v>43.688461531151752</v>
      </c>
      <c r="BM1096" s="3">
        <v>38.521794864485095</v>
      </c>
      <c r="BN1096" s="3">
        <v>39.905128197818421</v>
      </c>
      <c r="BO1096" s="3">
        <v>38.771794864485095</v>
      </c>
      <c r="BP1096" s="3">
        <v>36.988461531151763</v>
      </c>
      <c r="BQ1096" s="3">
        <v>35.005128197818415</v>
      </c>
      <c r="BR1096" s="3">
        <v>32.731794864485103</v>
      </c>
      <c r="BS1096" s="3">
        <v>31.435128197818422</v>
      </c>
      <c r="BT1096" s="3">
        <v>29.431794864485092</v>
      </c>
      <c r="BU1096" s="3">
        <v>26.498461531151754</v>
      </c>
      <c r="BV1096" s="3">
        <v>24.015128197818427</v>
      </c>
      <c r="BW1096" s="3">
        <v>22.64846153115176</v>
      </c>
      <c r="BX1096" s="3">
        <v>21.168461531151763</v>
      </c>
      <c r="BY1096" s="3">
        <v>19.688461531151759</v>
      </c>
      <c r="BZ1096" s="3">
        <v>20.118461531151759</v>
      </c>
      <c r="CA1096" s="3">
        <v>15.618461531151752</v>
      </c>
      <c r="CB1096" s="3">
        <v>12.855128197818424</v>
      </c>
      <c r="CC1096" s="3">
        <v>11.96846153115176</v>
      </c>
      <c r="CD1096" s="3">
        <v>9.0751281978184295</v>
      </c>
      <c r="CE1096" s="3">
        <v>8.8684615311517589</v>
      </c>
      <c r="CF1096" s="3">
        <v>-0.9182051355149099</v>
      </c>
      <c r="CG1096" s="3">
        <v>-1.4515384688482413</v>
      </c>
      <c r="CH1096" s="3">
        <v>-2.5282051355149093</v>
      </c>
      <c r="CI1096" s="13">
        <f>[1]!dbasum(RecData[[#This Row],[20]:[2000]],RecData[[#Headers],[20]:[2000]])</f>
        <v>39.443780462294058</v>
      </c>
      <c r="CJ1096" s="14">
        <v>10680</v>
      </c>
      <c r="CK1096" s="15" t="s">
        <v>249</v>
      </c>
      <c r="CL1096" s="15">
        <f>RecData[[#This Row],[Start Time]]</f>
        <v>43275.97152777778</v>
      </c>
      <c r="CM1096" s="16">
        <f>RecData[[#This Row],[Wind Speed avg]]</f>
        <v>0.79</v>
      </c>
      <c r="CN1096" s="16">
        <f>RecData[[#This Row],[Wind Dir. avg]]</f>
        <v>222</v>
      </c>
      <c r="CO1096" s="16">
        <f>RecData[[#This Row],[Amb. Humidity]]</f>
        <v>45.8</v>
      </c>
      <c r="CP1096" s="16">
        <f>RecData[[#This Row],[Amb. Temperature]]</f>
        <v>13.8</v>
      </c>
      <c r="CQ1096" s="17">
        <f>RecData[[#This Row],[Amb. Rain Gauge]]</f>
        <v>0</v>
      </c>
      <c r="CR1096" s="4" t="s">
        <v>1</v>
      </c>
      <c r="CS1096" s="4" t="s">
        <v>49</v>
      </c>
      <c r="CT1096" s="70">
        <v>1569.8134765625</v>
      </c>
      <c r="CU1096" s="70">
        <v>21.000175476074201</v>
      </c>
      <c r="CV1096" s="70">
        <v>10.155972480773899</v>
      </c>
      <c r="CW1096" s="70">
        <v>15.2293901443481</v>
      </c>
      <c r="CX1096" s="4"/>
      <c r="CY1096" s="69"/>
      <c r="CZ1096" s="2" t="b">
        <f>IF($DP$1="YES",IF(RecData[[#This Row],[Power (kW)]]&gt;=$CR$3, TRUE,FALSE),TRUE)</f>
        <v>1</v>
      </c>
      <c r="DA1096" s="16">
        <f>MIN(MOD(180-ABS(ABS($DA$1-RecData[Yaw Angle (°)])-180),360),MOD(180-ABS(ABS($DB$1-RecData[Yaw Angle (°)])-180),360))</f>
        <v>13.470248698386655</v>
      </c>
      <c r="DB1096" s="2" t="str">
        <f>IF($DP$2="None","None",IF(RecData[[#This Row],[Relative Wind Direction]]&lt;=45,"DW",IF(RecData[[#This Row],[Relative Wind Direction]]&lt;=135,"CW","UW")))</f>
        <v>DW</v>
      </c>
      <c r="DC1096" s="61">
        <f>IF($CL1096-$CL1092&gt;1/24,#REF!,IF(SUM($CQ1092:$CQ1096)&gt;$DS$1,$DS$5,DC1097-1))</f>
        <v>-5</v>
      </c>
      <c r="DD1096" s="61">
        <f>IF($CL1097-$CL1096&gt;1/24,#REF!,IF(SUM($CQ1092:$CQ1096)&gt;$DS$1,$DS$6,DD1095-1))</f>
        <v>-6</v>
      </c>
      <c r="DE1096" s="18" t="b">
        <v>0</v>
      </c>
      <c r="DF1096" s="2" t="b">
        <f>IF(OR(RecData[[#This Row],[WSpd_Avg '[m/s']]]-RecData[[#This Row],[Wind Speed min]]&gt;=$DF$3,RecData[[#This Row],[Wind Speed max]]-RecData[[#This Row],[WSpd_Avg '[m/s']]]&gt;=$DF$2),TRUE,FALSE)</f>
        <v>0</v>
      </c>
      <c r="DG1096" s="2" t="b">
        <f>RecData[[#This Row],[Temperature '[°C']]]&lt;=-20</f>
        <v>0</v>
      </c>
      <c r="DH1096" s="18" t="b">
        <f>NOT(OR(MOD(RecData[[#This Row],[TIMESTAMP]],1)&gt;0.91632,MOD(RecData[[#This Row],[TIMESTAMP]],1)&lt;0.208681))</f>
        <v>0</v>
      </c>
      <c r="DI1096" s="18" t="b">
        <f>RecData[[#This Row],[Overall (dBA)]]-RecData[[#This Row],[L90]]&gt;=$DS$4</f>
        <v>0</v>
      </c>
      <c r="DJ1096" s="18" t="b">
        <f>RecData[[#This Row],[Overall (dBA)]]&gt;$DS$2</f>
        <v>0</v>
      </c>
      <c r="DK1096" s="18" t="b">
        <f>RecData[[#This Row],[Overall (dBA)]]&lt;$DS$3</f>
        <v>0</v>
      </c>
      <c r="DL10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6" s="2">
        <f>IF(AND(RecData[[#This Row],[Turbines ON/OFF]] = "OFF", NOT(OR(RecData[[#This Row],[Junk?]]="YES",RecData[[#This Row],[Gust?]],RecData[[#This Row],[Rain?]:[Min SPL Threshold?]]))),1,0)</f>
        <v>0</v>
      </c>
      <c r="DN1096" s="16">
        <f>RecData[[#This Row],[dBA Sum]]</f>
        <v>39.443780462294058</v>
      </c>
      <c r="DO1096" s="16">
        <f>RecData[[#This Row],[LAF90.0]]</f>
        <v>38.5</v>
      </c>
      <c r="DP1096" s="55">
        <f>IF(AND(RecData[[#This Row],[Useable TON Data?]],RecData[[#This Row],[Turbines ON/OFF]]="ON"),RecData[[#This Row],[dBA Sum]],"")</f>
        <v>39.443780462294058</v>
      </c>
      <c r="DQ1096" s="55" t="str">
        <f>IF(AND(RecData[[#This Row],[Useable Background Data?]],RecData[[#This Row],[Turbines ON/OFF]]="OFF"),RecData[[#This Row],[dBA Sum]],"")</f>
        <v/>
      </c>
      <c r="DR1096" s="3">
        <f>IF(OR(RecData[[#This Row],[Useable TON Data?]],RecData[[#This Row],[Useable Background Data?]]),ROUND(RecData[[#This Row],[WSpd_Avg '[m/s']]],0),"")</f>
        <v>1</v>
      </c>
      <c r="DS1096" s="85">
        <f>(0.00002)^2*(10^(RecData[[#This Row],[Overall (dBA)]]/10))</f>
        <v>3.5191520986371765E-6</v>
      </c>
    </row>
    <row r="1097" spans="1:123" ht="15" x14ac:dyDescent="0.25">
      <c r="A1097" s="3" t="s">
        <v>249</v>
      </c>
      <c r="B1097" s="12">
        <v>43275.972222222226</v>
      </c>
      <c r="C1097" s="3"/>
      <c r="D1097" s="3">
        <v>39.1</v>
      </c>
      <c r="E1097" s="3"/>
      <c r="F1097" s="3"/>
      <c r="G1097" s="3"/>
      <c r="H1097" s="3"/>
      <c r="I1097" s="3"/>
      <c r="J1097" s="3"/>
      <c r="K1097" s="3">
        <v>37.799999999999997</v>
      </c>
      <c r="L1097" s="3"/>
      <c r="M1097" s="3"/>
      <c r="N1097" s="3">
        <v>160.1</v>
      </c>
      <c r="O1097" s="3"/>
      <c r="P1097" s="3"/>
      <c r="Q1097" s="3">
        <v>0.31</v>
      </c>
      <c r="R1097" s="3">
        <v>0.1</v>
      </c>
      <c r="S1097" s="3">
        <v>1.4</v>
      </c>
      <c r="T1097" s="3">
        <v>13.8</v>
      </c>
      <c r="U1097" s="3">
        <v>45.7</v>
      </c>
      <c r="V1097" s="3">
        <v>976.6</v>
      </c>
      <c r="W1097" s="3">
        <v>0</v>
      </c>
      <c r="X1097" s="3">
        <v>46</v>
      </c>
      <c r="Y1097" s="3">
        <v>46.4</v>
      </c>
      <c r="Z1097" s="3">
        <v>45.5</v>
      </c>
      <c r="AA1097" s="3">
        <v>41.5</v>
      </c>
      <c r="AB1097" s="3">
        <v>36.6</v>
      </c>
      <c r="AC1097" s="3">
        <v>36.299999999999997</v>
      </c>
      <c r="AD1097" s="3">
        <v>39.5</v>
      </c>
      <c r="AE1097" s="3">
        <v>41.6</v>
      </c>
      <c r="AF1097" s="3">
        <v>43.7</v>
      </c>
      <c r="AG1097" s="3">
        <v>38.299999999999997</v>
      </c>
      <c r="AH1097" s="3">
        <v>38.4</v>
      </c>
      <c r="AI1097" s="3">
        <v>38.5</v>
      </c>
      <c r="AJ1097" s="3">
        <v>36.6</v>
      </c>
      <c r="AK1097" s="3">
        <v>34.799999999999997</v>
      </c>
      <c r="AL1097" s="3">
        <v>32.5</v>
      </c>
      <c r="AM1097" s="3">
        <v>31.3</v>
      </c>
      <c r="AN1097" s="3">
        <v>29</v>
      </c>
      <c r="AO1097" s="3">
        <v>25.7</v>
      </c>
      <c r="AP1097" s="3">
        <v>23.2</v>
      </c>
      <c r="AQ1097" s="3">
        <v>20.7</v>
      </c>
      <c r="AR1097" s="3">
        <v>18.100000000000001</v>
      </c>
      <c r="AS1097" s="3">
        <v>16.399999999999999</v>
      </c>
      <c r="AT1097" s="3">
        <v>20</v>
      </c>
      <c r="AU1097" s="3">
        <v>11.8</v>
      </c>
      <c r="AV1097" s="3">
        <v>10.1</v>
      </c>
      <c r="AW1097" s="3">
        <v>9.6999999999999993</v>
      </c>
      <c r="AX1097" s="3">
        <v>9.1</v>
      </c>
      <c r="AY1097" s="3">
        <v>9.1</v>
      </c>
      <c r="AZ1097" s="3">
        <v>0</v>
      </c>
      <c r="BA1097" s="3">
        <v>0</v>
      </c>
      <c r="BB1097" s="3">
        <v>0</v>
      </c>
      <c r="BC1097" s="3">
        <v>39.090471912634655</v>
      </c>
      <c r="BD1097" s="3">
        <v>46.009528087365339</v>
      </c>
      <c r="BE1097" s="3">
        <v>46.409528087365345</v>
      </c>
      <c r="BF1097" s="3">
        <v>44.269528087365345</v>
      </c>
      <c r="BG1097" s="3">
        <v>40.596194754032012</v>
      </c>
      <c r="BH1097" s="3">
        <v>35.836194754032022</v>
      </c>
      <c r="BI1097" s="3">
        <v>35.949528087365337</v>
      </c>
      <c r="BJ1097" s="3">
        <v>39.942861420698677</v>
      </c>
      <c r="BK1097" s="3">
        <v>41.916194754032006</v>
      </c>
      <c r="BL1097" s="3">
        <v>43.589528087365352</v>
      </c>
      <c r="BM1097" s="3">
        <v>38.322861420698672</v>
      </c>
      <c r="BN1097" s="3">
        <v>38.706194754032012</v>
      </c>
      <c r="BO1097" s="3">
        <v>38.17286142069868</v>
      </c>
      <c r="BP1097" s="3">
        <v>35.989528087365358</v>
      </c>
      <c r="BQ1097" s="3">
        <v>34.606194754032003</v>
      </c>
      <c r="BR1097" s="3">
        <v>32.632861420698674</v>
      </c>
      <c r="BS1097" s="3">
        <v>31.236194754032013</v>
      </c>
      <c r="BT1097" s="3">
        <v>29.132861420698674</v>
      </c>
      <c r="BU1097" s="3">
        <v>25.799528087365346</v>
      </c>
      <c r="BV1097" s="3">
        <v>23.016194754032014</v>
      </c>
      <c r="BW1097" s="3">
        <v>21.049528087365346</v>
      </c>
      <c r="BX1097" s="3">
        <v>18.369528087365353</v>
      </c>
      <c r="BY1097" s="3">
        <v>16.489528087365343</v>
      </c>
      <c r="BZ1097" s="3">
        <v>20.219528087365347</v>
      </c>
      <c r="CA1097" s="3">
        <v>12.119528087365339</v>
      </c>
      <c r="CB1097" s="3">
        <v>9.8561947540320105</v>
      </c>
      <c r="CC1097" s="3">
        <v>9.6695280873653431</v>
      </c>
      <c r="CD1097" s="3">
        <v>8.3761947540320136</v>
      </c>
      <c r="CE1097" s="3">
        <v>8.5695280873653417</v>
      </c>
      <c r="CF1097" s="3">
        <v>-0.91713857930132292</v>
      </c>
      <c r="CG1097" s="3">
        <v>-1.4504719126346544</v>
      </c>
      <c r="CH1097" s="3">
        <v>-2.5271385793013224</v>
      </c>
      <c r="CI1097" s="13">
        <f>[1]!dbasum(RecData[[#This Row],[20]:[2000]],RecData[[#Headers],[20]:[2000]])</f>
        <v>38.877151653214256</v>
      </c>
      <c r="CJ1097" s="14">
        <v>10681</v>
      </c>
      <c r="CK1097" s="15" t="s">
        <v>249</v>
      </c>
      <c r="CL1097" s="15">
        <f>RecData[[#This Row],[Start Time]]</f>
        <v>43275.972222222226</v>
      </c>
      <c r="CM1097" s="16">
        <f>RecData[[#This Row],[Wind Speed avg]]</f>
        <v>0.31</v>
      </c>
      <c r="CN1097" s="16">
        <f>RecData[[#This Row],[Wind Dir. avg]]</f>
        <v>160.1</v>
      </c>
      <c r="CO1097" s="16">
        <f>RecData[[#This Row],[Amb. Humidity]]</f>
        <v>45.7</v>
      </c>
      <c r="CP1097" s="16">
        <f>RecData[[#This Row],[Amb. Temperature]]</f>
        <v>13.8</v>
      </c>
      <c r="CQ1097" s="17">
        <f>RecData[[#This Row],[Amb. Rain Gauge]]</f>
        <v>0</v>
      </c>
      <c r="CR1097" s="4" t="s">
        <v>1</v>
      </c>
      <c r="CS1097" s="4" t="s">
        <v>49</v>
      </c>
      <c r="CT1097" s="70">
        <v>1569.8134765625</v>
      </c>
      <c r="CU1097" s="70">
        <v>21.000175476074201</v>
      </c>
      <c r="CV1097" s="70">
        <v>10.155972480773899</v>
      </c>
      <c r="CW1097" s="70">
        <v>15.2293901443481</v>
      </c>
      <c r="CX1097" s="4"/>
      <c r="CY1097" s="69"/>
      <c r="CZ1097" s="2" t="b">
        <f>IF($DP$1="YES",IF(RecData[[#This Row],[Power (kW)]]&gt;=$CR$3, TRUE,FALSE),TRUE)</f>
        <v>1</v>
      </c>
      <c r="DA1097" s="16">
        <f>MIN(MOD(180-ABS(ABS($DA$1-RecData[Yaw Angle (°)])-180),360),MOD(180-ABS(ABS($DB$1-RecData[Yaw Angle (°)])-180),360))</f>
        <v>13.470248698386655</v>
      </c>
      <c r="DB1097" s="2" t="str">
        <f>IF($DP$2="None","None",IF(RecData[[#This Row],[Relative Wind Direction]]&lt;=45,"DW",IF(RecData[[#This Row],[Relative Wind Direction]]&lt;=135,"CW","UW")))</f>
        <v>DW</v>
      </c>
      <c r="DC1097" s="61">
        <f>IF($CL1097-$CL1093&gt;1/24,#REF!,IF(SUM($CQ1093:$CQ1097)&gt;$DS$1,$DS$5,DC1098-1))</f>
        <v>-4</v>
      </c>
      <c r="DD1097" s="61">
        <f>IF($CL1098-$CL1097&gt;1/24,#REF!,IF(SUM($CQ1093:$CQ1097)&gt;$DS$1,$DS$6,DD1096-1))</f>
        <v>-7</v>
      </c>
      <c r="DE1097" s="18" t="b">
        <v>0</v>
      </c>
      <c r="DF1097" s="2" t="b">
        <f>IF(OR(RecData[[#This Row],[WSpd_Avg '[m/s']]]-RecData[[#This Row],[Wind Speed min]]&gt;=$DF$3,RecData[[#This Row],[Wind Speed max]]-RecData[[#This Row],[WSpd_Avg '[m/s']]]&gt;=$DF$2),TRUE,FALSE)</f>
        <v>0</v>
      </c>
      <c r="DG1097" s="2" t="b">
        <f>RecData[[#This Row],[Temperature '[°C']]]&lt;=-20</f>
        <v>0</v>
      </c>
      <c r="DH1097" s="18" t="b">
        <f>NOT(OR(MOD(RecData[[#This Row],[TIMESTAMP]],1)&gt;0.91632,MOD(RecData[[#This Row],[TIMESTAMP]],1)&lt;0.208681))</f>
        <v>0</v>
      </c>
      <c r="DI1097" s="18" t="b">
        <f>RecData[[#This Row],[Overall (dBA)]]-RecData[[#This Row],[L90]]&gt;=$DS$4</f>
        <v>0</v>
      </c>
      <c r="DJ1097" s="18" t="b">
        <f>RecData[[#This Row],[Overall (dBA)]]&gt;$DS$2</f>
        <v>0</v>
      </c>
      <c r="DK1097" s="18" t="b">
        <f>RecData[[#This Row],[Overall (dBA)]]&lt;$DS$3</f>
        <v>0</v>
      </c>
      <c r="DL10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7" s="2">
        <f>IF(AND(RecData[[#This Row],[Turbines ON/OFF]] = "OFF", NOT(OR(RecData[[#This Row],[Junk?]]="YES",RecData[[#This Row],[Gust?]],RecData[[#This Row],[Rain?]:[Min SPL Threshold?]]))),1,0)</f>
        <v>0</v>
      </c>
      <c r="DN1097" s="16">
        <f>RecData[[#This Row],[dBA Sum]]</f>
        <v>38.877151653214256</v>
      </c>
      <c r="DO1097" s="16">
        <f>RecData[[#This Row],[LAF90.0]]</f>
        <v>37.799999999999997</v>
      </c>
      <c r="DP1097" s="55">
        <f>IF(AND(RecData[[#This Row],[Useable TON Data?]],RecData[[#This Row],[Turbines ON/OFF]]="ON"),RecData[[#This Row],[dBA Sum]],"")</f>
        <v>38.877151653214256</v>
      </c>
      <c r="DQ1097" s="55" t="str">
        <f>IF(AND(RecData[[#This Row],[Useable Background Data?]],RecData[[#This Row],[Turbines ON/OFF]]="OFF"),RecData[[#This Row],[dBA Sum]],"")</f>
        <v/>
      </c>
      <c r="DR1097" s="3">
        <f>IF(OR(RecData[[#This Row],[Useable TON Data?]],RecData[[#This Row],[Useable Background Data?]]),ROUND(RecData[[#This Row],[WSpd_Avg '[m/s']]],0),"")</f>
        <v>0</v>
      </c>
      <c r="DS1097" s="85">
        <f>(0.00002)^2*(10^(RecData[[#This Row],[Overall (dBA)]]/10))</f>
        <v>3.0886959359167678E-6</v>
      </c>
    </row>
    <row r="1098" spans="1:123" ht="15" x14ac:dyDescent="0.25">
      <c r="A1098" s="3" t="s">
        <v>249</v>
      </c>
      <c r="B1098" s="12">
        <v>43275.972916666666</v>
      </c>
      <c r="C1098" s="3"/>
      <c r="D1098" s="3">
        <v>39.4</v>
      </c>
      <c r="E1098" s="3"/>
      <c r="F1098" s="3"/>
      <c r="G1098" s="3"/>
      <c r="H1098" s="3"/>
      <c r="I1098" s="3"/>
      <c r="J1098" s="3"/>
      <c r="K1098" s="3">
        <v>37.799999999999997</v>
      </c>
      <c r="L1098" s="3"/>
      <c r="M1098" s="3"/>
      <c r="N1098" s="3">
        <v>248.3</v>
      </c>
      <c r="O1098" s="3"/>
      <c r="P1098" s="3"/>
      <c r="Q1098" s="3">
        <v>0.3</v>
      </c>
      <c r="R1098" s="3">
        <v>0</v>
      </c>
      <c r="S1098" s="3">
        <v>0.6</v>
      </c>
      <c r="T1098" s="3">
        <v>13.8</v>
      </c>
      <c r="U1098" s="3">
        <v>45.8</v>
      </c>
      <c r="V1098" s="3">
        <v>976.6</v>
      </c>
      <c r="W1098" s="3">
        <v>0</v>
      </c>
      <c r="X1098" s="3">
        <v>47.3</v>
      </c>
      <c r="Y1098" s="3">
        <v>46.7</v>
      </c>
      <c r="Z1098" s="3">
        <v>46.3</v>
      </c>
      <c r="AA1098" s="3">
        <v>41.5</v>
      </c>
      <c r="AB1098" s="3">
        <v>36.799999999999997</v>
      </c>
      <c r="AC1098" s="3">
        <v>36.9</v>
      </c>
      <c r="AD1098" s="3">
        <v>39.6</v>
      </c>
      <c r="AE1098" s="3">
        <v>41.4</v>
      </c>
      <c r="AF1098" s="3">
        <v>43.5</v>
      </c>
      <c r="AG1098" s="3">
        <v>38.700000000000003</v>
      </c>
      <c r="AH1098" s="3">
        <v>38.5</v>
      </c>
      <c r="AI1098" s="3">
        <v>38.6</v>
      </c>
      <c r="AJ1098" s="3">
        <v>37.200000000000003</v>
      </c>
      <c r="AK1098" s="3">
        <v>35.200000000000003</v>
      </c>
      <c r="AL1098" s="3">
        <v>32.9</v>
      </c>
      <c r="AM1098" s="3">
        <v>32</v>
      </c>
      <c r="AN1098" s="3">
        <v>29.8</v>
      </c>
      <c r="AO1098" s="3">
        <v>26.2</v>
      </c>
      <c r="AP1098" s="3">
        <v>23.2</v>
      </c>
      <c r="AQ1098" s="3">
        <v>20.5</v>
      </c>
      <c r="AR1098" s="3">
        <v>16.399999999999999</v>
      </c>
      <c r="AS1098" s="3">
        <v>15</v>
      </c>
      <c r="AT1098" s="3">
        <v>17.399999999999999</v>
      </c>
      <c r="AU1098" s="3">
        <v>9.1999999999999993</v>
      </c>
      <c r="AV1098" s="3">
        <v>8.6999999999999993</v>
      </c>
      <c r="AW1098" s="3">
        <v>9</v>
      </c>
      <c r="AX1098" s="3">
        <v>9</v>
      </c>
      <c r="AY1098" s="3">
        <v>9.1</v>
      </c>
      <c r="AZ1098" s="3">
        <v>0</v>
      </c>
      <c r="BA1098" s="3">
        <v>0</v>
      </c>
      <c r="BB1098" s="3">
        <v>0</v>
      </c>
      <c r="BC1098" s="3">
        <v>39.385318580978591</v>
      </c>
      <c r="BD1098" s="3">
        <v>47.314681419021397</v>
      </c>
      <c r="BE1098" s="3">
        <v>46.714681419021403</v>
      </c>
      <c r="BF1098" s="3">
        <v>45.074681419021402</v>
      </c>
      <c r="BG1098" s="3">
        <v>40.601348085688073</v>
      </c>
      <c r="BH1098" s="3">
        <v>36.041348085688071</v>
      </c>
      <c r="BI1098" s="3">
        <v>36.554681419021406</v>
      </c>
      <c r="BJ1098" s="3">
        <v>40.048014752354746</v>
      </c>
      <c r="BK1098" s="3">
        <v>41.721348085688064</v>
      </c>
      <c r="BL1098" s="3">
        <v>43.39468141902141</v>
      </c>
      <c r="BM1098" s="3">
        <v>38.728014752354753</v>
      </c>
      <c r="BN1098" s="3">
        <v>38.811348085688067</v>
      </c>
      <c r="BO1098" s="3">
        <v>38.278014752354736</v>
      </c>
      <c r="BP1098" s="3">
        <v>36.594681419021413</v>
      </c>
      <c r="BQ1098" s="3">
        <v>35.01134808568807</v>
      </c>
      <c r="BR1098" s="3">
        <v>33.038014752354741</v>
      </c>
      <c r="BS1098" s="3">
        <v>31.941348085688077</v>
      </c>
      <c r="BT1098" s="3">
        <v>29.938014752354746</v>
      </c>
      <c r="BU1098" s="3">
        <v>26.304681419021406</v>
      </c>
      <c r="BV1098" s="3">
        <v>23.021348085688075</v>
      </c>
      <c r="BW1098" s="3">
        <v>20.854681419021411</v>
      </c>
      <c r="BX1098" s="3">
        <v>16.674681419021411</v>
      </c>
      <c r="BY1098" s="3">
        <v>15.094681419021406</v>
      </c>
      <c r="BZ1098" s="3">
        <v>17.624681419021414</v>
      </c>
      <c r="CA1098" s="3">
        <v>9.5246814190213982</v>
      </c>
      <c r="CB1098" s="3">
        <v>8.4613480856880727</v>
      </c>
      <c r="CC1098" s="3">
        <v>8.9746814190214081</v>
      </c>
      <c r="CD1098" s="3">
        <v>8.2813480856880801</v>
      </c>
      <c r="CE1098" s="3">
        <v>8.5746814190214025</v>
      </c>
      <c r="CF1098" s="3">
        <v>-0.91198524764526212</v>
      </c>
      <c r="CG1098" s="3">
        <v>-1.4453185809785936</v>
      </c>
      <c r="CH1098" s="3">
        <v>-2.5219852476452616</v>
      </c>
      <c r="CI1098" s="13">
        <f>[1]!dbasum(RecData[[#This Row],[20]:[2000]],RecData[[#Headers],[20]:[2000]])</f>
        <v>39.226807904622191</v>
      </c>
      <c r="CJ1098" s="14">
        <v>10682</v>
      </c>
      <c r="CK1098" s="15" t="s">
        <v>249</v>
      </c>
      <c r="CL1098" s="15">
        <f>RecData[[#This Row],[Start Time]]</f>
        <v>43275.972916666666</v>
      </c>
      <c r="CM1098" s="16">
        <f>RecData[[#This Row],[Wind Speed avg]]</f>
        <v>0.3</v>
      </c>
      <c r="CN1098" s="16">
        <f>RecData[[#This Row],[Wind Dir. avg]]</f>
        <v>248.3</v>
      </c>
      <c r="CO1098" s="16">
        <f>RecData[[#This Row],[Amb. Humidity]]</f>
        <v>45.8</v>
      </c>
      <c r="CP1098" s="16">
        <f>RecData[[#This Row],[Amb. Temperature]]</f>
        <v>13.8</v>
      </c>
      <c r="CQ1098" s="17">
        <f>RecData[[#This Row],[Amb. Rain Gauge]]</f>
        <v>0</v>
      </c>
      <c r="CR1098" s="4" t="s">
        <v>1</v>
      </c>
      <c r="CS1098" s="4" t="s">
        <v>49</v>
      </c>
      <c r="CT1098" s="70">
        <v>1617.69140625</v>
      </c>
      <c r="CU1098" s="70">
        <v>21.000175476074201</v>
      </c>
      <c r="CV1098" s="70">
        <v>10.735968589782701</v>
      </c>
      <c r="CW1098" s="70">
        <v>15.3374986648559</v>
      </c>
      <c r="CX1098" s="4"/>
      <c r="CY1098" s="69"/>
      <c r="CZ1098" s="2" t="b">
        <f>IF($DP$1="YES",IF(RecData[[#This Row],[Power (kW)]]&gt;=$CR$3, TRUE,FALSE),TRUE)</f>
        <v>1</v>
      </c>
      <c r="DA1098" s="16">
        <f>MIN(MOD(180-ABS(ABS($DA$1-RecData[Yaw Angle (°)])-180),360),MOD(180-ABS(ABS($DB$1-RecData[Yaw Angle (°)])-180),360))</f>
        <v>13.470248698386655</v>
      </c>
      <c r="DB1098" s="2" t="str">
        <f>IF($DP$2="None","None",IF(RecData[[#This Row],[Relative Wind Direction]]&lt;=45,"DW",IF(RecData[[#This Row],[Relative Wind Direction]]&lt;=135,"CW","UW")))</f>
        <v>DW</v>
      </c>
      <c r="DC1098" s="61">
        <f>IF($CL1098-$CL1094&gt;1/24,#REF!,IF(SUM($CQ1094:$CQ1098)&gt;$DS$1,$DS$5,DC1099-1))</f>
        <v>-3</v>
      </c>
      <c r="DD1098" s="61">
        <f>IF($CL1099-$CL1098&gt;1/24,#REF!,IF(SUM($CQ1094:$CQ1098)&gt;$DS$1,$DS$6,DD1097-1))</f>
        <v>-8</v>
      </c>
      <c r="DE1098" s="18" t="b">
        <v>0</v>
      </c>
      <c r="DF1098" s="2" t="b">
        <f>IF(OR(RecData[[#This Row],[WSpd_Avg '[m/s']]]-RecData[[#This Row],[Wind Speed min]]&gt;=$DF$3,RecData[[#This Row],[Wind Speed max]]-RecData[[#This Row],[WSpd_Avg '[m/s']]]&gt;=$DF$2),TRUE,FALSE)</f>
        <v>0</v>
      </c>
      <c r="DG1098" s="2" t="b">
        <f>RecData[[#This Row],[Temperature '[°C']]]&lt;=-20</f>
        <v>0</v>
      </c>
      <c r="DH1098" s="18" t="b">
        <f>NOT(OR(MOD(RecData[[#This Row],[TIMESTAMP]],1)&gt;0.91632,MOD(RecData[[#This Row],[TIMESTAMP]],1)&lt;0.208681))</f>
        <v>0</v>
      </c>
      <c r="DI1098" s="18" t="b">
        <f>RecData[[#This Row],[Overall (dBA)]]-RecData[[#This Row],[L90]]&gt;=$DS$4</f>
        <v>0</v>
      </c>
      <c r="DJ1098" s="18" t="b">
        <f>RecData[[#This Row],[Overall (dBA)]]&gt;$DS$2</f>
        <v>0</v>
      </c>
      <c r="DK1098" s="18" t="b">
        <f>RecData[[#This Row],[Overall (dBA)]]&lt;$DS$3</f>
        <v>0</v>
      </c>
      <c r="DL10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8" s="2">
        <f>IF(AND(RecData[[#This Row],[Turbines ON/OFF]] = "OFF", NOT(OR(RecData[[#This Row],[Junk?]]="YES",RecData[[#This Row],[Gust?]],RecData[[#This Row],[Rain?]:[Min SPL Threshold?]]))),1,0)</f>
        <v>0</v>
      </c>
      <c r="DN1098" s="16">
        <f>RecData[[#This Row],[dBA Sum]]</f>
        <v>39.226807904622191</v>
      </c>
      <c r="DO1098" s="16">
        <f>RecData[[#This Row],[LAF90.0]]</f>
        <v>37.799999999999997</v>
      </c>
      <c r="DP1098" s="55">
        <f>IF(AND(RecData[[#This Row],[Useable TON Data?]],RecData[[#This Row],[Turbines ON/OFF]]="ON"),RecData[[#This Row],[dBA Sum]],"")</f>
        <v>39.226807904622191</v>
      </c>
      <c r="DQ1098" s="55" t="str">
        <f>IF(AND(RecData[[#This Row],[Useable Background Data?]],RecData[[#This Row],[Turbines ON/OFF]]="OFF"),RecData[[#This Row],[dBA Sum]],"")</f>
        <v/>
      </c>
      <c r="DR1098" s="3">
        <f>IF(OR(RecData[[#This Row],[Useable TON Data?]],RecData[[#This Row],[Useable Background Data?]]),ROUND(RecData[[#This Row],[WSpd_Avg '[m/s']]],0),"")</f>
        <v>0</v>
      </c>
      <c r="DS1098" s="85">
        <f>(0.00002)^2*(10^(RecData[[#This Row],[Overall (dBA)]]/10))</f>
        <v>3.3476556732587878E-6</v>
      </c>
    </row>
    <row r="1099" spans="1:123" ht="15" x14ac:dyDescent="0.25">
      <c r="A1099" s="3" t="s">
        <v>249</v>
      </c>
      <c r="B1099" s="12">
        <v>43275.973611111112</v>
      </c>
      <c r="C1099" s="3"/>
      <c r="D1099" s="3">
        <v>39.4</v>
      </c>
      <c r="E1099" s="3"/>
      <c r="F1099" s="3"/>
      <c r="G1099" s="3"/>
      <c r="H1099" s="3"/>
      <c r="I1099" s="3"/>
      <c r="J1099" s="3"/>
      <c r="K1099" s="3">
        <v>38.1</v>
      </c>
      <c r="L1099" s="3"/>
      <c r="M1099" s="3"/>
      <c r="N1099" s="3">
        <v>213.4</v>
      </c>
      <c r="O1099" s="3"/>
      <c r="P1099" s="3"/>
      <c r="Q1099" s="3">
        <v>0.26</v>
      </c>
      <c r="R1099" s="3">
        <v>0.1</v>
      </c>
      <c r="S1099" s="3">
        <v>0.5</v>
      </c>
      <c r="T1099" s="3">
        <v>13.7</v>
      </c>
      <c r="U1099" s="3">
        <v>46</v>
      </c>
      <c r="V1099" s="3">
        <v>976.7</v>
      </c>
      <c r="W1099" s="3">
        <v>0</v>
      </c>
      <c r="X1099" s="3">
        <v>45.8</v>
      </c>
      <c r="Y1099" s="3">
        <v>46.7</v>
      </c>
      <c r="Z1099" s="3">
        <v>45.9</v>
      </c>
      <c r="AA1099" s="3">
        <v>40.799999999999997</v>
      </c>
      <c r="AB1099" s="3">
        <v>36</v>
      </c>
      <c r="AC1099" s="3">
        <v>35.9</v>
      </c>
      <c r="AD1099" s="3">
        <v>40.200000000000003</v>
      </c>
      <c r="AE1099" s="3">
        <v>42.1</v>
      </c>
      <c r="AF1099" s="3">
        <v>43.9</v>
      </c>
      <c r="AG1099" s="3">
        <v>37.6</v>
      </c>
      <c r="AH1099" s="3">
        <v>38.799999999999997</v>
      </c>
      <c r="AI1099" s="3">
        <v>38.1</v>
      </c>
      <c r="AJ1099" s="3">
        <v>37.299999999999997</v>
      </c>
      <c r="AK1099" s="3">
        <v>35.200000000000003</v>
      </c>
      <c r="AL1099" s="3">
        <v>32.799999999999997</v>
      </c>
      <c r="AM1099" s="3">
        <v>32</v>
      </c>
      <c r="AN1099" s="3">
        <v>29.8</v>
      </c>
      <c r="AO1099" s="3">
        <v>26.5</v>
      </c>
      <c r="AP1099" s="3">
        <v>23.7</v>
      </c>
      <c r="AQ1099" s="3">
        <v>20.6</v>
      </c>
      <c r="AR1099" s="3">
        <v>17.2</v>
      </c>
      <c r="AS1099" s="3">
        <v>16.3</v>
      </c>
      <c r="AT1099" s="3">
        <v>19</v>
      </c>
      <c r="AU1099" s="3">
        <v>10</v>
      </c>
      <c r="AV1099" s="3">
        <v>9.6999999999999993</v>
      </c>
      <c r="AW1099" s="3">
        <v>9.4</v>
      </c>
      <c r="AX1099" s="3">
        <v>9</v>
      </c>
      <c r="AY1099" s="3">
        <v>9.1</v>
      </c>
      <c r="AZ1099" s="3">
        <v>0</v>
      </c>
      <c r="BA1099" s="3">
        <v>0</v>
      </c>
      <c r="BB1099" s="3">
        <v>0</v>
      </c>
      <c r="BC1099" s="3">
        <v>39.421284259261867</v>
      </c>
      <c r="BD1099" s="3">
        <v>45.778715740738122</v>
      </c>
      <c r="BE1099" s="3">
        <v>46.678715740738127</v>
      </c>
      <c r="BF1099" s="3">
        <v>44.638715740738135</v>
      </c>
      <c r="BG1099" s="3">
        <v>39.865382407404795</v>
      </c>
      <c r="BH1099" s="3">
        <v>35.205382407404798</v>
      </c>
      <c r="BI1099" s="3">
        <v>35.518715740738131</v>
      </c>
      <c r="BJ1099" s="3">
        <v>40.612049074071464</v>
      </c>
      <c r="BK1099" s="3">
        <v>42.385382407404805</v>
      </c>
      <c r="BL1099" s="3">
        <v>43.75871574073814</v>
      </c>
      <c r="BM1099" s="3">
        <v>37.592049074071468</v>
      </c>
      <c r="BN1099" s="3">
        <v>39.075382407404803</v>
      </c>
      <c r="BO1099" s="3">
        <v>37.74204907407146</v>
      </c>
      <c r="BP1099" s="3">
        <v>36.658715740738131</v>
      </c>
      <c r="BQ1099" s="3">
        <v>34.975382407404794</v>
      </c>
      <c r="BR1099" s="3">
        <v>32.902049074071456</v>
      </c>
      <c r="BS1099" s="3">
        <v>31.905382407404801</v>
      </c>
      <c r="BT1099" s="3">
        <v>29.902049074071471</v>
      </c>
      <c r="BU1099" s="3">
        <v>26.568715740738142</v>
      </c>
      <c r="BV1099" s="3">
        <v>23.485382407404799</v>
      </c>
      <c r="BW1099" s="3">
        <v>20.918715740738136</v>
      </c>
      <c r="BX1099" s="3">
        <v>17.438715740738132</v>
      </c>
      <c r="BY1099" s="3">
        <v>16.358715740738134</v>
      </c>
      <c r="BZ1099" s="3">
        <v>19.188715740738132</v>
      </c>
      <c r="CA1099" s="3">
        <v>10.288715740738127</v>
      </c>
      <c r="CB1099" s="3">
        <v>9.4253824074047969</v>
      </c>
      <c r="CC1099" s="3">
        <v>9.3387157407381309</v>
      </c>
      <c r="CD1099" s="3">
        <v>8.2453824074048043</v>
      </c>
      <c r="CE1099" s="3">
        <v>8.5387157407381267</v>
      </c>
      <c r="CF1099" s="3">
        <v>-0.94795092592853791</v>
      </c>
      <c r="CG1099" s="3">
        <v>-1.4812842592618694</v>
      </c>
      <c r="CH1099" s="3">
        <v>-2.5579509259285373</v>
      </c>
      <c r="CI1099" s="13">
        <f>[1]!dbasum(RecData[[#This Row],[20]:[2000]],RecData[[#Headers],[20]:[2000]])</f>
        <v>39.205982371525678</v>
      </c>
      <c r="CJ1099" s="14">
        <v>10683</v>
      </c>
      <c r="CK1099" s="15" t="s">
        <v>249</v>
      </c>
      <c r="CL1099" s="15">
        <f>RecData[[#This Row],[Start Time]]</f>
        <v>43275.973611111112</v>
      </c>
      <c r="CM1099" s="16">
        <f>RecData[[#This Row],[Wind Speed avg]]</f>
        <v>0.26</v>
      </c>
      <c r="CN1099" s="16">
        <f>RecData[[#This Row],[Wind Dir. avg]]</f>
        <v>213.4</v>
      </c>
      <c r="CO1099" s="16">
        <f>RecData[[#This Row],[Amb. Humidity]]</f>
        <v>46</v>
      </c>
      <c r="CP1099" s="16">
        <f>RecData[[#This Row],[Amb. Temperature]]</f>
        <v>13.7</v>
      </c>
      <c r="CQ1099" s="17">
        <f>RecData[[#This Row],[Amb. Rain Gauge]]</f>
        <v>0</v>
      </c>
      <c r="CR1099" s="4" t="s">
        <v>1</v>
      </c>
      <c r="CS1099" s="4" t="s">
        <v>49</v>
      </c>
      <c r="CT1099" s="70">
        <v>1617.69140625</v>
      </c>
      <c r="CU1099" s="70">
        <v>21.000175476074201</v>
      </c>
      <c r="CV1099" s="70">
        <v>10.735968589782701</v>
      </c>
      <c r="CW1099" s="70">
        <v>15.3374986648559</v>
      </c>
      <c r="CX1099" s="4"/>
      <c r="CY1099" s="69"/>
      <c r="CZ1099" s="2" t="b">
        <f>IF($DP$1="YES",IF(RecData[[#This Row],[Power (kW)]]&gt;=$CR$3, TRUE,FALSE),TRUE)</f>
        <v>1</v>
      </c>
      <c r="DA1099" s="16">
        <f>MIN(MOD(180-ABS(ABS($DA$1-RecData[Yaw Angle (°)])-180),360),MOD(180-ABS(ABS($DB$1-RecData[Yaw Angle (°)])-180),360))</f>
        <v>13.470248698386655</v>
      </c>
      <c r="DB1099" s="2" t="str">
        <f>IF($DP$2="None","None",IF(RecData[[#This Row],[Relative Wind Direction]]&lt;=45,"DW",IF(RecData[[#This Row],[Relative Wind Direction]]&lt;=135,"CW","UW")))</f>
        <v>DW</v>
      </c>
      <c r="DC1099" s="61">
        <f>IF($CL1099-$CL1095&gt;1/24,#REF!,IF(SUM($CQ1095:$CQ1099)&gt;$DS$1,$DS$5,DC1100-1))</f>
        <v>-2</v>
      </c>
      <c r="DD1099" s="61">
        <f>IF($CL1100-$CL1099&gt;1/24,#REF!,IF(SUM($CQ1095:$CQ1099)&gt;$DS$1,$DS$6,DD1098-1))</f>
        <v>-9</v>
      </c>
      <c r="DE1099" s="18" t="b">
        <v>0</v>
      </c>
      <c r="DF1099" s="2" t="b">
        <f>IF(OR(RecData[[#This Row],[WSpd_Avg '[m/s']]]-RecData[[#This Row],[Wind Speed min]]&gt;=$DF$3,RecData[[#This Row],[Wind Speed max]]-RecData[[#This Row],[WSpd_Avg '[m/s']]]&gt;=$DF$2),TRUE,FALSE)</f>
        <v>0</v>
      </c>
      <c r="DG1099" s="2" t="b">
        <f>RecData[[#This Row],[Temperature '[°C']]]&lt;=-20</f>
        <v>0</v>
      </c>
      <c r="DH1099" s="18" t="b">
        <f>NOT(OR(MOD(RecData[[#This Row],[TIMESTAMP]],1)&gt;0.91632,MOD(RecData[[#This Row],[TIMESTAMP]],1)&lt;0.208681))</f>
        <v>0</v>
      </c>
      <c r="DI1099" s="18" t="b">
        <f>RecData[[#This Row],[Overall (dBA)]]-RecData[[#This Row],[L90]]&gt;=$DS$4</f>
        <v>0</v>
      </c>
      <c r="DJ1099" s="18" t="b">
        <f>RecData[[#This Row],[Overall (dBA)]]&gt;$DS$2</f>
        <v>0</v>
      </c>
      <c r="DK1099" s="18" t="b">
        <f>RecData[[#This Row],[Overall (dBA)]]&lt;$DS$3</f>
        <v>0</v>
      </c>
      <c r="DL10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099" s="2">
        <f>IF(AND(RecData[[#This Row],[Turbines ON/OFF]] = "OFF", NOT(OR(RecData[[#This Row],[Junk?]]="YES",RecData[[#This Row],[Gust?]],RecData[[#This Row],[Rain?]:[Min SPL Threshold?]]))),1,0)</f>
        <v>0</v>
      </c>
      <c r="DN1099" s="16">
        <f>RecData[[#This Row],[dBA Sum]]</f>
        <v>39.205982371525678</v>
      </c>
      <c r="DO1099" s="16">
        <f>RecData[[#This Row],[LAF90.0]]</f>
        <v>38.1</v>
      </c>
      <c r="DP1099" s="55">
        <f>IF(AND(RecData[[#This Row],[Useable TON Data?]],RecData[[#This Row],[Turbines ON/OFF]]="ON"),RecData[[#This Row],[dBA Sum]],"")</f>
        <v>39.205982371525678</v>
      </c>
      <c r="DQ1099" s="55" t="str">
        <f>IF(AND(RecData[[#This Row],[Useable Background Data?]],RecData[[#This Row],[Turbines ON/OFF]]="OFF"),RecData[[#This Row],[dBA Sum]],"")</f>
        <v/>
      </c>
      <c r="DR1099" s="3">
        <f>IF(OR(RecData[[#This Row],[Useable TON Data?]],RecData[[#This Row],[Useable Background Data?]]),ROUND(RecData[[#This Row],[WSpd_Avg '[m/s']]],0),"")</f>
        <v>0</v>
      </c>
      <c r="DS1099" s="85">
        <f>(0.00002)^2*(10^(RecData[[#This Row],[Overall (dBA)]]/10))</f>
        <v>3.3316412339721388E-6</v>
      </c>
    </row>
    <row r="1100" spans="1:123" ht="15" x14ac:dyDescent="0.25">
      <c r="A1100" s="3" t="s">
        <v>249</v>
      </c>
      <c r="B1100" s="12">
        <v>43275.974305555559</v>
      </c>
      <c r="C1100" s="3"/>
      <c r="D1100" s="3">
        <v>39.700000000000003</v>
      </c>
      <c r="E1100" s="3"/>
      <c r="F1100" s="3"/>
      <c r="G1100" s="3"/>
      <c r="H1100" s="3"/>
      <c r="I1100" s="3"/>
      <c r="J1100" s="3"/>
      <c r="K1100" s="3">
        <v>38.299999999999997</v>
      </c>
      <c r="L1100" s="3"/>
      <c r="M1100" s="3"/>
      <c r="N1100" s="3">
        <v>265.3</v>
      </c>
      <c r="O1100" s="3"/>
      <c r="P1100" s="3"/>
      <c r="Q1100" s="3">
        <v>0.46</v>
      </c>
      <c r="R1100" s="3">
        <v>0.2</v>
      </c>
      <c r="S1100" s="3">
        <v>1</v>
      </c>
      <c r="T1100" s="3">
        <v>13.7</v>
      </c>
      <c r="U1100" s="3">
        <v>46.5</v>
      </c>
      <c r="V1100" s="3">
        <v>976.7</v>
      </c>
      <c r="W1100" s="3">
        <v>0</v>
      </c>
      <c r="X1100" s="3">
        <v>46.7</v>
      </c>
      <c r="Y1100" s="3">
        <v>46.2</v>
      </c>
      <c r="Z1100" s="3">
        <v>46.1</v>
      </c>
      <c r="AA1100" s="3">
        <v>41.1</v>
      </c>
      <c r="AB1100" s="3">
        <v>35.799999999999997</v>
      </c>
      <c r="AC1100" s="3">
        <v>35.299999999999997</v>
      </c>
      <c r="AD1100" s="3">
        <v>39</v>
      </c>
      <c r="AE1100" s="3">
        <v>41.9</v>
      </c>
      <c r="AF1100" s="3">
        <v>44.1</v>
      </c>
      <c r="AG1100" s="3">
        <v>38.4</v>
      </c>
      <c r="AH1100" s="3">
        <v>39.200000000000003</v>
      </c>
      <c r="AI1100" s="3">
        <v>38.4</v>
      </c>
      <c r="AJ1100" s="3">
        <v>37.6</v>
      </c>
      <c r="AK1100" s="3">
        <v>35.299999999999997</v>
      </c>
      <c r="AL1100" s="3">
        <v>33</v>
      </c>
      <c r="AM1100" s="3">
        <v>32.6</v>
      </c>
      <c r="AN1100" s="3">
        <v>30.4</v>
      </c>
      <c r="AO1100" s="3">
        <v>26.8</v>
      </c>
      <c r="AP1100" s="3">
        <v>24.3</v>
      </c>
      <c r="AQ1100" s="3">
        <v>20.8</v>
      </c>
      <c r="AR1100" s="3">
        <v>17.100000000000001</v>
      </c>
      <c r="AS1100" s="3">
        <v>15.2</v>
      </c>
      <c r="AT1100" s="3">
        <v>17.899999999999999</v>
      </c>
      <c r="AU1100" s="3">
        <v>10.3</v>
      </c>
      <c r="AV1100" s="3">
        <v>9.9</v>
      </c>
      <c r="AW1100" s="3">
        <v>9.6</v>
      </c>
      <c r="AX1100" s="3">
        <v>9.1</v>
      </c>
      <c r="AY1100" s="3">
        <v>9.1999999999999993</v>
      </c>
      <c r="AZ1100" s="3">
        <v>0</v>
      </c>
      <c r="BA1100" s="3">
        <v>0</v>
      </c>
      <c r="BB1100" s="3">
        <v>0</v>
      </c>
      <c r="BC1100" s="3">
        <v>39.729610491567549</v>
      </c>
      <c r="BD1100" s="3">
        <v>46.670389508432457</v>
      </c>
      <c r="BE1100" s="3">
        <v>46.170389508432457</v>
      </c>
      <c r="BF1100" s="3">
        <v>44.830389508432454</v>
      </c>
      <c r="BG1100" s="3">
        <v>40.157056175099122</v>
      </c>
      <c r="BH1100" s="3">
        <v>34.997056175099111</v>
      </c>
      <c r="BI1100" s="3">
        <v>34.910389508432452</v>
      </c>
      <c r="BJ1100" s="3">
        <v>39.403722841765777</v>
      </c>
      <c r="BK1100" s="3">
        <v>42.177056175099118</v>
      </c>
      <c r="BL1100" s="3">
        <v>43.950389508432458</v>
      </c>
      <c r="BM1100" s="3">
        <v>38.383722841765795</v>
      </c>
      <c r="BN1100" s="3">
        <v>39.467056175099124</v>
      </c>
      <c r="BO1100" s="3">
        <v>38.033722841765787</v>
      </c>
      <c r="BP1100" s="3">
        <v>36.950389508432458</v>
      </c>
      <c r="BQ1100" s="3">
        <v>35.067056175099104</v>
      </c>
      <c r="BR1100" s="3">
        <v>33.093722841765789</v>
      </c>
      <c r="BS1100" s="3">
        <v>32.497056175099125</v>
      </c>
      <c r="BT1100" s="3">
        <v>30.493722841765781</v>
      </c>
      <c r="BU1100" s="3">
        <v>26.860389508432455</v>
      </c>
      <c r="BV1100" s="3">
        <v>24.077056175099123</v>
      </c>
      <c r="BW1100" s="3">
        <v>21.110389508432455</v>
      </c>
      <c r="BX1100" s="3">
        <v>17.330389508432461</v>
      </c>
      <c r="BY1100" s="3">
        <v>15.250389508432455</v>
      </c>
      <c r="BZ1100" s="3">
        <v>18.080389508432454</v>
      </c>
      <c r="CA1100" s="3">
        <v>10.580389508432447</v>
      </c>
      <c r="CB1100" s="3">
        <v>9.6170561750991155</v>
      </c>
      <c r="CC1100" s="3">
        <v>9.5303895084324566</v>
      </c>
      <c r="CD1100" s="3">
        <v>8.3370561750991286</v>
      </c>
      <c r="CE1100" s="3">
        <v>8.6303895084324509</v>
      </c>
      <c r="CF1100" s="3">
        <v>-0.95627715823421511</v>
      </c>
      <c r="CG1100" s="3">
        <v>-1.4896104915675465</v>
      </c>
      <c r="CH1100" s="3">
        <v>-2.5662771582342145</v>
      </c>
      <c r="CI1100" s="13">
        <f>[1]!dbasum(RecData[[#This Row],[20]:[2000]],RecData[[#Headers],[20]:[2000]])</f>
        <v>39.529301685933085</v>
      </c>
      <c r="CJ1100" s="14">
        <v>10684</v>
      </c>
      <c r="CK1100" s="15" t="s">
        <v>249</v>
      </c>
      <c r="CL1100" s="15">
        <f>RecData[[#This Row],[Start Time]]</f>
        <v>43275.974305555559</v>
      </c>
      <c r="CM1100" s="16">
        <f>RecData[[#This Row],[Wind Speed avg]]</f>
        <v>0.46</v>
      </c>
      <c r="CN1100" s="16">
        <f>RecData[[#This Row],[Wind Dir. avg]]</f>
        <v>265.3</v>
      </c>
      <c r="CO1100" s="16">
        <f>RecData[[#This Row],[Amb. Humidity]]</f>
        <v>46.5</v>
      </c>
      <c r="CP1100" s="16">
        <f>RecData[[#This Row],[Amb. Temperature]]</f>
        <v>13.7</v>
      </c>
      <c r="CQ1100" s="17">
        <f>RecData[[#This Row],[Amb. Rain Gauge]]</f>
        <v>0</v>
      </c>
      <c r="CR1100" s="4" t="s">
        <v>1</v>
      </c>
      <c r="CS1100" s="4" t="s">
        <v>49</v>
      </c>
      <c r="CT1100" s="70">
        <v>1617.69140625</v>
      </c>
      <c r="CU1100" s="70">
        <v>21.000175476074201</v>
      </c>
      <c r="CV1100" s="70">
        <v>10.735968589782701</v>
      </c>
      <c r="CW1100" s="70">
        <v>15.3374986648559</v>
      </c>
      <c r="CX1100" s="4"/>
      <c r="CY1100" s="69"/>
      <c r="CZ1100" s="2" t="b">
        <f>IF($DP$1="YES",IF(RecData[[#This Row],[Power (kW)]]&gt;=$CR$3, TRUE,FALSE),TRUE)</f>
        <v>1</v>
      </c>
      <c r="DA1100" s="16">
        <f>MIN(MOD(180-ABS(ABS($DA$1-RecData[Yaw Angle (°)])-180),360),MOD(180-ABS(ABS($DB$1-RecData[Yaw Angle (°)])-180),360))</f>
        <v>13.470248698386655</v>
      </c>
      <c r="DB1100" s="2" t="str">
        <f>IF($DP$2="None","None",IF(RecData[[#This Row],[Relative Wind Direction]]&lt;=45,"DW",IF(RecData[[#This Row],[Relative Wind Direction]]&lt;=135,"CW","UW")))</f>
        <v>DW</v>
      </c>
      <c r="DC1100" s="61">
        <v>-1</v>
      </c>
      <c r="DD1100" s="61">
        <v>-1</v>
      </c>
      <c r="DE1100" s="18" t="b">
        <v>0</v>
      </c>
      <c r="DF1100" s="2" t="b">
        <f>IF(OR(RecData[[#This Row],[WSpd_Avg '[m/s']]]-RecData[[#This Row],[Wind Speed min]]&gt;=$DF$3,RecData[[#This Row],[Wind Speed max]]-RecData[[#This Row],[WSpd_Avg '[m/s']]]&gt;=$DF$2),TRUE,FALSE)</f>
        <v>0</v>
      </c>
      <c r="DG1100" s="2" t="b">
        <f>RecData[[#This Row],[Temperature '[°C']]]&lt;=-20</f>
        <v>0</v>
      </c>
      <c r="DH1100" s="18" t="b">
        <f>NOT(OR(MOD(RecData[[#This Row],[TIMESTAMP]],1)&gt;0.91632,MOD(RecData[[#This Row],[TIMESTAMP]],1)&lt;0.208681))</f>
        <v>0</v>
      </c>
      <c r="DI1100" s="18" t="b">
        <f>RecData[[#This Row],[Overall (dBA)]]-RecData[[#This Row],[L90]]&gt;=$DS$4</f>
        <v>0</v>
      </c>
      <c r="DJ1100" s="18" t="b">
        <f>RecData[[#This Row],[Overall (dBA)]]&gt;$DS$2</f>
        <v>0</v>
      </c>
      <c r="DK1100" s="18" t="b">
        <f>RecData[[#This Row],[Overall (dBA)]]&lt;$DS$3</f>
        <v>0</v>
      </c>
      <c r="DL11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0" s="2">
        <f>IF(AND(RecData[[#This Row],[Turbines ON/OFF]] = "OFF", NOT(OR(RecData[[#This Row],[Junk?]]="YES",RecData[[#This Row],[Gust?]],RecData[[#This Row],[Rain?]:[Min SPL Threshold?]]))),1,0)</f>
        <v>0</v>
      </c>
      <c r="DN1100" s="16">
        <f>RecData[[#This Row],[dBA Sum]]</f>
        <v>39.529301685933085</v>
      </c>
      <c r="DO1100" s="16">
        <f>RecData[[#This Row],[LAF90.0]]</f>
        <v>38.299999999999997</v>
      </c>
      <c r="DP1100" s="55">
        <f>IF(AND(RecData[[#This Row],[Useable TON Data?]],RecData[[#This Row],[Turbines ON/OFF]]="ON"),RecData[[#This Row],[dBA Sum]],"")</f>
        <v>39.529301685933085</v>
      </c>
      <c r="DQ1100" s="55" t="str">
        <f>IF(AND(RecData[[#This Row],[Useable Background Data?]],RecData[[#This Row],[Turbines ON/OFF]]="OFF"),RecData[[#This Row],[dBA Sum]],"")</f>
        <v/>
      </c>
      <c r="DR1100" s="3">
        <f>IF(OR(RecData[[#This Row],[Useable TON Data?]],RecData[[#This Row],[Useable Background Data?]]),ROUND(RecData[[#This Row],[WSpd_Avg '[m/s']]],0),"")</f>
        <v>0</v>
      </c>
      <c r="DS1100" s="85">
        <f>(0.00002)^2*(10^(RecData[[#This Row],[Overall (dBA)]]/10))</f>
        <v>3.5891380242083353E-6</v>
      </c>
    </row>
    <row r="1101" spans="1:123" ht="15" x14ac:dyDescent="0.25">
      <c r="A1101" s="3" t="s">
        <v>249</v>
      </c>
      <c r="B1101" s="12">
        <v>43275.975000000006</v>
      </c>
      <c r="C1101" s="3"/>
      <c r="D1101" s="3">
        <v>39.1</v>
      </c>
      <c r="E1101" s="3"/>
      <c r="F1101" s="3"/>
      <c r="G1101" s="3"/>
      <c r="H1101" s="3"/>
      <c r="I1101" s="3"/>
      <c r="J1101" s="3"/>
      <c r="K1101" s="3">
        <v>37.700000000000003</v>
      </c>
      <c r="L1101" s="3"/>
      <c r="M1101" s="3"/>
      <c r="N1101" s="3">
        <v>271</v>
      </c>
      <c r="O1101" s="3"/>
      <c r="P1101" s="3"/>
      <c r="Q1101" s="3">
        <v>0.85</v>
      </c>
      <c r="R1101" s="3">
        <v>0.5</v>
      </c>
      <c r="S1101" s="3">
        <v>1.7</v>
      </c>
      <c r="T1101" s="3">
        <v>13.7</v>
      </c>
      <c r="U1101" s="3">
        <v>46.2</v>
      </c>
      <c r="V1101" s="3">
        <v>976.7</v>
      </c>
      <c r="W1101" s="3">
        <v>0</v>
      </c>
      <c r="X1101" s="3">
        <v>46.6</v>
      </c>
      <c r="Y1101" s="3">
        <v>46.3</v>
      </c>
      <c r="Z1101" s="3">
        <v>45.4</v>
      </c>
      <c r="AA1101" s="3">
        <v>40.799999999999997</v>
      </c>
      <c r="AB1101" s="3">
        <v>36</v>
      </c>
      <c r="AC1101" s="3">
        <v>35.5</v>
      </c>
      <c r="AD1101" s="3">
        <v>39</v>
      </c>
      <c r="AE1101" s="3">
        <v>41.3</v>
      </c>
      <c r="AF1101" s="3">
        <v>43.4</v>
      </c>
      <c r="AG1101" s="3">
        <v>37.4</v>
      </c>
      <c r="AH1101" s="3">
        <v>37.299999999999997</v>
      </c>
      <c r="AI1101" s="3">
        <v>37.1</v>
      </c>
      <c r="AJ1101" s="3">
        <v>36.299999999999997</v>
      </c>
      <c r="AK1101" s="3">
        <v>34.5</v>
      </c>
      <c r="AL1101" s="3">
        <v>32.5</v>
      </c>
      <c r="AM1101" s="3">
        <v>32.1</v>
      </c>
      <c r="AN1101" s="3">
        <v>30.2</v>
      </c>
      <c r="AO1101" s="3">
        <v>27</v>
      </c>
      <c r="AP1101" s="3">
        <v>24.4</v>
      </c>
      <c r="AQ1101" s="3">
        <v>21.5</v>
      </c>
      <c r="AR1101" s="3">
        <v>18.2</v>
      </c>
      <c r="AS1101" s="3">
        <v>17.899999999999999</v>
      </c>
      <c r="AT1101" s="3">
        <v>20.2</v>
      </c>
      <c r="AU1101" s="3">
        <v>11</v>
      </c>
      <c r="AV1101" s="3">
        <v>10.1</v>
      </c>
      <c r="AW1101" s="3">
        <v>9.8000000000000007</v>
      </c>
      <c r="AX1101" s="3">
        <v>9.1</v>
      </c>
      <c r="AY1101" s="3">
        <v>9.1999999999999993</v>
      </c>
      <c r="AZ1101" s="3">
        <v>0</v>
      </c>
      <c r="BA1101" s="3">
        <v>0</v>
      </c>
      <c r="BB1101" s="3">
        <v>0</v>
      </c>
      <c r="BC1101" s="3">
        <v>39.094761793606615</v>
      </c>
      <c r="BD1101" s="3">
        <v>46.605238206393388</v>
      </c>
      <c r="BE1101" s="3">
        <v>46.30523820639339</v>
      </c>
      <c r="BF1101" s="3">
        <v>44.165238206393376</v>
      </c>
      <c r="BG1101" s="3">
        <v>39.891904873060049</v>
      </c>
      <c r="BH1101" s="3">
        <v>35.231904873060053</v>
      </c>
      <c r="BI1101" s="3">
        <v>35.145238206393394</v>
      </c>
      <c r="BJ1101" s="3">
        <v>39.438571539726716</v>
      </c>
      <c r="BK1101" s="3">
        <v>41.611904873060048</v>
      </c>
      <c r="BL1101" s="3">
        <v>43.28523820639338</v>
      </c>
      <c r="BM1101" s="3">
        <v>37.41857153972672</v>
      </c>
      <c r="BN1101" s="3">
        <v>37.601904873060043</v>
      </c>
      <c r="BO1101" s="3">
        <v>36.768571539726729</v>
      </c>
      <c r="BP1101" s="3">
        <v>35.685238206393386</v>
      </c>
      <c r="BQ1101" s="3">
        <v>34.301904873060046</v>
      </c>
      <c r="BR1101" s="3">
        <v>32.628571539726714</v>
      </c>
      <c r="BS1101" s="3">
        <v>32.03190487306005</v>
      </c>
      <c r="BT1101" s="3">
        <v>30.328571539726717</v>
      </c>
      <c r="BU1101" s="3">
        <v>27.095238206393383</v>
      </c>
      <c r="BV1101" s="3">
        <v>24.211904873060057</v>
      </c>
      <c r="BW1101" s="3">
        <v>21.84523820639339</v>
      </c>
      <c r="BX1101" s="3">
        <v>18.465238206393387</v>
      </c>
      <c r="BY1101" s="3">
        <v>17.985238206393383</v>
      </c>
      <c r="BZ1101" s="3">
        <v>20.41523820639339</v>
      </c>
      <c r="CA1101" s="3">
        <v>11.315238206393381</v>
      </c>
      <c r="CB1101" s="3">
        <v>9.8519048730600502</v>
      </c>
      <c r="CC1101" s="3">
        <v>9.7652382063933842</v>
      </c>
      <c r="CD1101" s="3">
        <v>8.3719048730600534</v>
      </c>
      <c r="CE1101" s="3">
        <v>8.6652382063933828</v>
      </c>
      <c r="CF1101" s="3">
        <v>-0.92142846027328318</v>
      </c>
      <c r="CG1101" s="3">
        <v>-1.4547617936066146</v>
      </c>
      <c r="CH1101" s="3">
        <v>-2.5314284602732826</v>
      </c>
      <c r="CI1101" s="13">
        <f>[1]!dbasum(RecData[[#This Row],[20]:[2000]],RecData[[#Headers],[20]:[2000]])</f>
        <v>38.877368510471271</v>
      </c>
      <c r="CJ1101" s="14">
        <v>10685</v>
      </c>
      <c r="CK1101" s="15" t="s">
        <v>249</v>
      </c>
      <c r="CL1101" s="15">
        <f>RecData[[#This Row],[Start Time]]</f>
        <v>43275.975000000006</v>
      </c>
      <c r="CM1101" s="16">
        <f>RecData[[#This Row],[Wind Speed avg]]</f>
        <v>0.85</v>
      </c>
      <c r="CN1101" s="16">
        <f>RecData[[#This Row],[Wind Dir. avg]]</f>
        <v>271</v>
      </c>
      <c r="CO1101" s="16">
        <f>RecData[[#This Row],[Amb. Humidity]]</f>
        <v>46.2</v>
      </c>
      <c r="CP1101" s="16">
        <f>RecData[[#This Row],[Amb. Temperature]]</f>
        <v>13.7</v>
      </c>
      <c r="CQ1101" s="17">
        <f>RecData[[#This Row],[Amb. Rain Gauge]]</f>
        <v>0</v>
      </c>
      <c r="CR1101" s="4" t="s">
        <v>1</v>
      </c>
      <c r="CS1101" s="4" t="s">
        <v>49</v>
      </c>
      <c r="CT1101" s="70">
        <v>1617.69140625</v>
      </c>
      <c r="CU1101" s="70">
        <v>21.000175476074201</v>
      </c>
      <c r="CV1101" s="70">
        <v>10.735968589782701</v>
      </c>
      <c r="CW1101" s="70">
        <v>15.3374986648559</v>
      </c>
      <c r="CX1101" s="4"/>
      <c r="CY1101" s="69"/>
      <c r="CZ1101" s="2" t="b">
        <f>IF($DP$1="YES",IF(RecData[[#This Row],[Power (kW)]]&gt;=$CR$3, TRUE,FALSE),TRUE)</f>
        <v>1</v>
      </c>
      <c r="DA1101" s="16">
        <f>MIN(MOD(180-ABS(ABS($DA$1-RecData[Yaw Angle (°)])-180),360),MOD(180-ABS(ABS($DB$1-RecData[Yaw Angle (°)])-180),360))</f>
        <v>13.470248698386655</v>
      </c>
      <c r="DB1101" s="2" t="str">
        <f>IF($DP$2="None","None",IF(RecData[[#This Row],[Relative Wind Direction]]&lt;=45,"DW",IF(RecData[[#This Row],[Relative Wind Direction]]&lt;=135,"CW","UW")))</f>
        <v>DW</v>
      </c>
      <c r="DC1101" s="61">
        <f>IF($CL1101-$CL1100&gt;1/24,#REF!,IF(SUM($CQ1100:$CQ1101)&gt;$DS$1,$DS$5,DC1102-1))</f>
        <v>-9</v>
      </c>
      <c r="DD1101" s="61">
        <f>IF($CL1102-$CL1101&gt;1/24,#REF!,IF(SUM($CQ1100:$CQ1101)&gt;$DS$1,$DS$6,DD1100-1))</f>
        <v>-2</v>
      </c>
      <c r="DE1101" s="18" t="b">
        <v>0</v>
      </c>
      <c r="DF1101" s="2" t="b">
        <f>IF(OR(RecData[[#This Row],[WSpd_Avg '[m/s']]]-RecData[[#This Row],[Wind Speed min]]&gt;=$DF$3,RecData[[#This Row],[Wind Speed max]]-RecData[[#This Row],[WSpd_Avg '[m/s']]]&gt;=$DF$2),TRUE,FALSE)</f>
        <v>0</v>
      </c>
      <c r="DG1101" s="2" t="b">
        <f>RecData[[#This Row],[Temperature '[°C']]]&lt;=-20</f>
        <v>0</v>
      </c>
      <c r="DH1101" s="18" t="b">
        <f>NOT(OR(MOD(RecData[[#This Row],[TIMESTAMP]],1)&gt;0.91632,MOD(RecData[[#This Row],[TIMESTAMP]],1)&lt;0.208681))</f>
        <v>0</v>
      </c>
      <c r="DI1101" s="18" t="b">
        <f>RecData[[#This Row],[Overall (dBA)]]-RecData[[#This Row],[L90]]&gt;=$DS$4</f>
        <v>0</v>
      </c>
      <c r="DJ1101" s="18" t="b">
        <f>RecData[[#This Row],[Overall (dBA)]]&gt;$DS$2</f>
        <v>0</v>
      </c>
      <c r="DK1101" s="18" t="b">
        <f>RecData[[#This Row],[Overall (dBA)]]&lt;$DS$3</f>
        <v>0</v>
      </c>
      <c r="DL11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1" s="2">
        <f>IF(AND(RecData[[#This Row],[Turbines ON/OFF]] = "OFF", NOT(OR(RecData[[#This Row],[Junk?]]="YES",RecData[[#This Row],[Gust?]],RecData[[#This Row],[Rain?]:[Min SPL Threshold?]]))),1,0)</f>
        <v>0</v>
      </c>
      <c r="DN1101" s="16">
        <f>RecData[[#This Row],[dBA Sum]]</f>
        <v>38.877368510471271</v>
      </c>
      <c r="DO1101" s="16">
        <f>RecData[[#This Row],[LAF90.0]]</f>
        <v>37.700000000000003</v>
      </c>
      <c r="DP1101" s="55">
        <f>IF(AND(RecData[[#This Row],[Useable TON Data?]],RecData[[#This Row],[Turbines ON/OFF]]="ON"),RecData[[#This Row],[dBA Sum]],"")</f>
        <v>38.877368510471271</v>
      </c>
      <c r="DQ1101" s="55" t="str">
        <f>IF(AND(RecData[[#This Row],[Useable Background Data?]],RecData[[#This Row],[Turbines ON/OFF]]="OFF"),RecData[[#This Row],[dBA Sum]],"")</f>
        <v/>
      </c>
      <c r="DR1101" s="3">
        <f>IF(OR(RecData[[#This Row],[Useable TON Data?]],RecData[[#This Row],[Useable Background Data?]]),ROUND(RecData[[#This Row],[WSpd_Avg '[m/s']]],0),"")</f>
        <v>1</v>
      </c>
      <c r="DS1101" s="85">
        <f>(0.00002)^2*(10^(RecData[[#This Row],[Overall (dBA)]]/10))</f>
        <v>3.0888501683280494E-6</v>
      </c>
    </row>
    <row r="1102" spans="1:123" ht="15" x14ac:dyDescent="0.25">
      <c r="A1102" s="3" t="s">
        <v>249</v>
      </c>
      <c r="B1102" s="12">
        <v>43275.975694444445</v>
      </c>
      <c r="C1102" s="3"/>
      <c r="D1102" s="3">
        <v>39.200000000000003</v>
      </c>
      <c r="E1102" s="3"/>
      <c r="F1102" s="3"/>
      <c r="G1102" s="3"/>
      <c r="H1102" s="3"/>
      <c r="I1102" s="3"/>
      <c r="J1102" s="3"/>
      <c r="K1102" s="3">
        <v>37.5</v>
      </c>
      <c r="L1102" s="3"/>
      <c r="M1102" s="3"/>
      <c r="N1102" s="3">
        <v>216</v>
      </c>
      <c r="O1102" s="3"/>
      <c r="P1102" s="3"/>
      <c r="Q1102" s="3">
        <v>0.88</v>
      </c>
      <c r="R1102" s="3">
        <v>0</v>
      </c>
      <c r="S1102" s="3">
        <v>1.8</v>
      </c>
      <c r="T1102" s="3">
        <v>13.7</v>
      </c>
      <c r="U1102" s="3">
        <v>46.9</v>
      </c>
      <c r="V1102" s="3">
        <v>976.7</v>
      </c>
      <c r="W1102" s="3">
        <v>0</v>
      </c>
      <c r="X1102" s="3">
        <v>46.4</v>
      </c>
      <c r="Y1102" s="3">
        <v>46.4</v>
      </c>
      <c r="Z1102" s="3">
        <v>46.3</v>
      </c>
      <c r="AA1102" s="3">
        <v>40.200000000000003</v>
      </c>
      <c r="AB1102" s="3">
        <v>35.5</v>
      </c>
      <c r="AC1102" s="3">
        <v>34.9</v>
      </c>
      <c r="AD1102" s="3">
        <v>38.4</v>
      </c>
      <c r="AE1102" s="3">
        <v>40.1</v>
      </c>
      <c r="AF1102" s="3">
        <v>42.6</v>
      </c>
      <c r="AG1102" s="3">
        <v>37.299999999999997</v>
      </c>
      <c r="AH1102" s="3">
        <v>37.200000000000003</v>
      </c>
      <c r="AI1102" s="3">
        <v>37</v>
      </c>
      <c r="AJ1102" s="3">
        <v>36.4</v>
      </c>
      <c r="AK1102" s="3">
        <v>34.6</v>
      </c>
      <c r="AL1102" s="3">
        <v>32.6</v>
      </c>
      <c r="AM1102" s="3">
        <v>32.1</v>
      </c>
      <c r="AN1102" s="3">
        <v>30.4</v>
      </c>
      <c r="AO1102" s="3">
        <v>27.2</v>
      </c>
      <c r="AP1102" s="3">
        <v>24.6</v>
      </c>
      <c r="AQ1102" s="3">
        <v>22.6</v>
      </c>
      <c r="AR1102" s="3">
        <v>20.8</v>
      </c>
      <c r="AS1102" s="3">
        <v>19.899999999999999</v>
      </c>
      <c r="AT1102" s="3">
        <v>21.1</v>
      </c>
      <c r="AU1102" s="3">
        <v>15.2</v>
      </c>
      <c r="AV1102" s="3">
        <v>13.1</v>
      </c>
      <c r="AW1102" s="3">
        <v>12</v>
      </c>
      <c r="AX1102" s="3">
        <v>9.9</v>
      </c>
      <c r="AY1102" s="3">
        <v>9.5</v>
      </c>
      <c r="AZ1102" s="3">
        <v>0</v>
      </c>
      <c r="BA1102" s="3">
        <v>0</v>
      </c>
      <c r="BB1102" s="3">
        <v>0</v>
      </c>
      <c r="BC1102" s="3">
        <v>39.212426079801993</v>
      </c>
      <c r="BD1102" s="3">
        <v>46.387573920198001</v>
      </c>
      <c r="BE1102" s="3">
        <v>46.387573920198001</v>
      </c>
      <c r="BF1102" s="3">
        <v>45.047573920197998</v>
      </c>
      <c r="BG1102" s="3">
        <v>39.274240586864686</v>
      </c>
      <c r="BH1102" s="3">
        <v>34.714240586864683</v>
      </c>
      <c r="BI1102" s="3">
        <v>34.527573920198016</v>
      </c>
      <c r="BJ1102" s="3">
        <v>38.820907253531338</v>
      </c>
      <c r="BK1102" s="3">
        <v>40.394240586864676</v>
      </c>
      <c r="BL1102" s="3">
        <v>42.467573920198014</v>
      </c>
      <c r="BM1102" s="3">
        <v>37.300907253531342</v>
      </c>
      <c r="BN1102" s="3">
        <v>37.484240586864679</v>
      </c>
      <c r="BO1102" s="3">
        <v>36.650907253531351</v>
      </c>
      <c r="BP1102" s="3">
        <v>35.767573920198011</v>
      </c>
      <c r="BQ1102" s="3">
        <v>34.384240586864671</v>
      </c>
      <c r="BR1102" s="3">
        <v>32.710907253531353</v>
      </c>
      <c r="BS1102" s="3">
        <v>32.01424058686468</v>
      </c>
      <c r="BT1102" s="3">
        <v>30.510907253531336</v>
      </c>
      <c r="BU1102" s="3">
        <v>27.277573920198016</v>
      </c>
      <c r="BV1102" s="3">
        <v>24.394240586864676</v>
      </c>
      <c r="BW1102" s="3">
        <v>22.927573920198014</v>
      </c>
      <c r="BX1102" s="3">
        <v>21.047573920198012</v>
      </c>
      <c r="BY1102" s="3">
        <v>19.967573920198006</v>
      </c>
      <c r="BZ1102" s="3">
        <v>21.297573920198012</v>
      </c>
      <c r="CA1102" s="3">
        <v>15.497573920198001</v>
      </c>
      <c r="CB1102" s="3">
        <v>12.834240586864674</v>
      </c>
      <c r="CC1102" s="3">
        <v>11.94757392019801</v>
      </c>
      <c r="CD1102" s="3">
        <v>9.154240586864681</v>
      </c>
      <c r="CE1102" s="3">
        <v>8.9475739201980105</v>
      </c>
      <c r="CF1102" s="3">
        <v>-0.93909274646865981</v>
      </c>
      <c r="CG1102" s="3">
        <v>-1.4724260798019912</v>
      </c>
      <c r="CH1102" s="3">
        <v>-2.5490927464686592</v>
      </c>
      <c r="CI1102" s="13">
        <f>[1]!dbasum(RecData[[#This Row],[20]:[2000]],RecData[[#Headers],[20]:[2000]])</f>
        <v>38.917710099137103</v>
      </c>
      <c r="CJ1102" s="14">
        <v>10686</v>
      </c>
      <c r="CK1102" s="15" t="s">
        <v>249</v>
      </c>
      <c r="CL1102" s="15">
        <f>RecData[[#This Row],[Start Time]]</f>
        <v>43275.975694444445</v>
      </c>
      <c r="CM1102" s="16">
        <f>RecData[[#This Row],[Wind Speed avg]]</f>
        <v>0.88</v>
      </c>
      <c r="CN1102" s="16">
        <f>RecData[[#This Row],[Wind Dir. avg]]</f>
        <v>216</v>
      </c>
      <c r="CO1102" s="16">
        <f>RecData[[#This Row],[Amb. Humidity]]</f>
        <v>46.9</v>
      </c>
      <c r="CP1102" s="16">
        <f>RecData[[#This Row],[Amb. Temperature]]</f>
        <v>13.7</v>
      </c>
      <c r="CQ1102" s="17">
        <f>RecData[[#This Row],[Amb. Rain Gauge]]</f>
        <v>0</v>
      </c>
      <c r="CR1102" s="4" t="s">
        <v>1</v>
      </c>
      <c r="CS1102" s="4" t="s">
        <v>49</v>
      </c>
      <c r="CT1102" s="70">
        <v>1617.69140625</v>
      </c>
      <c r="CU1102" s="70">
        <v>21.000175476074201</v>
      </c>
      <c r="CV1102" s="70">
        <v>10.735968589782701</v>
      </c>
      <c r="CW1102" s="70">
        <v>15.3374986648559</v>
      </c>
      <c r="CX1102" s="4"/>
      <c r="CY1102" s="69"/>
      <c r="CZ1102" s="2" t="b">
        <f>IF($DP$1="YES",IF(RecData[[#This Row],[Power (kW)]]&gt;=$CR$3, TRUE,FALSE),TRUE)</f>
        <v>1</v>
      </c>
      <c r="DA1102" s="16">
        <f>MIN(MOD(180-ABS(ABS($DA$1-RecData[Yaw Angle (°)])-180),360),MOD(180-ABS(ABS($DB$1-RecData[Yaw Angle (°)])-180),360))</f>
        <v>13.470248698386655</v>
      </c>
      <c r="DB1102" s="2" t="str">
        <f>IF($DP$2="None","None",IF(RecData[[#This Row],[Relative Wind Direction]]&lt;=45,"DW",IF(RecData[[#This Row],[Relative Wind Direction]]&lt;=135,"CW","UW")))</f>
        <v>DW</v>
      </c>
      <c r="DC1102" s="61">
        <f>IF($CL1102-$CL1100&gt;1/24,#REF!,IF(SUM($CQ1100:$CQ1102)&gt;$DS$1,$DS$5,DC1103-1))</f>
        <v>-8</v>
      </c>
      <c r="DD1102" s="61">
        <f>IF($CL1103-$CL1102&gt;1/24,#REF!,IF(SUM($CQ1100:$CQ1102)&gt;$DS$1,$DS$6,DD1101-1))</f>
        <v>-3</v>
      </c>
      <c r="DE1102" s="18" t="b">
        <v>0</v>
      </c>
      <c r="DF1102" s="2" t="b">
        <f>IF(OR(RecData[[#This Row],[WSpd_Avg '[m/s']]]-RecData[[#This Row],[Wind Speed min]]&gt;=$DF$3,RecData[[#This Row],[Wind Speed max]]-RecData[[#This Row],[WSpd_Avg '[m/s']]]&gt;=$DF$2),TRUE,FALSE)</f>
        <v>0</v>
      </c>
      <c r="DG1102" s="2" t="b">
        <f>RecData[[#This Row],[Temperature '[°C']]]&lt;=-20</f>
        <v>0</v>
      </c>
      <c r="DH1102" s="18" t="b">
        <f>NOT(OR(MOD(RecData[[#This Row],[TIMESTAMP]],1)&gt;0.91632,MOD(RecData[[#This Row],[TIMESTAMP]],1)&lt;0.208681))</f>
        <v>0</v>
      </c>
      <c r="DI1102" s="18" t="b">
        <f>RecData[[#This Row],[Overall (dBA)]]-RecData[[#This Row],[L90]]&gt;=$DS$4</f>
        <v>0</v>
      </c>
      <c r="DJ1102" s="18" t="b">
        <f>RecData[[#This Row],[Overall (dBA)]]&gt;$DS$2</f>
        <v>0</v>
      </c>
      <c r="DK1102" s="18" t="b">
        <f>RecData[[#This Row],[Overall (dBA)]]&lt;$DS$3</f>
        <v>0</v>
      </c>
      <c r="DL11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2" s="2">
        <f>IF(AND(RecData[[#This Row],[Turbines ON/OFF]] = "OFF", NOT(OR(RecData[[#This Row],[Junk?]]="YES",RecData[[#This Row],[Gust?]],RecData[[#This Row],[Rain?]:[Min SPL Threshold?]]))),1,0)</f>
        <v>0</v>
      </c>
      <c r="DN1102" s="16">
        <f>RecData[[#This Row],[dBA Sum]]</f>
        <v>38.917710099137103</v>
      </c>
      <c r="DO1102" s="16">
        <f>RecData[[#This Row],[LAF90.0]]</f>
        <v>37.5</v>
      </c>
      <c r="DP1102" s="55">
        <f>IF(AND(RecData[[#This Row],[Useable TON Data?]],RecData[[#This Row],[Turbines ON/OFF]]="ON"),RecData[[#This Row],[dBA Sum]],"")</f>
        <v>38.917710099137103</v>
      </c>
      <c r="DQ1102" s="55" t="str">
        <f>IF(AND(RecData[[#This Row],[Useable Background Data?]],RecData[[#This Row],[Turbines ON/OFF]]="OFF"),RecData[[#This Row],[dBA Sum]],"")</f>
        <v/>
      </c>
      <c r="DR1102" s="3">
        <f>IF(OR(RecData[[#This Row],[Useable TON Data?]],RecData[[#This Row],[Useable Background Data?]]),ROUND(RecData[[#This Row],[WSpd_Avg '[m/s']]],0),"")</f>
        <v>1</v>
      </c>
      <c r="DS1102" s="85">
        <f>(0.00002)^2*(10^(RecData[[#This Row],[Overall (dBA)]]/10))</f>
        <v>3.1176761541557163E-6</v>
      </c>
    </row>
    <row r="1103" spans="1:123" ht="15" x14ac:dyDescent="0.25">
      <c r="A1103" s="3" t="s">
        <v>249</v>
      </c>
      <c r="B1103" s="12">
        <v>43275.976388888892</v>
      </c>
      <c r="C1103" s="3"/>
      <c r="D1103" s="3">
        <v>38.9</v>
      </c>
      <c r="E1103" s="3"/>
      <c r="F1103" s="3"/>
      <c r="G1103" s="3"/>
      <c r="H1103" s="3"/>
      <c r="I1103" s="3"/>
      <c r="J1103" s="3"/>
      <c r="K1103" s="3">
        <v>37.5</v>
      </c>
      <c r="L1103" s="3"/>
      <c r="M1103" s="3"/>
      <c r="N1103" s="3">
        <v>230</v>
      </c>
      <c r="O1103" s="3"/>
      <c r="P1103" s="3"/>
      <c r="Q1103" s="3">
        <v>0.79</v>
      </c>
      <c r="R1103" s="3">
        <v>0.3</v>
      </c>
      <c r="S1103" s="3">
        <v>1.7</v>
      </c>
      <c r="T1103" s="3">
        <v>13.7</v>
      </c>
      <c r="U1103" s="3">
        <v>46.3</v>
      </c>
      <c r="V1103" s="3">
        <v>976.7</v>
      </c>
      <c r="W1103" s="3">
        <v>0</v>
      </c>
      <c r="X1103" s="3">
        <v>46.5</v>
      </c>
      <c r="Y1103" s="3">
        <v>46</v>
      </c>
      <c r="Z1103" s="3">
        <v>46.5</v>
      </c>
      <c r="AA1103" s="3">
        <v>41.5</v>
      </c>
      <c r="AB1103" s="3">
        <v>36.4</v>
      </c>
      <c r="AC1103" s="3">
        <v>35</v>
      </c>
      <c r="AD1103" s="3">
        <v>38</v>
      </c>
      <c r="AE1103" s="3">
        <v>40</v>
      </c>
      <c r="AF1103" s="3">
        <v>44.5</v>
      </c>
      <c r="AG1103" s="3">
        <v>37.299999999999997</v>
      </c>
      <c r="AH1103" s="3">
        <v>36.700000000000003</v>
      </c>
      <c r="AI1103" s="3">
        <v>36.799999999999997</v>
      </c>
      <c r="AJ1103" s="3">
        <v>35.6</v>
      </c>
      <c r="AK1103" s="3">
        <v>34</v>
      </c>
      <c r="AL1103" s="3">
        <v>32.200000000000003</v>
      </c>
      <c r="AM1103" s="3">
        <v>32</v>
      </c>
      <c r="AN1103" s="3">
        <v>30.2</v>
      </c>
      <c r="AO1103" s="3">
        <v>26.9</v>
      </c>
      <c r="AP1103" s="3">
        <v>24.4</v>
      </c>
      <c r="AQ1103" s="3">
        <v>21.4</v>
      </c>
      <c r="AR1103" s="3">
        <v>18</v>
      </c>
      <c r="AS1103" s="3">
        <v>15.8</v>
      </c>
      <c r="AT1103" s="3">
        <v>19.3</v>
      </c>
      <c r="AU1103" s="3">
        <v>10.4</v>
      </c>
      <c r="AV1103" s="3">
        <v>9.5</v>
      </c>
      <c r="AW1103" s="3">
        <v>9.3000000000000007</v>
      </c>
      <c r="AX1103" s="3">
        <v>9</v>
      </c>
      <c r="AY1103" s="3">
        <v>9.1999999999999993</v>
      </c>
      <c r="AZ1103" s="3">
        <v>0</v>
      </c>
      <c r="BA1103" s="3">
        <v>0</v>
      </c>
      <c r="BB1103" s="3">
        <v>0</v>
      </c>
      <c r="BC1103" s="3">
        <v>38.870130192386661</v>
      </c>
      <c r="BD1103" s="3">
        <v>46.529869807613345</v>
      </c>
      <c r="BE1103" s="3">
        <v>46.029869807613345</v>
      </c>
      <c r="BF1103" s="3">
        <v>45.289869807613336</v>
      </c>
      <c r="BG1103" s="3">
        <v>40.616536474280004</v>
      </c>
      <c r="BH1103" s="3">
        <v>35.65653647428001</v>
      </c>
      <c r="BI1103" s="3">
        <v>34.669869807613331</v>
      </c>
      <c r="BJ1103" s="3">
        <v>38.463203140946668</v>
      </c>
      <c r="BK1103" s="3">
        <v>40.336536474280003</v>
      </c>
      <c r="BL1103" s="3">
        <v>44.40986980761334</v>
      </c>
      <c r="BM1103" s="3">
        <v>37.343203140946677</v>
      </c>
      <c r="BN1103" s="3">
        <v>37.026536474280014</v>
      </c>
      <c r="BO1103" s="3">
        <v>36.493203140946669</v>
      </c>
      <c r="BP1103" s="3">
        <v>35.009869807613335</v>
      </c>
      <c r="BQ1103" s="3">
        <v>33.826536474279997</v>
      </c>
      <c r="BR1103" s="3">
        <v>32.353203140946668</v>
      </c>
      <c r="BS1103" s="3">
        <v>31.956536474280007</v>
      </c>
      <c r="BT1103" s="3">
        <v>30.353203140946668</v>
      </c>
      <c r="BU1103" s="3">
        <v>27.01986980761334</v>
      </c>
      <c r="BV1103" s="3">
        <v>24.236536474280008</v>
      </c>
      <c r="BW1103" s="3">
        <v>21.76986980761334</v>
      </c>
      <c r="BX1103" s="3">
        <v>18.289869807613343</v>
      </c>
      <c r="BY1103" s="3">
        <v>15.90986980761334</v>
      </c>
      <c r="BZ1103" s="3">
        <v>19.539869807613343</v>
      </c>
      <c r="CA1103" s="3">
        <v>10.739869807613331</v>
      </c>
      <c r="CB1103" s="3">
        <v>9.2765364742800003</v>
      </c>
      <c r="CC1103" s="3">
        <v>9.2898698076133357</v>
      </c>
      <c r="CD1103" s="3">
        <v>8.2965364742800105</v>
      </c>
      <c r="CE1103" s="3">
        <v>8.6898698076133343</v>
      </c>
      <c r="CF1103" s="3">
        <v>-0.89679685905333173</v>
      </c>
      <c r="CG1103" s="3">
        <v>-1.4301301923866632</v>
      </c>
      <c r="CH1103" s="3">
        <v>-2.5067968590533312</v>
      </c>
      <c r="CI1103" s="13">
        <f>[1]!dbasum(RecData[[#This Row],[20]:[2000]],RecData[[#Headers],[20]:[2000]])</f>
        <v>38.708923192638338</v>
      </c>
      <c r="CJ1103" s="14">
        <v>10687</v>
      </c>
      <c r="CK1103" s="15" t="s">
        <v>249</v>
      </c>
      <c r="CL1103" s="15">
        <f>RecData[[#This Row],[Start Time]]</f>
        <v>43275.976388888892</v>
      </c>
      <c r="CM1103" s="16">
        <f>RecData[[#This Row],[Wind Speed avg]]</f>
        <v>0.79</v>
      </c>
      <c r="CN1103" s="16">
        <f>RecData[[#This Row],[Wind Dir. avg]]</f>
        <v>230</v>
      </c>
      <c r="CO1103" s="16">
        <f>RecData[[#This Row],[Amb. Humidity]]</f>
        <v>46.3</v>
      </c>
      <c r="CP1103" s="16">
        <f>RecData[[#This Row],[Amb. Temperature]]</f>
        <v>13.7</v>
      </c>
      <c r="CQ1103" s="17">
        <f>RecData[[#This Row],[Amb. Rain Gauge]]</f>
        <v>0</v>
      </c>
      <c r="CR1103" s="4" t="s">
        <v>1</v>
      </c>
      <c r="CS1103" s="4" t="s">
        <v>49</v>
      </c>
      <c r="CT1103" s="70">
        <v>1617.69140625</v>
      </c>
      <c r="CU1103" s="70">
        <v>21.000175476074201</v>
      </c>
      <c r="CV1103" s="70">
        <v>10.735968589782701</v>
      </c>
      <c r="CW1103" s="70">
        <v>15.3374986648559</v>
      </c>
      <c r="CX1103" s="4"/>
      <c r="CY1103" s="69"/>
      <c r="CZ1103" s="2" t="b">
        <f>IF($DP$1="YES",IF(RecData[[#This Row],[Power (kW)]]&gt;=$CR$3, TRUE,FALSE),TRUE)</f>
        <v>1</v>
      </c>
      <c r="DA1103" s="16">
        <f>MIN(MOD(180-ABS(ABS($DA$1-RecData[Yaw Angle (°)])-180),360),MOD(180-ABS(ABS($DB$1-RecData[Yaw Angle (°)])-180),360))</f>
        <v>13.470248698386655</v>
      </c>
      <c r="DB1103" s="2" t="str">
        <f>IF($DP$2="None","None",IF(RecData[[#This Row],[Relative Wind Direction]]&lt;=45,"DW",IF(RecData[[#This Row],[Relative Wind Direction]]&lt;=135,"CW","UW")))</f>
        <v>DW</v>
      </c>
      <c r="DC1103" s="61">
        <f>IF($CL1103-$CL1100&gt;1/24,#REF!,IF(SUM($CQ1100:$CQ1103)&gt;$DS$1,$DS$5,DC1104-1))</f>
        <v>-7</v>
      </c>
      <c r="DD1103" s="61">
        <f>IF($CL1104-$CL1103&gt;1/24,#REF!,IF(SUM($CQ1100:$CQ1103)&gt;$DS$1,$DS$6,DD1102-1))</f>
        <v>-4</v>
      </c>
      <c r="DE1103" s="18" t="b">
        <v>0</v>
      </c>
      <c r="DF1103" s="2" t="b">
        <f>IF(OR(RecData[[#This Row],[WSpd_Avg '[m/s']]]-RecData[[#This Row],[Wind Speed min]]&gt;=$DF$3,RecData[[#This Row],[Wind Speed max]]-RecData[[#This Row],[WSpd_Avg '[m/s']]]&gt;=$DF$2),TRUE,FALSE)</f>
        <v>0</v>
      </c>
      <c r="DG1103" s="2" t="b">
        <f>RecData[[#This Row],[Temperature '[°C']]]&lt;=-20</f>
        <v>0</v>
      </c>
      <c r="DH1103" s="18" t="b">
        <f>NOT(OR(MOD(RecData[[#This Row],[TIMESTAMP]],1)&gt;0.91632,MOD(RecData[[#This Row],[TIMESTAMP]],1)&lt;0.208681))</f>
        <v>0</v>
      </c>
      <c r="DI1103" s="18" t="b">
        <f>RecData[[#This Row],[Overall (dBA)]]-RecData[[#This Row],[L90]]&gt;=$DS$4</f>
        <v>0</v>
      </c>
      <c r="DJ1103" s="18" t="b">
        <f>RecData[[#This Row],[Overall (dBA)]]&gt;$DS$2</f>
        <v>0</v>
      </c>
      <c r="DK1103" s="18" t="b">
        <f>RecData[[#This Row],[Overall (dBA)]]&lt;$DS$3</f>
        <v>0</v>
      </c>
      <c r="DL11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3" s="2">
        <f>IF(AND(RecData[[#This Row],[Turbines ON/OFF]] = "OFF", NOT(OR(RecData[[#This Row],[Junk?]]="YES",RecData[[#This Row],[Gust?]],RecData[[#This Row],[Rain?]:[Min SPL Threshold?]]))),1,0)</f>
        <v>0</v>
      </c>
      <c r="DN1103" s="16">
        <f>RecData[[#This Row],[dBA Sum]]</f>
        <v>38.708923192638338</v>
      </c>
      <c r="DO1103" s="16">
        <f>RecData[[#This Row],[LAF90.0]]</f>
        <v>37.5</v>
      </c>
      <c r="DP1103" s="55">
        <f>IF(AND(RecData[[#This Row],[Useable TON Data?]],RecData[[#This Row],[Turbines ON/OFF]]="ON"),RecData[[#This Row],[dBA Sum]],"")</f>
        <v>38.708923192638338</v>
      </c>
      <c r="DQ1103" s="55" t="str">
        <f>IF(AND(RecData[[#This Row],[Useable Background Data?]],RecData[[#This Row],[Turbines ON/OFF]]="OFF"),RecData[[#This Row],[dBA Sum]],"")</f>
        <v/>
      </c>
      <c r="DR1103" s="3">
        <f>IF(OR(RecData[[#This Row],[Useable TON Data?]],RecData[[#This Row],[Useable Background Data?]]),ROUND(RecData[[#This Row],[WSpd_Avg '[m/s']]],0),"")</f>
        <v>1</v>
      </c>
      <c r="DS1103" s="85">
        <f>(0.00002)^2*(10^(RecData[[#This Row],[Overall (dBA)]]/10))</f>
        <v>2.9713397342147379E-6</v>
      </c>
    </row>
    <row r="1104" spans="1:123" ht="15" x14ac:dyDescent="0.25">
      <c r="A1104" s="3" t="s">
        <v>249</v>
      </c>
      <c r="B1104" s="12">
        <v>43275.977083333339</v>
      </c>
      <c r="C1104" s="3"/>
      <c r="D1104" s="3">
        <v>39.299999999999997</v>
      </c>
      <c r="E1104" s="3"/>
      <c r="F1104" s="3"/>
      <c r="G1104" s="3"/>
      <c r="H1104" s="3"/>
      <c r="I1104" s="3"/>
      <c r="J1104" s="3"/>
      <c r="K1104" s="3">
        <v>37.9</v>
      </c>
      <c r="L1104" s="3"/>
      <c r="M1104" s="3"/>
      <c r="N1104" s="3">
        <v>208.5</v>
      </c>
      <c r="O1104" s="3"/>
      <c r="P1104" s="3"/>
      <c r="Q1104" s="3">
        <v>0.54</v>
      </c>
      <c r="R1104" s="3">
        <v>0.2</v>
      </c>
      <c r="S1104" s="3">
        <v>1</v>
      </c>
      <c r="T1104" s="3">
        <v>13.6</v>
      </c>
      <c r="U1104" s="3">
        <v>46.3</v>
      </c>
      <c r="V1104" s="3">
        <v>976.7</v>
      </c>
      <c r="W1104" s="3">
        <v>0</v>
      </c>
      <c r="X1104" s="3">
        <v>46</v>
      </c>
      <c r="Y1104" s="3">
        <v>46</v>
      </c>
      <c r="Z1104" s="3">
        <v>46.6</v>
      </c>
      <c r="AA1104" s="3">
        <v>41.4</v>
      </c>
      <c r="AB1104" s="3">
        <v>36.700000000000003</v>
      </c>
      <c r="AC1104" s="3">
        <v>35.799999999999997</v>
      </c>
      <c r="AD1104" s="3">
        <v>38.5</v>
      </c>
      <c r="AE1104" s="3">
        <v>40.6</v>
      </c>
      <c r="AF1104" s="3">
        <v>44.5</v>
      </c>
      <c r="AG1104" s="3">
        <v>38.1</v>
      </c>
      <c r="AH1104" s="3">
        <v>37.1</v>
      </c>
      <c r="AI1104" s="3">
        <v>37.200000000000003</v>
      </c>
      <c r="AJ1104" s="3">
        <v>36.1</v>
      </c>
      <c r="AK1104" s="3">
        <v>34.6</v>
      </c>
      <c r="AL1104" s="3">
        <v>32.799999999999997</v>
      </c>
      <c r="AM1104" s="3">
        <v>32.4</v>
      </c>
      <c r="AN1104" s="3">
        <v>30.6</v>
      </c>
      <c r="AO1104" s="3">
        <v>27.1</v>
      </c>
      <c r="AP1104" s="3">
        <v>24.4</v>
      </c>
      <c r="AQ1104" s="3">
        <v>21.6</v>
      </c>
      <c r="AR1104" s="3">
        <v>18.100000000000001</v>
      </c>
      <c r="AS1104" s="3">
        <v>16.100000000000001</v>
      </c>
      <c r="AT1104" s="3">
        <v>18</v>
      </c>
      <c r="AU1104" s="3">
        <v>9.8000000000000007</v>
      </c>
      <c r="AV1104" s="3">
        <v>9</v>
      </c>
      <c r="AW1104" s="3">
        <v>8.9</v>
      </c>
      <c r="AX1104" s="3">
        <v>8.9</v>
      </c>
      <c r="AY1104" s="3">
        <v>9.1</v>
      </c>
      <c r="AZ1104" s="3">
        <v>0</v>
      </c>
      <c r="BA1104" s="3">
        <v>0</v>
      </c>
      <c r="BB1104" s="3">
        <v>0</v>
      </c>
      <c r="BC1104" s="3">
        <v>39.246411354916766</v>
      </c>
      <c r="BD1104" s="3">
        <v>46.053588645083231</v>
      </c>
      <c r="BE1104" s="3">
        <v>46.053588645083231</v>
      </c>
      <c r="BF1104" s="3">
        <v>45.41358864508323</v>
      </c>
      <c r="BG1104" s="3">
        <v>40.540255311749895</v>
      </c>
      <c r="BH1104" s="3">
        <v>35.980255311749893</v>
      </c>
      <c r="BI1104" s="3">
        <v>35.493588645083229</v>
      </c>
      <c r="BJ1104" s="3">
        <v>38.986921978416554</v>
      </c>
      <c r="BK1104" s="3">
        <v>40.960255311749897</v>
      </c>
      <c r="BL1104" s="3">
        <v>44.43358864508324</v>
      </c>
      <c r="BM1104" s="3">
        <v>38.166921978416561</v>
      </c>
      <c r="BN1104" s="3">
        <v>37.450255311749892</v>
      </c>
      <c r="BO1104" s="3">
        <v>36.916921978416561</v>
      </c>
      <c r="BP1104" s="3">
        <v>35.533588645083235</v>
      </c>
      <c r="BQ1104" s="3">
        <v>34.450255311749892</v>
      </c>
      <c r="BR1104" s="3">
        <v>32.976921978416563</v>
      </c>
      <c r="BS1104" s="3">
        <v>32.380255311749899</v>
      </c>
      <c r="BT1104" s="3">
        <v>30.776921978416574</v>
      </c>
      <c r="BU1104" s="3">
        <v>27.243588645083243</v>
      </c>
      <c r="BV1104" s="3">
        <v>24.260255311749894</v>
      </c>
      <c r="BW1104" s="3">
        <v>21.993588645083236</v>
      </c>
      <c r="BX1104" s="3">
        <v>18.413588645083237</v>
      </c>
      <c r="BY1104" s="3">
        <v>16.233588645083231</v>
      </c>
      <c r="BZ1104" s="3">
        <v>18.263588645083239</v>
      </c>
      <c r="CA1104" s="3">
        <v>10.163588645083223</v>
      </c>
      <c r="CB1104" s="3">
        <v>8.8002553117498934</v>
      </c>
      <c r="CC1104" s="3">
        <v>8.9135886450832302</v>
      </c>
      <c r="CD1104" s="3">
        <v>8.2202553117499022</v>
      </c>
      <c r="CE1104" s="3">
        <v>8.6135886450832331</v>
      </c>
      <c r="CF1104" s="3">
        <v>-0.87307802158343861</v>
      </c>
      <c r="CG1104" s="3">
        <v>-1.4064113549167701</v>
      </c>
      <c r="CH1104" s="3">
        <v>-2.483078021583438</v>
      </c>
      <c r="CI1104" s="13">
        <f>[1]!dbasum(RecData[[#This Row],[20]:[2000]],RecData[[#Headers],[20]:[2000]])</f>
        <v>39.133648294330776</v>
      </c>
      <c r="CJ1104" s="14">
        <v>10688</v>
      </c>
      <c r="CK1104" s="15" t="s">
        <v>249</v>
      </c>
      <c r="CL1104" s="15">
        <f>RecData[[#This Row],[Start Time]]</f>
        <v>43275.977083333339</v>
      </c>
      <c r="CM1104" s="16">
        <f>RecData[[#This Row],[Wind Speed avg]]</f>
        <v>0.54</v>
      </c>
      <c r="CN1104" s="16">
        <f>RecData[[#This Row],[Wind Dir. avg]]</f>
        <v>208.5</v>
      </c>
      <c r="CO1104" s="16">
        <f>RecData[[#This Row],[Amb. Humidity]]</f>
        <v>46.3</v>
      </c>
      <c r="CP1104" s="16">
        <f>RecData[[#This Row],[Amb. Temperature]]</f>
        <v>13.6</v>
      </c>
      <c r="CQ1104" s="17">
        <f>RecData[[#This Row],[Amb. Rain Gauge]]</f>
        <v>0</v>
      </c>
      <c r="CR1104" s="4" t="s">
        <v>1</v>
      </c>
      <c r="CS1104" s="4" t="s">
        <v>49</v>
      </c>
      <c r="CT1104" s="70">
        <v>1617.69140625</v>
      </c>
      <c r="CU1104" s="70">
        <v>21.000175476074201</v>
      </c>
      <c r="CV1104" s="70">
        <v>10.735968589782701</v>
      </c>
      <c r="CW1104" s="70">
        <v>15.3374986648559</v>
      </c>
      <c r="CX1104" s="4"/>
      <c r="CY1104" s="69"/>
      <c r="CZ1104" s="2" t="b">
        <f>IF($DP$1="YES",IF(RecData[[#This Row],[Power (kW)]]&gt;=$CR$3, TRUE,FALSE),TRUE)</f>
        <v>1</v>
      </c>
      <c r="DA1104" s="16">
        <f>MIN(MOD(180-ABS(ABS($DA$1-RecData[Yaw Angle (°)])-180),360),MOD(180-ABS(ABS($DB$1-RecData[Yaw Angle (°)])-180),360))</f>
        <v>13.470248698386655</v>
      </c>
      <c r="DB1104" s="2" t="str">
        <f>IF($DP$2="None","None",IF(RecData[[#This Row],[Relative Wind Direction]]&lt;=45,"DW",IF(RecData[[#This Row],[Relative Wind Direction]]&lt;=135,"CW","UW")))</f>
        <v>DW</v>
      </c>
      <c r="DC1104" s="61">
        <f>IF($CL1104-$CL1100&gt;1/24,#REF!,IF(SUM($CQ1100:$CQ1104)&gt;$DS$1,$DS$5,DC1105-1))</f>
        <v>-6</v>
      </c>
      <c r="DD1104" s="61">
        <f>IF($CL1105-$CL1104&gt;1/24,#REF!,IF(SUM($CQ1100:$CQ1104)&gt;$DS$1,$DS$6,DD1103-1))</f>
        <v>-5</v>
      </c>
      <c r="DE1104" s="18" t="b">
        <v>0</v>
      </c>
      <c r="DF1104" s="2" t="b">
        <f>IF(OR(RecData[[#This Row],[WSpd_Avg '[m/s']]]-RecData[[#This Row],[Wind Speed min]]&gt;=$DF$3,RecData[[#This Row],[Wind Speed max]]-RecData[[#This Row],[WSpd_Avg '[m/s']]]&gt;=$DF$2),TRUE,FALSE)</f>
        <v>0</v>
      </c>
      <c r="DG1104" s="2" t="b">
        <f>RecData[[#This Row],[Temperature '[°C']]]&lt;=-20</f>
        <v>0</v>
      </c>
      <c r="DH1104" s="18" t="b">
        <f>NOT(OR(MOD(RecData[[#This Row],[TIMESTAMP]],1)&gt;0.91632,MOD(RecData[[#This Row],[TIMESTAMP]],1)&lt;0.208681))</f>
        <v>0</v>
      </c>
      <c r="DI1104" s="18" t="b">
        <f>RecData[[#This Row],[Overall (dBA)]]-RecData[[#This Row],[L90]]&gt;=$DS$4</f>
        <v>0</v>
      </c>
      <c r="DJ1104" s="18" t="b">
        <f>RecData[[#This Row],[Overall (dBA)]]&gt;$DS$2</f>
        <v>0</v>
      </c>
      <c r="DK1104" s="18" t="b">
        <f>RecData[[#This Row],[Overall (dBA)]]&lt;$DS$3</f>
        <v>0</v>
      </c>
      <c r="DL11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4" s="2">
        <f>IF(AND(RecData[[#This Row],[Turbines ON/OFF]] = "OFF", NOT(OR(RecData[[#This Row],[Junk?]]="YES",RecData[[#This Row],[Gust?]],RecData[[#This Row],[Rain?]:[Min SPL Threshold?]]))),1,0)</f>
        <v>0</v>
      </c>
      <c r="DN1104" s="16">
        <f>RecData[[#This Row],[dBA Sum]]</f>
        <v>39.133648294330776</v>
      </c>
      <c r="DO1104" s="16">
        <f>RecData[[#This Row],[LAF90.0]]</f>
        <v>37.9</v>
      </c>
      <c r="DP1104" s="55">
        <f>IF(AND(RecData[[#This Row],[Useable TON Data?]],RecData[[#This Row],[Turbines ON/OFF]]="ON"),RecData[[#This Row],[dBA Sum]],"")</f>
        <v>39.133648294330776</v>
      </c>
      <c r="DQ1104" s="55" t="str">
        <f>IF(AND(RecData[[#This Row],[Useable Background Data?]],RecData[[#This Row],[Turbines ON/OFF]]="OFF"),RecData[[#This Row],[dBA Sum]],"")</f>
        <v/>
      </c>
      <c r="DR1104" s="3">
        <f>IF(OR(RecData[[#This Row],[Useable TON Data?]],RecData[[#This Row],[Useable Background Data?]]),ROUND(RecData[[#This Row],[WSpd_Avg '[m/s']]],0),"")</f>
        <v>1</v>
      </c>
      <c r="DS1104" s="85">
        <f>(0.00002)^2*(10^(RecData[[#This Row],[Overall (dBA)]]/10))</f>
        <v>3.2766105160662559E-6</v>
      </c>
    </row>
    <row r="1105" spans="1:123" ht="15" x14ac:dyDescent="0.25">
      <c r="A1105" s="3" t="s">
        <v>249</v>
      </c>
      <c r="B1105" s="12">
        <v>43275.977777777778</v>
      </c>
      <c r="C1105" s="3"/>
      <c r="D1105" s="3">
        <v>38.9</v>
      </c>
      <c r="E1105" s="3"/>
      <c r="F1105" s="3"/>
      <c r="G1105" s="3"/>
      <c r="H1105" s="3"/>
      <c r="I1105" s="3"/>
      <c r="J1105" s="3"/>
      <c r="K1105" s="3">
        <v>37.9</v>
      </c>
      <c r="L1105" s="3"/>
      <c r="M1105" s="3"/>
      <c r="N1105" s="3">
        <v>219</v>
      </c>
      <c r="O1105" s="3"/>
      <c r="P1105" s="3"/>
      <c r="Q1105" s="3">
        <v>0.51</v>
      </c>
      <c r="R1105" s="3">
        <v>0.2</v>
      </c>
      <c r="S1105" s="3">
        <v>0.8</v>
      </c>
      <c r="T1105" s="3">
        <v>13.6</v>
      </c>
      <c r="U1105" s="3">
        <v>46.6</v>
      </c>
      <c r="V1105" s="3">
        <v>976.7</v>
      </c>
      <c r="W1105" s="3">
        <v>0</v>
      </c>
      <c r="X1105" s="3">
        <v>46.8</v>
      </c>
      <c r="Y1105" s="3">
        <v>46.4</v>
      </c>
      <c r="Z1105" s="3">
        <v>47.2</v>
      </c>
      <c r="AA1105" s="3">
        <v>42</v>
      </c>
      <c r="AB1105" s="3">
        <v>36.299999999999997</v>
      </c>
      <c r="AC1105" s="3">
        <v>36.6</v>
      </c>
      <c r="AD1105" s="3">
        <v>39.6</v>
      </c>
      <c r="AE1105" s="3">
        <v>40.6</v>
      </c>
      <c r="AF1105" s="3">
        <v>43.3</v>
      </c>
      <c r="AG1105" s="3">
        <v>37.299999999999997</v>
      </c>
      <c r="AH1105" s="3">
        <v>37.1</v>
      </c>
      <c r="AI1105" s="3">
        <v>36.5</v>
      </c>
      <c r="AJ1105" s="3">
        <v>35.9</v>
      </c>
      <c r="AK1105" s="3">
        <v>34.200000000000003</v>
      </c>
      <c r="AL1105" s="3">
        <v>32.4</v>
      </c>
      <c r="AM1105" s="3">
        <v>32</v>
      </c>
      <c r="AN1105" s="3">
        <v>30.3</v>
      </c>
      <c r="AO1105" s="3">
        <v>27</v>
      </c>
      <c r="AP1105" s="3">
        <v>23.9</v>
      </c>
      <c r="AQ1105" s="3">
        <v>20.9</v>
      </c>
      <c r="AR1105" s="3">
        <v>17.100000000000001</v>
      </c>
      <c r="AS1105" s="3">
        <v>16.399999999999999</v>
      </c>
      <c r="AT1105" s="3">
        <v>20.8</v>
      </c>
      <c r="AU1105" s="3">
        <v>8.8000000000000007</v>
      </c>
      <c r="AV1105" s="3">
        <v>8.5</v>
      </c>
      <c r="AW1105" s="3">
        <v>8.8000000000000007</v>
      </c>
      <c r="AX1105" s="3">
        <v>8.9</v>
      </c>
      <c r="AY1105" s="3">
        <v>9.1</v>
      </c>
      <c r="AZ1105" s="3">
        <v>0</v>
      </c>
      <c r="BA1105" s="3">
        <v>0</v>
      </c>
      <c r="BB1105" s="3">
        <v>0</v>
      </c>
      <c r="BC1105" s="3">
        <v>38.876585463506864</v>
      </c>
      <c r="BD1105" s="3">
        <v>46.823414536493125</v>
      </c>
      <c r="BE1105" s="3">
        <v>46.423414536493134</v>
      </c>
      <c r="BF1105" s="3">
        <v>45.983414536493136</v>
      </c>
      <c r="BG1105" s="3">
        <v>41.110081203159801</v>
      </c>
      <c r="BH1105" s="3">
        <v>35.550081203159799</v>
      </c>
      <c r="BI1105" s="3">
        <v>36.263414536493137</v>
      </c>
      <c r="BJ1105" s="3">
        <v>40.056747869826474</v>
      </c>
      <c r="BK1105" s="3">
        <v>40.930081203159808</v>
      </c>
      <c r="BL1105" s="3">
        <v>43.203414536493135</v>
      </c>
      <c r="BM1105" s="3">
        <v>37.336747869826475</v>
      </c>
      <c r="BN1105" s="3">
        <v>37.420081203159803</v>
      </c>
      <c r="BO1105" s="3">
        <v>36.186747869826469</v>
      </c>
      <c r="BP1105" s="3">
        <v>35.303414536493143</v>
      </c>
      <c r="BQ1105" s="3">
        <v>34.020081203159798</v>
      </c>
      <c r="BR1105" s="3">
        <v>32.546747869826469</v>
      </c>
      <c r="BS1105" s="3">
        <v>31.950081203159804</v>
      </c>
      <c r="BT1105" s="3">
        <v>30.446747869826474</v>
      </c>
      <c r="BU1105" s="3">
        <v>27.113414536493146</v>
      </c>
      <c r="BV1105" s="3">
        <v>23.730081203159806</v>
      </c>
      <c r="BW1105" s="3">
        <v>21.263414536493137</v>
      </c>
      <c r="BX1105" s="3">
        <v>17.383414536493142</v>
      </c>
      <c r="BY1105" s="3">
        <v>16.503414536493132</v>
      </c>
      <c r="BZ1105" s="3">
        <v>21.03341453649314</v>
      </c>
      <c r="CA1105" s="3">
        <v>9.1334145364931274</v>
      </c>
      <c r="CB1105" s="3">
        <v>8.2700812031597977</v>
      </c>
      <c r="CC1105" s="3">
        <v>8.7834145364931331</v>
      </c>
      <c r="CD1105" s="3">
        <v>8.1900812031598065</v>
      </c>
      <c r="CE1105" s="3">
        <v>8.5834145364931302</v>
      </c>
      <c r="CF1105" s="3">
        <v>-0.90325213017353434</v>
      </c>
      <c r="CG1105" s="3">
        <v>-1.4365854635068658</v>
      </c>
      <c r="CH1105" s="3">
        <v>-2.5132521301735338</v>
      </c>
      <c r="CI1105" s="13">
        <f>[1]!dbasum(RecData[[#This Row],[20]:[2000]],RecData[[#Headers],[20]:[2000]])</f>
        <v>38.684446859534191</v>
      </c>
      <c r="CJ1105" s="14">
        <v>10689</v>
      </c>
      <c r="CK1105" s="15" t="s">
        <v>249</v>
      </c>
      <c r="CL1105" s="15">
        <f>RecData[[#This Row],[Start Time]]</f>
        <v>43275.977777777778</v>
      </c>
      <c r="CM1105" s="16">
        <f>RecData[[#This Row],[Wind Speed avg]]</f>
        <v>0.51</v>
      </c>
      <c r="CN1105" s="16">
        <f>RecData[[#This Row],[Wind Dir. avg]]</f>
        <v>219</v>
      </c>
      <c r="CO1105" s="16">
        <f>RecData[[#This Row],[Amb. Humidity]]</f>
        <v>46.6</v>
      </c>
      <c r="CP1105" s="16">
        <f>RecData[[#This Row],[Amb. Temperature]]</f>
        <v>13.6</v>
      </c>
      <c r="CQ1105" s="17">
        <f>RecData[[#This Row],[Amb. Rain Gauge]]</f>
        <v>0</v>
      </c>
      <c r="CR1105" s="4" t="s">
        <v>1</v>
      </c>
      <c r="CS1105" s="4" t="s">
        <v>49</v>
      </c>
      <c r="CT1105" s="70">
        <v>1617.69140625</v>
      </c>
      <c r="CU1105" s="70">
        <v>21.000175476074201</v>
      </c>
      <c r="CV1105" s="70">
        <v>10.735968589782701</v>
      </c>
      <c r="CW1105" s="70">
        <v>15.3374986648559</v>
      </c>
      <c r="CX1105" s="4"/>
      <c r="CY1105" s="69"/>
      <c r="CZ1105" s="2" t="b">
        <f>IF($DP$1="YES",IF(RecData[[#This Row],[Power (kW)]]&gt;=$CR$3, TRUE,FALSE),TRUE)</f>
        <v>1</v>
      </c>
      <c r="DA1105" s="16">
        <f>MIN(MOD(180-ABS(ABS($DA$1-RecData[Yaw Angle (°)])-180),360),MOD(180-ABS(ABS($DB$1-RecData[Yaw Angle (°)])-180),360))</f>
        <v>13.470248698386655</v>
      </c>
      <c r="DB1105" s="2" t="str">
        <f>IF($DP$2="None","None",IF(RecData[[#This Row],[Relative Wind Direction]]&lt;=45,"DW",IF(RecData[[#This Row],[Relative Wind Direction]]&lt;=135,"CW","UW")))</f>
        <v>DW</v>
      </c>
      <c r="DC1105" s="61">
        <f>IF($CL1105-$CL1101&gt;1/24,#REF!,IF(SUM($CQ1101:$CQ1105)&gt;$DS$1,$DS$5,DC1106-1))</f>
        <v>-5</v>
      </c>
      <c r="DD1105" s="61">
        <f>IF($CL1106-$CL1105&gt;1/24,#REF!,IF(SUM($CQ1101:$CQ1105)&gt;$DS$1,$DS$6,DD1104-1))</f>
        <v>-6</v>
      </c>
      <c r="DE1105" s="18" t="b">
        <v>0</v>
      </c>
      <c r="DF1105" s="2" t="b">
        <f>IF(OR(RecData[[#This Row],[WSpd_Avg '[m/s']]]-RecData[[#This Row],[Wind Speed min]]&gt;=$DF$3,RecData[[#This Row],[Wind Speed max]]-RecData[[#This Row],[WSpd_Avg '[m/s']]]&gt;=$DF$2),TRUE,FALSE)</f>
        <v>0</v>
      </c>
      <c r="DG1105" s="2" t="b">
        <f>RecData[[#This Row],[Temperature '[°C']]]&lt;=-20</f>
        <v>0</v>
      </c>
      <c r="DH1105" s="18" t="b">
        <f>NOT(OR(MOD(RecData[[#This Row],[TIMESTAMP]],1)&gt;0.91632,MOD(RecData[[#This Row],[TIMESTAMP]],1)&lt;0.208681))</f>
        <v>0</v>
      </c>
      <c r="DI1105" s="18" t="b">
        <f>RecData[[#This Row],[Overall (dBA)]]-RecData[[#This Row],[L90]]&gt;=$DS$4</f>
        <v>0</v>
      </c>
      <c r="DJ1105" s="18" t="b">
        <f>RecData[[#This Row],[Overall (dBA)]]&gt;$DS$2</f>
        <v>0</v>
      </c>
      <c r="DK1105" s="18" t="b">
        <f>RecData[[#This Row],[Overall (dBA)]]&lt;$DS$3</f>
        <v>0</v>
      </c>
      <c r="DL11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5" s="2">
        <f>IF(AND(RecData[[#This Row],[Turbines ON/OFF]] = "OFF", NOT(OR(RecData[[#This Row],[Junk?]]="YES",RecData[[#This Row],[Gust?]],RecData[[#This Row],[Rain?]:[Min SPL Threshold?]]))),1,0)</f>
        <v>0</v>
      </c>
      <c r="DN1105" s="16">
        <f>RecData[[#This Row],[dBA Sum]]</f>
        <v>38.684446859534191</v>
      </c>
      <c r="DO1105" s="16">
        <f>RecData[[#This Row],[LAF90.0]]</f>
        <v>37.9</v>
      </c>
      <c r="DP1105" s="55">
        <f>IF(AND(RecData[[#This Row],[Useable TON Data?]],RecData[[#This Row],[Turbines ON/OFF]]="ON"),RecData[[#This Row],[dBA Sum]],"")</f>
        <v>38.684446859534191</v>
      </c>
      <c r="DQ1105" s="55" t="str">
        <f>IF(AND(RecData[[#This Row],[Useable Background Data?]],RecData[[#This Row],[Turbines ON/OFF]]="OFF"),RecData[[#This Row],[dBA Sum]],"")</f>
        <v/>
      </c>
      <c r="DR1105" s="3">
        <f>IF(OR(RecData[[#This Row],[Useable TON Data?]],RecData[[#This Row],[Useable Background Data?]]),ROUND(RecData[[#This Row],[WSpd_Avg '[m/s']]],0),"")</f>
        <v>1</v>
      </c>
      <c r="DS1105" s="85">
        <f>(0.00002)^2*(10^(RecData[[#This Row],[Overall (dBA)]]/10))</f>
        <v>2.9546407093109164E-6</v>
      </c>
    </row>
    <row r="1106" spans="1:123" ht="15" x14ac:dyDescent="0.25">
      <c r="A1106" s="3" t="s">
        <v>249</v>
      </c>
      <c r="B1106" s="12">
        <v>43275.978472222225</v>
      </c>
      <c r="C1106" s="3"/>
      <c r="D1106" s="3">
        <v>39.5</v>
      </c>
      <c r="E1106" s="3"/>
      <c r="F1106" s="3"/>
      <c r="G1106" s="3"/>
      <c r="H1106" s="3"/>
      <c r="I1106" s="3"/>
      <c r="J1106" s="3"/>
      <c r="K1106" s="3">
        <v>37.799999999999997</v>
      </c>
      <c r="L1106" s="3"/>
      <c r="M1106" s="3"/>
      <c r="N1106" s="3">
        <v>222.4</v>
      </c>
      <c r="O1106" s="3"/>
      <c r="P1106" s="3"/>
      <c r="Q1106" s="3">
        <v>0.64</v>
      </c>
      <c r="R1106" s="3">
        <v>0.1</v>
      </c>
      <c r="S1106" s="3">
        <v>1.4</v>
      </c>
      <c r="T1106" s="3">
        <v>13.6</v>
      </c>
      <c r="U1106" s="3">
        <v>46.3</v>
      </c>
      <c r="V1106" s="3">
        <v>976.7</v>
      </c>
      <c r="W1106" s="3">
        <v>0</v>
      </c>
      <c r="X1106" s="3">
        <v>46.3</v>
      </c>
      <c r="Y1106" s="3">
        <v>45.9</v>
      </c>
      <c r="Z1106" s="3">
        <v>45.9</v>
      </c>
      <c r="AA1106" s="3">
        <v>40.200000000000003</v>
      </c>
      <c r="AB1106" s="3">
        <v>35.799999999999997</v>
      </c>
      <c r="AC1106" s="3">
        <v>35.799999999999997</v>
      </c>
      <c r="AD1106" s="3">
        <v>39.6</v>
      </c>
      <c r="AE1106" s="3">
        <v>41.4</v>
      </c>
      <c r="AF1106" s="3">
        <v>45.5</v>
      </c>
      <c r="AG1106" s="3">
        <v>37.4</v>
      </c>
      <c r="AH1106" s="3">
        <v>38.1</v>
      </c>
      <c r="AI1106" s="3">
        <v>37.4</v>
      </c>
      <c r="AJ1106" s="3">
        <v>36.799999999999997</v>
      </c>
      <c r="AK1106" s="3">
        <v>34.799999999999997</v>
      </c>
      <c r="AL1106" s="3">
        <v>33</v>
      </c>
      <c r="AM1106" s="3">
        <v>32.200000000000003</v>
      </c>
      <c r="AN1106" s="3">
        <v>30.4</v>
      </c>
      <c r="AO1106" s="3">
        <v>26.8</v>
      </c>
      <c r="AP1106" s="3">
        <v>23.9</v>
      </c>
      <c r="AQ1106" s="3">
        <v>21.1</v>
      </c>
      <c r="AR1106" s="3">
        <v>18.100000000000001</v>
      </c>
      <c r="AS1106" s="3">
        <v>18</v>
      </c>
      <c r="AT1106" s="3">
        <v>22.4</v>
      </c>
      <c r="AU1106" s="3">
        <v>11.7</v>
      </c>
      <c r="AV1106" s="3">
        <v>10.5</v>
      </c>
      <c r="AW1106" s="3">
        <v>9.9</v>
      </c>
      <c r="AX1106" s="3">
        <v>9.1999999999999993</v>
      </c>
      <c r="AY1106" s="3">
        <v>9.1999999999999993</v>
      </c>
      <c r="AZ1106" s="3">
        <v>0</v>
      </c>
      <c r="BA1106" s="3">
        <v>0</v>
      </c>
      <c r="BB1106" s="3">
        <v>0</v>
      </c>
      <c r="BC1106" s="3">
        <v>39.525810658236765</v>
      </c>
      <c r="BD1106" s="3">
        <v>46.274189341763233</v>
      </c>
      <c r="BE1106" s="3">
        <v>45.874189341763241</v>
      </c>
      <c r="BF1106" s="3">
        <v>44.634189341763232</v>
      </c>
      <c r="BG1106" s="3">
        <v>39.260856008429897</v>
      </c>
      <c r="BH1106" s="3">
        <v>35.000856008429906</v>
      </c>
      <c r="BI1106" s="3">
        <v>35.414189341763233</v>
      </c>
      <c r="BJ1106" s="3">
        <v>40.007522675096567</v>
      </c>
      <c r="BK1106" s="3">
        <v>41.680856008429899</v>
      </c>
      <c r="BL1106" s="3">
        <v>45.354189341763231</v>
      </c>
      <c r="BM1106" s="3">
        <v>37.387522675096562</v>
      </c>
      <c r="BN1106" s="3">
        <v>38.370856008429911</v>
      </c>
      <c r="BO1106" s="3">
        <v>37.037522675096568</v>
      </c>
      <c r="BP1106" s="3">
        <v>36.154189341763242</v>
      </c>
      <c r="BQ1106" s="3">
        <v>34.570856008429899</v>
      </c>
      <c r="BR1106" s="3">
        <v>33.09752267509657</v>
      </c>
      <c r="BS1106" s="3">
        <v>32.100856008429901</v>
      </c>
      <c r="BT1106" s="3">
        <v>30.497522675096576</v>
      </c>
      <c r="BU1106" s="3">
        <v>26.864189341763236</v>
      </c>
      <c r="BV1106" s="3">
        <v>23.680856008429899</v>
      </c>
      <c r="BW1106" s="3">
        <v>21.41418934176324</v>
      </c>
      <c r="BX1106" s="3">
        <v>18.334189341763242</v>
      </c>
      <c r="BY1106" s="3">
        <v>18.054189341763234</v>
      </c>
      <c r="BZ1106" s="3">
        <v>22.584189341763235</v>
      </c>
      <c r="CA1106" s="3">
        <v>11.984189341763226</v>
      </c>
      <c r="CB1106" s="3">
        <v>10.220856008429898</v>
      </c>
      <c r="CC1106" s="3">
        <v>9.8341893417632349</v>
      </c>
      <c r="CD1106" s="3">
        <v>8.440856008429904</v>
      </c>
      <c r="CE1106" s="3">
        <v>8.6341893417632321</v>
      </c>
      <c r="CF1106" s="3">
        <v>-0.95247732490343395</v>
      </c>
      <c r="CG1106" s="3">
        <v>-1.4858106582367654</v>
      </c>
      <c r="CH1106" s="3">
        <v>-2.5624773249034334</v>
      </c>
      <c r="CI1106" s="13">
        <f>[1]!dbasum(RecData[[#This Row],[20]:[2000]],RecData[[#Headers],[20]:[2000]])</f>
        <v>39.239029734940871</v>
      </c>
      <c r="CJ1106" s="14">
        <v>10690</v>
      </c>
      <c r="CK1106" s="15" t="s">
        <v>249</v>
      </c>
      <c r="CL1106" s="15">
        <f>RecData[[#This Row],[Start Time]]</f>
        <v>43275.978472222225</v>
      </c>
      <c r="CM1106" s="16">
        <f>RecData[[#This Row],[Wind Speed avg]]</f>
        <v>0.64</v>
      </c>
      <c r="CN1106" s="16">
        <f>RecData[[#This Row],[Wind Dir. avg]]</f>
        <v>222.4</v>
      </c>
      <c r="CO1106" s="16">
        <f>RecData[[#This Row],[Amb. Humidity]]</f>
        <v>46.3</v>
      </c>
      <c r="CP1106" s="16">
        <f>RecData[[#This Row],[Amb. Temperature]]</f>
        <v>13.6</v>
      </c>
      <c r="CQ1106" s="17">
        <f>RecData[[#This Row],[Amb. Rain Gauge]]</f>
        <v>0</v>
      </c>
      <c r="CR1106" s="4" t="s">
        <v>1</v>
      </c>
      <c r="CS1106" s="4" t="s">
        <v>49</v>
      </c>
      <c r="CT1106" s="70">
        <v>1617.69140625</v>
      </c>
      <c r="CU1106" s="70">
        <v>21.000175476074201</v>
      </c>
      <c r="CV1106" s="70">
        <v>10.735968589782701</v>
      </c>
      <c r="CW1106" s="70">
        <v>15.3374986648559</v>
      </c>
      <c r="CX1106" s="4"/>
      <c r="CY1106" s="69"/>
      <c r="CZ1106" s="2" t="b">
        <f>IF($DP$1="YES",IF(RecData[[#This Row],[Power (kW)]]&gt;=$CR$3, TRUE,FALSE),TRUE)</f>
        <v>1</v>
      </c>
      <c r="DA1106" s="16">
        <f>MIN(MOD(180-ABS(ABS($DA$1-RecData[Yaw Angle (°)])-180),360),MOD(180-ABS(ABS($DB$1-RecData[Yaw Angle (°)])-180),360))</f>
        <v>13.470248698386655</v>
      </c>
      <c r="DB1106" s="2" t="str">
        <f>IF($DP$2="None","None",IF(RecData[[#This Row],[Relative Wind Direction]]&lt;=45,"DW",IF(RecData[[#This Row],[Relative Wind Direction]]&lt;=135,"CW","UW")))</f>
        <v>DW</v>
      </c>
      <c r="DC1106" s="61">
        <f>IF($CL1106-$CL1102&gt;1/24,#REF!,IF(SUM($CQ1102:$CQ1106)&gt;$DS$1,$DS$5,DC1107-1))</f>
        <v>-4</v>
      </c>
      <c r="DD1106" s="61">
        <f>IF($CL1107-$CL1106&gt;1/24,#REF!,IF(SUM($CQ1102:$CQ1106)&gt;$DS$1,$DS$6,DD1105-1))</f>
        <v>-7</v>
      </c>
      <c r="DE1106" s="18" t="b">
        <v>0</v>
      </c>
      <c r="DF1106" s="2" t="b">
        <f>IF(OR(RecData[[#This Row],[WSpd_Avg '[m/s']]]-RecData[[#This Row],[Wind Speed min]]&gt;=$DF$3,RecData[[#This Row],[Wind Speed max]]-RecData[[#This Row],[WSpd_Avg '[m/s']]]&gt;=$DF$2),TRUE,FALSE)</f>
        <v>0</v>
      </c>
      <c r="DG1106" s="2" t="b">
        <f>RecData[[#This Row],[Temperature '[°C']]]&lt;=-20</f>
        <v>0</v>
      </c>
      <c r="DH1106" s="18" t="b">
        <f>NOT(OR(MOD(RecData[[#This Row],[TIMESTAMP]],1)&gt;0.91632,MOD(RecData[[#This Row],[TIMESTAMP]],1)&lt;0.208681))</f>
        <v>0</v>
      </c>
      <c r="DI1106" s="18" t="b">
        <f>RecData[[#This Row],[Overall (dBA)]]-RecData[[#This Row],[L90]]&gt;=$DS$4</f>
        <v>0</v>
      </c>
      <c r="DJ1106" s="18" t="b">
        <f>RecData[[#This Row],[Overall (dBA)]]&gt;$DS$2</f>
        <v>0</v>
      </c>
      <c r="DK1106" s="18" t="b">
        <f>RecData[[#This Row],[Overall (dBA)]]&lt;$DS$3</f>
        <v>0</v>
      </c>
      <c r="DL11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6" s="2">
        <f>IF(AND(RecData[[#This Row],[Turbines ON/OFF]] = "OFF", NOT(OR(RecData[[#This Row],[Junk?]]="YES",RecData[[#This Row],[Gust?]],RecData[[#This Row],[Rain?]:[Min SPL Threshold?]]))),1,0)</f>
        <v>0</v>
      </c>
      <c r="DN1106" s="16">
        <f>RecData[[#This Row],[dBA Sum]]</f>
        <v>39.239029734940871</v>
      </c>
      <c r="DO1106" s="16">
        <f>RecData[[#This Row],[LAF90.0]]</f>
        <v>37.799999999999997</v>
      </c>
      <c r="DP1106" s="55">
        <f>IF(AND(RecData[[#This Row],[Useable TON Data?]],RecData[[#This Row],[Turbines ON/OFF]]="ON"),RecData[[#This Row],[dBA Sum]],"")</f>
        <v>39.239029734940871</v>
      </c>
      <c r="DQ1106" s="55" t="str">
        <f>IF(AND(RecData[[#This Row],[Useable Background Data?]],RecData[[#This Row],[Turbines ON/OFF]]="OFF"),RecData[[#This Row],[dBA Sum]],"")</f>
        <v/>
      </c>
      <c r="DR1106" s="3">
        <f>IF(OR(RecData[[#This Row],[Useable TON Data?]],RecData[[#This Row],[Useable Background Data?]]),ROUND(RecData[[#This Row],[WSpd_Avg '[m/s']]],0),"")</f>
        <v>1</v>
      </c>
      <c r="DS1106" s="85">
        <f>(0.00002)^2*(10^(RecData[[#This Row],[Overall (dBA)]]/10))</f>
        <v>3.3570898488510704E-6</v>
      </c>
    </row>
    <row r="1107" spans="1:123" ht="15" x14ac:dyDescent="0.25">
      <c r="A1107" s="3" t="s">
        <v>249</v>
      </c>
      <c r="B1107" s="12">
        <v>43275.979166666672</v>
      </c>
      <c r="C1107" s="3"/>
      <c r="D1107" s="3">
        <v>39.4</v>
      </c>
      <c r="E1107" s="3"/>
      <c r="F1107" s="3"/>
      <c r="G1107" s="3"/>
      <c r="H1107" s="3"/>
      <c r="I1107" s="3"/>
      <c r="J1107" s="3"/>
      <c r="K1107" s="3">
        <v>37.700000000000003</v>
      </c>
      <c r="L1107" s="3"/>
      <c r="M1107" s="3"/>
      <c r="N1107" s="3">
        <v>243.6</v>
      </c>
      <c r="O1107" s="3"/>
      <c r="P1107" s="3"/>
      <c r="Q1107" s="3">
        <v>0.79</v>
      </c>
      <c r="R1107" s="3">
        <v>0.3</v>
      </c>
      <c r="S1107" s="3">
        <v>1.1000000000000001</v>
      </c>
      <c r="T1107" s="3">
        <v>13.6</v>
      </c>
      <c r="U1107" s="3">
        <v>46.4</v>
      </c>
      <c r="V1107" s="3">
        <v>976.7</v>
      </c>
      <c r="W1107" s="3">
        <v>0</v>
      </c>
      <c r="X1107" s="3">
        <v>46</v>
      </c>
      <c r="Y1107" s="3">
        <v>46.4</v>
      </c>
      <c r="Z1107" s="3">
        <v>46</v>
      </c>
      <c r="AA1107" s="3">
        <v>40.5</v>
      </c>
      <c r="AB1107" s="3">
        <v>36</v>
      </c>
      <c r="AC1107" s="3">
        <v>33.799999999999997</v>
      </c>
      <c r="AD1107" s="3">
        <v>38.799999999999997</v>
      </c>
      <c r="AE1107" s="3">
        <v>41.5</v>
      </c>
      <c r="AF1107" s="3">
        <v>44.4</v>
      </c>
      <c r="AG1107" s="3">
        <v>37.799999999999997</v>
      </c>
      <c r="AH1107" s="3">
        <v>37.5</v>
      </c>
      <c r="AI1107" s="3">
        <v>37.200000000000003</v>
      </c>
      <c r="AJ1107" s="3">
        <v>36.299999999999997</v>
      </c>
      <c r="AK1107" s="3">
        <v>34.4</v>
      </c>
      <c r="AL1107" s="3">
        <v>32.6</v>
      </c>
      <c r="AM1107" s="3">
        <v>32.4</v>
      </c>
      <c r="AN1107" s="3">
        <v>30.7</v>
      </c>
      <c r="AO1107" s="3">
        <v>27</v>
      </c>
      <c r="AP1107" s="3">
        <v>24.2</v>
      </c>
      <c r="AQ1107" s="3">
        <v>21.6</v>
      </c>
      <c r="AR1107" s="3">
        <v>18.8</v>
      </c>
      <c r="AS1107" s="3">
        <v>17.899999999999999</v>
      </c>
      <c r="AT1107" s="3">
        <v>22.5</v>
      </c>
      <c r="AU1107" s="3">
        <v>12.7</v>
      </c>
      <c r="AV1107" s="3">
        <v>11.1</v>
      </c>
      <c r="AW1107" s="3">
        <v>10.5</v>
      </c>
      <c r="AX1107" s="3">
        <v>9.4</v>
      </c>
      <c r="AY1107" s="3">
        <v>9.3000000000000007</v>
      </c>
      <c r="AZ1107" s="3">
        <v>0</v>
      </c>
      <c r="BA1107" s="3">
        <v>0</v>
      </c>
      <c r="BB1107" s="3">
        <v>0</v>
      </c>
      <c r="BC1107" s="3">
        <v>39.350541909248818</v>
      </c>
      <c r="BD1107" s="3">
        <v>46.049458090751187</v>
      </c>
      <c r="BE1107" s="3">
        <v>46.449458090751179</v>
      </c>
      <c r="BF1107" s="3">
        <v>44.809458090751178</v>
      </c>
      <c r="BG1107" s="3">
        <v>39.636124757417846</v>
      </c>
      <c r="BH1107" s="3">
        <v>35.276124757417847</v>
      </c>
      <c r="BI1107" s="3">
        <v>33.489458090751185</v>
      </c>
      <c r="BJ1107" s="3">
        <v>39.282791424084508</v>
      </c>
      <c r="BK1107" s="3">
        <v>41.856124757417845</v>
      </c>
      <c r="BL1107" s="3">
        <v>44.329458090751189</v>
      </c>
      <c r="BM1107" s="3">
        <v>37.86279142408452</v>
      </c>
      <c r="BN1107" s="3">
        <v>37.84612475741784</v>
      </c>
      <c r="BO1107" s="3">
        <v>36.912791424084517</v>
      </c>
      <c r="BP1107" s="3">
        <v>35.72945809075118</v>
      </c>
      <c r="BQ1107" s="3">
        <v>34.246124757417846</v>
      </c>
      <c r="BR1107" s="3">
        <v>32.772791424084517</v>
      </c>
      <c r="BS1107" s="3">
        <v>32.376124757417841</v>
      </c>
      <c r="BT1107" s="3">
        <v>30.872791424084511</v>
      </c>
      <c r="BU1107" s="3">
        <v>27.139458090751191</v>
      </c>
      <c r="BV1107" s="3">
        <v>24.056124757417848</v>
      </c>
      <c r="BW1107" s="3">
        <v>21.989458090751185</v>
      </c>
      <c r="BX1107" s="3">
        <v>19.10945809075119</v>
      </c>
      <c r="BY1107" s="3">
        <v>18.029458090751177</v>
      </c>
      <c r="BZ1107" s="3">
        <v>22.759458090751181</v>
      </c>
      <c r="CA1107" s="3">
        <v>13.059458090751171</v>
      </c>
      <c r="CB1107" s="3">
        <v>10.896124757417844</v>
      </c>
      <c r="CC1107" s="3">
        <v>10.509458090751181</v>
      </c>
      <c r="CD1107" s="3">
        <v>8.7161247574178518</v>
      </c>
      <c r="CE1107" s="3">
        <v>8.8094580907511784</v>
      </c>
      <c r="CF1107" s="3">
        <v>-0.87720857591548906</v>
      </c>
      <c r="CG1107" s="3">
        <v>-1.4105419092488205</v>
      </c>
      <c r="CH1107" s="3">
        <v>-2.4872085759154885</v>
      </c>
      <c r="CI1107" s="13">
        <f>[1]!dbasum(RecData[[#This Row],[20]:[2000]],RecData[[#Headers],[20]:[2000]])</f>
        <v>39.133498409603334</v>
      </c>
      <c r="CJ1107" s="14">
        <v>10691</v>
      </c>
      <c r="CK1107" s="15" t="s">
        <v>249</v>
      </c>
      <c r="CL1107" s="15">
        <f>RecData[[#This Row],[Start Time]]</f>
        <v>43275.979166666672</v>
      </c>
      <c r="CM1107" s="16">
        <f>RecData[[#This Row],[Wind Speed avg]]</f>
        <v>0.79</v>
      </c>
      <c r="CN1107" s="16">
        <f>RecData[[#This Row],[Wind Dir. avg]]</f>
        <v>243.6</v>
      </c>
      <c r="CO1107" s="16">
        <f>RecData[[#This Row],[Amb. Humidity]]</f>
        <v>46.4</v>
      </c>
      <c r="CP1107" s="16">
        <f>RecData[[#This Row],[Amb. Temperature]]</f>
        <v>13.6</v>
      </c>
      <c r="CQ1107" s="17">
        <f>RecData[[#This Row],[Amb. Rain Gauge]]</f>
        <v>0</v>
      </c>
      <c r="CR1107" s="4" t="s">
        <v>1</v>
      </c>
      <c r="CS1107" s="4" t="s">
        <v>49</v>
      </c>
      <c r="CT1107" s="70">
        <v>1617.69140625</v>
      </c>
      <c r="CU1107" s="70">
        <v>21.000175476074201</v>
      </c>
      <c r="CV1107" s="70">
        <v>10.735968589782701</v>
      </c>
      <c r="CW1107" s="70">
        <v>15.3374986648559</v>
      </c>
      <c r="CX1107" s="4"/>
      <c r="CY1107" s="69"/>
      <c r="CZ1107" s="2" t="b">
        <f>IF($DP$1="YES",IF(RecData[[#This Row],[Power (kW)]]&gt;=$CR$3, TRUE,FALSE),TRUE)</f>
        <v>1</v>
      </c>
      <c r="DA1107" s="16">
        <f>MIN(MOD(180-ABS(ABS($DA$1-RecData[Yaw Angle (°)])-180),360),MOD(180-ABS(ABS($DB$1-RecData[Yaw Angle (°)])-180),360))</f>
        <v>13.470248698386655</v>
      </c>
      <c r="DB1107" s="2" t="str">
        <f>IF($DP$2="None","None",IF(RecData[[#This Row],[Relative Wind Direction]]&lt;=45,"DW",IF(RecData[[#This Row],[Relative Wind Direction]]&lt;=135,"CW","UW")))</f>
        <v>DW</v>
      </c>
      <c r="DC1107" s="61">
        <f>IF($CL1107-$CL1103&gt;1/24,#REF!,IF(SUM($CQ1103:$CQ1107)&gt;$DS$1,$DS$5,DC1108-1))</f>
        <v>-3</v>
      </c>
      <c r="DD1107" s="61">
        <f>IF($CL1108-$CL1107&gt;1/24,#REF!,IF(SUM($CQ1103:$CQ1107)&gt;$DS$1,$DS$6,DD1106-1))</f>
        <v>-8</v>
      </c>
      <c r="DE1107" s="18" t="b">
        <v>0</v>
      </c>
      <c r="DF1107" s="2" t="b">
        <f>IF(OR(RecData[[#This Row],[WSpd_Avg '[m/s']]]-RecData[[#This Row],[Wind Speed min]]&gt;=$DF$3,RecData[[#This Row],[Wind Speed max]]-RecData[[#This Row],[WSpd_Avg '[m/s']]]&gt;=$DF$2),TRUE,FALSE)</f>
        <v>0</v>
      </c>
      <c r="DG1107" s="2" t="b">
        <f>RecData[[#This Row],[Temperature '[°C']]]&lt;=-20</f>
        <v>0</v>
      </c>
      <c r="DH1107" s="18" t="b">
        <f>NOT(OR(MOD(RecData[[#This Row],[TIMESTAMP]],1)&gt;0.91632,MOD(RecData[[#This Row],[TIMESTAMP]],1)&lt;0.208681))</f>
        <v>0</v>
      </c>
      <c r="DI1107" s="18" t="b">
        <f>RecData[[#This Row],[Overall (dBA)]]-RecData[[#This Row],[L90]]&gt;=$DS$4</f>
        <v>0</v>
      </c>
      <c r="DJ1107" s="18" t="b">
        <f>RecData[[#This Row],[Overall (dBA)]]&gt;$DS$2</f>
        <v>0</v>
      </c>
      <c r="DK1107" s="18" t="b">
        <f>RecData[[#This Row],[Overall (dBA)]]&lt;$DS$3</f>
        <v>0</v>
      </c>
      <c r="DL11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7" s="2">
        <f>IF(AND(RecData[[#This Row],[Turbines ON/OFF]] = "OFF", NOT(OR(RecData[[#This Row],[Junk?]]="YES",RecData[[#This Row],[Gust?]],RecData[[#This Row],[Rain?]:[Min SPL Threshold?]]))),1,0)</f>
        <v>0</v>
      </c>
      <c r="DN1107" s="16">
        <f>RecData[[#This Row],[dBA Sum]]</f>
        <v>39.133498409603334</v>
      </c>
      <c r="DO1107" s="16">
        <f>RecData[[#This Row],[LAF90.0]]</f>
        <v>37.700000000000003</v>
      </c>
      <c r="DP1107" s="55">
        <f>IF(AND(RecData[[#This Row],[Useable TON Data?]],RecData[[#This Row],[Turbines ON/OFF]]="ON"),RecData[[#This Row],[dBA Sum]],"")</f>
        <v>39.133498409603334</v>
      </c>
      <c r="DQ1107" s="55" t="str">
        <f>IF(AND(RecData[[#This Row],[Useable Background Data?]],RecData[[#This Row],[Turbines ON/OFF]]="OFF"),RecData[[#This Row],[dBA Sum]],"")</f>
        <v/>
      </c>
      <c r="DR1107" s="3">
        <f>IF(OR(RecData[[#This Row],[Useable TON Data?]],RecData[[#This Row],[Useable Background Data?]]),ROUND(RecData[[#This Row],[WSpd_Avg '[m/s']]],0),"")</f>
        <v>1</v>
      </c>
      <c r="DS1107" s="85">
        <f>(0.00002)^2*(10^(RecData[[#This Row],[Overall (dBA)]]/10))</f>
        <v>3.2764974348690534E-6</v>
      </c>
    </row>
    <row r="1108" spans="1:123" ht="15" x14ac:dyDescent="0.25">
      <c r="A1108" s="3" t="s">
        <v>249</v>
      </c>
      <c r="B1108" s="12">
        <v>43275.979861111111</v>
      </c>
      <c r="C1108" s="3"/>
      <c r="D1108" s="3">
        <v>37.700000000000003</v>
      </c>
      <c r="E1108" s="3"/>
      <c r="F1108" s="3"/>
      <c r="G1108" s="3"/>
      <c r="H1108" s="3"/>
      <c r="I1108" s="3"/>
      <c r="J1108" s="3"/>
      <c r="K1108" s="3">
        <v>36.299999999999997</v>
      </c>
      <c r="L1108" s="3"/>
      <c r="M1108" s="3"/>
      <c r="N1108" s="3">
        <v>240.1</v>
      </c>
      <c r="O1108" s="3"/>
      <c r="P1108" s="3"/>
      <c r="Q1108" s="3">
        <v>0.75</v>
      </c>
      <c r="R1108" s="3">
        <v>0.3</v>
      </c>
      <c r="S1108" s="3">
        <v>1.3</v>
      </c>
      <c r="T1108" s="3">
        <v>13.6</v>
      </c>
      <c r="U1108" s="3">
        <v>46.5</v>
      </c>
      <c r="V1108" s="3">
        <v>976.7</v>
      </c>
      <c r="W1108" s="3">
        <v>0</v>
      </c>
      <c r="X1108" s="3">
        <v>45.6</v>
      </c>
      <c r="Y1108" s="3">
        <v>45.6</v>
      </c>
      <c r="Z1108" s="3">
        <v>45.5</v>
      </c>
      <c r="AA1108" s="3">
        <v>39.799999999999997</v>
      </c>
      <c r="AB1108" s="3">
        <v>35.200000000000003</v>
      </c>
      <c r="AC1108" s="3">
        <v>33.299999999999997</v>
      </c>
      <c r="AD1108" s="3">
        <v>36.700000000000003</v>
      </c>
      <c r="AE1108" s="3">
        <v>38.799999999999997</v>
      </c>
      <c r="AF1108" s="3">
        <v>42</v>
      </c>
      <c r="AG1108" s="3">
        <v>35.9</v>
      </c>
      <c r="AH1108" s="3">
        <v>35.1</v>
      </c>
      <c r="AI1108" s="3">
        <v>35.6</v>
      </c>
      <c r="AJ1108" s="3">
        <v>34.299999999999997</v>
      </c>
      <c r="AK1108" s="3">
        <v>32.700000000000003</v>
      </c>
      <c r="AL1108" s="3">
        <v>31.1</v>
      </c>
      <c r="AM1108" s="3">
        <v>30.7</v>
      </c>
      <c r="AN1108" s="3">
        <v>28.8</v>
      </c>
      <c r="AO1108" s="3">
        <v>25.9</v>
      </c>
      <c r="AP1108" s="3">
        <v>23.3</v>
      </c>
      <c r="AQ1108" s="3">
        <v>21.2</v>
      </c>
      <c r="AR1108" s="3">
        <v>18.899999999999999</v>
      </c>
      <c r="AS1108" s="3">
        <v>19</v>
      </c>
      <c r="AT1108" s="3">
        <v>21</v>
      </c>
      <c r="AU1108" s="3">
        <v>11.9</v>
      </c>
      <c r="AV1108" s="3">
        <v>10.4</v>
      </c>
      <c r="AW1108" s="3">
        <v>9.8000000000000007</v>
      </c>
      <c r="AX1108" s="3">
        <v>9</v>
      </c>
      <c r="AY1108" s="3">
        <v>9.1</v>
      </c>
      <c r="AZ1108" s="3">
        <v>0</v>
      </c>
      <c r="BA1108" s="3">
        <v>0</v>
      </c>
      <c r="BB1108" s="3">
        <v>0</v>
      </c>
      <c r="BC1108" s="3">
        <v>37.695389825585778</v>
      </c>
      <c r="BD1108" s="3">
        <v>45.604610174414233</v>
      </c>
      <c r="BE1108" s="3">
        <v>45.604610174414233</v>
      </c>
      <c r="BF1108" s="3">
        <v>44.26461017441423</v>
      </c>
      <c r="BG1108" s="3">
        <v>38.891276841080895</v>
      </c>
      <c r="BH1108" s="3">
        <v>34.431276841080887</v>
      </c>
      <c r="BI1108" s="3">
        <v>32.944610174414223</v>
      </c>
      <c r="BJ1108" s="3">
        <v>37.137943507747565</v>
      </c>
      <c r="BK1108" s="3">
        <v>39.111276841080894</v>
      </c>
      <c r="BL1108" s="3">
        <v>41.884610174414235</v>
      </c>
      <c r="BM1108" s="3">
        <v>35.917943507747566</v>
      </c>
      <c r="BN1108" s="3">
        <v>35.401276841080886</v>
      </c>
      <c r="BO1108" s="3">
        <v>35.26794350774756</v>
      </c>
      <c r="BP1108" s="3">
        <v>33.684610174414217</v>
      </c>
      <c r="BQ1108" s="3">
        <v>32.50127684108088</v>
      </c>
      <c r="BR1108" s="3">
        <v>31.227943507747568</v>
      </c>
      <c r="BS1108" s="3">
        <v>30.63127684108089</v>
      </c>
      <c r="BT1108" s="3">
        <v>28.927943507747557</v>
      </c>
      <c r="BU1108" s="3">
        <v>25.994610174414227</v>
      </c>
      <c r="BV1108" s="3">
        <v>23.111276841080894</v>
      </c>
      <c r="BW1108" s="3">
        <v>21.544610174414231</v>
      </c>
      <c r="BX1108" s="3">
        <v>19.164610174414229</v>
      </c>
      <c r="BY1108" s="3">
        <v>19.084610174414223</v>
      </c>
      <c r="BZ1108" s="3">
        <v>21.214610174414233</v>
      </c>
      <c r="CA1108" s="3">
        <v>12.214610174414219</v>
      </c>
      <c r="CB1108" s="3">
        <v>10.151276841080886</v>
      </c>
      <c r="CC1108" s="3">
        <v>9.7646101744142229</v>
      </c>
      <c r="CD1108" s="3">
        <v>8.2712768410808977</v>
      </c>
      <c r="CE1108" s="3">
        <v>8.5646101744142271</v>
      </c>
      <c r="CF1108" s="3">
        <v>-0.92205649225244457</v>
      </c>
      <c r="CG1108" s="3">
        <v>-1.455389825585776</v>
      </c>
      <c r="CH1108" s="3">
        <v>-2.532056492252444</v>
      </c>
      <c r="CI1108" s="13">
        <f>[1]!dbasum(RecData[[#This Row],[20]:[2000]],RecData[[#Headers],[20]:[2000]])</f>
        <v>37.386175089356811</v>
      </c>
      <c r="CJ1108" s="14">
        <v>10692</v>
      </c>
      <c r="CK1108" s="15" t="s">
        <v>249</v>
      </c>
      <c r="CL1108" s="15">
        <f>RecData[[#This Row],[Start Time]]</f>
        <v>43275.979861111111</v>
      </c>
      <c r="CM1108" s="16">
        <f>RecData[[#This Row],[Wind Speed avg]]</f>
        <v>0.75</v>
      </c>
      <c r="CN1108" s="16">
        <f>RecData[[#This Row],[Wind Dir. avg]]</f>
        <v>240.1</v>
      </c>
      <c r="CO1108" s="16">
        <f>RecData[[#This Row],[Amb. Humidity]]</f>
        <v>46.5</v>
      </c>
      <c r="CP1108" s="16">
        <f>RecData[[#This Row],[Amb. Temperature]]</f>
        <v>13.6</v>
      </c>
      <c r="CQ1108" s="17">
        <f>RecData[[#This Row],[Amb. Rain Gauge]]</f>
        <v>0</v>
      </c>
      <c r="CR1108" s="4" t="s">
        <v>1</v>
      </c>
      <c r="CS1108" s="4" t="s">
        <v>49</v>
      </c>
      <c r="CT1108" s="70">
        <v>1617.5166015625</v>
      </c>
      <c r="CU1108" s="70">
        <v>23.820549011230401</v>
      </c>
      <c r="CV1108" s="70">
        <v>11.242200851440399</v>
      </c>
      <c r="CW1108" s="70">
        <v>15.2939500808715</v>
      </c>
      <c r="CX1108" s="4"/>
      <c r="CY1108" s="69"/>
      <c r="CZ1108" s="2" t="b">
        <f>IF($DP$1="YES",IF(RecData[[#This Row],[Power (kW)]]&gt;=$CR$3, TRUE,FALSE),TRUE)</f>
        <v>1</v>
      </c>
      <c r="DA1108" s="16">
        <f>MIN(MOD(180-ABS(ABS($DA$1-RecData[Yaw Angle (°)])-180),360),MOD(180-ABS(ABS($DB$1-RecData[Yaw Angle (°)])-180),360))</f>
        <v>16.290622233542848</v>
      </c>
      <c r="DB1108" s="2" t="str">
        <f>IF($DP$2="None","None",IF(RecData[[#This Row],[Relative Wind Direction]]&lt;=45,"DW",IF(RecData[[#This Row],[Relative Wind Direction]]&lt;=135,"CW","UW")))</f>
        <v>DW</v>
      </c>
      <c r="DC1108" s="61">
        <f>IF($CL1108-$CL1104&gt;1/24,#REF!,IF(SUM($CQ1104:$CQ1108)&gt;$DS$1,$DS$5,DC1109-1))</f>
        <v>-2</v>
      </c>
      <c r="DD1108" s="61">
        <f>IF($CL1109-$CL1108&gt;1/24,#REF!,IF(SUM($CQ1104:$CQ1108)&gt;$DS$1,$DS$6,DD1107-1))</f>
        <v>-9</v>
      </c>
      <c r="DE1108" s="18" t="b">
        <v>0</v>
      </c>
      <c r="DF1108" s="2" t="b">
        <f>IF(OR(RecData[[#This Row],[WSpd_Avg '[m/s']]]-RecData[[#This Row],[Wind Speed min]]&gt;=$DF$3,RecData[[#This Row],[Wind Speed max]]-RecData[[#This Row],[WSpd_Avg '[m/s']]]&gt;=$DF$2),TRUE,FALSE)</f>
        <v>0</v>
      </c>
      <c r="DG1108" s="2" t="b">
        <f>RecData[[#This Row],[Temperature '[°C']]]&lt;=-20</f>
        <v>0</v>
      </c>
      <c r="DH1108" s="18" t="b">
        <f>NOT(OR(MOD(RecData[[#This Row],[TIMESTAMP]],1)&gt;0.91632,MOD(RecData[[#This Row],[TIMESTAMP]],1)&lt;0.208681))</f>
        <v>0</v>
      </c>
      <c r="DI1108" s="18" t="b">
        <f>RecData[[#This Row],[Overall (dBA)]]-RecData[[#This Row],[L90]]&gt;=$DS$4</f>
        <v>0</v>
      </c>
      <c r="DJ1108" s="18" t="b">
        <f>RecData[[#This Row],[Overall (dBA)]]&gt;$DS$2</f>
        <v>0</v>
      </c>
      <c r="DK1108" s="18" t="b">
        <f>RecData[[#This Row],[Overall (dBA)]]&lt;$DS$3</f>
        <v>0</v>
      </c>
      <c r="DL11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8" s="2">
        <f>IF(AND(RecData[[#This Row],[Turbines ON/OFF]] = "OFF", NOT(OR(RecData[[#This Row],[Junk?]]="YES",RecData[[#This Row],[Gust?]],RecData[[#This Row],[Rain?]:[Min SPL Threshold?]]))),1,0)</f>
        <v>0</v>
      </c>
      <c r="DN1108" s="16">
        <f>RecData[[#This Row],[dBA Sum]]</f>
        <v>37.386175089356811</v>
      </c>
      <c r="DO1108" s="16">
        <f>RecData[[#This Row],[LAF90.0]]</f>
        <v>36.299999999999997</v>
      </c>
      <c r="DP1108" s="55">
        <f>IF(AND(RecData[[#This Row],[Useable TON Data?]],RecData[[#This Row],[Turbines ON/OFF]]="ON"),RecData[[#This Row],[dBA Sum]],"")</f>
        <v>37.386175089356811</v>
      </c>
      <c r="DQ1108" s="55" t="str">
        <f>IF(AND(RecData[[#This Row],[Useable Background Data?]],RecData[[#This Row],[Turbines ON/OFF]]="OFF"),RecData[[#This Row],[dBA Sum]],"")</f>
        <v/>
      </c>
      <c r="DR1108" s="3">
        <f>IF(OR(RecData[[#This Row],[Useable TON Data?]],RecData[[#This Row],[Useable Background Data?]]),ROUND(RecData[[#This Row],[WSpd_Avg '[m/s']]],0),"")</f>
        <v>1</v>
      </c>
      <c r="DS1108" s="85">
        <f>(0.00002)^2*(10^(RecData[[#This Row],[Overall (dBA)]]/10))</f>
        <v>2.1911771999350073E-6</v>
      </c>
    </row>
    <row r="1109" spans="1:123" ht="15" x14ac:dyDescent="0.25">
      <c r="A1109" s="3" t="s">
        <v>249</v>
      </c>
      <c r="B1109" s="12">
        <v>43275.980555555558</v>
      </c>
      <c r="C1109" s="3"/>
      <c r="D1109" s="3">
        <v>38.4</v>
      </c>
      <c r="E1109" s="3"/>
      <c r="F1109" s="3"/>
      <c r="G1109" s="3"/>
      <c r="H1109" s="3"/>
      <c r="I1109" s="3"/>
      <c r="J1109" s="3"/>
      <c r="K1109" s="3">
        <v>37.4</v>
      </c>
      <c r="L1109" s="3"/>
      <c r="M1109" s="3"/>
      <c r="N1109" s="3">
        <v>176.1</v>
      </c>
      <c r="O1109" s="3"/>
      <c r="P1109" s="3"/>
      <c r="Q1109" s="3">
        <v>0.31</v>
      </c>
      <c r="R1109" s="3">
        <v>0</v>
      </c>
      <c r="S1109" s="3">
        <v>0.7</v>
      </c>
      <c r="T1109" s="3">
        <v>13.5</v>
      </c>
      <c r="U1109" s="3">
        <v>47</v>
      </c>
      <c r="V1109" s="3">
        <v>976.8</v>
      </c>
      <c r="W1109" s="3">
        <v>0</v>
      </c>
      <c r="X1109" s="3">
        <v>45.9</v>
      </c>
      <c r="Y1109" s="3">
        <v>45.7</v>
      </c>
      <c r="Z1109" s="3">
        <v>45.4</v>
      </c>
      <c r="AA1109" s="3">
        <v>40.799999999999997</v>
      </c>
      <c r="AB1109" s="3">
        <v>35.5</v>
      </c>
      <c r="AC1109" s="3">
        <v>33.9</v>
      </c>
      <c r="AD1109" s="3">
        <v>36.799999999999997</v>
      </c>
      <c r="AE1109" s="3">
        <v>39.200000000000003</v>
      </c>
      <c r="AF1109" s="3">
        <v>44.2</v>
      </c>
      <c r="AG1109" s="3">
        <v>37</v>
      </c>
      <c r="AH1109" s="3">
        <v>35.9</v>
      </c>
      <c r="AI1109" s="3">
        <v>36.799999999999997</v>
      </c>
      <c r="AJ1109" s="3">
        <v>35.200000000000003</v>
      </c>
      <c r="AK1109" s="3">
        <v>33.799999999999997</v>
      </c>
      <c r="AL1109" s="3">
        <v>31.8</v>
      </c>
      <c r="AM1109" s="3">
        <v>31.5</v>
      </c>
      <c r="AN1109" s="3">
        <v>29.7</v>
      </c>
      <c r="AO1109" s="3">
        <v>26.2</v>
      </c>
      <c r="AP1109" s="3">
        <v>23.6</v>
      </c>
      <c r="AQ1109" s="3">
        <v>20.7</v>
      </c>
      <c r="AR1109" s="3">
        <v>16.899999999999999</v>
      </c>
      <c r="AS1109" s="3">
        <v>15.7</v>
      </c>
      <c r="AT1109" s="3">
        <v>18.399999999999999</v>
      </c>
      <c r="AU1109" s="3">
        <v>8.6</v>
      </c>
      <c r="AV1109" s="3">
        <v>8.4</v>
      </c>
      <c r="AW1109" s="3">
        <v>8.8000000000000007</v>
      </c>
      <c r="AX1109" s="3">
        <v>8.9</v>
      </c>
      <c r="AY1109" s="3">
        <v>9.1</v>
      </c>
      <c r="AZ1109" s="3">
        <v>0</v>
      </c>
      <c r="BA1109" s="3">
        <v>0</v>
      </c>
      <c r="BB1109" s="3">
        <v>0</v>
      </c>
      <c r="BC1109" s="3">
        <v>38.430437878726551</v>
      </c>
      <c r="BD1109" s="3">
        <v>45.869562121273447</v>
      </c>
      <c r="BE1109" s="3">
        <v>45.669562121273444</v>
      </c>
      <c r="BF1109" s="3">
        <v>44.129562121273452</v>
      </c>
      <c r="BG1109" s="3">
        <v>39.856228787940111</v>
      </c>
      <c r="BH1109" s="3">
        <v>34.696228787940115</v>
      </c>
      <c r="BI1109" s="3">
        <v>33.509562121273447</v>
      </c>
      <c r="BJ1109" s="3">
        <v>37.202895454606775</v>
      </c>
      <c r="BK1109" s="3">
        <v>39.476228787940116</v>
      </c>
      <c r="BL1109" s="3">
        <v>44.049562121273453</v>
      </c>
      <c r="BM1109" s="3">
        <v>36.982895454606776</v>
      </c>
      <c r="BN1109" s="3">
        <v>36.166228787940113</v>
      </c>
      <c r="BO1109" s="3">
        <v>36.432895454606779</v>
      </c>
      <c r="BP1109" s="3">
        <v>34.549562121273453</v>
      </c>
      <c r="BQ1109" s="3">
        <v>33.566228787940105</v>
      </c>
      <c r="BR1109" s="3">
        <v>31.892895454606787</v>
      </c>
      <c r="BS1109" s="3">
        <v>31.396228787940117</v>
      </c>
      <c r="BT1109" s="3">
        <v>29.792895454606779</v>
      </c>
      <c r="BU1109" s="3">
        <v>26.259562121273447</v>
      </c>
      <c r="BV1109" s="3">
        <v>23.376228787940121</v>
      </c>
      <c r="BW1109" s="3">
        <v>21.009562121273447</v>
      </c>
      <c r="BX1109" s="3">
        <v>17.129562121273452</v>
      </c>
      <c r="BY1109" s="3">
        <v>15.749562121273442</v>
      </c>
      <c r="BZ1109" s="3">
        <v>18.579562121273455</v>
      </c>
      <c r="CA1109" s="3">
        <v>8.8795621212734375</v>
      </c>
      <c r="CB1109" s="3">
        <v>8.1162287879401163</v>
      </c>
      <c r="CC1109" s="3">
        <v>8.729562121273446</v>
      </c>
      <c r="CD1109" s="3">
        <v>8.1362287879401194</v>
      </c>
      <c r="CE1109" s="3">
        <v>8.5295621212734432</v>
      </c>
      <c r="CF1109" s="3">
        <v>-0.95710454539322143</v>
      </c>
      <c r="CG1109" s="3">
        <v>-1.4904378787265529</v>
      </c>
      <c r="CH1109" s="3">
        <v>-2.5671045453932209</v>
      </c>
      <c r="CI1109" s="13">
        <f>[1]!dbasum(RecData[[#This Row],[20]:[2000]],RecData[[#Headers],[20]:[2000]])</f>
        <v>38.20807449953498</v>
      </c>
      <c r="CJ1109" s="14">
        <v>10693</v>
      </c>
      <c r="CK1109" s="15" t="s">
        <v>249</v>
      </c>
      <c r="CL1109" s="15">
        <f>RecData[[#This Row],[Start Time]]</f>
        <v>43275.980555555558</v>
      </c>
      <c r="CM1109" s="16">
        <f>RecData[[#This Row],[Wind Speed avg]]</f>
        <v>0.31</v>
      </c>
      <c r="CN1109" s="16">
        <f>RecData[[#This Row],[Wind Dir. avg]]</f>
        <v>176.1</v>
      </c>
      <c r="CO1109" s="16">
        <f>RecData[[#This Row],[Amb. Humidity]]</f>
        <v>47</v>
      </c>
      <c r="CP1109" s="16">
        <f>RecData[[#This Row],[Amb. Temperature]]</f>
        <v>13.5</v>
      </c>
      <c r="CQ1109" s="17">
        <f>RecData[[#This Row],[Amb. Rain Gauge]]</f>
        <v>0</v>
      </c>
      <c r="CR1109" s="4" t="s">
        <v>1</v>
      </c>
      <c r="CS1109" s="4" t="s">
        <v>49</v>
      </c>
      <c r="CT1109" s="70">
        <v>1617.5166015625</v>
      </c>
      <c r="CU1109" s="70">
        <v>23.820549011230401</v>
      </c>
      <c r="CV1109" s="70">
        <v>11.242200851440399</v>
      </c>
      <c r="CW1109" s="70">
        <v>15.2939500808715</v>
      </c>
      <c r="CX1109" s="4"/>
      <c r="CY1109" s="69"/>
      <c r="CZ1109" s="2" t="b">
        <f>IF($DP$1="YES",IF(RecData[[#This Row],[Power (kW)]]&gt;=$CR$3, TRUE,FALSE),TRUE)</f>
        <v>1</v>
      </c>
      <c r="DA1109" s="16">
        <f>MIN(MOD(180-ABS(ABS($DA$1-RecData[Yaw Angle (°)])-180),360),MOD(180-ABS(ABS($DB$1-RecData[Yaw Angle (°)])-180),360))</f>
        <v>16.290622233542848</v>
      </c>
      <c r="DB1109" s="2" t="str">
        <f>IF($DP$2="None","None",IF(RecData[[#This Row],[Relative Wind Direction]]&lt;=45,"DW",IF(RecData[[#This Row],[Relative Wind Direction]]&lt;=135,"CW","UW")))</f>
        <v>DW</v>
      </c>
      <c r="DC1109" s="61">
        <v>-1</v>
      </c>
      <c r="DD1109" s="61">
        <v>-1</v>
      </c>
      <c r="DE1109" s="18" t="b">
        <v>0</v>
      </c>
      <c r="DF1109" s="2" t="b">
        <f>IF(OR(RecData[[#This Row],[WSpd_Avg '[m/s']]]-RecData[[#This Row],[Wind Speed min]]&gt;=$DF$3,RecData[[#This Row],[Wind Speed max]]-RecData[[#This Row],[WSpd_Avg '[m/s']]]&gt;=$DF$2),TRUE,FALSE)</f>
        <v>0</v>
      </c>
      <c r="DG1109" s="2" t="b">
        <f>RecData[[#This Row],[Temperature '[°C']]]&lt;=-20</f>
        <v>0</v>
      </c>
      <c r="DH1109" s="18" t="b">
        <f>NOT(OR(MOD(RecData[[#This Row],[TIMESTAMP]],1)&gt;0.91632,MOD(RecData[[#This Row],[TIMESTAMP]],1)&lt;0.208681))</f>
        <v>0</v>
      </c>
      <c r="DI1109" s="18" t="b">
        <f>RecData[[#This Row],[Overall (dBA)]]-RecData[[#This Row],[L90]]&gt;=$DS$4</f>
        <v>0</v>
      </c>
      <c r="DJ1109" s="18" t="b">
        <f>RecData[[#This Row],[Overall (dBA)]]&gt;$DS$2</f>
        <v>0</v>
      </c>
      <c r="DK1109" s="18" t="b">
        <f>RecData[[#This Row],[Overall (dBA)]]&lt;$DS$3</f>
        <v>0</v>
      </c>
      <c r="DL11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09" s="2">
        <f>IF(AND(RecData[[#This Row],[Turbines ON/OFF]] = "OFF", NOT(OR(RecData[[#This Row],[Junk?]]="YES",RecData[[#This Row],[Gust?]],RecData[[#This Row],[Rain?]:[Min SPL Threshold?]]))),1,0)</f>
        <v>0</v>
      </c>
      <c r="DN1109" s="16">
        <f>RecData[[#This Row],[dBA Sum]]</f>
        <v>38.20807449953498</v>
      </c>
      <c r="DO1109" s="16">
        <f>RecData[[#This Row],[LAF90.0]]</f>
        <v>37.4</v>
      </c>
      <c r="DP1109" s="55">
        <f>IF(AND(RecData[[#This Row],[Useable TON Data?]],RecData[[#This Row],[Turbines ON/OFF]]="ON"),RecData[[#This Row],[dBA Sum]],"")</f>
        <v>38.20807449953498</v>
      </c>
      <c r="DQ1109" s="55" t="str">
        <f>IF(AND(RecData[[#This Row],[Useable Background Data?]],RecData[[#This Row],[Turbines ON/OFF]]="OFF"),RecData[[#This Row],[dBA Sum]],"")</f>
        <v/>
      </c>
      <c r="DR1109" s="3">
        <f>IF(OR(RecData[[#This Row],[Useable TON Data?]],RecData[[#This Row],[Useable Background Data?]]),ROUND(RecData[[#This Row],[WSpd_Avg '[m/s']]],0),"")</f>
        <v>0</v>
      </c>
      <c r="DS1109" s="85">
        <f>(0.00002)^2*(10^(RecData[[#This Row],[Overall (dBA)]]/10))</f>
        <v>2.647691866283302E-6</v>
      </c>
    </row>
    <row r="1110" spans="1:123" ht="15" x14ac:dyDescent="0.25">
      <c r="A1110" s="3" t="s">
        <v>249</v>
      </c>
      <c r="B1110" s="12">
        <v>43275.981250000004</v>
      </c>
      <c r="C1110" s="3"/>
      <c r="D1110" s="3">
        <v>38.299999999999997</v>
      </c>
      <c r="E1110" s="3"/>
      <c r="F1110" s="3"/>
      <c r="G1110" s="3"/>
      <c r="H1110" s="3"/>
      <c r="I1110" s="3"/>
      <c r="J1110" s="3"/>
      <c r="K1110" s="3">
        <v>37.1</v>
      </c>
      <c r="L1110" s="3"/>
      <c r="M1110" s="3"/>
      <c r="N1110" s="3">
        <v>223</v>
      </c>
      <c r="O1110" s="3"/>
      <c r="P1110" s="3"/>
      <c r="Q1110" s="3">
        <v>0.72</v>
      </c>
      <c r="R1110" s="3">
        <v>0.2</v>
      </c>
      <c r="S1110" s="3">
        <v>1.4</v>
      </c>
      <c r="T1110" s="3">
        <v>13.5</v>
      </c>
      <c r="U1110" s="3">
        <v>47.2</v>
      </c>
      <c r="V1110" s="3">
        <v>976.8</v>
      </c>
      <c r="W1110" s="3">
        <v>0</v>
      </c>
      <c r="X1110" s="3">
        <v>45.9</v>
      </c>
      <c r="Y1110" s="3">
        <v>45.2</v>
      </c>
      <c r="Z1110" s="3">
        <v>45.1</v>
      </c>
      <c r="AA1110" s="3">
        <v>39.9</v>
      </c>
      <c r="AB1110" s="3">
        <v>34.799999999999997</v>
      </c>
      <c r="AC1110" s="3">
        <v>33.4</v>
      </c>
      <c r="AD1110" s="3">
        <v>37.700000000000003</v>
      </c>
      <c r="AE1110" s="3">
        <v>40</v>
      </c>
      <c r="AF1110" s="3">
        <v>43.7</v>
      </c>
      <c r="AG1110" s="3">
        <v>36.799999999999997</v>
      </c>
      <c r="AH1110" s="3">
        <v>36.4</v>
      </c>
      <c r="AI1110" s="3">
        <v>36.299999999999997</v>
      </c>
      <c r="AJ1110" s="3">
        <v>35.299999999999997</v>
      </c>
      <c r="AK1110" s="3">
        <v>33.299999999999997</v>
      </c>
      <c r="AL1110" s="3">
        <v>31.5</v>
      </c>
      <c r="AM1110" s="3">
        <v>31.4</v>
      </c>
      <c r="AN1110" s="3">
        <v>29.7</v>
      </c>
      <c r="AO1110" s="3">
        <v>26.1</v>
      </c>
      <c r="AP1110" s="3">
        <v>23.6</v>
      </c>
      <c r="AQ1110" s="3">
        <v>20.6</v>
      </c>
      <c r="AR1110" s="3">
        <v>17</v>
      </c>
      <c r="AS1110" s="3">
        <v>14.2</v>
      </c>
      <c r="AT1110" s="3">
        <v>16.5</v>
      </c>
      <c r="AU1110" s="3">
        <v>9.5</v>
      </c>
      <c r="AV1110" s="3">
        <v>8.9</v>
      </c>
      <c r="AW1110" s="3">
        <v>9</v>
      </c>
      <c r="AX1110" s="3">
        <v>8.9</v>
      </c>
      <c r="AY1110" s="3">
        <v>9.1</v>
      </c>
      <c r="AZ1110" s="3">
        <v>0</v>
      </c>
      <c r="BA1110" s="3">
        <v>0</v>
      </c>
      <c r="BB1110" s="3">
        <v>0</v>
      </c>
      <c r="BC1110" s="3">
        <v>38.252420441371989</v>
      </c>
      <c r="BD1110" s="3">
        <v>45.947579558628</v>
      </c>
      <c r="BE1110" s="3">
        <v>45.247579558628011</v>
      </c>
      <c r="BF1110" s="3">
        <v>43.907579558628008</v>
      </c>
      <c r="BG1110" s="3">
        <v>39.034246225294673</v>
      </c>
      <c r="BH1110" s="3">
        <v>34.074246225294665</v>
      </c>
      <c r="BI1110" s="3">
        <v>33.087579558628015</v>
      </c>
      <c r="BJ1110" s="3">
        <v>38.180912891961349</v>
      </c>
      <c r="BK1110" s="3">
        <v>40.354246225294666</v>
      </c>
      <c r="BL1110" s="3">
        <v>43.627579558628007</v>
      </c>
      <c r="BM1110" s="3">
        <v>36.860912891961341</v>
      </c>
      <c r="BN1110" s="3">
        <v>36.744246225294681</v>
      </c>
      <c r="BO1110" s="3">
        <v>36.010912891961333</v>
      </c>
      <c r="BP1110" s="3">
        <v>34.727579558628001</v>
      </c>
      <c r="BQ1110" s="3">
        <v>33.144246225294658</v>
      </c>
      <c r="BR1110" s="3">
        <v>31.670912891961343</v>
      </c>
      <c r="BS1110" s="3">
        <v>31.374246225294677</v>
      </c>
      <c r="BT1110" s="3">
        <v>29.870912891961346</v>
      </c>
      <c r="BU1110" s="3">
        <v>26.23757955862802</v>
      </c>
      <c r="BV1110" s="3">
        <v>23.454246225294675</v>
      </c>
      <c r="BW1110" s="3">
        <v>20.987579558628013</v>
      </c>
      <c r="BX1110" s="3">
        <v>17.307579558628014</v>
      </c>
      <c r="BY1110" s="3">
        <v>14.32757955862801</v>
      </c>
      <c r="BZ1110" s="3">
        <v>16.757579558628017</v>
      </c>
      <c r="CA1110" s="3">
        <v>9.8575795586280037</v>
      </c>
      <c r="CB1110" s="3">
        <v>8.6942462252946697</v>
      </c>
      <c r="CC1110" s="3">
        <v>9.0075795586280094</v>
      </c>
      <c r="CD1110" s="3">
        <v>8.21424622529468</v>
      </c>
      <c r="CE1110" s="3">
        <v>8.6075795586280108</v>
      </c>
      <c r="CF1110" s="3">
        <v>-0.87908710803866086</v>
      </c>
      <c r="CG1110" s="3">
        <v>-1.4124204413719923</v>
      </c>
      <c r="CH1110" s="3">
        <v>-2.4890871080386603</v>
      </c>
      <c r="CI1110" s="13">
        <f>[1]!dbasum(RecData[[#This Row],[20]:[2000]],RecData[[#Headers],[20]:[2000]])</f>
        <v>38.137874309691966</v>
      </c>
      <c r="CJ1110" s="14">
        <v>10694</v>
      </c>
      <c r="CK1110" s="15" t="s">
        <v>249</v>
      </c>
      <c r="CL1110" s="15">
        <f>RecData[[#This Row],[Start Time]]</f>
        <v>43275.981250000004</v>
      </c>
      <c r="CM1110" s="16">
        <f>RecData[[#This Row],[Wind Speed avg]]</f>
        <v>0.72</v>
      </c>
      <c r="CN1110" s="16">
        <f>RecData[[#This Row],[Wind Dir. avg]]</f>
        <v>223</v>
      </c>
      <c r="CO1110" s="16">
        <f>RecData[[#This Row],[Amb. Humidity]]</f>
        <v>47.2</v>
      </c>
      <c r="CP1110" s="16">
        <f>RecData[[#This Row],[Amb. Temperature]]</f>
        <v>13.5</v>
      </c>
      <c r="CQ1110" s="17">
        <f>RecData[[#This Row],[Amb. Rain Gauge]]</f>
        <v>0</v>
      </c>
      <c r="CR1110" s="4" t="s">
        <v>1</v>
      </c>
      <c r="CS1110" s="4" t="s">
        <v>49</v>
      </c>
      <c r="CT1110" s="70">
        <v>1617.5166015625</v>
      </c>
      <c r="CU1110" s="70">
        <v>23.820549011230401</v>
      </c>
      <c r="CV1110" s="70">
        <v>11.242200851440399</v>
      </c>
      <c r="CW1110" s="70">
        <v>15.2939500808715</v>
      </c>
      <c r="CX1110" s="4"/>
      <c r="CY1110" s="69"/>
      <c r="CZ1110" s="2" t="b">
        <f>IF($DP$1="YES",IF(RecData[[#This Row],[Power (kW)]]&gt;=$CR$3, TRUE,FALSE),TRUE)</f>
        <v>1</v>
      </c>
      <c r="DA1110" s="16">
        <f>MIN(MOD(180-ABS(ABS($DA$1-RecData[Yaw Angle (°)])-180),360),MOD(180-ABS(ABS($DB$1-RecData[Yaw Angle (°)])-180),360))</f>
        <v>16.290622233542848</v>
      </c>
      <c r="DB1110" s="2" t="str">
        <f>IF($DP$2="None","None",IF(RecData[[#This Row],[Relative Wind Direction]]&lt;=45,"DW",IF(RecData[[#This Row],[Relative Wind Direction]]&lt;=135,"CW","UW")))</f>
        <v>DW</v>
      </c>
      <c r="DC1110" s="61">
        <f>IF($CL1110-$CL1109&gt;1/24,#REF!,IF(SUM($CQ1109:$CQ1110)&gt;$DS$1,$DS$5,DC1111-1))</f>
        <v>-9</v>
      </c>
      <c r="DD1110" s="61">
        <f>IF($CL1111-$CL1110&gt;1/24,#REF!,IF(SUM($CQ1109:$CQ1110)&gt;$DS$1,$DS$6,DD1109-1))</f>
        <v>-2</v>
      </c>
      <c r="DE1110" s="18" t="b">
        <v>0</v>
      </c>
      <c r="DF1110" s="2" t="b">
        <f>IF(OR(RecData[[#This Row],[WSpd_Avg '[m/s']]]-RecData[[#This Row],[Wind Speed min]]&gt;=$DF$3,RecData[[#This Row],[Wind Speed max]]-RecData[[#This Row],[WSpd_Avg '[m/s']]]&gt;=$DF$2),TRUE,FALSE)</f>
        <v>0</v>
      </c>
      <c r="DG1110" s="2" t="b">
        <f>RecData[[#This Row],[Temperature '[°C']]]&lt;=-20</f>
        <v>0</v>
      </c>
      <c r="DH1110" s="18" t="b">
        <f>NOT(OR(MOD(RecData[[#This Row],[TIMESTAMP]],1)&gt;0.91632,MOD(RecData[[#This Row],[TIMESTAMP]],1)&lt;0.208681))</f>
        <v>0</v>
      </c>
      <c r="DI1110" s="18" t="b">
        <f>RecData[[#This Row],[Overall (dBA)]]-RecData[[#This Row],[L90]]&gt;=$DS$4</f>
        <v>0</v>
      </c>
      <c r="DJ1110" s="18" t="b">
        <f>RecData[[#This Row],[Overall (dBA)]]&gt;$DS$2</f>
        <v>0</v>
      </c>
      <c r="DK1110" s="18" t="b">
        <f>RecData[[#This Row],[Overall (dBA)]]&lt;$DS$3</f>
        <v>0</v>
      </c>
      <c r="DL11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0" s="2">
        <f>IF(AND(RecData[[#This Row],[Turbines ON/OFF]] = "OFF", NOT(OR(RecData[[#This Row],[Junk?]]="YES",RecData[[#This Row],[Gust?]],RecData[[#This Row],[Rain?]:[Min SPL Threshold?]]))),1,0)</f>
        <v>0</v>
      </c>
      <c r="DN1110" s="16">
        <f>RecData[[#This Row],[dBA Sum]]</f>
        <v>38.137874309691966</v>
      </c>
      <c r="DO1110" s="16">
        <f>RecData[[#This Row],[LAF90.0]]</f>
        <v>37.1</v>
      </c>
      <c r="DP1110" s="55">
        <f>IF(AND(RecData[[#This Row],[Useable TON Data?]],RecData[[#This Row],[Turbines ON/OFF]]="ON"),RecData[[#This Row],[dBA Sum]],"")</f>
        <v>38.137874309691966</v>
      </c>
      <c r="DQ1110" s="55" t="str">
        <f>IF(AND(RecData[[#This Row],[Useable Background Data?]],RecData[[#This Row],[Turbines ON/OFF]]="OFF"),RecData[[#This Row],[dBA Sum]],"")</f>
        <v/>
      </c>
      <c r="DR1110" s="3">
        <f>IF(OR(RecData[[#This Row],[Useable TON Data?]],RecData[[#This Row],[Useable Background Data?]]),ROUND(RecData[[#This Row],[WSpd_Avg '[m/s']]],0),"")</f>
        <v>1</v>
      </c>
      <c r="DS1110" s="85">
        <f>(0.00002)^2*(10^(RecData[[#This Row],[Overall (dBA)]]/10))</f>
        <v>2.6052381087570101E-6</v>
      </c>
    </row>
    <row r="1111" spans="1:123" ht="15" x14ac:dyDescent="0.25">
      <c r="A1111" s="3" t="s">
        <v>249</v>
      </c>
      <c r="B1111" s="12">
        <v>43275.981944444444</v>
      </c>
      <c r="C1111" s="3"/>
      <c r="D1111" s="3">
        <v>38.299999999999997</v>
      </c>
      <c r="E1111" s="3"/>
      <c r="F1111" s="3"/>
      <c r="G1111" s="3"/>
      <c r="H1111" s="3"/>
      <c r="I1111" s="3"/>
      <c r="J1111" s="3"/>
      <c r="K1111" s="3">
        <v>36.9</v>
      </c>
      <c r="L1111" s="3"/>
      <c r="M1111" s="3"/>
      <c r="N1111" s="3">
        <v>172.6</v>
      </c>
      <c r="O1111" s="3"/>
      <c r="P1111" s="3"/>
      <c r="Q1111" s="3">
        <v>1.06</v>
      </c>
      <c r="R1111" s="3">
        <v>0.1</v>
      </c>
      <c r="S1111" s="3">
        <v>1.6</v>
      </c>
      <c r="T1111" s="3">
        <v>13.5</v>
      </c>
      <c r="U1111" s="3">
        <v>46.9</v>
      </c>
      <c r="V1111" s="3">
        <v>976.9</v>
      </c>
      <c r="W1111" s="3">
        <v>0</v>
      </c>
      <c r="X1111" s="3">
        <v>46.1</v>
      </c>
      <c r="Y1111" s="3">
        <v>45.8</v>
      </c>
      <c r="Z1111" s="3">
        <v>45.3</v>
      </c>
      <c r="AA1111" s="3">
        <v>39.799999999999997</v>
      </c>
      <c r="AB1111" s="3">
        <v>36.200000000000003</v>
      </c>
      <c r="AC1111" s="3">
        <v>34.5</v>
      </c>
      <c r="AD1111" s="3">
        <v>37.799999999999997</v>
      </c>
      <c r="AE1111" s="3">
        <v>39.799999999999997</v>
      </c>
      <c r="AF1111" s="3">
        <v>43.1</v>
      </c>
      <c r="AG1111" s="3">
        <v>37.299999999999997</v>
      </c>
      <c r="AH1111" s="3">
        <v>36.1</v>
      </c>
      <c r="AI1111" s="3">
        <v>36.5</v>
      </c>
      <c r="AJ1111" s="3">
        <v>35.1</v>
      </c>
      <c r="AK1111" s="3">
        <v>33.5</v>
      </c>
      <c r="AL1111" s="3">
        <v>31.6</v>
      </c>
      <c r="AM1111" s="3">
        <v>31.2</v>
      </c>
      <c r="AN1111" s="3">
        <v>29.6</v>
      </c>
      <c r="AO1111" s="3">
        <v>26</v>
      </c>
      <c r="AP1111" s="3">
        <v>23.1</v>
      </c>
      <c r="AQ1111" s="3">
        <v>20.3</v>
      </c>
      <c r="AR1111" s="3">
        <v>16.2</v>
      </c>
      <c r="AS1111" s="3">
        <v>17.5</v>
      </c>
      <c r="AT1111" s="3">
        <v>22.7</v>
      </c>
      <c r="AU1111" s="3">
        <v>8.9</v>
      </c>
      <c r="AV1111" s="3">
        <v>8.6999999999999993</v>
      </c>
      <c r="AW1111" s="3">
        <v>9</v>
      </c>
      <c r="AX1111" s="3">
        <v>8.9</v>
      </c>
      <c r="AY1111" s="3">
        <v>9.1999999999999993</v>
      </c>
      <c r="AZ1111" s="3">
        <v>0</v>
      </c>
      <c r="BA1111" s="3">
        <v>0</v>
      </c>
      <c r="BB1111" s="3">
        <v>0</v>
      </c>
      <c r="BC1111" s="3">
        <v>38.304891530712425</v>
      </c>
      <c r="BD1111" s="3">
        <v>46.095108469287581</v>
      </c>
      <c r="BE1111" s="3">
        <v>45.79510846928757</v>
      </c>
      <c r="BF1111" s="3">
        <v>44.055108469287561</v>
      </c>
      <c r="BG1111" s="3">
        <v>38.881775135954243</v>
      </c>
      <c r="BH1111" s="3">
        <v>35.421775135954235</v>
      </c>
      <c r="BI1111" s="3">
        <v>34.135108469287573</v>
      </c>
      <c r="BJ1111" s="3">
        <v>38.228441802620907</v>
      </c>
      <c r="BK1111" s="3">
        <v>40.101775135954242</v>
      </c>
      <c r="BL1111" s="3">
        <v>42.975108469287576</v>
      </c>
      <c r="BM1111" s="3">
        <v>37.308441802620905</v>
      </c>
      <c r="BN1111" s="3">
        <v>36.391775135954234</v>
      </c>
      <c r="BO1111" s="3">
        <v>36.158441802620914</v>
      </c>
      <c r="BP1111" s="3">
        <v>34.475108469287576</v>
      </c>
      <c r="BQ1111" s="3">
        <v>33.291775135954239</v>
      </c>
      <c r="BR1111" s="3">
        <v>31.718441802620916</v>
      </c>
      <c r="BS1111" s="3">
        <v>31.121775135954238</v>
      </c>
      <c r="BT1111" s="3">
        <v>29.718441802620916</v>
      </c>
      <c r="BU1111" s="3">
        <v>26.085108469287576</v>
      </c>
      <c r="BV1111" s="3">
        <v>22.901775135954239</v>
      </c>
      <c r="BW1111" s="3">
        <v>20.635108469287573</v>
      </c>
      <c r="BX1111" s="3">
        <v>16.45510846928758</v>
      </c>
      <c r="BY1111" s="3">
        <v>17.575108469287571</v>
      </c>
      <c r="BZ1111" s="3">
        <v>22.905108469287576</v>
      </c>
      <c r="CA1111" s="3">
        <v>9.2051084692875662</v>
      </c>
      <c r="CB1111" s="3">
        <v>8.4417751359542379</v>
      </c>
      <c r="CC1111" s="3">
        <v>8.9551084692875733</v>
      </c>
      <c r="CD1111" s="3">
        <v>8.1617751359542439</v>
      </c>
      <c r="CE1111" s="3">
        <v>8.6551084692875691</v>
      </c>
      <c r="CF1111" s="3">
        <v>-0.93155819737909695</v>
      </c>
      <c r="CG1111" s="3">
        <v>-1.4648915307124284</v>
      </c>
      <c r="CH1111" s="3">
        <v>-2.5415581973790964</v>
      </c>
      <c r="CI1111" s="13">
        <f>[1]!dbasum(RecData[[#This Row],[20]:[2000]],RecData[[#Headers],[20]:[2000]])</f>
        <v>37.988047773147812</v>
      </c>
      <c r="CJ1111" s="14">
        <v>10695</v>
      </c>
      <c r="CK1111" s="15" t="s">
        <v>249</v>
      </c>
      <c r="CL1111" s="15">
        <f>RecData[[#This Row],[Start Time]]</f>
        <v>43275.981944444444</v>
      </c>
      <c r="CM1111" s="16">
        <f>RecData[[#This Row],[Wind Speed avg]]</f>
        <v>1.06</v>
      </c>
      <c r="CN1111" s="16">
        <f>RecData[[#This Row],[Wind Dir. avg]]</f>
        <v>172.6</v>
      </c>
      <c r="CO1111" s="16">
        <f>RecData[[#This Row],[Amb. Humidity]]</f>
        <v>46.9</v>
      </c>
      <c r="CP1111" s="16">
        <f>RecData[[#This Row],[Amb. Temperature]]</f>
        <v>13.5</v>
      </c>
      <c r="CQ1111" s="17">
        <f>RecData[[#This Row],[Amb. Rain Gauge]]</f>
        <v>0</v>
      </c>
      <c r="CR1111" s="4" t="s">
        <v>1</v>
      </c>
      <c r="CS1111" s="4" t="s">
        <v>49</v>
      </c>
      <c r="CT1111" s="70">
        <v>1617.5166015625</v>
      </c>
      <c r="CU1111" s="70">
        <v>23.820549011230401</v>
      </c>
      <c r="CV1111" s="70">
        <v>11.242200851440399</v>
      </c>
      <c r="CW1111" s="70">
        <v>15.2939500808715</v>
      </c>
      <c r="CX1111" s="4"/>
      <c r="CY1111" s="69"/>
      <c r="CZ1111" s="2" t="b">
        <f>IF($DP$1="YES",IF(RecData[[#This Row],[Power (kW)]]&gt;=$CR$3, TRUE,FALSE),TRUE)</f>
        <v>1</v>
      </c>
      <c r="DA1111" s="16">
        <f>MIN(MOD(180-ABS(ABS($DA$1-RecData[Yaw Angle (°)])-180),360),MOD(180-ABS(ABS($DB$1-RecData[Yaw Angle (°)])-180),360))</f>
        <v>16.290622233542848</v>
      </c>
      <c r="DB1111" s="2" t="str">
        <f>IF($DP$2="None","None",IF(RecData[[#This Row],[Relative Wind Direction]]&lt;=45,"DW",IF(RecData[[#This Row],[Relative Wind Direction]]&lt;=135,"CW","UW")))</f>
        <v>DW</v>
      </c>
      <c r="DC1111" s="61">
        <f>IF($CL1111-$CL1109&gt;1/24,#REF!,IF(SUM($CQ1109:$CQ1111)&gt;$DS$1,$DS$5,DC1112-1))</f>
        <v>-8</v>
      </c>
      <c r="DD1111" s="61">
        <f>IF($CL1112-$CL1111&gt;1/24,#REF!,IF(SUM($CQ1109:$CQ1111)&gt;$DS$1,$DS$6,DD1110-1))</f>
        <v>-3</v>
      </c>
      <c r="DE1111" s="18" t="b">
        <v>0</v>
      </c>
      <c r="DF1111" s="2" t="b">
        <f>IF(OR(RecData[[#This Row],[WSpd_Avg '[m/s']]]-RecData[[#This Row],[Wind Speed min]]&gt;=$DF$3,RecData[[#This Row],[Wind Speed max]]-RecData[[#This Row],[WSpd_Avg '[m/s']]]&gt;=$DF$2),TRUE,FALSE)</f>
        <v>0</v>
      </c>
      <c r="DG1111" s="2" t="b">
        <f>RecData[[#This Row],[Temperature '[°C']]]&lt;=-20</f>
        <v>0</v>
      </c>
      <c r="DH1111" s="18" t="b">
        <f>NOT(OR(MOD(RecData[[#This Row],[TIMESTAMP]],1)&gt;0.91632,MOD(RecData[[#This Row],[TIMESTAMP]],1)&lt;0.208681))</f>
        <v>0</v>
      </c>
      <c r="DI1111" s="18" t="b">
        <f>RecData[[#This Row],[Overall (dBA)]]-RecData[[#This Row],[L90]]&gt;=$DS$4</f>
        <v>0</v>
      </c>
      <c r="DJ1111" s="18" t="b">
        <f>RecData[[#This Row],[Overall (dBA)]]&gt;$DS$2</f>
        <v>0</v>
      </c>
      <c r="DK1111" s="18" t="b">
        <f>RecData[[#This Row],[Overall (dBA)]]&lt;$DS$3</f>
        <v>0</v>
      </c>
      <c r="DL11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1" s="2">
        <f>IF(AND(RecData[[#This Row],[Turbines ON/OFF]] = "OFF", NOT(OR(RecData[[#This Row],[Junk?]]="YES",RecData[[#This Row],[Gust?]],RecData[[#This Row],[Rain?]:[Min SPL Threshold?]]))),1,0)</f>
        <v>0</v>
      </c>
      <c r="DN1111" s="16">
        <f>RecData[[#This Row],[dBA Sum]]</f>
        <v>37.988047773147812</v>
      </c>
      <c r="DO1111" s="16">
        <f>RecData[[#This Row],[LAF90.0]]</f>
        <v>36.9</v>
      </c>
      <c r="DP1111" s="55">
        <f>IF(AND(RecData[[#This Row],[Useable TON Data?]],RecData[[#This Row],[Turbines ON/OFF]]="ON"),RecData[[#This Row],[dBA Sum]],"")</f>
        <v>37.988047773147812</v>
      </c>
      <c r="DQ1111" s="55" t="str">
        <f>IF(AND(RecData[[#This Row],[Useable Background Data?]],RecData[[#This Row],[Turbines ON/OFF]]="OFF"),RecData[[#This Row],[dBA Sum]],"")</f>
        <v/>
      </c>
      <c r="DR1111" s="3">
        <f>IF(OR(RecData[[#This Row],[Useable TON Data?]],RecData[[#This Row],[Useable Background Data?]]),ROUND(RecData[[#This Row],[WSpd_Avg '[m/s']]],0),"")</f>
        <v>1</v>
      </c>
      <c r="DS1111" s="85">
        <f>(0.00002)^2*(10^(RecData[[#This Row],[Overall (dBA)]]/10))</f>
        <v>2.5168930912611064E-6</v>
      </c>
    </row>
    <row r="1112" spans="1:123" ht="15" x14ac:dyDescent="0.25">
      <c r="A1112" s="3" t="s">
        <v>249</v>
      </c>
      <c r="B1112" s="12">
        <v>43275.982638888891</v>
      </c>
      <c r="C1112" s="3"/>
      <c r="D1112" s="3">
        <v>38.299999999999997</v>
      </c>
      <c r="E1112" s="3"/>
      <c r="F1112" s="3"/>
      <c r="G1112" s="3"/>
      <c r="H1112" s="3"/>
      <c r="I1112" s="3"/>
      <c r="J1112" s="3"/>
      <c r="K1112" s="3">
        <v>37</v>
      </c>
      <c r="L1112" s="3"/>
      <c r="M1112" s="3"/>
      <c r="N1112" s="3">
        <v>222.8</v>
      </c>
      <c r="O1112" s="3"/>
      <c r="P1112" s="3"/>
      <c r="Q1112" s="3">
        <v>0.68</v>
      </c>
      <c r="R1112" s="3">
        <v>0.2</v>
      </c>
      <c r="S1112" s="3">
        <v>1.1000000000000001</v>
      </c>
      <c r="T1112" s="3">
        <v>13.4</v>
      </c>
      <c r="U1112" s="3">
        <v>47.2</v>
      </c>
      <c r="V1112" s="3">
        <v>976.9</v>
      </c>
      <c r="W1112" s="3">
        <v>0</v>
      </c>
      <c r="X1112" s="3">
        <v>46</v>
      </c>
      <c r="Y1112" s="3">
        <v>45.7</v>
      </c>
      <c r="Z1112" s="3">
        <v>45.3</v>
      </c>
      <c r="AA1112" s="3">
        <v>39.9</v>
      </c>
      <c r="AB1112" s="3">
        <v>35.1</v>
      </c>
      <c r="AC1112" s="3">
        <v>34.4</v>
      </c>
      <c r="AD1112" s="3">
        <v>37.4</v>
      </c>
      <c r="AE1112" s="3">
        <v>39.700000000000003</v>
      </c>
      <c r="AF1112" s="3">
        <v>44</v>
      </c>
      <c r="AG1112" s="3">
        <v>36.200000000000003</v>
      </c>
      <c r="AH1112" s="3">
        <v>36.799999999999997</v>
      </c>
      <c r="AI1112" s="3">
        <v>36.4</v>
      </c>
      <c r="AJ1112" s="3">
        <v>35.5</v>
      </c>
      <c r="AK1112" s="3">
        <v>33.5</v>
      </c>
      <c r="AL1112" s="3">
        <v>31.4</v>
      </c>
      <c r="AM1112" s="3">
        <v>30.7</v>
      </c>
      <c r="AN1112" s="3">
        <v>28.9</v>
      </c>
      <c r="AO1112" s="3">
        <v>25.5</v>
      </c>
      <c r="AP1112" s="3">
        <v>23</v>
      </c>
      <c r="AQ1112" s="3">
        <v>20.7</v>
      </c>
      <c r="AR1112" s="3">
        <v>18</v>
      </c>
      <c r="AS1112" s="3">
        <v>18</v>
      </c>
      <c r="AT1112" s="3">
        <v>23.5</v>
      </c>
      <c r="AU1112" s="3">
        <v>10.3</v>
      </c>
      <c r="AV1112" s="3">
        <v>9.1999999999999993</v>
      </c>
      <c r="AW1112" s="3">
        <v>9.1</v>
      </c>
      <c r="AX1112" s="3">
        <v>9</v>
      </c>
      <c r="AY1112" s="3">
        <v>9.1</v>
      </c>
      <c r="AZ1112" s="3">
        <v>0</v>
      </c>
      <c r="BA1112" s="3">
        <v>0</v>
      </c>
      <c r="BB1112" s="3">
        <v>0</v>
      </c>
      <c r="BC1112" s="3">
        <v>38.293375405147522</v>
      </c>
      <c r="BD1112" s="3">
        <v>46.006624594852475</v>
      </c>
      <c r="BE1112" s="3">
        <v>45.706624594852478</v>
      </c>
      <c r="BF1112" s="3">
        <v>44.066624594852463</v>
      </c>
      <c r="BG1112" s="3">
        <v>38.99329126151914</v>
      </c>
      <c r="BH1112" s="3">
        <v>34.333291261519143</v>
      </c>
      <c r="BI1112" s="3">
        <v>34.046624594852481</v>
      </c>
      <c r="BJ1112" s="3">
        <v>37.839957928185804</v>
      </c>
      <c r="BK1112" s="3">
        <v>40.01329126151915</v>
      </c>
      <c r="BL1112" s="3">
        <v>43.886624594852485</v>
      </c>
      <c r="BM1112" s="3">
        <v>36.219957928185814</v>
      </c>
      <c r="BN1112" s="3">
        <v>37.103291261519139</v>
      </c>
      <c r="BO1112" s="3">
        <v>36.069957928185808</v>
      </c>
      <c r="BP1112" s="3">
        <v>34.886624594852485</v>
      </c>
      <c r="BQ1112" s="3">
        <v>33.303291261519142</v>
      </c>
      <c r="BR1112" s="3">
        <v>31.529957928185802</v>
      </c>
      <c r="BS1112" s="3">
        <v>30.63329126151914</v>
      </c>
      <c r="BT1112" s="3">
        <v>29.029957928185802</v>
      </c>
      <c r="BU1112" s="3">
        <v>25.596624594852479</v>
      </c>
      <c r="BV1112" s="3">
        <v>22.813291261519147</v>
      </c>
      <c r="BW1112" s="3">
        <v>21.046624594852481</v>
      </c>
      <c r="BX1112" s="3">
        <v>18.26662459485248</v>
      </c>
      <c r="BY1112" s="3">
        <v>18.086624594852474</v>
      </c>
      <c r="BZ1112" s="3">
        <v>23.716624594852483</v>
      </c>
      <c r="CA1112" s="3">
        <v>10.616624594852468</v>
      </c>
      <c r="CB1112" s="3">
        <v>8.9532912615191407</v>
      </c>
      <c r="CC1112" s="3">
        <v>9.0666245948524775</v>
      </c>
      <c r="CD1112" s="3">
        <v>8.2732912615191481</v>
      </c>
      <c r="CE1112" s="3">
        <v>8.5666245948524775</v>
      </c>
      <c r="CF1112" s="3">
        <v>-0.92004207181419417</v>
      </c>
      <c r="CG1112" s="3">
        <v>-1.4533754051475256</v>
      </c>
      <c r="CH1112" s="3">
        <v>-2.5300420718141936</v>
      </c>
      <c r="CI1112" s="13">
        <f>[1]!dbasum(RecData[[#This Row],[20]:[2000]],RecData[[#Headers],[20]:[2000]])</f>
        <v>37.937367763360484</v>
      </c>
      <c r="CJ1112" s="14">
        <v>10696</v>
      </c>
      <c r="CK1112" s="15" t="s">
        <v>249</v>
      </c>
      <c r="CL1112" s="15">
        <f>RecData[[#This Row],[Start Time]]</f>
        <v>43275.982638888891</v>
      </c>
      <c r="CM1112" s="16">
        <f>RecData[[#This Row],[Wind Speed avg]]</f>
        <v>0.68</v>
      </c>
      <c r="CN1112" s="16">
        <f>RecData[[#This Row],[Wind Dir. avg]]</f>
        <v>222.8</v>
      </c>
      <c r="CO1112" s="16">
        <f>RecData[[#This Row],[Amb. Humidity]]</f>
        <v>47.2</v>
      </c>
      <c r="CP1112" s="16">
        <f>RecData[[#This Row],[Amb. Temperature]]</f>
        <v>13.4</v>
      </c>
      <c r="CQ1112" s="17">
        <f>RecData[[#This Row],[Amb. Rain Gauge]]</f>
        <v>0</v>
      </c>
      <c r="CR1112" s="4" t="s">
        <v>1</v>
      </c>
      <c r="CS1112" s="4" t="s">
        <v>49</v>
      </c>
      <c r="CT1112" s="70">
        <v>1617.5166015625</v>
      </c>
      <c r="CU1112" s="70">
        <v>23.820549011230401</v>
      </c>
      <c r="CV1112" s="70">
        <v>11.242200851440399</v>
      </c>
      <c r="CW1112" s="70">
        <v>15.2939500808715</v>
      </c>
      <c r="CX1112" s="4"/>
      <c r="CY1112" s="69"/>
      <c r="CZ1112" s="2" t="b">
        <f>IF($DP$1="YES",IF(RecData[[#This Row],[Power (kW)]]&gt;=$CR$3, TRUE,FALSE),TRUE)</f>
        <v>1</v>
      </c>
      <c r="DA1112" s="16">
        <f>MIN(MOD(180-ABS(ABS($DA$1-RecData[Yaw Angle (°)])-180),360),MOD(180-ABS(ABS($DB$1-RecData[Yaw Angle (°)])-180),360))</f>
        <v>16.290622233542848</v>
      </c>
      <c r="DB1112" s="2" t="str">
        <f>IF($DP$2="None","None",IF(RecData[[#This Row],[Relative Wind Direction]]&lt;=45,"DW",IF(RecData[[#This Row],[Relative Wind Direction]]&lt;=135,"CW","UW")))</f>
        <v>DW</v>
      </c>
      <c r="DC1112" s="61">
        <f>IF($CL1112-$CL1109&gt;1/24,#REF!,IF(SUM($CQ1109:$CQ1112)&gt;$DS$1,$DS$5,DC1113-1))</f>
        <v>-7</v>
      </c>
      <c r="DD1112" s="61">
        <f>IF($CL1113-$CL1112&gt;1/24,#REF!,IF(SUM($CQ1109:$CQ1112)&gt;$DS$1,$DS$6,DD1111-1))</f>
        <v>-4</v>
      </c>
      <c r="DE1112" s="18" t="b">
        <v>0</v>
      </c>
      <c r="DF1112" s="2" t="b">
        <f>IF(OR(RecData[[#This Row],[WSpd_Avg '[m/s']]]-RecData[[#This Row],[Wind Speed min]]&gt;=$DF$3,RecData[[#This Row],[Wind Speed max]]-RecData[[#This Row],[WSpd_Avg '[m/s']]]&gt;=$DF$2),TRUE,FALSE)</f>
        <v>0</v>
      </c>
      <c r="DG1112" s="2" t="b">
        <f>RecData[[#This Row],[Temperature '[°C']]]&lt;=-20</f>
        <v>0</v>
      </c>
      <c r="DH1112" s="18" t="b">
        <f>NOT(OR(MOD(RecData[[#This Row],[TIMESTAMP]],1)&gt;0.91632,MOD(RecData[[#This Row],[TIMESTAMP]],1)&lt;0.208681))</f>
        <v>0</v>
      </c>
      <c r="DI1112" s="18" t="b">
        <f>RecData[[#This Row],[Overall (dBA)]]-RecData[[#This Row],[L90]]&gt;=$DS$4</f>
        <v>0</v>
      </c>
      <c r="DJ1112" s="18" t="b">
        <f>RecData[[#This Row],[Overall (dBA)]]&gt;$DS$2</f>
        <v>0</v>
      </c>
      <c r="DK1112" s="18" t="b">
        <f>RecData[[#This Row],[Overall (dBA)]]&lt;$DS$3</f>
        <v>0</v>
      </c>
      <c r="DL11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2" s="2">
        <f>IF(AND(RecData[[#This Row],[Turbines ON/OFF]] = "OFF", NOT(OR(RecData[[#This Row],[Junk?]]="YES",RecData[[#This Row],[Gust?]],RecData[[#This Row],[Rain?]:[Min SPL Threshold?]]))),1,0)</f>
        <v>0</v>
      </c>
      <c r="DN1112" s="16">
        <f>RecData[[#This Row],[dBA Sum]]</f>
        <v>37.937367763360484</v>
      </c>
      <c r="DO1112" s="16">
        <f>RecData[[#This Row],[LAF90.0]]</f>
        <v>37</v>
      </c>
      <c r="DP1112" s="55">
        <f>IF(AND(RecData[[#This Row],[Useable TON Data?]],RecData[[#This Row],[Turbines ON/OFF]]="ON"),RecData[[#This Row],[dBA Sum]],"")</f>
        <v>37.937367763360484</v>
      </c>
      <c r="DQ1112" s="55" t="str">
        <f>IF(AND(RecData[[#This Row],[Useable Background Data?]],RecData[[#This Row],[Turbines ON/OFF]]="OFF"),RecData[[#This Row],[dBA Sum]],"")</f>
        <v/>
      </c>
      <c r="DR1112" s="3">
        <f>IF(OR(RecData[[#This Row],[Useable TON Data?]],RecData[[#This Row],[Useable Background Data?]]),ROUND(RecData[[#This Row],[WSpd_Avg '[m/s']]],0),"")</f>
        <v>1</v>
      </c>
      <c r="DS1112" s="85">
        <f>(0.00002)^2*(10^(RecData[[#This Row],[Overall (dBA)]]/10))</f>
        <v>2.4876929057111116E-6</v>
      </c>
    </row>
    <row r="1113" spans="1:123" ht="15" x14ac:dyDescent="0.25">
      <c r="A1113" s="3" t="s">
        <v>249</v>
      </c>
      <c r="B1113" s="12">
        <v>43275.983333333337</v>
      </c>
      <c r="C1113" s="3"/>
      <c r="D1113" s="3">
        <v>39.1</v>
      </c>
      <c r="E1113" s="3"/>
      <c r="F1113" s="3"/>
      <c r="G1113" s="3"/>
      <c r="H1113" s="3"/>
      <c r="I1113" s="3"/>
      <c r="J1113" s="3"/>
      <c r="K1113" s="3">
        <v>37.700000000000003</v>
      </c>
      <c r="L1113" s="3"/>
      <c r="M1113" s="3"/>
      <c r="N1113" s="3">
        <v>201.7</v>
      </c>
      <c r="O1113" s="3"/>
      <c r="P1113" s="3"/>
      <c r="Q1113" s="3">
        <v>0.47</v>
      </c>
      <c r="R1113" s="3">
        <v>0.1</v>
      </c>
      <c r="S1113" s="3">
        <v>1.1000000000000001</v>
      </c>
      <c r="T1113" s="3">
        <v>13.4</v>
      </c>
      <c r="U1113" s="3">
        <v>47.9</v>
      </c>
      <c r="V1113" s="3">
        <v>976.9</v>
      </c>
      <c r="W1113" s="3">
        <v>0</v>
      </c>
      <c r="X1113" s="3">
        <v>46.2</v>
      </c>
      <c r="Y1113" s="3">
        <v>45.7</v>
      </c>
      <c r="Z1113" s="3">
        <v>45.2</v>
      </c>
      <c r="AA1113" s="3">
        <v>39.799999999999997</v>
      </c>
      <c r="AB1113" s="3">
        <v>34.700000000000003</v>
      </c>
      <c r="AC1113" s="3">
        <v>34.1</v>
      </c>
      <c r="AD1113" s="3">
        <v>38.1</v>
      </c>
      <c r="AE1113" s="3">
        <v>40.200000000000003</v>
      </c>
      <c r="AF1113" s="3">
        <v>43.4</v>
      </c>
      <c r="AG1113" s="3">
        <v>37.299999999999997</v>
      </c>
      <c r="AH1113" s="3">
        <v>37.299999999999997</v>
      </c>
      <c r="AI1113" s="3">
        <v>37.1</v>
      </c>
      <c r="AJ1113" s="3">
        <v>36</v>
      </c>
      <c r="AK1113" s="3">
        <v>34.299999999999997</v>
      </c>
      <c r="AL1113" s="3">
        <v>32.5</v>
      </c>
      <c r="AM1113" s="3">
        <v>32</v>
      </c>
      <c r="AN1113" s="3">
        <v>30.4</v>
      </c>
      <c r="AO1113" s="3">
        <v>27</v>
      </c>
      <c r="AP1113" s="3">
        <v>24.3</v>
      </c>
      <c r="AQ1113" s="3">
        <v>21.9</v>
      </c>
      <c r="AR1113" s="3">
        <v>18.899999999999999</v>
      </c>
      <c r="AS1113" s="3">
        <v>17.899999999999999</v>
      </c>
      <c r="AT1113" s="3">
        <v>21.3</v>
      </c>
      <c r="AU1113" s="3">
        <v>11.4</v>
      </c>
      <c r="AV1113" s="3">
        <v>9.9</v>
      </c>
      <c r="AW1113" s="3">
        <v>9.6</v>
      </c>
      <c r="AX1113" s="3">
        <v>9</v>
      </c>
      <c r="AY1113" s="3">
        <v>9.1</v>
      </c>
      <c r="AZ1113" s="3">
        <v>0</v>
      </c>
      <c r="BA1113" s="3">
        <v>0</v>
      </c>
      <c r="BB1113" s="3">
        <v>0</v>
      </c>
      <c r="BC1113" s="3">
        <v>39.05337937778129</v>
      </c>
      <c r="BD1113" s="3">
        <v>46.246620622218721</v>
      </c>
      <c r="BE1113" s="3">
        <v>45.746620622218721</v>
      </c>
      <c r="BF1113" s="3">
        <v>44.006620622218712</v>
      </c>
      <c r="BG1113" s="3">
        <v>38.933287288885374</v>
      </c>
      <c r="BH1113" s="3">
        <v>33.973287288885381</v>
      </c>
      <c r="BI1113" s="3">
        <v>33.786620622218713</v>
      </c>
      <c r="BJ1113" s="3">
        <v>38.579953955552035</v>
      </c>
      <c r="BK1113" s="3">
        <v>40.553287288885379</v>
      </c>
      <c r="BL1113" s="3">
        <v>43.326620622218705</v>
      </c>
      <c r="BM1113" s="3">
        <v>37.359953955552037</v>
      </c>
      <c r="BN1113" s="3">
        <v>37.643287288885368</v>
      </c>
      <c r="BO1113" s="3">
        <v>36.809953955552054</v>
      </c>
      <c r="BP1113" s="3">
        <v>35.426620622218714</v>
      </c>
      <c r="BQ1113" s="3">
        <v>34.143287288885368</v>
      </c>
      <c r="BR1113" s="3">
        <v>32.669953955552039</v>
      </c>
      <c r="BS1113" s="3">
        <v>31.973287288885381</v>
      </c>
      <c r="BT1113" s="3">
        <v>30.569953955552045</v>
      </c>
      <c r="BU1113" s="3">
        <v>27.136620622218707</v>
      </c>
      <c r="BV1113" s="3">
        <v>24.15328728888538</v>
      </c>
      <c r="BW1113" s="3">
        <v>22.286620622218713</v>
      </c>
      <c r="BX1113" s="3">
        <v>19.206620622218715</v>
      </c>
      <c r="BY1113" s="3">
        <v>18.026620622218708</v>
      </c>
      <c r="BZ1113" s="3">
        <v>21.556620622218716</v>
      </c>
      <c r="CA1113" s="3">
        <v>11.756620622218705</v>
      </c>
      <c r="CB1113" s="3">
        <v>9.6932872888853794</v>
      </c>
      <c r="CC1113" s="3">
        <v>9.6066206222187063</v>
      </c>
      <c r="CD1113" s="3">
        <v>8.3132872888853839</v>
      </c>
      <c r="CE1113" s="3">
        <v>8.6066206222187063</v>
      </c>
      <c r="CF1113" s="3">
        <v>-0.88004604444795831</v>
      </c>
      <c r="CG1113" s="3">
        <v>-1.4133793777812897</v>
      </c>
      <c r="CH1113" s="3">
        <v>-2.4900460444479577</v>
      </c>
      <c r="CI1113" s="13">
        <f>[1]!dbasum(RecData[[#This Row],[20]:[2000]],RecData[[#Headers],[20]:[2000]])</f>
        <v>38.858774133240992</v>
      </c>
      <c r="CJ1113" s="14">
        <v>10697</v>
      </c>
      <c r="CK1113" s="15" t="s">
        <v>249</v>
      </c>
      <c r="CL1113" s="15">
        <f>RecData[[#This Row],[Start Time]]</f>
        <v>43275.983333333337</v>
      </c>
      <c r="CM1113" s="16">
        <f>RecData[[#This Row],[Wind Speed avg]]</f>
        <v>0.47</v>
      </c>
      <c r="CN1113" s="16">
        <f>RecData[[#This Row],[Wind Dir. avg]]</f>
        <v>201.7</v>
      </c>
      <c r="CO1113" s="16">
        <f>RecData[[#This Row],[Amb. Humidity]]</f>
        <v>47.9</v>
      </c>
      <c r="CP1113" s="16">
        <f>RecData[[#This Row],[Amb. Temperature]]</f>
        <v>13.4</v>
      </c>
      <c r="CQ1113" s="17">
        <f>RecData[[#This Row],[Amb. Rain Gauge]]</f>
        <v>0</v>
      </c>
      <c r="CR1113" s="4" t="s">
        <v>1</v>
      </c>
      <c r="CS1113" s="4" t="s">
        <v>49</v>
      </c>
      <c r="CT1113" s="70">
        <v>1617.5166015625</v>
      </c>
      <c r="CU1113" s="70">
        <v>23.820549011230401</v>
      </c>
      <c r="CV1113" s="70">
        <v>11.242200851440399</v>
      </c>
      <c r="CW1113" s="70">
        <v>15.2939500808715</v>
      </c>
      <c r="CX1113" s="4"/>
      <c r="CY1113" s="69"/>
      <c r="CZ1113" s="2" t="b">
        <f>IF($DP$1="YES",IF(RecData[[#This Row],[Power (kW)]]&gt;=$CR$3, TRUE,FALSE),TRUE)</f>
        <v>1</v>
      </c>
      <c r="DA1113" s="16">
        <f>MIN(MOD(180-ABS(ABS($DA$1-RecData[Yaw Angle (°)])-180),360),MOD(180-ABS(ABS($DB$1-RecData[Yaw Angle (°)])-180),360))</f>
        <v>16.290622233542848</v>
      </c>
      <c r="DB1113" s="2" t="str">
        <f>IF($DP$2="None","None",IF(RecData[[#This Row],[Relative Wind Direction]]&lt;=45,"DW",IF(RecData[[#This Row],[Relative Wind Direction]]&lt;=135,"CW","UW")))</f>
        <v>DW</v>
      </c>
      <c r="DC1113" s="61">
        <f>IF($CL1113-$CL1109&gt;1/24,#REF!,IF(SUM($CQ1109:$CQ1113)&gt;$DS$1,$DS$5,DC1114-1))</f>
        <v>-6</v>
      </c>
      <c r="DD1113" s="61">
        <f>IF($CL1114-$CL1113&gt;1/24,#REF!,IF(SUM($CQ1109:$CQ1113)&gt;$DS$1,$DS$6,DD1112-1))</f>
        <v>-5</v>
      </c>
      <c r="DE1113" s="18" t="b">
        <v>0</v>
      </c>
      <c r="DF1113" s="2" t="b">
        <f>IF(OR(RecData[[#This Row],[WSpd_Avg '[m/s']]]-RecData[[#This Row],[Wind Speed min]]&gt;=$DF$3,RecData[[#This Row],[Wind Speed max]]-RecData[[#This Row],[WSpd_Avg '[m/s']]]&gt;=$DF$2),TRUE,FALSE)</f>
        <v>0</v>
      </c>
      <c r="DG1113" s="2" t="b">
        <f>RecData[[#This Row],[Temperature '[°C']]]&lt;=-20</f>
        <v>0</v>
      </c>
      <c r="DH1113" s="18" t="b">
        <f>NOT(OR(MOD(RecData[[#This Row],[TIMESTAMP]],1)&gt;0.91632,MOD(RecData[[#This Row],[TIMESTAMP]],1)&lt;0.208681))</f>
        <v>0</v>
      </c>
      <c r="DI1113" s="18" t="b">
        <f>RecData[[#This Row],[Overall (dBA)]]-RecData[[#This Row],[L90]]&gt;=$DS$4</f>
        <v>0</v>
      </c>
      <c r="DJ1113" s="18" t="b">
        <f>RecData[[#This Row],[Overall (dBA)]]&gt;$DS$2</f>
        <v>0</v>
      </c>
      <c r="DK1113" s="18" t="b">
        <f>RecData[[#This Row],[Overall (dBA)]]&lt;$DS$3</f>
        <v>0</v>
      </c>
      <c r="DL11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3" s="2">
        <f>IF(AND(RecData[[#This Row],[Turbines ON/OFF]] = "OFF", NOT(OR(RecData[[#This Row],[Junk?]]="YES",RecData[[#This Row],[Gust?]],RecData[[#This Row],[Rain?]:[Min SPL Threshold?]]))),1,0)</f>
        <v>0</v>
      </c>
      <c r="DN1113" s="16">
        <f>RecData[[#This Row],[dBA Sum]]</f>
        <v>38.858774133240992</v>
      </c>
      <c r="DO1113" s="16">
        <f>RecData[[#This Row],[LAF90.0]]</f>
        <v>37.700000000000003</v>
      </c>
      <c r="DP1113" s="55">
        <f>IF(AND(RecData[[#This Row],[Useable TON Data?]],RecData[[#This Row],[Turbines ON/OFF]]="ON"),RecData[[#This Row],[dBA Sum]],"")</f>
        <v>38.858774133240992</v>
      </c>
      <c r="DQ1113" s="55" t="str">
        <f>IF(AND(RecData[[#This Row],[Useable Background Data?]],RecData[[#This Row],[Turbines ON/OFF]]="OFF"),RecData[[#This Row],[dBA Sum]],"")</f>
        <v/>
      </c>
      <c r="DR1113" s="3">
        <f>IF(OR(RecData[[#This Row],[Useable TON Data?]],RecData[[#This Row],[Useable Background Data?]]),ROUND(RecData[[#This Row],[WSpd_Avg '[m/s']]],0),"")</f>
        <v>0</v>
      </c>
      <c r="DS1113" s="85">
        <f>(0.00002)^2*(10^(RecData[[#This Row],[Overall (dBA)]]/10))</f>
        <v>3.0756534854263288E-6</v>
      </c>
    </row>
    <row r="1114" spans="1:123" ht="15" x14ac:dyDescent="0.25">
      <c r="A1114" s="3" t="s">
        <v>249</v>
      </c>
      <c r="B1114" s="12">
        <v>43275.984027777777</v>
      </c>
      <c r="C1114" s="3"/>
      <c r="D1114" s="3">
        <v>38.700000000000003</v>
      </c>
      <c r="E1114" s="3"/>
      <c r="F1114" s="3"/>
      <c r="G1114" s="3"/>
      <c r="H1114" s="3"/>
      <c r="I1114" s="3"/>
      <c r="J1114" s="3"/>
      <c r="K1114" s="3">
        <v>37.4</v>
      </c>
      <c r="L1114" s="3"/>
      <c r="M1114" s="3"/>
      <c r="N1114" s="3">
        <v>170.6</v>
      </c>
      <c r="O1114" s="3"/>
      <c r="P1114" s="3"/>
      <c r="Q1114" s="3">
        <v>0.73</v>
      </c>
      <c r="R1114" s="3">
        <v>0.1</v>
      </c>
      <c r="S1114" s="3">
        <v>1.5</v>
      </c>
      <c r="T1114" s="3">
        <v>13.3</v>
      </c>
      <c r="U1114" s="3">
        <v>47.6</v>
      </c>
      <c r="V1114" s="3">
        <v>976.9</v>
      </c>
      <c r="W1114" s="3">
        <v>0</v>
      </c>
      <c r="X1114" s="3">
        <v>45.8</v>
      </c>
      <c r="Y1114" s="3">
        <v>45.8</v>
      </c>
      <c r="Z1114" s="3">
        <v>45.2</v>
      </c>
      <c r="AA1114" s="3">
        <v>39.5</v>
      </c>
      <c r="AB1114" s="3">
        <v>35.1</v>
      </c>
      <c r="AC1114" s="3">
        <v>34.6</v>
      </c>
      <c r="AD1114" s="3">
        <v>38.299999999999997</v>
      </c>
      <c r="AE1114" s="3">
        <v>40.299999999999997</v>
      </c>
      <c r="AF1114" s="3">
        <v>43.8</v>
      </c>
      <c r="AG1114" s="3">
        <v>37.299999999999997</v>
      </c>
      <c r="AH1114" s="3">
        <v>37.200000000000003</v>
      </c>
      <c r="AI1114" s="3">
        <v>37</v>
      </c>
      <c r="AJ1114" s="3">
        <v>36</v>
      </c>
      <c r="AK1114" s="3">
        <v>34.1</v>
      </c>
      <c r="AL1114" s="3">
        <v>31.9</v>
      </c>
      <c r="AM1114" s="3">
        <v>31.8</v>
      </c>
      <c r="AN1114" s="3">
        <v>29.4</v>
      </c>
      <c r="AO1114" s="3">
        <v>26.3</v>
      </c>
      <c r="AP1114" s="3">
        <v>23.7</v>
      </c>
      <c r="AQ1114" s="3">
        <v>20.9</v>
      </c>
      <c r="AR1114" s="3">
        <v>17.600000000000001</v>
      </c>
      <c r="AS1114" s="3">
        <v>16.7</v>
      </c>
      <c r="AT1114" s="3">
        <v>19.7</v>
      </c>
      <c r="AU1114" s="3">
        <v>10.199999999999999</v>
      </c>
      <c r="AV1114" s="3">
        <v>9.4</v>
      </c>
      <c r="AW1114" s="3">
        <v>9.1999999999999993</v>
      </c>
      <c r="AX1114" s="3">
        <v>9</v>
      </c>
      <c r="AY1114" s="3">
        <v>9.1</v>
      </c>
      <c r="AZ1114" s="3">
        <v>0</v>
      </c>
      <c r="BA1114" s="3">
        <v>0</v>
      </c>
      <c r="BB1114" s="3">
        <v>0</v>
      </c>
      <c r="BC1114" s="3">
        <v>38.708733085384601</v>
      </c>
      <c r="BD1114" s="3">
        <v>45.791266914615399</v>
      </c>
      <c r="BE1114" s="3">
        <v>45.791266914615399</v>
      </c>
      <c r="BF1114" s="3">
        <v>43.951266914615395</v>
      </c>
      <c r="BG1114" s="3">
        <v>38.577933581282061</v>
      </c>
      <c r="BH1114" s="3">
        <v>34.31793358128207</v>
      </c>
      <c r="BI1114" s="3">
        <v>34.231266914615397</v>
      </c>
      <c r="BJ1114" s="3">
        <v>38.724600247948736</v>
      </c>
      <c r="BK1114" s="3">
        <v>40.597933581282071</v>
      </c>
      <c r="BL1114" s="3">
        <v>43.671266914615394</v>
      </c>
      <c r="BM1114" s="3">
        <v>37.304600247948734</v>
      </c>
      <c r="BN1114" s="3">
        <v>37.487933581282071</v>
      </c>
      <c r="BO1114" s="3">
        <v>36.654600247948743</v>
      </c>
      <c r="BP1114" s="3">
        <v>35.371266914615411</v>
      </c>
      <c r="BQ1114" s="3">
        <v>33.887933581282063</v>
      </c>
      <c r="BR1114" s="3">
        <v>32.014600247948728</v>
      </c>
      <c r="BS1114" s="3">
        <v>31.717933581282075</v>
      </c>
      <c r="BT1114" s="3">
        <v>29.514600247948728</v>
      </c>
      <c r="BU1114" s="3">
        <v>26.381266914615402</v>
      </c>
      <c r="BV1114" s="3">
        <v>23.497933581282069</v>
      </c>
      <c r="BW1114" s="3">
        <v>21.231266914615404</v>
      </c>
      <c r="BX1114" s="3">
        <v>17.851266914615408</v>
      </c>
      <c r="BY1114" s="3">
        <v>16.771266914615403</v>
      </c>
      <c r="BZ1114" s="3">
        <v>19.901266914615405</v>
      </c>
      <c r="CA1114" s="3">
        <v>10.501266914615393</v>
      </c>
      <c r="CB1114" s="3">
        <v>9.1379335812820628</v>
      </c>
      <c r="CC1114" s="3">
        <v>9.1512669146153982</v>
      </c>
      <c r="CD1114" s="3">
        <v>8.2579335812820744</v>
      </c>
      <c r="CE1114" s="3">
        <v>8.5512669146154039</v>
      </c>
      <c r="CF1114" s="3">
        <v>-0.9353997520512678</v>
      </c>
      <c r="CG1114" s="3">
        <v>-1.4687330853845992</v>
      </c>
      <c r="CH1114" s="3">
        <v>-2.5453997520512672</v>
      </c>
      <c r="CI1114" s="13">
        <f>[1]!dbasum(RecData[[#This Row],[20]:[2000]],RecData[[#Headers],[20]:[2000]])</f>
        <v>38.481263970360267</v>
      </c>
      <c r="CJ1114" s="14">
        <v>10698</v>
      </c>
      <c r="CK1114" s="15" t="s">
        <v>249</v>
      </c>
      <c r="CL1114" s="15">
        <f>RecData[[#This Row],[Start Time]]</f>
        <v>43275.984027777777</v>
      </c>
      <c r="CM1114" s="16">
        <f>RecData[[#This Row],[Wind Speed avg]]</f>
        <v>0.73</v>
      </c>
      <c r="CN1114" s="16">
        <f>RecData[[#This Row],[Wind Dir. avg]]</f>
        <v>170.6</v>
      </c>
      <c r="CO1114" s="16">
        <f>RecData[[#This Row],[Amb. Humidity]]</f>
        <v>47.6</v>
      </c>
      <c r="CP1114" s="16">
        <f>RecData[[#This Row],[Amb. Temperature]]</f>
        <v>13.3</v>
      </c>
      <c r="CQ1114" s="17">
        <f>RecData[[#This Row],[Amb. Rain Gauge]]</f>
        <v>0</v>
      </c>
      <c r="CR1114" s="4" t="s">
        <v>1</v>
      </c>
      <c r="CS1114" s="4" t="s">
        <v>49</v>
      </c>
      <c r="CT1114" s="70">
        <v>1617.5166015625</v>
      </c>
      <c r="CU1114" s="70">
        <v>23.820549011230401</v>
      </c>
      <c r="CV1114" s="70">
        <v>11.242200851440399</v>
      </c>
      <c r="CW1114" s="70">
        <v>15.2939500808715</v>
      </c>
      <c r="CX1114" s="4"/>
      <c r="CY1114" s="69"/>
      <c r="CZ1114" s="2" t="b">
        <f>IF($DP$1="YES",IF(RecData[[#This Row],[Power (kW)]]&gt;=$CR$3, TRUE,FALSE),TRUE)</f>
        <v>1</v>
      </c>
      <c r="DA1114" s="16">
        <f>MIN(MOD(180-ABS(ABS($DA$1-RecData[Yaw Angle (°)])-180),360),MOD(180-ABS(ABS($DB$1-RecData[Yaw Angle (°)])-180),360))</f>
        <v>16.290622233542848</v>
      </c>
      <c r="DB1114" s="2" t="str">
        <f>IF($DP$2="None","None",IF(RecData[[#This Row],[Relative Wind Direction]]&lt;=45,"DW",IF(RecData[[#This Row],[Relative Wind Direction]]&lt;=135,"CW","UW")))</f>
        <v>DW</v>
      </c>
      <c r="DC1114" s="61">
        <f>IF($CL1114-$CL1110&gt;1/24,#REF!,IF(SUM($CQ1110:$CQ1114)&gt;$DS$1,$DS$5,DC1115-1))</f>
        <v>-5</v>
      </c>
      <c r="DD1114" s="61">
        <f>IF($CL1115-$CL1114&gt;1/24,#REF!,IF(SUM($CQ1110:$CQ1114)&gt;$DS$1,$DS$6,DD1113-1))</f>
        <v>-6</v>
      </c>
      <c r="DE1114" s="18" t="b">
        <v>0</v>
      </c>
      <c r="DF1114" s="2" t="b">
        <f>IF(OR(RecData[[#This Row],[WSpd_Avg '[m/s']]]-RecData[[#This Row],[Wind Speed min]]&gt;=$DF$3,RecData[[#This Row],[Wind Speed max]]-RecData[[#This Row],[WSpd_Avg '[m/s']]]&gt;=$DF$2),TRUE,FALSE)</f>
        <v>0</v>
      </c>
      <c r="DG1114" s="2" t="b">
        <f>RecData[[#This Row],[Temperature '[°C']]]&lt;=-20</f>
        <v>0</v>
      </c>
      <c r="DH1114" s="18" t="b">
        <f>NOT(OR(MOD(RecData[[#This Row],[TIMESTAMP]],1)&gt;0.91632,MOD(RecData[[#This Row],[TIMESTAMP]],1)&lt;0.208681))</f>
        <v>0</v>
      </c>
      <c r="DI1114" s="18" t="b">
        <f>RecData[[#This Row],[Overall (dBA)]]-RecData[[#This Row],[L90]]&gt;=$DS$4</f>
        <v>0</v>
      </c>
      <c r="DJ1114" s="18" t="b">
        <f>RecData[[#This Row],[Overall (dBA)]]&gt;$DS$2</f>
        <v>0</v>
      </c>
      <c r="DK1114" s="18" t="b">
        <f>RecData[[#This Row],[Overall (dBA)]]&lt;$DS$3</f>
        <v>0</v>
      </c>
      <c r="DL11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4" s="2">
        <f>IF(AND(RecData[[#This Row],[Turbines ON/OFF]] = "OFF", NOT(OR(RecData[[#This Row],[Junk?]]="YES",RecData[[#This Row],[Gust?]],RecData[[#This Row],[Rain?]:[Min SPL Threshold?]]))),1,0)</f>
        <v>0</v>
      </c>
      <c r="DN1114" s="16">
        <f>RecData[[#This Row],[dBA Sum]]</f>
        <v>38.481263970360267</v>
      </c>
      <c r="DO1114" s="16">
        <f>RecData[[#This Row],[LAF90.0]]</f>
        <v>37.4</v>
      </c>
      <c r="DP1114" s="55">
        <f>IF(AND(RecData[[#This Row],[Useable TON Data?]],RecData[[#This Row],[Turbines ON/OFF]]="ON"),RecData[[#This Row],[dBA Sum]],"")</f>
        <v>38.481263970360267</v>
      </c>
      <c r="DQ1114" s="55" t="str">
        <f>IF(AND(RecData[[#This Row],[Useable Background Data?]],RecData[[#This Row],[Turbines ON/OFF]]="OFF"),RecData[[#This Row],[dBA Sum]],"")</f>
        <v/>
      </c>
      <c r="DR1114" s="3">
        <f>IF(OR(RecData[[#This Row],[Useable TON Data?]],RecData[[#This Row],[Useable Background Data?]]),ROUND(RecData[[#This Row],[WSpd_Avg '[m/s']]],0),"")</f>
        <v>1</v>
      </c>
      <c r="DS1114" s="85">
        <f>(0.00002)^2*(10^(RecData[[#This Row],[Overall (dBA)]]/10))</f>
        <v>2.8195927705496993E-6</v>
      </c>
    </row>
    <row r="1115" spans="1:123" ht="15" x14ac:dyDescent="0.25">
      <c r="A1115" s="3" t="s">
        <v>249</v>
      </c>
      <c r="B1115" s="12">
        <v>43275.984722222223</v>
      </c>
      <c r="C1115" s="3"/>
      <c r="D1115" s="3">
        <v>39</v>
      </c>
      <c r="E1115" s="3"/>
      <c r="F1115" s="3"/>
      <c r="G1115" s="3"/>
      <c r="H1115" s="3"/>
      <c r="I1115" s="3"/>
      <c r="J1115" s="3"/>
      <c r="K1115" s="3">
        <v>37.9</v>
      </c>
      <c r="L1115" s="3"/>
      <c r="M1115" s="3"/>
      <c r="N1115" s="3">
        <v>250.2</v>
      </c>
      <c r="O1115" s="3"/>
      <c r="P1115" s="3"/>
      <c r="Q1115" s="3">
        <v>0.55000000000000004</v>
      </c>
      <c r="R1115" s="3">
        <v>0.1</v>
      </c>
      <c r="S1115" s="3">
        <v>1.1000000000000001</v>
      </c>
      <c r="T1115" s="3">
        <v>13.3</v>
      </c>
      <c r="U1115" s="3">
        <v>46.6</v>
      </c>
      <c r="V1115" s="3">
        <v>976.9</v>
      </c>
      <c r="W1115" s="3">
        <v>0</v>
      </c>
      <c r="X1115" s="3">
        <v>47.3</v>
      </c>
      <c r="Y1115" s="3">
        <v>46</v>
      </c>
      <c r="Z1115" s="3">
        <v>45.1</v>
      </c>
      <c r="AA1115" s="3">
        <v>40.4</v>
      </c>
      <c r="AB1115" s="3">
        <v>37.4</v>
      </c>
      <c r="AC1115" s="3">
        <v>38.4</v>
      </c>
      <c r="AD1115" s="3">
        <v>39.799999999999997</v>
      </c>
      <c r="AE1115" s="3">
        <v>41.1</v>
      </c>
      <c r="AF1115" s="3">
        <v>44.7</v>
      </c>
      <c r="AG1115" s="3">
        <v>37.200000000000003</v>
      </c>
      <c r="AH1115" s="3">
        <v>38.4</v>
      </c>
      <c r="AI1115" s="3">
        <v>37.5</v>
      </c>
      <c r="AJ1115" s="3">
        <v>36.700000000000003</v>
      </c>
      <c r="AK1115" s="3">
        <v>34.700000000000003</v>
      </c>
      <c r="AL1115" s="3">
        <v>32.200000000000003</v>
      </c>
      <c r="AM1115" s="3">
        <v>31.5</v>
      </c>
      <c r="AN1115" s="3">
        <v>29.5</v>
      </c>
      <c r="AO1115" s="3">
        <v>26</v>
      </c>
      <c r="AP1115" s="3">
        <v>23.5</v>
      </c>
      <c r="AQ1115" s="3">
        <v>20.3</v>
      </c>
      <c r="AR1115" s="3">
        <v>16.600000000000001</v>
      </c>
      <c r="AS1115" s="3">
        <v>14.3</v>
      </c>
      <c r="AT1115" s="3">
        <v>17.399999999999999</v>
      </c>
      <c r="AU1115" s="3">
        <v>9.1999999999999993</v>
      </c>
      <c r="AV1115" s="3">
        <v>8.9</v>
      </c>
      <c r="AW1115" s="3">
        <v>9.1</v>
      </c>
      <c r="AX1115" s="3">
        <v>9</v>
      </c>
      <c r="AY1115" s="3">
        <v>9.1999999999999993</v>
      </c>
      <c r="AZ1115" s="3">
        <v>0</v>
      </c>
      <c r="BA1115" s="3">
        <v>0</v>
      </c>
      <c r="BB1115" s="3">
        <v>0</v>
      </c>
      <c r="BC1115" s="3">
        <v>39.006241708678608</v>
      </c>
      <c r="BD1115" s="3">
        <v>47.293758291321389</v>
      </c>
      <c r="BE1115" s="3">
        <v>45.993758291321392</v>
      </c>
      <c r="BF1115" s="3">
        <v>43.853758291321391</v>
      </c>
      <c r="BG1115" s="3">
        <v>39.480424957988056</v>
      </c>
      <c r="BH1115" s="3">
        <v>36.620424957988057</v>
      </c>
      <c r="BI1115" s="3">
        <v>38.033758291321384</v>
      </c>
      <c r="BJ1115" s="3">
        <v>40.227091624654712</v>
      </c>
      <c r="BK1115" s="3">
        <v>41.400424957988058</v>
      </c>
      <c r="BL1115" s="3">
        <v>44.573758291321404</v>
      </c>
      <c r="BM1115" s="3">
        <v>37.20709162465473</v>
      </c>
      <c r="BN1115" s="3">
        <v>38.69042495798805</v>
      </c>
      <c r="BO1115" s="3">
        <v>37.157091624654718</v>
      </c>
      <c r="BP1115" s="3">
        <v>36.073758291321404</v>
      </c>
      <c r="BQ1115" s="3">
        <v>34.490424957988061</v>
      </c>
      <c r="BR1115" s="3">
        <v>32.317091624654729</v>
      </c>
      <c r="BS1115" s="3">
        <v>31.420424957988054</v>
      </c>
      <c r="BT1115" s="3">
        <v>29.617091624654726</v>
      </c>
      <c r="BU1115" s="3">
        <v>26.083758291321395</v>
      </c>
      <c r="BV1115" s="3">
        <v>23.300424957988064</v>
      </c>
      <c r="BW1115" s="3">
        <v>20.633758291321392</v>
      </c>
      <c r="BX1115" s="3">
        <v>16.853758291321398</v>
      </c>
      <c r="BY1115" s="3">
        <v>14.373758291321387</v>
      </c>
      <c r="BZ1115" s="3">
        <v>17.603758291321391</v>
      </c>
      <c r="CA1115" s="3">
        <v>9.5037582913213825</v>
      </c>
      <c r="CB1115" s="3">
        <v>8.6404249579880528</v>
      </c>
      <c r="CC1115" s="3">
        <v>9.0537582913213939</v>
      </c>
      <c r="CD1115" s="3">
        <v>8.2604249579880644</v>
      </c>
      <c r="CE1115" s="3">
        <v>8.6537582913213882</v>
      </c>
      <c r="CF1115" s="3">
        <v>-0.93290837534527782</v>
      </c>
      <c r="CG1115" s="3">
        <v>-1.4662417086786093</v>
      </c>
      <c r="CH1115" s="3">
        <v>-2.5429083753452772</v>
      </c>
      <c r="CI1115" s="13">
        <f>[1]!dbasum(RecData[[#This Row],[20]:[2000]],RecData[[#Headers],[20]:[2000]])</f>
        <v>38.829064077594417</v>
      </c>
      <c r="CJ1115" s="14">
        <v>10699</v>
      </c>
      <c r="CK1115" s="15" t="s">
        <v>249</v>
      </c>
      <c r="CL1115" s="15">
        <f>RecData[[#This Row],[Start Time]]</f>
        <v>43275.984722222223</v>
      </c>
      <c r="CM1115" s="16">
        <f>RecData[[#This Row],[Wind Speed avg]]</f>
        <v>0.55000000000000004</v>
      </c>
      <c r="CN1115" s="16">
        <f>RecData[[#This Row],[Wind Dir. avg]]</f>
        <v>250.2</v>
      </c>
      <c r="CO1115" s="16">
        <f>RecData[[#This Row],[Amb. Humidity]]</f>
        <v>46.6</v>
      </c>
      <c r="CP1115" s="16">
        <f>RecData[[#This Row],[Amb. Temperature]]</f>
        <v>13.3</v>
      </c>
      <c r="CQ1115" s="17">
        <f>RecData[[#This Row],[Amb. Rain Gauge]]</f>
        <v>0</v>
      </c>
      <c r="CR1115" s="4" t="s">
        <v>1</v>
      </c>
      <c r="CS1115" s="4" t="s">
        <v>49</v>
      </c>
      <c r="CT1115" s="70">
        <v>1617.5166015625</v>
      </c>
      <c r="CU1115" s="70">
        <v>23.820549011230401</v>
      </c>
      <c r="CV1115" s="70">
        <v>11.242200851440399</v>
      </c>
      <c r="CW1115" s="70">
        <v>15.2939500808715</v>
      </c>
      <c r="CX1115" s="4"/>
      <c r="CY1115" s="69"/>
      <c r="CZ1115" s="2" t="b">
        <f>IF($DP$1="YES",IF(RecData[[#This Row],[Power (kW)]]&gt;=$CR$3, TRUE,FALSE),TRUE)</f>
        <v>1</v>
      </c>
      <c r="DA1115" s="16">
        <f>MIN(MOD(180-ABS(ABS($DA$1-RecData[Yaw Angle (°)])-180),360),MOD(180-ABS(ABS($DB$1-RecData[Yaw Angle (°)])-180),360))</f>
        <v>16.290622233542848</v>
      </c>
      <c r="DB1115" s="2" t="str">
        <f>IF($DP$2="None","None",IF(RecData[[#This Row],[Relative Wind Direction]]&lt;=45,"DW",IF(RecData[[#This Row],[Relative Wind Direction]]&lt;=135,"CW","UW")))</f>
        <v>DW</v>
      </c>
      <c r="DC1115" s="61">
        <f>IF($CL1115-$CL1111&gt;1/24,#REF!,IF(SUM($CQ1111:$CQ1115)&gt;$DS$1,$DS$5,DC1116-1))</f>
        <v>-4</v>
      </c>
      <c r="DD1115" s="61">
        <f>IF($CL1116-$CL1115&gt;1/24,#REF!,IF(SUM($CQ1111:$CQ1115)&gt;$DS$1,$DS$6,DD1114-1))</f>
        <v>-7</v>
      </c>
      <c r="DE1115" s="18" t="b">
        <v>0</v>
      </c>
      <c r="DF1115" s="2" t="b">
        <f>IF(OR(RecData[[#This Row],[WSpd_Avg '[m/s']]]-RecData[[#This Row],[Wind Speed min]]&gt;=$DF$3,RecData[[#This Row],[Wind Speed max]]-RecData[[#This Row],[WSpd_Avg '[m/s']]]&gt;=$DF$2),TRUE,FALSE)</f>
        <v>0</v>
      </c>
      <c r="DG1115" s="2" t="b">
        <f>RecData[[#This Row],[Temperature '[°C']]]&lt;=-20</f>
        <v>0</v>
      </c>
      <c r="DH1115" s="18" t="b">
        <f>NOT(OR(MOD(RecData[[#This Row],[TIMESTAMP]],1)&gt;0.91632,MOD(RecData[[#This Row],[TIMESTAMP]],1)&lt;0.208681))</f>
        <v>0</v>
      </c>
      <c r="DI1115" s="18" t="b">
        <f>RecData[[#This Row],[Overall (dBA)]]-RecData[[#This Row],[L90]]&gt;=$DS$4</f>
        <v>0</v>
      </c>
      <c r="DJ1115" s="18" t="b">
        <f>RecData[[#This Row],[Overall (dBA)]]&gt;$DS$2</f>
        <v>0</v>
      </c>
      <c r="DK1115" s="18" t="b">
        <f>RecData[[#This Row],[Overall (dBA)]]&lt;$DS$3</f>
        <v>0</v>
      </c>
      <c r="DL11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5" s="2">
        <f>IF(AND(RecData[[#This Row],[Turbines ON/OFF]] = "OFF", NOT(OR(RecData[[#This Row],[Junk?]]="YES",RecData[[#This Row],[Gust?]],RecData[[#This Row],[Rain?]:[Min SPL Threshold?]]))),1,0)</f>
        <v>0</v>
      </c>
      <c r="DN1115" s="16">
        <f>RecData[[#This Row],[dBA Sum]]</f>
        <v>38.829064077594417</v>
      </c>
      <c r="DO1115" s="16">
        <f>RecData[[#This Row],[LAF90.0]]</f>
        <v>37.9</v>
      </c>
      <c r="DP1115" s="55">
        <f>IF(AND(RecData[[#This Row],[Useable TON Data?]],RecData[[#This Row],[Turbines ON/OFF]]="ON"),RecData[[#This Row],[dBA Sum]],"")</f>
        <v>38.829064077594417</v>
      </c>
      <c r="DQ1115" s="55" t="str">
        <f>IF(AND(RecData[[#This Row],[Useable Background Data?]],RecData[[#This Row],[Turbines ON/OFF]]="OFF"),RecData[[#This Row],[dBA Sum]],"")</f>
        <v/>
      </c>
      <c r="DR1115" s="3">
        <f>IF(OR(RecData[[#This Row],[Useable TON Data?]],RecData[[#This Row],[Useable Background Data?]]),ROUND(RecData[[#This Row],[WSpd_Avg '[m/s']]],0),"")</f>
        <v>1</v>
      </c>
      <c r="DS1115" s="85">
        <f>(0.00002)^2*(10^(RecData[[#This Row],[Overall (dBA)]]/10))</f>
        <v>3.0546847662877889E-6</v>
      </c>
    </row>
    <row r="1116" spans="1:123" ht="15" x14ac:dyDescent="0.25">
      <c r="A1116" s="3" t="s">
        <v>249</v>
      </c>
      <c r="B1116" s="12">
        <v>43275.98541666667</v>
      </c>
      <c r="C1116" s="3"/>
      <c r="D1116" s="3">
        <v>38.9</v>
      </c>
      <c r="E1116" s="3"/>
      <c r="F1116" s="3"/>
      <c r="G1116" s="3"/>
      <c r="H1116" s="3"/>
      <c r="I1116" s="3"/>
      <c r="J1116" s="3"/>
      <c r="K1116" s="3">
        <v>37.700000000000003</v>
      </c>
      <c r="L1116" s="3"/>
      <c r="M1116" s="3"/>
      <c r="N1116" s="3">
        <v>185</v>
      </c>
      <c r="O1116" s="3"/>
      <c r="P1116" s="3"/>
      <c r="Q1116" s="3">
        <v>1.04</v>
      </c>
      <c r="R1116" s="3">
        <v>0.3</v>
      </c>
      <c r="S1116" s="3">
        <v>1.5</v>
      </c>
      <c r="T1116" s="3">
        <v>13.3</v>
      </c>
      <c r="U1116" s="3">
        <v>47.1</v>
      </c>
      <c r="V1116" s="3">
        <v>976.9</v>
      </c>
      <c r="W1116" s="3">
        <v>0</v>
      </c>
      <c r="X1116" s="3">
        <v>46</v>
      </c>
      <c r="Y1116" s="3">
        <v>45.5</v>
      </c>
      <c r="Z1116" s="3">
        <v>45</v>
      </c>
      <c r="AA1116" s="3">
        <v>41.5</v>
      </c>
      <c r="AB1116" s="3">
        <v>40.4</v>
      </c>
      <c r="AC1116" s="3">
        <v>38.700000000000003</v>
      </c>
      <c r="AD1116" s="3">
        <v>38.200000000000003</v>
      </c>
      <c r="AE1116" s="3">
        <v>40.200000000000003</v>
      </c>
      <c r="AF1116" s="3">
        <v>44.1</v>
      </c>
      <c r="AG1116" s="3">
        <v>38.5</v>
      </c>
      <c r="AH1116" s="3">
        <v>36.700000000000003</v>
      </c>
      <c r="AI1116" s="3">
        <v>37.5</v>
      </c>
      <c r="AJ1116" s="3">
        <v>36</v>
      </c>
      <c r="AK1116" s="3">
        <v>34.5</v>
      </c>
      <c r="AL1116" s="3">
        <v>32.200000000000003</v>
      </c>
      <c r="AM1116" s="3">
        <v>31.7</v>
      </c>
      <c r="AN1116" s="3">
        <v>29.8</v>
      </c>
      <c r="AO1116" s="3">
        <v>26.3</v>
      </c>
      <c r="AP1116" s="3">
        <v>23.4</v>
      </c>
      <c r="AQ1116" s="3">
        <v>21</v>
      </c>
      <c r="AR1116" s="3">
        <v>17.7</v>
      </c>
      <c r="AS1116" s="3">
        <v>15.2</v>
      </c>
      <c r="AT1116" s="3">
        <v>19.399999999999999</v>
      </c>
      <c r="AU1116" s="3">
        <v>9.8000000000000007</v>
      </c>
      <c r="AV1116" s="3">
        <v>9.1999999999999993</v>
      </c>
      <c r="AW1116" s="3">
        <v>9.1999999999999993</v>
      </c>
      <c r="AX1116" s="3">
        <v>9</v>
      </c>
      <c r="AY1116" s="3">
        <v>9.1</v>
      </c>
      <c r="AZ1116" s="3">
        <v>0</v>
      </c>
      <c r="BA1116" s="3">
        <v>0</v>
      </c>
      <c r="BB1116" s="3">
        <v>0</v>
      </c>
      <c r="BC1116" s="3">
        <v>38.889633957802722</v>
      </c>
      <c r="BD1116" s="3">
        <v>46.010366042197283</v>
      </c>
      <c r="BE1116" s="3">
        <v>45.510366042197283</v>
      </c>
      <c r="BF1116" s="3">
        <v>43.770366042197274</v>
      </c>
      <c r="BG1116" s="3">
        <v>40.597032708863942</v>
      </c>
      <c r="BH1116" s="3">
        <v>39.637032708863948</v>
      </c>
      <c r="BI1116" s="3">
        <v>38.350366042197287</v>
      </c>
      <c r="BJ1116" s="3">
        <v>38.643699375530609</v>
      </c>
      <c r="BK1116" s="3">
        <v>40.517032708863944</v>
      </c>
      <c r="BL1116" s="3">
        <v>43.990366042197273</v>
      </c>
      <c r="BM1116" s="3">
        <v>38.523699375530605</v>
      </c>
      <c r="BN1116" s="3">
        <v>37.007032708863953</v>
      </c>
      <c r="BO1116" s="3">
        <v>37.17369937553061</v>
      </c>
      <c r="BP1116" s="3">
        <v>35.390366042197279</v>
      </c>
      <c r="BQ1116" s="3">
        <v>34.307032708863936</v>
      </c>
      <c r="BR1116" s="3">
        <v>32.333699375530607</v>
      </c>
      <c r="BS1116" s="3">
        <v>31.637032708863948</v>
      </c>
      <c r="BT1116" s="3">
        <v>29.933699375530615</v>
      </c>
      <c r="BU1116" s="3">
        <v>26.400366042197284</v>
      </c>
      <c r="BV1116" s="3">
        <v>23.217032708863947</v>
      </c>
      <c r="BW1116" s="3">
        <v>21.35036604219728</v>
      </c>
      <c r="BX1116" s="3">
        <v>17.970366042197277</v>
      </c>
      <c r="BY1116" s="3">
        <v>15.29036604219727</v>
      </c>
      <c r="BZ1116" s="3">
        <v>19.620366042197283</v>
      </c>
      <c r="CA1116" s="3">
        <v>10.120366042197269</v>
      </c>
      <c r="CB1116" s="3">
        <v>8.9570327088639417</v>
      </c>
      <c r="CC1116" s="3">
        <v>9.1703660421972728</v>
      </c>
      <c r="CD1116" s="3">
        <v>8.277032708863949</v>
      </c>
      <c r="CE1116" s="3">
        <v>8.5703660421972714</v>
      </c>
      <c r="CF1116" s="3">
        <v>-0.9163006244693932</v>
      </c>
      <c r="CG1116" s="3">
        <v>-1.4496339578027246</v>
      </c>
      <c r="CH1116" s="3">
        <v>-2.5263006244693926</v>
      </c>
      <c r="CI1116" s="13">
        <f>[1]!dbasum(RecData[[#This Row],[20]:[2000]],RecData[[#Headers],[20]:[2000]])</f>
        <v>38.700022763697142</v>
      </c>
      <c r="CJ1116" s="14">
        <v>10700</v>
      </c>
      <c r="CK1116" s="15" t="s">
        <v>249</v>
      </c>
      <c r="CL1116" s="15">
        <f>RecData[[#This Row],[Start Time]]</f>
        <v>43275.98541666667</v>
      </c>
      <c r="CM1116" s="16">
        <f>RecData[[#This Row],[Wind Speed avg]]</f>
        <v>1.04</v>
      </c>
      <c r="CN1116" s="16">
        <f>RecData[[#This Row],[Wind Dir. avg]]</f>
        <v>185</v>
      </c>
      <c r="CO1116" s="16">
        <f>RecData[[#This Row],[Amb. Humidity]]</f>
        <v>47.1</v>
      </c>
      <c r="CP1116" s="16">
        <f>RecData[[#This Row],[Amb. Temperature]]</f>
        <v>13.3</v>
      </c>
      <c r="CQ1116" s="17">
        <f>RecData[[#This Row],[Amb. Rain Gauge]]</f>
        <v>0</v>
      </c>
      <c r="CR1116" s="4" t="s">
        <v>1</v>
      </c>
      <c r="CS1116" s="4" t="s">
        <v>49</v>
      </c>
      <c r="CT1116" s="70">
        <v>1617.5166015625</v>
      </c>
      <c r="CU1116" s="70">
        <v>23.820549011230401</v>
      </c>
      <c r="CV1116" s="70">
        <v>11.242200851440399</v>
      </c>
      <c r="CW1116" s="70">
        <v>15.2939500808715</v>
      </c>
      <c r="CX1116" s="4"/>
      <c r="CY1116" s="69"/>
      <c r="CZ1116" s="2" t="b">
        <f>IF($DP$1="YES",IF(RecData[[#This Row],[Power (kW)]]&gt;=$CR$3, TRUE,FALSE),TRUE)</f>
        <v>1</v>
      </c>
      <c r="DA1116" s="16">
        <f>MIN(MOD(180-ABS(ABS($DA$1-RecData[Yaw Angle (°)])-180),360),MOD(180-ABS(ABS($DB$1-RecData[Yaw Angle (°)])-180),360))</f>
        <v>16.290622233542848</v>
      </c>
      <c r="DB1116" s="2" t="str">
        <f>IF($DP$2="None","None",IF(RecData[[#This Row],[Relative Wind Direction]]&lt;=45,"DW",IF(RecData[[#This Row],[Relative Wind Direction]]&lt;=135,"CW","UW")))</f>
        <v>DW</v>
      </c>
      <c r="DC1116" s="61">
        <f>IF($CL1116-$CL1112&gt;1/24,#REF!,IF(SUM($CQ1112:$CQ1116)&gt;$DS$1,$DS$5,DC1117-1))</f>
        <v>-3</v>
      </c>
      <c r="DD1116" s="61">
        <f>IF($CL1117-$CL1116&gt;1/24,#REF!,IF(SUM($CQ1112:$CQ1116)&gt;$DS$1,$DS$6,DD1115-1))</f>
        <v>-8</v>
      </c>
      <c r="DE1116" s="18" t="b">
        <v>0</v>
      </c>
      <c r="DF1116" s="2" t="b">
        <f>IF(OR(RecData[[#This Row],[WSpd_Avg '[m/s']]]-RecData[[#This Row],[Wind Speed min]]&gt;=$DF$3,RecData[[#This Row],[Wind Speed max]]-RecData[[#This Row],[WSpd_Avg '[m/s']]]&gt;=$DF$2),TRUE,FALSE)</f>
        <v>0</v>
      </c>
      <c r="DG1116" s="2" t="b">
        <f>RecData[[#This Row],[Temperature '[°C']]]&lt;=-20</f>
        <v>0</v>
      </c>
      <c r="DH1116" s="18" t="b">
        <f>NOT(OR(MOD(RecData[[#This Row],[TIMESTAMP]],1)&gt;0.91632,MOD(RecData[[#This Row],[TIMESTAMP]],1)&lt;0.208681))</f>
        <v>0</v>
      </c>
      <c r="DI1116" s="18" t="b">
        <f>RecData[[#This Row],[Overall (dBA)]]-RecData[[#This Row],[L90]]&gt;=$DS$4</f>
        <v>0</v>
      </c>
      <c r="DJ1116" s="18" t="b">
        <f>RecData[[#This Row],[Overall (dBA)]]&gt;$DS$2</f>
        <v>0</v>
      </c>
      <c r="DK1116" s="18" t="b">
        <f>RecData[[#This Row],[Overall (dBA)]]&lt;$DS$3</f>
        <v>0</v>
      </c>
      <c r="DL11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6" s="2">
        <f>IF(AND(RecData[[#This Row],[Turbines ON/OFF]] = "OFF", NOT(OR(RecData[[#This Row],[Junk?]]="YES",RecData[[#This Row],[Gust?]],RecData[[#This Row],[Rain?]:[Min SPL Threshold?]]))),1,0)</f>
        <v>0</v>
      </c>
      <c r="DN1116" s="16">
        <f>RecData[[#This Row],[dBA Sum]]</f>
        <v>38.700022763697142</v>
      </c>
      <c r="DO1116" s="16">
        <f>RecData[[#This Row],[LAF90.0]]</f>
        <v>37.700000000000003</v>
      </c>
      <c r="DP1116" s="55">
        <f>IF(AND(RecData[[#This Row],[Useable TON Data?]],RecData[[#This Row],[Turbines ON/OFF]]="ON"),RecData[[#This Row],[dBA Sum]],"")</f>
        <v>38.700022763697142</v>
      </c>
      <c r="DQ1116" s="55" t="str">
        <f>IF(AND(RecData[[#This Row],[Useable Background Data?]],RecData[[#This Row],[Turbines ON/OFF]]="OFF"),RecData[[#This Row],[dBA Sum]],"")</f>
        <v/>
      </c>
      <c r="DR1116" s="3">
        <f>IF(OR(RecData[[#This Row],[Useable TON Data?]],RecData[[#This Row],[Useable Background Data?]]),ROUND(RecData[[#This Row],[WSpd_Avg '[m/s']]],0),"")</f>
        <v>1</v>
      </c>
      <c r="DS1116" s="85">
        <f>(0.00002)^2*(10^(RecData[[#This Row],[Overall (dBA)]]/10))</f>
        <v>2.9652565076586169E-6</v>
      </c>
    </row>
    <row r="1117" spans="1:123" ht="15" x14ac:dyDescent="0.25">
      <c r="A1117" s="3" t="s">
        <v>249</v>
      </c>
      <c r="B1117" s="12">
        <v>43275.986111111117</v>
      </c>
      <c r="C1117" s="3"/>
      <c r="D1117" s="3">
        <v>39.299999999999997</v>
      </c>
      <c r="E1117" s="3"/>
      <c r="F1117" s="3"/>
      <c r="G1117" s="3"/>
      <c r="H1117" s="3"/>
      <c r="I1117" s="3"/>
      <c r="J1117" s="3"/>
      <c r="K1117" s="3">
        <v>38.1</v>
      </c>
      <c r="L1117" s="3"/>
      <c r="M1117" s="3"/>
      <c r="N1117" s="3">
        <v>183.9</v>
      </c>
      <c r="O1117" s="3"/>
      <c r="P1117" s="3"/>
      <c r="Q1117" s="3">
        <v>0.7</v>
      </c>
      <c r="R1117" s="3">
        <v>0.3</v>
      </c>
      <c r="S1117" s="3">
        <v>1.2</v>
      </c>
      <c r="T1117" s="3">
        <v>13.3</v>
      </c>
      <c r="U1117" s="3">
        <v>47.3</v>
      </c>
      <c r="V1117" s="3">
        <v>977</v>
      </c>
      <c r="W1117" s="3">
        <v>0</v>
      </c>
      <c r="X1117" s="3">
        <v>46.2</v>
      </c>
      <c r="Y1117" s="3">
        <v>45.4</v>
      </c>
      <c r="Z1117" s="3">
        <v>45</v>
      </c>
      <c r="AA1117" s="3">
        <v>40.299999999999997</v>
      </c>
      <c r="AB1117" s="3">
        <v>36.700000000000003</v>
      </c>
      <c r="AC1117" s="3">
        <v>37.200000000000003</v>
      </c>
      <c r="AD1117" s="3">
        <v>39.299999999999997</v>
      </c>
      <c r="AE1117" s="3">
        <v>41</v>
      </c>
      <c r="AF1117" s="3">
        <v>43.3</v>
      </c>
      <c r="AG1117" s="3">
        <v>37.9</v>
      </c>
      <c r="AH1117" s="3">
        <v>38.1</v>
      </c>
      <c r="AI1117" s="3">
        <v>37.9</v>
      </c>
      <c r="AJ1117" s="3">
        <v>36.799999999999997</v>
      </c>
      <c r="AK1117" s="3">
        <v>35</v>
      </c>
      <c r="AL1117" s="3">
        <v>32.700000000000003</v>
      </c>
      <c r="AM1117" s="3">
        <v>32.200000000000003</v>
      </c>
      <c r="AN1117" s="3">
        <v>30.2</v>
      </c>
      <c r="AO1117" s="3">
        <v>26.8</v>
      </c>
      <c r="AP1117" s="3">
        <v>24.3</v>
      </c>
      <c r="AQ1117" s="3">
        <v>21.6</v>
      </c>
      <c r="AR1117" s="3">
        <v>17.899999999999999</v>
      </c>
      <c r="AS1117" s="3">
        <v>16.600000000000001</v>
      </c>
      <c r="AT1117" s="3">
        <v>17.899999999999999</v>
      </c>
      <c r="AU1117" s="3">
        <v>9.4</v>
      </c>
      <c r="AV1117" s="3">
        <v>8.8000000000000007</v>
      </c>
      <c r="AW1117" s="3">
        <v>8.9</v>
      </c>
      <c r="AX1117" s="3">
        <v>8.9</v>
      </c>
      <c r="AY1117" s="3">
        <v>9.1</v>
      </c>
      <c r="AZ1117" s="3">
        <v>0</v>
      </c>
      <c r="BA1117" s="3">
        <v>0</v>
      </c>
      <c r="BB1117" s="3">
        <v>0</v>
      </c>
      <c r="BC1117" s="3">
        <v>39.312387923246959</v>
      </c>
      <c r="BD1117" s="3">
        <v>46.187612076753041</v>
      </c>
      <c r="BE1117" s="3">
        <v>45.38761207675303</v>
      </c>
      <c r="BF1117" s="3">
        <v>43.747612076753043</v>
      </c>
      <c r="BG1117" s="3">
        <v>39.374278743419708</v>
      </c>
      <c r="BH1117" s="3">
        <v>35.9142787434197</v>
      </c>
      <c r="BI1117" s="3">
        <v>36.827612076753041</v>
      </c>
      <c r="BJ1117" s="3">
        <v>39.720945410086372</v>
      </c>
      <c r="BK1117" s="3">
        <v>41.294278743419696</v>
      </c>
      <c r="BL1117" s="3">
        <v>43.167612076753031</v>
      </c>
      <c r="BM1117" s="3">
        <v>37.900945410086379</v>
      </c>
      <c r="BN1117" s="3">
        <v>38.384278743419699</v>
      </c>
      <c r="BO1117" s="3">
        <v>37.550945410086371</v>
      </c>
      <c r="BP1117" s="3">
        <v>36.167612076753031</v>
      </c>
      <c r="BQ1117" s="3">
        <v>34.784278743419705</v>
      </c>
      <c r="BR1117" s="3">
        <v>32.810945410086376</v>
      </c>
      <c r="BS1117" s="3">
        <v>32.114278743419717</v>
      </c>
      <c r="BT1117" s="3">
        <v>30.310945410086376</v>
      </c>
      <c r="BU1117" s="3">
        <v>26.877612076753039</v>
      </c>
      <c r="BV1117" s="3">
        <v>24.094278743419707</v>
      </c>
      <c r="BW1117" s="3">
        <v>21.927612076753043</v>
      </c>
      <c r="BX1117" s="3">
        <v>18.147612076753042</v>
      </c>
      <c r="BY1117" s="3">
        <v>16.667612076753038</v>
      </c>
      <c r="BZ1117" s="3">
        <v>18.097612076753038</v>
      </c>
      <c r="CA1117" s="3">
        <v>9.6976120767530318</v>
      </c>
      <c r="CB1117" s="3">
        <v>8.5342787434197049</v>
      </c>
      <c r="CC1117" s="3">
        <v>8.8476120767530375</v>
      </c>
      <c r="CD1117" s="3">
        <v>8.1542787434197095</v>
      </c>
      <c r="CE1117" s="3">
        <v>8.5476120767530404</v>
      </c>
      <c r="CF1117" s="3">
        <v>-0.93905458991363133</v>
      </c>
      <c r="CG1117" s="3">
        <v>-1.4723879232469628</v>
      </c>
      <c r="CH1117" s="3">
        <v>-2.5490545899136308</v>
      </c>
      <c r="CI1117" s="13">
        <f>[1]!dbasum(RecData[[#This Row],[20]:[2000]],RecData[[#Headers],[20]:[2000]])</f>
        <v>39.122528668937477</v>
      </c>
      <c r="CJ1117" s="14">
        <v>10701</v>
      </c>
      <c r="CK1117" s="15" t="s">
        <v>249</v>
      </c>
      <c r="CL1117" s="15">
        <f>RecData[[#This Row],[Start Time]]</f>
        <v>43275.986111111117</v>
      </c>
      <c r="CM1117" s="16">
        <f>RecData[[#This Row],[Wind Speed avg]]</f>
        <v>0.7</v>
      </c>
      <c r="CN1117" s="16">
        <f>RecData[[#This Row],[Wind Dir. avg]]</f>
        <v>183.9</v>
      </c>
      <c r="CO1117" s="16">
        <f>RecData[[#This Row],[Amb. Humidity]]</f>
        <v>47.3</v>
      </c>
      <c r="CP1117" s="16">
        <f>RecData[[#This Row],[Amb. Temperature]]</f>
        <v>13.3</v>
      </c>
      <c r="CQ1117" s="17">
        <f>RecData[[#This Row],[Amb. Rain Gauge]]</f>
        <v>0</v>
      </c>
      <c r="CR1117" s="4" t="s">
        <v>1</v>
      </c>
      <c r="CS1117" s="4" t="s">
        <v>49</v>
      </c>
      <c r="CT1117" s="70">
        <v>1617.5166015625</v>
      </c>
      <c r="CU1117" s="70">
        <v>23.820549011230401</v>
      </c>
      <c r="CV1117" s="70">
        <v>11.242200851440399</v>
      </c>
      <c r="CW1117" s="70">
        <v>15.2939500808715</v>
      </c>
      <c r="CX1117" s="4"/>
      <c r="CY1117" s="69"/>
      <c r="CZ1117" s="2" t="b">
        <f>IF($DP$1="YES",IF(RecData[[#This Row],[Power (kW)]]&gt;=$CR$3, TRUE,FALSE),TRUE)</f>
        <v>1</v>
      </c>
      <c r="DA1117" s="16">
        <f>MIN(MOD(180-ABS(ABS($DA$1-RecData[Yaw Angle (°)])-180),360),MOD(180-ABS(ABS($DB$1-RecData[Yaw Angle (°)])-180),360))</f>
        <v>16.290622233542848</v>
      </c>
      <c r="DB1117" s="2" t="str">
        <f>IF($DP$2="None","None",IF(RecData[[#This Row],[Relative Wind Direction]]&lt;=45,"DW",IF(RecData[[#This Row],[Relative Wind Direction]]&lt;=135,"CW","UW")))</f>
        <v>DW</v>
      </c>
      <c r="DC1117" s="61">
        <f>IF($CL1117-$CL1113&gt;1/24,#REF!,IF(SUM($CQ1113:$CQ1117)&gt;$DS$1,$DS$5,DC1118-1))</f>
        <v>-2</v>
      </c>
      <c r="DD1117" s="61">
        <f>IF($CL1118-$CL1117&gt;1/24,#REF!,IF(SUM($CQ1113:$CQ1117)&gt;$DS$1,$DS$6,DD1116-1))</f>
        <v>-9</v>
      </c>
      <c r="DE1117" s="18" t="b">
        <v>0</v>
      </c>
      <c r="DF1117" s="2" t="b">
        <f>IF(OR(RecData[[#This Row],[WSpd_Avg '[m/s']]]-RecData[[#This Row],[Wind Speed min]]&gt;=$DF$3,RecData[[#This Row],[Wind Speed max]]-RecData[[#This Row],[WSpd_Avg '[m/s']]]&gt;=$DF$2),TRUE,FALSE)</f>
        <v>0</v>
      </c>
      <c r="DG1117" s="2" t="b">
        <f>RecData[[#This Row],[Temperature '[°C']]]&lt;=-20</f>
        <v>0</v>
      </c>
      <c r="DH1117" s="18" t="b">
        <f>NOT(OR(MOD(RecData[[#This Row],[TIMESTAMP]],1)&gt;0.91632,MOD(RecData[[#This Row],[TIMESTAMP]],1)&lt;0.208681))</f>
        <v>0</v>
      </c>
      <c r="DI1117" s="18" t="b">
        <f>RecData[[#This Row],[Overall (dBA)]]-RecData[[#This Row],[L90]]&gt;=$DS$4</f>
        <v>0</v>
      </c>
      <c r="DJ1117" s="18" t="b">
        <f>RecData[[#This Row],[Overall (dBA)]]&gt;$DS$2</f>
        <v>0</v>
      </c>
      <c r="DK1117" s="18" t="b">
        <f>RecData[[#This Row],[Overall (dBA)]]&lt;$DS$3</f>
        <v>0</v>
      </c>
      <c r="DL11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7" s="2">
        <f>IF(AND(RecData[[#This Row],[Turbines ON/OFF]] = "OFF", NOT(OR(RecData[[#This Row],[Junk?]]="YES",RecData[[#This Row],[Gust?]],RecData[[#This Row],[Rain?]:[Min SPL Threshold?]]))),1,0)</f>
        <v>0</v>
      </c>
      <c r="DN1117" s="16">
        <f>RecData[[#This Row],[dBA Sum]]</f>
        <v>39.122528668937477</v>
      </c>
      <c r="DO1117" s="16">
        <f>RecData[[#This Row],[LAF90.0]]</f>
        <v>38.1</v>
      </c>
      <c r="DP1117" s="55">
        <f>IF(AND(RecData[[#This Row],[Useable TON Data?]],RecData[[#This Row],[Turbines ON/OFF]]="ON"),RecData[[#This Row],[dBA Sum]],"")</f>
        <v>39.122528668937477</v>
      </c>
      <c r="DQ1117" s="55" t="str">
        <f>IF(AND(RecData[[#This Row],[Useable Background Data?]],RecData[[#This Row],[Turbines ON/OFF]]="OFF"),RecData[[#This Row],[dBA Sum]],"")</f>
        <v/>
      </c>
      <c r="DR1117" s="3">
        <f>IF(OR(RecData[[#This Row],[Useable TON Data?]],RecData[[#This Row],[Useable Background Data?]]),ROUND(RecData[[#This Row],[WSpd_Avg '[m/s']]],0),"")</f>
        <v>1</v>
      </c>
      <c r="DS1117" s="85">
        <f>(0.00002)^2*(10^(RecData[[#This Row],[Overall (dBA)]]/10))</f>
        <v>3.268231851512515E-6</v>
      </c>
    </row>
    <row r="1118" spans="1:123" ht="15" x14ac:dyDescent="0.25">
      <c r="A1118" s="3" t="s">
        <v>249</v>
      </c>
      <c r="B1118" s="12">
        <v>43275.986805555556</v>
      </c>
      <c r="C1118" s="3"/>
      <c r="D1118" s="3">
        <v>39.299999999999997</v>
      </c>
      <c r="E1118" s="3"/>
      <c r="F1118" s="3"/>
      <c r="G1118" s="3"/>
      <c r="H1118" s="3"/>
      <c r="I1118" s="3"/>
      <c r="J1118" s="3"/>
      <c r="K1118" s="3">
        <v>37.799999999999997</v>
      </c>
      <c r="L1118" s="3"/>
      <c r="M1118" s="3"/>
      <c r="N1118" s="3">
        <v>167.3</v>
      </c>
      <c r="O1118" s="3"/>
      <c r="P1118" s="3"/>
      <c r="Q1118" s="3">
        <v>0.79</v>
      </c>
      <c r="R1118" s="3">
        <v>0.3</v>
      </c>
      <c r="S1118" s="3">
        <v>1.8</v>
      </c>
      <c r="T1118" s="3">
        <v>13.3</v>
      </c>
      <c r="U1118" s="3">
        <v>47.8</v>
      </c>
      <c r="V1118" s="3">
        <v>977</v>
      </c>
      <c r="W1118" s="3">
        <v>0</v>
      </c>
      <c r="X1118" s="3">
        <v>45.5</v>
      </c>
      <c r="Y1118" s="3">
        <v>44.4</v>
      </c>
      <c r="Z1118" s="3">
        <v>44.8</v>
      </c>
      <c r="AA1118" s="3">
        <v>40.299999999999997</v>
      </c>
      <c r="AB1118" s="3">
        <v>34.799999999999997</v>
      </c>
      <c r="AC1118" s="3">
        <v>35</v>
      </c>
      <c r="AD1118" s="3">
        <v>38.6</v>
      </c>
      <c r="AE1118" s="3">
        <v>40.4</v>
      </c>
      <c r="AF1118" s="3">
        <v>44.1</v>
      </c>
      <c r="AG1118" s="3">
        <v>38.700000000000003</v>
      </c>
      <c r="AH1118" s="3">
        <v>37.700000000000003</v>
      </c>
      <c r="AI1118" s="3">
        <v>38</v>
      </c>
      <c r="AJ1118" s="3">
        <v>36.700000000000003</v>
      </c>
      <c r="AK1118" s="3">
        <v>34.799999999999997</v>
      </c>
      <c r="AL1118" s="3">
        <v>32.6</v>
      </c>
      <c r="AM1118" s="3">
        <v>32.299999999999997</v>
      </c>
      <c r="AN1118" s="3">
        <v>30.2</v>
      </c>
      <c r="AO1118" s="3">
        <v>26.7</v>
      </c>
      <c r="AP1118" s="3">
        <v>24</v>
      </c>
      <c r="AQ1118" s="3">
        <v>21.4</v>
      </c>
      <c r="AR1118" s="3">
        <v>17.899999999999999</v>
      </c>
      <c r="AS1118" s="3">
        <v>16.399999999999999</v>
      </c>
      <c r="AT1118" s="3">
        <v>18.7</v>
      </c>
      <c r="AU1118" s="3">
        <v>11</v>
      </c>
      <c r="AV1118" s="3">
        <v>10.1</v>
      </c>
      <c r="AW1118" s="3">
        <v>9.8000000000000007</v>
      </c>
      <c r="AX1118" s="3">
        <v>9.1999999999999993</v>
      </c>
      <c r="AY1118" s="3">
        <v>9.3000000000000007</v>
      </c>
      <c r="AZ1118" s="3">
        <v>0</v>
      </c>
      <c r="BA1118" s="3">
        <v>0</v>
      </c>
      <c r="BB1118" s="3">
        <v>0</v>
      </c>
      <c r="BC1118" s="3">
        <v>39.322505800414753</v>
      </c>
      <c r="BD1118" s="3">
        <v>45.477494199585244</v>
      </c>
      <c r="BE1118" s="3">
        <v>44.377494199585236</v>
      </c>
      <c r="BF1118" s="3">
        <v>43.537494199585232</v>
      </c>
      <c r="BG1118" s="3">
        <v>39.364160866251915</v>
      </c>
      <c r="BH1118" s="3">
        <v>34.004160866251901</v>
      </c>
      <c r="BI1118" s="3">
        <v>34.617494199585245</v>
      </c>
      <c r="BJ1118" s="3">
        <v>39.010827532918576</v>
      </c>
      <c r="BK1118" s="3">
        <v>40.684160866251908</v>
      </c>
      <c r="BL1118" s="3">
        <v>43.957494199585248</v>
      </c>
      <c r="BM1118" s="3">
        <v>38.690827532918583</v>
      </c>
      <c r="BN1118" s="3">
        <v>37.974160866251914</v>
      </c>
      <c r="BO1118" s="3">
        <v>37.640827532918586</v>
      </c>
      <c r="BP1118" s="3">
        <v>36.057494199585243</v>
      </c>
      <c r="BQ1118" s="3">
        <v>34.574160866251894</v>
      </c>
      <c r="BR1118" s="3">
        <v>32.700827532918588</v>
      </c>
      <c r="BS1118" s="3">
        <v>32.204160866251918</v>
      </c>
      <c r="BT1118" s="3">
        <v>30.300827532918582</v>
      </c>
      <c r="BU1118" s="3">
        <v>26.767494199585251</v>
      </c>
      <c r="BV1118" s="3">
        <v>23.784160866251916</v>
      </c>
      <c r="BW1118" s="3">
        <v>21.717494199585246</v>
      </c>
      <c r="BX1118" s="3">
        <v>18.137494199585248</v>
      </c>
      <c r="BY1118" s="3">
        <v>16.457494199585241</v>
      </c>
      <c r="BZ1118" s="3">
        <v>18.887494199585248</v>
      </c>
      <c r="CA1118" s="3">
        <v>11.28749419958524</v>
      </c>
      <c r="CB1118" s="3">
        <v>9.8241608662519084</v>
      </c>
      <c r="CC1118" s="3">
        <v>9.7374941995852424</v>
      </c>
      <c r="CD1118" s="3">
        <v>8.444160866251913</v>
      </c>
      <c r="CE1118" s="3">
        <v>8.7374941995852424</v>
      </c>
      <c r="CF1118" s="3">
        <v>-0.949172467081425</v>
      </c>
      <c r="CG1118" s="3">
        <v>-1.4825058004147564</v>
      </c>
      <c r="CH1118" s="3">
        <v>-2.5591724670814244</v>
      </c>
      <c r="CI1118" s="13">
        <f>[1]!dbasum(RecData[[#This Row],[20]:[2000]],RecData[[#Headers],[20]:[2000]])</f>
        <v>39.107843922941136</v>
      </c>
      <c r="CJ1118" s="14">
        <v>10702</v>
      </c>
      <c r="CK1118" s="15" t="s">
        <v>249</v>
      </c>
      <c r="CL1118" s="15">
        <f>RecData[[#This Row],[Start Time]]</f>
        <v>43275.986805555556</v>
      </c>
      <c r="CM1118" s="16">
        <f>RecData[[#This Row],[Wind Speed avg]]</f>
        <v>0.79</v>
      </c>
      <c r="CN1118" s="16">
        <f>RecData[[#This Row],[Wind Dir. avg]]</f>
        <v>167.3</v>
      </c>
      <c r="CO1118" s="16">
        <f>RecData[[#This Row],[Amb. Humidity]]</f>
        <v>47.8</v>
      </c>
      <c r="CP1118" s="16">
        <f>RecData[[#This Row],[Amb. Temperature]]</f>
        <v>13.3</v>
      </c>
      <c r="CQ1118" s="17">
        <f>RecData[[#This Row],[Amb. Rain Gauge]]</f>
        <v>0</v>
      </c>
      <c r="CR1118" s="4" t="s">
        <v>1</v>
      </c>
      <c r="CS1118" s="4" t="s">
        <v>49</v>
      </c>
      <c r="CT1118" s="70">
        <v>1615.3642578125</v>
      </c>
      <c r="CU1118" s="70">
        <v>29.484571456909102</v>
      </c>
      <c r="CV1118" s="70">
        <v>10.295741081237701</v>
      </c>
      <c r="CW1118" s="70">
        <v>15.2656555175781</v>
      </c>
      <c r="CX1118" s="4"/>
      <c r="CY1118" s="69"/>
      <c r="CZ1118" s="2" t="b">
        <f>IF($DP$1="YES",IF(RecData[[#This Row],[Power (kW)]]&gt;=$CR$3, TRUE,FALSE),TRUE)</f>
        <v>1</v>
      </c>
      <c r="DA1118" s="16">
        <f>MIN(MOD(180-ABS(ABS($DA$1-RecData[Yaw Angle (°)])-180),360),MOD(180-ABS(ABS($DB$1-RecData[Yaw Angle (°)])-180),360))</f>
        <v>21.954644679221559</v>
      </c>
      <c r="DB1118" s="2" t="str">
        <f>IF($DP$2="None","None",IF(RecData[[#This Row],[Relative Wind Direction]]&lt;=45,"DW",IF(RecData[[#This Row],[Relative Wind Direction]]&lt;=135,"CW","UW")))</f>
        <v>DW</v>
      </c>
      <c r="DC1118" s="61">
        <v>-1</v>
      </c>
      <c r="DD1118" s="61">
        <v>-1</v>
      </c>
      <c r="DE1118" s="18" t="b">
        <v>0</v>
      </c>
      <c r="DF1118" s="2" t="b">
        <f>IF(OR(RecData[[#This Row],[WSpd_Avg '[m/s']]]-RecData[[#This Row],[Wind Speed min]]&gt;=$DF$3,RecData[[#This Row],[Wind Speed max]]-RecData[[#This Row],[WSpd_Avg '[m/s']]]&gt;=$DF$2),TRUE,FALSE)</f>
        <v>0</v>
      </c>
      <c r="DG1118" s="2" t="b">
        <f>RecData[[#This Row],[Temperature '[°C']]]&lt;=-20</f>
        <v>0</v>
      </c>
      <c r="DH1118" s="18" t="b">
        <f>NOT(OR(MOD(RecData[[#This Row],[TIMESTAMP]],1)&gt;0.91632,MOD(RecData[[#This Row],[TIMESTAMP]],1)&lt;0.208681))</f>
        <v>0</v>
      </c>
      <c r="DI1118" s="18" t="b">
        <f>RecData[[#This Row],[Overall (dBA)]]-RecData[[#This Row],[L90]]&gt;=$DS$4</f>
        <v>0</v>
      </c>
      <c r="DJ1118" s="18" t="b">
        <f>RecData[[#This Row],[Overall (dBA)]]&gt;$DS$2</f>
        <v>0</v>
      </c>
      <c r="DK1118" s="18" t="b">
        <f>RecData[[#This Row],[Overall (dBA)]]&lt;$DS$3</f>
        <v>0</v>
      </c>
      <c r="DL11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8" s="2">
        <f>IF(AND(RecData[[#This Row],[Turbines ON/OFF]] = "OFF", NOT(OR(RecData[[#This Row],[Junk?]]="YES",RecData[[#This Row],[Gust?]],RecData[[#This Row],[Rain?]:[Min SPL Threshold?]]))),1,0)</f>
        <v>0</v>
      </c>
      <c r="DN1118" s="16">
        <f>RecData[[#This Row],[dBA Sum]]</f>
        <v>39.107843922941136</v>
      </c>
      <c r="DO1118" s="16">
        <f>RecData[[#This Row],[LAF90.0]]</f>
        <v>37.799999999999997</v>
      </c>
      <c r="DP1118" s="55">
        <f>IF(AND(RecData[[#This Row],[Useable TON Data?]],RecData[[#This Row],[Turbines ON/OFF]]="ON"),RecData[[#This Row],[dBA Sum]],"")</f>
        <v>39.107843922941136</v>
      </c>
      <c r="DQ1118" s="55" t="str">
        <f>IF(AND(RecData[[#This Row],[Useable Background Data?]],RecData[[#This Row],[Turbines ON/OFF]]="OFF"),RecData[[#This Row],[dBA Sum]],"")</f>
        <v/>
      </c>
      <c r="DR1118" s="3">
        <f>IF(OR(RecData[[#This Row],[Useable TON Data?]],RecData[[#This Row],[Useable Background Data?]]),ROUND(RecData[[#This Row],[WSpd_Avg '[m/s']]],0),"")</f>
        <v>1</v>
      </c>
      <c r="DS1118" s="85">
        <f>(0.00002)^2*(10^(RecData[[#This Row],[Overall (dBA)]]/10))</f>
        <v>3.2571996812604384E-6</v>
      </c>
    </row>
    <row r="1119" spans="1:123" ht="15" x14ac:dyDescent="0.25">
      <c r="A1119" s="3" t="s">
        <v>249</v>
      </c>
      <c r="B1119" s="12">
        <v>43275.987500000003</v>
      </c>
      <c r="C1119" s="3"/>
      <c r="D1119" s="3">
        <v>39.1</v>
      </c>
      <c r="E1119" s="3"/>
      <c r="F1119" s="3"/>
      <c r="G1119" s="3"/>
      <c r="H1119" s="3"/>
      <c r="I1119" s="3"/>
      <c r="J1119" s="3"/>
      <c r="K1119" s="3">
        <v>37.6</v>
      </c>
      <c r="L1119" s="3"/>
      <c r="M1119" s="3"/>
      <c r="N1119" s="3">
        <v>160.9</v>
      </c>
      <c r="O1119" s="3"/>
      <c r="P1119" s="3"/>
      <c r="Q1119" s="3">
        <v>0.52</v>
      </c>
      <c r="R1119" s="3">
        <v>0</v>
      </c>
      <c r="S1119" s="3">
        <v>2</v>
      </c>
      <c r="T1119" s="3">
        <v>13.2</v>
      </c>
      <c r="U1119" s="3">
        <v>47.9</v>
      </c>
      <c r="V1119" s="3">
        <v>977</v>
      </c>
      <c r="W1119" s="3">
        <v>0</v>
      </c>
      <c r="X1119" s="3">
        <v>45.7</v>
      </c>
      <c r="Y1119" s="3">
        <v>44.1</v>
      </c>
      <c r="Z1119" s="3">
        <v>43.8</v>
      </c>
      <c r="AA1119" s="3">
        <v>38.9</v>
      </c>
      <c r="AB1119" s="3">
        <v>34.4</v>
      </c>
      <c r="AC1119" s="3">
        <v>34.700000000000003</v>
      </c>
      <c r="AD1119" s="3">
        <v>39.1</v>
      </c>
      <c r="AE1119" s="3">
        <v>40.6</v>
      </c>
      <c r="AF1119" s="3">
        <v>46.2</v>
      </c>
      <c r="AG1119" s="3">
        <v>38.299999999999997</v>
      </c>
      <c r="AH1119" s="3">
        <v>37.799999999999997</v>
      </c>
      <c r="AI1119" s="3">
        <v>37.799999999999997</v>
      </c>
      <c r="AJ1119" s="3">
        <v>36.200000000000003</v>
      </c>
      <c r="AK1119" s="3">
        <v>34.6</v>
      </c>
      <c r="AL1119" s="3">
        <v>31.9</v>
      </c>
      <c r="AM1119" s="3">
        <v>31.4</v>
      </c>
      <c r="AN1119" s="3">
        <v>29</v>
      </c>
      <c r="AO1119" s="3">
        <v>25.9</v>
      </c>
      <c r="AP1119" s="3">
        <v>23.9</v>
      </c>
      <c r="AQ1119" s="3">
        <v>21.5</v>
      </c>
      <c r="AR1119" s="3">
        <v>18.7</v>
      </c>
      <c r="AS1119" s="3">
        <v>16.399999999999999</v>
      </c>
      <c r="AT1119" s="3">
        <v>17.600000000000001</v>
      </c>
      <c r="AU1119" s="3">
        <v>13.2</v>
      </c>
      <c r="AV1119" s="3">
        <v>13.2</v>
      </c>
      <c r="AW1119" s="3">
        <v>13.8</v>
      </c>
      <c r="AX1119" s="3">
        <v>12.1</v>
      </c>
      <c r="AY1119" s="3">
        <v>11.9</v>
      </c>
      <c r="AZ1119" s="3">
        <v>0</v>
      </c>
      <c r="BA1119" s="3">
        <v>0</v>
      </c>
      <c r="BB1119" s="3">
        <v>0</v>
      </c>
      <c r="BC1119" s="3">
        <v>39.112608077909762</v>
      </c>
      <c r="BD1119" s="3">
        <v>45.687391922090249</v>
      </c>
      <c r="BE1119" s="3">
        <v>44.087391922090241</v>
      </c>
      <c r="BF1119" s="3">
        <v>42.547391922090235</v>
      </c>
      <c r="BG1119" s="3">
        <v>37.974058588756911</v>
      </c>
      <c r="BH1119" s="3">
        <v>33.614058588756897</v>
      </c>
      <c r="BI1119" s="3">
        <v>34.327391922090236</v>
      </c>
      <c r="BJ1119" s="3">
        <v>39.520725255423564</v>
      </c>
      <c r="BK1119" s="3">
        <v>40.894058588756899</v>
      </c>
      <c r="BL1119" s="3">
        <v>46.067391922090245</v>
      </c>
      <c r="BM1119" s="3">
        <v>38.300725255423565</v>
      </c>
      <c r="BN1119" s="3">
        <v>38.084058588756896</v>
      </c>
      <c r="BO1119" s="3">
        <v>37.450725255423571</v>
      </c>
      <c r="BP1119" s="3">
        <v>35.567391922090245</v>
      </c>
      <c r="BQ1119" s="3">
        <v>34.384058588756908</v>
      </c>
      <c r="BR1119" s="3">
        <v>32.010725255423573</v>
      </c>
      <c r="BS1119" s="3">
        <v>31.3140585887569</v>
      </c>
      <c r="BT1119" s="3">
        <v>29.110725255423567</v>
      </c>
      <c r="BU1119" s="3">
        <v>25.977391922090241</v>
      </c>
      <c r="BV1119" s="3">
        <v>23.69405858875691</v>
      </c>
      <c r="BW1119" s="3">
        <v>21.827391922090243</v>
      </c>
      <c r="BX1119" s="3">
        <v>18.94739192209024</v>
      </c>
      <c r="BY1119" s="3">
        <v>16.467391922090236</v>
      </c>
      <c r="BZ1119" s="3">
        <v>17.797391922090249</v>
      </c>
      <c r="CA1119" s="3">
        <v>13.49739192209023</v>
      </c>
      <c r="CB1119" s="3">
        <v>12.934058588756905</v>
      </c>
      <c r="CC1119" s="3">
        <v>13.747391922090237</v>
      </c>
      <c r="CD1119" s="3">
        <v>11.354058588756907</v>
      </c>
      <c r="CE1119" s="3">
        <v>11.347391922090239</v>
      </c>
      <c r="CF1119" s="3">
        <v>-0.93927474457643001</v>
      </c>
      <c r="CG1119" s="3">
        <v>-1.4726080779097614</v>
      </c>
      <c r="CH1119" s="3">
        <v>-2.5492747445764294</v>
      </c>
      <c r="CI1119" s="13">
        <f>[1]!dbasum(RecData[[#This Row],[20]:[2000]],RecData[[#Headers],[20]:[2000]])</f>
        <v>38.887078230851898</v>
      </c>
      <c r="CJ1119" s="14">
        <v>10703</v>
      </c>
      <c r="CK1119" s="15" t="s">
        <v>249</v>
      </c>
      <c r="CL1119" s="15">
        <f>RecData[[#This Row],[Start Time]]</f>
        <v>43275.987500000003</v>
      </c>
      <c r="CM1119" s="16">
        <f>RecData[[#This Row],[Wind Speed avg]]</f>
        <v>0.52</v>
      </c>
      <c r="CN1119" s="16">
        <f>RecData[[#This Row],[Wind Dir. avg]]</f>
        <v>160.9</v>
      </c>
      <c r="CO1119" s="16">
        <f>RecData[[#This Row],[Amb. Humidity]]</f>
        <v>47.9</v>
      </c>
      <c r="CP1119" s="16">
        <f>RecData[[#This Row],[Amb. Temperature]]</f>
        <v>13.2</v>
      </c>
      <c r="CQ1119" s="17">
        <f>RecData[[#This Row],[Amb. Rain Gauge]]</f>
        <v>0</v>
      </c>
      <c r="CR1119" s="4" t="s">
        <v>1</v>
      </c>
      <c r="CS1119" s="4" t="s">
        <v>49</v>
      </c>
      <c r="CT1119" s="70">
        <v>1615.3642578125</v>
      </c>
      <c r="CU1119" s="70">
        <v>29.484571456909102</v>
      </c>
      <c r="CV1119" s="70">
        <v>10.295741081237701</v>
      </c>
      <c r="CW1119" s="70">
        <v>15.2656555175781</v>
      </c>
      <c r="CX1119" s="4"/>
      <c r="CY1119" s="69"/>
      <c r="CZ1119" s="2" t="b">
        <f>IF($DP$1="YES",IF(RecData[[#This Row],[Power (kW)]]&gt;=$CR$3, TRUE,FALSE),TRUE)</f>
        <v>1</v>
      </c>
      <c r="DA1119" s="16">
        <f>MIN(MOD(180-ABS(ABS($DA$1-RecData[Yaw Angle (°)])-180),360),MOD(180-ABS(ABS($DB$1-RecData[Yaw Angle (°)])-180),360))</f>
        <v>21.954644679221559</v>
      </c>
      <c r="DB1119" s="2" t="str">
        <f>IF($DP$2="None","None",IF(RecData[[#This Row],[Relative Wind Direction]]&lt;=45,"DW",IF(RecData[[#This Row],[Relative Wind Direction]]&lt;=135,"CW","UW")))</f>
        <v>DW</v>
      </c>
      <c r="DC1119" s="61">
        <f>IF($CL1119-$CL1118&gt;1/24,#REF!,IF(SUM($CQ1118:$CQ1119)&gt;$DS$1,$DS$5,DC1120-1))</f>
        <v>-9</v>
      </c>
      <c r="DD1119" s="61">
        <f>IF($CL1120-$CL1119&gt;1/24,#REF!,IF(SUM($CQ1118:$CQ1119)&gt;$DS$1,$DS$6,DD1118-1))</f>
        <v>-2</v>
      </c>
      <c r="DE1119" s="18" t="b">
        <v>0</v>
      </c>
      <c r="DF1119" s="2" t="b">
        <f>IF(OR(RecData[[#This Row],[WSpd_Avg '[m/s']]]-RecData[[#This Row],[Wind Speed min]]&gt;=$DF$3,RecData[[#This Row],[Wind Speed max]]-RecData[[#This Row],[WSpd_Avg '[m/s']]]&gt;=$DF$2),TRUE,FALSE)</f>
        <v>0</v>
      </c>
      <c r="DG1119" s="2" t="b">
        <f>RecData[[#This Row],[Temperature '[°C']]]&lt;=-20</f>
        <v>0</v>
      </c>
      <c r="DH1119" s="18" t="b">
        <f>NOT(OR(MOD(RecData[[#This Row],[TIMESTAMP]],1)&gt;0.91632,MOD(RecData[[#This Row],[TIMESTAMP]],1)&lt;0.208681))</f>
        <v>0</v>
      </c>
      <c r="DI1119" s="18" t="b">
        <f>RecData[[#This Row],[Overall (dBA)]]-RecData[[#This Row],[L90]]&gt;=$DS$4</f>
        <v>0</v>
      </c>
      <c r="DJ1119" s="18" t="b">
        <f>RecData[[#This Row],[Overall (dBA)]]&gt;$DS$2</f>
        <v>0</v>
      </c>
      <c r="DK1119" s="18" t="b">
        <f>RecData[[#This Row],[Overall (dBA)]]&lt;$DS$3</f>
        <v>0</v>
      </c>
      <c r="DL11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19" s="2">
        <f>IF(AND(RecData[[#This Row],[Turbines ON/OFF]] = "OFF", NOT(OR(RecData[[#This Row],[Junk?]]="YES",RecData[[#This Row],[Gust?]],RecData[[#This Row],[Rain?]:[Min SPL Threshold?]]))),1,0)</f>
        <v>0</v>
      </c>
      <c r="DN1119" s="16">
        <f>RecData[[#This Row],[dBA Sum]]</f>
        <v>38.887078230851898</v>
      </c>
      <c r="DO1119" s="16">
        <f>RecData[[#This Row],[LAF90.0]]</f>
        <v>37.6</v>
      </c>
      <c r="DP1119" s="55">
        <f>IF(AND(RecData[[#This Row],[Useable TON Data?]],RecData[[#This Row],[Turbines ON/OFF]]="ON"),RecData[[#This Row],[dBA Sum]],"")</f>
        <v>38.887078230851898</v>
      </c>
      <c r="DQ1119" s="55" t="str">
        <f>IF(AND(RecData[[#This Row],[Useable Background Data?]],RecData[[#This Row],[Turbines ON/OFF]]="OFF"),RecData[[#This Row],[dBA Sum]],"")</f>
        <v/>
      </c>
      <c r="DR1119" s="3">
        <f>IF(OR(RecData[[#This Row],[Useable TON Data?]],RecData[[#This Row],[Useable Background Data?]]),ROUND(RecData[[#This Row],[WSpd_Avg '[m/s']]],0),"")</f>
        <v>1</v>
      </c>
      <c r="DS1119" s="85">
        <f>(0.00002)^2*(10^(RecData[[#This Row],[Overall (dBA)]]/10))</f>
        <v>3.0957637775914965E-6</v>
      </c>
    </row>
    <row r="1120" spans="1:123" ht="15" x14ac:dyDescent="0.25">
      <c r="A1120" s="3" t="s">
        <v>249</v>
      </c>
      <c r="B1120" s="12">
        <v>43275.98819444445</v>
      </c>
      <c r="C1120" s="3"/>
      <c r="D1120" s="3">
        <v>39.299999999999997</v>
      </c>
      <c r="E1120" s="3"/>
      <c r="F1120" s="3"/>
      <c r="G1120" s="3"/>
      <c r="H1120" s="3"/>
      <c r="I1120" s="3"/>
      <c r="J1120" s="3"/>
      <c r="K1120" s="3">
        <v>37.6</v>
      </c>
      <c r="L1120" s="3"/>
      <c r="M1120" s="3"/>
      <c r="N1120" s="3">
        <v>168.9</v>
      </c>
      <c r="O1120" s="3"/>
      <c r="P1120" s="3"/>
      <c r="Q1120" s="3">
        <v>0.96</v>
      </c>
      <c r="R1120" s="3">
        <v>0.1</v>
      </c>
      <c r="S1120" s="3">
        <v>1.4</v>
      </c>
      <c r="T1120" s="3">
        <v>13.2</v>
      </c>
      <c r="U1120" s="3">
        <v>47.8</v>
      </c>
      <c r="V1120" s="3">
        <v>977</v>
      </c>
      <c r="W1120" s="3">
        <v>0</v>
      </c>
      <c r="X1120" s="3">
        <v>45.6</v>
      </c>
      <c r="Y1120" s="3">
        <v>45.2</v>
      </c>
      <c r="Z1120" s="3">
        <v>44.4</v>
      </c>
      <c r="AA1120" s="3">
        <v>39.6</v>
      </c>
      <c r="AB1120" s="3">
        <v>34.700000000000003</v>
      </c>
      <c r="AC1120" s="3">
        <v>34.5</v>
      </c>
      <c r="AD1120" s="3">
        <v>39.5</v>
      </c>
      <c r="AE1120" s="3">
        <v>41.3</v>
      </c>
      <c r="AF1120" s="3">
        <v>44.6</v>
      </c>
      <c r="AG1120" s="3">
        <v>38.200000000000003</v>
      </c>
      <c r="AH1120" s="3">
        <v>38.6</v>
      </c>
      <c r="AI1120" s="3">
        <v>37.9</v>
      </c>
      <c r="AJ1120" s="3">
        <v>37.1</v>
      </c>
      <c r="AK1120" s="3">
        <v>35.1</v>
      </c>
      <c r="AL1120" s="3">
        <v>32.5</v>
      </c>
      <c r="AM1120" s="3">
        <v>31.5</v>
      </c>
      <c r="AN1120" s="3">
        <v>29.2</v>
      </c>
      <c r="AO1120" s="3">
        <v>25.7</v>
      </c>
      <c r="AP1120" s="3">
        <v>23.7</v>
      </c>
      <c r="AQ1120" s="3">
        <v>21.8</v>
      </c>
      <c r="AR1120" s="3">
        <v>19.600000000000001</v>
      </c>
      <c r="AS1120" s="3">
        <v>17.100000000000001</v>
      </c>
      <c r="AT1120" s="3">
        <v>18.100000000000001</v>
      </c>
      <c r="AU1120" s="3">
        <v>11.5</v>
      </c>
      <c r="AV1120" s="3">
        <v>9.9</v>
      </c>
      <c r="AW1120" s="3">
        <v>9.5</v>
      </c>
      <c r="AX1120" s="3">
        <v>9</v>
      </c>
      <c r="AY1120" s="3">
        <v>9.1</v>
      </c>
      <c r="AZ1120" s="3">
        <v>0</v>
      </c>
      <c r="BA1120" s="3">
        <v>0</v>
      </c>
      <c r="BB1120" s="3">
        <v>0</v>
      </c>
      <c r="BC1120" s="3">
        <v>39.267875274882712</v>
      </c>
      <c r="BD1120" s="3">
        <v>45.632124725117293</v>
      </c>
      <c r="BE1120" s="3">
        <v>45.232124725117288</v>
      </c>
      <c r="BF1120" s="3">
        <v>43.192124725117282</v>
      </c>
      <c r="BG1120" s="3">
        <v>38.718791391783952</v>
      </c>
      <c r="BH1120" s="3">
        <v>33.958791391783947</v>
      </c>
      <c r="BI1120" s="3">
        <v>34.172124725117285</v>
      </c>
      <c r="BJ1120" s="3">
        <v>39.965458058450608</v>
      </c>
      <c r="BK1120" s="3">
        <v>41.638791391783954</v>
      </c>
      <c r="BL1120" s="3">
        <v>44.512124725117289</v>
      </c>
      <c r="BM1120" s="3">
        <v>38.245458058450623</v>
      </c>
      <c r="BN1120" s="3">
        <v>38.928791391783946</v>
      </c>
      <c r="BO1120" s="3">
        <v>37.595458058450618</v>
      </c>
      <c r="BP1120" s="3">
        <v>36.512124725117289</v>
      </c>
      <c r="BQ1120" s="3">
        <v>34.928791391783946</v>
      </c>
      <c r="BR1120" s="3">
        <v>32.65545805845062</v>
      </c>
      <c r="BS1120" s="3">
        <v>31.458791391783947</v>
      </c>
      <c r="BT1120" s="3">
        <v>29.355458058450623</v>
      </c>
      <c r="BU1120" s="3">
        <v>25.822124725117291</v>
      </c>
      <c r="BV1120" s="3">
        <v>23.538791391783953</v>
      </c>
      <c r="BW1120" s="3">
        <v>22.172124725117285</v>
      </c>
      <c r="BX1120" s="3">
        <v>19.892124725117291</v>
      </c>
      <c r="BY1120" s="3">
        <v>17.212124725117285</v>
      </c>
      <c r="BZ1120" s="3">
        <v>18.342124725117287</v>
      </c>
      <c r="CA1120" s="3">
        <v>11.84212472511728</v>
      </c>
      <c r="CB1120" s="3">
        <v>9.6787913917839461</v>
      </c>
      <c r="CC1120" s="3">
        <v>9.4921247251172858</v>
      </c>
      <c r="CD1120" s="3">
        <v>8.2987913917839577</v>
      </c>
      <c r="CE1120" s="3">
        <v>8.5921247251172872</v>
      </c>
      <c r="CF1120" s="3">
        <v>-0.89454194154938449</v>
      </c>
      <c r="CG1120" s="3">
        <v>-1.4278752748827159</v>
      </c>
      <c r="CH1120" s="3">
        <v>-2.5045419415493839</v>
      </c>
      <c r="CI1120" s="13">
        <f>[1]!dbasum(RecData[[#This Row],[20]:[2000]],RecData[[#Headers],[20]:[2000]])</f>
        <v>39.103443543981356</v>
      </c>
      <c r="CJ1120" s="14">
        <v>10704</v>
      </c>
      <c r="CK1120" s="15" t="s">
        <v>249</v>
      </c>
      <c r="CL1120" s="15">
        <f>RecData[[#This Row],[Start Time]]</f>
        <v>43275.98819444445</v>
      </c>
      <c r="CM1120" s="16">
        <f>RecData[[#This Row],[Wind Speed avg]]</f>
        <v>0.96</v>
      </c>
      <c r="CN1120" s="16">
        <f>RecData[[#This Row],[Wind Dir. avg]]</f>
        <v>168.9</v>
      </c>
      <c r="CO1120" s="16">
        <f>RecData[[#This Row],[Amb. Humidity]]</f>
        <v>47.8</v>
      </c>
      <c r="CP1120" s="16">
        <f>RecData[[#This Row],[Amb. Temperature]]</f>
        <v>13.2</v>
      </c>
      <c r="CQ1120" s="17">
        <f>RecData[[#This Row],[Amb. Rain Gauge]]</f>
        <v>0</v>
      </c>
      <c r="CR1120" s="4" t="s">
        <v>1</v>
      </c>
      <c r="CS1120" s="4" t="s">
        <v>49</v>
      </c>
      <c r="CT1120" s="70">
        <v>1615.3642578125</v>
      </c>
      <c r="CU1120" s="70">
        <v>29.484571456909102</v>
      </c>
      <c r="CV1120" s="70">
        <v>10.295741081237701</v>
      </c>
      <c r="CW1120" s="70">
        <v>15.2656555175781</v>
      </c>
      <c r="CX1120" s="4"/>
      <c r="CY1120" s="69"/>
      <c r="CZ1120" s="2" t="b">
        <f>IF($DP$1="YES",IF(RecData[[#This Row],[Power (kW)]]&gt;=$CR$3, TRUE,FALSE),TRUE)</f>
        <v>1</v>
      </c>
      <c r="DA1120" s="16">
        <f>MIN(MOD(180-ABS(ABS($DA$1-RecData[Yaw Angle (°)])-180),360),MOD(180-ABS(ABS($DB$1-RecData[Yaw Angle (°)])-180),360))</f>
        <v>21.954644679221559</v>
      </c>
      <c r="DB1120" s="2" t="str">
        <f>IF($DP$2="None","None",IF(RecData[[#This Row],[Relative Wind Direction]]&lt;=45,"DW",IF(RecData[[#This Row],[Relative Wind Direction]]&lt;=135,"CW","UW")))</f>
        <v>DW</v>
      </c>
      <c r="DC1120" s="61">
        <f>IF($CL1120-$CL1118&gt;1/24,#REF!,IF(SUM($CQ1118:$CQ1120)&gt;$DS$1,$DS$5,DC1121-1))</f>
        <v>-8</v>
      </c>
      <c r="DD1120" s="61">
        <f>IF($CL1121-$CL1120&gt;1/24,#REF!,IF(SUM($CQ1118:$CQ1120)&gt;$DS$1,$DS$6,DD1119-1))</f>
        <v>-3</v>
      </c>
      <c r="DE1120" s="18" t="b">
        <v>0</v>
      </c>
      <c r="DF1120" s="2" t="b">
        <f>IF(OR(RecData[[#This Row],[WSpd_Avg '[m/s']]]-RecData[[#This Row],[Wind Speed min]]&gt;=$DF$3,RecData[[#This Row],[Wind Speed max]]-RecData[[#This Row],[WSpd_Avg '[m/s']]]&gt;=$DF$2),TRUE,FALSE)</f>
        <v>0</v>
      </c>
      <c r="DG1120" s="2" t="b">
        <f>RecData[[#This Row],[Temperature '[°C']]]&lt;=-20</f>
        <v>0</v>
      </c>
      <c r="DH1120" s="18" t="b">
        <f>NOT(OR(MOD(RecData[[#This Row],[TIMESTAMP]],1)&gt;0.91632,MOD(RecData[[#This Row],[TIMESTAMP]],1)&lt;0.208681))</f>
        <v>0</v>
      </c>
      <c r="DI1120" s="18" t="b">
        <f>RecData[[#This Row],[Overall (dBA)]]-RecData[[#This Row],[L90]]&gt;=$DS$4</f>
        <v>0</v>
      </c>
      <c r="DJ1120" s="18" t="b">
        <f>RecData[[#This Row],[Overall (dBA)]]&gt;$DS$2</f>
        <v>0</v>
      </c>
      <c r="DK1120" s="18" t="b">
        <f>RecData[[#This Row],[Overall (dBA)]]&lt;$DS$3</f>
        <v>0</v>
      </c>
      <c r="DL11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0" s="2">
        <f>IF(AND(RecData[[#This Row],[Turbines ON/OFF]] = "OFF", NOT(OR(RecData[[#This Row],[Junk?]]="YES",RecData[[#This Row],[Gust?]],RecData[[#This Row],[Rain?]:[Min SPL Threshold?]]))),1,0)</f>
        <v>0</v>
      </c>
      <c r="DN1120" s="16">
        <f>RecData[[#This Row],[dBA Sum]]</f>
        <v>39.103443543981356</v>
      </c>
      <c r="DO1120" s="16">
        <f>RecData[[#This Row],[LAF90.0]]</f>
        <v>37.6</v>
      </c>
      <c r="DP1120" s="55">
        <f>IF(AND(RecData[[#This Row],[Useable TON Data?]],RecData[[#This Row],[Turbines ON/OFF]]="ON"),RecData[[#This Row],[dBA Sum]],"")</f>
        <v>39.103443543981356</v>
      </c>
      <c r="DQ1120" s="55" t="str">
        <f>IF(AND(RecData[[#This Row],[Useable Background Data?]],RecData[[#This Row],[Turbines ON/OFF]]="OFF"),RecData[[#This Row],[dBA Sum]],"")</f>
        <v/>
      </c>
      <c r="DR1120" s="3">
        <f>IF(OR(RecData[[#This Row],[Useable TON Data?]],RecData[[#This Row],[Useable Background Data?]]),ROUND(RecData[[#This Row],[WSpd_Avg '[m/s']]],0),"")</f>
        <v>1</v>
      </c>
      <c r="DS1120" s="85">
        <f>(0.00002)^2*(10^(RecData[[#This Row],[Overall (dBA)]]/10))</f>
        <v>3.2539010774873636E-6</v>
      </c>
    </row>
    <row r="1121" spans="1:123" ht="15" x14ac:dyDescent="0.25">
      <c r="A1121" s="3" t="s">
        <v>249</v>
      </c>
      <c r="B1121" s="12">
        <v>43275.988888888889</v>
      </c>
      <c r="C1121" s="3"/>
      <c r="D1121" s="3">
        <v>38.299999999999997</v>
      </c>
      <c r="E1121" s="3"/>
      <c r="F1121" s="3"/>
      <c r="G1121" s="3"/>
      <c r="H1121" s="3"/>
      <c r="I1121" s="3"/>
      <c r="J1121" s="3"/>
      <c r="K1121" s="3">
        <v>37.1</v>
      </c>
      <c r="L1121" s="3"/>
      <c r="M1121" s="3"/>
      <c r="N1121" s="3">
        <v>183.5</v>
      </c>
      <c r="O1121" s="3"/>
      <c r="P1121" s="3"/>
      <c r="Q1121" s="3">
        <v>0.8</v>
      </c>
      <c r="R1121" s="3">
        <v>0.1</v>
      </c>
      <c r="S1121" s="3">
        <v>1.8</v>
      </c>
      <c r="T1121" s="3">
        <v>13.2</v>
      </c>
      <c r="U1121" s="3">
        <v>48</v>
      </c>
      <c r="V1121" s="3">
        <v>977</v>
      </c>
      <c r="W1121" s="3">
        <v>0</v>
      </c>
      <c r="X1121" s="3">
        <v>45.5</v>
      </c>
      <c r="Y1121" s="3">
        <v>44.5</v>
      </c>
      <c r="Z1121" s="3">
        <v>43.7</v>
      </c>
      <c r="AA1121" s="3">
        <v>39.200000000000003</v>
      </c>
      <c r="AB1121" s="3">
        <v>34.6</v>
      </c>
      <c r="AC1121" s="3">
        <v>33.299999999999997</v>
      </c>
      <c r="AD1121" s="3">
        <v>37.700000000000003</v>
      </c>
      <c r="AE1121" s="3">
        <v>39.200000000000003</v>
      </c>
      <c r="AF1121" s="3">
        <v>43.6</v>
      </c>
      <c r="AG1121" s="3">
        <v>37.6</v>
      </c>
      <c r="AH1121" s="3">
        <v>37</v>
      </c>
      <c r="AI1121" s="3">
        <v>37</v>
      </c>
      <c r="AJ1121" s="3">
        <v>35.799999999999997</v>
      </c>
      <c r="AK1121" s="3">
        <v>34</v>
      </c>
      <c r="AL1121" s="3">
        <v>31.7</v>
      </c>
      <c r="AM1121" s="3">
        <v>30.9</v>
      </c>
      <c r="AN1121" s="3">
        <v>28.6</v>
      </c>
      <c r="AO1121" s="3">
        <v>25.1</v>
      </c>
      <c r="AP1121" s="3">
        <v>22.9</v>
      </c>
      <c r="AQ1121" s="3">
        <v>20.2</v>
      </c>
      <c r="AR1121" s="3">
        <v>16.600000000000001</v>
      </c>
      <c r="AS1121" s="3">
        <v>14.2</v>
      </c>
      <c r="AT1121" s="3">
        <v>20.399999999999999</v>
      </c>
      <c r="AU1121" s="3">
        <v>9.1</v>
      </c>
      <c r="AV1121" s="3">
        <v>8.9</v>
      </c>
      <c r="AW1121" s="3">
        <v>9.1</v>
      </c>
      <c r="AX1121" s="3">
        <v>9</v>
      </c>
      <c r="AY1121" s="3">
        <v>9.1999999999999993</v>
      </c>
      <c r="AZ1121" s="3">
        <v>0</v>
      </c>
      <c r="BA1121" s="3">
        <v>0</v>
      </c>
      <c r="BB1121" s="3">
        <v>0</v>
      </c>
      <c r="BC1121" s="3">
        <v>38.3065337424256</v>
      </c>
      <c r="BD1121" s="3">
        <v>45.493466257574397</v>
      </c>
      <c r="BE1121" s="3">
        <v>44.493466257574397</v>
      </c>
      <c r="BF1121" s="3">
        <v>42.453466257574391</v>
      </c>
      <c r="BG1121" s="3">
        <v>38.280132924241073</v>
      </c>
      <c r="BH1121" s="3">
        <v>33.820132924241065</v>
      </c>
      <c r="BI1121" s="3">
        <v>32.933466257574395</v>
      </c>
      <c r="BJ1121" s="3">
        <v>38.126799590907737</v>
      </c>
      <c r="BK1121" s="3">
        <v>39.500132924241072</v>
      </c>
      <c r="BL1121" s="3">
        <v>43.473466257574401</v>
      </c>
      <c r="BM1121" s="3">
        <v>37.606799590907727</v>
      </c>
      <c r="BN1121" s="3">
        <v>37.290132924241064</v>
      </c>
      <c r="BO1121" s="3">
        <v>36.656799590907738</v>
      </c>
      <c r="BP1121" s="3">
        <v>35.17346625757439</v>
      </c>
      <c r="BQ1121" s="3">
        <v>33.790132924241064</v>
      </c>
      <c r="BR1121" s="3">
        <v>31.816799590907735</v>
      </c>
      <c r="BS1121" s="3">
        <v>30.820132924241065</v>
      </c>
      <c r="BT1121" s="3">
        <v>28.71679959090774</v>
      </c>
      <c r="BU1121" s="3">
        <v>25.183466257574402</v>
      </c>
      <c r="BV1121" s="3">
        <v>22.700132924241061</v>
      </c>
      <c r="BW1121" s="3">
        <v>20.533466257574403</v>
      </c>
      <c r="BX1121" s="3">
        <v>16.853466257574404</v>
      </c>
      <c r="BY1121" s="3">
        <v>14.273466257574398</v>
      </c>
      <c r="BZ1121" s="3">
        <v>20.603466257574397</v>
      </c>
      <c r="CA1121" s="3">
        <v>9.4034662575743937</v>
      </c>
      <c r="CB1121" s="3">
        <v>8.6401329242410583</v>
      </c>
      <c r="CC1121" s="3">
        <v>9.0534662575743994</v>
      </c>
      <c r="CD1121" s="3">
        <v>8.2601329242410699</v>
      </c>
      <c r="CE1121" s="3">
        <v>8.6534662575743937</v>
      </c>
      <c r="CF1121" s="3">
        <v>-0.93320040909227231</v>
      </c>
      <c r="CG1121" s="3">
        <v>-1.4665337424256037</v>
      </c>
      <c r="CH1121" s="3">
        <v>-2.5432004090922717</v>
      </c>
      <c r="CI1121" s="13">
        <f>[1]!dbasum(RecData[[#This Row],[20]:[2000]],RecData[[#Headers],[20]:[2000]])</f>
        <v>38.065414673349729</v>
      </c>
      <c r="CJ1121" s="14">
        <v>10705</v>
      </c>
      <c r="CK1121" s="15" t="s">
        <v>249</v>
      </c>
      <c r="CL1121" s="15">
        <f>RecData[[#This Row],[Start Time]]</f>
        <v>43275.988888888889</v>
      </c>
      <c r="CM1121" s="16">
        <f>RecData[[#This Row],[Wind Speed avg]]</f>
        <v>0.8</v>
      </c>
      <c r="CN1121" s="16">
        <f>RecData[[#This Row],[Wind Dir. avg]]</f>
        <v>183.5</v>
      </c>
      <c r="CO1121" s="16">
        <f>RecData[[#This Row],[Amb. Humidity]]</f>
        <v>48</v>
      </c>
      <c r="CP1121" s="16">
        <f>RecData[[#This Row],[Amb. Temperature]]</f>
        <v>13.2</v>
      </c>
      <c r="CQ1121" s="17">
        <f>RecData[[#This Row],[Amb. Rain Gauge]]</f>
        <v>0</v>
      </c>
      <c r="CR1121" s="4" t="s">
        <v>1</v>
      </c>
      <c r="CS1121" s="4" t="s">
        <v>49</v>
      </c>
      <c r="CT1121" s="70">
        <v>1615.3642578125</v>
      </c>
      <c r="CU1121" s="70">
        <v>29.484571456909102</v>
      </c>
      <c r="CV1121" s="70">
        <v>10.295741081237701</v>
      </c>
      <c r="CW1121" s="70">
        <v>15.2656555175781</v>
      </c>
      <c r="CX1121" s="4"/>
      <c r="CY1121" s="69"/>
      <c r="CZ1121" s="2" t="b">
        <f>IF($DP$1="YES",IF(RecData[[#This Row],[Power (kW)]]&gt;=$CR$3, TRUE,FALSE),TRUE)</f>
        <v>1</v>
      </c>
      <c r="DA1121" s="16">
        <f>MIN(MOD(180-ABS(ABS($DA$1-RecData[Yaw Angle (°)])-180),360),MOD(180-ABS(ABS($DB$1-RecData[Yaw Angle (°)])-180),360))</f>
        <v>21.954644679221559</v>
      </c>
      <c r="DB1121" s="2" t="str">
        <f>IF($DP$2="None","None",IF(RecData[[#This Row],[Relative Wind Direction]]&lt;=45,"DW",IF(RecData[[#This Row],[Relative Wind Direction]]&lt;=135,"CW","UW")))</f>
        <v>DW</v>
      </c>
      <c r="DC1121" s="61">
        <f>IF($CL1121-$CL1118&gt;1/24,#REF!,IF(SUM($CQ1118:$CQ1121)&gt;$DS$1,$DS$5,DC1122-1))</f>
        <v>-7</v>
      </c>
      <c r="DD1121" s="61">
        <f>IF($CL1122-$CL1121&gt;1/24,#REF!,IF(SUM($CQ1118:$CQ1121)&gt;$DS$1,$DS$6,DD1120-1))</f>
        <v>-4</v>
      </c>
      <c r="DE1121" s="18" t="b">
        <v>0</v>
      </c>
      <c r="DF1121" s="2" t="b">
        <f>IF(OR(RecData[[#This Row],[WSpd_Avg '[m/s']]]-RecData[[#This Row],[Wind Speed min]]&gt;=$DF$3,RecData[[#This Row],[Wind Speed max]]-RecData[[#This Row],[WSpd_Avg '[m/s']]]&gt;=$DF$2),TRUE,FALSE)</f>
        <v>0</v>
      </c>
      <c r="DG1121" s="2" t="b">
        <f>RecData[[#This Row],[Temperature '[°C']]]&lt;=-20</f>
        <v>0</v>
      </c>
      <c r="DH1121" s="18" t="b">
        <f>NOT(OR(MOD(RecData[[#This Row],[TIMESTAMP]],1)&gt;0.91632,MOD(RecData[[#This Row],[TIMESTAMP]],1)&lt;0.208681))</f>
        <v>0</v>
      </c>
      <c r="DI1121" s="18" t="b">
        <f>RecData[[#This Row],[Overall (dBA)]]-RecData[[#This Row],[L90]]&gt;=$DS$4</f>
        <v>0</v>
      </c>
      <c r="DJ1121" s="18" t="b">
        <f>RecData[[#This Row],[Overall (dBA)]]&gt;$DS$2</f>
        <v>0</v>
      </c>
      <c r="DK1121" s="18" t="b">
        <f>RecData[[#This Row],[Overall (dBA)]]&lt;$DS$3</f>
        <v>0</v>
      </c>
      <c r="DL11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1" s="2">
        <f>IF(AND(RecData[[#This Row],[Turbines ON/OFF]] = "OFF", NOT(OR(RecData[[#This Row],[Junk?]]="YES",RecData[[#This Row],[Gust?]],RecData[[#This Row],[Rain?]:[Min SPL Threshold?]]))),1,0)</f>
        <v>0</v>
      </c>
      <c r="DN1121" s="16">
        <f>RecData[[#This Row],[dBA Sum]]</f>
        <v>38.065414673349729</v>
      </c>
      <c r="DO1121" s="16">
        <f>RecData[[#This Row],[LAF90.0]]</f>
        <v>37.1</v>
      </c>
      <c r="DP1121" s="55">
        <f>IF(AND(RecData[[#This Row],[Useable TON Data?]],RecData[[#This Row],[Turbines ON/OFF]]="ON"),RecData[[#This Row],[dBA Sum]],"")</f>
        <v>38.065414673349729</v>
      </c>
      <c r="DQ1121" s="55" t="str">
        <f>IF(AND(RecData[[#This Row],[Useable Background Data?]],RecData[[#This Row],[Turbines ON/OFF]]="OFF"),RecData[[#This Row],[dBA Sum]],"")</f>
        <v/>
      </c>
      <c r="DR1121" s="3">
        <f>IF(OR(RecData[[#This Row],[Useable TON Data?]],RecData[[#This Row],[Useable Background Data?]]),ROUND(RecData[[#This Row],[WSpd_Avg '[m/s']]],0),"")</f>
        <v>1</v>
      </c>
      <c r="DS1121" s="85">
        <f>(0.00002)^2*(10^(RecData[[#This Row],[Overall (dBA)]]/10))</f>
        <v>2.5621317522350258E-6</v>
      </c>
    </row>
    <row r="1122" spans="1:123" ht="15" x14ac:dyDescent="0.25">
      <c r="A1122" s="3" t="s">
        <v>249</v>
      </c>
      <c r="B1122" s="12">
        <v>43275.989583333336</v>
      </c>
      <c r="C1122" s="3"/>
      <c r="D1122" s="3">
        <v>38.4</v>
      </c>
      <c r="E1122" s="3"/>
      <c r="F1122" s="3"/>
      <c r="G1122" s="3"/>
      <c r="H1122" s="3"/>
      <c r="I1122" s="3"/>
      <c r="J1122" s="3"/>
      <c r="K1122" s="3">
        <v>37</v>
      </c>
      <c r="L1122" s="3"/>
      <c r="M1122" s="3"/>
      <c r="N1122" s="3">
        <v>160.6</v>
      </c>
      <c r="O1122" s="3"/>
      <c r="P1122" s="3"/>
      <c r="Q1122" s="3">
        <v>0.18</v>
      </c>
      <c r="R1122" s="3">
        <v>0</v>
      </c>
      <c r="S1122" s="3">
        <v>0.4</v>
      </c>
      <c r="T1122" s="3">
        <v>13.1</v>
      </c>
      <c r="U1122" s="3">
        <v>47.9</v>
      </c>
      <c r="V1122" s="3">
        <v>977.1</v>
      </c>
      <c r="W1122" s="3">
        <v>0</v>
      </c>
      <c r="X1122" s="3">
        <v>45.4</v>
      </c>
      <c r="Y1122" s="3">
        <v>45.3</v>
      </c>
      <c r="Z1122" s="3">
        <v>44.7</v>
      </c>
      <c r="AA1122" s="3">
        <v>39.5</v>
      </c>
      <c r="AB1122" s="3">
        <v>35.299999999999997</v>
      </c>
      <c r="AC1122" s="3">
        <v>34.200000000000003</v>
      </c>
      <c r="AD1122" s="3">
        <v>38.5</v>
      </c>
      <c r="AE1122" s="3">
        <v>40.5</v>
      </c>
      <c r="AF1122" s="3">
        <v>44.8</v>
      </c>
      <c r="AG1122" s="3">
        <v>37.200000000000003</v>
      </c>
      <c r="AH1122" s="3">
        <v>37.299999999999997</v>
      </c>
      <c r="AI1122" s="3">
        <v>37.1</v>
      </c>
      <c r="AJ1122" s="3">
        <v>35.9</v>
      </c>
      <c r="AK1122" s="3">
        <v>33.9</v>
      </c>
      <c r="AL1122" s="3">
        <v>31.5</v>
      </c>
      <c r="AM1122" s="3">
        <v>30.6</v>
      </c>
      <c r="AN1122" s="3">
        <v>28.5</v>
      </c>
      <c r="AO1122" s="3">
        <v>24.9</v>
      </c>
      <c r="AP1122" s="3">
        <v>22.8</v>
      </c>
      <c r="AQ1122" s="3">
        <v>20.100000000000001</v>
      </c>
      <c r="AR1122" s="3">
        <v>16.8</v>
      </c>
      <c r="AS1122" s="3">
        <v>14.3</v>
      </c>
      <c r="AT1122" s="3">
        <v>19.8</v>
      </c>
      <c r="AU1122" s="3">
        <v>9.6</v>
      </c>
      <c r="AV1122" s="3">
        <v>9.6999999999999993</v>
      </c>
      <c r="AW1122" s="3">
        <v>10.199999999999999</v>
      </c>
      <c r="AX1122" s="3">
        <v>9.1999999999999993</v>
      </c>
      <c r="AY1122" s="3">
        <v>9.3000000000000007</v>
      </c>
      <c r="AZ1122" s="3">
        <v>0</v>
      </c>
      <c r="BA1122" s="3">
        <v>0</v>
      </c>
      <c r="BB1122" s="3">
        <v>0</v>
      </c>
      <c r="BC1122" s="3">
        <v>38.377469060751707</v>
      </c>
      <c r="BD1122" s="3">
        <v>45.42253093924829</v>
      </c>
      <c r="BE1122" s="3">
        <v>45.322530939248281</v>
      </c>
      <c r="BF1122" s="3">
        <v>43.482530939248292</v>
      </c>
      <c r="BG1122" s="3">
        <v>38.609197605914957</v>
      </c>
      <c r="BH1122" s="3">
        <v>34.549197605914955</v>
      </c>
      <c r="BI1122" s="3">
        <v>33.862530939248302</v>
      </c>
      <c r="BJ1122" s="3">
        <v>38.955864272581621</v>
      </c>
      <c r="BK1122" s="3">
        <v>40.829197605914956</v>
      </c>
      <c r="BL1122" s="3">
        <v>44.702530939248291</v>
      </c>
      <c r="BM1122" s="3">
        <v>37.235864272581637</v>
      </c>
      <c r="BN1122" s="3">
        <v>37.619197605914962</v>
      </c>
      <c r="BO1122" s="3">
        <v>36.78586427258162</v>
      </c>
      <c r="BP1122" s="3">
        <v>35.3025309392483</v>
      </c>
      <c r="BQ1122" s="3">
        <v>33.719197605914957</v>
      </c>
      <c r="BR1122" s="3">
        <v>31.645864272581633</v>
      </c>
      <c r="BS1122" s="3">
        <v>30.549197605914955</v>
      </c>
      <c r="BT1122" s="3">
        <v>28.645864272581633</v>
      </c>
      <c r="BU1122" s="3">
        <v>25.012530939248293</v>
      </c>
      <c r="BV1122" s="3">
        <v>22.62919760591496</v>
      </c>
      <c r="BW1122" s="3">
        <v>20.462530939248296</v>
      </c>
      <c r="BX1122" s="3">
        <v>17.082530939248301</v>
      </c>
      <c r="BY1122" s="3">
        <v>14.402530939248294</v>
      </c>
      <c r="BZ1122" s="3">
        <v>20.032530939248296</v>
      </c>
      <c r="CA1122" s="3">
        <v>9.9325309392482808</v>
      </c>
      <c r="CB1122" s="3">
        <v>9.4691976059149567</v>
      </c>
      <c r="CC1122" s="3">
        <v>10.182530939248288</v>
      </c>
      <c r="CD1122" s="3">
        <v>8.4891976059149599</v>
      </c>
      <c r="CE1122" s="3">
        <v>8.7825309392482893</v>
      </c>
      <c r="CF1122" s="3">
        <v>-0.90413572741837811</v>
      </c>
      <c r="CG1122" s="3">
        <v>-1.4374690607517095</v>
      </c>
      <c r="CH1122" s="3">
        <v>-2.5141357274183775</v>
      </c>
      <c r="CI1122" s="13">
        <f>[1]!dbasum(RecData[[#This Row],[20]:[2000]],RecData[[#Headers],[20]:[2000]])</f>
        <v>38.175206996042157</v>
      </c>
      <c r="CJ1122" s="14">
        <v>10706</v>
      </c>
      <c r="CK1122" s="15" t="s">
        <v>249</v>
      </c>
      <c r="CL1122" s="15">
        <f>RecData[[#This Row],[Start Time]]</f>
        <v>43275.989583333336</v>
      </c>
      <c r="CM1122" s="16">
        <f>RecData[[#This Row],[Wind Speed avg]]</f>
        <v>0.18</v>
      </c>
      <c r="CN1122" s="16">
        <f>RecData[[#This Row],[Wind Dir. avg]]</f>
        <v>160.6</v>
      </c>
      <c r="CO1122" s="16">
        <f>RecData[[#This Row],[Amb. Humidity]]</f>
        <v>47.9</v>
      </c>
      <c r="CP1122" s="16">
        <f>RecData[[#This Row],[Amb. Temperature]]</f>
        <v>13.1</v>
      </c>
      <c r="CQ1122" s="17">
        <f>RecData[[#This Row],[Amb. Rain Gauge]]</f>
        <v>0</v>
      </c>
      <c r="CR1122" s="4" t="s">
        <v>1</v>
      </c>
      <c r="CS1122" s="4" t="s">
        <v>49</v>
      </c>
      <c r="CT1122" s="70">
        <v>1615.3642578125</v>
      </c>
      <c r="CU1122" s="70">
        <v>29.484571456909102</v>
      </c>
      <c r="CV1122" s="70">
        <v>10.295741081237701</v>
      </c>
      <c r="CW1122" s="70">
        <v>15.2656555175781</v>
      </c>
      <c r="CX1122" s="4"/>
      <c r="CY1122" s="69"/>
      <c r="CZ1122" s="2" t="b">
        <f>IF($DP$1="YES",IF(RecData[[#This Row],[Power (kW)]]&gt;=$CR$3, TRUE,FALSE),TRUE)</f>
        <v>1</v>
      </c>
      <c r="DA1122" s="16">
        <f>MIN(MOD(180-ABS(ABS($DA$1-RecData[Yaw Angle (°)])-180),360),MOD(180-ABS(ABS($DB$1-RecData[Yaw Angle (°)])-180),360))</f>
        <v>21.954644679221559</v>
      </c>
      <c r="DB1122" s="2" t="str">
        <f>IF($DP$2="None","None",IF(RecData[[#This Row],[Relative Wind Direction]]&lt;=45,"DW",IF(RecData[[#This Row],[Relative Wind Direction]]&lt;=135,"CW","UW")))</f>
        <v>DW</v>
      </c>
      <c r="DC1122" s="61">
        <f>IF($CL1122-$CL1118&gt;1/24,#REF!,IF(SUM($CQ1118:$CQ1122)&gt;$DS$1,$DS$5,DC1123-1))</f>
        <v>-6</v>
      </c>
      <c r="DD1122" s="61">
        <f>IF($CL1123-$CL1122&gt;1/24,#REF!,IF(SUM($CQ1118:$CQ1122)&gt;$DS$1,$DS$6,DD1121-1))</f>
        <v>-5</v>
      </c>
      <c r="DE1122" s="18" t="b">
        <v>0</v>
      </c>
      <c r="DF1122" s="2" t="b">
        <f>IF(OR(RecData[[#This Row],[WSpd_Avg '[m/s']]]-RecData[[#This Row],[Wind Speed min]]&gt;=$DF$3,RecData[[#This Row],[Wind Speed max]]-RecData[[#This Row],[WSpd_Avg '[m/s']]]&gt;=$DF$2),TRUE,FALSE)</f>
        <v>0</v>
      </c>
      <c r="DG1122" s="2" t="b">
        <f>RecData[[#This Row],[Temperature '[°C']]]&lt;=-20</f>
        <v>0</v>
      </c>
      <c r="DH1122" s="18" t="b">
        <f>NOT(OR(MOD(RecData[[#This Row],[TIMESTAMP]],1)&gt;0.91632,MOD(RecData[[#This Row],[TIMESTAMP]],1)&lt;0.208681))</f>
        <v>0</v>
      </c>
      <c r="DI1122" s="18" t="b">
        <f>RecData[[#This Row],[Overall (dBA)]]-RecData[[#This Row],[L90]]&gt;=$DS$4</f>
        <v>0</v>
      </c>
      <c r="DJ1122" s="18" t="b">
        <f>RecData[[#This Row],[Overall (dBA)]]&gt;$DS$2</f>
        <v>0</v>
      </c>
      <c r="DK1122" s="18" t="b">
        <f>RecData[[#This Row],[Overall (dBA)]]&lt;$DS$3</f>
        <v>0</v>
      </c>
      <c r="DL11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2" s="2">
        <f>IF(AND(RecData[[#This Row],[Turbines ON/OFF]] = "OFF", NOT(OR(RecData[[#This Row],[Junk?]]="YES",RecData[[#This Row],[Gust?]],RecData[[#This Row],[Rain?]:[Min SPL Threshold?]]))),1,0)</f>
        <v>0</v>
      </c>
      <c r="DN1122" s="16">
        <f>RecData[[#This Row],[dBA Sum]]</f>
        <v>38.175206996042157</v>
      </c>
      <c r="DO1122" s="16">
        <f>RecData[[#This Row],[LAF90.0]]</f>
        <v>37</v>
      </c>
      <c r="DP1122" s="55">
        <f>IF(AND(RecData[[#This Row],[Useable TON Data?]],RecData[[#This Row],[Turbines ON/OFF]]="ON"),RecData[[#This Row],[dBA Sum]],"")</f>
        <v>38.175206996042157</v>
      </c>
      <c r="DQ1122" s="55" t="str">
        <f>IF(AND(RecData[[#This Row],[Useable Background Data?]],RecData[[#This Row],[Turbines ON/OFF]]="OFF"),RecData[[#This Row],[dBA Sum]],"")</f>
        <v/>
      </c>
      <c r="DR1122" s="3">
        <f>IF(OR(RecData[[#This Row],[Useable TON Data?]],RecData[[#This Row],[Useable Background Data?]]),ROUND(RecData[[#This Row],[WSpd_Avg '[m/s']]],0),"")</f>
        <v>0</v>
      </c>
      <c r="DS1122" s="85">
        <f>(0.00002)^2*(10^(RecData[[#This Row],[Overall (dBA)]]/10))</f>
        <v>2.6277297073505845E-6</v>
      </c>
    </row>
    <row r="1123" spans="1:123" ht="15" x14ac:dyDescent="0.25">
      <c r="A1123" s="3" t="s">
        <v>249</v>
      </c>
      <c r="B1123" s="12">
        <v>43275.990277777782</v>
      </c>
      <c r="C1123" s="3"/>
      <c r="D1123" s="3">
        <v>39.1</v>
      </c>
      <c r="E1123" s="3"/>
      <c r="F1123" s="3"/>
      <c r="G1123" s="3"/>
      <c r="H1123" s="3"/>
      <c r="I1123" s="3"/>
      <c r="J1123" s="3"/>
      <c r="K1123" s="3">
        <v>37.4</v>
      </c>
      <c r="L1123" s="3"/>
      <c r="M1123" s="3"/>
      <c r="N1123" s="3">
        <v>175.2</v>
      </c>
      <c r="O1123" s="3"/>
      <c r="P1123" s="3"/>
      <c r="Q1123" s="3">
        <v>0.17</v>
      </c>
      <c r="R1123" s="3">
        <v>0.1</v>
      </c>
      <c r="S1123" s="3">
        <v>0.4</v>
      </c>
      <c r="T1123" s="3">
        <v>13.1</v>
      </c>
      <c r="U1123" s="3">
        <v>48.2</v>
      </c>
      <c r="V1123" s="3">
        <v>977.1</v>
      </c>
      <c r="W1123" s="3">
        <v>0</v>
      </c>
      <c r="X1123" s="3">
        <v>45.3</v>
      </c>
      <c r="Y1123" s="3">
        <v>44</v>
      </c>
      <c r="Z1123" s="3">
        <v>43.8</v>
      </c>
      <c r="AA1123" s="3">
        <v>39.299999999999997</v>
      </c>
      <c r="AB1123" s="3">
        <v>34.6</v>
      </c>
      <c r="AC1123" s="3">
        <v>34.700000000000003</v>
      </c>
      <c r="AD1123" s="3">
        <v>39</v>
      </c>
      <c r="AE1123" s="3">
        <v>41</v>
      </c>
      <c r="AF1123" s="3">
        <v>43.8</v>
      </c>
      <c r="AG1123" s="3">
        <v>37.299999999999997</v>
      </c>
      <c r="AH1123" s="3">
        <v>38.4</v>
      </c>
      <c r="AI1123" s="3">
        <v>37.5</v>
      </c>
      <c r="AJ1123" s="3">
        <v>36.700000000000003</v>
      </c>
      <c r="AK1123" s="3">
        <v>34.9</v>
      </c>
      <c r="AL1123" s="3">
        <v>32.5</v>
      </c>
      <c r="AM1123" s="3">
        <v>31.8</v>
      </c>
      <c r="AN1123" s="3">
        <v>29.6</v>
      </c>
      <c r="AO1123" s="3">
        <v>26.1</v>
      </c>
      <c r="AP1123" s="3">
        <v>24.1</v>
      </c>
      <c r="AQ1123" s="3">
        <v>21.4</v>
      </c>
      <c r="AR1123" s="3">
        <v>18.2</v>
      </c>
      <c r="AS1123" s="3">
        <v>15.3</v>
      </c>
      <c r="AT1123" s="3">
        <v>18.7</v>
      </c>
      <c r="AU1123" s="3">
        <v>9.4</v>
      </c>
      <c r="AV1123" s="3">
        <v>8.8000000000000007</v>
      </c>
      <c r="AW1123" s="3">
        <v>8.9</v>
      </c>
      <c r="AX1123" s="3">
        <v>8.9</v>
      </c>
      <c r="AY1123" s="3">
        <v>9.1</v>
      </c>
      <c r="AZ1123" s="3">
        <v>0</v>
      </c>
      <c r="BA1123" s="3">
        <v>0</v>
      </c>
      <c r="BB1123" s="3">
        <v>0</v>
      </c>
      <c r="BC1123" s="3">
        <v>39.102160181736132</v>
      </c>
      <c r="BD1123" s="3">
        <v>45.297839818263874</v>
      </c>
      <c r="BE1123" s="3">
        <v>43.997839818263863</v>
      </c>
      <c r="BF1123" s="3">
        <v>42.557839818263865</v>
      </c>
      <c r="BG1123" s="3">
        <v>38.384506484930533</v>
      </c>
      <c r="BH1123" s="3">
        <v>33.824506484930545</v>
      </c>
      <c r="BI1123" s="3">
        <v>34.337839818263866</v>
      </c>
      <c r="BJ1123" s="3">
        <v>39.4311731515972</v>
      </c>
      <c r="BK1123" s="3">
        <v>41.304506484930535</v>
      </c>
      <c r="BL1123" s="3">
        <v>43.67783981826387</v>
      </c>
      <c r="BM1123" s="3">
        <v>37.311173151597195</v>
      </c>
      <c r="BN1123" s="3">
        <v>38.694506484930535</v>
      </c>
      <c r="BO1123" s="3">
        <v>37.161173151597204</v>
      </c>
      <c r="BP1123" s="3">
        <v>36.077839818263875</v>
      </c>
      <c r="BQ1123" s="3">
        <v>34.694506484930521</v>
      </c>
      <c r="BR1123" s="3">
        <v>32.621173151597198</v>
      </c>
      <c r="BS1123" s="3">
        <v>31.724506484930536</v>
      </c>
      <c r="BT1123" s="3">
        <v>29.721173151597206</v>
      </c>
      <c r="BU1123" s="3">
        <v>26.187839818263875</v>
      </c>
      <c r="BV1123" s="3">
        <v>23.904506484930543</v>
      </c>
      <c r="BW1123" s="3">
        <v>21.737839818263872</v>
      </c>
      <c r="BX1123" s="3">
        <v>18.457839818263871</v>
      </c>
      <c r="BY1123" s="3">
        <v>15.377839818263872</v>
      </c>
      <c r="BZ1123" s="3">
        <v>18.907839818263874</v>
      </c>
      <c r="CA1123" s="3">
        <v>9.7078398182638637</v>
      </c>
      <c r="CB1123" s="3">
        <v>8.5445064849305368</v>
      </c>
      <c r="CC1123" s="3">
        <v>8.8578398182638693</v>
      </c>
      <c r="CD1123" s="3">
        <v>8.1645064849305413</v>
      </c>
      <c r="CE1123" s="3">
        <v>8.5578398182638651</v>
      </c>
      <c r="CF1123" s="3">
        <v>-0.9288268484027995</v>
      </c>
      <c r="CG1123" s="3">
        <v>-1.4621601817361309</v>
      </c>
      <c r="CH1123" s="3">
        <v>-2.5388268484027989</v>
      </c>
      <c r="CI1123" s="13">
        <f>[1]!dbasum(RecData[[#This Row],[20]:[2000]],RecData[[#Headers],[20]:[2000]])</f>
        <v>38.917267463568365</v>
      </c>
      <c r="CJ1123" s="14">
        <v>10707</v>
      </c>
      <c r="CK1123" s="15" t="s">
        <v>249</v>
      </c>
      <c r="CL1123" s="15">
        <f>RecData[[#This Row],[Start Time]]</f>
        <v>43275.990277777782</v>
      </c>
      <c r="CM1123" s="16">
        <f>RecData[[#This Row],[Wind Speed avg]]</f>
        <v>0.17</v>
      </c>
      <c r="CN1123" s="16">
        <f>RecData[[#This Row],[Wind Dir. avg]]</f>
        <v>175.2</v>
      </c>
      <c r="CO1123" s="16">
        <f>RecData[[#This Row],[Amb. Humidity]]</f>
        <v>48.2</v>
      </c>
      <c r="CP1123" s="16">
        <f>RecData[[#This Row],[Amb. Temperature]]</f>
        <v>13.1</v>
      </c>
      <c r="CQ1123" s="17">
        <f>RecData[[#This Row],[Amb. Rain Gauge]]</f>
        <v>0</v>
      </c>
      <c r="CR1123" s="4" t="s">
        <v>1</v>
      </c>
      <c r="CS1123" s="4" t="s">
        <v>49</v>
      </c>
      <c r="CT1123" s="70">
        <v>1615.3642578125</v>
      </c>
      <c r="CU1123" s="70">
        <v>29.484571456909102</v>
      </c>
      <c r="CV1123" s="70">
        <v>10.295741081237701</v>
      </c>
      <c r="CW1123" s="70">
        <v>15.2656555175781</v>
      </c>
      <c r="CX1123" s="4"/>
      <c r="CY1123" s="69"/>
      <c r="CZ1123" s="2" t="b">
        <f>IF($DP$1="YES",IF(RecData[[#This Row],[Power (kW)]]&gt;=$CR$3, TRUE,FALSE),TRUE)</f>
        <v>1</v>
      </c>
      <c r="DA1123" s="16">
        <f>MIN(MOD(180-ABS(ABS($DA$1-RecData[Yaw Angle (°)])-180),360),MOD(180-ABS(ABS($DB$1-RecData[Yaw Angle (°)])-180),360))</f>
        <v>21.954644679221559</v>
      </c>
      <c r="DB1123" s="2" t="str">
        <f>IF($DP$2="None","None",IF(RecData[[#This Row],[Relative Wind Direction]]&lt;=45,"DW",IF(RecData[[#This Row],[Relative Wind Direction]]&lt;=135,"CW","UW")))</f>
        <v>DW</v>
      </c>
      <c r="DC1123" s="61">
        <f>IF($CL1123-$CL1119&gt;1/24,#REF!,IF(SUM($CQ1119:$CQ1123)&gt;$DS$1,$DS$5,DC1124-1))</f>
        <v>-5</v>
      </c>
      <c r="DD1123" s="61">
        <f>IF($CL1124-$CL1123&gt;1/24,#REF!,IF(SUM($CQ1119:$CQ1123)&gt;$DS$1,$DS$6,DD1122-1))</f>
        <v>-6</v>
      </c>
      <c r="DE1123" s="18" t="b">
        <v>0</v>
      </c>
      <c r="DF1123" s="2" t="b">
        <f>IF(OR(RecData[[#This Row],[WSpd_Avg '[m/s']]]-RecData[[#This Row],[Wind Speed min]]&gt;=$DF$3,RecData[[#This Row],[Wind Speed max]]-RecData[[#This Row],[WSpd_Avg '[m/s']]]&gt;=$DF$2),TRUE,FALSE)</f>
        <v>0</v>
      </c>
      <c r="DG1123" s="2" t="b">
        <f>RecData[[#This Row],[Temperature '[°C']]]&lt;=-20</f>
        <v>0</v>
      </c>
      <c r="DH1123" s="18" t="b">
        <f>NOT(OR(MOD(RecData[[#This Row],[TIMESTAMP]],1)&gt;0.91632,MOD(RecData[[#This Row],[TIMESTAMP]],1)&lt;0.208681))</f>
        <v>0</v>
      </c>
      <c r="DI1123" s="18" t="b">
        <f>RecData[[#This Row],[Overall (dBA)]]-RecData[[#This Row],[L90]]&gt;=$DS$4</f>
        <v>0</v>
      </c>
      <c r="DJ1123" s="18" t="b">
        <f>RecData[[#This Row],[Overall (dBA)]]&gt;$DS$2</f>
        <v>0</v>
      </c>
      <c r="DK1123" s="18" t="b">
        <f>RecData[[#This Row],[Overall (dBA)]]&lt;$DS$3</f>
        <v>0</v>
      </c>
      <c r="DL11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3" s="2">
        <f>IF(AND(RecData[[#This Row],[Turbines ON/OFF]] = "OFF", NOT(OR(RecData[[#This Row],[Junk?]]="YES",RecData[[#This Row],[Gust?]],RecData[[#This Row],[Rain?]:[Min SPL Threshold?]]))),1,0)</f>
        <v>0</v>
      </c>
      <c r="DN1123" s="16">
        <f>RecData[[#This Row],[dBA Sum]]</f>
        <v>38.917267463568365</v>
      </c>
      <c r="DO1123" s="16">
        <f>RecData[[#This Row],[LAF90.0]]</f>
        <v>37.4</v>
      </c>
      <c r="DP1123" s="55">
        <f>IF(AND(RecData[[#This Row],[Useable TON Data?]],RecData[[#This Row],[Turbines ON/OFF]]="ON"),RecData[[#This Row],[dBA Sum]],"")</f>
        <v>38.917267463568365</v>
      </c>
      <c r="DQ1123" s="55" t="str">
        <f>IF(AND(RecData[[#This Row],[Useable Background Data?]],RecData[[#This Row],[Turbines ON/OFF]]="OFF"),RecData[[#This Row],[dBA Sum]],"")</f>
        <v/>
      </c>
      <c r="DR1123" s="3">
        <f>IF(OR(RecData[[#This Row],[Useable TON Data?]],RecData[[#This Row],[Useable Background Data?]]),ROUND(RecData[[#This Row],[WSpd_Avg '[m/s']]],0),"")</f>
        <v>0</v>
      </c>
      <c r="DS1123" s="85">
        <f>(0.00002)^2*(10^(RecData[[#This Row],[Overall (dBA)]]/10))</f>
        <v>3.1173584149044517E-6</v>
      </c>
    </row>
    <row r="1124" spans="1:123" ht="15" x14ac:dyDescent="0.25">
      <c r="A1124" s="3" t="s">
        <v>249</v>
      </c>
      <c r="B1124" s="12">
        <v>43275.990972222222</v>
      </c>
      <c r="C1124" s="3"/>
      <c r="D1124" s="3">
        <v>38.700000000000003</v>
      </c>
      <c r="E1124" s="3"/>
      <c r="F1124" s="3"/>
      <c r="G1124" s="3"/>
      <c r="H1124" s="3"/>
      <c r="I1124" s="3"/>
      <c r="J1124" s="3"/>
      <c r="K1124" s="3">
        <v>37.200000000000003</v>
      </c>
      <c r="L1124" s="3"/>
      <c r="M1124" s="3"/>
      <c r="N1124" s="3">
        <v>211.5</v>
      </c>
      <c r="O1124" s="3"/>
      <c r="P1124" s="3"/>
      <c r="Q1124" s="3">
        <v>0.61</v>
      </c>
      <c r="R1124" s="3">
        <v>0.1</v>
      </c>
      <c r="S1124" s="3">
        <v>1.1000000000000001</v>
      </c>
      <c r="T1124" s="3">
        <v>13.1</v>
      </c>
      <c r="U1124" s="3">
        <v>47.6</v>
      </c>
      <c r="V1124" s="3">
        <v>977.1</v>
      </c>
      <c r="W1124" s="3">
        <v>0</v>
      </c>
      <c r="X1124" s="3">
        <v>45.3</v>
      </c>
      <c r="Y1124" s="3">
        <v>44</v>
      </c>
      <c r="Z1124" s="3">
        <v>43.2</v>
      </c>
      <c r="AA1124" s="3">
        <v>38.700000000000003</v>
      </c>
      <c r="AB1124" s="3">
        <v>34.700000000000003</v>
      </c>
      <c r="AC1124" s="3">
        <v>34.6</v>
      </c>
      <c r="AD1124" s="3">
        <v>37.5</v>
      </c>
      <c r="AE1124" s="3">
        <v>39.4</v>
      </c>
      <c r="AF1124" s="3">
        <v>44.8</v>
      </c>
      <c r="AG1124" s="3">
        <v>37.799999999999997</v>
      </c>
      <c r="AH1124" s="3">
        <v>37.200000000000003</v>
      </c>
      <c r="AI1124" s="3">
        <v>37.1</v>
      </c>
      <c r="AJ1124" s="3">
        <v>36</v>
      </c>
      <c r="AK1124" s="3">
        <v>34.299999999999997</v>
      </c>
      <c r="AL1124" s="3">
        <v>31.9</v>
      </c>
      <c r="AM1124" s="3">
        <v>31.3</v>
      </c>
      <c r="AN1124" s="3">
        <v>29</v>
      </c>
      <c r="AO1124" s="3">
        <v>25.8</v>
      </c>
      <c r="AP1124" s="3">
        <v>23.7</v>
      </c>
      <c r="AQ1124" s="3">
        <v>21.3</v>
      </c>
      <c r="AR1124" s="3">
        <v>18.5</v>
      </c>
      <c r="AS1124" s="3">
        <v>16.2</v>
      </c>
      <c r="AT1124" s="3">
        <v>19.2</v>
      </c>
      <c r="AU1124" s="3">
        <v>10.199999999999999</v>
      </c>
      <c r="AV1124" s="3">
        <v>9.1999999999999993</v>
      </c>
      <c r="AW1124" s="3">
        <v>9.1</v>
      </c>
      <c r="AX1124" s="3">
        <v>8.9</v>
      </c>
      <c r="AY1124" s="3">
        <v>9.1</v>
      </c>
      <c r="AZ1124" s="3">
        <v>0</v>
      </c>
      <c r="BA1124" s="3">
        <v>0</v>
      </c>
      <c r="BB1124" s="3">
        <v>0</v>
      </c>
      <c r="BC1124" s="3">
        <v>38.707649856266009</v>
      </c>
      <c r="BD1124" s="3">
        <v>45.292350143733991</v>
      </c>
      <c r="BE1124" s="3">
        <v>43.992350143733994</v>
      </c>
      <c r="BF1124" s="3">
        <v>41.952350143733987</v>
      </c>
      <c r="BG1124" s="3">
        <v>37.77901681040067</v>
      </c>
      <c r="BH1124" s="3">
        <v>33.919016810400656</v>
      </c>
      <c r="BI1124" s="3">
        <v>34.232350143733989</v>
      </c>
      <c r="BJ1124" s="3">
        <v>37.925683477067317</v>
      </c>
      <c r="BK1124" s="3">
        <v>39.699016810400657</v>
      </c>
      <c r="BL1124" s="3">
        <v>44.672350143733986</v>
      </c>
      <c r="BM1124" s="3">
        <v>37.805683477067326</v>
      </c>
      <c r="BN1124" s="3">
        <v>37.489016810400663</v>
      </c>
      <c r="BO1124" s="3">
        <v>36.755683477067329</v>
      </c>
      <c r="BP1124" s="3">
        <v>35.372350143734003</v>
      </c>
      <c r="BQ1124" s="3">
        <v>34.089016810400643</v>
      </c>
      <c r="BR1124" s="3">
        <v>32.01568347706732</v>
      </c>
      <c r="BS1124" s="3">
        <v>31.219016810400667</v>
      </c>
      <c r="BT1124" s="3">
        <v>29.115683477067329</v>
      </c>
      <c r="BU1124" s="3">
        <v>25.882350143733994</v>
      </c>
      <c r="BV1124" s="3">
        <v>23.499016810400661</v>
      </c>
      <c r="BW1124" s="3">
        <v>21.632350143733994</v>
      </c>
      <c r="BX1124" s="3">
        <v>18.752350143733999</v>
      </c>
      <c r="BY1124" s="3">
        <v>16.272350143733995</v>
      </c>
      <c r="BZ1124" s="3">
        <v>19.402350143733997</v>
      </c>
      <c r="CA1124" s="3">
        <v>10.502350143733985</v>
      </c>
      <c r="CB1124" s="3">
        <v>8.9390168104006591</v>
      </c>
      <c r="CC1124" s="3">
        <v>9.0523501437339959</v>
      </c>
      <c r="CD1124" s="3">
        <v>8.1590168104006651</v>
      </c>
      <c r="CE1124" s="3">
        <v>8.5523501437339959</v>
      </c>
      <c r="CF1124" s="3">
        <v>-0.93431652293267575</v>
      </c>
      <c r="CG1124" s="3">
        <v>-1.4676498562660072</v>
      </c>
      <c r="CH1124" s="3">
        <v>-2.5443165229326752</v>
      </c>
      <c r="CI1124" s="13">
        <f>[1]!dbasum(RecData[[#This Row],[20]:[2000]],RecData[[#Headers],[20]:[2000]])</f>
        <v>38.489332522502153</v>
      </c>
      <c r="CJ1124" s="14">
        <v>10708</v>
      </c>
      <c r="CK1124" s="15" t="s">
        <v>249</v>
      </c>
      <c r="CL1124" s="15">
        <f>RecData[[#This Row],[Start Time]]</f>
        <v>43275.990972222222</v>
      </c>
      <c r="CM1124" s="16">
        <f>RecData[[#This Row],[Wind Speed avg]]</f>
        <v>0.61</v>
      </c>
      <c r="CN1124" s="16">
        <f>RecData[[#This Row],[Wind Dir. avg]]</f>
        <v>211.5</v>
      </c>
      <c r="CO1124" s="16">
        <f>RecData[[#This Row],[Amb. Humidity]]</f>
        <v>47.6</v>
      </c>
      <c r="CP1124" s="16">
        <f>RecData[[#This Row],[Amb. Temperature]]</f>
        <v>13.1</v>
      </c>
      <c r="CQ1124" s="17">
        <f>RecData[[#This Row],[Amb. Rain Gauge]]</f>
        <v>0</v>
      </c>
      <c r="CR1124" s="4" t="s">
        <v>1</v>
      </c>
      <c r="CS1124" s="4" t="s">
        <v>49</v>
      </c>
      <c r="CT1124" s="70">
        <v>1615.3642578125</v>
      </c>
      <c r="CU1124" s="70">
        <v>29.484571456909102</v>
      </c>
      <c r="CV1124" s="70">
        <v>10.295741081237701</v>
      </c>
      <c r="CW1124" s="70">
        <v>15.2656555175781</v>
      </c>
      <c r="CX1124" s="4"/>
      <c r="CY1124" s="69"/>
      <c r="CZ1124" s="2" t="b">
        <f>IF($DP$1="YES",IF(RecData[[#This Row],[Power (kW)]]&gt;=$CR$3, TRUE,FALSE),TRUE)</f>
        <v>1</v>
      </c>
      <c r="DA1124" s="16">
        <f>MIN(MOD(180-ABS(ABS($DA$1-RecData[Yaw Angle (°)])-180),360),MOD(180-ABS(ABS($DB$1-RecData[Yaw Angle (°)])-180),360))</f>
        <v>21.954644679221559</v>
      </c>
      <c r="DB1124" s="2" t="str">
        <f>IF($DP$2="None","None",IF(RecData[[#This Row],[Relative Wind Direction]]&lt;=45,"DW",IF(RecData[[#This Row],[Relative Wind Direction]]&lt;=135,"CW","UW")))</f>
        <v>DW</v>
      </c>
      <c r="DC1124" s="61">
        <f>IF($CL1124-$CL1120&gt;1/24,#REF!,IF(SUM($CQ1120:$CQ1124)&gt;$DS$1,$DS$5,DC1125-1))</f>
        <v>-4</v>
      </c>
      <c r="DD1124" s="61">
        <f>IF($CL1125-$CL1124&gt;1/24,#REF!,IF(SUM($CQ1120:$CQ1124)&gt;$DS$1,$DS$6,DD1123-1))</f>
        <v>-7</v>
      </c>
      <c r="DE1124" s="18" t="b">
        <v>0</v>
      </c>
      <c r="DF1124" s="2" t="b">
        <f>IF(OR(RecData[[#This Row],[WSpd_Avg '[m/s']]]-RecData[[#This Row],[Wind Speed min]]&gt;=$DF$3,RecData[[#This Row],[Wind Speed max]]-RecData[[#This Row],[WSpd_Avg '[m/s']]]&gt;=$DF$2),TRUE,FALSE)</f>
        <v>0</v>
      </c>
      <c r="DG1124" s="2" t="b">
        <f>RecData[[#This Row],[Temperature '[°C']]]&lt;=-20</f>
        <v>0</v>
      </c>
      <c r="DH1124" s="18" t="b">
        <f>NOT(OR(MOD(RecData[[#This Row],[TIMESTAMP]],1)&gt;0.91632,MOD(RecData[[#This Row],[TIMESTAMP]],1)&lt;0.208681))</f>
        <v>0</v>
      </c>
      <c r="DI1124" s="18" t="b">
        <f>RecData[[#This Row],[Overall (dBA)]]-RecData[[#This Row],[L90]]&gt;=$DS$4</f>
        <v>0</v>
      </c>
      <c r="DJ1124" s="18" t="b">
        <f>RecData[[#This Row],[Overall (dBA)]]&gt;$DS$2</f>
        <v>0</v>
      </c>
      <c r="DK1124" s="18" t="b">
        <f>RecData[[#This Row],[Overall (dBA)]]&lt;$DS$3</f>
        <v>0</v>
      </c>
      <c r="DL11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4" s="2">
        <f>IF(AND(RecData[[#This Row],[Turbines ON/OFF]] = "OFF", NOT(OR(RecData[[#This Row],[Junk?]]="YES",RecData[[#This Row],[Gust?]],RecData[[#This Row],[Rain?]:[Min SPL Threshold?]]))),1,0)</f>
        <v>0</v>
      </c>
      <c r="DN1124" s="16">
        <f>RecData[[#This Row],[dBA Sum]]</f>
        <v>38.489332522502153</v>
      </c>
      <c r="DO1124" s="16">
        <f>RecData[[#This Row],[LAF90.0]]</f>
        <v>37.200000000000003</v>
      </c>
      <c r="DP1124" s="55">
        <f>IF(AND(RecData[[#This Row],[Useable TON Data?]],RecData[[#This Row],[Turbines ON/OFF]]="ON"),RecData[[#This Row],[dBA Sum]],"")</f>
        <v>38.489332522502153</v>
      </c>
      <c r="DQ1124" s="55" t="str">
        <f>IF(AND(RecData[[#This Row],[Useable Background Data?]],RecData[[#This Row],[Turbines ON/OFF]]="OFF"),RecData[[#This Row],[dBA Sum]],"")</f>
        <v/>
      </c>
      <c r="DR1124" s="3">
        <f>IF(OR(RecData[[#This Row],[Useable TON Data?]],RecData[[#This Row],[Useable Background Data?]]),ROUND(RecData[[#This Row],[WSpd_Avg '[m/s']]],0),"")</f>
        <v>1</v>
      </c>
      <c r="DS1124" s="85">
        <f>(0.00002)^2*(10^(RecData[[#This Row],[Overall (dBA)]]/10))</f>
        <v>2.824836027932637E-6</v>
      </c>
    </row>
    <row r="1125" spans="1:123" ht="15" x14ac:dyDescent="0.25">
      <c r="A1125" s="3" t="s">
        <v>249</v>
      </c>
      <c r="B1125" s="12">
        <v>43275.991666666669</v>
      </c>
      <c r="C1125" s="3"/>
      <c r="D1125" s="3">
        <v>37.799999999999997</v>
      </c>
      <c r="E1125" s="3"/>
      <c r="F1125" s="3"/>
      <c r="G1125" s="3"/>
      <c r="H1125" s="3"/>
      <c r="I1125" s="3"/>
      <c r="J1125" s="3"/>
      <c r="K1125" s="3">
        <v>36.6</v>
      </c>
      <c r="L1125" s="3"/>
      <c r="M1125" s="3"/>
      <c r="N1125" s="3">
        <v>163.9</v>
      </c>
      <c r="O1125" s="3"/>
      <c r="P1125" s="3"/>
      <c r="Q1125" s="3">
        <v>0.23</v>
      </c>
      <c r="R1125" s="3">
        <v>0</v>
      </c>
      <c r="S1125" s="3">
        <v>0.5</v>
      </c>
      <c r="T1125" s="3">
        <v>13.1</v>
      </c>
      <c r="U1125" s="3">
        <v>48.3</v>
      </c>
      <c r="V1125" s="3">
        <v>977.1</v>
      </c>
      <c r="W1125" s="3">
        <v>0</v>
      </c>
      <c r="X1125" s="3">
        <v>44.6</v>
      </c>
      <c r="Y1125" s="3">
        <v>43.6</v>
      </c>
      <c r="Z1125" s="3">
        <v>43.7</v>
      </c>
      <c r="AA1125" s="3">
        <v>38.5</v>
      </c>
      <c r="AB1125" s="3">
        <v>34.700000000000003</v>
      </c>
      <c r="AC1125" s="3">
        <v>34.4</v>
      </c>
      <c r="AD1125" s="3">
        <v>36.9</v>
      </c>
      <c r="AE1125" s="3">
        <v>39</v>
      </c>
      <c r="AF1125" s="3">
        <v>42.9</v>
      </c>
      <c r="AG1125" s="3">
        <v>37</v>
      </c>
      <c r="AH1125" s="3">
        <v>36.5</v>
      </c>
      <c r="AI1125" s="3">
        <v>36.6</v>
      </c>
      <c r="AJ1125" s="3">
        <v>35.4</v>
      </c>
      <c r="AK1125" s="3">
        <v>33.6</v>
      </c>
      <c r="AL1125" s="3">
        <v>31.2</v>
      </c>
      <c r="AM1125" s="3">
        <v>30.4</v>
      </c>
      <c r="AN1125" s="3">
        <v>28.1</v>
      </c>
      <c r="AO1125" s="3">
        <v>24.6</v>
      </c>
      <c r="AP1125" s="3">
        <v>22.2</v>
      </c>
      <c r="AQ1125" s="3">
        <v>19.8</v>
      </c>
      <c r="AR1125" s="3">
        <v>16.600000000000001</v>
      </c>
      <c r="AS1125" s="3">
        <v>14.5</v>
      </c>
      <c r="AT1125" s="3">
        <v>19.3</v>
      </c>
      <c r="AU1125" s="3">
        <v>9.1999999999999993</v>
      </c>
      <c r="AV1125" s="3">
        <v>8.6999999999999993</v>
      </c>
      <c r="AW1125" s="3">
        <v>8.9</v>
      </c>
      <c r="AX1125" s="3">
        <v>8.9</v>
      </c>
      <c r="AY1125" s="3">
        <v>9.1</v>
      </c>
      <c r="AZ1125" s="3">
        <v>0</v>
      </c>
      <c r="BA1125" s="3">
        <v>0</v>
      </c>
      <c r="BB1125" s="3">
        <v>0</v>
      </c>
      <c r="BC1125" s="3">
        <v>37.821792257281103</v>
      </c>
      <c r="BD1125" s="3">
        <v>44.578207742718902</v>
      </c>
      <c r="BE1125" s="3">
        <v>43.578207742718902</v>
      </c>
      <c r="BF1125" s="3">
        <v>42.438207742718888</v>
      </c>
      <c r="BG1125" s="3">
        <v>37.564874409385553</v>
      </c>
      <c r="BH1125" s="3">
        <v>33.904874409385556</v>
      </c>
      <c r="BI1125" s="3">
        <v>34.0182077427189</v>
      </c>
      <c r="BJ1125" s="3">
        <v>37.311541076052222</v>
      </c>
      <c r="BK1125" s="3">
        <v>39.284874409385552</v>
      </c>
      <c r="BL1125" s="3">
        <v>42.758207742718895</v>
      </c>
      <c r="BM1125" s="3">
        <v>36.991541076052229</v>
      </c>
      <c r="BN1125" s="3">
        <v>36.774874409385561</v>
      </c>
      <c r="BO1125" s="3">
        <v>36.241541076052229</v>
      </c>
      <c r="BP1125" s="3">
        <v>34.758207742718895</v>
      </c>
      <c r="BQ1125" s="3">
        <v>33.374874409385555</v>
      </c>
      <c r="BR1125" s="3">
        <v>31.301541076052231</v>
      </c>
      <c r="BS1125" s="3">
        <v>30.304874409385562</v>
      </c>
      <c r="BT1125" s="3">
        <v>28.201541076052237</v>
      </c>
      <c r="BU1125" s="3">
        <v>24.668207742718899</v>
      </c>
      <c r="BV1125" s="3">
        <v>21.984874409385561</v>
      </c>
      <c r="BW1125" s="3">
        <v>20.118207742718894</v>
      </c>
      <c r="BX1125" s="3">
        <v>16.8382077427189</v>
      </c>
      <c r="BY1125" s="3">
        <v>14.558207742718892</v>
      </c>
      <c r="BZ1125" s="3">
        <v>19.488207742718899</v>
      </c>
      <c r="CA1125" s="3">
        <v>9.4882077427188847</v>
      </c>
      <c r="CB1125" s="3">
        <v>8.4248744093855592</v>
      </c>
      <c r="CC1125" s="3">
        <v>8.8382077427188932</v>
      </c>
      <c r="CD1125" s="3">
        <v>8.1448744093855652</v>
      </c>
      <c r="CE1125" s="3">
        <v>8.538207742718896</v>
      </c>
      <c r="CF1125" s="3">
        <v>-0.94845892394777565</v>
      </c>
      <c r="CG1125" s="3">
        <v>-1.4817922572811071</v>
      </c>
      <c r="CH1125" s="3">
        <v>-2.5584589239477751</v>
      </c>
      <c r="CI1125" s="13">
        <f>[1]!dbasum(RecData[[#This Row],[20]:[2000]],RecData[[#Headers],[20]:[2000]])</f>
        <v>37.569595478755438</v>
      </c>
      <c r="CJ1125" s="14">
        <v>10709</v>
      </c>
      <c r="CK1125" s="15" t="s">
        <v>249</v>
      </c>
      <c r="CL1125" s="15">
        <f>RecData[[#This Row],[Start Time]]</f>
        <v>43275.991666666669</v>
      </c>
      <c r="CM1125" s="16">
        <f>RecData[[#This Row],[Wind Speed avg]]</f>
        <v>0.23</v>
      </c>
      <c r="CN1125" s="16">
        <f>RecData[[#This Row],[Wind Dir. avg]]</f>
        <v>163.9</v>
      </c>
      <c r="CO1125" s="16">
        <f>RecData[[#This Row],[Amb. Humidity]]</f>
        <v>48.3</v>
      </c>
      <c r="CP1125" s="16">
        <f>RecData[[#This Row],[Amb. Temperature]]</f>
        <v>13.1</v>
      </c>
      <c r="CQ1125" s="17">
        <f>RecData[[#This Row],[Amb. Rain Gauge]]</f>
        <v>0</v>
      </c>
      <c r="CR1125" s="4" t="s">
        <v>1</v>
      </c>
      <c r="CS1125" s="4" t="s">
        <v>49</v>
      </c>
      <c r="CT1125" s="70">
        <v>1615.3642578125</v>
      </c>
      <c r="CU1125" s="70">
        <v>29.484571456909102</v>
      </c>
      <c r="CV1125" s="70">
        <v>10.295741081237701</v>
      </c>
      <c r="CW1125" s="70">
        <v>15.2656555175781</v>
      </c>
      <c r="CX1125" s="4"/>
      <c r="CY1125" s="69"/>
      <c r="CZ1125" s="2" t="b">
        <f>IF($DP$1="YES",IF(RecData[[#This Row],[Power (kW)]]&gt;=$CR$3, TRUE,FALSE),TRUE)</f>
        <v>1</v>
      </c>
      <c r="DA1125" s="16">
        <f>MIN(MOD(180-ABS(ABS($DA$1-RecData[Yaw Angle (°)])-180),360),MOD(180-ABS(ABS($DB$1-RecData[Yaw Angle (°)])-180),360))</f>
        <v>21.954644679221559</v>
      </c>
      <c r="DB1125" s="2" t="str">
        <f>IF($DP$2="None","None",IF(RecData[[#This Row],[Relative Wind Direction]]&lt;=45,"DW",IF(RecData[[#This Row],[Relative Wind Direction]]&lt;=135,"CW","UW")))</f>
        <v>DW</v>
      </c>
      <c r="DC1125" s="61">
        <f>IF($CL1125-$CL1121&gt;1/24,#REF!,IF(SUM($CQ1121:$CQ1125)&gt;$DS$1,$DS$5,DC1126-1))</f>
        <v>-3</v>
      </c>
      <c r="DD1125" s="61">
        <f>IF($CL1126-$CL1125&gt;1/24,#REF!,IF(SUM($CQ1121:$CQ1125)&gt;$DS$1,$DS$6,DD1124-1))</f>
        <v>-8</v>
      </c>
      <c r="DE1125" s="18" t="b">
        <v>0</v>
      </c>
      <c r="DF1125" s="2" t="b">
        <f>IF(OR(RecData[[#This Row],[WSpd_Avg '[m/s']]]-RecData[[#This Row],[Wind Speed min]]&gt;=$DF$3,RecData[[#This Row],[Wind Speed max]]-RecData[[#This Row],[WSpd_Avg '[m/s']]]&gt;=$DF$2),TRUE,FALSE)</f>
        <v>0</v>
      </c>
      <c r="DG1125" s="2" t="b">
        <f>RecData[[#This Row],[Temperature '[°C']]]&lt;=-20</f>
        <v>0</v>
      </c>
      <c r="DH1125" s="18" t="b">
        <f>NOT(OR(MOD(RecData[[#This Row],[TIMESTAMP]],1)&gt;0.91632,MOD(RecData[[#This Row],[TIMESTAMP]],1)&lt;0.208681))</f>
        <v>0</v>
      </c>
      <c r="DI1125" s="18" t="b">
        <f>RecData[[#This Row],[Overall (dBA)]]-RecData[[#This Row],[L90]]&gt;=$DS$4</f>
        <v>0</v>
      </c>
      <c r="DJ1125" s="18" t="b">
        <f>RecData[[#This Row],[Overall (dBA)]]&gt;$DS$2</f>
        <v>0</v>
      </c>
      <c r="DK1125" s="18" t="b">
        <f>RecData[[#This Row],[Overall (dBA)]]&lt;$DS$3</f>
        <v>0</v>
      </c>
      <c r="DL11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5" s="2">
        <f>IF(AND(RecData[[#This Row],[Turbines ON/OFF]] = "OFF", NOT(OR(RecData[[#This Row],[Junk?]]="YES",RecData[[#This Row],[Gust?]],RecData[[#This Row],[Rain?]:[Min SPL Threshold?]]))),1,0)</f>
        <v>0</v>
      </c>
      <c r="DN1125" s="16">
        <f>RecData[[#This Row],[dBA Sum]]</f>
        <v>37.569595478755438</v>
      </c>
      <c r="DO1125" s="16">
        <f>RecData[[#This Row],[LAF90.0]]</f>
        <v>36.6</v>
      </c>
      <c r="DP1125" s="55">
        <f>IF(AND(RecData[[#This Row],[Useable TON Data?]],RecData[[#This Row],[Turbines ON/OFF]]="ON"),RecData[[#This Row],[dBA Sum]],"")</f>
        <v>37.569595478755438</v>
      </c>
      <c r="DQ1125" s="55" t="str">
        <f>IF(AND(RecData[[#This Row],[Useable Background Data?]],RecData[[#This Row],[Turbines ON/OFF]]="OFF"),RecData[[#This Row],[dBA Sum]],"")</f>
        <v/>
      </c>
      <c r="DR1125" s="3">
        <f>IF(OR(RecData[[#This Row],[Useable TON Data?]],RecData[[#This Row],[Useable Background Data?]]),ROUND(RecData[[#This Row],[WSpd_Avg '[m/s']]],0),"")</f>
        <v>0</v>
      </c>
      <c r="DS1125" s="85">
        <f>(0.00002)^2*(10^(RecData[[#This Row],[Overall (dBA)]]/10))</f>
        <v>2.285701636330126E-6</v>
      </c>
    </row>
    <row r="1126" spans="1:123" ht="15" x14ac:dyDescent="0.25">
      <c r="A1126" s="3" t="s">
        <v>249</v>
      </c>
      <c r="B1126" s="12">
        <v>43275.992361111115</v>
      </c>
      <c r="C1126" s="3"/>
      <c r="D1126" s="3">
        <v>39.5</v>
      </c>
      <c r="E1126" s="3"/>
      <c r="F1126" s="3"/>
      <c r="G1126" s="3"/>
      <c r="H1126" s="3"/>
      <c r="I1126" s="3"/>
      <c r="J1126" s="3"/>
      <c r="K1126" s="3">
        <v>38.200000000000003</v>
      </c>
      <c r="L1126" s="3"/>
      <c r="M1126" s="3"/>
      <c r="N1126" s="3">
        <v>182.1</v>
      </c>
      <c r="O1126" s="3"/>
      <c r="P1126" s="3"/>
      <c r="Q1126" s="3">
        <v>0.79</v>
      </c>
      <c r="R1126" s="3">
        <v>0.1</v>
      </c>
      <c r="S1126" s="3">
        <v>1.5</v>
      </c>
      <c r="T1126" s="3">
        <v>13</v>
      </c>
      <c r="U1126" s="3">
        <v>48.4</v>
      </c>
      <c r="V1126" s="3">
        <v>977.1</v>
      </c>
      <c r="W1126" s="3">
        <v>0</v>
      </c>
      <c r="X1126" s="3">
        <v>44.6</v>
      </c>
      <c r="Y1126" s="3">
        <v>43.8</v>
      </c>
      <c r="Z1126" s="3">
        <v>43.4</v>
      </c>
      <c r="AA1126" s="3">
        <v>38.5</v>
      </c>
      <c r="AB1126" s="3">
        <v>34.6</v>
      </c>
      <c r="AC1126" s="3">
        <v>34</v>
      </c>
      <c r="AD1126" s="3">
        <v>38.200000000000003</v>
      </c>
      <c r="AE1126" s="3">
        <v>40.4</v>
      </c>
      <c r="AF1126" s="3">
        <v>45.5</v>
      </c>
      <c r="AG1126" s="3">
        <v>39</v>
      </c>
      <c r="AH1126" s="3">
        <v>38</v>
      </c>
      <c r="AI1126" s="3">
        <v>38.1</v>
      </c>
      <c r="AJ1126" s="3">
        <v>36.700000000000003</v>
      </c>
      <c r="AK1126" s="3">
        <v>35.200000000000003</v>
      </c>
      <c r="AL1126" s="3">
        <v>32.5</v>
      </c>
      <c r="AM1126" s="3">
        <v>32.4</v>
      </c>
      <c r="AN1126" s="3">
        <v>29.5</v>
      </c>
      <c r="AO1126" s="3">
        <v>26.1</v>
      </c>
      <c r="AP1126" s="3">
        <v>24.5</v>
      </c>
      <c r="AQ1126" s="3">
        <v>21.3</v>
      </c>
      <c r="AR1126" s="3">
        <v>17.8</v>
      </c>
      <c r="AS1126" s="3">
        <v>15.7</v>
      </c>
      <c r="AT1126" s="3">
        <v>18.2</v>
      </c>
      <c r="AU1126" s="3">
        <v>11.4</v>
      </c>
      <c r="AV1126" s="3">
        <v>10.199999999999999</v>
      </c>
      <c r="AW1126" s="3">
        <v>10.199999999999999</v>
      </c>
      <c r="AX1126" s="3">
        <v>9.3000000000000007</v>
      </c>
      <c r="AY1126" s="3">
        <v>9.3000000000000007</v>
      </c>
      <c r="AZ1126" s="3">
        <v>0</v>
      </c>
      <c r="BA1126" s="3">
        <v>0</v>
      </c>
      <c r="BB1126" s="3">
        <v>0</v>
      </c>
      <c r="BC1126" s="3">
        <v>39.438855239413677</v>
      </c>
      <c r="BD1126" s="3">
        <v>44.661144760586318</v>
      </c>
      <c r="BE1126" s="3">
        <v>43.861144760586321</v>
      </c>
      <c r="BF1126" s="3">
        <v>42.22114476058632</v>
      </c>
      <c r="BG1126" s="3">
        <v>37.647811427252996</v>
      </c>
      <c r="BH1126" s="3">
        <v>33.887811427252991</v>
      </c>
      <c r="BI1126" s="3">
        <v>33.701144760586324</v>
      </c>
      <c r="BJ1126" s="3">
        <v>38.694478093919649</v>
      </c>
      <c r="BK1126" s="3">
        <v>40.767811427252987</v>
      </c>
      <c r="BL1126" s="3">
        <v>45.441144760586319</v>
      </c>
      <c r="BM1126" s="3">
        <v>39.074478093919659</v>
      </c>
      <c r="BN1126" s="3">
        <v>38.35781142725299</v>
      </c>
      <c r="BO1126" s="3">
        <v>37.824478093919659</v>
      </c>
      <c r="BP1126" s="3">
        <v>36.141144760586336</v>
      </c>
      <c r="BQ1126" s="3">
        <v>35.057811427252993</v>
      </c>
      <c r="BR1126" s="3">
        <v>32.684478093919658</v>
      </c>
      <c r="BS1126" s="3">
        <v>32.387811427252991</v>
      </c>
      <c r="BT1126" s="3">
        <v>29.684478093919658</v>
      </c>
      <c r="BU1126" s="3">
        <v>26.251144760586321</v>
      </c>
      <c r="BV1126" s="3">
        <v>24.367811427252995</v>
      </c>
      <c r="BW1126" s="3">
        <v>21.701144760586324</v>
      </c>
      <c r="BX1126" s="3">
        <v>18.121144760586326</v>
      </c>
      <c r="BY1126" s="3">
        <v>15.841144760586324</v>
      </c>
      <c r="BZ1126" s="3">
        <v>18.471144760586327</v>
      </c>
      <c r="CA1126" s="3">
        <v>11.771144760586317</v>
      </c>
      <c r="CB1126" s="3">
        <v>10.007811427252989</v>
      </c>
      <c r="CC1126" s="3">
        <v>10.22114476058632</v>
      </c>
      <c r="CD1126" s="3">
        <v>8.6278114272529933</v>
      </c>
      <c r="CE1126" s="3">
        <v>8.8211447605863214</v>
      </c>
      <c r="CF1126" s="3">
        <v>-0.86552190608034607</v>
      </c>
      <c r="CG1126" s="3">
        <v>-1.3988552394136775</v>
      </c>
      <c r="CH1126" s="3">
        <v>-2.4755219060803455</v>
      </c>
      <c r="CI1126" s="13">
        <f>[1]!dbasum(RecData[[#This Row],[20]:[2000]],RecData[[#Headers],[20]:[2000]])</f>
        <v>39.312506873946425</v>
      </c>
      <c r="CJ1126" s="14">
        <v>10710</v>
      </c>
      <c r="CK1126" s="15" t="s">
        <v>249</v>
      </c>
      <c r="CL1126" s="15">
        <f>RecData[[#This Row],[Start Time]]</f>
        <v>43275.992361111115</v>
      </c>
      <c r="CM1126" s="16">
        <f>RecData[[#This Row],[Wind Speed avg]]</f>
        <v>0.79</v>
      </c>
      <c r="CN1126" s="16">
        <f>RecData[[#This Row],[Wind Dir. avg]]</f>
        <v>182.1</v>
      </c>
      <c r="CO1126" s="16">
        <f>RecData[[#This Row],[Amb. Humidity]]</f>
        <v>48.4</v>
      </c>
      <c r="CP1126" s="16">
        <f>RecData[[#This Row],[Amb. Temperature]]</f>
        <v>13</v>
      </c>
      <c r="CQ1126" s="17">
        <f>RecData[[#This Row],[Amb. Rain Gauge]]</f>
        <v>0</v>
      </c>
      <c r="CR1126" s="4" t="s">
        <v>1</v>
      </c>
      <c r="CS1126" s="4" t="s">
        <v>49</v>
      </c>
      <c r="CT1126" s="70">
        <v>1615.3642578125</v>
      </c>
      <c r="CU1126" s="70">
        <v>29.484571456909102</v>
      </c>
      <c r="CV1126" s="70">
        <v>10.295741081237701</v>
      </c>
      <c r="CW1126" s="70">
        <v>15.2656555175781</v>
      </c>
      <c r="CX1126" s="4"/>
      <c r="CY1126" s="69"/>
      <c r="CZ1126" s="2" t="b">
        <f>IF($DP$1="YES",IF(RecData[[#This Row],[Power (kW)]]&gt;=$CR$3, TRUE,FALSE),TRUE)</f>
        <v>1</v>
      </c>
      <c r="DA1126" s="16">
        <f>MIN(MOD(180-ABS(ABS($DA$1-RecData[Yaw Angle (°)])-180),360),MOD(180-ABS(ABS($DB$1-RecData[Yaw Angle (°)])-180),360))</f>
        <v>21.954644679221559</v>
      </c>
      <c r="DB1126" s="2" t="str">
        <f>IF($DP$2="None","None",IF(RecData[[#This Row],[Relative Wind Direction]]&lt;=45,"DW",IF(RecData[[#This Row],[Relative Wind Direction]]&lt;=135,"CW","UW")))</f>
        <v>DW</v>
      </c>
      <c r="DC1126" s="61">
        <f>IF($CL1126-$CL1122&gt;1/24,#REF!,IF(SUM($CQ1122:$CQ1126)&gt;$DS$1,$DS$5,DC1127-1))</f>
        <v>-2</v>
      </c>
      <c r="DD1126" s="61">
        <f>IF($CL1127-$CL1126&gt;1/24,#REF!,IF(SUM($CQ1122:$CQ1126)&gt;$DS$1,$DS$6,DD1125-1))</f>
        <v>-9</v>
      </c>
      <c r="DE1126" s="18" t="b">
        <v>0</v>
      </c>
      <c r="DF1126" s="2" t="b">
        <f>IF(OR(RecData[[#This Row],[WSpd_Avg '[m/s']]]-RecData[[#This Row],[Wind Speed min]]&gt;=$DF$3,RecData[[#This Row],[Wind Speed max]]-RecData[[#This Row],[WSpd_Avg '[m/s']]]&gt;=$DF$2),TRUE,FALSE)</f>
        <v>0</v>
      </c>
      <c r="DG1126" s="2" t="b">
        <f>RecData[[#This Row],[Temperature '[°C']]]&lt;=-20</f>
        <v>0</v>
      </c>
      <c r="DH1126" s="18" t="b">
        <f>NOT(OR(MOD(RecData[[#This Row],[TIMESTAMP]],1)&gt;0.91632,MOD(RecData[[#This Row],[TIMESTAMP]],1)&lt;0.208681))</f>
        <v>0</v>
      </c>
      <c r="DI1126" s="18" t="b">
        <f>RecData[[#This Row],[Overall (dBA)]]-RecData[[#This Row],[L90]]&gt;=$DS$4</f>
        <v>0</v>
      </c>
      <c r="DJ1126" s="18" t="b">
        <f>RecData[[#This Row],[Overall (dBA)]]&gt;$DS$2</f>
        <v>0</v>
      </c>
      <c r="DK1126" s="18" t="b">
        <f>RecData[[#This Row],[Overall (dBA)]]&lt;$DS$3</f>
        <v>0</v>
      </c>
      <c r="DL11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6" s="2">
        <f>IF(AND(RecData[[#This Row],[Turbines ON/OFF]] = "OFF", NOT(OR(RecData[[#This Row],[Junk?]]="YES",RecData[[#This Row],[Gust?]],RecData[[#This Row],[Rain?]:[Min SPL Threshold?]]))),1,0)</f>
        <v>0</v>
      </c>
      <c r="DN1126" s="16">
        <f>RecData[[#This Row],[dBA Sum]]</f>
        <v>39.312506873946425</v>
      </c>
      <c r="DO1126" s="16">
        <f>RecData[[#This Row],[LAF90.0]]</f>
        <v>38.200000000000003</v>
      </c>
      <c r="DP1126" s="55">
        <f>IF(AND(RecData[[#This Row],[Useable TON Data?]],RecData[[#This Row],[Turbines ON/OFF]]="ON"),RecData[[#This Row],[dBA Sum]],"")</f>
        <v>39.312506873946425</v>
      </c>
      <c r="DQ1126" s="55" t="str">
        <f>IF(AND(RecData[[#This Row],[Useable Background Data?]],RecData[[#This Row],[Turbines ON/OFF]]="OFF"),RecData[[#This Row],[dBA Sum]],"")</f>
        <v/>
      </c>
      <c r="DR1126" s="3">
        <f>IF(OR(RecData[[#This Row],[Useable TON Data?]],RecData[[#This Row],[Useable Background Data?]]),ROUND(RecData[[#This Row],[WSpd_Avg '[m/s']]],0),"")</f>
        <v>1</v>
      </c>
      <c r="DS1126" s="85">
        <f>(0.00002)^2*(10^(RecData[[#This Row],[Overall (dBA)]]/10))</f>
        <v>3.4143707613748409E-6</v>
      </c>
    </row>
    <row r="1127" spans="1:123" ht="15" x14ac:dyDescent="0.25">
      <c r="A1127" s="3" t="s">
        <v>249</v>
      </c>
      <c r="B1127" s="12">
        <v>43275.993055555555</v>
      </c>
      <c r="C1127" s="3"/>
      <c r="D1127" s="3">
        <v>38.700000000000003</v>
      </c>
      <c r="E1127" s="3"/>
      <c r="F1127" s="3"/>
      <c r="G1127" s="3"/>
      <c r="H1127" s="3"/>
      <c r="I1127" s="3"/>
      <c r="J1127" s="3"/>
      <c r="K1127" s="3">
        <v>37.299999999999997</v>
      </c>
      <c r="L1127" s="3"/>
      <c r="M1127" s="3"/>
      <c r="N1127" s="3">
        <v>180.6</v>
      </c>
      <c r="O1127" s="3"/>
      <c r="P1127" s="3"/>
      <c r="Q1127" s="3">
        <v>0.97</v>
      </c>
      <c r="R1127" s="3">
        <v>0.1</v>
      </c>
      <c r="S1127" s="3">
        <v>1.7</v>
      </c>
      <c r="T1127" s="3">
        <v>13</v>
      </c>
      <c r="U1127" s="3">
        <v>48.7</v>
      </c>
      <c r="V1127" s="3">
        <v>977.2</v>
      </c>
      <c r="W1127" s="3">
        <v>0</v>
      </c>
      <c r="X1127" s="3">
        <v>45.2</v>
      </c>
      <c r="Y1127" s="3">
        <v>43.8</v>
      </c>
      <c r="Z1127" s="3">
        <v>42.9</v>
      </c>
      <c r="AA1127" s="3">
        <v>39.1</v>
      </c>
      <c r="AB1127" s="3">
        <v>35.5</v>
      </c>
      <c r="AC1127" s="3">
        <v>33.700000000000003</v>
      </c>
      <c r="AD1127" s="3">
        <v>37.700000000000003</v>
      </c>
      <c r="AE1127" s="3">
        <v>39.9</v>
      </c>
      <c r="AF1127" s="3">
        <v>45</v>
      </c>
      <c r="AG1127" s="3">
        <v>37.9</v>
      </c>
      <c r="AH1127" s="3">
        <v>36.700000000000003</v>
      </c>
      <c r="AI1127" s="3">
        <v>37.200000000000003</v>
      </c>
      <c r="AJ1127" s="3">
        <v>35.6</v>
      </c>
      <c r="AK1127" s="3">
        <v>34.200000000000003</v>
      </c>
      <c r="AL1127" s="3">
        <v>31.8</v>
      </c>
      <c r="AM1127" s="3">
        <v>31</v>
      </c>
      <c r="AN1127" s="3">
        <v>29</v>
      </c>
      <c r="AO1127" s="3">
        <v>25.4</v>
      </c>
      <c r="AP1127" s="3">
        <v>23.7</v>
      </c>
      <c r="AQ1127" s="3">
        <v>21.4</v>
      </c>
      <c r="AR1127" s="3">
        <v>19.3</v>
      </c>
      <c r="AS1127" s="3">
        <v>17.899999999999999</v>
      </c>
      <c r="AT1127" s="3">
        <v>20.3</v>
      </c>
      <c r="AU1127" s="3">
        <v>12.5</v>
      </c>
      <c r="AV1127" s="3">
        <v>11.1</v>
      </c>
      <c r="AW1127" s="3">
        <v>10.3</v>
      </c>
      <c r="AX1127" s="3">
        <v>9.1999999999999993</v>
      </c>
      <c r="AY1127" s="3">
        <v>9.1999999999999993</v>
      </c>
      <c r="AZ1127" s="3">
        <v>0</v>
      </c>
      <c r="BA1127" s="3">
        <v>0</v>
      </c>
      <c r="BB1127" s="3">
        <v>0</v>
      </c>
      <c r="BC1127" s="3">
        <v>38.659513375758991</v>
      </c>
      <c r="BD1127" s="3">
        <v>45.240486624241015</v>
      </c>
      <c r="BE1127" s="3">
        <v>43.840486624241009</v>
      </c>
      <c r="BF1127" s="3">
        <v>41.700486624241009</v>
      </c>
      <c r="BG1127" s="3">
        <v>38.22715329090768</v>
      </c>
      <c r="BH1127" s="3">
        <v>34.767153290907686</v>
      </c>
      <c r="BI1127" s="3">
        <v>33.380486624241016</v>
      </c>
      <c r="BJ1127" s="3">
        <v>38.173819957574352</v>
      </c>
      <c r="BK1127" s="3">
        <v>40.247153290907676</v>
      </c>
      <c r="BL1127" s="3">
        <v>44.920486624241022</v>
      </c>
      <c r="BM1127" s="3">
        <v>37.953819957574353</v>
      </c>
      <c r="BN1127" s="3">
        <v>37.037153290907682</v>
      </c>
      <c r="BO1127" s="3">
        <v>36.903819957574342</v>
      </c>
      <c r="BP1127" s="3">
        <v>35.020486624241016</v>
      </c>
      <c r="BQ1127" s="3">
        <v>34.037153290907668</v>
      </c>
      <c r="BR1127" s="3">
        <v>31.963819957574344</v>
      </c>
      <c r="BS1127" s="3">
        <v>30.967153290907675</v>
      </c>
      <c r="BT1127" s="3">
        <v>29.163819957574347</v>
      </c>
      <c r="BU1127" s="3">
        <v>25.530486624241007</v>
      </c>
      <c r="BV1127" s="3">
        <v>23.54715329090768</v>
      </c>
      <c r="BW1127" s="3">
        <v>21.780486624241014</v>
      </c>
      <c r="BX1127" s="3">
        <v>19.600486624241015</v>
      </c>
      <c r="BY1127" s="3">
        <v>18.020486624241009</v>
      </c>
      <c r="BZ1127" s="3">
        <v>20.550486624241017</v>
      </c>
      <c r="CA1127" s="3">
        <v>12.850486624241007</v>
      </c>
      <c r="CB1127" s="3">
        <v>10.887153290907676</v>
      </c>
      <c r="CC1127" s="3">
        <v>10.30048662424101</v>
      </c>
      <c r="CD1127" s="3">
        <v>8.5071532909076808</v>
      </c>
      <c r="CE1127" s="3">
        <v>8.7004866242410088</v>
      </c>
      <c r="CF1127" s="3">
        <v>-0.88618004242565718</v>
      </c>
      <c r="CG1127" s="3">
        <v>-1.4195133757589886</v>
      </c>
      <c r="CH1127" s="3">
        <v>-2.4961800424256566</v>
      </c>
      <c r="CI1127" s="13">
        <f>[1]!dbasum(RecData[[#This Row],[20]:[2000]],RecData[[#Headers],[20]:[2000]])</f>
        <v>38.444664649032148</v>
      </c>
      <c r="CJ1127" s="14">
        <v>10711</v>
      </c>
      <c r="CK1127" s="15" t="s">
        <v>249</v>
      </c>
      <c r="CL1127" s="15">
        <f>RecData[[#This Row],[Start Time]]</f>
        <v>43275.993055555555</v>
      </c>
      <c r="CM1127" s="16">
        <f>RecData[[#This Row],[Wind Speed avg]]</f>
        <v>0.97</v>
      </c>
      <c r="CN1127" s="16">
        <f>RecData[[#This Row],[Wind Dir. avg]]</f>
        <v>180.6</v>
      </c>
      <c r="CO1127" s="16">
        <f>RecData[[#This Row],[Amb. Humidity]]</f>
        <v>48.7</v>
      </c>
      <c r="CP1127" s="16">
        <f>RecData[[#This Row],[Amb. Temperature]]</f>
        <v>13</v>
      </c>
      <c r="CQ1127" s="17">
        <f>RecData[[#This Row],[Amb. Rain Gauge]]</f>
        <v>0</v>
      </c>
      <c r="CR1127" s="4" t="s">
        <v>1</v>
      </c>
      <c r="CS1127" s="4" t="s">
        <v>49</v>
      </c>
      <c r="CT1127" s="70">
        <v>1615.3642578125</v>
      </c>
      <c r="CU1127" s="70">
        <v>29.484571456909102</v>
      </c>
      <c r="CV1127" s="70">
        <v>10.295741081237701</v>
      </c>
      <c r="CW1127" s="70">
        <v>15.2656555175781</v>
      </c>
      <c r="CX1127" s="4"/>
      <c r="CY1127" s="69"/>
      <c r="CZ1127" s="2" t="b">
        <f>IF($DP$1="YES",IF(RecData[[#This Row],[Power (kW)]]&gt;=$CR$3, TRUE,FALSE),TRUE)</f>
        <v>1</v>
      </c>
      <c r="DA1127" s="16">
        <f>MIN(MOD(180-ABS(ABS($DA$1-RecData[Yaw Angle (°)])-180),360),MOD(180-ABS(ABS($DB$1-RecData[Yaw Angle (°)])-180),360))</f>
        <v>21.954644679221559</v>
      </c>
      <c r="DB1127" s="2" t="str">
        <f>IF($DP$2="None","None",IF(RecData[[#This Row],[Relative Wind Direction]]&lt;=45,"DW",IF(RecData[[#This Row],[Relative Wind Direction]]&lt;=135,"CW","UW")))</f>
        <v>DW</v>
      </c>
      <c r="DC1127" s="61">
        <v>-1</v>
      </c>
      <c r="DD1127" s="61">
        <v>-1</v>
      </c>
      <c r="DE1127" s="18" t="b">
        <v>0</v>
      </c>
      <c r="DF1127" s="2" t="b">
        <f>IF(OR(RecData[[#This Row],[WSpd_Avg '[m/s']]]-RecData[[#This Row],[Wind Speed min]]&gt;=$DF$3,RecData[[#This Row],[Wind Speed max]]-RecData[[#This Row],[WSpd_Avg '[m/s']]]&gt;=$DF$2),TRUE,FALSE)</f>
        <v>0</v>
      </c>
      <c r="DG1127" s="2" t="b">
        <f>RecData[[#This Row],[Temperature '[°C']]]&lt;=-20</f>
        <v>0</v>
      </c>
      <c r="DH1127" s="18" t="b">
        <f>NOT(OR(MOD(RecData[[#This Row],[TIMESTAMP]],1)&gt;0.91632,MOD(RecData[[#This Row],[TIMESTAMP]],1)&lt;0.208681))</f>
        <v>0</v>
      </c>
      <c r="DI1127" s="18" t="b">
        <f>RecData[[#This Row],[Overall (dBA)]]-RecData[[#This Row],[L90]]&gt;=$DS$4</f>
        <v>0</v>
      </c>
      <c r="DJ1127" s="18" t="b">
        <f>RecData[[#This Row],[Overall (dBA)]]&gt;$DS$2</f>
        <v>0</v>
      </c>
      <c r="DK1127" s="18" t="b">
        <f>RecData[[#This Row],[Overall (dBA)]]&lt;$DS$3</f>
        <v>0</v>
      </c>
      <c r="DL11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7" s="2">
        <f>IF(AND(RecData[[#This Row],[Turbines ON/OFF]] = "OFF", NOT(OR(RecData[[#This Row],[Junk?]]="YES",RecData[[#This Row],[Gust?]],RecData[[#This Row],[Rain?]:[Min SPL Threshold?]]))),1,0)</f>
        <v>0</v>
      </c>
      <c r="DN1127" s="16">
        <f>RecData[[#This Row],[dBA Sum]]</f>
        <v>38.444664649032148</v>
      </c>
      <c r="DO1127" s="16">
        <f>RecData[[#This Row],[LAF90.0]]</f>
        <v>37.299999999999997</v>
      </c>
      <c r="DP1127" s="55">
        <f>IF(AND(RecData[[#This Row],[Useable TON Data?]],RecData[[#This Row],[Turbines ON/OFF]]="ON"),RecData[[#This Row],[dBA Sum]],"")</f>
        <v>38.444664649032148</v>
      </c>
      <c r="DQ1127" s="55" t="str">
        <f>IF(AND(RecData[[#This Row],[Useable Background Data?]],RecData[[#This Row],[Turbines ON/OFF]]="OFF"),RecData[[#This Row],[dBA Sum]],"")</f>
        <v/>
      </c>
      <c r="DR1127" s="3">
        <f>IF(OR(RecData[[#This Row],[Useable TON Data?]],RecData[[#This Row],[Useable Background Data?]]),ROUND(RecData[[#This Row],[WSpd_Avg '[m/s']]],0),"")</f>
        <v>1</v>
      </c>
      <c r="DS1127" s="85">
        <f>(0.00002)^2*(10^(RecData[[#This Row],[Overall (dBA)]]/10))</f>
        <v>2.7959310441474754E-6</v>
      </c>
    </row>
    <row r="1128" spans="1:123" ht="15" x14ac:dyDescent="0.25">
      <c r="A1128" s="3" t="s">
        <v>249</v>
      </c>
      <c r="B1128" s="12">
        <v>43275.994444444448</v>
      </c>
      <c r="C1128" s="3"/>
      <c r="D1128" s="3">
        <v>38.9</v>
      </c>
      <c r="E1128" s="3"/>
      <c r="F1128" s="3"/>
      <c r="G1128" s="3"/>
      <c r="H1128" s="3"/>
      <c r="I1128" s="3"/>
      <c r="J1128" s="3"/>
      <c r="K1128" s="3">
        <v>37.6</v>
      </c>
      <c r="L1128" s="3"/>
      <c r="M1128" s="3"/>
      <c r="N1128" s="3">
        <v>190.4</v>
      </c>
      <c r="O1128" s="3"/>
      <c r="P1128" s="3"/>
      <c r="Q1128" s="3">
        <v>0.37</v>
      </c>
      <c r="R1128" s="3">
        <v>0</v>
      </c>
      <c r="S1128" s="3">
        <v>1</v>
      </c>
      <c r="T1128" s="3">
        <v>13</v>
      </c>
      <c r="U1128" s="3">
        <v>48.1</v>
      </c>
      <c r="V1128" s="3">
        <v>977.2</v>
      </c>
      <c r="W1128" s="3">
        <v>0</v>
      </c>
      <c r="X1128" s="3">
        <v>44.5</v>
      </c>
      <c r="Y1128" s="3">
        <v>44</v>
      </c>
      <c r="Z1128" s="3">
        <v>43.7</v>
      </c>
      <c r="AA1128" s="3">
        <v>39.1</v>
      </c>
      <c r="AB1128" s="3">
        <v>34.700000000000003</v>
      </c>
      <c r="AC1128" s="3">
        <v>33.6</v>
      </c>
      <c r="AD1128" s="3">
        <v>37.700000000000003</v>
      </c>
      <c r="AE1128" s="3">
        <v>40.200000000000003</v>
      </c>
      <c r="AF1128" s="3">
        <v>46.1</v>
      </c>
      <c r="AG1128" s="3">
        <v>38.9</v>
      </c>
      <c r="AH1128" s="3">
        <v>38</v>
      </c>
      <c r="AI1128" s="3">
        <v>38.799999999999997</v>
      </c>
      <c r="AJ1128" s="3">
        <v>36.5</v>
      </c>
      <c r="AK1128" s="3">
        <v>34.799999999999997</v>
      </c>
      <c r="AL1128" s="3">
        <v>31.8</v>
      </c>
      <c r="AM1128" s="3">
        <v>30.7</v>
      </c>
      <c r="AN1128" s="3">
        <v>27.9</v>
      </c>
      <c r="AO1128" s="3">
        <v>24.3</v>
      </c>
      <c r="AP1128" s="3">
        <v>22.5</v>
      </c>
      <c r="AQ1128" s="3">
        <v>19.8</v>
      </c>
      <c r="AR1128" s="3">
        <v>16.399999999999999</v>
      </c>
      <c r="AS1128" s="3">
        <v>13.9</v>
      </c>
      <c r="AT1128" s="3">
        <v>14.9</v>
      </c>
      <c r="AU1128" s="3">
        <v>9</v>
      </c>
      <c r="AV1128" s="3">
        <v>8.6999999999999993</v>
      </c>
      <c r="AW1128" s="3">
        <v>8.9</v>
      </c>
      <c r="AX1128" s="3">
        <v>8.9</v>
      </c>
      <c r="AY1128" s="3">
        <v>9.1</v>
      </c>
      <c r="AZ1128" s="3">
        <v>0</v>
      </c>
      <c r="BA1128" s="3">
        <v>0</v>
      </c>
      <c r="BB1128" s="3">
        <v>0</v>
      </c>
      <c r="BC1128" s="3">
        <v>38.912349199893576</v>
      </c>
      <c r="BD1128" s="3">
        <v>44.487650800106429</v>
      </c>
      <c r="BE1128" s="3">
        <v>43.987650800106429</v>
      </c>
      <c r="BF1128" s="3">
        <v>42.447650800106423</v>
      </c>
      <c r="BG1128" s="3">
        <v>38.174317466773097</v>
      </c>
      <c r="BH1128" s="3">
        <v>33.914317466773092</v>
      </c>
      <c r="BI1128" s="3">
        <v>33.227650800106424</v>
      </c>
      <c r="BJ1128" s="3">
        <v>38.120984133439755</v>
      </c>
      <c r="BK1128" s="3">
        <v>40.49431746677309</v>
      </c>
      <c r="BL1128" s="3">
        <v>45.967650800106419</v>
      </c>
      <c r="BM1128" s="3">
        <v>38.900984133439756</v>
      </c>
      <c r="BN1128" s="3">
        <v>38.284317466773082</v>
      </c>
      <c r="BO1128" s="3">
        <v>38.450984133439754</v>
      </c>
      <c r="BP1128" s="3">
        <v>35.867650800106425</v>
      </c>
      <c r="BQ1128" s="3">
        <v>34.584317466773079</v>
      </c>
      <c r="BR1128" s="3">
        <v>31.910984133439761</v>
      </c>
      <c r="BS1128" s="3">
        <v>30.614317466773095</v>
      </c>
      <c r="BT1128" s="3">
        <v>28.010984133439756</v>
      </c>
      <c r="BU1128" s="3">
        <v>24.37765080010643</v>
      </c>
      <c r="BV1128" s="3">
        <v>22.294317466773087</v>
      </c>
      <c r="BW1128" s="3">
        <v>20.12765080010643</v>
      </c>
      <c r="BX1128" s="3">
        <v>16.647650800106426</v>
      </c>
      <c r="BY1128" s="3">
        <v>13.967650800106419</v>
      </c>
      <c r="BZ1128" s="3">
        <v>15.097650800106429</v>
      </c>
      <c r="CA1128" s="3">
        <v>9.2976508001064175</v>
      </c>
      <c r="CB1128" s="3">
        <v>8.4343174667730878</v>
      </c>
      <c r="CC1128" s="3">
        <v>8.8476508001064218</v>
      </c>
      <c r="CD1128" s="3">
        <v>8.1543174667730938</v>
      </c>
      <c r="CE1128" s="3">
        <v>8.5476508001064175</v>
      </c>
      <c r="CF1128" s="3">
        <v>-0.93901586656024705</v>
      </c>
      <c r="CG1128" s="3">
        <v>-1.4723491998935785</v>
      </c>
      <c r="CH1128" s="3">
        <v>-2.5490158665602465</v>
      </c>
      <c r="CI1128" s="13">
        <f>[1]!dbasum(RecData[[#This Row],[20]:[2000]],RecData[[#Headers],[20]:[2000]])</f>
        <v>38.725567561511895</v>
      </c>
      <c r="CJ1128" s="14">
        <v>10713</v>
      </c>
      <c r="CK1128" s="15" t="s">
        <v>249</v>
      </c>
      <c r="CL1128" s="15">
        <f>RecData[[#This Row],[Start Time]]</f>
        <v>43275.994444444448</v>
      </c>
      <c r="CM1128" s="16">
        <f>RecData[[#This Row],[Wind Speed avg]]</f>
        <v>0.37</v>
      </c>
      <c r="CN1128" s="16">
        <f>RecData[[#This Row],[Wind Dir. avg]]</f>
        <v>190.4</v>
      </c>
      <c r="CO1128" s="16">
        <f>RecData[[#This Row],[Amb. Humidity]]</f>
        <v>48.1</v>
      </c>
      <c r="CP1128" s="16">
        <f>RecData[[#This Row],[Amb. Temperature]]</f>
        <v>13</v>
      </c>
      <c r="CQ1128" s="17">
        <f>RecData[[#This Row],[Amb. Rain Gauge]]</f>
        <v>0</v>
      </c>
      <c r="CR1128" s="4" t="s">
        <v>1</v>
      </c>
      <c r="CS1128" s="4" t="s">
        <v>49</v>
      </c>
      <c r="CT1128" s="70">
        <v>1525.15283203125</v>
      </c>
      <c r="CU1128" s="70">
        <v>30.000255584716701</v>
      </c>
      <c r="CV1128" s="70">
        <v>9.5212535858154297</v>
      </c>
      <c r="CW1128" s="70">
        <v>15.284537315368601</v>
      </c>
      <c r="CX1128" s="4"/>
      <c r="CY1128" s="69"/>
      <c r="CZ1128" s="2" t="b">
        <f>IF($DP$1="YES",IF(RecData[[#This Row],[Power (kW)]]&gt;=$CR$3, TRUE,FALSE),TRUE)</f>
        <v>1</v>
      </c>
      <c r="DA1128" s="16">
        <f>MIN(MOD(180-ABS(ABS($DA$1-RecData[Yaw Angle (°)])-180),360),MOD(180-ABS(ABS($DB$1-RecData[Yaw Angle (°)])-180),360))</f>
        <v>22.470328807029148</v>
      </c>
      <c r="DB1128" s="2" t="str">
        <f>IF($DP$2="None","None",IF(RecData[[#This Row],[Relative Wind Direction]]&lt;=45,"DW",IF(RecData[[#This Row],[Relative Wind Direction]]&lt;=135,"CW","UW")))</f>
        <v>DW</v>
      </c>
      <c r="DC1128" s="61" t="e">
        <f>IF($CL1128-$CL1127&gt;1/24,#REF!,IF(SUM($CQ1127:$CQ1128)&gt;$DS$1,$DS$5,DC1129-1))</f>
        <v>#REF!</v>
      </c>
      <c r="DD1128" s="61" t="e">
        <f>IF($CL1129-$CL1128&gt;1/24,#REF!,IF(SUM($CQ1127:$CQ1128)&gt;$DS$1,$DS$6,#REF!-1))</f>
        <v>#REF!</v>
      </c>
      <c r="DE1128" s="18" t="b">
        <v>0</v>
      </c>
      <c r="DF1128" s="2" t="b">
        <f>IF(OR(RecData[[#This Row],[WSpd_Avg '[m/s']]]-RecData[[#This Row],[Wind Speed min]]&gt;=$DF$3,RecData[[#This Row],[Wind Speed max]]-RecData[[#This Row],[WSpd_Avg '[m/s']]]&gt;=$DF$2),TRUE,FALSE)</f>
        <v>0</v>
      </c>
      <c r="DG1128" s="2" t="b">
        <f>RecData[[#This Row],[Temperature '[°C']]]&lt;=-20</f>
        <v>0</v>
      </c>
      <c r="DH1128" s="18" t="b">
        <f>NOT(OR(MOD(RecData[[#This Row],[TIMESTAMP]],1)&gt;0.91632,MOD(RecData[[#This Row],[TIMESTAMP]],1)&lt;0.208681))</f>
        <v>0</v>
      </c>
      <c r="DI1128" s="18" t="b">
        <f>RecData[[#This Row],[Overall (dBA)]]-RecData[[#This Row],[L90]]&gt;=$DS$4</f>
        <v>0</v>
      </c>
      <c r="DJ1128" s="18" t="b">
        <f>RecData[[#This Row],[Overall (dBA)]]&gt;$DS$2</f>
        <v>0</v>
      </c>
      <c r="DK1128" s="18" t="b">
        <f>RecData[[#This Row],[Overall (dBA)]]&lt;$DS$3</f>
        <v>0</v>
      </c>
      <c r="DL11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8" s="2">
        <f>IF(AND(RecData[[#This Row],[Turbines ON/OFF]] = "OFF", NOT(OR(RecData[[#This Row],[Junk?]]="YES",RecData[[#This Row],[Gust?]],RecData[[#This Row],[Rain?]:[Min SPL Threshold?]]))),1,0)</f>
        <v>0</v>
      </c>
      <c r="DN1128" s="16">
        <f>RecData[[#This Row],[dBA Sum]]</f>
        <v>38.725567561511895</v>
      </c>
      <c r="DO1128" s="16">
        <f>RecData[[#This Row],[LAF90.0]]</f>
        <v>37.6</v>
      </c>
      <c r="DP1128" s="55">
        <f>IF(AND(RecData[[#This Row],[Useable TON Data?]],RecData[[#This Row],[Turbines ON/OFF]]="ON"),RecData[[#This Row],[dBA Sum]],"")</f>
        <v>38.725567561511895</v>
      </c>
      <c r="DQ1128" s="55" t="str">
        <f>IF(AND(RecData[[#This Row],[Useable Background Data?]],RecData[[#This Row],[Turbines ON/OFF]]="OFF"),RecData[[#This Row],[dBA Sum]],"")</f>
        <v/>
      </c>
      <c r="DR1128" s="3">
        <f>IF(OR(RecData[[#This Row],[Useable TON Data?]],RecData[[#This Row],[Useable Background Data?]]),ROUND(RecData[[#This Row],[WSpd_Avg '[m/s']]],0),"")</f>
        <v>0</v>
      </c>
      <c r="DS1128" s="85">
        <f>(0.00002)^2*(10^(RecData[[#This Row],[Overall (dBA)]]/10))</f>
        <v>2.9827492658171853E-6</v>
      </c>
    </row>
    <row r="1129" spans="1:123" ht="15" x14ac:dyDescent="0.25">
      <c r="A1129" s="3" t="s">
        <v>249</v>
      </c>
      <c r="B1129" s="12">
        <v>43275.995138888895</v>
      </c>
      <c r="C1129" s="3"/>
      <c r="D1129" s="3">
        <v>38.5</v>
      </c>
      <c r="E1129" s="3"/>
      <c r="F1129" s="3"/>
      <c r="G1129" s="3"/>
      <c r="H1129" s="3"/>
      <c r="I1129" s="3"/>
      <c r="J1129" s="3"/>
      <c r="K1129" s="3">
        <v>37.299999999999997</v>
      </c>
      <c r="L1129" s="3"/>
      <c r="M1129" s="3"/>
      <c r="N1129" s="3">
        <v>200.6</v>
      </c>
      <c r="O1129" s="3"/>
      <c r="P1129" s="3"/>
      <c r="Q1129" s="3">
        <v>0.31</v>
      </c>
      <c r="R1129" s="3">
        <v>0</v>
      </c>
      <c r="S1129" s="3">
        <v>0.8</v>
      </c>
      <c r="T1129" s="3">
        <v>13</v>
      </c>
      <c r="U1129" s="3">
        <v>48.1</v>
      </c>
      <c r="V1129" s="3">
        <v>977.2</v>
      </c>
      <c r="W1129" s="3">
        <v>0</v>
      </c>
      <c r="X1129" s="3">
        <v>44.4</v>
      </c>
      <c r="Y1129" s="3">
        <v>43.8</v>
      </c>
      <c r="Z1129" s="3">
        <v>43.3</v>
      </c>
      <c r="AA1129" s="3">
        <v>39.5</v>
      </c>
      <c r="AB1129" s="3">
        <v>35.4</v>
      </c>
      <c r="AC1129" s="3">
        <v>33.9</v>
      </c>
      <c r="AD1129" s="3">
        <v>37</v>
      </c>
      <c r="AE1129" s="3">
        <v>39.700000000000003</v>
      </c>
      <c r="AF1129" s="3">
        <v>43.7</v>
      </c>
      <c r="AG1129" s="3">
        <v>38.299999999999997</v>
      </c>
      <c r="AH1129" s="3">
        <v>37.1</v>
      </c>
      <c r="AI1129" s="3">
        <v>38.1</v>
      </c>
      <c r="AJ1129" s="3">
        <v>36.200000000000003</v>
      </c>
      <c r="AK1129" s="3">
        <v>34.4</v>
      </c>
      <c r="AL1129" s="3">
        <v>31.8</v>
      </c>
      <c r="AM1129" s="3">
        <v>30.6</v>
      </c>
      <c r="AN1129" s="3">
        <v>28</v>
      </c>
      <c r="AO1129" s="3">
        <v>24.1</v>
      </c>
      <c r="AP1129" s="3">
        <v>22</v>
      </c>
      <c r="AQ1129" s="3">
        <v>19.600000000000001</v>
      </c>
      <c r="AR1129" s="3">
        <v>16.600000000000001</v>
      </c>
      <c r="AS1129" s="3">
        <v>15.8</v>
      </c>
      <c r="AT1129" s="3">
        <v>18.8</v>
      </c>
      <c r="AU1129" s="3">
        <v>14.1</v>
      </c>
      <c r="AV1129" s="3">
        <v>15.1</v>
      </c>
      <c r="AW1129" s="3">
        <v>16.100000000000001</v>
      </c>
      <c r="AX1129" s="3">
        <v>16.399999999999999</v>
      </c>
      <c r="AY1129" s="3">
        <v>16.600000000000001</v>
      </c>
      <c r="AZ1129" s="3">
        <v>0</v>
      </c>
      <c r="BA1129" s="3">
        <v>0</v>
      </c>
      <c r="BB1129" s="3">
        <v>0</v>
      </c>
      <c r="BC1129" s="3">
        <v>38.492382086040031</v>
      </c>
      <c r="BD1129" s="3">
        <v>44.407617913959974</v>
      </c>
      <c r="BE1129" s="3">
        <v>43.807617913959966</v>
      </c>
      <c r="BF1129" s="3">
        <v>42.067617913959971</v>
      </c>
      <c r="BG1129" s="3">
        <v>38.594284580626642</v>
      </c>
      <c r="BH1129" s="3">
        <v>34.634284580626634</v>
      </c>
      <c r="BI1129" s="3">
        <v>33.547617913959961</v>
      </c>
      <c r="BJ1129" s="3">
        <v>37.440951247293306</v>
      </c>
      <c r="BK1129" s="3">
        <v>40.014284580626629</v>
      </c>
      <c r="BL1129" s="3">
        <v>43.587617913959981</v>
      </c>
      <c r="BM1129" s="3">
        <v>38.320951247293301</v>
      </c>
      <c r="BN1129" s="3">
        <v>37.404284580626644</v>
      </c>
      <c r="BO1129" s="3">
        <v>37.770951247293304</v>
      </c>
      <c r="BP1129" s="3">
        <v>35.587617913959981</v>
      </c>
      <c r="BQ1129" s="3">
        <v>34.204284580626627</v>
      </c>
      <c r="BR1129" s="3">
        <v>31.930951247293301</v>
      </c>
      <c r="BS1129" s="3">
        <v>30.53428458062664</v>
      </c>
      <c r="BT1129" s="3">
        <v>28.130951247293304</v>
      </c>
      <c r="BU1129" s="3">
        <v>24.197617913959974</v>
      </c>
      <c r="BV1129" s="3">
        <v>21.814284580626641</v>
      </c>
      <c r="BW1129" s="3">
        <v>19.947617913959974</v>
      </c>
      <c r="BX1129" s="3">
        <v>16.867617913959975</v>
      </c>
      <c r="BY1129" s="3">
        <v>15.887617913959964</v>
      </c>
      <c r="BZ1129" s="3">
        <v>19.017617913959974</v>
      </c>
      <c r="CA1129" s="3">
        <v>14.417617913959965</v>
      </c>
      <c r="CB1129" s="3">
        <v>14.854284580626633</v>
      </c>
      <c r="CC1129" s="3">
        <v>16.067617913959971</v>
      </c>
      <c r="CD1129" s="3">
        <v>15.67428458062664</v>
      </c>
      <c r="CE1129" s="3">
        <v>16.067617913959971</v>
      </c>
      <c r="CF1129" s="3">
        <v>-0.91904875270670061</v>
      </c>
      <c r="CG1129" s="3">
        <v>-1.452382086040032</v>
      </c>
      <c r="CH1129" s="3">
        <v>-2.5290487527067</v>
      </c>
      <c r="CI1129" s="13">
        <f>[1]!dbasum(RecData[[#This Row],[20]:[2000]],RecData[[#Headers],[20]:[2000]])</f>
        <v>38.189751843528732</v>
      </c>
      <c r="CJ1129" s="14">
        <v>10714</v>
      </c>
      <c r="CK1129" s="15" t="s">
        <v>249</v>
      </c>
      <c r="CL1129" s="15">
        <f>RecData[[#This Row],[Start Time]]</f>
        <v>43275.995138888895</v>
      </c>
      <c r="CM1129" s="16">
        <f>RecData[[#This Row],[Wind Speed avg]]</f>
        <v>0.31</v>
      </c>
      <c r="CN1129" s="16">
        <f>RecData[[#This Row],[Wind Dir. avg]]</f>
        <v>200.6</v>
      </c>
      <c r="CO1129" s="16">
        <f>RecData[[#This Row],[Amb. Humidity]]</f>
        <v>48.1</v>
      </c>
      <c r="CP1129" s="16">
        <f>RecData[[#This Row],[Amb. Temperature]]</f>
        <v>13</v>
      </c>
      <c r="CQ1129" s="17">
        <f>RecData[[#This Row],[Amb. Rain Gauge]]</f>
        <v>0</v>
      </c>
      <c r="CR1129" s="4" t="s">
        <v>1</v>
      </c>
      <c r="CS1129" s="4" t="s">
        <v>49</v>
      </c>
      <c r="CT1129" s="70">
        <v>1525.15283203125</v>
      </c>
      <c r="CU1129" s="70">
        <v>30.000255584716701</v>
      </c>
      <c r="CV1129" s="70">
        <v>9.5212535858154297</v>
      </c>
      <c r="CW1129" s="70">
        <v>15.284537315368601</v>
      </c>
      <c r="CX1129" s="4"/>
      <c r="CY1129" s="69"/>
      <c r="CZ1129" s="2" t="b">
        <f>IF($DP$1="YES",IF(RecData[[#This Row],[Power (kW)]]&gt;=$CR$3, TRUE,FALSE),TRUE)</f>
        <v>1</v>
      </c>
      <c r="DA1129" s="16">
        <f>MIN(MOD(180-ABS(ABS($DA$1-RecData[Yaw Angle (°)])-180),360),MOD(180-ABS(ABS($DB$1-RecData[Yaw Angle (°)])-180),360))</f>
        <v>22.470328807029148</v>
      </c>
      <c r="DB1129" s="2" t="str">
        <f>IF($DP$2="None","None",IF(RecData[[#This Row],[Relative Wind Direction]]&lt;=45,"DW",IF(RecData[[#This Row],[Relative Wind Direction]]&lt;=135,"CW","UW")))</f>
        <v>DW</v>
      </c>
      <c r="DC1129" s="61" t="e">
        <f>IF($CL1129-$CL1127&gt;1/24,#REF!,IF(SUM($CQ1127:$CQ1129)&gt;$DS$1,$DS$5,DC1130-1))</f>
        <v>#REF!</v>
      </c>
      <c r="DD1129" s="61" t="e">
        <f>IF($CL1130-$CL1129&gt;1/24,#REF!,IF(SUM($CQ1127:$CQ1129)&gt;$DS$1,$DS$6,DD1128-1))</f>
        <v>#REF!</v>
      </c>
      <c r="DE1129" s="18" t="b">
        <v>0</v>
      </c>
      <c r="DF1129" s="2" t="b">
        <f>IF(OR(RecData[[#This Row],[WSpd_Avg '[m/s']]]-RecData[[#This Row],[Wind Speed min]]&gt;=$DF$3,RecData[[#This Row],[Wind Speed max]]-RecData[[#This Row],[WSpd_Avg '[m/s']]]&gt;=$DF$2),TRUE,FALSE)</f>
        <v>0</v>
      </c>
      <c r="DG1129" s="2" t="b">
        <f>RecData[[#This Row],[Temperature '[°C']]]&lt;=-20</f>
        <v>0</v>
      </c>
      <c r="DH1129" s="18" t="b">
        <f>NOT(OR(MOD(RecData[[#This Row],[TIMESTAMP]],1)&gt;0.91632,MOD(RecData[[#This Row],[TIMESTAMP]],1)&lt;0.208681))</f>
        <v>0</v>
      </c>
      <c r="DI1129" s="18" t="b">
        <f>RecData[[#This Row],[Overall (dBA)]]-RecData[[#This Row],[L90]]&gt;=$DS$4</f>
        <v>0</v>
      </c>
      <c r="DJ1129" s="18" t="b">
        <f>RecData[[#This Row],[Overall (dBA)]]&gt;$DS$2</f>
        <v>0</v>
      </c>
      <c r="DK1129" s="18" t="b">
        <f>RecData[[#This Row],[Overall (dBA)]]&lt;$DS$3</f>
        <v>0</v>
      </c>
      <c r="DL11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29" s="2">
        <f>IF(AND(RecData[[#This Row],[Turbines ON/OFF]] = "OFF", NOT(OR(RecData[[#This Row],[Junk?]]="YES",RecData[[#This Row],[Gust?]],RecData[[#This Row],[Rain?]:[Min SPL Threshold?]]))),1,0)</f>
        <v>0</v>
      </c>
      <c r="DN1129" s="16">
        <f>RecData[[#This Row],[dBA Sum]]</f>
        <v>38.189751843528732</v>
      </c>
      <c r="DO1129" s="16">
        <f>RecData[[#This Row],[LAF90.0]]</f>
        <v>37.299999999999997</v>
      </c>
      <c r="DP1129" s="55">
        <f>IF(AND(RecData[[#This Row],[Useable TON Data?]],RecData[[#This Row],[Turbines ON/OFF]]="ON"),RecData[[#This Row],[dBA Sum]],"")</f>
        <v>38.189751843528732</v>
      </c>
      <c r="DQ1129" s="55" t="str">
        <f>IF(AND(RecData[[#This Row],[Useable Background Data?]],RecData[[#This Row],[Turbines ON/OFF]]="OFF"),RecData[[#This Row],[dBA Sum]],"")</f>
        <v/>
      </c>
      <c r="DR1129" s="3">
        <f>IF(OR(RecData[[#This Row],[Useable TON Data?]],RecData[[#This Row],[Useable Background Data?]]),ROUND(RecData[[#This Row],[WSpd_Avg '[m/s']]],0),"")</f>
        <v>0</v>
      </c>
      <c r="DS1129" s="85">
        <f>(0.00002)^2*(10^(RecData[[#This Row],[Overall (dBA)]]/10))</f>
        <v>2.6365449241292199E-6</v>
      </c>
    </row>
    <row r="1130" spans="1:123" ht="15" x14ac:dyDescent="0.25">
      <c r="A1130" s="3" t="s">
        <v>249</v>
      </c>
      <c r="B1130" s="12">
        <v>43275.995833333334</v>
      </c>
      <c r="C1130" s="3"/>
      <c r="D1130" s="3">
        <v>38.700000000000003</v>
      </c>
      <c r="E1130" s="3"/>
      <c r="F1130" s="3"/>
      <c r="G1130" s="3"/>
      <c r="H1130" s="3"/>
      <c r="I1130" s="3"/>
      <c r="J1130" s="3"/>
      <c r="K1130" s="3">
        <v>37.299999999999997</v>
      </c>
      <c r="L1130" s="3"/>
      <c r="M1130" s="3"/>
      <c r="N1130" s="3">
        <v>165.1</v>
      </c>
      <c r="O1130" s="3"/>
      <c r="P1130" s="3"/>
      <c r="Q1130" s="3">
        <v>0.25</v>
      </c>
      <c r="R1130" s="3">
        <v>0.1</v>
      </c>
      <c r="S1130" s="3">
        <v>0.5</v>
      </c>
      <c r="T1130" s="3">
        <v>13</v>
      </c>
      <c r="U1130" s="3">
        <v>48.2</v>
      </c>
      <c r="V1130" s="3">
        <v>977.2</v>
      </c>
      <c r="W1130" s="3">
        <v>0</v>
      </c>
      <c r="X1130" s="3">
        <v>44.3</v>
      </c>
      <c r="Y1130" s="3">
        <v>43.8</v>
      </c>
      <c r="Z1130" s="3">
        <v>43.1</v>
      </c>
      <c r="AA1130" s="3">
        <v>38.1</v>
      </c>
      <c r="AB1130" s="3">
        <v>33.700000000000003</v>
      </c>
      <c r="AC1130" s="3">
        <v>32.700000000000003</v>
      </c>
      <c r="AD1130" s="3">
        <v>36.9</v>
      </c>
      <c r="AE1130" s="3">
        <v>40.200000000000003</v>
      </c>
      <c r="AF1130" s="3">
        <v>44.5</v>
      </c>
      <c r="AG1130" s="3">
        <v>38</v>
      </c>
      <c r="AH1130" s="3">
        <v>37.799999999999997</v>
      </c>
      <c r="AI1130" s="3">
        <v>38.1</v>
      </c>
      <c r="AJ1130" s="3">
        <v>36.4</v>
      </c>
      <c r="AK1130" s="3">
        <v>34.6</v>
      </c>
      <c r="AL1130" s="3">
        <v>32</v>
      </c>
      <c r="AM1130" s="3">
        <v>30.9</v>
      </c>
      <c r="AN1130" s="3">
        <v>28.4</v>
      </c>
      <c r="AO1130" s="3">
        <v>24.4</v>
      </c>
      <c r="AP1130" s="3">
        <v>23</v>
      </c>
      <c r="AQ1130" s="3">
        <v>19.7</v>
      </c>
      <c r="AR1130" s="3">
        <v>16.100000000000001</v>
      </c>
      <c r="AS1130" s="3">
        <v>14</v>
      </c>
      <c r="AT1130" s="3">
        <v>20.100000000000001</v>
      </c>
      <c r="AU1130" s="3">
        <v>9.1999999999999993</v>
      </c>
      <c r="AV1130" s="3">
        <v>9.3000000000000007</v>
      </c>
      <c r="AW1130" s="3">
        <v>9.6</v>
      </c>
      <c r="AX1130" s="3">
        <v>9.4</v>
      </c>
      <c r="AY1130" s="3">
        <v>9.4</v>
      </c>
      <c r="AZ1130" s="3">
        <v>0</v>
      </c>
      <c r="BA1130" s="3">
        <v>0</v>
      </c>
      <c r="BB1130" s="3">
        <v>0</v>
      </c>
      <c r="BC1130" s="3">
        <v>38.702709137194539</v>
      </c>
      <c r="BD1130" s="3">
        <v>44.297290862805461</v>
      </c>
      <c r="BE1130" s="3">
        <v>43.797290862805461</v>
      </c>
      <c r="BF1130" s="3">
        <v>41.857290862805463</v>
      </c>
      <c r="BG1130" s="3">
        <v>37.183957529472131</v>
      </c>
      <c r="BH1130" s="3">
        <v>32.923957529472126</v>
      </c>
      <c r="BI1130" s="3">
        <v>32.337290862805467</v>
      </c>
      <c r="BJ1130" s="3">
        <v>37.330624196138793</v>
      </c>
      <c r="BK1130" s="3">
        <v>40.503957529472139</v>
      </c>
      <c r="BL1130" s="3">
        <v>44.377290862805474</v>
      </c>
      <c r="BM1130" s="3">
        <v>38.010624196138799</v>
      </c>
      <c r="BN1130" s="3">
        <v>38.093957529472128</v>
      </c>
      <c r="BO1130" s="3">
        <v>37.760624196138799</v>
      </c>
      <c r="BP1130" s="3">
        <v>35.777290862805465</v>
      </c>
      <c r="BQ1130" s="3">
        <v>34.393957529472125</v>
      </c>
      <c r="BR1130" s="3">
        <v>32.120624196138799</v>
      </c>
      <c r="BS1130" s="3">
        <v>30.823957529472132</v>
      </c>
      <c r="BT1130" s="3">
        <v>28.52062419613879</v>
      </c>
      <c r="BU1130" s="3">
        <v>24.487290862805466</v>
      </c>
      <c r="BV1130" s="3">
        <v>22.803957529472136</v>
      </c>
      <c r="BW1130" s="3">
        <v>20.03729086280547</v>
      </c>
      <c r="BX1130" s="3">
        <v>16.357290862805471</v>
      </c>
      <c r="BY1130" s="3">
        <v>14.077290862805462</v>
      </c>
      <c r="BZ1130" s="3">
        <v>20.307290862805466</v>
      </c>
      <c r="CA1130" s="3">
        <v>9.5072908628054549</v>
      </c>
      <c r="CB1130" s="3">
        <v>9.0439575294721308</v>
      </c>
      <c r="CC1130" s="3">
        <v>9.5572908628054662</v>
      </c>
      <c r="CD1130" s="3">
        <v>8.6639575294721354</v>
      </c>
      <c r="CE1130" s="3">
        <v>8.8572908628054634</v>
      </c>
      <c r="CF1130" s="3">
        <v>-0.92937580386120544</v>
      </c>
      <c r="CG1130" s="3">
        <v>-1.4627091371945369</v>
      </c>
      <c r="CH1130" s="3">
        <v>-2.5393758038612049</v>
      </c>
      <c r="CI1130" s="13">
        <f>[1]!dbasum(RecData[[#This Row],[20]:[2000]],RecData[[#Headers],[20]:[2000]])</f>
        <v>38.470309766222329</v>
      </c>
      <c r="CJ1130" s="14">
        <v>10715</v>
      </c>
      <c r="CK1130" s="15" t="s">
        <v>249</v>
      </c>
      <c r="CL1130" s="15">
        <f>RecData[[#This Row],[Start Time]]</f>
        <v>43275.995833333334</v>
      </c>
      <c r="CM1130" s="16">
        <f>RecData[[#This Row],[Wind Speed avg]]</f>
        <v>0.25</v>
      </c>
      <c r="CN1130" s="16">
        <f>RecData[[#This Row],[Wind Dir. avg]]</f>
        <v>165.1</v>
      </c>
      <c r="CO1130" s="16">
        <f>RecData[[#This Row],[Amb. Humidity]]</f>
        <v>48.2</v>
      </c>
      <c r="CP1130" s="16">
        <f>RecData[[#This Row],[Amb. Temperature]]</f>
        <v>13</v>
      </c>
      <c r="CQ1130" s="17">
        <f>RecData[[#This Row],[Amb. Rain Gauge]]</f>
        <v>0</v>
      </c>
      <c r="CR1130" s="4" t="s">
        <v>1</v>
      </c>
      <c r="CS1130" s="4" t="s">
        <v>49</v>
      </c>
      <c r="CT1130" s="70">
        <v>1525.15283203125</v>
      </c>
      <c r="CU1130" s="70">
        <v>30.000255584716701</v>
      </c>
      <c r="CV1130" s="70">
        <v>9.5212535858154297</v>
      </c>
      <c r="CW1130" s="70">
        <v>15.284537315368601</v>
      </c>
      <c r="CX1130" s="4"/>
      <c r="CY1130" s="69"/>
      <c r="CZ1130" s="2" t="b">
        <f>IF($DP$1="YES",IF(RecData[[#This Row],[Power (kW)]]&gt;=$CR$3, TRUE,FALSE),TRUE)</f>
        <v>1</v>
      </c>
      <c r="DA1130" s="16">
        <f>MIN(MOD(180-ABS(ABS($DA$1-RecData[Yaw Angle (°)])-180),360),MOD(180-ABS(ABS($DB$1-RecData[Yaw Angle (°)])-180),360))</f>
        <v>22.470328807029148</v>
      </c>
      <c r="DB1130" s="2" t="str">
        <f>IF($DP$2="None","None",IF(RecData[[#This Row],[Relative Wind Direction]]&lt;=45,"DW",IF(RecData[[#This Row],[Relative Wind Direction]]&lt;=135,"CW","UW")))</f>
        <v>DW</v>
      </c>
      <c r="DC1130" s="61" t="e">
        <f>IF($CL1130-$CL1127&gt;1/24,#REF!,IF(SUM($CQ1127:$CQ1130)&gt;$DS$1,$DS$5,DC1131-1))</f>
        <v>#REF!</v>
      </c>
      <c r="DD1130" s="61" t="e">
        <f>IF($CL1131-$CL1130&gt;1/24,#REF!,IF(SUM($CQ1127:$CQ1130)&gt;$DS$1,$DS$6,DD1129-1))</f>
        <v>#REF!</v>
      </c>
      <c r="DE1130" s="18" t="b">
        <v>0</v>
      </c>
      <c r="DF1130" s="2" t="b">
        <f>IF(OR(RecData[[#This Row],[WSpd_Avg '[m/s']]]-RecData[[#This Row],[Wind Speed min]]&gt;=$DF$3,RecData[[#This Row],[Wind Speed max]]-RecData[[#This Row],[WSpd_Avg '[m/s']]]&gt;=$DF$2),TRUE,FALSE)</f>
        <v>0</v>
      </c>
      <c r="DG1130" s="2" t="b">
        <f>RecData[[#This Row],[Temperature '[°C']]]&lt;=-20</f>
        <v>0</v>
      </c>
      <c r="DH1130" s="18" t="b">
        <f>NOT(OR(MOD(RecData[[#This Row],[TIMESTAMP]],1)&gt;0.91632,MOD(RecData[[#This Row],[TIMESTAMP]],1)&lt;0.208681))</f>
        <v>0</v>
      </c>
      <c r="DI1130" s="18" t="b">
        <f>RecData[[#This Row],[Overall (dBA)]]-RecData[[#This Row],[L90]]&gt;=$DS$4</f>
        <v>0</v>
      </c>
      <c r="DJ1130" s="18" t="b">
        <f>RecData[[#This Row],[Overall (dBA)]]&gt;$DS$2</f>
        <v>0</v>
      </c>
      <c r="DK1130" s="18" t="b">
        <f>RecData[[#This Row],[Overall (dBA)]]&lt;$DS$3</f>
        <v>0</v>
      </c>
      <c r="DL11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0" s="2">
        <f>IF(AND(RecData[[#This Row],[Turbines ON/OFF]] = "OFF", NOT(OR(RecData[[#This Row],[Junk?]]="YES",RecData[[#This Row],[Gust?]],RecData[[#This Row],[Rain?]:[Min SPL Threshold?]]))),1,0)</f>
        <v>0</v>
      </c>
      <c r="DN1130" s="16">
        <f>RecData[[#This Row],[dBA Sum]]</f>
        <v>38.470309766222329</v>
      </c>
      <c r="DO1130" s="16">
        <f>RecData[[#This Row],[LAF90.0]]</f>
        <v>37.299999999999997</v>
      </c>
      <c r="DP1130" s="55">
        <f>IF(AND(RecData[[#This Row],[Useable TON Data?]],RecData[[#This Row],[Turbines ON/OFF]]="ON"),RecData[[#This Row],[dBA Sum]],"")</f>
        <v>38.470309766222329</v>
      </c>
      <c r="DQ1130" s="55" t="str">
        <f>IF(AND(RecData[[#This Row],[Useable Background Data?]],RecData[[#This Row],[Turbines ON/OFF]]="OFF"),RecData[[#This Row],[dBA Sum]],"")</f>
        <v/>
      </c>
      <c r="DR1130" s="3">
        <f>IF(OR(RecData[[#This Row],[Useable TON Data?]],RecData[[#This Row],[Useable Background Data?]]),ROUND(RecData[[#This Row],[WSpd_Avg '[m/s']]],0),"")</f>
        <v>0</v>
      </c>
      <c r="DS1130" s="85">
        <f>(0.00002)^2*(10^(RecData[[#This Row],[Overall (dBA)]]/10))</f>
        <v>2.8124898769021687E-6</v>
      </c>
    </row>
    <row r="1131" spans="1:123" ht="15" x14ac:dyDescent="0.25">
      <c r="A1131" s="3" t="s">
        <v>249</v>
      </c>
      <c r="B1131" s="12">
        <v>43275.996527777781</v>
      </c>
      <c r="C1131" s="3"/>
      <c r="D1131" s="3">
        <v>38.4</v>
      </c>
      <c r="E1131" s="3"/>
      <c r="F1131" s="3"/>
      <c r="G1131" s="3"/>
      <c r="H1131" s="3"/>
      <c r="I1131" s="3"/>
      <c r="J1131" s="3"/>
      <c r="K1131" s="3">
        <v>36.4</v>
      </c>
      <c r="L1131" s="3"/>
      <c r="M1131" s="3"/>
      <c r="N1131" s="3">
        <v>217</v>
      </c>
      <c r="O1131" s="3"/>
      <c r="P1131" s="3"/>
      <c r="Q1131" s="3">
        <v>0.35</v>
      </c>
      <c r="R1131" s="3">
        <v>0</v>
      </c>
      <c r="S1131" s="3">
        <v>0.7</v>
      </c>
      <c r="T1131" s="3">
        <v>13</v>
      </c>
      <c r="U1131" s="3">
        <v>49.6</v>
      </c>
      <c r="V1131" s="3">
        <v>977.2</v>
      </c>
      <c r="W1131" s="3">
        <v>0</v>
      </c>
      <c r="X1131" s="3">
        <v>45</v>
      </c>
      <c r="Y1131" s="3">
        <v>44</v>
      </c>
      <c r="Z1131" s="3">
        <v>42.8</v>
      </c>
      <c r="AA1131" s="3">
        <v>38.1</v>
      </c>
      <c r="AB1131" s="3">
        <v>34.700000000000003</v>
      </c>
      <c r="AC1131" s="3">
        <v>33.6</v>
      </c>
      <c r="AD1131" s="3">
        <v>38.299999999999997</v>
      </c>
      <c r="AE1131" s="3">
        <v>40.799999999999997</v>
      </c>
      <c r="AF1131" s="3">
        <v>43</v>
      </c>
      <c r="AG1131" s="3">
        <v>36.6</v>
      </c>
      <c r="AH1131" s="3">
        <v>38.5</v>
      </c>
      <c r="AI1131" s="3">
        <v>37.5</v>
      </c>
      <c r="AJ1131" s="3">
        <v>36.700000000000003</v>
      </c>
      <c r="AK1131" s="3">
        <v>34.299999999999997</v>
      </c>
      <c r="AL1131" s="3">
        <v>31.6</v>
      </c>
      <c r="AM1131" s="3">
        <v>30.3</v>
      </c>
      <c r="AN1131" s="3">
        <v>27.8</v>
      </c>
      <c r="AO1131" s="3">
        <v>23.8</v>
      </c>
      <c r="AP1131" s="3">
        <v>22.3</v>
      </c>
      <c r="AQ1131" s="3">
        <v>19.2</v>
      </c>
      <c r="AR1131" s="3">
        <v>16.7</v>
      </c>
      <c r="AS1131" s="3">
        <v>15.3</v>
      </c>
      <c r="AT1131" s="3">
        <v>19.899999999999999</v>
      </c>
      <c r="AU1131" s="3">
        <v>11.1</v>
      </c>
      <c r="AV1131" s="3">
        <v>10.1</v>
      </c>
      <c r="AW1131" s="3">
        <v>10.1</v>
      </c>
      <c r="AX1131" s="3">
        <v>9.4</v>
      </c>
      <c r="AY1131" s="3">
        <v>9.5</v>
      </c>
      <c r="AZ1131" s="3">
        <v>0</v>
      </c>
      <c r="BA1131" s="3">
        <v>0</v>
      </c>
      <c r="BB1131" s="3">
        <v>0</v>
      </c>
      <c r="BC1131" s="3">
        <v>38.353050039142325</v>
      </c>
      <c r="BD1131" s="3">
        <v>45.046949960857681</v>
      </c>
      <c r="BE1131" s="3">
        <v>44.046949960857681</v>
      </c>
      <c r="BF1131" s="3">
        <v>41.606949960857669</v>
      </c>
      <c r="BG1131" s="3">
        <v>37.233616627524349</v>
      </c>
      <c r="BH1131" s="3">
        <v>33.973616627524343</v>
      </c>
      <c r="BI1131" s="3">
        <v>33.286949960857676</v>
      </c>
      <c r="BJ1131" s="3">
        <v>38.780283294191001</v>
      </c>
      <c r="BK1131" s="3">
        <v>41.153616627524336</v>
      </c>
      <c r="BL1131" s="3">
        <v>42.926949960857677</v>
      </c>
      <c r="BM1131" s="3">
        <v>36.660283294191011</v>
      </c>
      <c r="BN1131" s="3">
        <v>38.843616627524334</v>
      </c>
      <c r="BO1131" s="3">
        <v>37.210283294191008</v>
      </c>
      <c r="BP1131" s="3">
        <v>36.126949960857679</v>
      </c>
      <c r="BQ1131" s="3">
        <v>34.143616627524331</v>
      </c>
      <c r="BR1131" s="3">
        <v>31.77028329419101</v>
      </c>
      <c r="BS1131" s="3">
        <v>30.273616627524341</v>
      </c>
      <c r="BT1131" s="3">
        <v>27.970283294191013</v>
      </c>
      <c r="BU1131" s="3">
        <v>23.936949960857682</v>
      </c>
      <c r="BV1131" s="3">
        <v>22.153616627524343</v>
      </c>
      <c r="BW1131" s="3">
        <v>19.586949960857673</v>
      </c>
      <c r="BX1131" s="3">
        <v>17.006949960857675</v>
      </c>
      <c r="BY1131" s="3">
        <v>15.426949960857677</v>
      </c>
      <c r="BZ1131" s="3">
        <v>20.156949960857681</v>
      </c>
      <c r="CA1131" s="3">
        <v>11.456949960857663</v>
      </c>
      <c r="CB1131" s="3">
        <v>9.893616627524338</v>
      </c>
      <c r="CC1131" s="3">
        <v>10.106949960857669</v>
      </c>
      <c r="CD1131" s="3">
        <v>8.7136166275243454</v>
      </c>
      <c r="CE1131" s="3">
        <v>9.0069499608576749</v>
      </c>
      <c r="CF1131" s="3">
        <v>-0.87971670580899541</v>
      </c>
      <c r="CG1131" s="3">
        <v>-1.4130500391423269</v>
      </c>
      <c r="CH1131" s="3">
        <v>-2.4897167058089948</v>
      </c>
      <c r="CI1131" s="13">
        <f>[1]!dbasum(RecData[[#This Row],[20]:[2000]],RecData[[#Headers],[20]:[2000]])</f>
        <v>38.150044445033501</v>
      </c>
      <c r="CJ1131" s="14">
        <v>10716</v>
      </c>
      <c r="CK1131" s="15" t="s">
        <v>249</v>
      </c>
      <c r="CL1131" s="15">
        <f>RecData[[#This Row],[Start Time]]</f>
        <v>43275.996527777781</v>
      </c>
      <c r="CM1131" s="16">
        <f>RecData[[#This Row],[Wind Speed avg]]</f>
        <v>0.35</v>
      </c>
      <c r="CN1131" s="16">
        <f>RecData[[#This Row],[Wind Dir. avg]]</f>
        <v>217</v>
      </c>
      <c r="CO1131" s="16">
        <f>RecData[[#This Row],[Amb. Humidity]]</f>
        <v>49.6</v>
      </c>
      <c r="CP1131" s="16">
        <f>RecData[[#This Row],[Amb. Temperature]]</f>
        <v>13</v>
      </c>
      <c r="CQ1131" s="17">
        <f>RecData[[#This Row],[Amb. Rain Gauge]]</f>
        <v>0</v>
      </c>
      <c r="CR1131" s="4" t="s">
        <v>1</v>
      </c>
      <c r="CS1131" s="4" t="s">
        <v>49</v>
      </c>
      <c r="CT1131" s="70">
        <v>1525.15283203125</v>
      </c>
      <c r="CU1131" s="70">
        <v>30.000255584716701</v>
      </c>
      <c r="CV1131" s="70">
        <v>9.5212535858154297</v>
      </c>
      <c r="CW1131" s="70">
        <v>15.284537315368601</v>
      </c>
      <c r="CX1131" s="4"/>
      <c r="CY1131" s="69"/>
      <c r="CZ1131" s="2" t="b">
        <f>IF($DP$1="YES",IF(RecData[[#This Row],[Power (kW)]]&gt;=$CR$3, TRUE,FALSE),TRUE)</f>
        <v>1</v>
      </c>
      <c r="DA1131" s="16">
        <f>MIN(MOD(180-ABS(ABS($DA$1-RecData[Yaw Angle (°)])-180),360),MOD(180-ABS(ABS($DB$1-RecData[Yaw Angle (°)])-180),360))</f>
        <v>22.470328807029148</v>
      </c>
      <c r="DB1131" s="2" t="str">
        <f>IF($DP$2="None","None",IF(RecData[[#This Row],[Relative Wind Direction]]&lt;=45,"DW",IF(RecData[[#This Row],[Relative Wind Direction]]&lt;=135,"CW","UW")))</f>
        <v>DW</v>
      </c>
      <c r="DC1131" s="61" t="e">
        <f>IF($CL1131-#REF!&gt;1/24,#REF!,IF(SUM($CQ1128:$CQ1131)&gt;$DS$1,$DS$5,DC1132-1))</f>
        <v>#REF!</v>
      </c>
      <c r="DD1131" s="61" t="e">
        <f>IF($CL1132-$CL1131&gt;1/24,#REF!,IF(SUM($CQ1128:$CQ1131)&gt;$DS$1,$DS$6,DD1130-1))</f>
        <v>#REF!</v>
      </c>
      <c r="DE1131" s="18" t="b">
        <v>0</v>
      </c>
      <c r="DF1131" s="2" t="b">
        <f>IF(OR(RecData[[#This Row],[WSpd_Avg '[m/s']]]-RecData[[#This Row],[Wind Speed min]]&gt;=$DF$3,RecData[[#This Row],[Wind Speed max]]-RecData[[#This Row],[WSpd_Avg '[m/s']]]&gt;=$DF$2),TRUE,FALSE)</f>
        <v>0</v>
      </c>
      <c r="DG1131" s="2" t="b">
        <f>RecData[[#This Row],[Temperature '[°C']]]&lt;=-20</f>
        <v>0</v>
      </c>
      <c r="DH1131" s="18" t="b">
        <f>NOT(OR(MOD(RecData[[#This Row],[TIMESTAMP]],1)&gt;0.91632,MOD(RecData[[#This Row],[TIMESTAMP]],1)&lt;0.208681))</f>
        <v>0</v>
      </c>
      <c r="DI1131" s="18" t="b">
        <f>RecData[[#This Row],[Overall (dBA)]]-RecData[[#This Row],[L90]]&gt;=$DS$4</f>
        <v>0</v>
      </c>
      <c r="DJ1131" s="18" t="b">
        <f>RecData[[#This Row],[Overall (dBA)]]&gt;$DS$2</f>
        <v>0</v>
      </c>
      <c r="DK1131" s="18" t="b">
        <f>RecData[[#This Row],[Overall (dBA)]]&lt;$DS$3</f>
        <v>0</v>
      </c>
      <c r="DL11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1" s="2">
        <f>IF(AND(RecData[[#This Row],[Turbines ON/OFF]] = "OFF", NOT(OR(RecData[[#This Row],[Junk?]]="YES",RecData[[#This Row],[Gust?]],RecData[[#This Row],[Rain?]:[Min SPL Threshold?]]))),1,0)</f>
        <v>0</v>
      </c>
      <c r="DN1131" s="16">
        <f>RecData[[#This Row],[dBA Sum]]</f>
        <v>38.150044445033501</v>
      </c>
      <c r="DO1131" s="16">
        <f>RecData[[#This Row],[LAF90.0]]</f>
        <v>36.4</v>
      </c>
      <c r="DP1131" s="55">
        <f>IF(AND(RecData[[#This Row],[Useable TON Data?]],RecData[[#This Row],[Turbines ON/OFF]]="ON"),RecData[[#This Row],[dBA Sum]],"")</f>
        <v>38.150044445033501</v>
      </c>
      <c r="DQ1131" s="55" t="str">
        <f>IF(AND(RecData[[#This Row],[Useable Background Data?]],RecData[[#This Row],[Turbines ON/OFF]]="OFF"),RecData[[#This Row],[dBA Sum]],"")</f>
        <v/>
      </c>
      <c r="DR1131" s="3">
        <f>IF(OR(RecData[[#This Row],[Useable TON Data?]],RecData[[#This Row],[Useable Background Data?]]),ROUND(RecData[[#This Row],[WSpd_Avg '[m/s']]],0),"")</f>
        <v>0</v>
      </c>
      <c r="DS1131" s="85">
        <f>(0.00002)^2*(10^(RecData[[#This Row],[Overall (dBA)]]/10))</f>
        <v>2.6125489468797046E-6</v>
      </c>
    </row>
    <row r="1132" spans="1:123" ht="15" x14ac:dyDescent="0.25">
      <c r="A1132" s="3" t="s">
        <v>249</v>
      </c>
      <c r="B1132" s="12">
        <v>43275.997222222228</v>
      </c>
      <c r="C1132" s="3"/>
      <c r="D1132" s="3">
        <v>38.4</v>
      </c>
      <c r="E1132" s="3"/>
      <c r="F1132" s="3"/>
      <c r="G1132" s="3"/>
      <c r="H1132" s="3"/>
      <c r="I1132" s="3"/>
      <c r="J1132" s="3"/>
      <c r="K1132" s="3">
        <v>36.9</v>
      </c>
      <c r="L1132" s="3"/>
      <c r="M1132" s="3"/>
      <c r="N1132" s="3">
        <v>229.7</v>
      </c>
      <c r="O1132" s="3"/>
      <c r="P1132" s="3"/>
      <c r="Q1132" s="3">
        <v>0.36</v>
      </c>
      <c r="R1132" s="3">
        <v>0</v>
      </c>
      <c r="S1132" s="3">
        <v>0.8</v>
      </c>
      <c r="T1132" s="3">
        <v>13</v>
      </c>
      <c r="U1132" s="3">
        <v>51.9</v>
      </c>
      <c r="V1132" s="3">
        <v>977.2</v>
      </c>
      <c r="W1132" s="3">
        <v>0</v>
      </c>
      <c r="X1132" s="3">
        <v>44.6</v>
      </c>
      <c r="Y1132" s="3">
        <v>44</v>
      </c>
      <c r="Z1132" s="3">
        <v>43.1</v>
      </c>
      <c r="AA1132" s="3">
        <v>39</v>
      </c>
      <c r="AB1132" s="3">
        <v>34.9</v>
      </c>
      <c r="AC1132" s="3">
        <v>33.200000000000003</v>
      </c>
      <c r="AD1132" s="3">
        <v>37.299999999999997</v>
      </c>
      <c r="AE1132" s="3">
        <v>39.799999999999997</v>
      </c>
      <c r="AF1132" s="3">
        <v>43.7</v>
      </c>
      <c r="AG1132" s="3">
        <v>38.299999999999997</v>
      </c>
      <c r="AH1132" s="3">
        <v>37.6</v>
      </c>
      <c r="AI1132" s="3">
        <v>38.200000000000003</v>
      </c>
      <c r="AJ1132" s="3">
        <v>36.4</v>
      </c>
      <c r="AK1132" s="3">
        <v>34.4</v>
      </c>
      <c r="AL1132" s="3">
        <v>31.5</v>
      </c>
      <c r="AM1132" s="3">
        <v>30.4</v>
      </c>
      <c r="AN1132" s="3">
        <v>27.8</v>
      </c>
      <c r="AO1132" s="3">
        <v>24</v>
      </c>
      <c r="AP1132" s="3">
        <v>22</v>
      </c>
      <c r="AQ1132" s="3">
        <v>19.899999999999999</v>
      </c>
      <c r="AR1132" s="3">
        <v>17</v>
      </c>
      <c r="AS1132" s="3">
        <v>15.1</v>
      </c>
      <c r="AT1132" s="3">
        <v>17.5</v>
      </c>
      <c r="AU1132" s="3">
        <v>11</v>
      </c>
      <c r="AV1132" s="3">
        <v>9.9</v>
      </c>
      <c r="AW1132" s="3">
        <v>9.6</v>
      </c>
      <c r="AX1132" s="3">
        <v>9.1</v>
      </c>
      <c r="AY1132" s="3">
        <v>9.1999999999999993</v>
      </c>
      <c r="AZ1132" s="3">
        <v>0</v>
      </c>
      <c r="BA1132" s="3">
        <v>0</v>
      </c>
      <c r="BB1132" s="3">
        <v>0</v>
      </c>
      <c r="BC1132" s="3">
        <v>38.409473471819517</v>
      </c>
      <c r="BD1132" s="3">
        <v>44.590526528180483</v>
      </c>
      <c r="BE1132" s="3">
        <v>43.990526528180489</v>
      </c>
      <c r="BF1132" s="3">
        <v>41.850526528180474</v>
      </c>
      <c r="BG1132" s="3">
        <v>38.077193194847148</v>
      </c>
      <c r="BH1132" s="3">
        <v>34.117193194847154</v>
      </c>
      <c r="BI1132" s="3">
        <v>32.830526528180492</v>
      </c>
      <c r="BJ1132" s="3">
        <v>37.723859861513809</v>
      </c>
      <c r="BK1132" s="3">
        <v>40.097193194847144</v>
      </c>
      <c r="BL1132" s="3">
        <v>43.570526528180487</v>
      </c>
      <c r="BM1132" s="3">
        <v>38.303859861513821</v>
      </c>
      <c r="BN1132" s="3">
        <v>37.88719319484715</v>
      </c>
      <c r="BO1132" s="3">
        <v>37.853859861513818</v>
      </c>
      <c r="BP1132" s="3">
        <v>35.77052652818049</v>
      </c>
      <c r="BQ1132" s="3">
        <v>34.187193194847147</v>
      </c>
      <c r="BR1132" s="3">
        <v>31.613859861513824</v>
      </c>
      <c r="BS1132" s="3">
        <v>30.317193194847142</v>
      </c>
      <c r="BT1132" s="3">
        <v>27.913859861513821</v>
      </c>
      <c r="BU1132" s="3">
        <v>24.080526528180485</v>
      </c>
      <c r="BV1132" s="3">
        <v>21.797193194847146</v>
      </c>
      <c r="BW1132" s="3">
        <v>20.230526528180484</v>
      </c>
      <c r="BX1132" s="3">
        <v>17.250526528180487</v>
      </c>
      <c r="BY1132" s="3">
        <v>15.170526528180481</v>
      </c>
      <c r="BZ1132" s="3">
        <v>17.700526528180482</v>
      </c>
      <c r="CA1132" s="3">
        <v>11.300526528180477</v>
      </c>
      <c r="CB1132" s="3">
        <v>9.6371931948471499</v>
      </c>
      <c r="CC1132" s="3">
        <v>9.5505265281804768</v>
      </c>
      <c r="CD1132" s="3">
        <v>8.3571931948471487</v>
      </c>
      <c r="CE1132" s="3">
        <v>8.6505265281804782</v>
      </c>
      <c r="CF1132" s="3">
        <v>-0.93614013848618782</v>
      </c>
      <c r="CG1132" s="3">
        <v>-1.4694734718195193</v>
      </c>
      <c r="CH1132" s="3">
        <v>-2.5461401384861873</v>
      </c>
      <c r="CI1132" s="13">
        <f>[1]!dbasum(RecData[[#This Row],[20]:[2000]],RecData[[#Headers],[20]:[2000]])</f>
        <v>38.184125175219719</v>
      </c>
      <c r="CJ1132" s="14">
        <v>10717</v>
      </c>
      <c r="CK1132" s="15" t="s">
        <v>249</v>
      </c>
      <c r="CL1132" s="15">
        <f>RecData[[#This Row],[Start Time]]</f>
        <v>43275.997222222228</v>
      </c>
      <c r="CM1132" s="16">
        <f>RecData[[#This Row],[Wind Speed avg]]</f>
        <v>0.36</v>
      </c>
      <c r="CN1132" s="16">
        <f>RecData[[#This Row],[Wind Dir. avg]]</f>
        <v>229.7</v>
      </c>
      <c r="CO1132" s="16">
        <f>RecData[[#This Row],[Amb. Humidity]]</f>
        <v>51.9</v>
      </c>
      <c r="CP1132" s="16">
        <f>RecData[[#This Row],[Amb. Temperature]]</f>
        <v>13</v>
      </c>
      <c r="CQ1132" s="17">
        <f>RecData[[#This Row],[Amb. Rain Gauge]]</f>
        <v>0</v>
      </c>
      <c r="CR1132" s="4" t="s">
        <v>1</v>
      </c>
      <c r="CS1132" s="4" t="s">
        <v>49</v>
      </c>
      <c r="CT1132" s="70">
        <v>1525.15283203125</v>
      </c>
      <c r="CU1132" s="70">
        <v>30.000255584716701</v>
      </c>
      <c r="CV1132" s="70">
        <v>9.5212535858154297</v>
      </c>
      <c r="CW1132" s="70">
        <v>15.284537315368601</v>
      </c>
      <c r="CX1132" s="4"/>
      <c r="CY1132" s="69"/>
      <c r="CZ1132" s="2" t="b">
        <f>IF($DP$1="YES",IF(RecData[[#This Row],[Power (kW)]]&gt;=$CR$3, TRUE,FALSE),TRUE)</f>
        <v>1</v>
      </c>
      <c r="DA1132" s="16">
        <f>MIN(MOD(180-ABS(ABS($DA$1-RecData[Yaw Angle (°)])-180),360),MOD(180-ABS(ABS($DB$1-RecData[Yaw Angle (°)])-180),360))</f>
        <v>22.470328807029148</v>
      </c>
      <c r="DB1132" s="2" t="str">
        <f>IF($DP$2="None","None",IF(RecData[[#This Row],[Relative Wind Direction]]&lt;=45,"DW",IF(RecData[[#This Row],[Relative Wind Direction]]&lt;=135,"CW","UW")))</f>
        <v>DW</v>
      </c>
      <c r="DC1132" s="61">
        <f>IF($CL1132-$CL1128&gt;1/24,#REF!,IF(SUM($CQ1128:$CQ1132)&gt;$DS$1,$DS$5,DC1133-1))</f>
        <v>-4</v>
      </c>
      <c r="DD1132" s="61" t="e">
        <f>IF($CL1133-$CL1132&gt;1/24,#REF!,IF(SUM($CQ1128:$CQ1132)&gt;$DS$1,$DS$6,DD1131-1))</f>
        <v>#REF!</v>
      </c>
      <c r="DE1132" s="18" t="b">
        <v>0</v>
      </c>
      <c r="DF1132" s="2" t="b">
        <f>IF(OR(RecData[[#This Row],[WSpd_Avg '[m/s']]]-RecData[[#This Row],[Wind Speed min]]&gt;=$DF$3,RecData[[#This Row],[Wind Speed max]]-RecData[[#This Row],[WSpd_Avg '[m/s']]]&gt;=$DF$2),TRUE,FALSE)</f>
        <v>0</v>
      </c>
      <c r="DG1132" s="2" t="b">
        <f>RecData[[#This Row],[Temperature '[°C']]]&lt;=-20</f>
        <v>0</v>
      </c>
      <c r="DH1132" s="18" t="b">
        <f>NOT(OR(MOD(RecData[[#This Row],[TIMESTAMP]],1)&gt;0.91632,MOD(RecData[[#This Row],[TIMESTAMP]],1)&lt;0.208681))</f>
        <v>0</v>
      </c>
      <c r="DI1132" s="18" t="b">
        <f>RecData[[#This Row],[Overall (dBA)]]-RecData[[#This Row],[L90]]&gt;=$DS$4</f>
        <v>0</v>
      </c>
      <c r="DJ1132" s="18" t="b">
        <f>RecData[[#This Row],[Overall (dBA)]]&gt;$DS$2</f>
        <v>0</v>
      </c>
      <c r="DK1132" s="18" t="b">
        <f>RecData[[#This Row],[Overall (dBA)]]&lt;$DS$3</f>
        <v>0</v>
      </c>
      <c r="DL11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2" s="2">
        <f>IF(AND(RecData[[#This Row],[Turbines ON/OFF]] = "OFF", NOT(OR(RecData[[#This Row],[Junk?]]="YES",RecData[[#This Row],[Gust?]],RecData[[#This Row],[Rain?]:[Min SPL Threshold?]]))),1,0)</f>
        <v>0</v>
      </c>
      <c r="DN1132" s="16">
        <f>RecData[[#This Row],[dBA Sum]]</f>
        <v>38.184125175219719</v>
      </c>
      <c r="DO1132" s="16">
        <f>RecData[[#This Row],[LAF90.0]]</f>
        <v>36.9</v>
      </c>
      <c r="DP1132" s="55">
        <f>IF(AND(RecData[[#This Row],[Useable TON Data?]],RecData[[#This Row],[Turbines ON/OFF]]="ON"),RecData[[#This Row],[dBA Sum]],"")</f>
        <v>38.184125175219719</v>
      </c>
      <c r="DQ1132" s="55" t="str">
        <f>IF(AND(RecData[[#This Row],[Useable Background Data?]],RecData[[#This Row],[Turbines ON/OFF]]="OFF"),RecData[[#This Row],[dBA Sum]],"")</f>
        <v/>
      </c>
      <c r="DR1132" s="3">
        <f>IF(OR(RecData[[#This Row],[Useable TON Data?]],RecData[[#This Row],[Useable Background Data?]]),ROUND(RecData[[#This Row],[WSpd_Avg '[m/s']]],0),"")</f>
        <v>0</v>
      </c>
      <c r="DS1132" s="85">
        <f>(0.00002)^2*(10^(RecData[[#This Row],[Overall (dBA)]]/10))</f>
        <v>2.633131259315578E-6</v>
      </c>
    </row>
    <row r="1133" spans="1:123" ht="15" x14ac:dyDescent="0.25">
      <c r="A1133" s="3" t="s">
        <v>249</v>
      </c>
      <c r="B1133" s="12">
        <v>43275.997916666667</v>
      </c>
      <c r="C1133" s="3"/>
      <c r="D1133" s="3">
        <v>39.299999999999997</v>
      </c>
      <c r="E1133" s="3"/>
      <c r="F1133" s="3"/>
      <c r="G1133" s="3"/>
      <c r="H1133" s="3"/>
      <c r="I1133" s="3"/>
      <c r="J1133" s="3"/>
      <c r="K1133" s="3">
        <v>37.9</v>
      </c>
      <c r="L1133" s="3"/>
      <c r="M1133" s="3"/>
      <c r="N1133" s="3">
        <v>240.7</v>
      </c>
      <c r="O1133" s="3"/>
      <c r="P1133" s="3"/>
      <c r="Q1133" s="3">
        <v>0.46</v>
      </c>
      <c r="R1133" s="3">
        <v>0.1</v>
      </c>
      <c r="S1133" s="3">
        <v>1</v>
      </c>
      <c r="T1133" s="3">
        <v>12.9</v>
      </c>
      <c r="U1133" s="3">
        <v>54.2</v>
      </c>
      <c r="V1133" s="3">
        <v>977.2</v>
      </c>
      <c r="W1133" s="3">
        <v>0</v>
      </c>
      <c r="X1133" s="3">
        <v>44.6</v>
      </c>
      <c r="Y1133" s="3">
        <v>43.7</v>
      </c>
      <c r="Z1133" s="3">
        <v>43.1</v>
      </c>
      <c r="AA1133" s="3">
        <v>38.799999999999997</v>
      </c>
      <c r="AB1133" s="3">
        <v>34.799999999999997</v>
      </c>
      <c r="AC1133" s="3">
        <v>35</v>
      </c>
      <c r="AD1133" s="3">
        <v>39.200000000000003</v>
      </c>
      <c r="AE1133" s="3">
        <v>41.1</v>
      </c>
      <c r="AF1133" s="3">
        <v>45</v>
      </c>
      <c r="AG1133" s="3">
        <v>39.5</v>
      </c>
      <c r="AH1133" s="3">
        <v>38.9</v>
      </c>
      <c r="AI1133" s="3">
        <v>38.9</v>
      </c>
      <c r="AJ1133" s="3">
        <v>37.200000000000003</v>
      </c>
      <c r="AK1133" s="3">
        <v>35.4</v>
      </c>
      <c r="AL1133" s="3">
        <v>32.4</v>
      </c>
      <c r="AM1133" s="3">
        <v>31.2</v>
      </c>
      <c r="AN1133" s="3">
        <v>28.4</v>
      </c>
      <c r="AO1133" s="3">
        <v>24.6</v>
      </c>
      <c r="AP1133" s="3">
        <v>22.4</v>
      </c>
      <c r="AQ1133" s="3">
        <v>19.600000000000001</v>
      </c>
      <c r="AR1133" s="3">
        <v>15.5</v>
      </c>
      <c r="AS1133" s="3">
        <v>15.1</v>
      </c>
      <c r="AT1133" s="3">
        <v>19.3</v>
      </c>
      <c r="AU1133" s="3">
        <v>11.1</v>
      </c>
      <c r="AV1133" s="3">
        <v>9.9</v>
      </c>
      <c r="AW1133" s="3">
        <v>9.4</v>
      </c>
      <c r="AX1133" s="3">
        <v>9</v>
      </c>
      <c r="AY1133" s="3">
        <v>9.1</v>
      </c>
      <c r="AZ1133" s="3">
        <v>0</v>
      </c>
      <c r="BA1133" s="3">
        <v>0</v>
      </c>
      <c r="BB1133" s="3">
        <v>0</v>
      </c>
      <c r="BC1133" s="3">
        <v>39.282614263288444</v>
      </c>
      <c r="BD1133" s="3">
        <v>44.617385736711562</v>
      </c>
      <c r="BE1133" s="3">
        <v>43.717385736711556</v>
      </c>
      <c r="BF1133" s="3">
        <v>41.877385736711553</v>
      </c>
      <c r="BG1133" s="3">
        <v>37.904052403378223</v>
      </c>
      <c r="BH1133" s="3">
        <v>34.04405240337821</v>
      </c>
      <c r="BI1133" s="3">
        <v>34.657385736711554</v>
      </c>
      <c r="BJ1133" s="3">
        <v>39.650719070044893</v>
      </c>
      <c r="BK1133" s="3">
        <v>41.424052403378219</v>
      </c>
      <c r="BL1133" s="3">
        <v>44.897385736711563</v>
      </c>
      <c r="BM1133" s="3">
        <v>39.530719070044888</v>
      </c>
      <c r="BN1133" s="3">
        <v>39.214052403378226</v>
      </c>
      <c r="BO1133" s="3">
        <v>38.580719070044886</v>
      </c>
      <c r="BP1133" s="3">
        <v>36.597385736711551</v>
      </c>
      <c r="BQ1133" s="3">
        <v>35.214052403378211</v>
      </c>
      <c r="BR1133" s="3">
        <v>32.540719070044879</v>
      </c>
      <c r="BS1133" s="3">
        <v>31.144052403378218</v>
      </c>
      <c r="BT1133" s="3">
        <v>28.540719070044879</v>
      </c>
      <c r="BU1133" s="3">
        <v>24.707385736711558</v>
      </c>
      <c r="BV1133" s="3">
        <v>22.224052403378217</v>
      </c>
      <c r="BW1133" s="3">
        <v>19.957385736711558</v>
      </c>
      <c r="BX1133" s="3">
        <v>15.777385736711558</v>
      </c>
      <c r="BY1133" s="3">
        <v>15.197385736711553</v>
      </c>
      <c r="BZ1133" s="3">
        <v>19.527385736711558</v>
      </c>
      <c r="CA1133" s="3">
        <v>11.42738573671155</v>
      </c>
      <c r="CB1133" s="3">
        <v>9.6640524033782143</v>
      </c>
      <c r="CC1133" s="3">
        <v>9.3773857367115525</v>
      </c>
      <c r="CD1133" s="3">
        <v>8.2840524033782259</v>
      </c>
      <c r="CE1133" s="3">
        <v>8.5773857367115554</v>
      </c>
      <c r="CF1133" s="3">
        <v>-0.90928092995511633</v>
      </c>
      <c r="CG1133" s="3">
        <v>-1.4426142632884478</v>
      </c>
      <c r="CH1133" s="3">
        <v>-2.5192809299551158</v>
      </c>
      <c r="CI1133" s="13">
        <f>[1]!dbasum(RecData[[#This Row],[20]:[2000]],RecData[[#Headers],[20]:[2000]])</f>
        <v>39.085575358826226</v>
      </c>
      <c r="CJ1133" s="14">
        <v>10718</v>
      </c>
      <c r="CK1133" s="15" t="s">
        <v>249</v>
      </c>
      <c r="CL1133" s="15">
        <f>RecData[[#This Row],[Start Time]]</f>
        <v>43275.997916666667</v>
      </c>
      <c r="CM1133" s="16">
        <f>RecData[[#This Row],[Wind Speed avg]]</f>
        <v>0.46</v>
      </c>
      <c r="CN1133" s="16">
        <f>RecData[[#This Row],[Wind Dir. avg]]</f>
        <v>240.7</v>
      </c>
      <c r="CO1133" s="16">
        <f>RecData[[#This Row],[Amb. Humidity]]</f>
        <v>54.2</v>
      </c>
      <c r="CP1133" s="16">
        <f>RecData[[#This Row],[Amb. Temperature]]</f>
        <v>12.9</v>
      </c>
      <c r="CQ1133" s="17">
        <f>RecData[[#This Row],[Amb. Rain Gauge]]</f>
        <v>0</v>
      </c>
      <c r="CR1133" s="4" t="s">
        <v>1</v>
      </c>
      <c r="CS1133" s="4" t="s">
        <v>49</v>
      </c>
      <c r="CT1133" s="70">
        <v>1525.15283203125</v>
      </c>
      <c r="CU1133" s="70">
        <v>30.000255584716701</v>
      </c>
      <c r="CV1133" s="70">
        <v>9.5212535858154297</v>
      </c>
      <c r="CW1133" s="70">
        <v>15.284537315368601</v>
      </c>
      <c r="CX1133" s="4"/>
      <c r="CY1133" s="69"/>
      <c r="CZ1133" s="2" t="b">
        <f>IF($DP$1="YES",IF(RecData[[#This Row],[Power (kW)]]&gt;=$CR$3, TRUE,FALSE),TRUE)</f>
        <v>1</v>
      </c>
      <c r="DA1133" s="16">
        <f>MIN(MOD(180-ABS(ABS($DA$1-RecData[Yaw Angle (°)])-180),360),MOD(180-ABS(ABS($DB$1-RecData[Yaw Angle (°)])-180),360))</f>
        <v>22.470328807029148</v>
      </c>
      <c r="DB1133" s="2" t="str">
        <f>IF($DP$2="None","None",IF(RecData[[#This Row],[Relative Wind Direction]]&lt;=45,"DW",IF(RecData[[#This Row],[Relative Wind Direction]]&lt;=135,"CW","UW")))</f>
        <v>DW</v>
      </c>
      <c r="DC1133" s="61">
        <f>IF($CL1133-$CL1129&gt;1/24,#REF!,IF(SUM($CQ1129:$CQ1133)&gt;$DS$1,$DS$5,DC1134-1))</f>
        <v>-3</v>
      </c>
      <c r="DD1133" s="61" t="e">
        <f>IF($CL1134-$CL1133&gt;1/24,#REF!,IF(SUM($CQ1129:$CQ1133)&gt;$DS$1,$DS$6,DD1132-1))</f>
        <v>#REF!</v>
      </c>
      <c r="DE1133" s="18" t="b">
        <v>0</v>
      </c>
      <c r="DF1133" s="2" t="b">
        <f>IF(OR(RecData[[#This Row],[WSpd_Avg '[m/s']]]-RecData[[#This Row],[Wind Speed min]]&gt;=$DF$3,RecData[[#This Row],[Wind Speed max]]-RecData[[#This Row],[WSpd_Avg '[m/s']]]&gt;=$DF$2),TRUE,FALSE)</f>
        <v>0</v>
      </c>
      <c r="DG1133" s="2" t="b">
        <f>RecData[[#This Row],[Temperature '[°C']]]&lt;=-20</f>
        <v>0</v>
      </c>
      <c r="DH1133" s="18" t="b">
        <f>NOT(OR(MOD(RecData[[#This Row],[TIMESTAMP]],1)&gt;0.91632,MOD(RecData[[#This Row],[TIMESTAMP]],1)&lt;0.208681))</f>
        <v>0</v>
      </c>
      <c r="DI1133" s="18" t="b">
        <f>RecData[[#This Row],[Overall (dBA)]]-RecData[[#This Row],[L90]]&gt;=$DS$4</f>
        <v>0</v>
      </c>
      <c r="DJ1133" s="18" t="b">
        <f>RecData[[#This Row],[Overall (dBA)]]&gt;$DS$2</f>
        <v>0</v>
      </c>
      <c r="DK1133" s="18" t="b">
        <f>RecData[[#This Row],[Overall (dBA)]]&lt;$DS$3</f>
        <v>0</v>
      </c>
      <c r="DL11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3" s="2">
        <f>IF(AND(RecData[[#This Row],[Turbines ON/OFF]] = "OFF", NOT(OR(RecData[[#This Row],[Junk?]]="YES",RecData[[#This Row],[Gust?]],RecData[[#This Row],[Rain?]:[Min SPL Threshold?]]))),1,0)</f>
        <v>0</v>
      </c>
      <c r="DN1133" s="16">
        <f>RecData[[#This Row],[dBA Sum]]</f>
        <v>39.085575358826226</v>
      </c>
      <c r="DO1133" s="16">
        <f>RecData[[#This Row],[LAF90.0]]</f>
        <v>37.9</v>
      </c>
      <c r="DP1133" s="55">
        <f>IF(AND(RecData[[#This Row],[Useable TON Data?]],RecData[[#This Row],[Turbines ON/OFF]]="ON"),RecData[[#This Row],[dBA Sum]],"")</f>
        <v>39.085575358826226</v>
      </c>
      <c r="DQ1133" s="55" t="str">
        <f>IF(AND(RecData[[#This Row],[Useable Background Data?]],RecData[[#This Row],[Turbines ON/OFF]]="OFF"),RecData[[#This Row],[dBA Sum]],"")</f>
        <v/>
      </c>
      <c r="DR1133" s="3">
        <f>IF(OR(RecData[[#This Row],[Useable TON Data?]],RecData[[#This Row],[Useable Background Data?]]),ROUND(RecData[[#This Row],[WSpd_Avg '[m/s']]],0),"")</f>
        <v>0</v>
      </c>
      <c r="DS1133" s="85">
        <f>(0.00002)^2*(10^(RecData[[#This Row],[Overall (dBA)]]/10))</f>
        <v>3.2405410492643936E-6</v>
      </c>
    </row>
    <row r="1134" spans="1:123" ht="15" x14ac:dyDescent="0.25">
      <c r="A1134" s="3" t="s">
        <v>249</v>
      </c>
      <c r="B1134" s="12">
        <v>43275.998611111114</v>
      </c>
      <c r="C1134" s="3"/>
      <c r="D1134" s="3">
        <v>37.6</v>
      </c>
      <c r="E1134" s="3"/>
      <c r="F1134" s="3"/>
      <c r="G1134" s="3"/>
      <c r="H1134" s="3"/>
      <c r="I1134" s="3"/>
      <c r="J1134" s="3"/>
      <c r="K1134" s="3">
        <v>36.200000000000003</v>
      </c>
      <c r="L1134" s="3"/>
      <c r="M1134" s="3"/>
      <c r="N1134" s="3">
        <v>199.5</v>
      </c>
      <c r="O1134" s="3"/>
      <c r="P1134" s="3"/>
      <c r="Q1134" s="3">
        <v>0.5</v>
      </c>
      <c r="R1134" s="3">
        <v>0.3</v>
      </c>
      <c r="S1134" s="3">
        <v>0.7</v>
      </c>
      <c r="T1134" s="3">
        <v>12.8</v>
      </c>
      <c r="U1134" s="3">
        <v>49.2</v>
      </c>
      <c r="V1134" s="3">
        <v>977.3</v>
      </c>
      <c r="W1134" s="3">
        <v>0</v>
      </c>
      <c r="X1134" s="3">
        <v>43.4</v>
      </c>
      <c r="Y1134" s="3">
        <v>42.8</v>
      </c>
      <c r="Z1134" s="3">
        <v>42.5</v>
      </c>
      <c r="AA1134" s="3">
        <v>38.200000000000003</v>
      </c>
      <c r="AB1134" s="3">
        <v>34.799999999999997</v>
      </c>
      <c r="AC1134" s="3">
        <v>33.9</v>
      </c>
      <c r="AD1134" s="3">
        <v>36.799999999999997</v>
      </c>
      <c r="AE1134" s="3">
        <v>38.6</v>
      </c>
      <c r="AF1134" s="3">
        <v>42.1</v>
      </c>
      <c r="AG1134" s="3">
        <v>37.6</v>
      </c>
      <c r="AH1134" s="3">
        <v>36.700000000000003</v>
      </c>
      <c r="AI1134" s="3">
        <v>37.5</v>
      </c>
      <c r="AJ1134" s="3">
        <v>35.700000000000003</v>
      </c>
      <c r="AK1134" s="3">
        <v>34</v>
      </c>
      <c r="AL1134" s="3">
        <v>31.1</v>
      </c>
      <c r="AM1134" s="3">
        <v>29.7</v>
      </c>
      <c r="AN1134" s="3">
        <v>26.7</v>
      </c>
      <c r="AO1134" s="3">
        <v>22.9</v>
      </c>
      <c r="AP1134" s="3">
        <v>20.5</v>
      </c>
      <c r="AQ1134" s="3">
        <v>18</v>
      </c>
      <c r="AR1134" s="3">
        <v>14</v>
      </c>
      <c r="AS1134" s="3">
        <v>13.7</v>
      </c>
      <c r="AT1134" s="3">
        <v>18.899999999999999</v>
      </c>
      <c r="AU1134" s="3">
        <v>10.199999999999999</v>
      </c>
      <c r="AV1134" s="3">
        <v>10.4</v>
      </c>
      <c r="AW1134" s="3">
        <v>11</v>
      </c>
      <c r="AX1134" s="3">
        <v>10</v>
      </c>
      <c r="AY1134" s="3">
        <v>10</v>
      </c>
      <c r="AZ1134" s="3">
        <v>0</v>
      </c>
      <c r="BA1134" s="3">
        <v>0</v>
      </c>
      <c r="BB1134" s="3">
        <v>0</v>
      </c>
      <c r="BC1134" s="3">
        <v>37.631931527997978</v>
      </c>
      <c r="BD1134" s="3">
        <v>43.368068472002022</v>
      </c>
      <c r="BE1134" s="3">
        <v>42.768068472002028</v>
      </c>
      <c r="BF1134" s="3">
        <v>41.228068472002022</v>
      </c>
      <c r="BG1134" s="3">
        <v>37.254735138668693</v>
      </c>
      <c r="BH1134" s="3">
        <v>33.994735138668688</v>
      </c>
      <c r="BI1134" s="3">
        <v>33.508068472002023</v>
      </c>
      <c r="BJ1134" s="3">
        <v>37.201401805335351</v>
      </c>
      <c r="BK1134" s="3">
        <v>38.874735138668683</v>
      </c>
      <c r="BL1134" s="3">
        <v>41.948068472002035</v>
      </c>
      <c r="BM1134" s="3">
        <v>37.581401805335361</v>
      </c>
      <c r="BN1134" s="3">
        <v>36.964735138668686</v>
      </c>
      <c r="BO1134" s="3">
        <v>37.131401805335358</v>
      </c>
      <c r="BP1134" s="3">
        <v>35.048068472002029</v>
      </c>
      <c r="BQ1134" s="3">
        <v>33.764735138668684</v>
      </c>
      <c r="BR1134" s="3">
        <v>31.19140180533536</v>
      </c>
      <c r="BS1134" s="3">
        <v>29.594735138668682</v>
      </c>
      <c r="BT1134" s="3">
        <v>26.791401805335354</v>
      </c>
      <c r="BU1134" s="3">
        <v>22.958068472002026</v>
      </c>
      <c r="BV1134" s="3">
        <v>20.274735138668689</v>
      </c>
      <c r="BW1134" s="3">
        <v>18.308068472002027</v>
      </c>
      <c r="BX1134" s="3">
        <v>14.228068472002029</v>
      </c>
      <c r="BY1134" s="3">
        <v>13.748068472002018</v>
      </c>
      <c r="BZ1134" s="3">
        <v>19.07806847200203</v>
      </c>
      <c r="CA1134" s="3">
        <v>10.478068472002015</v>
      </c>
      <c r="CB1134" s="3">
        <v>10.114735138668692</v>
      </c>
      <c r="CC1134" s="3">
        <v>10.928068472002025</v>
      </c>
      <c r="CD1134" s="3">
        <v>9.2347351386686967</v>
      </c>
      <c r="CE1134" s="3">
        <v>9.4280684720020247</v>
      </c>
      <c r="CF1134" s="3">
        <v>-0.95859819466464558</v>
      </c>
      <c r="CG1134" s="3">
        <v>-1.491931527997977</v>
      </c>
      <c r="CH1134" s="3">
        <v>-2.568598194664645</v>
      </c>
      <c r="CI1134" s="13">
        <f>[1]!dbasum(RecData[[#This Row],[20]:[2000]],RecData[[#Headers],[20]:[2000]])</f>
        <v>37.340534635133409</v>
      </c>
      <c r="CJ1134" s="14">
        <v>10719</v>
      </c>
      <c r="CK1134" s="15" t="s">
        <v>249</v>
      </c>
      <c r="CL1134" s="15">
        <f>RecData[[#This Row],[Start Time]]</f>
        <v>43275.998611111114</v>
      </c>
      <c r="CM1134" s="16">
        <f>RecData[[#This Row],[Wind Speed avg]]</f>
        <v>0.5</v>
      </c>
      <c r="CN1134" s="16">
        <f>RecData[[#This Row],[Wind Dir. avg]]</f>
        <v>199.5</v>
      </c>
      <c r="CO1134" s="16">
        <f>RecData[[#This Row],[Amb. Humidity]]</f>
        <v>49.2</v>
      </c>
      <c r="CP1134" s="16">
        <f>RecData[[#This Row],[Amb. Temperature]]</f>
        <v>12.8</v>
      </c>
      <c r="CQ1134" s="17">
        <f>RecData[[#This Row],[Amb. Rain Gauge]]</f>
        <v>0</v>
      </c>
      <c r="CR1134" s="4" t="s">
        <v>1</v>
      </c>
      <c r="CS1134" s="4" t="s">
        <v>49</v>
      </c>
      <c r="CT1134" s="70">
        <v>1525.15283203125</v>
      </c>
      <c r="CU1134" s="70">
        <v>30.000255584716701</v>
      </c>
      <c r="CV1134" s="70">
        <v>9.5212535858154297</v>
      </c>
      <c r="CW1134" s="70">
        <v>15.284537315368601</v>
      </c>
      <c r="CX1134" s="4"/>
      <c r="CY1134" s="69"/>
      <c r="CZ1134" s="2" t="b">
        <f>IF($DP$1="YES",IF(RecData[[#This Row],[Power (kW)]]&gt;=$CR$3, TRUE,FALSE),TRUE)</f>
        <v>1</v>
      </c>
      <c r="DA1134" s="16">
        <f>MIN(MOD(180-ABS(ABS($DA$1-RecData[Yaw Angle (°)])-180),360),MOD(180-ABS(ABS($DB$1-RecData[Yaw Angle (°)])-180),360))</f>
        <v>22.470328807029148</v>
      </c>
      <c r="DB1134" s="2" t="str">
        <f>IF($DP$2="None","None",IF(RecData[[#This Row],[Relative Wind Direction]]&lt;=45,"DW",IF(RecData[[#This Row],[Relative Wind Direction]]&lt;=135,"CW","UW")))</f>
        <v>DW</v>
      </c>
      <c r="DC1134" s="61">
        <f>IF($CL1134-$CL1130&gt;1/24,#REF!,IF(SUM($CQ1130:$CQ1134)&gt;$DS$1,$DS$5,DC1135-1))</f>
        <v>-2</v>
      </c>
      <c r="DD1134" s="61" t="e">
        <f>IF($CL1135-$CL1134&gt;1/24,#REF!,IF(SUM($CQ1130:$CQ1134)&gt;$DS$1,$DS$6,DD1133-1))</f>
        <v>#REF!</v>
      </c>
      <c r="DE1134" s="18" t="b">
        <v>0</v>
      </c>
      <c r="DF1134" s="2" t="b">
        <f>IF(OR(RecData[[#This Row],[WSpd_Avg '[m/s']]]-RecData[[#This Row],[Wind Speed min]]&gt;=$DF$3,RecData[[#This Row],[Wind Speed max]]-RecData[[#This Row],[WSpd_Avg '[m/s']]]&gt;=$DF$2),TRUE,FALSE)</f>
        <v>0</v>
      </c>
      <c r="DG1134" s="2" t="b">
        <f>RecData[[#This Row],[Temperature '[°C']]]&lt;=-20</f>
        <v>0</v>
      </c>
      <c r="DH1134" s="18" t="b">
        <f>NOT(OR(MOD(RecData[[#This Row],[TIMESTAMP]],1)&gt;0.91632,MOD(RecData[[#This Row],[TIMESTAMP]],1)&lt;0.208681))</f>
        <v>0</v>
      </c>
      <c r="DI1134" s="18" t="b">
        <f>RecData[[#This Row],[Overall (dBA)]]-RecData[[#This Row],[L90]]&gt;=$DS$4</f>
        <v>0</v>
      </c>
      <c r="DJ1134" s="18" t="b">
        <f>RecData[[#This Row],[Overall (dBA)]]&gt;$DS$2</f>
        <v>0</v>
      </c>
      <c r="DK1134" s="18" t="b">
        <f>RecData[[#This Row],[Overall (dBA)]]&lt;$DS$3</f>
        <v>0</v>
      </c>
      <c r="DL11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4" s="2">
        <f>IF(AND(RecData[[#This Row],[Turbines ON/OFF]] = "OFF", NOT(OR(RecData[[#This Row],[Junk?]]="YES",RecData[[#This Row],[Gust?]],RecData[[#This Row],[Rain?]:[Min SPL Threshold?]]))),1,0)</f>
        <v>0</v>
      </c>
      <c r="DN1134" s="16">
        <f>RecData[[#This Row],[dBA Sum]]</f>
        <v>37.340534635133409</v>
      </c>
      <c r="DO1134" s="16">
        <f>RecData[[#This Row],[LAF90.0]]</f>
        <v>36.200000000000003</v>
      </c>
      <c r="DP1134" s="55">
        <f>IF(AND(RecData[[#This Row],[Useable TON Data?]],RecData[[#This Row],[Turbines ON/OFF]]="ON"),RecData[[#This Row],[dBA Sum]],"")</f>
        <v>37.340534635133409</v>
      </c>
      <c r="DQ1134" s="55" t="str">
        <f>IF(AND(RecData[[#This Row],[Useable Background Data?]],RecData[[#This Row],[Turbines ON/OFF]]="OFF"),RecData[[#This Row],[dBA Sum]],"")</f>
        <v/>
      </c>
      <c r="DR1134" s="3">
        <f>IF(OR(RecData[[#This Row],[Useable TON Data?]],RecData[[#This Row],[Useable Background Data?]]),ROUND(RecData[[#This Row],[WSpd_Avg '[m/s']]],0),"")</f>
        <v>1</v>
      </c>
      <c r="DS1134" s="85">
        <f>(0.00002)^2*(10^(RecData[[#This Row],[Overall (dBA)]]/10))</f>
        <v>2.1682704685715051E-6</v>
      </c>
    </row>
    <row r="1135" spans="1:123" ht="15" x14ac:dyDescent="0.25">
      <c r="A1135" s="3" t="s">
        <v>249</v>
      </c>
      <c r="B1135" s="12">
        <v>43275.999305555561</v>
      </c>
      <c r="C1135" s="3"/>
      <c r="D1135" s="3">
        <v>38.700000000000003</v>
      </c>
      <c r="E1135" s="3"/>
      <c r="F1135" s="3"/>
      <c r="G1135" s="3"/>
      <c r="H1135" s="3"/>
      <c r="I1135" s="3"/>
      <c r="J1135" s="3"/>
      <c r="K1135" s="3">
        <v>36.6</v>
      </c>
      <c r="L1135" s="3"/>
      <c r="M1135" s="3"/>
      <c r="N1135" s="3">
        <v>169.3</v>
      </c>
      <c r="O1135" s="3"/>
      <c r="P1135" s="3"/>
      <c r="Q1135" s="3">
        <v>0.5</v>
      </c>
      <c r="R1135" s="3">
        <v>0.2</v>
      </c>
      <c r="S1135" s="3">
        <v>0.9</v>
      </c>
      <c r="T1135" s="3">
        <v>12.8</v>
      </c>
      <c r="U1135" s="3">
        <v>49.6</v>
      </c>
      <c r="V1135" s="3">
        <v>977.3</v>
      </c>
      <c r="W1135" s="3">
        <v>0</v>
      </c>
      <c r="X1135" s="3">
        <v>44.4</v>
      </c>
      <c r="Y1135" s="3">
        <v>43.3</v>
      </c>
      <c r="Z1135" s="3">
        <v>43.1</v>
      </c>
      <c r="AA1135" s="3">
        <v>38.799999999999997</v>
      </c>
      <c r="AB1135" s="3">
        <v>35.299999999999997</v>
      </c>
      <c r="AC1135" s="3">
        <v>34.700000000000003</v>
      </c>
      <c r="AD1135" s="3">
        <v>37.5</v>
      </c>
      <c r="AE1135" s="3">
        <v>40.200000000000003</v>
      </c>
      <c r="AF1135" s="3">
        <v>44.4</v>
      </c>
      <c r="AG1135" s="3">
        <v>38.700000000000003</v>
      </c>
      <c r="AH1135" s="3">
        <v>38.1</v>
      </c>
      <c r="AI1135" s="3">
        <v>38.6</v>
      </c>
      <c r="AJ1135" s="3">
        <v>37</v>
      </c>
      <c r="AK1135" s="3">
        <v>34.9</v>
      </c>
      <c r="AL1135" s="3">
        <v>31.8</v>
      </c>
      <c r="AM1135" s="3">
        <v>30.3</v>
      </c>
      <c r="AN1135" s="3">
        <v>27.7</v>
      </c>
      <c r="AO1135" s="3">
        <v>23.9</v>
      </c>
      <c r="AP1135" s="3">
        <v>21.4</v>
      </c>
      <c r="AQ1135" s="3">
        <v>18.899999999999999</v>
      </c>
      <c r="AR1135" s="3">
        <v>14.8</v>
      </c>
      <c r="AS1135" s="3">
        <v>12.6</v>
      </c>
      <c r="AT1135" s="3">
        <v>18.100000000000001</v>
      </c>
      <c r="AU1135" s="3">
        <v>8.8000000000000007</v>
      </c>
      <c r="AV1135" s="3">
        <v>9.1</v>
      </c>
      <c r="AW1135" s="3">
        <v>9.5</v>
      </c>
      <c r="AX1135" s="3">
        <v>9.1999999999999993</v>
      </c>
      <c r="AY1135" s="3">
        <v>9.1999999999999993</v>
      </c>
      <c r="AZ1135" s="3">
        <v>0</v>
      </c>
      <c r="BA1135" s="3">
        <v>0</v>
      </c>
      <c r="BB1135" s="3">
        <v>0</v>
      </c>
      <c r="BC1135" s="3">
        <v>38.690565790257516</v>
      </c>
      <c r="BD1135" s="3">
        <v>44.409434209742479</v>
      </c>
      <c r="BE1135" s="3">
        <v>43.309434209742484</v>
      </c>
      <c r="BF1135" s="3">
        <v>41.869434209742487</v>
      </c>
      <c r="BG1135" s="3">
        <v>37.896100876409157</v>
      </c>
      <c r="BH1135" s="3">
        <v>34.536100876409144</v>
      </c>
      <c r="BI1135" s="3">
        <v>34.349434209742491</v>
      </c>
      <c r="BJ1135" s="3">
        <v>37.94276754307581</v>
      </c>
      <c r="BK1135" s="3">
        <v>40.516100876409162</v>
      </c>
      <c r="BL1135" s="3">
        <v>44.289434209742488</v>
      </c>
      <c r="BM1135" s="3">
        <v>38.722767543075825</v>
      </c>
      <c r="BN1135" s="3">
        <v>38.406100876409148</v>
      </c>
      <c r="BO1135" s="3">
        <v>38.272767543075823</v>
      </c>
      <c r="BP1135" s="3">
        <v>36.389434209742497</v>
      </c>
      <c r="BQ1135" s="3">
        <v>34.706100876409145</v>
      </c>
      <c r="BR1135" s="3">
        <v>31.932767543075819</v>
      </c>
      <c r="BS1135" s="3">
        <v>30.236100876409161</v>
      </c>
      <c r="BT1135" s="3">
        <v>27.832767543075825</v>
      </c>
      <c r="BU1135" s="3">
        <v>23.999434209742489</v>
      </c>
      <c r="BV1135" s="3">
        <v>21.216100876409151</v>
      </c>
      <c r="BW1135" s="3">
        <v>19.249434209742489</v>
      </c>
      <c r="BX1135" s="3">
        <v>15.069434209742489</v>
      </c>
      <c r="BY1135" s="3">
        <v>12.689434209742487</v>
      </c>
      <c r="BZ1135" s="3">
        <v>18.319434209742489</v>
      </c>
      <c r="CA1135" s="3">
        <v>9.1194342097424794</v>
      </c>
      <c r="CB1135" s="3">
        <v>8.8561008764091511</v>
      </c>
      <c r="CC1135" s="3">
        <v>9.469434209742488</v>
      </c>
      <c r="CD1135" s="3">
        <v>8.4761008764091557</v>
      </c>
      <c r="CE1135" s="3">
        <v>8.6694342097424837</v>
      </c>
      <c r="CF1135" s="3">
        <v>-0.91723245692418232</v>
      </c>
      <c r="CG1135" s="3">
        <v>-1.4505657902575138</v>
      </c>
      <c r="CH1135" s="3">
        <v>-2.5272324569241817</v>
      </c>
      <c r="CI1135" s="13">
        <f>[1]!dbasum(RecData[[#This Row],[20]:[2000]],RecData[[#Headers],[20]:[2000]])</f>
        <v>38.489841031820923</v>
      </c>
      <c r="CJ1135" s="14">
        <v>10720</v>
      </c>
      <c r="CK1135" s="15" t="s">
        <v>249</v>
      </c>
      <c r="CL1135" s="15">
        <f>RecData[[#This Row],[Start Time]]</f>
        <v>43275.999305555561</v>
      </c>
      <c r="CM1135" s="16">
        <f>RecData[[#This Row],[Wind Speed avg]]</f>
        <v>0.5</v>
      </c>
      <c r="CN1135" s="16">
        <f>RecData[[#This Row],[Wind Dir. avg]]</f>
        <v>169.3</v>
      </c>
      <c r="CO1135" s="16">
        <f>RecData[[#This Row],[Amb. Humidity]]</f>
        <v>49.6</v>
      </c>
      <c r="CP1135" s="16">
        <f>RecData[[#This Row],[Amb. Temperature]]</f>
        <v>12.8</v>
      </c>
      <c r="CQ1135" s="17">
        <f>RecData[[#This Row],[Amb. Rain Gauge]]</f>
        <v>0</v>
      </c>
      <c r="CR1135" s="4" t="s">
        <v>1</v>
      </c>
      <c r="CS1135" s="4" t="s">
        <v>49</v>
      </c>
      <c r="CT1135" s="70">
        <v>1525.15283203125</v>
      </c>
      <c r="CU1135" s="70">
        <v>30.000255584716701</v>
      </c>
      <c r="CV1135" s="70">
        <v>9.5212535858154297</v>
      </c>
      <c r="CW1135" s="70">
        <v>15.284537315368601</v>
      </c>
      <c r="CX1135" s="4"/>
      <c r="CY1135" s="69"/>
      <c r="CZ1135" s="2" t="b">
        <f>IF($DP$1="YES",IF(RecData[[#This Row],[Power (kW)]]&gt;=$CR$3, TRUE,FALSE),TRUE)</f>
        <v>1</v>
      </c>
      <c r="DA1135" s="16">
        <f>MIN(MOD(180-ABS(ABS($DA$1-RecData[Yaw Angle (°)])-180),360),MOD(180-ABS(ABS($DB$1-RecData[Yaw Angle (°)])-180),360))</f>
        <v>22.470328807029148</v>
      </c>
      <c r="DB1135" s="2" t="str">
        <f>IF($DP$2="None","None",IF(RecData[[#This Row],[Relative Wind Direction]]&lt;=45,"DW",IF(RecData[[#This Row],[Relative Wind Direction]]&lt;=135,"CW","UW")))</f>
        <v>DW</v>
      </c>
      <c r="DC1135" s="61">
        <v>-1</v>
      </c>
      <c r="DD1135" s="61">
        <v>-1</v>
      </c>
      <c r="DE1135" s="18" t="b">
        <v>0</v>
      </c>
      <c r="DF1135" s="2" t="b">
        <f>IF(OR(RecData[[#This Row],[WSpd_Avg '[m/s']]]-RecData[[#This Row],[Wind Speed min]]&gt;=$DF$3,RecData[[#This Row],[Wind Speed max]]-RecData[[#This Row],[WSpd_Avg '[m/s']]]&gt;=$DF$2),TRUE,FALSE)</f>
        <v>0</v>
      </c>
      <c r="DG1135" s="2" t="b">
        <f>RecData[[#This Row],[Temperature '[°C']]]&lt;=-20</f>
        <v>0</v>
      </c>
      <c r="DH1135" s="18" t="b">
        <f>NOT(OR(MOD(RecData[[#This Row],[TIMESTAMP]],1)&gt;0.91632,MOD(RecData[[#This Row],[TIMESTAMP]],1)&lt;0.208681))</f>
        <v>0</v>
      </c>
      <c r="DI1135" s="18" t="b">
        <f>RecData[[#This Row],[Overall (dBA)]]-RecData[[#This Row],[L90]]&gt;=$DS$4</f>
        <v>0</v>
      </c>
      <c r="DJ1135" s="18" t="b">
        <f>RecData[[#This Row],[Overall (dBA)]]&gt;$DS$2</f>
        <v>0</v>
      </c>
      <c r="DK1135" s="18" t="b">
        <f>RecData[[#This Row],[Overall (dBA)]]&lt;$DS$3</f>
        <v>0</v>
      </c>
      <c r="DL11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5" s="2">
        <f>IF(AND(RecData[[#This Row],[Turbines ON/OFF]] = "OFF", NOT(OR(RecData[[#This Row],[Junk?]]="YES",RecData[[#This Row],[Gust?]],RecData[[#This Row],[Rain?]:[Min SPL Threshold?]]))),1,0)</f>
        <v>0</v>
      </c>
      <c r="DN1135" s="16">
        <f>RecData[[#This Row],[dBA Sum]]</f>
        <v>38.489841031820923</v>
      </c>
      <c r="DO1135" s="16">
        <f>RecData[[#This Row],[LAF90.0]]</f>
        <v>36.6</v>
      </c>
      <c r="DP1135" s="55">
        <f>IF(AND(RecData[[#This Row],[Useable TON Data?]],RecData[[#This Row],[Turbines ON/OFF]]="ON"),RecData[[#This Row],[dBA Sum]],"")</f>
        <v>38.489841031820923</v>
      </c>
      <c r="DQ1135" s="55" t="str">
        <f>IF(AND(RecData[[#This Row],[Useable Background Data?]],RecData[[#This Row],[Turbines ON/OFF]]="OFF"),RecData[[#This Row],[dBA Sum]],"")</f>
        <v/>
      </c>
      <c r="DR1135" s="3">
        <f>IF(OR(RecData[[#This Row],[Useable TON Data?]],RecData[[#This Row],[Useable Background Data?]]),ROUND(RecData[[#This Row],[WSpd_Avg '[m/s']]],0),"")</f>
        <v>1</v>
      </c>
      <c r="DS1135" s="85">
        <f>(0.00002)^2*(10^(RecData[[#This Row],[Overall (dBA)]]/10))</f>
        <v>2.8251668033865321E-6</v>
      </c>
    </row>
    <row r="1136" spans="1:123" ht="15" x14ac:dyDescent="0.25">
      <c r="A1136" s="3" t="s">
        <v>249</v>
      </c>
      <c r="B1136" s="12">
        <v>43276</v>
      </c>
      <c r="C1136" s="3"/>
      <c r="D1136" s="3">
        <v>37.9</v>
      </c>
      <c r="E1136" s="3"/>
      <c r="F1136" s="3"/>
      <c r="G1136" s="3"/>
      <c r="H1136" s="3"/>
      <c r="I1136" s="3"/>
      <c r="J1136" s="3"/>
      <c r="K1136" s="3">
        <v>36.5</v>
      </c>
      <c r="L1136" s="3"/>
      <c r="M1136" s="3"/>
      <c r="N1136" s="3">
        <v>174.4</v>
      </c>
      <c r="O1136" s="3"/>
      <c r="P1136" s="3"/>
      <c r="Q1136" s="3">
        <v>0.68</v>
      </c>
      <c r="R1136" s="3">
        <v>0.3</v>
      </c>
      <c r="S1136" s="3">
        <v>1.3</v>
      </c>
      <c r="T1136" s="3">
        <v>12.7</v>
      </c>
      <c r="U1136" s="3">
        <v>49.5</v>
      </c>
      <c r="V1136" s="3">
        <v>977.3</v>
      </c>
      <c r="W1136" s="3">
        <v>0</v>
      </c>
      <c r="X1136" s="3">
        <v>44</v>
      </c>
      <c r="Y1136" s="3">
        <v>43.3</v>
      </c>
      <c r="Z1136" s="3">
        <v>42.5</v>
      </c>
      <c r="AA1136" s="3">
        <v>38.299999999999997</v>
      </c>
      <c r="AB1136" s="3">
        <v>34.5</v>
      </c>
      <c r="AC1136" s="3">
        <v>33.6</v>
      </c>
      <c r="AD1136" s="3">
        <v>37.4</v>
      </c>
      <c r="AE1136" s="3">
        <v>39.700000000000003</v>
      </c>
      <c r="AF1136" s="3">
        <v>44.2</v>
      </c>
      <c r="AG1136" s="3">
        <v>37.700000000000003</v>
      </c>
      <c r="AH1136" s="3">
        <v>37.299999999999997</v>
      </c>
      <c r="AI1136" s="3">
        <v>37.799999999999997</v>
      </c>
      <c r="AJ1136" s="3">
        <v>35.700000000000003</v>
      </c>
      <c r="AK1136" s="3">
        <v>34</v>
      </c>
      <c r="AL1136" s="3">
        <v>31</v>
      </c>
      <c r="AM1136" s="3">
        <v>29.5</v>
      </c>
      <c r="AN1136" s="3">
        <v>26.9</v>
      </c>
      <c r="AO1136" s="3">
        <v>23.4</v>
      </c>
      <c r="AP1136" s="3">
        <v>21.1</v>
      </c>
      <c r="AQ1136" s="3">
        <v>18.7</v>
      </c>
      <c r="AR1136" s="3">
        <v>14.6</v>
      </c>
      <c r="AS1136" s="3">
        <v>12.8</v>
      </c>
      <c r="AT1136" s="3">
        <v>17.100000000000001</v>
      </c>
      <c r="AU1136" s="3">
        <v>8.1999999999999993</v>
      </c>
      <c r="AV1136" s="3">
        <v>8.6</v>
      </c>
      <c r="AW1136" s="3">
        <v>9</v>
      </c>
      <c r="AX1136" s="3">
        <v>9</v>
      </c>
      <c r="AY1136" s="3">
        <v>9.1999999999999993</v>
      </c>
      <c r="AZ1136" s="3">
        <v>0</v>
      </c>
      <c r="BA1136" s="3">
        <v>0</v>
      </c>
      <c r="BB1136" s="3">
        <v>0</v>
      </c>
      <c r="BC1136" s="3">
        <v>37.901613336655707</v>
      </c>
      <c r="BD1136" s="3">
        <v>43.998386663344299</v>
      </c>
      <c r="BE1136" s="3">
        <v>43.298386663344282</v>
      </c>
      <c r="BF1136" s="3">
        <v>41.25838666334429</v>
      </c>
      <c r="BG1136" s="3">
        <v>37.385053330010955</v>
      </c>
      <c r="BH1136" s="3">
        <v>33.725053330010958</v>
      </c>
      <c r="BI1136" s="3">
        <v>33.238386663344293</v>
      </c>
      <c r="BJ1136" s="3">
        <v>37.831719996677613</v>
      </c>
      <c r="BK1136" s="3">
        <v>40.005053330010959</v>
      </c>
      <c r="BL1136" s="3">
        <v>44.078386663344297</v>
      </c>
      <c r="BM1136" s="3">
        <v>37.711719996677637</v>
      </c>
      <c r="BN1136" s="3">
        <v>37.595053330010963</v>
      </c>
      <c r="BO1136" s="3">
        <v>37.461719996677623</v>
      </c>
      <c r="BP1136" s="3">
        <v>35.078386663344297</v>
      </c>
      <c r="BQ1136" s="3">
        <v>33.795053330010951</v>
      </c>
      <c r="BR1136" s="3">
        <v>31.121719996677633</v>
      </c>
      <c r="BS1136" s="3">
        <v>29.425053330010961</v>
      </c>
      <c r="BT1136" s="3">
        <v>27.021719996677625</v>
      </c>
      <c r="BU1136" s="3">
        <v>23.488386663344293</v>
      </c>
      <c r="BV1136" s="3">
        <v>20.905053330010965</v>
      </c>
      <c r="BW1136" s="3">
        <v>19.038386663344291</v>
      </c>
      <c r="BX1136" s="3">
        <v>14.858386663344298</v>
      </c>
      <c r="BY1136" s="3">
        <v>12.878386663344294</v>
      </c>
      <c r="BZ1136" s="3">
        <v>17.308386663344301</v>
      </c>
      <c r="CA1136" s="3">
        <v>8.5083866633442824</v>
      </c>
      <c r="CB1136" s="3">
        <v>8.3450533300109555</v>
      </c>
      <c r="CC1136" s="3">
        <v>8.9583866633442923</v>
      </c>
      <c r="CD1136" s="3">
        <v>8.2650533300109643</v>
      </c>
      <c r="CE1136" s="3">
        <v>8.6583866633442881</v>
      </c>
      <c r="CF1136" s="3">
        <v>-0.92828000332237792</v>
      </c>
      <c r="CG1136" s="3">
        <v>-1.4616133366557094</v>
      </c>
      <c r="CH1136" s="3">
        <v>-2.5382800033223774</v>
      </c>
      <c r="CI1136" s="13">
        <f>[1]!dbasum(RecData[[#This Row],[20]:[2000]],RecData[[#Headers],[20]:[2000]])</f>
        <v>37.696680395231446</v>
      </c>
      <c r="CJ1136" s="14">
        <v>10721</v>
      </c>
      <c r="CK1136" s="15" t="s">
        <v>249</v>
      </c>
      <c r="CL1136" s="15">
        <f>RecData[[#This Row],[Start Time]]</f>
        <v>43276</v>
      </c>
      <c r="CM1136" s="16">
        <f>RecData[[#This Row],[Wind Speed avg]]</f>
        <v>0.68</v>
      </c>
      <c r="CN1136" s="16">
        <f>RecData[[#This Row],[Wind Dir. avg]]</f>
        <v>174.4</v>
      </c>
      <c r="CO1136" s="16">
        <f>RecData[[#This Row],[Amb. Humidity]]</f>
        <v>49.5</v>
      </c>
      <c r="CP1136" s="16">
        <f>RecData[[#This Row],[Amb. Temperature]]</f>
        <v>12.7</v>
      </c>
      <c r="CQ1136" s="17">
        <f>RecData[[#This Row],[Amb. Rain Gauge]]</f>
        <v>0</v>
      </c>
      <c r="CR1136" s="4" t="s">
        <v>1</v>
      </c>
      <c r="CS1136" s="4" t="s">
        <v>49</v>
      </c>
      <c r="CT1136" s="70">
        <v>1525.15283203125</v>
      </c>
      <c r="CU1136" s="70">
        <v>30.000255584716701</v>
      </c>
      <c r="CV1136" s="70">
        <v>9.5212535858154297</v>
      </c>
      <c r="CW1136" s="70">
        <v>15.284537315368601</v>
      </c>
      <c r="CX1136" s="4"/>
      <c r="CY1136" s="69"/>
      <c r="CZ1136" s="2" t="b">
        <f>IF($DP$1="YES",IF(RecData[[#This Row],[Power (kW)]]&gt;=$CR$3, TRUE,FALSE),TRUE)</f>
        <v>1</v>
      </c>
      <c r="DA1136" s="16">
        <f>MIN(MOD(180-ABS(ABS($DA$1-RecData[Yaw Angle (°)])-180),360),MOD(180-ABS(ABS($DB$1-RecData[Yaw Angle (°)])-180),360))</f>
        <v>22.470328807029148</v>
      </c>
      <c r="DB1136" s="2" t="str">
        <f>IF($DP$2="None","None",IF(RecData[[#This Row],[Relative Wind Direction]]&lt;=45,"DW",IF(RecData[[#This Row],[Relative Wind Direction]]&lt;=135,"CW","UW")))</f>
        <v>DW</v>
      </c>
      <c r="DC1136" s="61" t="e">
        <f>IF($CL1136-$CL1135&gt;1/24,#REF!,IF(SUM($CQ1135:$CQ1136)&gt;$DS$1,$DS$5,#REF!-1))</f>
        <v>#REF!</v>
      </c>
      <c r="DD1136" s="61" t="e">
        <f>IF(#REF!-$CL1136&gt;1/24,#REF!,IF(SUM($CQ1135:$CQ1136)&gt;$DS$1,$DS$6,DD1135-1))</f>
        <v>#REF!</v>
      </c>
      <c r="DE1136" s="18" t="b">
        <v>0</v>
      </c>
      <c r="DF1136" s="2" t="b">
        <f>IF(OR(RecData[[#This Row],[WSpd_Avg '[m/s']]]-RecData[[#This Row],[Wind Speed min]]&gt;=$DF$3,RecData[[#This Row],[Wind Speed max]]-RecData[[#This Row],[WSpd_Avg '[m/s']]]&gt;=$DF$2),TRUE,FALSE)</f>
        <v>0</v>
      </c>
      <c r="DG1136" s="2" t="b">
        <f>RecData[[#This Row],[Temperature '[°C']]]&lt;=-20</f>
        <v>0</v>
      </c>
      <c r="DH1136" s="18" t="b">
        <f>NOT(OR(MOD(RecData[[#This Row],[TIMESTAMP]],1)&gt;0.91632,MOD(RecData[[#This Row],[TIMESTAMP]],1)&lt;0.208681))</f>
        <v>0</v>
      </c>
      <c r="DI1136" s="18" t="b">
        <f>RecData[[#This Row],[Overall (dBA)]]-RecData[[#This Row],[L90]]&gt;=$DS$4</f>
        <v>0</v>
      </c>
      <c r="DJ1136" s="18" t="b">
        <f>RecData[[#This Row],[Overall (dBA)]]&gt;$DS$2</f>
        <v>0</v>
      </c>
      <c r="DK1136" s="18" t="b">
        <f>RecData[[#This Row],[Overall (dBA)]]&lt;$DS$3</f>
        <v>0</v>
      </c>
      <c r="DL11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6" s="2">
        <f>IF(AND(RecData[[#This Row],[Turbines ON/OFF]] = "OFF", NOT(OR(RecData[[#This Row],[Junk?]]="YES",RecData[[#This Row],[Gust?]],RecData[[#This Row],[Rain?]:[Min SPL Threshold?]]))),1,0)</f>
        <v>0</v>
      </c>
      <c r="DN1136" s="16">
        <f>RecData[[#This Row],[dBA Sum]]</f>
        <v>37.696680395231446</v>
      </c>
      <c r="DO1136" s="16">
        <f>RecData[[#This Row],[LAF90.0]]</f>
        <v>36.5</v>
      </c>
      <c r="DP1136" s="55">
        <f>IF(AND(RecData[[#This Row],[Useable TON Data?]],RecData[[#This Row],[Turbines ON/OFF]]="ON"),RecData[[#This Row],[dBA Sum]],"")</f>
        <v>37.696680395231446</v>
      </c>
      <c r="DQ1136" s="55" t="str">
        <f>IF(AND(RecData[[#This Row],[Useable Background Data?]],RecData[[#This Row],[Turbines ON/OFF]]="OFF"),RecData[[#This Row],[dBA Sum]],"")</f>
        <v/>
      </c>
      <c r="DR1136" s="3">
        <f>IF(OR(RecData[[#This Row],[Useable TON Data?]],RecData[[#This Row],[Useable Background Data?]]),ROUND(RecData[[#This Row],[WSpd_Avg '[m/s']]],0),"")</f>
        <v>1</v>
      </c>
      <c r="DS1136" s="85">
        <f>(0.00002)^2*(10^(RecData[[#This Row],[Overall (dBA)]]/10))</f>
        <v>2.3535749381080413E-6</v>
      </c>
    </row>
    <row r="1137" spans="1:123" ht="15" x14ac:dyDescent="0.25">
      <c r="A1137" s="3" t="s">
        <v>249</v>
      </c>
      <c r="B1137" s="12">
        <v>43276.007638888892</v>
      </c>
      <c r="C1137" s="3"/>
      <c r="D1137" s="3">
        <v>39.200000000000003</v>
      </c>
      <c r="E1137" s="3"/>
      <c r="F1137" s="3"/>
      <c r="G1137" s="3"/>
      <c r="H1137" s="3"/>
      <c r="I1137" s="3"/>
      <c r="J1137" s="3"/>
      <c r="K1137" s="3">
        <v>37.9</v>
      </c>
      <c r="L1137" s="3"/>
      <c r="M1137" s="3"/>
      <c r="N1137" s="3">
        <v>218.4</v>
      </c>
      <c r="O1137" s="3"/>
      <c r="P1137" s="3"/>
      <c r="Q1137" s="3">
        <v>0.46</v>
      </c>
      <c r="R1137" s="3">
        <v>0.2</v>
      </c>
      <c r="S1137" s="3">
        <v>0.7</v>
      </c>
      <c r="T1137" s="3">
        <v>12.3</v>
      </c>
      <c r="U1137" s="3">
        <v>53.4</v>
      </c>
      <c r="V1137" s="3">
        <v>977.4</v>
      </c>
      <c r="W1137" s="3">
        <v>0</v>
      </c>
      <c r="X1137" s="3">
        <v>43.4</v>
      </c>
      <c r="Y1137" s="3">
        <v>42.9</v>
      </c>
      <c r="Z1137" s="3">
        <v>42.3</v>
      </c>
      <c r="AA1137" s="3">
        <v>37.6</v>
      </c>
      <c r="AB1137" s="3">
        <v>34.1</v>
      </c>
      <c r="AC1137" s="3">
        <v>34</v>
      </c>
      <c r="AD1137" s="3">
        <v>38.200000000000003</v>
      </c>
      <c r="AE1137" s="3">
        <v>40.200000000000003</v>
      </c>
      <c r="AF1137" s="3">
        <v>44.6</v>
      </c>
      <c r="AG1137" s="3">
        <v>38.4</v>
      </c>
      <c r="AH1137" s="3">
        <v>38.700000000000003</v>
      </c>
      <c r="AI1137" s="3">
        <v>39</v>
      </c>
      <c r="AJ1137" s="3">
        <v>37.1</v>
      </c>
      <c r="AK1137" s="3">
        <v>35.299999999999997</v>
      </c>
      <c r="AL1137" s="3">
        <v>32.5</v>
      </c>
      <c r="AM1137" s="3">
        <v>31</v>
      </c>
      <c r="AN1137" s="3">
        <v>28.5</v>
      </c>
      <c r="AO1137" s="3">
        <v>24.9</v>
      </c>
      <c r="AP1137" s="3">
        <v>22.4</v>
      </c>
      <c r="AQ1137" s="3">
        <v>20.100000000000001</v>
      </c>
      <c r="AR1137" s="3">
        <v>16.399999999999999</v>
      </c>
      <c r="AS1137" s="3">
        <v>14.5</v>
      </c>
      <c r="AT1137" s="3">
        <v>20.2</v>
      </c>
      <c r="AU1137" s="3">
        <v>8.4</v>
      </c>
      <c r="AV1137" s="3">
        <v>8.3000000000000007</v>
      </c>
      <c r="AW1137" s="3">
        <v>8.6</v>
      </c>
      <c r="AX1137" s="3">
        <v>8.8000000000000007</v>
      </c>
      <c r="AY1137" s="3">
        <v>9.1</v>
      </c>
      <c r="AZ1137" s="3">
        <v>0</v>
      </c>
      <c r="BA1137" s="3">
        <v>0</v>
      </c>
      <c r="BB1137" s="3">
        <v>0</v>
      </c>
      <c r="BC1137" s="3">
        <v>39.172346892089827</v>
      </c>
      <c r="BD1137" s="3">
        <v>43.427653107910167</v>
      </c>
      <c r="BE1137" s="3">
        <v>42.927653107910167</v>
      </c>
      <c r="BF1137" s="3">
        <v>41.087653107910164</v>
      </c>
      <c r="BG1137" s="3">
        <v>36.714319774576843</v>
      </c>
      <c r="BH1137" s="3">
        <v>33.354319774576844</v>
      </c>
      <c r="BI1137" s="3">
        <v>33.667653107910176</v>
      </c>
      <c r="BJ1137" s="3">
        <v>38.660986441243516</v>
      </c>
      <c r="BK1137" s="3">
        <v>40.534319774576851</v>
      </c>
      <c r="BL1137" s="3">
        <v>44.50765310791018</v>
      </c>
      <c r="BM1137" s="3">
        <v>38.440986441243517</v>
      </c>
      <c r="BN1137" s="3">
        <v>39.024319774576846</v>
      </c>
      <c r="BO1137" s="3">
        <v>38.690986441243517</v>
      </c>
      <c r="BP1137" s="3">
        <v>36.50765310791018</v>
      </c>
      <c r="BQ1137" s="3">
        <v>35.124319774576826</v>
      </c>
      <c r="BR1137" s="3">
        <v>32.650986441243511</v>
      </c>
      <c r="BS1137" s="3">
        <v>30.954319774576838</v>
      </c>
      <c r="BT1137" s="3">
        <v>28.650986441243511</v>
      </c>
      <c r="BU1137" s="3">
        <v>25.017653107910171</v>
      </c>
      <c r="BV1137" s="3">
        <v>22.234319774576839</v>
      </c>
      <c r="BW1137" s="3">
        <v>20.467653107910181</v>
      </c>
      <c r="BX1137" s="3">
        <v>16.68765310791018</v>
      </c>
      <c r="BY1137" s="3">
        <v>14.607653107910174</v>
      </c>
      <c r="BZ1137" s="3">
        <v>20.43765310791018</v>
      </c>
      <c r="CA1137" s="3">
        <v>8.7376531079101696</v>
      </c>
      <c r="CB1137" s="3">
        <v>8.0743197745768427</v>
      </c>
      <c r="CC1137" s="3">
        <v>8.5876531079101781</v>
      </c>
      <c r="CD1137" s="3">
        <v>8.0943197745768458</v>
      </c>
      <c r="CE1137" s="3">
        <v>8.5876531079101781</v>
      </c>
      <c r="CF1137" s="3">
        <v>-0.89901355875649358</v>
      </c>
      <c r="CG1137" s="3">
        <v>-1.432346892089825</v>
      </c>
      <c r="CH1137" s="3">
        <v>-2.509013558756493</v>
      </c>
      <c r="CI1137" s="13">
        <f>[1]!dbasum(RecData[[#This Row],[20]:[2000]],RecData[[#Headers],[20]:[2000]])</f>
        <v>38.977531431223568</v>
      </c>
      <c r="CJ1137" s="14">
        <v>10732</v>
      </c>
      <c r="CK1137" s="15" t="s">
        <v>249</v>
      </c>
      <c r="CL1137" s="15">
        <f>RecData[[#This Row],[Start Time]]</f>
        <v>43276.007638888892</v>
      </c>
      <c r="CM1137" s="16">
        <f>RecData[[#This Row],[Wind Speed avg]]</f>
        <v>0.46</v>
      </c>
      <c r="CN1137" s="16">
        <f>RecData[[#This Row],[Wind Dir. avg]]</f>
        <v>218.4</v>
      </c>
      <c r="CO1137" s="16">
        <f>RecData[[#This Row],[Amb. Humidity]]</f>
        <v>53.4</v>
      </c>
      <c r="CP1137" s="16">
        <f>RecData[[#This Row],[Amb. Temperature]]</f>
        <v>12.3</v>
      </c>
      <c r="CQ1137" s="17">
        <f>RecData[[#This Row],[Amb. Rain Gauge]]</f>
        <v>0</v>
      </c>
      <c r="CR1137" s="4" t="s">
        <v>1</v>
      </c>
      <c r="CS1137" s="4" t="s">
        <v>49</v>
      </c>
      <c r="CT1137" s="70">
        <v>1581.0302734375</v>
      </c>
      <c r="CU1137" s="70">
        <v>30.000249862670898</v>
      </c>
      <c r="CV1137" s="70">
        <v>10.102988243103001</v>
      </c>
      <c r="CW1137" s="70">
        <v>15.3518619537353</v>
      </c>
      <c r="CX1137" s="4"/>
      <c r="CY1137" s="69"/>
      <c r="CZ1137" s="2" t="b">
        <f>IF($DP$1="YES",IF(RecData[[#This Row],[Power (kW)]]&gt;=$CR$3, TRUE,FALSE),TRUE)</f>
        <v>1</v>
      </c>
      <c r="DA1137" s="16">
        <f>MIN(MOD(180-ABS(ABS($DA$1-RecData[Yaw Angle (°)])-180),360),MOD(180-ABS(ABS($DB$1-RecData[Yaw Angle (°)])-180),360))</f>
        <v>22.470323084983363</v>
      </c>
      <c r="DB1137" s="2" t="str">
        <f>IF($DP$2="None","None",IF(RecData[[#This Row],[Relative Wind Direction]]&lt;=45,"DW",IF(RecData[[#This Row],[Relative Wind Direction]]&lt;=135,"CW","UW")))</f>
        <v>DW</v>
      </c>
      <c r="DC1137" s="61" t="e">
        <f>IF($CL1137-#REF!&gt;1/24,#REF!,IF(SUM($CQ1137:$CQ1137)&gt;$DS$1,$DS$5,DC1138-1))</f>
        <v>#REF!</v>
      </c>
      <c r="DD1137" s="61" t="e">
        <f>IF($CL1138-$CL1137&gt;1/24,#REF!,IF(SUM($CQ1137:$CQ1137)&gt;$DS$1,$DS$6,#REF!-1))</f>
        <v>#REF!</v>
      </c>
      <c r="DE1137" s="18" t="b">
        <v>0</v>
      </c>
      <c r="DF1137" s="2" t="b">
        <f>IF(OR(RecData[[#This Row],[WSpd_Avg '[m/s']]]-RecData[[#This Row],[Wind Speed min]]&gt;=$DF$3,RecData[[#This Row],[Wind Speed max]]-RecData[[#This Row],[WSpd_Avg '[m/s']]]&gt;=$DF$2),TRUE,FALSE)</f>
        <v>0</v>
      </c>
      <c r="DG1137" s="2" t="b">
        <f>RecData[[#This Row],[Temperature '[°C']]]&lt;=-20</f>
        <v>0</v>
      </c>
      <c r="DH1137" s="18" t="b">
        <f>NOT(OR(MOD(RecData[[#This Row],[TIMESTAMP]],1)&gt;0.91632,MOD(RecData[[#This Row],[TIMESTAMP]],1)&lt;0.208681))</f>
        <v>0</v>
      </c>
      <c r="DI1137" s="18" t="b">
        <f>RecData[[#This Row],[Overall (dBA)]]-RecData[[#This Row],[L90]]&gt;=$DS$4</f>
        <v>0</v>
      </c>
      <c r="DJ1137" s="18" t="b">
        <f>RecData[[#This Row],[Overall (dBA)]]&gt;$DS$2</f>
        <v>0</v>
      </c>
      <c r="DK1137" s="18" t="b">
        <f>RecData[[#This Row],[Overall (dBA)]]&lt;$DS$3</f>
        <v>0</v>
      </c>
      <c r="DL11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7" s="2">
        <f>IF(AND(RecData[[#This Row],[Turbines ON/OFF]] = "OFF", NOT(OR(RecData[[#This Row],[Junk?]]="YES",RecData[[#This Row],[Gust?]],RecData[[#This Row],[Rain?]:[Min SPL Threshold?]]))),1,0)</f>
        <v>0</v>
      </c>
      <c r="DN1137" s="16">
        <f>RecData[[#This Row],[dBA Sum]]</f>
        <v>38.977531431223568</v>
      </c>
      <c r="DO1137" s="16">
        <f>RecData[[#This Row],[LAF90.0]]</f>
        <v>37.9</v>
      </c>
      <c r="DP1137" s="55">
        <f>IF(AND(RecData[[#This Row],[Useable TON Data?]],RecData[[#This Row],[Turbines ON/OFF]]="ON"),RecData[[#This Row],[dBA Sum]],"")</f>
        <v>38.977531431223568</v>
      </c>
      <c r="DQ1137" s="55" t="str">
        <f>IF(AND(RecData[[#This Row],[Useable Background Data?]],RecData[[#This Row],[Turbines ON/OFF]]="OFF"),RecData[[#This Row],[dBA Sum]],"")</f>
        <v/>
      </c>
      <c r="DR1137" s="3">
        <f>IF(OR(RecData[[#This Row],[Useable TON Data?]],RecData[[#This Row],[Useable Background Data?]]),ROUND(RecData[[#This Row],[WSpd_Avg '[m/s']]],0),"")</f>
        <v>0</v>
      </c>
      <c r="DS1137" s="85">
        <f>(0.00002)^2*(10^(RecData[[#This Row],[Overall (dBA)]]/10))</f>
        <v>3.1609173075339567E-6</v>
      </c>
    </row>
    <row r="1138" spans="1:123" ht="15" x14ac:dyDescent="0.25">
      <c r="A1138" s="3" t="s">
        <v>249</v>
      </c>
      <c r="B1138" s="12">
        <v>43276.008333333331</v>
      </c>
      <c r="C1138" s="3"/>
      <c r="D1138" s="3">
        <v>38.6</v>
      </c>
      <c r="E1138" s="3"/>
      <c r="F1138" s="3"/>
      <c r="G1138" s="3"/>
      <c r="H1138" s="3"/>
      <c r="I1138" s="3"/>
      <c r="J1138" s="3"/>
      <c r="K1138" s="3">
        <v>37.5</v>
      </c>
      <c r="L1138" s="3"/>
      <c r="M1138" s="3"/>
      <c r="N1138" s="3">
        <v>236.7</v>
      </c>
      <c r="O1138" s="3"/>
      <c r="P1138" s="3"/>
      <c r="Q1138" s="3">
        <v>0.68</v>
      </c>
      <c r="R1138" s="3">
        <v>0.4</v>
      </c>
      <c r="S1138" s="3">
        <v>1</v>
      </c>
      <c r="T1138" s="3">
        <v>12.2</v>
      </c>
      <c r="U1138" s="3">
        <v>51.3</v>
      </c>
      <c r="V1138" s="3">
        <v>977.4</v>
      </c>
      <c r="W1138" s="3">
        <v>0</v>
      </c>
      <c r="X1138" s="3">
        <v>43</v>
      </c>
      <c r="Y1138" s="3">
        <v>43</v>
      </c>
      <c r="Z1138" s="3">
        <v>41.8</v>
      </c>
      <c r="AA1138" s="3">
        <v>37.200000000000003</v>
      </c>
      <c r="AB1138" s="3">
        <v>34.200000000000003</v>
      </c>
      <c r="AC1138" s="3">
        <v>33.5</v>
      </c>
      <c r="AD1138" s="3">
        <v>37.1</v>
      </c>
      <c r="AE1138" s="3">
        <v>39.799999999999997</v>
      </c>
      <c r="AF1138" s="3">
        <v>43.9</v>
      </c>
      <c r="AG1138" s="3">
        <v>37.700000000000003</v>
      </c>
      <c r="AH1138" s="3">
        <v>38.200000000000003</v>
      </c>
      <c r="AI1138" s="3">
        <v>38</v>
      </c>
      <c r="AJ1138" s="3">
        <v>36.799999999999997</v>
      </c>
      <c r="AK1138" s="3">
        <v>34.799999999999997</v>
      </c>
      <c r="AL1138" s="3">
        <v>32.299999999999997</v>
      </c>
      <c r="AM1138" s="3">
        <v>30.9</v>
      </c>
      <c r="AN1138" s="3">
        <v>28.1</v>
      </c>
      <c r="AO1138" s="3">
        <v>24.1</v>
      </c>
      <c r="AP1138" s="3">
        <v>21.6</v>
      </c>
      <c r="AQ1138" s="3">
        <v>18.8</v>
      </c>
      <c r="AR1138" s="3">
        <v>14.6</v>
      </c>
      <c r="AS1138" s="3">
        <v>12.6</v>
      </c>
      <c r="AT1138" s="3">
        <v>17.2</v>
      </c>
      <c r="AU1138" s="3">
        <v>7.7</v>
      </c>
      <c r="AV1138" s="3">
        <v>8.1</v>
      </c>
      <c r="AW1138" s="3">
        <v>8.6</v>
      </c>
      <c r="AX1138" s="3">
        <v>8.8000000000000007</v>
      </c>
      <c r="AY1138" s="3">
        <v>9.1</v>
      </c>
      <c r="AZ1138" s="3">
        <v>0</v>
      </c>
      <c r="BA1138" s="3">
        <v>0</v>
      </c>
      <c r="BB1138" s="3">
        <v>0</v>
      </c>
      <c r="BC1138" s="3">
        <v>38.620060794663836</v>
      </c>
      <c r="BD1138" s="3">
        <v>42.979939205336159</v>
      </c>
      <c r="BE1138" s="3">
        <v>42.979939205336159</v>
      </c>
      <c r="BF1138" s="3">
        <v>40.539939205336161</v>
      </c>
      <c r="BG1138" s="3">
        <v>36.266605872002835</v>
      </c>
      <c r="BH1138" s="3">
        <v>33.406605872002835</v>
      </c>
      <c r="BI1138" s="3">
        <v>33.119939205336173</v>
      </c>
      <c r="BJ1138" s="3">
        <v>37.51327253866949</v>
      </c>
      <c r="BK1138" s="3">
        <v>40.086605872002828</v>
      </c>
      <c r="BL1138" s="3">
        <v>43.75993920533616</v>
      </c>
      <c r="BM1138" s="3">
        <v>37.693272538669497</v>
      </c>
      <c r="BN1138" s="3">
        <v>38.476605872002828</v>
      </c>
      <c r="BO1138" s="3">
        <v>37.6432725386695</v>
      </c>
      <c r="BP1138" s="3">
        <v>36.159939205336165</v>
      </c>
      <c r="BQ1138" s="3">
        <v>34.576605872002823</v>
      </c>
      <c r="BR1138" s="3">
        <v>32.403272538669505</v>
      </c>
      <c r="BS1138" s="3">
        <v>30.806605872002827</v>
      </c>
      <c r="BT1138" s="3">
        <v>28.203272538669502</v>
      </c>
      <c r="BU1138" s="3">
        <v>24.169939205336171</v>
      </c>
      <c r="BV1138" s="3">
        <v>21.386605872002839</v>
      </c>
      <c r="BW1138" s="3">
        <v>19.119939205336173</v>
      </c>
      <c r="BX1138" s="3">
        <v>14.839939205336172</v>
      </c>
      <c r="BY1138" s="3">
        <v>12.659939205336165</v>
      </c>
      <c r="BZ1138" s="3">
        <v>17.389939205336169</v>
      </c>
      <c r="CA1138" s="3">
        <v>7.9899392053361566</v>
      </c>
      <c r="CB1138" s="3">
        <v>7.8266058720028298</v>
      </c>
      <c r="CC1138" s="3">
        <v>8.5399392053361609</v>
      </c>
      <c r="CD1138" s="3">
        <v>8.0466058720028357</v>
      </c>
      <c r="CE1138" s="3">
        <v>8.5399392053361609</v>
      </c>
      <c r="CF1138" s="3">
        <v>-0.94672746133050367</v>
      </c>
      <c r="CG1138" s="3">
        <v>-1.4800607946638351</v>
      </c>
      <c r="CH1138" s="3">
        <v>-2.5567274613305031</v>
      </c>
      <c r="CI1138" s="13">
        <f>[1]!dbasum(RecData[[#This Row],[20]:[2000]],RecData[[#Headers],[20]:[2000]])</f>
        <v>38.41323842205437</v>
      </c>
      <c r="CJ1138" s="14">
        <v>10733</v>
      </c>
      <c r="CK1138" s="15" t="s">
        <v>249</v>
      </c>
      <c r="CL1138" s="15">
        <f>RecData[[#This Row],[Start Time]]</f>
        <v>43276.008333333331</v>
      </c>
      <c r="CM1138" s="16">
        <f>RecData[[#This Row],[Wind Speed avg]]</f>
        <v>0.68</v>
      </c>
      <c r="CN1138" s="16">
        <f>RecData[[#This Row],[Wind Dir. avg]]</f>
        <v>236.7</v>
      </c>
      <c r="CO1138" s="16">
        <f>RecData[[#This Row],[Amb. Humidity]]</f>
        <v>51.3</v>
      </c>
      <c r="CP1138" s="16">
        <f>RecData[[#This Row],[Amb. Temperature]]</f>
        <v>12.2</v>
      </c>
      <c r="CQ1138" s="17">
        <f>RecData[[#This Row],[Amb. Rain Gauge]]</f>
        <v>0</v>
      </c>
      <c r="CR1138" s="4" t="s">
        <v>1</v>
      </c>
      <c r="CS1138" s="4" t="s">
        <v>49</v>
      </c>
      <c r="CT1138" s="70">
        <v>1581.0302734375</v>
      </c>
      <c r="CU1138" s="70">
        <v>30.000249862670898</v>
      </c>
      <c r="CV1138" s="70">
        <v>10.102988243103001</v>
      </c>
      <c r="CW1138" s="70">
        <v>15.3518619537353</v>
      </c>
      <c r="CX1138" s="4"/>
      <c r="CY1138" s="69"/>
      <c r="CZ1138" s="2" t="b">
        <f>IF($DP$1="YES",IF(RecData[[#This Row],[Power (kW)]]&gt;=$CR$3, TRUE,FALSE),TRUE)</f>
        <v>1</v>
      </c>
      <c r="DA1138" s="16">
        <f>MIN(MOD(180-ABS(ABS($DA$1-RecData[Yaw Angle (°)])-180),360),MOD(180-ABS(ABS($DB$1-RecData[Yaw Angle (°)])-180),360))</f>
        <v>22.470323084983363</v>
      </c>
      <c r="DB1138" s="2" t="str">
        <f>IF($DP$2="None","None",IF(RecData[[#This Row],[Relative Wind Direction]]&lt;=45,"DW",IF(RecData[[#This Row],[Relative Wind Direction]]&lt;=135,"CW","UW")))</f>
        <v>DW</v>
      </c>
      <c r="DC1138" s="61" t="e">
        <f>IF($CL1138-#REF!&gt;1/24,#REF!,IF(SUM($CQ1137:$CQ1138)&gt;$DS$1,$DS$5,DC1139-1))</f>
        <v>#REF!</v>
      </c>
      <c r="DD1138" s="61" t="e">
        <f>IF($CL1139-$CL1138&gt;1/24,#REF!,IF(SUM($CQ1137:$CQ1138)&gt;$DS$1,$DS$6,DD1137-1))</f>
        <v>#REF!</v>
      </c>
      <c r="DE1138" s="18" t="b">
        <v>0</v>
      </c>
      <c r="DF1138" s="2" t="b">
        <f>IF(OR(RecData[[#This Row],[WSpd_Avg '[m/s']]]-RecData[[#This Row],[Wind Speed min]]&gt;=$DF$3,RecData[[#This Row],[Wind Speed max]]-RecData[[#This Row],[WSpd_Avg '[m/s']]]&gt;=$DF$2),TRUE,FALSE)</f>
        <v>0</v>
      </c>
      <c r="DG1138" s="2" t="b">
        <f>RecData[[#This Row],[Temperature '[°C']]]&lt;=-20</f>
        <v>0</v>
      </c>
      <c r="DH1138" s="18" t="b">
        <f>NOT(OR(MOD(RecData[[#This Row],[TIMESTAMP]],1)&gt;0.91632,MOD(RecData[[#This Row],[TIMESTAMP]],1)&lt;0.208681))</f>
        <v>0</v>
      </c>
      <c r="DI1138" s="18" t="b">
        <f>RecData[[#This Row],[Overall (dBA)]]-RecData[[#This Row],[L90]]&gt;=$DS$4</f>
        <v>0</v>
      </c>
      <c r="DJ1138" s="18" t="b">
        <f>RecData[[#This Row],[Overall (dBA)]]&gt;$DS$2</f>
        <v>0</v>
      </c>
      <c r="DK1138" s="18" t="b">
        <f>RecData[[#This Row],[Overall (dBA)]]&lt;$DS$3</f>
        <v>0</v>
      </c>
      <c r="DL11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8" s="2">
        <f>IF(AND(RecData[[#This Row],[Turbines ON/OFF]] = "OFF", NOT(OR(RecData[[#This Row],[Junk?]]="YES",RecData[[#This Row],[Gust?]],RecData[[#This Row],[Rain?]:[Min SPL Threshold?]]))),1,0)</f>
        <v>0</v>
      </c>
      <c r="DN1138" s="16">
        <f>RecData[[#This Row],[dBA Sum]]</f>
        <v>38.41323842205437</v>
      </c>
      <c r="DO1138" s="16">
        <f>RecData[[#This Row],[LAF90.0]]</f>
        <v>37.5</v>
      </c>
      <c r="DP1138" s="55">
        <f>IF(AND(RecData[[#This Row],[Useable TON Data?]],RecData[[#This Row],[Turbines ON/OFF]]="ON"),RecData[[#This Row],[dBA Sum]],"")</f>
        <v>38.41323842205437</v>
      </c>
      <c r="DQ1138" s="55" t="str">
        <f>IF(AND(RecData[[#This Row],[Useable Background Data?]],RecData[[#This Row],[Turbines ON/OFF]]="OFF"),RecData[[#This Row],[dBA Sum]],"")</f>
        <v/>
      </c>
      <c r="DR1138" s="3">
        <f>IF(OR(RecData[[#This Row],[Useable TON Data?]],RecData[[#This Row],[Useable Background Data?]]),ROUND(RecData[[#This Row],[WSpd_Avg '[m/s']]],0),"")</f>
        <v>1</v>
      </c>
      <c r="DS1138" s="85">
        <f>(0.00002)^2*(10^(RecData[[#This Row],[Overall (dBA)]]/10))</f>
        <v>2.7757722744181287E-6</v>
      </c>
    </row>
    <row r="1139" spans="1:123" ht="15" x14ac:dyDescent="0.25">
      <c r="A1139" s="3" t="s">
        <v>249</v>
      </c>
      <c r="B1139" s="12">
        <v>43276.009027777778</v>
      </c>
      <c r="C1139" s="3"/>
      <c r="D1139" s="3">
        <v>38.299999999999997</v>
      </c>
      <c r="E1139" s="3"/>
      <c r="F1139" s="3"/>
      <c r="G1139" s="3"/>
      <c r="H1139" s="3"/>
      <c r="I1139" s="3"/>
      <c r="J1139" s="3"/>
      <c r="K1139" s="3">
        <v>37.200000000000003</v>
      </c>
      <c r="L1139" s="3"/>
      <c r="M1139" s="3"/>
      <c r="N1139" s="3">
        <v>216.7</v>
      </c>
      <c r="O1139" s="3"/>
      <c r="P1139" s="3"/>
      <c r="Q1139" s="3">
        <v>0.42</v>
      </c>
      <c r="R1139" s="3">
        <v>0.2</v>
      </c>
      <c r="S1139" s="3">
        <v>0.6</v>
      </c>
      <c r="T1139" s="3">
        <v>12.2</v>
      </c>
      <c r="U1139" s="3">
        <v>51.3</v>
      </c>
      <c r="V1139" s="3">
        <v>977.4</v>
      </c>
      <c r="W1139" s="3">
        <v>0</v>
      </c>
      <c r="X1139" s="3">
        <v>43</v>
      </c>
      <c r="Y1139" s="3">
        <v>42.5</v>
      </c>
      <c r="Z1139" s="3">
        <v>41.4</v>
      </c>
      <c r="AA1139" s="3">
        <v>36.700000000000003</v>
      </c>
      <c r="AB1139" s="3">
        <v>33.6</v>
      </c>
      <c r="AC1139" s="3">
        <v>32.299999999999997</v>
      </c>
      <c r="AD1139" s="3">
        <v>36.799999999999997</v>
      </c>
      <c r="AE1139" s="3">
        <v>39.200000000000003</v>
      </c>
      <c r="AF1139" s="3">
        <v>43.6</v>
      </c>
      <c r="AG1139" s="3">
        <v>38</v>
      </c>
      <c r="AH1139" s="3">
        <v>37.9</v>
      </c>
      <c r="AI1139" s="3">
        <v>37.9</v>
      </c>
      <c r="AJ1139" s="3">
        <v>36.200000000000003</v>
      </c>
      <c r="AK1139" s="3">
        <v>34.299999999999997</v>
      </c>
      <c r="AL1139" s="3">
        <v>31.8</v>
      </c>
      <c r="AM1139" s="3">
        <v>30.6</v>
      </c>
      <c r="AN1139" s="3">
        <v>27.8</v>
      </c>
      <c r="AO1139" s="3">
        <v>23.8</v>
      </c>
      <c r="AP1139" s="3">
        <v>21.6</v>
      </c>
      <c r="AQ1139" s="3">
        <v>18.899999999999999</v>
      </c>
      <c r="AR1139" s="3">
        <v>14.5</v>
      </c>
      <c r="AS1139" s="3">
        <v>13.7</v>
      </c>
      <c r="AT1139" s="3">
        <v>19.100000000000001</v>
      </c>
      <c r="AU1139" s="3">
        <v>7.8</v>
      </c>
      <c r="AV1139" s="3">
        <v>8.1</v>
      </c>
      <c r="AW1139" s="3">
        <v>8.6</v>
      </c>
      <c r="AX1139" s="3">
        <v>8.8000000000000007</v>
      </c>
      <c r="AY1139" s="3">
        <v>9.1</v>
      </c>
      <c r="AZ1139" s="3">
        <v>0</v>
      </c>
      <c r="BA1139" s="3">
        <v>0</v>
      </c>
      <c r="BB1139" s="3">
        <v>0</v>
      </c>
      <c r="BC1139" s="3">
        <v>38.321354399026347</v>
      </c>
      <c r="BD1139" s="3">
        <v>42.97864560097365</v>
      </c>
      <c r="BE1139" s="3">
        <v>42.47864560097365</v>
      </c>
      <c r="BF1139" s="3">
        <v>40.138645600973646</v>
      </c>
      <c r="BG1139" s="3">
        <v>35.765312267640326</v>
      </c>
      <c r="BH1139" s="3">
        <v>32.805312267640318</v>
      </c>
      <c r="BI1139" s="3">
        <v>31.918645600973647</v>
      </c>
      <c r="BJ1139" s="3">
        <v>37.211978934306984</v>
      </c>
      <c r="BK1139" s="3">
        <v>39.485312267640325</v>
      </c>
      <c r="BL1139" s="3">
        <v>43.458645600973654</v>
      </c>
      <c r="BM1139" s="3">
        <v>37.991978934306985</v>
      </c>
      <c r="BN1139" s="3">
        <v>38.175312267640322</v>
      </c>
      <c r="BO1139" s="3">
        <v>37.541978934306982</v>
      </c>
      <c r="BP1139" s="3">
        <v>35.558645600973648</v>
      </c>
      <c r="BQ1139" s="3">
        <v>34.0753122676403</v>
      </c>
      <c r="BR1139" s="3">
        <v>31.901978934306982</v>
      </c>
      <c r="BS1139" s="3">
        <v>30.505312267640321</v>
      </c>
      <c r="BT1139" s="3">
        <v>27.901978934306982</v>
      </c>
      <c r="BU1139" s="3">
        <v>23.86864560097365</v>
      </c>
      <c r="BV1139" s="3">
        <v>21.385312267640316</v>
      </c>
      <c r="BW1139" s="3">
        <v>19.218645600973652</v>
      </c>
      <c r="BX1139" s="3">
        <v>14.738645600973655</v>
      </c>
      <c r="BY1139" s="3">
        <v>13.758645600973651</v>
      </c>
      <c r="BZ1139" s="3">
        <v>19.288645600973652</v>
      </c>
      <c r="CA1139" s="3">
        <v>8.088645600973642</v>
      </c>
      <c r="CB1139" s="3">
        <v>7.8253122676403137</v>
      </c>
      <c r="CC1139" s="3">
        <v>8.538645600973652</v>
      </c>
      <c r="CD1139" s="3">
        <v>8.0453122676403197</v>
      </c>
      <c r="CE1139" s="3">
        <v>8.538645600973652</v>
      </c>
      <c r="CF1139" s="3">
        <v>-0.94802106569301969</v>
      </c>
      <c r="CG1139" s="3">
        <v>-1.4813543990263511</v>
      </c>
      <c r="CH1139" s="3">
        <v>-2.5580210656930191</v>
      </c>
      <c r="CI1139" s="13">
        <f>[1]!dbasum(RecData[[#This Row],[20]:[2000]],RecData[[#Headers],[20]:[2000]])</f>
        <v>38.081981988361278</v>
      </c>
      <c r="CJ1139" s="14">
        <v>10734</v>
      </c>
      <c r="CK1139" s="15" t="s">
        <v>249</v>
      </c>
      <c r="CL1139" s="15">
        <f>RecData[[#This Row],[Start Time]]</f>
        <v>43276.009027777778</v>
      </c>
      <c r="CM1139" s="16">
        <f>RecData[[#This Row],[Wind Speed avg]]</f>
        <v>0.42</v>
      </c>
      <c r="CN1139" s="16">
        <f>RecData[[#This Row],[Wind Dir. avg]]</f>
        <v>216.7</v>
      </c>
      <c r="CO1139" s="16">
        <f>RecData[[#This Row],[Amb. Humidity]]</f>
        <v>51.3</v>
      </c>
      <c r="CP1139" s="16">
        <f>RecData[[#This Row],[Amb. Temperature]]</f>
        <v>12.2</v>
      </c>
      <c r="CQ1139" s="17">
        <f>RecData[[#This Row],[Amb. Rain Gauge]]</f>
        <v>0</v>
      </c>
      <c r="CR1139" s="4" t="s">
        <v>1</v>
      </c>
      <c r="CS1139" s="4" t="s">
        <v>49</v>
      </c>
      <c r="CT1139" s="70">
        <v>1581.0302734375</v>
      </c>
      <c r="CU1139" s="70">
        <v>30.000249862670898</v>
      </c>
      <c r="CV1139" s="70">
        <v>10.102988243103001</v>
      </c>
      <c r="CW1139" s="70">
        <v>15.3518619537353</v>
      </c>
      <c r="CX1139" s="4"/>
      <c r="CY1139" s="69"/>
      <c r="CZ1139" s="2" t="b">
        <f>IF($DP$1="YES",IF(RecData[[#This Row],[Power (kW)]]&gt;=$CR$3, TRUE,FALSE),TRUE)</f>
        <v>1</v>
      </c>
      <c r="DA1139" s="16">
        <f>MIN(MOD(180-ABS(ABS($DA$1-RecData[Yaw Angle (°)])-180),360),MOD(180-ABS(ABS($DB$1-RecData[Yaw Angle (°)])-180),360))</f>
        <v>22.470323084983363</v>
      </c>
      <c r="DB1139" s="2" t="str">
        <f>IF($DP$2="None","None",IF(RecData[[#This Row],[Relative Wind Direction]]&lt;=45,"DW",IF(RecData[[#This Row],[Relative Wind Direction]]&lt;=135,"CW","UW")))</f>
        <v>DW</v>
      </c>
      <c r="DC1139" s="61" t="e">
        <f>IF($CL1139-#REF!&gt;1/24,#REF!,IF(SUM($CQ1137:$CQ1139)&gt;$DS$1,$DS$5,DC1140-1))</f>
        <v>#REF!</v>
      </c>
      <c r="DD1139" s="61" t="e">
        <f>IF($CL1140-$CL1139&gt;1/24,#REF!,IF(SUM($CQ1137:$CQ1139)&gt;$DS$1,$DS$6,DD1138-1))</f>
        <v>#REF!</v>
      </c>
      <c r="DE1139" s="18" t="b">
        <v>0</v>
      </c>
      <c r="DF1139" s="2" t="b">
        <f>IF(OR(RecData[[#This Row],[WSpd_Avg '[m/s']]]-RecData[[#This Row],[Wind Speed min]]&gt;=$DF$3,RecData[[#This Row],[Wind Speed max]]-RecData[[#This Row],[WSpd_Avg '[m/s']]]&gt;=$DF$2),TRUE,FALSE)</f>
        <v>0</v>
      </c>
      <c r="DG1139" s="2" t="b">
        <f>RecData[[#This Row],[Temperature '[°C']]]&lt;=-20</f>
        <v>0</v>
      </c>
      <c r="DH1139" s="18" t="b">
        <f>NOT(OR(MOD(RecData[[#This Row],[TIMESTAMP]],1)&gt;0.91632,MOD(RecData[[#This Row],[TIMESTAMP]],1)&lt;0.208681))</f>
        <v>0</v>
      </c>
      <c r="DI1139" s="18" t="b">
        <f>RecData[[#This Row],[Overall (dBA)]]-RecData[[#This Row],[L90]]&gt;=$DS$4</f>
        <v>0</v>
      </c>
      <c r="DJ1139" s="18" t="b">
        <f>RecData[[#This Row],[Overall (dBA)]]&gt;$DS$2</f>
        <v>0</v>
      </c>
      <c r="DK1139" s="18" t="b">
        <f>RecData[[#This Row],[Overall (dBA)]]&lt;$DS$3</f>
        <v>0</v>
      </c>
      <c r="DL11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39" s="2">
        <f>IF(AND(RecData[[#This Row],[Turbines ON/OFF]] = "OFF", NOT(OR(RecData[[#This Row],[Junk?]]="YES",RecData[[#This Row],[Gust?]],RecData[[#This Row],[Rain?]:[Min SPL Threshold?]]))),1,0)</f>
        <v>0</v>
      </c>
      <c r="DN1139" s="16">
        <f>RecData[[#This Row],[dBA Sum]]</f>
        <v>38.081981988361278</v>
      </c>
      <c r="DO1139" s="16">
        <f>RecData[[#This Row],[LAF90.0]]</f>
        <v>37.200000000000003</v>
      </c>
      <c r="DP1139" s="55">
        <f>IF(AND(RecData[[#This Row],[Useable TON Data?]],RecData[[#This Row],[Turbines ON/OFF]]="ON"),RecData[[#This Row],[dBA Sum]],"")</f>
        <v>38.081981988361278</v>
      </c>
      <c r="DQ1139" s="55" t="str">
        <f>IF(AND(RecData[[#This Row],[Useable Background Data?]],RecData[[#This Row],[Turbines ON/OFF]]="OFF"),RecData[[#This Row],[dBA Sum]],"")</f>
        <v/>
      </c>
      <c r="DR1139" s="3">
        <f>IF(OR(RecData[[#This Row],[Useable TON Data?]],RecData[[#This Row],[Useable Background Data?]]),ROUND(RecData[[#This Row],[WSpd_Avg '[m/s']]],0),"")</f>
        <v>0</v>
      </c>
      <c r="DS1139" s="85">
        <f>(0.00002)^2*(10^(RecData[[#This Row],[Overall (dBA)]]/10))</f>
        <v>2.5719243497839294E-6</v>
      </c>
    </row>
    <row r="1140" spans="1:123" ht="15" x14ac:dyDescent="0.25">
      <c r="A1140" s="3" t="s">
        <v>249</v>
      </c>
      <c r="B1140" s="12">
        <v>43276.009722222225</v>
      </c>
      <c r="C1140" s="3"/>
      <c r="D1140" s="3">
        <v>39.5</v>
      </c>
      <c r="E1140" s="3"/>
      <c r="F1140" s="3"/>
      <c r="G1140" s="3"/>
      <c r="H1140" s="3"/>
      <c r="I1140" s="3"/>
      <c r="J1140" s="3"/>
      <c r="K1140" s="3">
        <v>38.5</v>
      </c>
      <c r="L1140" s="3"/>
      <c r="M1140" s="3"/>
      <c r="N1140" s="3">
        <v>164</v>
      </c>
      <c r="O1140" s="3"/>
      <c r="P1140" s="3"/>
      <c r="Q1140" s="3">
        <v>0.69</v>
      </c>
      <c r="R1140" s="3">
        <v>0.4</v>
      </c>
      <c r="S1140" s="3">
        <v>1.1000000000000001</v>
      </c>
      <c r="T1140" s="3">
        <v>12.2</v>
      </c>
      <c r="U1140" s="3">
        <v>51.4</v>
      </c>
      <c r="V1140" s="3">
        <v>977.4</v>
      </c>
      <c r="W1140" s="3">
        <v>0</v>
      </c>
      <c r="X1140" s="3">
        <v>42.4</v>
      </c>
      <c r="Y1140" s="3">
        <v>42.1</v>
      </c>
      <c r="Z1140" s="3">
        <v>41.6</v>
      </c>
      <c r="AA1140" s="3">
        <v>37.1</v>
      </c>
      <c r="AB1140" s="3">
        <v>33.4</v>
      </c>
      <c r="AC1140" s="3">
        <v>32.5</v>
      </c>
      <c r="AD1140" s="3">
        <v>36.799999999999997</v>
      </c>
      <c r="AE1140" s="3">
        <v>39.700000000000003</v>
      </c>
      <c r="AF1140" s="3">
        <v>44.7</v>
      </c>
      <c r="AG1140" s="3">
        <v>39.799999999999997</v>
      </c>
      <c r="AH1140" s="3">
        <v>38</v>
      </c>
      <c r="AI1140" s="3">
        <v>39.1</v>
      </c>
      <c r="AJ1140" s="3">
        <v>37.200000000000003</v>
      </c>
      <c r="AK1140" s="3">
        <v>35.799999999999997</v>
      </c>
      <c r="AL1140" s="3">
        <v>32.9</v>
      </c>
      <c r="AM1140" s="3">
        <v>32.299999999999997</v>
      </c>
      <c r="AN1140" s="3">
        <v>29.4</v>
      </c>
      <c r="AO1140" s="3">
        <v>25.4</v>
      </c>
      <c r="AP1140" s="3">
        <v>23.2</v>
      </c>
      <c r="AQ1140" s="3">
        <v>20.2</v>
      </c>
      <c r="AR1140" s="3">
        <v>15.6</v>
      </c>
      <c r="AS1140" s="3">
        <v>11.9</v>
      </c>
      <c r="AT1140" s="3">
        <v>16.8</v>
      </c>
      <c r="AU1140" s="3">
        <v>7.9</v>
      </c>
      <c r="AV1140" s="3">
        <v>8.5</v>
      </c>
      <c r="AW1140" s="3">
        <v>8.8000000000000007</v>
      </c>
      <c r="AX1140" s="3">
        <v>8.9</v>
      </c>
      <c r="AY1140" s="3">
        <v>9.1</v>
      </c>
      <c r="AZ1140" s="3">
        <v>0</v>
      </c>
      <c r="BA1140" s="3">
        <v>0</v>
      </c>
      <c r="BB1140" s="3">
        <v>0</v>
      </c>
      <c r="BC1140" s="3">
        <v>39.520615498826203</v>
      </c>
      <c r="BD1140" s="3">
        <v>42.379384501173803</v>
      </c>
      <c r="BE1140" s="3">
        <v>42.079384501173791</v>
      </c>
      <c r="BF1140" s="3">
        <v>40.339384501173797</v>
      </c>
      <c r="BG1140" s="3">
        <v>36.166051167840465</v>
      </c>
      <c r="BH1140" s="3">
        <v>32.606051167840462</v>
      </c>
      <c r="BI1140" s="3">
        <v>32.119384501173798</v>
      </c>
      <c r="BJ1140" s="3">
        <v>37.212717834507117</v>
      </c>
      <c r="BK1140" s="3">
        <v>39.986051167840458</v>
      </c>
      <c r="BL1140" s="3">
        <v>44.55938450117381</v>
      </c>
      <c r="BM1140" s="3">
        <v>39.79271783450713</v>
      </c>
      <c r="BN1140" s="3">
        <v>38.276051167840464</v>
      </c>
      <c r="BO1140" s="3">
        <v>38.742717834507133</v>
      </c>
      <c r="BP1140" s="3">
        <v>36.55938450117381</v>
      </c>
      <c r="BQ1140" s="3">
        <v>35.576051167840461</v>
      </c>
      <c r="BR1140" s="3">
        <v>33.002717834507138</v>
      </c>
      <c r="BS1140" s="3">
        <v>32.206051167840457</v>
      </c>
      <c r="BT1140" s="3">
        <v>29.502717834507138</v>
      </c>
      <c r="BU1140" s="3">
        <v>25.469384501173806</v>
      </c>
      <c r="BV1140" s="3">
        <v>22.986051167840465</v>
      </c>
      <c r="BW1140" s="3">
        <v>20.519384501173803</v>
      </c>
      <c r="BX1140" s="3">
        <v>15.839384501173804</v>
      </c>
      <c r="BY1140" s="3">
        <v>11.959384501173794</v>
      </c>
      <c r="BZ1140" s="3">
        <v>16.989384501173802</v>
      </c>
      <c r="CA1140" s="3">
        <v>8.1893845011737909</v>
      </c>
      <c r="CB1140" s="3">
        <v>8.2260511678404598</v>
      </c>
      <c r="CC1140" s="3">
        <v>8.7393845011737952</v>
      </c>
      <c r="CD1140" s="3">
        <v>8.1460511678404686</v>
      </c>
      <c r="CE1140" s="3">
        <v>8.5393845011737994</v>
      </c>
      <c r="CF1140" s="3">
        <v>-0.94728216549287225</v>
      </c>
      <c r="CG1140" s="3">
        <v>-1.4806154988262037</v>
      </c>
      <c r="CH1140" s="3">
        <v>-2.5572821654928717</v>
      </c>
      <c r="CI1140" s="13">
        <f>[1]!dbasum(RecData[[#This Row],[20]:[2000]],RecData[[#Headers],[20]:[2000]])</f>
        <v>39.331704116204989</v>
      </c>
      <c r="CJ1140" s="14">
        <v>10735</v>
      </c>
      <c r="CK1140" s="15" t="s">
        <v>249</v>
      </c>
      <c r="CL1140" s="15">
        <f>RecData[[#This Row],[Start Time]]</f>
        <v>43276.009722222225</v>
      </c>
      <c r="CM1140" s="16">
        <f>RecData[[#This Row],[Wind Speed avg]]</f>
        <v>0.69</v>
      </c>
      <c r="CN1140" s="16">
        <f>RecData[[#This Row],[Wind Dir. avg]]</f>
        <v>164</v>
      </c>
      <c r="CO1140" s="16">
        <f>RecData[[#This Row],[Amb. Humidity]]</f>
        <v>51.4</v>
      </c>
      <c r="CP1140" s="16">
        <f>RecData[[#This Row],[Amb. Temperature]]</f>
        <v>12.2</v>
      </c>
      <c r="CQ1140" s="17">
        <f>RecData[[#This Row],[Amb. Rain Gauge]]</f>
        <v>0</v>
      </c>
      <c r="CR1140" s="4" t="s">
        <v>1</v>
      </c>
      <c r="CS1140" s="4" t="s">
        <v>49</v>
      </c>
      <c r="CT1140" s="70">
        <v>1581.0302734375</v>
      </c>
      <c r="CU1140" s="70">
        <v>30.000249862670898</v>
      </c>
      <c r="CV1140" s="70">
        <v>10.102988243103001</v>
      </c>
      <c r="CW1140" s="70">
        <v>15.3518619537353</v>
      </c>
      <c r="CX1140" s="4"/>
      <c r="CY1140" s="69"/>
      <c r="CZ1140" s="2" t="b">
        <f>IF($DP$1="YES",IF(RecData[[#This Row],[Power (kW)]]&gt;=$CR$3, TRUE,FALSE),TRUE)</f>
        <v>1</v>
      </c>
      <c r="DA1140" s="16">
        <f>MIN(MOD(180-ABS(ABS($DA$1-RecData[Yaw Angle (°)])-180),360),MOD(180-ABS(ABS($DB$1-RecData[Yaw Angle (°)])-180),360))</f>
        <v>22.470323084983363</v>
      </c>
      <c r="DB1140" s="2" t="str">
        <f>IF($DP$2="None","None",IF(RecData[[#This Row],[Relative Wind Direction]]&lt;=45,"DW",IF(RecData[[#This Row],[Relative Wind Direction]]&lt;=135,"CW","UW")))</f>
        <v>DW</v>
      </c>
      <c r="DC1140" s="61" t="e">
        <f>IF($CL1140-#REF!&gt;1/24,#REF!,IF(SUM($CQ1137:$CQ1140)&gt;$DS$1,$DS$5,DC1141-1))</f>
        <v>#REF!</v>
      </c>
      <c r="DD1140" s="61" t="e">
        <f>IF($CL1141-$CL1140&gt;1/24,#REF!,IF(SUM($CQ1137:$CQ1140)&gt;$DS$1,$DS$6,DD1139-1))</f>
        <v>#REF!</v>
      </c>
      <c r="DE1140" s="18" t="b">
        <v>0</v>
      </c>
      <c r="DF1140" s="2" t="b">
        <f>IF(OR(RecData[[#This Row],[WSpd_Avg '[m/s']]]-RecData[[#This Row],[Wind Speed min]]&gt;=$DF$3,RecData[[#This Row],[Wind Speed max]]-RecData[[#This Row],[WSpd_Avg '[m/s']]]&gt;=$DF$2),TRUE,FALSE)</f>
        <v>0</v>
      </c>
      <c r="DG1140" s="2" t="b">
        <f>RecData[[#This Row],[Temperature '[°C']]]&lt;=-20</f>
        <v>0</v>
      </c>
      <c r="DH1140" s="18" t="b">
        <f>NOT(OR(MOD(RecData[[#This Row],[TIMESTAMP]],1)&gt;0.91632,MOD(RecData[[#This Row],[TIMESTAMP]],1)&lt;0.208681))</f>
        <v>0</v>
      </c>
      <c r="DI1140" s="18" t="b">
        <f>RecData[[#This Row],[Overall (dBA)]]-RecData[[#This Row],[L90]]&gt;=$DS$4</f>
        <v>0</v>
      </c>
      <c r="DJ1140" s="18" t="b">
        <f>RecData[[#This Row],[Overall (dBA)]]&gt;$DS$2</f>
        <v>0</v>
      </c>
      <c r="DK1140" s="18" t="b">
        <f>RecData[[#This Row],[Overall (dBA)]]&lt;$DS$3</f>
        <v>0</v>
      </c>
      <c r="DL11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0" s="2">
        <f>IF(AND(RecData[[#This Row],[Turbines ON/OFF]] = "OFF", NOT(OR(RecData[[#This Row],[Junk?]]="YES",RecData[[#This Row],[Gust?]],RecData[[#This Row],[Rain?]:[Min SPL Threshold?]]))),1,0)</f>
        <v>0</v>
      </c>
      <c r="DN1140" s="16">
        <f>RecData[[#This Row],[dBA Sum]]</f>
        <v>39.331704116204989</v>
      </c>
      <c r="DO1140" s="16">
        <f>RecData[[#This Row],[LAF90.0]]</f>
        <v>38.5</v>
      </c>
      <c r="DP1140" s="55">
        <f>IF(AND(RecData[[#This Row],[Useable TON Data?]],RecData[[#This Row],[Turbines ON/OFF]]="ON"),RecData[[#This Row],[dBA Sum]],"")</f>
        <v>39.331704116204989</v>
      </c>
      <c r="DQ1140" s="55" t="str">
        <f>IF(AND(RecData[[#This Row],[Useable Background Data?]],RecData[[#This Row],[Turbines ON/OFF]]="OFF"),RecData[[#This Row],[dBA Sum]],"")</f>
        <v/>
      </c>
      <c r="DR1140" s="3">
        <f>IF(OR(RecData[[#This Row],[Useable TON Data?]],RecData[[#This Row],[Useable Background Data?]]),ROUND(RecData[[#This Row],[WSpd_Avg '[m/s']]],0),"")</f>
        <v>1</v>
      </c>
      <c r="DS1140" s="85">
        <f>(0.00002)^2*(10^(RecData[[#This Row],[Overall (dBA)]]/10))</f>
        <v>3.4294968077854557E-6</v>
      </c>
    </row>
    <row r="1141" spans="1:123" ht="15" x14ac:dyDescent="0.25">
      <c r="A1141" s="3" t="s">
        <v>249</v>
      </c>
      <c r="B1141" s="12">
        <v>43276.010416666664</v>
      </c>
      <c r="C1141" s="3"/>
      <c r="D1141" s="3">
        <v>39.4</v>
      </c>
      <c r="E1141" s="3"/>
      <c r="F1141" s="3"/>
      <c r="G1141" s="3"/>
      <c r="H1141" s="3"/>
      <c r="I1141" s="3"/>
      <c r="J1141" s="3"/>
      <c r="K1141" s="3">
        <v>38.1</v>
      </c>
      <c r="L1141" s="3"/>
      <c r="M1141" s="3"/>
      <c r="N1141" s="3">
        <v>182.2</v>
      </c>
      <c r="O1141" s="3"/>
      <c r="P1141" s="3"/>
      <c r="Q1141" s="3">
        <v>1.02</v>
      </c>
      <c r="R1141" s="3">
        <v>0.1</v>
      </c>
      <c r="S1141" s="3">
        <v>1.7</v>
      </c>
      <c r="T1141" s="3">
        <v>12.2</v>
      </c>
      <c r="U1141" s="3">
        <v>51.7</v>
      </c>
      <c r="V1141" s="3">
        <v>977.4</v>
      </c>
      <c r="W1141" s="3">
        <v>0</v>
      </c>
      <c r="X1141" s="3">
        <v>43.6</v>
      </c>
      <c r="Y1141" s="3">
        <v>42.9</v>
      </c>
      <c r="Z1141" s="3">
        <v>43</v>
      </c>
      <c r="AA1141" s="3">
        <v>38.1</v>
      </c>
      <c r="AB1141" s="3">
        <v>33.200000000000003</v>
      </c>
      <c r="AC1141" s="3">
        <v>33.1</v>
      </c>
      <c r="AD1141" s="3">
        <v>36.700000000000003</v>
      </c>
      <c r="AE1141" s="3">
        <v>39.4</v>
      </c>
      <c r="AF1141" s="3">
        <v>46.1</v>
      </c>
      <c r="AG1141" s="3">
        <v>39.5</v>
      </c>
      <c r="AH1141" s="3">
        <v>37.799999999999997</v>
      </c>
      <c r="AI1141" s="3">
        <v>39</v>
      </c>
      <c r="AJ1141" s="3">
        <v>37</v>
      </c>
      <c r="AK1141" s="3">
        <v>35.4</v>
      </c>
      <c r="AL1141" s="3">
        <v>32.9</v>
      </c>
      <c r="AM1141" s="3">
        <v>32</v>
      </c>
      <c r="AN1141" s="3">
        <v>29</v>
      </c>
      <c r="AO1141" s="3">
        <v>25</v>
      </c>
      <c r="AP1141" s="3">
        <v>23.2</v>
      </c>
      <c r="AQ1141" s="3">
        <v>19.899999999999999</v>
      </c>
      <c r="AR1141" s="3">
        <v>15.7</v>
      </c>
      <c r="AS1141" s="3">
        <v>12.8</v>
      </c>
      <c r="AT1141" s="3">
        <v>16.2</v>
      </c>
      <c r="AU1141" s="3">
        <v>8.6</v>
      </c>
      <c r="AV1141" s="3">
        <v>8.8000000000000007</v>
      </c>
      <c r="AW1141" s="3">
        <v>9.1</v>
      </c>
      <c r="AX1141" s="3">
        <v>9</v>
      </c>
      <c r="AY1141" s="3">
        <v>9.1</v>
      </c>
      <c r="AZ1141" s="3">
        <v>0</v>
      </c>
      <c r="BA1141" s="3">
        <v>0</v>
      </c>
      <c r="BB1141" s="3">
        <v>0</v>
      </c>
      <c r="BC1141" s="3">
        <v>39.445557197246814</v>
      </c>
      <c r="BD1141" s="3">
        <v>43.554442802753186</v>
      </c>
      <c r="BE1141" s="3">
        <v>42.854442802753184</v>
      </c>
      <c r="BF1141" s="3">
        <v>41.714442802753183</v>
      </c>
      <c r="BG1141" s="3">
        <v>37.14110946941986</v>
      </c>
      <c r="BH1141" s="3">
        <v>32.381109469419854</v>
      </c>
      <c r="BI1141" s="3">
        <v>32.694442802753187</v>
      </c>
      <c r="BJ1141" s="3">
        <v>37.087776136086518</v>
      </c>
      <c r="BK1141" s="3">
        <v>39.661109469419841</v>
      </c>
      <c r="BL1141" s="3">
        <v>45.934442802753182</v>
      </c>
      <c r="BM1141" s="3">
        <v>39.467776136086513</v>
      </c>
      <c r="BN1141" s="3">
        <v>38.051109469419856</v>
      </c>
      <c r="BO1141" s="3">
        <v>38.617776136086519</v>
      </c>
      <c r="BP1141" s="3">
        <v>36.334442802753188</v>
      </c>
      <c r="BQ1141" s="3">
        <v>35.15110946941985</v>
      </c>
      <c r="BR1141" s="3">
        <v>32.977776136086518</v>
      </c>
      <c r="BS1141" s="3">
        <v>31.881109469419854</v>
      </c>
      <c r="BT1141" s="3">
        <v>29.077776136086527</v>
      </c>
      <c r="BU1141" s="3">
        <v>25.044442802753196</v>
      </c>
      <c r="BV1141" s="3">
        <v>22.961109469419853</v>
      </c>
      <c r="BW1141" s="3">
        <v>20.194442802753187</v>
      </c>
      <c r="BX1141" s="3">
        <v>15.914442802753186</v>
      </c>
      <c r="BY1141" s="3">
        <v>12.834442802753188</v>
      </c>
      <c r="BZ1141" s="3">
        <v>16.364442802753189</v>
      </c>
      <c r="CA1141" s="3">
        <v>8.8644428027531745</v>
      </c>
      <c r="CB1141" s="3">
        <v>8.5011094694198519</v>
      </c>
      <c r="CC1141" s="3">
        <v>9.0144428027531802</v>
      </c>
      <c r="CD1141" s="3">
        <v>8.2211094694198579</v>
      </c>
      <c r="CE1141" s="3">
        <v>8.5144428027531802</v>
      </c>
      <c r="CF1141" s="3">
        <v>-0.97222386391348437</v>
      </c>
      <c r="CG1141" s="3">
        <v>-1.5055571972468158</v>
      </c>
      <c r="CH1141" s="3">
        <v>-2.5822238639134838</v>
      </c>
      <c r="CI1141" s="13">
        <f>[1]!dbasum(RecData[[#This Row],[20]:[2000]],RecData[[#Headers],[20]:[2000]])</f>
        <v>39.230072152737058</v>
      </c>
      <c r="CJ1141" s="14">
        <v>10736</v>
      </c>
      <c r="CK1141" s="15" t="s">
        <v>249</v>
      </c>
      <c r="CL1141" s="15">
        <f>RecData[[#This Row],[Start Time]]</f>
        <v>43276.010416666664</v>
      </c>
      <c r="CM1141" s="16">
        <f>RecData[[#This Row],[Wind Speed avg]]</f>
        <v>1.02</v>
      </c>
      <c r="CN1141" s="16">
        <f>RecData[[#This Row],[Wind Dir. avg]]</f>
        <v>182.2</v>
      </c>
      <c r="CO1141" s="16">
        <f>RecData[[#This Row],[Amb. Humidity]]</f>
        <v>51.7</v>
      </c>
      <c r="CP1141" s="16">
        <f>RecData[[#This Row],[Amb. Temperature]]</f>
        <v>12.2</v>
      </c>
      <c r="CQ1141" s="17">
        <f>RecData[[#This Row],[Amb. Rain Gauge]]</f>
        <v>0</v>
      </c>
      <c r="CR1141" s="4" t="s">
        <v>1</v>
      </c>
      <c r="CS1141" s="4" t="s">
        <v>49</v>
      </c>
      <c r="CT1141" s="70">
        <v>1581.0302734375</v>
      </c>
      <c r="CU1141" s="70">
        <v>30.000249862670898</v>
      </c>
      <c r="CV1141" s="70">
        <v>10.102988243103001</v>
      </c>
      <c r="CW1141" s="70">
        <v>15.3518619537353</v>
      </c>
      <c r="CX1141" s="4"/>
      <c r="CY1141" s="69"/>
      <c r="CZ1141" s="2" t="b">
        <f>IF($DP$1="YES",IF(RecData[[#This Row],[Power (kW)]]&gt;=$CR$3, TRUE,FALSE),TRUE)</f>
        <v>1</v>
      </c>
      <c r="DA1141" s="16">
        <f>MIN(MOD(180-ABS(ABS($DA$1-RecData[Yaw Angle (°)])-180),360),MOD(180-ABS(ABS($DB$1-RecData[Yaw Angle (°)])-180),360))</f>
        <v>22.470323084983363</v>
      </c>
      <c r="DB1141" s="2" t="str">
        <f>IF($DP$2="None","None",IF(RecData[[#This Row],[Relative Wind Direction]]&lt;=45,"DW",IF(RecData[[#This Row],[Relative Wind Direction]]&lt;=135,"CW","UW")))</f>
        <v>DW</v>
      </c>
      <c r="DC1141" s="61">
        <f>IF($CL1141-$CL1137&gt;1/24,#REF!,IF(SUM($CQ1137:$CQ1141)&gt;$DS$1,$DS$5,DC1142-1))</f>
        <v>-3</v>
      </c>
      <c r="DD1141" s="61" t="e">
        <f>IF($CL1142-$CL1141&gt;1/24,#REF!,IF(SUM($CQ1137:$CQ1141)&gt;$DS$1,$DS$6,DD1140-1))</f>
        <v>#REF!</v>
      </c>
      <c r="DE1141" s="18" t="b">
        <v>0</v>
      </c>
      <c r="DF1141" s="2" t="b">
        <f>IF(OR(RecData[[#This Row],[WSpd_Avg '[m/s']]]-RecData[[#This Row],[Wind Speed min]]&gt;=$DF$3,RecData[[#This Row],[Wind Speed max]]-RecData[[#This Row],[WSpd_Avg '[m/s']]]&gt;=$DF$2),TRUE,FALSE)</f>
        <v>0</v>
      </c>
      <c r="DG1141" s="2" t="b">
        <f>RecData[[#This Row],[Temperature '[°C']]]&lt;=-20</f>
        <v>0</v>
      </c>
      <c r="DH1141" s="18" t="b">
        <f>NOT(OR(MOD(RecData[[#This Row],[TIMESTAMP]],1)&gt;0.91632,MOD(RecData[[#This Row],[TIMESTAMP]],1)&lt;0.208681))</f>
        <v>0</v>
      </c>
      <c r="DI1141" s="18" t="b">
        <f>RecData[[#This Row],[Overall (dBA)]]-RecData[[#This Row],[L90]]&gt;=$DS$4</f>
        <v>0</v>
      </c>
      <c r="DJ1141" s="18" t="b">
        <f>RecData[[#This Row],[Overall (dBA)]]&gt;$DS$2</f>
        <v>0</v>
      </c>
      <c r="DK1141" s="18" t="b">
        <f>RecData[[#This Row],[Overall (dBA)]]&lt;$DS$3</f>
        <v>0</v>
      </c>
      <c r="DL11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1" s="2">
        <f>IF(AND(RecData[[#This Row],[Turbines ON/OFF]] = "OFF", NOT(OR(RecData[[#This Row],[Junk?]]="YES",RecData[[#This Row],[Gust?]],RecData[[#This Row],[Rain?]:[Min SPL Threshold?]]))),1,0)</f>
        <v>0</v>
      </c>
      <c r="DN1141" s="16">
        <f>RecData[[#This Row],[dBA Sum]]</f>
        <v>39.230072152737058</v>
      </c>
      <c r="DO1141" s="16">
        <f>RecData[[#This Row],[LAF90.0]]</f>
        <v>38.1</v>
      </c>
      <c r="DP1141" s="55">
        <f>IF(AND(RecData[[#This Row],[Useable TON Data?]],RecData[[#This Row],[Turbines ON/OFF]]="ON"),RecData[[#This Row],[dBA Sum]],"")</f>
        <v>39.230072152737058</v>
      </c>
      <c r="DQ1141" s="55" t="str">
        <f>IF(AND(RecData[[#This Row],[Useable Background Data?]],RecData[[#This Row],[Turbines ON/OFF]]="OFF"),RecData[[#This Row],[dBA Sum]],"")</f>
        <v/>
      </c>
      <c r="DR1141" s="3">
        <f>IF(OR(RecData[[#This Row],[Useable TON Data?]],RecData[[#This Row],[Useable Background Data?]]),ROUND(RecData[[#This Row],[WSpd_Avg '[m/s']]],0),"")</f>
        <v>1</v>
      </c>
      <c r="DS1141" s="85">
        <f>(0.00002)^2*(10^(RecData[[#This Row],[Overall (dBA)]]/10))</f>
        <v>3.3501727870844443E-6</v>
      </c>
    </row>
    <row r="1142" spans="1:123" ht="15" x14ac:dyDescent="0.25">
      <c r="A1142" s="3" t="s">
        <v>249</v>
      </c>
      <c r="B1142" s="12">
        <v>43276.011111111111</v>
      </c>
      <c r="C1142" s="3"/>
      <c r="D1142" s="3">
        <v>39.700000000000003</v>
      </c>
      <c r="E1142" s="3"/>
      <c r="F1142" s="3"/>
      <c r="G1142" s="3"/>
      <c r="H1142" s="3"/>
      <c r="I1142" s="3"/>
      <c r="J1142" s="3"/>
      <c r="K1142" s="3">
        <v>38.299999999999997</v>
      </c>
      <c r="L1142" s="3"/>
      <c r="M1142" s="3"/>
      <c r="N1142" s="3">
        <v>192.7</v>
      </c>
      <c r="O1142" s="3"/>
      <c r="P1142" s="3"/>
      <c r="Q1142" s="3">
        <v>0.82</v>
      </c>
      <c r="R1142" s="3">
        <v>0</v>
      </c>
      <c r="S1142" s="3">
        <v>1.6</v>
      </c>
      <c r="T1142" s="3">
        <v>12.2</v>
      </c>
      <c r="U1142" s="3">
        <v>51.5</v>
      </c>
      <c r="V1142" s="3">
        <v>977.4</v>
      </c>
      <c r="W1142" s="3">
        <v>0</v>
      </c>
      <c r="X1142" s="3">
        <v>44</v>
      </c>
      <c r="Y1142" s="3">
        <v>43.1</v>
      </c>
      <c r="Z1142" s="3">
        <v>42.7</v>
      </c>
      <c r="AA1142" s="3">
        <v>38.4</v>
      </c>
      <c r="AB1142" s="3">
        <v>33.6</v>
      </c>
      <c r="AC1142" s="3">
        <v>34.1</v>
      </c>
      <c r="AD1142" s="3">
        <v>37.700000000000003</v>
      </c>
      <c r="AE1142" s="3">
        <v>39.799999999999997</v>
      </c>
      <c r="AF1142" s="3">
        <v>44.2</v>
      </c>
      <c r="AG1142" s="3">
        <v>39.200000000000003</v>
      </c>
      <c r="AH1142" s="3">
        <v>38.6</v>
      </c>
      <c r="AI1142" s="3">
        <v>39</v>
      </c>
      <c r="AJ1142" s="3">
        <v>37.200000000000003</v>
      </c>
      <c r="AK1142" s="3">
        <v>35.799999999999997</v>
      </c>
      <c r="AL1142" s="3">
        <v>33.1</v>
      </c>
      <c r="AM1142" s="3">
        <v>32.700000000000003</v>
      </c>
      <c r="AN1142" s="3">
        <v>29.6</v>
      </c>
      <c r="AO1142" s="3">
        <v>25.8</v>
      </c>
      <c r="AP1142" s="3">
        <v>23.8</v>
      </c>
      <c r="AQ1142" s="3">
        <v>20.9</v>
      </c>
      <c r="AR1142" s="3">
        <v>17.100000000000001</v>
      </c>
      <c r="AS1142" s="3">
        <v>16.7</v>
      </c>
      <c r="AT1142" s="3">
        <v>20.6</v>
      </c>
      <c r="AU1142" s="3">
        <v>10.5</v>
      </c>
      <c r="AV1142" s="3">
        <v>9.9</v>
      </c>
      <c r="AW1142" s="3">
        <v>9.6</v>
      </c>
      <c r="AX1142" s="3">
        <v>9.1</v>
      </c>
      <c r="AY1142" s="3">
        <v>9.1999999999999993</v>
      </c>
      <c r="AZ1142" s="3">
        <v>0</v>
      </c>
      <c r="BA1142" s="3">
        <v>0</v>
      </c>
      <c r="BB1142" s="3">
        <v>0</v>
      </c>
      <c r="BC1142" s="3">
        <v>39.693883076682674</v>
      </c>
      <c r="BD1142" s="3">
        <v>44.006116923317329</v>
      </c>
      <c r="BE1142" s="3">
        <v>43.106116923317337</v>
      </c>
      <c r="BF1142" s="3">
        <v>41.466116923317323</v>
      </c>
      <c r="BG1142" s="3">
        <v>37.492783589983993</v>
      </c>
      <c r="BH1142" s="3">
        <v>32.832783589983997</v>
      </c>
      <c r="BI1142" s="3">
        <v>33.746116923317324</v>
      </c>
      <c r="BJ1142" s="3">
        <v>38.139450256650669</v>
      </c>
      <c r="BK1142" s="3">
        <v>40.112783589983998</v>
      </c>
      <c r="BL1142" s="3">
        <v>44.086116923317327</v>
      </c>
      <c r="BM1142" s="3">
        <v>39.219450256650667</v>
      </c>
      <c r="BN1142" s="3">
        <v>38.90278358998399</v>
      </c>
      <c r="BO1142" s="3">
        <v>38.66945025665067</v>
      </c>
      <c r="BP1142" s="3">
        <v>36.586116923317327</v>
      </c>
      <c r="BQ1142" s="3">
        <v>35.602783589983979</v>
      </c>
      <c r="BR1142" s="3">
        <v>33.229450256650672</v>
      </c>
      <c r="BS1142" s="3">
        <v>32.632783589984008</v>
      </c>
      <c r="BT1142" s="3">
        <v>29.729450256650672</v>
      </c>
      <c r="BU1142" s="3">
        <v>25.896116923317329</v>
      </c>
      <c r="BV1142" s="3">
        <v>23.612783589983998</v>
      </c>
      <c r="BW1142" s="3">
        <v>21.246116923317331</v>
      </c>
      <c r="BX1142" s="3">
        <v>17.366116923317335</v>
      </c>
      <c r="BY1142" s="3">
        <v>16.78611692331733</v>
      </c>
      <c r="BZ1142" s="3">
        <v>20.816116923317331</v>
      </c>
      <c r="CA1142" s="3">
        <v>10.816116923317324</v>
      </c>
      <c r="CB1142" s="3">
        <v>9.65278358998399</v>
      </c>
      <c r="CC1142" s="3">
        <v>9.5661169233173311</v>
      </c>
      <c r="CD1142" s="3">
        <v>8.3727835899840031</v>
      </c>
      <c r="CE1142" s="3">
        <v>8.6661169233173254</v>
      </c>
      <c r="CF1142" s="3">
        <v>-0.92054974334934059</v>
      </c>
      <c r="CG1142" s="3">
        <v>-1.453883076682672</v>
      </c>
      <c r="CH1142" s="3">
        <v>-2.53054974334934</v>
      </c>
      <c r="CI1142" s="13">
        <f>[1]!dbasum(RecData[[#This Row],[20]:[2000]],RecData[[#Headers],[20]:[2000]])</f>
        <v>39.475597058415602</v>
      </c>
      <c r="CJ1142" s="14">
        <v>10737</v>
      </c>
      <c r="CK1142" s="15" t="s">
        <v>249</v>
      </c>
      <c r="CL1142" s="15">
        <f>RecData[[#This Row],[Start Time]]</f>
        <v>43276.011111111111</v>
      </c>
      <c r="CM1142" s="16">
        <f>RecData[[#This Row],[Wind Speed avg]]</f>
        <v>0.82</v>
      </c>
      <c r="CN1142" s="16">
        <f>RecData[[#This Row],[Wind Dir. avg]]</f>
        <v>192.7</v>
      </c>
      <c r="CO1142" s="16">
        <f>RecData[[#This Row],[Amb. Humidity]]</f>
        <v>51.5</v>
      </c>
      <c r="CP1142" s="16">
        <f>RecData[[#This Row],[Amb. Temperature]]</f>
        <v>12.2</v>
      </c>
      <c r="CQ1142" s="17">
        <f>RecData[[#This Row],[Amb. Rain Gauge]]</f>
        <v>0</v>
      </c>
      <c r="CR1142" s="4" t="s">
        <v>1</v>
      </c>
      <c r="CS1142" s="4" t="s">
        <v>49</v>
      </c>
      <c r="CT1142" s="70">
        <v>1581.0302734375</v>
      </c>
      <c r="CU1142" s="70">
        <v>30.000249862670898</v>
      </c>
      <c r="CV1142" s="70">
        <v>10.102988243103001</v>
      </c>
      <c r="CW1142" s="70">
        <v>15.3518619537353</v>
      </c>
      <c r="CX1142" s="4"/>
      <c r="CY1142" s="69"/>
      <c r="CZ1142" s="2" t="b">
        <f>IF($DP$1="YES",IF(RecData[[#This Row],[Power (kW)]]&gt;=$CR$3, TRUE,FALSE),TRUE)</f>
        <v>1</v>
      </c>
      <c r="DA1142" s="16">
        <f>MIN(MOD(180-ABS(ABS($DA$1-RecData[Yaw Angle (°)])-180),360),MOD(180-ABS(ABS($DB$1-RecData[Yaw Angle (°)])-180),360))</f>
        <v>22.470323084983363</v>
      </c>
      <c r="DB1142" s="2" t="str">
        <f>IF($DP$2="None","None",IF(RecData[[#This Row],[Relative Wind Direction]]&lt;=45,"DW",IF(RecData[[#This Row],[Relative Wind Direction]]&lt;=135,"CW","UW")))</f>
        <v>DW</v>
      </c>
      <c r="DC1142" s="61">
        <f>IF($CL1142-$CL1138&gt;1/24,#REF!,IF(SUM($CQ1138:$CQ1142)&gt;$DS$1,$DS$5,DC1143-1))</f>
        <v>-2</v>
      </c>
      <c r="DD1142" s="61" t="e">
        <f>IF($CL1143-$CL1142&gt;1/24,#REF!,IF(SUM($CQ1138:$CQ1142)&gt;$DS$1,$DS$6,DD1141-1))</f>
        <v>#REF!</v>
      </c>
      <c r="DE1142" s="18" t="b">
        <v>0</v>
      </c>
      <c r="DF1142" s="2" t="b">
        <f>IF(OR(RecData[[#This Row],[WSpd_Avg '[m/s']]]-RecData[[#This Row],[Wind Speed min]]&gt;=$DF$3,RecData[[#This Row],[Wind Speed max]]-RecData[[#This Row],[WSpd_Avg '[m/s']]]&gt;=$DF$2),TRUE,FALSE)</f>
        <v>0</v>
      </c>
      <c r="DG1142" s="2" t="b">
        <f>RecData[[#This Row],[Temperature '[°C']]]&lt;=-20</f>
        <v>0</v>
      </c>
      <c r="DH1142" s="18" t="b">
        <f>NOT(OR(MOD(RecData[[#This Row],[TIMESTAMP]],1)&gt;0.91632,MOD(RecData[[#This Row],[TIMESTAMP]],1)&lt;0.208681))</f>
        <v>0</v>
      </c>
      <c r="DI1142" s="18" t="b">
        <f>RecData[[#This Row],[Overall (dBA)]]-RecData[[#This Row],[L90]]&gt;=$DS$4</f>
        <v>0</v>
      </c>
      <c r="DJ1142" s="18" t="b">
        <f>RecData[[#This Row],[Overall (dBA)]]&gt;$DS$2</f>
        <v>0</v>
      </c>
      <c r="DK1142" s="18" t="b">
        <f>RecData[[#This Row],[Overall (dBA)]]&lt;$DS$3</f>
        <v>0</v>
      </c>
      <c r="DL11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2" s="2">
        <f>IF(AND(RecData[[#This Row],[Turbines ON/OFF]] = "OFF", NOT(OR(RecData[[#This Row],[Junk?]]="YES",RecData[[#This Row],[Gust?]],RecData[[#This Row],[Rain?]:[Min SPL Threshold?]]))),1,0)</f>
        <v>0</v>
      </c>
      <c r="DN1142" s="16">
        <f>RecData[[#This Row],[dBA Sum]]</f>
        <v>39.475597058415602</v>
      </c>
      <c r="DO1142" s="16">
        <f>RecData[[#This Row],[LAF90.0]]</f>
        <v>38.299999999999997</v>
      </c>
      <c r="DP1142" s="55">
        <f>IF(AND(RecData[[#This Row],[Useable TON Data?]],RecData[[#This Row],[Turbines ON/OFF]]="ON"),RecData[[#This Row],[dBA Sum]],"")</f>
        <v>39.475597058415602</v>
      </c>
      <c r="DQ1142" s="55" t="str">
        <f>IF(AND(RecData[[#This Row],[Useable Background Data?]],RecData[[#This Row],[Turbines ON/OFF]]="OFF"),RecData[[#This Row],[dBA Sum]],"")</f>
        <v/>
      </c>
      <c r="DR1142" s="3">
        <f>IF(OR(RecData[[#This Row],[Useable TON Data?]],RecData[[#This Row],[Useable Background Data?]]),ROUND(RecData[[#This Row],[WSpd_Avg '[m/s']]],0),"")</f>
        <v>1</v>
      </c>
      <c r="DS1142" s="85">
        <f>(0.00002)^2*(10^(RecData[[#This Row],[Overall (dBA)]]/10))</f>
        <v>3.5450282237516426E-6</v>
      </c>
    </row>
    <row r="1143" spans="1:123" ht="15" x14ac:dyDescent="0.25">
      <c r="A1143" s="3" t="s">
        <v>249</v>
      </c>
      <c r="B1143" s="12">
        <v>43276.011805555558</v>
      </c>
      <c r="C1143" s="3"/>
      <c r="D1143" s="3">
        <v>39.5</v>
      </c>
      <c r="E1143" s="3"/>
      <c r="F1143" s="3"/>
      <c r="G1143" s="3"/>
      <c r="H1143" s="3"/>
      <c r="I1143" s="3"/>
      <c r="J1143" s="3"/>
      <c r="K1143" s="3">
        <v>38.6</v>
      </c>
      <c r="L1143" s="3"/>
      <c r="M1143" s="3"/>
      <c r="N1143" s="3">
        <v>165.2</v>
      </c>
      <c r="O1143" s="3"/>
      <c r="P1143" s="3"/>
      <c r="Q1143" s="3">
        <v>0.74</v>
      </c>
      <c r="R1143" s="3">
        <v>0.3</v>
      </c>
      <c r="S1143" s="3">
        <v>1.1000000000000001</v>
      </c>
      <c r="T1143" s="3">
        <v>12.2</v>
      </c>
      <c r="U1143" s="3">
        <v>51.3</v>
      </c>
      <c r="V1143" s="3">
        <v>977.4</v>
      </c>
      <c r="W1143" s="3">
        <v>0</v>
      </c>
      <c r="X1143" s="3">
        <v>44.4</v>
      </c>
      <c r="Y1143" s="3">
        <v>42.4</v>
      </c>
      <c r="Z1143" s="3">
        <v>42</v>
      </c>
      <c r="AA1143" s="3">
        <v>38.299999999999997</v>
      </c>
      <c r="AB1143" s="3">
        <v>33.5</v>
      </c>
      <c r="AC1143" s="3">
        <v>33.4</v>
      </c>
      <c r="AD1143" s="3">
        <v>37.5</v>
      </c>
      <c r="AE1143" s="3">
        <v>39</v>
      </c>
      <c r="AF1143" s="3">
        <v>43.8</v>
      </c>
      <c r="AG1143" s="3">
        <v>39.6</v>
      </c>
      <c r="AH1143" s="3">
        <v>37.700000000000003</v>
      </c>
      <c r="AI1143" s="3">
        <v>38.799999999999997</v>
      </c>
      <c r="AJ1143" s="3">
        <v>36.799999999999997</v>
      </c>
      <c r="AK1143" s="3">
        <v>35.5</v>
      </c>
      <c r="AL1143" s="3">
        <v>33</v>
      </c>
      <c r="AM1143" s="3">
        <v>32.200000000000003</v>
      </c>
      <c r="AN1143" s="3">
        <v>29.7</v>
      </c>
      <c r="AO1143" s="3">
        <v>26.1</v>
      </c>
      <c r="AP1143" s="3">
        <v>23.9</v>
      </c>
      <c r="AQ1143" s="3">
        <v>21.4</v>
      </c>
      <c r="AR1143" s="3">
        <v>18</v>
      </c>
      <c r="AS1143" s="3">
        <v>16</v>
      </c>
      <c r="AT1143" s="3">
        <v>18.3</v>
      </c>
      <c r="AU1143" s="3">
        <v>11</v>
      </c>
      <c r="AV1143" s="3">
        <v>10.1</v>
      </c>
      <c r="AW1143" s="3">
        <v>9.8000000000000007</v>
      </c>
      <c r="AX1143" s="3">
        <v>9.4</v>
      </c>
      <c r="AY1143" s="3">
        <v>9.3000000000000007</v>
      </c>
      <c r="AZ1143" s="3">
        <v>0</v>
      </c>
      <c r="BA1143" s="3">
        <v>0</v>
      </c>
      <c r="BB1143" s="3">
        <v>0</v>
      </c>
      <c r="BC1143" s="3">
        <v>39.444838320373634</v>
      </c>
      <c r="BD1143" s="3">
        <v>44.455161679626372</v>
      </c>
      <c r="BE1143" s="3">
        <v>42.455161679626372</v>
      </c>
      <c r="BF1143" s="3">
        <v>40.815161679626357</v>
      </c>
      <c r="BG1143" s="3">
        <v>37.441828346293022</v>
      </c>
      <c r="BH1143" s="3">
        <v>32.781828346293025</v>
      </c>
      <c r="BI1143" s="3">
        <v>33.095161679626358</v>
      </c>
      <c r="BJ1143" s="3">
        <v>37.988495012959703</v>
      </c>
      <c r="BK1143" s="3">
        <v>39.361828346293038</v>
      </c>
      <c r="BL1143" s="3">
        <v>43.735161679626373</v>
      </c>
      <c r="BM1143" s="3">
        <v>39.66849501295971</v>
      </c>
      <c r="BN1143" s="3">
        <v>38.051828346293036</v>
      </c>
      <c r="BO1143" s="3">
        <v>38.518495012959704</v>
      </c>
      <c r="BP1143" s="3">
        <v>36.235161679626373</v>
      </c>
      <c r="BQ1143" s="3">
        <v>35.351828346293019</v>
      </c>
      <c r="BR1143" s="3">
        <v>33.178495012959701</v>
      </c>
      <c r="BS1143" s="3">
        <v>32.181828346293031</v>
      </c>
      <c r="BT1143" s="3">
        <v>29.878495012959704</v>
      </c>
      <c r="BU1143" s="3">
        <v>26.245161679626364</v>
      </c>
      <c r="BV1143" s="3">
        <v>23.761828346293029</v>
      </c>
      <c r="BW1143" s="3">
        <v>21.795161679626368</v>
      </c>
      <c r="BX1143" s="3">
        <v>18.315161679626371</v>
      </c>
      <c r="BY1143" s="3">
        <v>16.135161679626364</v>
      </c>
      <c r="BZ1143" s="3">
        <v>18.565161679626371</v>
      </c>
      <c r="CA1143" s="3">
        <v>11.365161679626361</v>
      </c>
      <c r="CB1143" s="3">
        <v>9.9018283462930299</v>
      </c>
      <c r="CC1143" s="3">
        <v>9.8151616796263639</v>
      </c>
      <c r="CD1143" s="3">
        <v>8.7218283462930373</v>
      </c>
      <c r="CE1143" s="3">
        <v>8.8151616796263639</v>
      </c>
      <c r="CF1143" s="3">
        <v>-0.87150498704030355</v>
      </c>
      <c r="CG1143" s="3">
        <v>-1.404838320373635</v>
      </c>
      <c r="CH1143" s="3">
        <v>-2.481504987040303</v>
      </c>
      <c r="CI1143" s="13">
        <f>[1]!dbasum(RecData[[#This Row],[20]:[2000]],RecData[[#Headers],[20]:[2000]])</f>
        <v>39.306719739381371</v>
      </c>
      <c r="CJ1143" s="14">
        <v>10738</v>
      </c>
      <c r="CK1143" s="15" t="s">
        <v>249</v>
      </c>
      <c r="CL1143" s="15">
        <f>RecData[[#This Row],[Start Time]]</f>
        <v>43276.011805555558</v>
      </c>
      <c r="CM1143" s="16">
        <f>RecData[[#This Row],[Wind Speed avg]]</f>
        <v>0.74</v>
      </c>
      <c r="CN1143" s="16">
        <f>RecData[[#This Row],[Wind Dir. avg]]</f>
        <v>165.2</v>
      </c>
      <c r="CO1143" s="16">
        <f>RecData[[#This Row],[Amb. Humidity]]</f>
        <v>51.3</v>
      </c>
      <c r="CP1143" s="16">
        <f>RecData[[#This Row],[Amb. Temperature]]</f>
        <v>12.2</v>
      </c>
      <c r="CQ1143" s="17">
        <f>RecData[[#This Row],[Amb. Rain Gauge]]</f>
        <v>0</v>
      </c>
      <c r="CR1143" s="4" t="s">
        <v>1</v>
      </c>
      <c r="CS1143" s="4" t="s">
        <v>49</v>
      </c>
      <c r="CT1143" s="70">
        <v>1581.0302734375</v>
      </c>
      <c r="CU1143" s="70">
        <v>30.000249862670898</v>
      </c>
      <c r="CV1143" s="70">
        <v>10.102988243103001</v>
      </c>
      <c r="CW1143" s="70">
        <v>15.3518619537353</v>
      </c>
      <c r="CX1143" s="4"/>
      <c r="CY1143" s="69"/>
      <c r="CZ1143" s="2" t="b">
        <f>IF($DP$1="YES",IF(RecData[[#This Row],[Power (kW)]]&gt;=$CR$3, TRUE,FALSE),TRUE)</f>
        <v>1</v>
      </c>
      <c r="DA1143" s="16">
        <f>MIN(MOD(180-ABS(ABS($DA$1-RecData[Yaw Angle (°)])-180),360),MOD(180-ABS(ABS($DB$1-RecData[Yaw Angle (°)])-180),360))</f>
        <v>22.470323084983363</v>
      </c>
      <c r="DB1143" s="2" t="str">
        <f>IF($DP$2="None","None",IF(RecData[[#This Row],[Relative Wind Direction]]&lt;=45,"DW",IF(RecData[[#This Row],[Relative Wind Direction]]&lt;=135,"CW","UW")))</f>
        <v>DW</v>
      </c>
      <c r="DC1143" s="61">
        <v>-1</v>
      </c>
      <c r="DD1143" s="61">
        <v>-1</v>
      </c>
      <c r="DE1143" s="18" t="b">
        <v>0</v>
      </c>
      <c r="DF1143" s="2" t="b">
        <f>IF(OR(RecData[[#This Row],[WSpd_Avg '[m/s']]]-RecData[[#This Row],[Wind Speed min]]&gt;=$DF$3,RecData[[#This Row],[Wind Speed max]]-RecData[[#This Row],[WSpd_Avg '[m/s']]]&gt;=$DF$2),TRUE,FALSE)</f>
        <v>0</v>
      </c>
      <c r="DG1143" s="2" t="b">
        <f>RecData[[#This Row],[Temperature '[°C']]]&lt;=-20</f>
        <v>0</v>
      </c>
      <c r="DH1143" s="18" t="b">
        <f>NOT(OR(MOD(RecData[[#This Row],[TIMESTAMP]],1)&gt;0.91632,MOD(RecData[[#This Row],[TIMESTAMP]],1)&lt;0.208681))</f>
        <v>0</v>
      </c>
      <c r="DI1143" s="18" t="b">
        <f>RecData[[#This Row],[Overall (dBA)]]-RecData[[#This Row],[L90]]&gt;=$DS$4</f>
        <v>0</v>
      </c>
      <c r="DJ1143" s="18" t="b">
        <f>RecData[[#This Row],[Overall (dBA)]]&gt;$DS$2</f>
        <v>0</v>
      </c>
      <c r="DK1143" s="18" t="b">
        <f>RecData[[#This Row],[Overall (dBA)]]&lt;$DS$3</f>
        <v>0</v>
      </c>
      <c r="DL11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3" s="2">
        <f>IF(AND(RecData[[#This Row],[Turbines ON/OFF]] = "OFF", NOT(OR(RecData[[#This Row],[Junk?]]="YES",RecData[[#This Row],[Gust?]],RecData[[#This Row],[Rain?]:[Min SPL Threshold?]]))),1,0)</f>
        <v>0</v>
      </c>
      <c r="DN1143" s="16">
        <f>RecData[[#This Row],[dBA Sum]]</f>
        <v>39.306719739381371</v>
      </c>
      <c r="DO1143" s="16">
        <f>RecData[[#This Row],[LAF90.0]]</f>
        <v>38.6</v>
      </c>
      <c r="DP1143" s="55">
        <f>IF(AND(RecData[[#This Row],[Useable TON Data?]],RecData[[#This Row],[Turbines ON/OFF]]="ON"),RecData[[#This Row],[dBA Sum]],"")</f>
        <v>39.306719739381371</v>
      </c>
      <c r="DQ1143" s="55" t="str">
        <f>IF(AND(RecData[[#This Row],[Useable Background Data?]],RecData[[#This Row],[Turbines ON/OFF]]="OFF"),RecData[[#This Row],[dBA Sum]],"")</f>
        <v/>
      </c>
      <c r="DR1143" s="3">
        <f>IF(OR(RecData[[#This Row],[Useable TON Data?]],RecData[[#This Row],[Useable Background Data?]]),ROUND(RecData[[#This Row],[WSpd_Avg '[m/s']]],0),"")</f>
        <v>1</v>
      </c>
      <c r="DS1143" s="85">
        <f>(0.00002)^2*(10^(RecData[[#This Row],[Overall (dBA)]]/10))</f>
        <v>3.4098240161043793E-6</v>
      </c>
    </row>
    <row r="1144" spans="1:123" ht="15" x14ac:dyDescent="0.25">
      <c r="A1144" s="3" t="s">
        <v>249</v>
      </c>
      <c r="B1144" s="12">
        <v>43276.012499999997</v>
      </c>
      <c r="C1144" s="3"/>
      <c r="D1144" s="3">
        <v>39.700000000000003</v>
      </c>
      <c r="E1144" s="3"/>
      <c r="F1144" s="3"/>
      <c r="G1144" s="3"/>
      <c r="H1144" s="3"/>
      <c r="I1144" s="3"/>
      <c r="J1144" s="3"/>
      <c r="K1144" s="3">
        <v>38.299999999999997</v>
      </c>
      <c r="L1144" s="3"/>
      <c r="M1144" s="3"/>
      <c r="N1144" s="3">
        <v>176.8</v>
      </c>
      <c r="O1144" s="3"/>
      <c r="P1144" s="3"/>
      <c r="Q1144" s="3">
        <v>1.06</v>
      </c>
      <c r="R1144" s="3">
        <v>0.5</v>
      </c>
      <c r="S1144" s="3">
        <v>1.7</v>
      </c>
      <c r="T1144" s="3">
        <v>12.2</v>
      </c>
      <c r="U1144" s="3">
        <v>51.5</v>
      </c>
      <c r="V1144" s="3">
        <v>977.4</v>
      </c>
      <c r="W1144" s="3">
        <v>0</v>
      </c>
      <c r="X1144" s="3">
        <v>44.2</v>
      </c>
      <c r="Y1144" s="3">
        <v>42.4</v>
      </c>
      <c r="Z1144" s="3">
        <v>42</v>
      </c>
      <c r="AA1144" s="3">
        <v>38.700000000000003</v>
      </c>
      <c r="AB1144" s="3">
        <v>33.700000000000003</v>
      </c>
      <c r="AC1144" s="3">
        <v>33.1</v>
      </c>
      <c r="AD1144" s="3">
        <v>37.1</v>
      </c>
      <c r="AE1144" s="3">
        <v>39.299999999999997</v>
      </c>
      <c r="AF1144" s="3">
        <v>46</v>
      </c>
      <c r="AG1144" s="3">
        <v>40.5</v>
      </c>
      <c r="AH1144" s="3">
        <v>37.9</v>
      </c>
      <c r="AI1144" s="3">
        <v>39.4</v>
      </c>
      <c r="AJ1144" s="3">
        <v>37.200000000000003</v>
      </c>
      <c r="AK1144" s="3">
        <v>35.5</v>
      </c>
      <c r="AL1144" s="3">
        <v>32.9</v>
      </c>
      <c r="AM1144" s="3">
        <v>32</v>
      </c>
      <c r="AN1144" s="3">
        <v>29.1</v>
      </c>
      <c r="AO1144" s="3">
        <v>25.5</v>
      </c>
      <c r="AP1144" s="3">
        <v>23.6</v>
      </c>
      <c r="AQ1144" s="3">
        <v>20.6</v>
      </c>
      <c r="AR1144" s="3">
        <v>16.899999999999999</v>
      </c>
      <c r="AS1144" s="3">
        <v>14.7</v>
      </c>
      <c r="AT1144" s="3">
        <v>16.7</v>
      </c>
      <c r="AU1144" s="3">
        <v>10.4</v>
      </c>
      <c r="AV1144" s="3">
        <v>9.6999999999999993</v>
      </c>
      <c r="AW1144" s="3">
        <v>9.5</v>
      </c>
      <c r="AX1144" s="3">
        <v>9.1999999999999993</v>
      </c>
      <c r="AY1144" s="3">
        <v>9.1999999999999993</v>
      </c>
      <c r="AZ1144" s="3">
        <v>0</v>
      </c>
      <c r="BA1144" s="3">
        <v>0</v>
      </c>
      <c r="BB1144" s="3">
        <v>0</v>
      </c>
      <c r="BC1144" s="3">
        <v>39.649448379968788</v>
      </c>
      <c r="BD1144" s="3">
        <v>44.250551620031217</v>
      </c>
      <c r="BE1144" s="3">
        <v>42.450551620031206</v>
      </c>
      <c r="BF1144" s="3">
        <v>40.810551620031219</v>
      </c>
      <c r="BG1144" s="3">
        <v>37.83721828669789</v>
      </c>
      <c r="BH1144" s="3">
        <v>32.977218286697877</v>
      </c>
      <c r="BI1144" s="3">
        <v>32.790551620031209</v>
      </c>
      <c r="BJ1144" s="3">
        <v>37.583884953364546</v>
      </c>
      <c r="BK1144" s="3">
        <v>39.657218286697884</v>
      </c>
      <c r="BL1144" s="3">
        <v>45.930551620031224</v>
      </c>
      <c r="BM1144" s="3">
        <v>40.56388495336455</v>
      </c>
      <c r="BN1144" s="3">
        <v>38.247218286697887</v>
      </c>
      <c r="BO1144" s="3">
        <v>39.113884953364547</v>
      </c>
      <c r="BP1144" s="3">
        <v>36.630551620031213</v>
      </c>
      <c r="BQ1144" s="3">
        <v>35.347218286697881</v>
      </c>
      <c r="BR1144" s="3">
        <v>33.073884953364541</v>
      </c>
      <c r="BS1144" s="3">
        <v>31.977218286697877</v>
      </c>
      <c r="BT1144" s="3">
        <v>29.273884953364558</v>
      </c>
      <c r="BU1144" s="3">
        <v>25.640551620031218</v>
      </c>
      <c r="BV1144" s="3">
        <v>23.457218286697881</v>
      </c>
      <c r="BW1144" s="3">
        <v>20.990551620031219</v>
      </c>
      <c r="BX1144" s="3">
        <v>17.210551620031218</v>
      </c>
      <c r="BY1144" s="3">
        <v>14.830551620031216</v>
      </c>
      <c r="BZ1144" s="3">
        <v>16.960551620031218</v>
      </c>
      <c r="CA1144" s="3">
        <v>10.760551620031208</v>
      </c>
      <c r="CB1144" s="3">
        <v>9.4972182866978798</v>
      </c>
      <c r="CC1144" s="3">
        <v>9.5105516200312152</v>
      </c>
      <c r="CD1144" s="3">
        <v>8.5172182866978829</v>
      </c>
      <c r="CE1144" s="3">
        <v>8.710551620031211</v>
      </c>
      <c r="CF1144" s="3">
        <v>-0.87611504663545503</v>
      </c>
      <c r="CG1144" s="3">
        <v>-1.4094483799687865</v>
      </c>
      <c r="CH1144" s="3">
        <v>-2.4861150466354545</v>
      </c>
      <c r="CI1144" s="13">
        <f>[1]!dbasum(RecData[[#This Row],[20]:[2000]],RecData[[#Headers],[20]:[2000]])</f>
        <v>39.518697804285551</v>
      </c>
      <c r="CJ1144" s="14">
        <v>10739</v>
      </c>
      <c r="CK1144" s="15" t="s">
        <v>249</v>
      </c>
      <c r="CL1144" s="15">
        <f>RecData[[#This Row],[Start Time]]</f>
        <v>43276.012499999997</v>
      </c>
      <c r="CM1144" s="16">
        <f>RecData[[#This Row],[Wind Speed avg]]</f>
        <v>1.06</v>
      </c>
      <c r="CN1144" s="16">
        <f>RecData[[#This Row],[Wind Dir. avg]]</f>
        <v>176.8</v>
      </c>
      <c r="CO1144" s="16">
        <f>RecData[[#This Row],[Amb. Humidity]]</f>
        <v>51.5</v>
      </c>
      <c r="CP1144" s="16">
        <f>RecData[[#This Row],[Amb. Temperature]]</f>
        <v>12.2</v>
      </c>
      <c r="CQ1144" s="17">
        <f>RecData[[#This Row],[Amb. Rain Gauge]]</f>
        <v>0</v>
      </c>
      <c r="CR1144" s="4" t="s">
        <v>1</v>
      </c>
      <c r="CS1144" s="4" t="s">
        <v>49</v>
      </c>
      <c r="CT1144" s="70">
        <v>1581.0302734375</v>
      </c>
      <c r="CU1144" s="70">
        <v>30.000249862670898</v>
      </c>
      <c r="CV1144" s="70">
        <v>10.102988243103001</v>
      </c>
      <c r="CW1144" s="70">
        <v>15.3518619537353</v>
      </c>
      <c r="CX1144" s="4"/>
      <c r="CY1144" s="69"/>
      <c r="CZ1144" s="2" t="b">
        <f>IF($DP$1="YES",IF(RecData[[#This Row],[Power (kW)]]&gt;=$CR$3, TRUE,FALSE),TRUE)</f>
        <v>1</v>
      </c>
      <c r="DA1144" s="16">
        <f>MIN(MOD(180-ABS(ABS($DA$1-RecData[Yaw Angle (°)])-180),360),MOD(180-ABS(ABS($DB$1-RecData[Yaw Angle (°)])-180),360))</f>
        <v>22.470323084983363</v>
      </c>
      <c r="DB1144" s="2" t="str">
        <f>IF($DP$2="None","None",IF(RecData[[#This Row],[Relative Wind Direction]]&lt;=45,"DW",IF(RecData[[#This Row],[Relative Wind Direction]]&lt;=135,"CW","UW")))</f>
        <v>DW</v>
      </c>
      <c r="DC1144" s="61">
        <f>IF($CL1144-$CL1143&gt;1/24,#REF!,IF(SUM($CQ1143:$CQ1144)&gt;$DS$1,$DS$5,DC1145-1))</f>
        <v>-9</v>
      </c>
      <c r="DD1144" s="61">
        <f>IF($CL1145-$CL1144&gt;1/24,#REF!,IF(SUM($CQ1143:$CQ1144)&gt;$DS$1,$DS$6,DD1143-1))</f>
        <v>-2</v>
      </c>
      <c r="DE1144" s="18" t="b">
        <v>0</v>
      </c>
      <c r="DF1144" s="2" t="b">
        <f>IF(OR(RecData[[#This Row],[WSpd_Avg '[m/s']]]-RecData[[#This Row],[Wind Speed min]]&gt;=$DF$3,RecData[[#This Row],[Wind Speed max]]-RecData[[#This Row],[WSpd_Avg '[m/s']]]&gt;=$DF$2),TRUE,FALSE)</f>
        <v>0</v>
      </c>
      <c r="DG1144" s="2" t="b">
        <f>RecData[[#This Row],[Temperature '[°C']]]&lt;=-20</f>
        <v>0</v>
      </c>
      <c r="DH1144" s="18" t="b">
        <f>NOT(OR(MOD(RecData[[#This Row],[TIMESTAMP]],1)&gt;0.91632,MOD(RecData[[#This Row],[TIMESTAMP]],1)&lt;0.208681))</f>
        <v>0</v>
      </c>
      <c r="DI1144" s="18" t="b">
        <f>RecData[[#This Row],[Overall (dBA)]]-RecData[[#This Row],[L90]]&gt;=$DS$4</f>
        <v>0</v>
      </c>
      <c r="DJ1144" s="18" t="b">
        <f>RecData[[#This Row],[Overall (dBA)]]&gt;$DS$2</f>
        <v>0</v>
      </c>
      <c r="DK1144" s="18" t="b">
        <f>RecData[[#This Row],[Overall (dBA)]]&lt;$DS$3</f>
        <v>0</v>
      </c>
      <c r="DL11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4" s="2">
        <f>IF(AND(RecData[[#This Row],[Turbines ON/OFF]] = "OFF", NOT(OR(RecData[[#This Row],[Junk?]]="YES",RecData[[#This Row],[Gust?]],RecData[[#This Row],[Rain?]:[Min SPL Threshold?]]))),1,0)</f>
        <v>0</v>
      </c>
      <c r="DN1144" s="16">
        <f>RecData[[#This Row],[dBA Sum]]</f>
        <v>39.518697804285551</v>
      </c>
      <c r="DO1144" s="16">
        <f>RecData[[#This Row],[LAF90.0]]</f>
        <v>38.299999999999997</v>
      </c>
      <c r="DP1144" s="55">
        <f>IF(AND(RecData[[#This Row],[Useable TON Data?]],RecData[[#This Row],[Turbines ON/OFF]]="ON"),RecData[[#This Row],[dBA Sum]],"")</f>
        <v>39.518697804285551</v>
      </c>
      <c r="DQ1144" s="55" t="str">
        <f>IF(AND(RecData[[#This Row],[Useable Background Data?]],RecData[[#This Row],[Turbines ON/OFF]]="OFF"),RecData[[#This Row],[dBA Sum]],"")</f>
        <v/>
      </c>
      <c r="DR1144" s="3">
        <f>IF(OR(RecData[[#This Row],[Useable TON Data?]],RecData[[#This Row],[Useable Background Data?]]),ROUND(RecData[[#This Row],[WSpd_Avg '[m/s']]],0),"")</f>
        <v>1</v>
      </c>
      <c r="DS1144" s="85">
        <f>(0.00002)^2*(10^(RecData[[#This Row],[Overall (dBA)]]/10))</f>
        <v>3.5803853526046289E-6</v>
      </c>
    </row>
    <row r="1145" spans="1:123" ht="15" x14ac:dyDescent="0.25">
      <c r="A1145" s="3" t="s">
        <v>249</v>
      </c>
      <c r="B1145" s="12">
        <v>43276.013194444444</v>
      </c>
      <c r="C1145" s="3"/>
      <c r="D1145" s="3">
        <v>39.4</v>
      </c>
      <c r="E1145" s="3"/>
      <c r="F1145" s="3"/>
      <c r="G1145" s="3"/>
      <c r="H1145" s="3"/>
      <c r="I1145" s="3"/>
      <c r="J1145" s="3"/>
      <c r="K1145" s="3">
        <v>38.299999999999997</v>
      </c>
      <c r="L1145" s="3"/>
      <c r="M1145" s="3"/>
      <c r="N1145" s="3">
        <v>167.7</v>
      </c>
      <c r="O1145" s="3"/>
      <c r="P1145" s="3"/>
      <c r="Q1145" s="3">
        <v>0.62</v>
      </c>
      <c r="R1145" s="3">
        <v>0.1</v>
      </c>
      <c r="S1145" s="3">
        <v>1.4</v>
      </c>
      <c r="T1145" s="3">
        <v>12.2</v>
      </c>
      <c r="U1145" s="3">
        <v>52</v>
      </c>
      <c r="V1145" s="3">
        <v>977.4</v>
      </c>
      <c r="W1145" s="3">
        <v>0</v>
      </c>
      <c r="X1145" s="3">
        <v>43.7</v>
      </c>
      <c r="Y1145" s="3">
        <v>41.8</v>
      </c>
      <c r="Z1145" s="3">
        <v>40.799999999999997</v>
      </c>
      <c r="AA1145" s="3">
        <v>37.4</v>
      </c>
      <c r="AB1145" s="3">
        <v>32.6</v>
      </c>
      <c r="AC1145" s="3">
        <v>33.200000000000003</v>
      </c>
      <c r="AD1145" s="3">
        <v>37.799999999999997</v>
      </c>
      <c r="AE1145" s="3">
        <v>39.299999999999997</v>
      </c>
      <c r="AF1145" s="3">
        <v>43.7</v>
      </c>
      <c r="AG1145" s="3">
        <v>39.5</v>
      </c>
      <c r="AH1145" s="3">
        <v>37.6</v>
      </c>
      <c r="AI1145" s="3">
        <v>38.1</v>
      </c>
      <c r="AJ1145" s="3">
        <v>36.9</v>
      </c>
      <c r="AK1145" s="3">
        <v>35.299999999999997</v>
      </c>
      <c r="AL1145" s="3">
        <v>32.9</v>
      </c>
      <c r="AM1145" s="3">
        <v>32.5</v>
      </c>
      <c r="AN1145" s="3">
        <v>29.9</v>
      </c>
      <c r="AO1145" s="3">
        <v>26.4</v>
      </c>
      <c r="AP1145" s="3">
        <v>23.9</v>
      </c>
      <c r="AQ1145" s="3">
        <v>21.6</v>
      </c>
      <c r="AR1145" s="3">
        <v>18.100000000000001</v>
      </c>
      <c r="AS1145" s="3">
        <v>16.899999999999999</v>
      </c>
      <c r="AT1145" s="3">
        <v>20</v>
      </c>
      <c r="AU1145" s="3">
        <v>11.6</v>
      </c>
      <c r="AV1145" s="3">
        <v>10.5</v>
      </c>
      <c r="AW1145" s="3">
        <v>10.1</v>
      </c>
      <c r="AX1145" s="3">
        <v>9.3000000000000007</v>
      </c>
      <c r="AY1145" s="3">
        <v>9.3000000000000007</v>
      </c>
      <c r="AZ1145" s="3">
        <v>0</v>
      </c>
      <c r="BA1145" s="3">
        <v>0</v>
      </c>
      <c r="BB1145" s="3">
        <v>0</v>
      </c>
      <c r="BC1145" s="3">
        <v>39.435558070150151</v>
      </c>
      <c r="BD1145" s="3">
        <v>43.664441929849843</v>
      </c>
      <c r="BE1145" s="3">
        <v>41.764441929849838</v>
      </c>
      <c r="BF1145" s="3">
        <v>39.524441929849843</v>
      </c>
      <c r="BG1145" s="3">
        <v>36.451108596516505</v>
      </c>
      <c r="BH1145" s="3">
        <v>31.791108596516523</v>
      </c>
      <c r="BI1145" s="3">
        <v>32.804441929849858</v>
      </c>
      <c r="BJ1145" s="3">
        <v>38.197775263183175</v>
      </c>
      <c r="BK1145" s="3">
        <v>39.57110859651651</v>
      </c>
      <c r="BL1145" s="3">
        <v>43.544441929849853</v>
      </c>
      <c r="BM1145" s="3">
        <v>39.477775263183176</v>
      </c>
      <c r="BN1145" s="3">
        <v>37.861108596516516</v>
      </c>
      <c r="BO1145" s="3">
        <v>37.727775263183176</v>
      </c>
      <c r="BP1145" s="3">
        <v>36.244441929849856</v>
      </c>
      <c r="BQ1145" s="3">
        <v>35.061108596516505</v>
      </c>
      <c r="BR1145" s="3">
        <v>32.987775263183181</v>
      </c>
      <c r="BS1145" s="3">
        <v>32.391108596516517</v>
      </c>
      <c r="BT1145" s="3">
        <v>29.987775263183181</v>
      </c>
      <c r="BU1145" s="3">
        <v>26.45444192984985</v>
      </c>
      <c r="BV1145" s="3">
        <v>23.671108596516518</v>
      </c>
      <c r="BW1145" s="3">
        <v>21.904441929849852</v>
      </c>
      <c r="BX1145" s="3">
        <v>18.324441929849854</v>
      </c>
      <c r="BY1145" s="3">
        <v>16.944441929849845</v>
      </c>
      <c r="BZ1145" s="3">
        <v>20.174441929849849</v>
      </c>
      <c r="CA1145" s="3">
        <v>11.874441929849837</v>
      </c>
      <c r="CB1145" s="3">
        <v>10.21110859651651</v>
      </c>
      <c r="CC1145" s="3">
        <v>10.024441929849843</v>
      </c>
      <c r="CD1145" s="3">
        <v>8.5311085965165177</v>
      </c>
      <c r="CE1145" s="3">
        <v>8.7244419298498457</v>
      </c>
      <c r="CF1145" s="3">
        <v>-0.96222473681682175</v>
      </c>
      <c r="CG1145" s="3">
        <v>-1.4955580701501532</v>
      </c>
      <c r="CH1145" s="3">
        <v>-2.5722247368168212</v>
      </c>
      <c r="CI1145" s="13">
        <f>[1]!dbasum(RecData[[#This Row],[20]:[2000]],RecData[[#Headers],[20]:[2000]])</f>
        <v>39.18184526738073</v>
      </c>
      <c r="CJ1145" s="14">
        <v>10740</v>
      </c>
      <c r="CK1145" s="15" t="s">
        <v>249</v>
      </c>
      <c r="CL1145" s="15">
        <f>RecData[[#This Row],[Start Time]]</f>
        <v>43276.013194444444</v>
      </c>
      <c r="CM1145" s="16">
        <f>RecData[[#This Row],[Wind Speed avg]]</f>
        <v>0.62</v>
      </c>
      <c r="CN1145" s="16">
        <f>RecData[[#This Row],[Wind Dir. avg]]</f>
        <v>167.7</v>
      </c>
      <c r="CO1145" s="16">
        <f>RecData[[#This Row],[Amb. Humidity]]</f>
        <v>52</v>
      </c>
      <c r="CP1145" s="16">
        <f>RecData[[#This Row],[Amb. Temperature]]</f>
        <v>12.2</v>
      </c>
      <c r="CQ1145" s="17">
        <f>RecData[[#This Row],[Amb. Rain Gauge]]</f>
        <v>0</v>
      </c>
      <c r="CR1145" s="4" t="s">
        <v>1</v>
      </c>
      <c r="CS1145" s="4" t="s">
        <v>49</v>
      </c>
      <c r="CT1145" s="70">
        <v>1581.0302734375</v>
      </c>
      <c r="CU1145" s="70">
        <v>30.000249862670898</v>
      </c>
      <c r="CV1145" s="70">
        <v>10.102988243103001</v>
      </c>
      <c r="CW1145" s="70">
        <v>15.3518619537353</v>
      </c>
      <c r="CX1145" s="4"/>
      <c r="CY1145" s="69"/>
      <c r="CZ1145" s="2" t="b">
        <f>IF($DP$1="YES",IF(RecData[[#This Row],[Power (kW)]]&gt;=$CR$3, TRUE,FALSE),TRUE)</f>
        <v>1</v>
      </c>
      <c r="DA1145" s="16">
        <f>MIN(MOD(180-ABS(ABS($DA$1-RecData[Yaw Angle (°)])-180),360),MOD(180-ABS(ABS($DB$1-RecData[Yaw Angle (°)])-180),360))</f>
        <v>22.470323084983363</v>
      </c>
      <c r="DB1145" s="2" t="str">
        <f>IF($DP$2="None","None",IF(RecData[[#This Row],[Relative Wind Direction]]&lt;=45,"DW",IF(RecData[[#This Row],[Relative Wind Direction]]&lt;=135,"CW","UW")))</f>
        <v>DW</v>
      </c>
      <c r="DC1145" s="61">
        <f>IF($CL1145-$CL1143&gt;1/24,#REF!,IF(SUM($CQ1143:$CQ1145)&gt;$DS$1,$DS$5,DC1146-1))</f>
        <v>-8</v>
      </c>
      <c r="DD1145" s="61">
        <f>IF($CL1146-$CL1145&gt;1/24,#REF!,IF(SUM($CQ1143:$CQ1145)&gt;$DS$1,$DS$6,DD1144-1))</f>
        <v>-3</v>
      </c>
      <c r="DE1145" s="18" t="b">
        <v>0</v>
      </c>
      <c r="DF1145" s="2" t="b">
        <f>IF(OR(RecData[[#This Row],[WSpd_Avg '[m/s']]]-RecData[[#This Row],[Wind Speed min]]&gt;=$DF$3,RecData[[#This Row],[Wind Speed max]]-RecData[[#This Row],[WSpd_Avg '[m/s']]]&gt;=$DF$2),TRUE,FALSE)</f>
        <v>0</v>
      </c>
      <c r="DG1145" s="2" t="b">
        <f>RecData[[#This Row],[Temperature '[°C']]]&lt;=-20</f>
        <v>0</v>
      </c>
      <c r="DH1145" s="18" t="b">
        <f>NOT(OR(MOD(RecData[[#This Row],[TIMESTAMP]],1)&gt;0.91632,MOD(RecData[[#This Row],[TIMESTAMP]],1)&lt;0.208681))</f>
        <v>0</v>
      </c>
      <c r="DI1145" s="18" t="b">
        <f>RecData[[#This Row],[Overall (dBA)]]-RecData[[#This Row],[L90]]&gt;=$DS$4</f>
        <v>0</v>
      </c>
      <c r="DJ1145" s="18" t="b">
        <f>RecData[[#This Row],[Overall (dBA)]]&gt;$DS$2</f>
        <v>0</v>
      </c>
      <c r="DK1145" s="18" t="b">
        <f>RecData[[#This Row],[Overall (dBA)]]&lt;$DS$3</f>
        <v>0</v>
      </c>
      <c r="DL11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5" s="2">
        <f>IF(AND(RecData[[#This Row],[Turbines ON/OFF]] = "OFF", NOT(OR(RecData[[#This Row],[Junk?]]="YES",RecData[[#This Row],[Gust?]],RecData[[#This Row],[Rain?]:[Min SPL Threshold?]]))),1,0)</f>
        <v>0</v>
      </c>
      <c r="DN1145" s="16">
        <f>RecData[[#This Row],[dBA Sum]]</f>
        <v>39.18184526738073</v>
      </c>
      <c r="DO1145" s="16">
        <f>RecData[[#This Row],[LAF90.0]]</f>
        <v>38.299999999999997</v>
      </c>
      <c r="DP1145" s="55">
        <f>IF(AND(RecData[[#This Row],[Useable TON Data?]],RecData[[#This Row],[Turbines ON/OFF]]="ON"),RecData[[#This Row],[dBA Sum]],"")</f>
        <v>39.18184526738073</v>
      </c>
      <c r="DQ1145" s="55" t="str">
        <f>IF(AND(RecData[[#This Row],[Useable Background Data?]],RecData[[#This Row],[Turbines ON/OFF]]="OFF"),RecData[[#This Row],[dBA Sum]],"")</f>
        <v/>
      </c>
      <c r="DR1145" s="3">
        <f>IF(OR(RecData[[#This Row],[Useable TON Data?]],RecData[[#This Row],[Useable Background Data?]]),ROUND(RecData[[#This Row],[WSpd_Avg '[m/s']]],0),"")</f>
        <v>1</v>
      </c>
      <c r="DS1145" s="85">
        <f>(0.00002)^2*(10^(RecData[[#This Row],[Overall (dBA)]]/10))</f>
        <v>3.3131760862991337E-6</v>
      </c>
    </row>
    <row r="1146" spans="1:123" ht="15" x14ac:dyDescent="0.25">
      <c r="A1146" s="3" t="s">
        <v>249</v>
      </c>
      <c r="B1146" s="12">
        <v>43276.013888888891</v>
      </c>
      <c r="C1146" s="3"/>
      <c r="D1146" s="3">
        <v>39.799999999999997</v>
      </c>
      <c r="E1146" s="3"/>
      <c r="F1146" s="3"/>
      <c r="G1146" s="3"/>
      <c r="H1146" s="3"/>
      <c r="I1146" s="3"/>
      <c r="J1146" s="3"/>
      <c r="K1146" s="3">
        <v>38.700000000000003</v>
      </c>
      <c r="L1146" s="3"/>
      <c r="M1146" s="3"/>
      <c r="N1146" s="3">
        <v>218.1</v>
      </c>
      <c r="O1146" s="3"/>
      <c r="P1146" s="3"/>
      <c r="Q1146" s="3">
        <v>1.07</v>
      </c>
      <c r="R1146" s="3">
        <v>0.5</v>
      </c>
      <c r="S1146" s="3">
        <v>1.6</v>
      </c>
      <c r="T1146" s="3">
        <v>12.2</v>
      </c>
      <c r="U1146" s="3">
        <v>51.8</v>
      </c>
      <c r="V1146" s="3">
        <v>977.4</v>
      </c>
      <c r="W1146" s="3">
        <v>0</v>
      </c>
      <c r="X1146" s="3">
        <v>43.1</v>
      </c>
      <c r="Y1146" s="3">
        <v>41.7</v>
      </c>
      <c r="Z1146" s="3">
        <v>41</v>
      </c>
      <c r="AA1146" s="3">
        <v>37.799999999999997</v>
      </c>
      <c r="AB1146" s="3">
        <v>32.700000000000003</v>
      </c>
      <c r="AC1146" s="3">
        <v>32.1</v>
      </c>
      <c r="AD1146" s="3">
        <v>36.299999999999997</v>
      </c>
      <c r="AE1146" s="3">
        <v>39.1</v>
      </c>
      <c r="AF1146" s="3">
        <v>45.7</v>
      </c>
      <c r="AG1146" s="3">
        <v>40.4</v>
      </c>
      <c r="AH1146" s="3">
        <v>37.299999999999997</v>
      </c>
      <c r="AI1146" s="3">
        <v>39</v>
      </c>
      <c r="AJ1146" s="3">
        <v>37.1</v>
      </c>
      <c r="AK1146" s="3">
        <v>35.6</v>
      </c>
      <c r="AL1146" s="3">
        <v>33.1</v>
      </c>
      <c r="AM1146" s="3">
        <v>32.799999999999997</v>
      </c>
      <c r="AN1146" s="3">
        <v>29.9</v>
      </c>
      <c r="AO1146" s="3">
        <v>26.3</v>
      </c>
      <c r="AP1146" s="3">
        <v>23.9</v>
      </c>
      <c r="AQ1146" s="3">
        <v>21.2</v>
      </c>
      <c r="AR1146" s="3">
        <v>17.399999999999999</v>
      </c>
      <c r="AS1146" s="3">
        <v>14.6</v>
      </c>
      <c r="AT1146" s="3">
        <v>15.4</v>
      </c>
      <c r="AU1146" s="3">
        <v>10.3</v>
      </c>
      <c r="AV1146" s="3">
        <v>9.9</v>
      </c>
      <c r="AW1146" s="3">
        <v>9.4</v>
      </c>
      <c r="AX1146" s="3">
        <v>9</v>
      </c>
      <c r="AY1146" s="3">
        <v>9.1999999999999993</v>
      </c>
      <c r="AZ1146" s="3">
        <v>0</v>
      </c>
      <c r="BA1146" s="3">
        <v>0</v>
      </c>
      <c r="BB1146" s="3">
        <v>0</v>
      </c>
      <c r="BC1146" s="3">
        <v>39.758007739796277</v>
      </c>
      <c r="BD1146" s="3">
        <v>43.141992260203729</v>
      </c>
      <c r="BE1146" s="3">
        <v>41.741992260203723</v>
      </c>
      <c r="BF1146" s="3">
        <v>39.801992260203725</v>
      </c>
      <c r="BG1146" s="3">
        <v>36.928658926870391</v>
      </c>
      <c r="BH1146" s="3">
        <v>31.968658926870397</v>
      </c>
      <c r="BI1146" s="3">
        <v>31.781992260203715</v>
      </c>
      <c r="BJ1146" s="3">
        <v>36.775325593537055</v>
      </c>
      <c r="BK1146" s="3">
        <v>39.448658926870387</v>
      </c>
      <c r="BL1146" s="3">
        <v>45.621992260203719</v>
      </c>
      <c r="BM1146" s="3">
        <v>40.455325593537061</v>
      </c>
      <c r="BN1146" s="3">
        <v>37.638658926870384</v>
      </c>
      <c r="BO1146" s="3">
        <v>38.705325593537061</v>
      </c>
      <c r="BP1146" s="3">
        <v>36.521992260203724</v>
      </c>
      <c r="BQ1146" s="3">
        <v>35.438658926870382</v>
      </c>
      <c r="BR1146" s="3">
        <v>33.265325593537064</v>
      </c>
      <c r="BS1146" s="3">
        <v>32.768658926870394</v>
      </c>
      <c r="BT1146" s="3">
        <v>30.065325593537047</v>
      </c>
      <c r="BU1146" s="3">
        <v>26.431992260203721</v>
      </c>
      <c r="BV1146" s="3">
        <v>23.748658926870384</v>
      </c>
      <c r="BW1146" s="3">
        <v>21.581992260203727</v>
      </c>
      <c r="BX1146" s="3">
        <v>17.701992260203724</v>
      </c>
      <c r="BY1146" s="3">
        <v>14.72199226020372</v>
      </c>
      <c r="BZ1146" s="3">
        <v>15.65199226020372</v>
      </c>
      <c r="CA1146" s="3">
        <v>10.651992260203713</v>
      </c>
      <c r="CB1146" s="3">
        <v>9.6886589268703815</v>
      </c>
      <c r="CC1146" s="3">
        <v>9.4019922602037198</v>
      </c>
      <c r="CD1146" s="3">
        <v>8.3086589268703932</v>
      </c>
      <c r="CE1146" s="3">
        <v>8.701992260203717</v>
      </c>
      <c r="CF1146" s="3">
        <v>-0.88467440646294904</v>
      </c>
      <c r="CG1146" s="3">
        <v>-1.4180077397962805</v>
      </c>
      <c r="CH1146" s="3">
        <v>-2.4946744064629485</v>
      </c>
      <c r="CI1146" s="13">
        <f>[1]!dbasum(RecData[[#This Row],[20]:[2000]],RecData[[#Headers],[20]:[2000]])</f>
        <v>39.636764663029794</v>
      </c>
      <c r="CJ1146" s="14">
        <v>10741</v>
      </c>
      <c r="CK1146" s="15" t="s">
        <v>249</v>
      </c>
      <c r="CL1146" s="15">
        <f>RecData[[#This Row],[Start Time]]</f>
        <v>43276.013888888891</v>
      </c>
      <c r="CM1146" s="16">
        <f>RecData[[#This Row],[Wind Speed avg]]</f>
        <v>1.07</v>
      </c>
      <c r="CN1146" s="16">
        <f>RecData[[#This Row],[Wind Dir. avg]]</f>
        <v>218.1</v>
      </c>
      <c r="CO1146" s="16">
        <f>RecData[[#This Row],[Amb. Humidity]]</f>
        <v>51.8</v>
      </c>
      <c r="CP1146" s="16">
        <f>RecData[[#This Row],[Amb. Temperature]]</f>
        <v>12.2</v>
      </c>
      <c r="CQ1146" s="17">
        <f>RecData[[#This Row],[Amb. Rain Gauge]]</f>
        <v>0</v>
      </c>
      <c r="CR1146" s="4" t="s">
        <v>1</v>
      </c>
      <c r="CS1146" s="4" t="s">
        <v>49</v>
      </c>
      <c r="CT1146" s="70">
        <v>1581.0302734375</v>
      </c>
      <c r="CU1146" s="70">
        <v>30.000249862670898</v>
      </c>
      <c r="CV1146" s="70">
        <v>10.102988243103001</v>
      </c>
      <c r="CW1146" s="70">
        <v>15.3518619537353</v>
      </c>
      <c r="CX1146" s="4"/>
      <c r="CY1146" s="69"/>
      <c r="CZ1146" s="2" t="b">
        <f>IF($DP$1="YES",IF(RecData[[#This Row],[Power (kW)]]&gt;=$CR$3, TRUE,FALSE),TRUE)</f>
        <v>1</v>
      </c>
      <c r="DA1146" s="16">
        <f>MIN(MOD(180-ABS(ABS($DA$1-RecData[Yaw Angle (°)])-180),360),MOD(180-ABS(ABS($DB$1-RecData[Yaw Angle (°)])-180),360))</f>
        <v>22.470323084983363</v>
      </c>
      <c r="DB1146" s="2" t="str">
        <f>IF($DP$2="None","None",IF(RecData[[#This Row],[Relative Wind Direction]]&lt;=45,"DW",IF(RecData[[#This Row],[Relative Wind Direction]]&lt;=135,"CW","UW")))</f>
        <v>DW</v>
      </c>
      <c r="DC1146" s="61">
        <f>IF($CL1146-$CL1143&gt;1/24,#REF!,IF(SUM($CQ1143:$CQ1146)&gt;$DS$1,$DS$5,DC1147-1))</f>
        <v>-7</v>
      </c>
      <c r="DD1146" s="61">
        <f>IF($CL1147-$CL1146&gt;1/24,#REF!,IF(SUM($CQ1143:$CQ1146)&gt;$DS$1,$DS$6,DD1145-1))</f>
        <v>-4</v>
      </c>
      <c r="DE1146" s="18" t="b">
        <v>0</v>
      </c>
      <c r="DF1146" s="2" t="b">
        <f>IF(OR(RecData[[#This Row],[WSpd_Avg '[m/s']]]-RecData[[#This Row],[Wind Speed min]]&gt;=$DF$3,RecData[[#This Row],[Wind Speed max]]-RecData[[#This Row],[WSpd_Avg '[m/s']]]&gt;=$DF$2),TRUE,FALSE)</f>
        <v>0</v>
      </c>
      <c r="DG1146" s="2" t="b">
        <f>RecData[[#This Row],[Temperature '[°C']]]&lt;=-20</f>
        <v>0</v>
      </c>
      <c r="DH1146" s="18" t="b">
        <f>NOT(OR(MOD(RecData[[#This Row],[TIMESTAMP]],1)&gt;0.91632,MOD(RecData[[#This Row],[TIMESTAMP]],1)&lt;0.208681))</f>
        <v>0</v>
      </c>
      <c r="DI1146" s="18" t="b">
        <f>RecData[[#This Row],[Overall (dBA)]]-RecData[[#This Row],[L90]]&gt;=$DS$4</f>
        <v>0</v>
      </c>
      <c r="DJ1146" s="18" t="b">
        <f>RecData[[#This Row],[Overall (dBA)]]&gt;$DS$2</f>
        <v>0</v>
      </c>
      <c r="DK1146" s="18" t="b">
        <f>RecData[[#This Row],[Overall (dBA)]]&lt;$DS$3</f>
        <v>0</v>
      </c>
      <c r="DL11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6" s="2">
        <f>IF(AND(RecData[[#This Row],[Turbines ON/OFF]] = "OFF", NOT(OR(RecData[[#This Row],[Junk?]]="YES",RecData[[#This Row],[Gust?]],RecData[[#This Row],[Rain?]:[Min SPL Threshold?]]))),1,0)</f>
        <v>0</v>
      </c>
      <c r="DN1146" s="16">
        <f>RecData[[#This Row],[dBA Sum]]</f>
        <v>39.636764663029794</v>
      </c>
      <c r="DO1146" s="16">
        <f>RecData[[#This Row],[LAF90.0]]</f>
        <v>38.700000000000003</v>
      </c>
      <c r="DP1146" s="55">
        <f>IF(AND(RecData[[#This Row],[Useable TON Data?]],RecData[[#This Row],[Turbines ON/OFF]]="ON"),RecData[[#This Row],[dBA Sum]],"")</f>
        <v>39.636764663029794</v>
      </c>
      <c r="DQ1146" s="55" t="str">
        <f>IF(AND(RecData[[#This Row],[Useable Background Data?]],RecData[[#This Row],[Turbines ON/OFF]]="OFF"),RecData[[#This Row],[dBA Sum]],"")</f>
        <v/>
      </c>
      <c r="DR1146" s="3">
        <f>IF(OR(RecData[[#This Row],[Useable TON Data?]],RecData[[#This Row],[Useable Background Data?]]),ROUND(RecData[[#This Row],[WSpd_Avg '[m/s']]],0),"")</f>
        <v>1</v>
      </c>
      <c r="DS1146" s="85">
        <f>(0.00002)^2*(10^(RecData[[#This Row],[Overall (dBA)]]/10))</f>
        <v>3.6790565017124802E-6</v>
      </c>
    </row>
    <row r="1147" spans="1:123" ht="15" x14ac:dyDescent="0.25">
      <c r="A1147" s="3" t="s">
        <v>249</v>
      </c>
      <c r="B1147" s="12">
        <v>43276.01458333333</v>
      </c>
      <c r="C1147" s="3"/>
      <c r="D1147" s="3">
        <v>39.299999999999997</v>
      </c>
      <c r="E1147" s="3"/>
      <c r="F1147" s="3"/>
      <c r="G1147" s="3"/>
      <c r="H1147" s="3"/>
      <c r="I1147" s="3"/>
      <c r="J1147" s="3"/>
      <c r="K1147" s="3">
        <v>37.9</v>
      </c>
      <c r="L1147" s="3"/>
      <c r="M1147" s="3"/>
      <c r="N1147" s="3">
        <v>194.8</v>
      </c>
      <c r="O1147" s="3"/>
      <c r="P1147" s="3"/>
      <c r="Q1147" s="3">
        <v>0.38</v>
      </c>
      <c r="R1147" s="3">
        <v>0</v>
      </c>
      <c r="S1147" s="3">
        <v>0.9</v>
      </c>
      <c r="T1147" s="3">
        <v>12.2</v>
      </c>
      <c r="U1147" s="3">
        <v>51.9</v>
      </c>
      <c r="V1147" s="3">
        <v>977.4</v>
      </c>
      <c r="W1147" s="3">
        <v>0</v>
      </c>
      <c r="X1147" s="3">
        <v>43.8</v>
      </c>
      <c r="Y1147" s="3">
        <v>42</v>
      </c>
      <c r="Z1147" s="3">
        <v>41</v>
      </c>
      <c r="AA1147" s="3">
        <v>38</v>
      </c>
      <c r="AB1147" s="3">
        <v>32.299999999999997</v>
      </c>
      <c r="AC1147" s="3">
        <v>32.5</v>
      </c>
      <c r="AD1147" s="3">
        <v>36.200000000000003</v>
      </c>
      <c r="AE1147" s="3">
        <v>38.1</v>
      </c>
      <c r="AF1147" s="3">
        <v>45</v>
      </c>
      <c r="AG1147" s="3">
        <v>40.200000000000003</v>
      </c>
      <c r="AH1147" s="3">
        <v>37.1</v>
      </c>
      <c r="AI1147" s="3">
        <v>38.1</v>
      </c>
      <c r="AJ1147" s="3">
        <v>36.200000000000003</v>
      </c>
      <c r="AK1147" s="3">
        <v>35.200000000000003</v>
      </c>
      <c r="AL1147" s="3">
        <v>32.9</v>
      </c>
      <c r="AM1147" s="3">
        <v>32</v>
      </c>
      <c r="AN1147" s="3">
        <v>29.6</v>
      </c>
      <c r="AO1147" s="3">
        <v>25.8</v>
      </c>
      <c r="AP1147" s="3">
        <v>23.4</v>
      </c>
      <c r="AQ1147" s="3">
        <v>21</v>
      </c>
      <c r="AR1147" s="3">
        <v>17.600000000000001</v>
      </c>
      <c r="AS1147" s="3">
        <v>15.7</v>
      </c>
      <c r="AT1147" s="3">
        <v>17.7</v>
      </c>
      <c r="AU1147" s="3">
        <v>10.1</v>
      </c>
      <c r="AV1147" s="3">
        <v>9.1</v>
      </c>
      <c r="AW1147" s="3">
        <v>9.1</v>
      </c>
      <c r="AX1147" s="3">
        <v>8.9</v>
      </c>
      <c r="AY1147" s="3">
        <v>9.1</v>
      </c>
      <c r="AZ1147" s="3">
        <v>0</v>
      </c>
      <c r="BA1147" s="3">
        <v>0</v>
      </c>
      <c r="BB1147" s="3">
        <v>0</v>
      </c>
      <c r="BC1147" s="3">
        <v>39.243176594934596</v>
      </c>
      <c r="BD1147" s="3">
        <v>43.856823405065398</v>
      </c>
      <c r="BE1147" s="3">
        <v>42.056823405065401</v>
      </c>
      <c r="BF1147" s="3">
        <v>39.816823405065406</v>
      </c>
      <c r="BG1147" s="3">
        <v>37.14349007173206</v>
      </c>
      <c r="BH1147" s="3">
        <v>31.583490071732072</v>
      </c>
      <c r="BI1147" s="3">
        <v>32.196823405065402</v>
      </c>
      <c r="BJ1147" s="3">
        <v>36.690156738398741</v>
      </c>
      <c r="BK1147" s="3">
        <v>38.463490071732068</v>
      </c>
      <c r="BL1147" s="3">
        <v>44.936823405065411</v>
      </c>
      <c r="BM1147" s="3">
        <v>40.27015673839874</v>
      </c>
      <c r="BN1147" s="3">
        <v>37.453490071732062</v>
      </c>
      <c r="BO1147" s="3">
        <v>37.820156738398737</v>
      </c>
      <c r="BP1147" s="3">
        <v>35.6368234050654</v>
      </c>
      <c r="BQ1147" s="3">
        <v>35.053490071732057</v>
      </c>
      <c r="BR1147" s="3">
        <v>33.080156738398728</v>
      </c>
      <c r="BS1147" s="3">
        <v>31.983490071732064</v>
      </c>
      <c r="BT1147" s="3">
        <v>29.780156738398745</v>
      </c>
      <c r="BU1147" s="3">
        <v>25.946823405065402</v>
      </c>
      <c r="BV1147" s="3">
        <v>23.263490071732065</v>
      </c>
      <c r="BW1147" s="3">
        <v>21.396823405065405</v>
      </c>
      <c r="BX1147" s="3">
        <v>17.916823405065408</v>
      </c>
      <c r="BY1147" s="3">
        <v>15.836823405065402</v>
      </c>
      <c r="BZ1147" s="3">
        <v>17.966823405065405</v>
      </c>
      <c r="CA1147" s="3">
        <v>10.466823405065398</v>
      </c>
      <c r="CB1147" s="3">
        <v>8.9034900717320653</v>
      </c>
      <c r="CC1147" s="3">
        <v>9.1168234050654036</v>
      </c>
      <c r="CD1147" s="3">
        <v>8.2234900717320727</v>
      </c>
      <c r="CE1147" s="3">
        <v>8.6168234050654036</v>
      </c>
      <c r="CF1147" s="3">
        <v>-0.86984326160126813</v>
      </c>
      <c r="CG1147" s="3">
        <v>-1.4031765949345996</v>
      </c>
      <c r="CH1147" s="3">
        <v>-2.4798432616012676</v>
      </c>
      <c r="CI1147" s="13">
        <f>[1]!dbasum(RecData[[#This Row],[20]:[2000]],RecData[[#Headers],[20]:[2000]])</f>
        <v>39.120604331618964</v>
      </c>
      <c r="CJ1147" s="14">
        <v>10742</v>
      </c>
      <c r="CK1147" s="15" t="s">
        <v>249</v>
      </c>
      <c r="CL1147" s="15">
        <f>RecData[[#This Row],[Start Time]]</f>
        <v>43276.01458333333</v>
      </c>
      <c r="CM1147" s="16">
        <f>RecData[[#This Row],[Wind Speed avg]]</f>
        <v>0.38</v>
      </c>
      <c r="CN1147" s="16">
        <f>RecData[[#This Row],[Wind Dir. avg]]</f>
        <v>194.8</v>
      </c>
      <c r="CO1147" s="16">
        <f>RecData[[#This Row],[Amb. Humidity]]</f>
        <v>51.9</v>
      </c>
      <c r="CP1147" s="16">
        <f>RecData[[#This Row],[Amb. Temperature]]</f>
        <v>12.2</v>
      </c>
      <c r="CQ1147" s="17">
        <f>RecData[[#This Row],[Amb. Rain Gauge]]</f>
        <v>0</v>
      </c>
      <c r="CR1147" s="4" t="s">
        <v>1</v>
      </c>
      <c r="CS1147" s="4" t="s">
        <v>49</v>
      </c>
      <c r="CT1147" s="70">
        <v>1619.87951660156</v>
      </c>
      <c r="CU1147" s="70">
        <v>30.459495544433501</v>
      </c>
      <c r="CV1147" s="70">
        <v>10.4400424957275</v>
      </c>
      <c r="CW1147" s="70">
        <v>15.3128356933593</v>
      </c>
      <c r="CX1147" s="4"/>
      <c r="CY1147" s="69"/>
      <c r="CZ1147" s="2" t="b">
        <f>IF($DP$1="YES",IF(RecData[[#This Row],[Power (kW)]]&gt;=$CR$3, TRUE,FALSE),TRUE)</f>
        <v>1</v>
      </c>
      <c r="DA1147" s="16">
        <f>MIN(MOD(180-ABS(ABS($DA$1-RecData[Yaw Angle (°)])-180),360),MOD(180-ABS(ABS($DB$1-RecData[Yaw Angle (°)])-180),360))</f>
        <v>22.929568766745945</v>
      </c>
      <c r="DB1147" s="2" t="str">
        <f>IF($DP$2="None","None",IF(RecData[[#This Row],[Relative Wind Direction]]&lt;=45,"DW",IF(RecData[[#This Row],[Relative Wind Direction]]&lt;=135,"CW","UW")))</f>
        <v>DW</v>
      </c>
      <c r="DC1147" s="61">
        <f>IF($CL1147-$CL1143&gt;1/24,#REF!,IF(SUM($CQ1143:$CQ1147)&gt;$DS$1,$DS$5,DC1148-1))</f>
        <v>-6</v>
      </c>
      <c r="DD1147" s="61">
        <f>IF($CL1148-$CL1147&gt;1/24,#REF!,IF(SUM($CQ1143:$CQ1147)&gt;$DS$1,$DS$6,DD1146-1))</f>
        <v>-5</v>
      </c>
      <c r="DE1147" s="18" t="b">
        <v>0</v>
      </c>
      <c r="DF1147" s="2" t="b">
        <f>IF(OR(RecData[[#This Row],[WSpd_Avg '[m/s']]]-RecData[[#This Row],[Wind Speed min]]&gt;=$DF$3,RecData[[#This Row],[Wind Speed max]]-RecData[[#This Row],[WSpd_Avg '[m/s']]]&gt;=$DF$2),TRUE,FALSE)</f>
        <v>0</v>
      </c>
      <c r="DG1147" s="2" t="b">
        <f>RecData[[#This Row],[Temperature '[°C']]]&lt;=-20</f>
        <v>0</v>
      </c>
      <c r="DH1147" s="18" t="b">
        <f>NOT(OR(MOD(RecData[[#This Row],[TIMESTAMP]],1)&gt;0.91632,MOD(RecData[[#This Row],[TIMESTAMP]],1)&lt;0.208681))</f>
        <v>0</v>
      </c>
      <c r="DI1147" s="18" t="b">
        <f>RecData[[#This Row],[Overall (dBA)]]-RecData[[#This Row],[L90]]&gt;=$DS$4</f>
        <v>0</v>
      </c>
      <c r="DJ1147" s="18" t="b">
        <f>RecData[[#This Row],[Overall (dBA)]]&gt;$DS$2</f>
        <v>0</v>
      </c>
      <c r="DK1147" s="18" t="b">
        <f>RecData[[#This Row],[Overall (dBA)]]&lt;$DS$3</f>
        <v>0</v>
      </c>
      <c r="DL11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7" s="2">
        <f>IF(AND(RecData[[#This Row],[Turbines ON/OFF]] = "OFF", NOT(OR(RecData[[#This Row],[Junk?]]="YES",RecData[[#This Row],[Gust?]],RecData[[#This Row],[Rain?]:[Min SPL Threshold?]]))),1,0)</f>
        <v>0</v>
      </c>
      <c r="DN1147" s="16">
        <f>RecData[[#This Row],[dBA Sum]]</f>
        <v>39.120604331618964</v>
      </c>
      <c r="DO1147" s="16">
        <f>RecData[[#This Row],[LAF90.0]]</f>
        <v>37.9</v>
      </c>
      <c r="DP1147" s="55">
        <f>IF(AND(RecData[[#This Row],[Useable TON Data?]],RecData[[#This Row],[Turbines ON/OFF]]="ON"),RecData[[#This Row],[dBA Sum]],"")</f>
        <v>39.120604331618964</v>
      </c>
      <c r="DQ1147" s="55" t="str">
        <f>IF(AND(RecData[[#This Row],[Useable Background Data?]],RecData[[#This Row],[Turbines ON/OFF]]="OFF"),RecData[[#This Row],[dBA Sum]],"")</f>
        <v/>
      </c>
      <c r="DR1147" s="3">
        <f>IF(OR(RecData[[#This Row],[Useable TON Data?]],RecData[[#This Row],[Useable Background Data?]]),ROUND(RecData[[#This Row],[WSpd_Avg '[m/s']]],0),"")</f>
        <v>0</v>
      </c>
      <c r="DS1147" s="85">
        <f>(0.00002)^2*(10^(RecData[[#This Row],[Overall (dBA)]]/10))</f>
        <v>3.2667840349657155E-6</v>
      </c>
    </row>
    <row r="1148" spans="1:123" ht="15" x14ac:dyDescent="0.25">
      <c r="A1148" s="3" t="s">
        <v>249</v>
      </c>
      <c r="B1148" s="12">
        <v>43276.015277777777</v>
      </c>
      <c r="C1148" s="3"/>
      <c r="D1148" s="3">
        <v>40</v>
      </c>
      <c r="E1148" s="3"/>
      <c r="F1148" s="3"/>
      <c r="G1148" s="3"/>
      <c r="H1148" s="3"/>
      <c r="I1148" s="3"/>
      <c r="J1148" s="3"/>
      <c r="K1148" s="3">
        <v>38.9</v>
      </c>
      <c r="L1148" s="3"/>
      <c r="M1148" s="3"/>
      <c r="N1148" s="3">
        <v>169.8</v>
      </c>
      <c r="O1148" s="3"/>
      <c r="P1148" s="3"/>
      <c r="Q1148" s="3">
        <v>0.85</v>
      </c>
      <c r="R1148" s="3">
        <v>0.3</v>
      </c>
      <c r="S1148" s="3">
        <v>1.2</v>
      </c>
      <c r="T1148" s="3">
        <v>12.2</v>
      </c>
      <c r="U1148" s="3">
        <v>53.2</v>
      </c>
      <c r="V1148" s="3">
        <v>977.4</v>
      </c>
      <c r="W1148" s="3">
        <v>0</v>
      </c>
      <c r="X1148" s="3">
        <v>44.1</v>
      </c>
      <c r="Y1148" s="3">
        <v>42.4</v>
      </c>
      <c r="Z1148" s="3">
        <v>41.6</v>
      </c>
      <c r="AA1148" s="3">
        <v>38.299999999999997</v>
      </c>
      <c r="AB1148" s="3">
        <v>32.700000000000003</v>
      </c>
      <c r="AC1148" s="3">
        <v>32</v>
      </c>
      <c r="AD1148" s="3">
        <v>37.5</v>
      </c>
      <c r="AE1148" s="3">
        <v>39.6</v>
      </c>
      <c r="AF1148" s="3">
        <v>46.1</v>
      </c>
      <c r="AG1148" s="3">
        <v>40</v>
      </c>
      <c r="AH1148" s="3">
        <v>38.200000000000003</v>
      </c>
      <c r="AI1148" s="3">
        <v>38.5</v>
      </c>
      <c r="AJ1148" s="3">
        <v>37.299999999999997</v>
      </c>
      <c r="AK1148" s="3">
        <v>35.6</v>
      </c>
      <c r="AL1148" s="3">
        <v>33.5</v>
      </c>
      <c r="AM1148" s="3">
        <v>33</v>
      </c>
      <c r="AN1148" s="3">
        <v>30.7</v>
      </c>
      <c r="AO1148" s="3">
        <v>26.7</v>
      </c>
      <c r="AP1148" s="3">
        <v>24.4</v>
      </c>
      <c r="AQ1148" s="3">
        <v>21.6</v>
      </c>
      <c r="AR1148" s="3">
        <v>18</v>
      </c>
      <c r="AS1148" s="3">
        <v>16.2</v>
      </c>
      <c r="AT1148" s="3">
        <v>18.600000000000001</v>
      </c>
      <c r="AU1148" s="3">
        <v>11</v>
      </c>
      <c r="AV1148" s="3">
        <v>9.9</v>
      </c>
      <c r="AW1148" s="3">
        <v>9.6</v>
      </c>
      <c r="AX1148" s="3">
        <v>9</v>
      </c>
      <c r="AY1148" s="3">
        <v>9.1</v>
      </c>
      <c r="AZ1148" s="3">
        <v>0</v>
      </c>
      <c r="BA1148" s="3">
        <v>0</v>
      </c>
      <c r="BB1148" s="3">
        <v>0</v>
      </c>
      <c r="BC1148" s="3">
        <v>40.018504264804179</v>
      </c>
      <c r="BD1148" s="3">
        <v>44.081495735195816</v>
      </c>
      <c r="BE1148" s="3">
        <v>42.381495735195827</v>
      </c>
      <c r="BF1148" s="3">
        <v>40.341495735195821</v>
      </c>
      <c r="BG1148" s="3">
        <v>37.368162401862477</v>
      </c>
      <c r="BH1148" s="3">
        <v>31.908162401862498</v>
      </c>
      <c r="BI1148" s="3">
        <v>31.621495735195822</v>
      </c>
      <c r="BJ1148" s="3">
        <v>37.914829068529158</v>
      </c>
      <c r="BK1148" s="3">
        <v>39.888162401862488</v>
      </c>
      <c r="BL1148" s="3">
        <v>45.961495735195825</v>
      </c>
      <c r="BM1148" s="3">
        <v>39.994829068529157</v>
      </c>
      <c r="BN1148" s="3">
        <v>38.478162401862491</v>
      </c>
      <c r="BO1148" s="3">
        <v>38.144829068529148</v>
      </c>
      <c r="BP1148" s="3">
        <v>36.661495735195828</v>
      </c>
      <c r="BQ1148" s="3">
        <v>35.378162401862483</v>
      </c>
      <c r="BR1148" s="3">
        <v>33.604829068529156</v>
      </c>
      <c r="BS1148" s="3">
        <v>32.908162401862498</v>
      </c>
      <c r="BT1148" s="3">
        <v>30.804829068529159</v>
      </c>
      <c r="BU1148" s="3">
        <v>26.771495735195828</v>
      </c>
      <c r="BV1148" s="3">
        <v>24.188162401862485</v>
      </c>
      <c r="BW1148" s="3">
        <v>21.921495735195826</v>
      </c>
      <c r="BX1148" s="3">
        <v>18.241495735195826</v>
      </c>
      <c r="BY1148" s="3">
        <v>16.261495735195822</v>
      </c>
      <c r="BZ1148" s="3">
        <v>18.791495735195824</v>
      </c>
      <c r="CA1148" s="3">
        <v>11.291495735195817</v>
      </c>
      <c r="CB1148" s="3">
        <v>9.6281624018624825</v>
      </c>
      <c r="CC1148" s="3">
        <v>9.5414957351958236</v>
      </c>
      <c r="CD1148" s="3">
        <v>8.2481624018624942</v>
      </c>
      <c r="CE1148" s="3">
        <v>8.5414957351958236</v>
      </c>
      <c r="CF1148" s="3">
        <v>-0.94517093147084807</v>
      </c>
      <c r="CG1148" s="3">
        <v>-1.4785042648041795</v>
      </c>
      <c r="CH1148" s="3">
        <v>-2.5551709314708475</v>
      </c>
      <c r="CI1148" s="13">
        <f>[1]!dbasum(RecData[[#This Row],[20]:[2000]],RecData[[#Headers],[20]:[2000]])</f>
        <v>39.822304028515191</v>
      </c>
      <c r="CJ1148" s="14">
        <v>10743</v>
      </c>
      <c r="CK1148" s="15" t="s">
        <v>249</v>
      </c>
      <c r="CL1148" s="15">
        <f>RecData[[#This Row],[Start Time]]</f>
        <v>43276.015277777777</v>
      </c>
      <c r="CM1148" s="16">
        <f>RecData[[#This Row],[Wind Speed avg]]</f>
        <v>0.85</v>
      </c>
      <c r="CN1148" s="16">
        <f>RecData[[#This Row],[Wind Dir. avg]]</f>
        <v>169.8</v>
      </c>
      <c r="CO1148" s="16">
        <f>RecData[[#This Row],[Amb. Humidity]]</f>
        <v>53.2</v>
      </c>
      <c r="CP1148" s="16">
        <f>RecData[[#This Row],[Amb. Temperature]]</f>
        <v>12.2</v>
      </c>
      <c r="CQ1148" s="17">
        <f>RecData[[#This Row],[Amb. Rain Gauge]]</f>
        <v>0</v>
      </c>
      <c r="CR1148" s="4" t="s">
        <v>1</v>
      </c>
      <c r="CS1148" s="4" t="s">
        <v>49</v>
      </c>
      <c r="CT1148" s="70">
        <v>1619.87951660156</v>
      </c>
      <c r="CU1148" s="70">
        <v>30.459495544433501</v>
      </c>
      <c r="CV1148" s="70">
        <v>10.4400424957275</v>
      </c>
      <c r="CW1148" s="70">
        <v>15.3128356933593</v>
      </c>
      <c r="CX1148" s="4"/>
      <c r="CY1148" s="69"/>
      <c r="CZ1148" s="2" t="b">
        <f>IF($DP$1="YES",IF(RecData[[#This Row],[Power (kW)]]&gt;=$CR$3, TRUE,FALSE),TRUE)</f>
        <v>1</v>
      </c>
      <c r="DA1148" s="16">
        <f>MIN(MOD(180-ABS(ABS($DA$1-RecData[Yaw Angle (°)])-180),360),MOD(180-ABS(ABS($DB$1-RecData[Yaw Angle (°)])-180),360))</f>
        <v>22.929568766745945</v>
      </c>
      <c r="DB1148" s="2" t="str">
        <f>IF($DP$2="None","None",IF(RecData[[#This Row],[Relative Wind Direction]]&lt;=45,"DW",IF(RecData[[#This Row],[Relative Wind Direction]]&lt;=135,"CW","UW")))</f>
        <v>DW</v>
      </c>
      <c r="DC1148" s="61">
        <f>IF($CL1148-$CL1144&gt;1/24,#REF!,IF(SUM($CQ1144:$CQ1148)&gt;$DS$1,$DS$5,DC1149-1))</f>
        <v>-5</v>
      </c>
      <c r="DD1148" s="61">
        <f>IF($CL1149-$CL1148&gt;1/24,#REF!,IF(SUM($CQ1144:$CQ1148)&gt;$DS$1,$DS$6,DD1147-1))</f>
        <v>-6</v>
      </c>
      <c r="DE1148" s="18" t="b">
        <v>0</v>
      </c>
      <c r="DF1148" s="2" t="b">
        <f>IF(OR(RecData[[#This Row],[WSpd_Avg '[m/s']]]-RecData[[#This Row],[Wind Speed min]]&gt;=$DF$3,RecData[[#This Row],[Wind Speed max]]-RecData[[#This Row],[WSpd_Avg '[m/s']]]&gt;=$DF$2),TRUE,FALSE)</f>
        <v>0</v>
      </c>
      <c r="DG1148" s="2" t="b">
        <f>RecData[[#This Row],[Temperature '[°C']]]&lt;=-20</f>
        <v>0</v>
      </c>
      <c r="DH1148" s="18" t="b">
        <f>NOT(OR(MOD(RecData[[#This Row],[TIMESTAMP]],1)&gt;0.91632,MOD(RecData[[#This Row],[TIMESTAMP]],1)&lt;0.208681))</f>
        <v>0</v>
      </c>
      <c r="DI1148" s="18" t="b">
        <f>RecData[[#This Row],[Overall (dBA)]]-RecData[[#This Row],[L90]]&gt;=$DS$4</f>
        <v>0</v>
      </c>
      <c r="DJ1148" s="18" t="b">
        <f>RecData[[#This Row],[Overall (dBA)]]&gt;$DS$2</f>
        <v>0</v>
      </c>
      <c r="DK1148" s="18" t="b">
        <f>RecData[[#This Row],[Overall (dBA)]]&lt;$DS$3</f>
        <v>0</v>
      </c>
      <c r="DL11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8" s="2">
        <f>IF(AND(RecData[[#This Row],[Turbines ON/OFF]] = "OFF", NOT(OR(RecData[[#This Row],[Junk?]]="YES",RecData[[#This Row],[Gust?]],RecData[[#This Row],[Rain?]:[Min SPL Threshold?]]))),1,0)</f>
        <v>0</v>
      </c>
      <c r="DN1148" s="16">
        <f>RecData[[#This Row],[dBA Sum]]</f>
        <v>39.822304028515191</v>
      </c>
      <c r="DO1148" s="16">
        <f>RecData[[#This Row],[LAF90.0]]</f>
        <v>38.9</v>
      </c>
      <c r="DP1148" s="55">
        <f>IF(AND(RecData[[#This Row],[Useable TON Data?]],RecData[[#This Row],[Turbines ON/OFF]]="ON"),RecData[[#This Row],[dBA Sum]],"")</f>
        <v>39.822304028515191</v>
      </c>
      <c r="DQ1148" s="55" t="str">
        <f>IF(AND(RecData[[#This Row],[Useable Background Data?]],RecData[[#This Row],[Turbines ON/OFF]]="OFF"),RecData[[#This Row],[dBA Sum]],"")</f>
        <v/>
      </c>
      <c r="DR1148" s="3">
        <f>IF(OR(RecData[[#This Row],[Useable TON Data?]],RecData[[#This Row],[Useable Background Data?]]),ROUND(RecData[[#This Row],[WSpd_Avg '[m/s']]],0),"")</f>
        <v>1</v>
      </c>
      <c r="DS1148" s="85">
        <f>(0.00002)^2*(10^(RecData[[#This Row],[Overall (dBA)]]/10))</f>
        <v>3.8396389994377942E-6</v>
      </c>
    </row>
    <row r="1149" spans="1:123" ht="15" x14ac:dyDescent="0.25">
      <c r="A1149" s="3" t="s">
        <v>249</v>
      </c>
      <c r="B1149" s="12">
        <v>43276.015972222223</v>
      </c>
      <c r="C1149" s="3"/>
      <c r="D1149" s="3">
        <v>39.299999999999997</v>
      </c>
      <c r="E1149" s="3"/>
      <c r="F1149" s="3"/>
      <c r="G1149" s="3"/>
      <c r="H1149" s="3"/>
      <c r="I1149" s="3"/>
      <c r="J1149" s="3"/>
      <c r="K1149" s="3">
        <v>38</v>
      </c>
      <c r="L1149" s="3"/>
      <c r="M1149" s="3"/>
      <c r="N1149" s="3">
        <v>216.6</v>
      </c>
      <c r="O1149" s="3"/>
      <c r="P1149" s="3"/>
      <c r="Q1149" s="3">
        <v>0.56999999999999995</v>
      </c>
      <c r="R1149" s="3">
        <v>0.2</v>
      </c>
      <c r="S1149" s="3">
        <v>1.5</v>
      </c>
      <c r="T1149" s="3">
        <v>12.1</v>
      </c>
      <c r="U1149" s="3">
        <v>51.9</v>
      </c>
      <c r="V1149" s="3">
        <v>977.4</v>
      </c>
      <c r="W1149" s="3">
        <v>0</v>
      </c>
      <c r="X1149" s="3">
        <v>44.2</v>
      </c>
      <c r="Y1149" s="3">
        <v>41.7</v>
      </c>
      <c r="Z1149" s="3">
        <v>40.5</v>
      </c>
      <c r="AA1149" s="3">
        <v>37.6</v>
      </c>
      <c r="AB1149" s="3">
        <v>33.200000000000003</v>
      </c>
      <c r="AC1149" s="3">
        <v>32.799999999999997</v>
      </c>
      <c r="AD1149" s="3">
        <v>36.299999999999997</v>
      </c>
      <c r="AE1149" s="3">
        <v>38.4</v>
      </c>
      <c r="AF1149" s="3">
        <v>45.6</v>
      </c>
      <c r="AG1149" s="3">
        <v>39.5</v>
      </c>
      <c r="AH1149" s="3">
        <v>37.200000000000003</v>
      </c>
      <c r="AI1149" s="3">
        <v>38.1</v>
      </c>
      <c r="AJ1149" s="3">
        <v>36.6</v>
      </c>
      <c r="AK1149" s="3">
        <v>35.200000000000003</v>
      </c>
      <c r="AL1149" s="3">
        <v>32.6</v>
      </c>
      <c r="AM1149" s="3">
        <v>32</v>
      </c>
      <c r="AN1149" s="3">
        <v>29.4</v>
      </c>
      <c r="AO1149" s="3">
        <v>25.9</v>
      </c>
      <c r="AP1149" s="3">
        <v>24.2</v>
      </c>
      <c r="AQ1149" s="3">
        <v>21.3</v>
      </c>
      <c r="AR1149" s="3">
        <v>18.100000000000001</v>
      </c>
      <c r="AS1149" s="3">
        <v>16.899999999999999</v>
      </c>
      <c r="AT1149" s="3">
        <v>18</v>
      </c>
      <c r="AU1149" s="3">
        <v>10.9</v>
      </c>
      <c r="AV1149" s="3">
        <v>9.6999999999999993</v>
      </c>
      <c r="AW1149" s="3">
        <v>9.3000000000000007</v>
      </c>
      <c r="AX1149" s="3">
        <v>9</v>
      </c>
      <c r="AY1149" s="3">
        <v>9.1</v>
      </c>
      <c r="AZ1149" s="3">
        <v>0</v>
      </c>
      <c r="BA1149" s="3">
        <v>0</v>
      </c>
      <c r="BB1149" s="3">
        <v>0</v>
      </c>
      <c r="BC1149" s="3">
        <v>39.321111248110384</v>
      </c>
      <c r="BD1149" s="3">
        <v>44.178888751889616</v>
      </c>
      <c r="BE1149" s="3">
        <v>41.678888751889616</v>
      </c>
      <c r="BF1149" s="3">
        <v>39.238888751889618</v>
      </c>
      <c r="BG1149" s="3">
        <v>36.665555418556281</v>
      </c>
      <c r="BH1149" s="3">
        <v>32.405555418556276</v>
      </c>
      <c r="BI1149" s="3">
        <v>32.418888751889611</v>
      </c>
      <c r="BJ1149" s="3">
        <v>36.712222085222947</v>
      </c>
      <c r="BK1149" s="3">
        <v>38.685555418556277</v>
      </c>
      <c r="BL1149" s="3">
        <v>45.458888751889617</v>
      </c>
      <c r="BM1149" s="3">
        <v>39.492222085222949</v>
      </c>
      <c r="BN1149" s="3">
        <v>37.475555418556283</v>
      </c>
      <c r="BO1149" s="3">
        <v>37.742222085222949</v>
      </c>
      <c r="BP1149" s="3">
        <v>35.958888751889617</v>
      </c>
      <c r="BQ1149" s="3">
        <v>34.975555418556269</v>
      </c>
      <c r="BR1149" s="3">
        <v>32.702222085222957</v>
      </c>
      <c r="BS1149" s="3">
        <v>31.905555418556276</v>
      </c>
      <c r="BT1149" s="3">
        <v>29.50222208522294</v>
      </c>
      <c r="BU1149" s="3">
        <v>25.968888751889608</v>
      </c>
      <c r="BV1149" s="3">
        <v>23.985555418556281</v>
      </c>
      <c r="BW1149" s="3">
        <v>21.618888751889614</v>
      </c>
      <c r="BX1149" s="3">
        <v>18.33888875188962</v>
      </c>
      <c r="BY1149" s="3">
        <v>16.95888875188961</v>
      </c>
      <c r="BZ1149" s="3">
        <v>18.188888751889621</v>
      </c>
      <c r="CA1149" s="3">
        <v>11.188888751889607</v>
      </c>
      <c r="CB1149" s="3">
        <v>9.4255554185562787</v>
      </c>
      <c r="CC1149" s="3">
        <v>9.2388887518896112</v>
      </c>
      <c r="CD1149" s="3">
        <v>8.245555418556286</v>
      </c>
      <c r="CE1149" s="3">
        <v>8.5388887518896155</v>
      </c>
      <c r="CF1149" s="3">
        <v>-0.9477779147770562</v>
      </c>
      <c r="CG1149" s="3">
        <v>-1.4811112481103876</v>
      </c>
      <c r="CH1149" s="3">
        <v>-2.5577779147770556</v>
      </c>
      <c r="CI1149" s="13">
        <f>[1]!dbasum(RecData[[#This Row],[20]:[2000]],RecData[[#Headers],[20]:[2000]])</f>
        <v>39.101151569041591</v>
      </c>
      <c r="CJ1149" s="14">
        <v>10744</v>
      </c>
      <c r="CK1149" s="15" t="s">
        <v>249</v>
      </c>
      <c r="CL1149" s="15">
        <f>RecData[[#This Row],[Start Time]]</f>
        <v>43276.015972222223</v>
      </c>
      <c r="CM1149" s="16">
        <f>RecData[[#This Row],[Wind Speed avg]]</f>
        <v>0.56999999999999995</v>
      </c>
      <c r="CN1149" s="16">
        <f>RecData[[#This Row],[Wind Dir. avg]]</f>
        <v>216.6</v>
      </c>
      <c r="CO1149" s="16">
        <f>RecData[[#This Row],[Amb. Humidity]]</f>
        <v>51.9</v>
      </c>
      <c r="CP1149" s="16">
        <f>RecData[[#This Row],[Amb. Temperature]]</f>
        <v>12.1</v>
      </c>
      <c r="CQ1149" s="17">
        <f>RecData[[#This Row],[Amb. Rain Gauge]]</f>
        <v>0</v>
      </c>
      <c r="CR1149" s="4" t="s">
        <v>1</v>
      </c>
      <c r="CS1149" s="4" t="s">
        <v>49</v>
      </c>
      <c r="CT1149" s="70">
        <v>1619.87951660156</v>
      </c>
      <c r="CU1149" s="70">
        <v>30.459495544433501</v>
      </c>
      <c r="CV1149" s="70">
        <v>10.4400424957275</v>
      </c>
      <c r="CW1149" s="70">
        <v>15.3128356933593</v>
      </c>
      <c r="CX1149" s="4"/>
      <c r="CY1149" s="69"/>
      <c r="CZ1149" s="2" t="b">
        <f>IF($DP$1="YES",IF(RecData[[#This Row],[Power (kW)]]&gt;=$CR$3, TRUE,FALSE),TRUE)</f>
        <v>1</v>
      </c>
      <c r="DA1149" s="16">
        <f>MIN(MOD(180-ABS(ABS($DA$1-RecData[Yaw Angle (°)])-180),360),MOD(180-ABS(ABS($DB$1-RecData[Yaw Angle (°)])-180),360))</f>
        <v>22.929568766745945</v>
      </c>
      <c r="DB1149" s="2" t="str">
        <f>IF($DP$2="None","None",IF(RecData[[#This Row],[Relative Wind Direction]]&lt;=45,"DW",IF(RecData[[#This Row],[Relative Wind Direction]]&lt;=135,"CW","UW")))</f>
        <v>DW</v>
      </c>
      <c r="DC1149" s="61">
        <f>IF($CL1149-$CL1145&gt;1/24,#REF!,IF(SUM($CQ1145:$CQ1149)&gt;$DS$1,$DS$5,DC1150-1))</f>
        <v>-4</v>
      </c>
      <c r="DD1149" s="61">
        <f>IF($CL1150-$CL1149&gt;1/24,#REF!,IF(SUM($CQ1145:$CQ1149)&gt;$DS$1,$DS$6,DD1148-1))</f>
        <v>-7</v>
      </c>
      <c r="DE1149" s="18" t="b">
        <v>0</v>
      </c>
      <c r="DF1149" s="2" t="b">
        <f>IF(OR(RecData[[#This Row],[WSpd_Avg '[m/s']]]-RecData[[#This Row],[Wind Speed min]]&gt;=$DF$3,RecData[[#This Row],[Wind Speed max]]-RecData[[#This Row],[WSpd_Avg '[m/s']]]&gt;=$DF$2),TRUE,FALSE)</f>
        <v>0</v>
      </c>
      <c r="DG1149" s="2" t="b">
        <f>RecData[[#This Row],[Temperature '[°C']]]&lt;=-20</f>
        <v>0</v>
      </c>
      <c r="DH1149" s="18" t="b">
        <f>NOT(OR(MOD(RecData[[#This Row],[TIMESTAMP]],1)&gt;0.91632,MOD(RecData[[#This Row],[TIMESTAMP]],1)&lt;0.208681))</f>
        <v>0</v>
      </c>
      <c r="DI1149" s="18" t="b">
        <f>RecData[[#This Row],[Overall (dBA)]]-RecData[[#This Row],[L90]]&gt;=$DS$4</f>
        <v>0</v>
      </c>
      <c r="DJ1149" s="18" t="b">
        <f>RecData[[#This Row],[Overall (dBA)]]&gt;$DS$2</f>
        <v>0</v>
      </c>
      <c r="DK1149" s="18" t="b">
        <f>RecData[[#This Row],[Overall (dBA)]]&lt;$DS$3</f>
        <v>0</v>
      </c>
      <c r="DL11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49" s="2">
        <f>IF(AND(RecData[[#This Row],[Turbines ON/OFF]] = "OFF", NOT(OR(RecData[[#This Row],[Junk?]]="YES",RecData[[#This Row],[Gust?]],RecData[[#This Row],[Rain?]:[Min SPL Threshold?]]))),1,0)</f>
        <v>0</v>
      </c>
      <c r="DN1149" s="16">
        <f>RecData[[#This Row],[dBA Sum]]</f>
        <v>39.101151569041591</v>
      </c>
      <c r="DO1149" s="16">
        <f>RecData[[#This Row],[LAF90.0]]</f>
        <v>38</v>
      </c>
      <c r="DP1149" s="55">
        <f>IF(AND(RecData[[#This Row],[Useable TON Data?]],RecData[[#This Row],[Turbines ON/OFF]]="ON"),RecData[[#This Row],[dBA Sum]],"")</f>
        <v>39.101151569041591</v>
      </c>
      <c r="DQ1149" s="55" t="str">
        <f>IF(AND(RecData[[#This Row],[Useable Background Data?]],RecData[[#This Row],[Turbines ON/OFF]]="OFF"),RecData[[#This Row],[dBA Sum]],"")</f>
        <v/>
      </c>
      <c r="DR1149" s="3">
        <f>IF(OR(RecData[[#This Row],[Useable TON Data?]],RecData[[#This Row],[Useable Background Data?]]),ROUND(RecData[[#This Row],[WSpd_Avg '[m/s']]],0),"")</f>
        <v>1</v>
      </c>
      <c r="DS1149" s="85">
        <f>(0.00002)^2*(10^(RecData[[#This Row],[Overall (dBA)]]/10))</f>
        <v>3.2521842948773228E-6</v>
      </c>
    </row>
    <row r="1150" spans="1:123" ht="15" x14ac:dyDescent="0.25">
      <c r="A1150" s="3" t="s">
        <v>249</v>
      </c>
      <c r="B1150" s="12">
        <v>43276.01666666667</v>
      </c>
      <c r="C1150" s="3"/>
      <c r="D1150" s="3">
        <v>39.9</v>
      </c>
      <c r="E1150" s="3"/>
      <c r="F1150" s="3"/>
      <c r="G1150" s="3"/>
      <c r="H1150" s="3"/>
      <c r="I1150" s="3"/>
      <c r="J1150" s="3"/>
      <c r="K1150" s="3">
        <v>38.4</v>
      </c>
      <c r="L1150" s="3"/>
      <c r="M1150" s="3"/>
      <c r="N1150" s="3">
        <v>176.5</v>
      </c>
      <c r="O1150" s="3"/>
      <c r="P1150" s="3"/>
      <c r="Q1150" s="3">
        <v>0.8</v>
      </c>
      <c r="R1150" s="3">
        <v>0.5</v>
      </c>
      <c r="S1150" s="3">
        <v>1.3</v>
      </c>
      <c r="T1150" s="3">
        <v>12.1</v>
      </c>
      <c r="U1150" s="3">
        <v>52</v>
      </c>
      <c r="V1150" s="3">
        <v>977.5</v>
      </c>
      <c r="W1150" s="3">
        <v>0</v>
      </c>
      <c r="X1150" s="3">
        <v>44.3</v>
      </c>
      <c r="Y1150" s="3">
        <v>42.8</v>
      </c>
      <c r="Z1150" s="3">
        <v>41.6</v>
      </c>
      <c r="AA1150" s="3">
        <v>39.1</v>
      </c>
      <c r="AB1150" s="3">
        <v>34.200000000000003</v>
      </c>
      <c r="AC1150" s="3">
        <v>33.1</v>
      </c>
      <c r="AD1150" s="3">
        <v>36.9</v>
      </c>
      <c r="AE1150" s="3">
        <v>39.299999999999997</v>
      </c>
      <c r="AF1150" s="3">
        <v>45.5</v>
      </c>
      <c r="AG1150" s="3">
        <v>40.5</v>
      </c>
      <c r="AH1150" s="3">
        <v>37.9</v>
      </c>
      <c r="AI1150" s="3">
        <v>38.9</v>
      </c>
      <c r="AJ1150" s="3">
        <v>37.5</v>
      </c>
      <c r="AK1150" s="3">
        <v>35.799999999999997</v>
      </c>
      <c r="AL1150" s="3">
        <v>33.299999999999997</v>
      </c>
      <c r="AM1150" s="3">
        <v>32.5</v>
      </c>
      <c r="AN1150" s="3">
        <v>30</v>
      </c>
      <c r="AO1150" s="3">
        <v>26.1</v>
      </c>
      <c r="AP1150" s="3">
        <v>23.7</v>
      </c>
      <c r="AQ1150" s="3">
        <v>21</v>
      </c>
      <c r="AR1150" s="3">
        <v>16.8</v>
      </c>
      <c r="AS1150" s="3">
        <v>15.1</v>
      </c>
      <c r="AT1150" s="3">
        <v>19.100000000000001</v>
      </c>
      <c r="AU1150" s="3">
        <v>9</v>
      </c>
      <c r="AV1150" s="3">
        <v>8.6999999999999993</v>
      </c>
      <c r="AW1150" s="3">
        <v>8.9</v>
      </c>
      <c r="AX1150" s="3">
        <v>8.9</v>
      </c>
      <c r="AY1150" s="3">
        <v>9.1</v>
      </c>
      <c r="AZ1150" s="3">
        <v>0</v>
      </c>
      <c r="BA1150" s="3">
        <v>0</v>
      </c>
      <c r="BB1150" s="3">
        <v>0</v>
      </c>
      <c r="BC1150" s="3">
        <v>39.84023713227382</v>
      </c>
      <c r="BD1150" s="3">
        <v>44.359762867726168</v>
      </c>
      <c r="BE1150" s="3">
        <v>42.859762867726168</v>
      </c>
      <c r="BF1150" s="3">
        <v>40.41976286772617</v>
      </c>
      <c r="BG1150" s="3">
        <v>38.246429534392853</v>
      </c>
      <c r="BH1150" s="3">
        <v>33.486429534392848</v>
      </c>
      <c r="BI1150" s="3">
        <v>32.79976286772618</v>
      </c>
      <c r="BJ1150" s="3">
        <v>37.3930962010595</v>
      </c>
      <c r="BK1150" s="3">
        <v>39.66642953439284</v>
      </c>
      <c r="BL1150" s="3">
        <v>45.439762867726181</v>
      </c>
      <c r="BM1150" s="3">
        <v>40.573096201059506</v>
      </c>
      <c r="BN1150" s="3">
        <v>38.256429534392844</v>
      </c>
      <c r="BO1150" s="3">
        <v>38.623096201059518</v>
      </c>
      <c r="BP1150" s="3">
        <v>36.939762867726181</v>
      </c>
      <c r="BQ1150" s="3">
        <v>35.656429534392835</v>
      </c>
      <c r="BR1150" s="3">
        <v>33.483096201059503</v>
      </c>
      <c r="BS1150" s="3">
        <v>32.486429534392848</v>
      </c>
      <c r="BT1150" s="3">
        <v>30.18309620105952</v>
      </c>
      <c r="BU1150" s="3">
        <v>26.249762867726183</v>
      </c>
      <c r="BV1150" s="3">
        <v>23.566429534392846</v>
      </c>
      <c r="BW1150" s="3">
        <v>21.399762867726182</v>
      </c>
      <c r="BX1150" s="3">
        <v>17.119762867726187</v>
      </c>
      <c r="BY1150" s="3">
        <v>15.239762867726178</v>
      </c>
      <c r="BZ1150" s="3">
        <v>19.369762867726187</v>
      </c>
      <c r="CA1150" s="3">
        <v>9.3697628677261733</v>
      </c>
      <c r="CB1150" s="3">
        <v>8.5064295343928435</v>
      </c>
      <c r="CC1150" s="3">
        <v>8.9197628677261775</v>
      </c>
      <c r="CD1150" s="3">
        <v>8.2264295343928495</v>
      </c>
      <c r="CE1150" s="3">
        <v>8.6197628677261733</v>
      </c>
      <c r="CF1150" s="3">
        <v>-0.8669037989404913</v>
      </c>
      <c r="CG1150" s="3">
        <v>-1.4002371322738227</v>
      </c>
      <c r="CH1150" s="3">
        <v>-2.4769037989404907</v>
      </c>
      <c r="CI1150" s="13">
        <f>[1]!dbasum(RecData[[#This Row],[20]:[2000]],RecData[[#Headers],[20]:[2000]])</f>
        <v>39.709128168512649</v>
      </c>
      <c r="CJ1150" s="14">
        <v>10745</v>
      </c>
      <c r="CK1150" s="15" t="s">
        <v>249</v>
      </c>
      <c r="CL1150" s="15">
        <f>RecData[[#This Row],[Start Time]]</f>
        <v>43276.01666666667</v>
      </c>
      <c r="CM1150" s="16">
        <f>RecData[[#This Row],[Wind Speed avg]]</f>
        <v>0.8</v>
      </c>
      <c r="CN1150" s="16">
        <f>RecData[[#This Row],[Wind Dir. avg]]</f>
        <v>176.5</v>
      </c>
      <c r="CO1150" s="16">
        <f>RecData[[#This Row],[Amb. Humidity]]</f>
        <v>52</v>
      </c>
      <c r="CP1150" s="16">
        <f>RecData[[#This Row],[Amb. Temperature]]</f>
        <v>12.1</v>
      </c>
      <c r="CQ1150" s="17">
        <f>RecData[[#This Row],[Amb. Rain Gauge]]</f>
        <v>0</v>
      </c>
      <c r="CR1150" s="4" t="s">
        <v>1</v>
      </c>
      <c r="CS1150" s="4" t="s">
        <v>49</v>
      </c>
      <c r="CT1150" s="70">
        <v>1619.87951660156</v>
      </c>
      <c r="CU1150" s="70">
        <v>30.459495544433501</v>
      </c>
      <c r="CV1150" s="70">
        <v>10.4400424957275</v>
      </c>
      <c r="CW1150" s="70">
        <v>15.3128356933593</v>
      </c>
      <c r="CX1150" s="4"/>
      <c r="CY1150" s="69"/>
      <c r="CZ1150" s="2" t="b">
        <f>IF($DP$1="YES",IF(RecData[[#This Row],[Power (kW)]]&gt;=$CR$3, TRUE,FALSE),TRUE)</f>
        <v>1</v>
      </c>
      <c r="DA1150" s="16">
        <f>MIN(MOD(180-ABS(ABS($DA$1-RecData[Yaw Angle (°)])-180),360),MOD(180-ABS(ABS($DB$1-RecData[Yaw Angle (°)])-180),360))</f>
        <v>22.929568766745945</v>
      </c>
      <c r="DB1150" s="2" t="str">
        <f>IF($DP$2="None","None",IF(RecData[[#This Row],[Relative Wind Direction]]&lt;=45,"DW",IF(RecData[[#This Row],[Relative Wind Direction]]&lt;=135,"CW","UW")))</f>
        <v>DW</v>
      </c>
      <c r="DC1150" s="61">
        <f>IF($CL1150-$CL1146&gt;1/24,#REF!,IF(SUM($CQ1146:$CQ1150)&gt;$DS$1,$DS$5,DC1151-1))</f>
        <v>-3</v>
      </c>
      <c r="DD1150" s="61">
        <f>IF($CL1151-$CL1150&gt;1/24,#REF!,IF(SUM($CQ1146:$CQ1150)&gt;$DS$1,$DS$6,DD1149-1))</f>
        <v>-8</v>
      </c>
      <c r="DE1150" s="18" t="b">
        <v>0</v>
      </c>
      <c r="DF1150" s="2" t="b">
        <f>IF(OR(RecData[[#This Row],[WSpd_Avg '[m/s']]]-RecData[[#This Row],[Wind Speed min]]&gt;=$DF$3,RecData[[#This Row],[Wind Speed max]]-RecData[[#This Row],[WSpd_Avg '[m/s']]]&gt;=$DF$2),TRUE,FALSE)</f>
        <v>0</v>
      </c>
      <c r="DG1150" s="2" t="b">
        <f>RecData[[#This Row],[Temperature '[°C']]]&lt;=-20</f>
        <v>0</v>
      </c>
      <c r="DH1150" s="18" t="b">
        <f>NOT(OR(MOD(RecData[[#This Row],[TIMESTAMP]],1)&gt;0.91632,MOD(RecData[[#This Row],[TIMESTAMP]],1)&lt;0.208681))</f>
        <v>0</v>
      </c>
      <c r="DI1150" s="18" t="b">
        <f>RecData[[#This Row],[Overall (dBA)]]-RecData[[#This Row],[L90]]&gt;=$DS$4</f>
        <v>0</v>
      </c>
      <c r="DJ1150" s="18" t="b">
        <f>RecData[[#This Row],[Overall (dBA)]]&gt;$DS$2</f>
        <v>0</v>
      </c>
      <c r="DK1150" s="18" t="b">
        <f>RecData[[#This Row],[Overall (dBA)]]&lt;$DS$3</f>
        <v>0</v>
      </c>
      <c r="DL11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0" s="2">
        <f>IF(AND(RecData[[#This Row],[Turbines ON/OFF]] = "OFF", NOT(OR(RecData[[#This Row],[Junk?]]="YES",RecData[[#This Row],[Gust?]],RecData[[#This Row],[Rain?]:[Min SPL Threshold?]]))),1,0)</f>
        <v>0</v>
      </c>
      <c r="DN1150" s="16">
        <f>RecData[[#This Row],[dBA Sum]]</f>
        <v>39.709128168512649</v>
      </c>
      <c r="DO1150" s="16">
        <f>RecData[[#This Row],[LAF90.0]]</f>
        <v>38.4</v>
      </c>
      <c r="DP1150" s="55">
        <f>IF(AND(RecData[[#This Row],[Useable TON Data?]],RecData[[#This Row],[Turbines ON/OFF]]="ON"),RecData[[#This Row],[dBA Sum]],"")</f>
        <v>39.709128168512649</v>
      </c>
      <c r="DQ1150" s="55" t="str">
        <f>IF(AND(RecData[[#This Row],[Useable Background Data?]],RecData[[#This Row],[Turbines ON/OFF]]="OFF"),RecData[[#This Row],[dBA Sum]],"")</f>
        <v/>
      </c>
      <c r="DR1150" s="3">
        <f>IF(OR(RecData[[#This Row],[Useable TON Data?]],RecData[[#This Row],[Useable Background Data?]]),ROUND(RecData[[#This Row],[WSpd_Avg '[m/s']]],0),"")</f>
        <v>1</v>
      </c>
      <c r="DS1150" s="85">
        <f>(0.00002)^2*(10^(RecData[[#This Row],[Overall (dBA)]]/10))</f>
        <v>3.7408716538728192E-6</v>
      </c>
    </row>
    <row r="1151" spans="1:123" ht="15" x14ac:dyDescent="0.25">
      <c r="A1151" s="3" t="s">
        <v>249</v>
      </c>
      <c r="B1151" s="12">
        <v>43276.017361111109</v>
      </c>
      <c r="C1151" s="3"/>
      <c r="D1151" s="3">
        <v>39.799999999999997</v>
      </c>
      <c r="E1151" s="3"/>
      <c r="F1151" s="3"/>
      <c r="G1151" s="3"/>
      <c r="H1151" s="3"/>
      <c r="I1151" s="3"/>
      <c r="J1151" s="3"/>
      <c r="K1151" s="3">
        <v>38.700000000000003</v>
      </c>
      <c r="L1151" s="3"/>
      <c r="M1151" s="3"/>
      <c r="N1151" s="3">
        <v>182.9</v>
      </c>
      <c r="O1151" s="3"/>
      <c r="P1151" s="3"/>
      <c r="Q1151" s="3">
        <v>1.0900000000000001</v>
      </c>
      <c r="R1151" s="3">
        <v>0.4</v>
      </c>
      <c r="S1151" s="3">
        <v>1.8</v>
      </c>
      <c r="T1151" s="3">
        <v>12.1</v>
      </c>
      <c r="U1151" s="3">
        <v>52.7</v>
      </c>
      <c r="V1151" s="3">
        <v>977.5</v>
      </c>
      <c r="W1151" s="3">
        <v>0</v>
      </c>
      <c r="X1151" s="3">
        <v>44</v>
      </c>
      <c r="Y1151" s="3">
        <v>42.1</v>
      </c>
      <c r="Z1151" s="3">
        <v>42</v>
      </c>
      <c r="AA1151" s="3">
        <v>39</v>
      </c>
      <c r="AB1151" s="3">
        <v>33.6</v>
      </c>
      <c r="AC1151" s="3">
        <v>32.6</v>
      </c>
      <c r="AD1151" s="3">
        <v>37.299999999999997</v>
      </c>
      <c r="AE1151" s="3">
        <v>39.4</v>
      </c>
      <c r="AF1151" s="3">
        <v>46.3</v>
      </c>
      <c r="AG1151" s="3">
        <v>40</v>
      </c>
      <c r="AH1151" s="3">
        <v>38.1</v>
      </c>
      <c r="AI1151" s="3">
        <v>38.6</v>
      </c>
      <c r="AJ1151" s="3">
        <v>37</v>
      </c>
      <c r="AK1151" s="3">
        <v>35.5</v>
      </c>
      <c r="AL1151" s="3">
        <v>33.200000000000003</v>
      </c>
      <c r="AM1151" s="3">
        <v>32.4</v>
      </c>
      <c r="AN1151" s="3">
        <v>29.9</v>
      </c>
      <c r="AO1151" s="3">
        <v>26.2</v>
      </c>
      <c r="AP1151" s="3">
        <v>24</v>
      </c>
      <c r="AQ1151" s="3">
        <v>21.3</v>
      </c>
      <c r="AR1151" s="3">
        <v>17.2</v>
      </c>
      <c r="AS1151" s="3">
        <v>15.6</v>
      </c>
      <c r="AT1151" s="3">
        <v>19</v>
      </c>
      <c r="AU1151" s="3">
        <v>10</v>
      </c>
      <c r="AV1151" s="3">
        <v>9.6</v>
      </c>
      <c r="AW1151" s="3">
        <v>9.6</v>
      </c>
      <c r="AX1151" s="3">
        <v>9.1</v>
      </c>
      <c r="AY1151" s="3">
        <v>9.1999999999999993</v>
      </c>
      <c r="AZ1151" s="3">
        <v>0</v>
      </c>
      <c r="BA1151" s="3">
        <v>0</v>
      </c>
      <c r="BB1151" s="3">
        <v>0</v>
      </c>
      <c r="BC1151" s="3">
        <v>39.768843775105985</v>
      </c>
      <c r="BD1151" s="3">
        <v>44.031156224894012</v>
      </c>
      <c r="BE1151" s="3">
        <v>42.131156224894021</v>
      </c>
      <c r="BF1151" s="3">
        <v>40.791156224894017</v>
      </c>
      <c r="BG1151" s="3">
        <v>38.117822891560671</v>
      </c>
      <c r="BH1151" s="3">
        <v>32.85782289156068</v>
      </c>
      <c r="BI1151" s="3">
        <v>32.271156224894007</v>
      </c>
      <c r="BJ1151" s="3">
        <v>37.764489558227346</v>
      </c>
      <c r="BK1151" s="3">
        <v>39.737822891560675</v>
      </c>
      <c r="BL1151" s="3">
        <v>46.211156224894005</v>
      </c>
      <c r="BM1151" s="3">
        <v>40.044489558227347</v>
      </c>
      <c r="BN1151" s="3">
        <v>38.427822891560673</v>
      </c>
      <c r="BO1151" s="3">
        <v>38.294489558227347</v>
      </c>
      <c r="BP1151" s="3">
        <v>36.411156224894022</v>
      </c>
      <c r="BQ1151" s="3">
        <v>35.327822891560679</v>
      </c>
      <c r="BR1151" s="3">
        <v>33.35448955822735</v>
      </c>
      <c r="BS1151" s="3">
        <v>32.35782289156068</v>
      </c>
      <c r="BT1151" s="3">
        <v>30.054489558227338</v>
      </c>
      <c r="BU1151" s="3">
        <v>26.321156224894018</v>
      </c>
      <c r="BV1151" s="3">
        <v>23.837822891560684</v>
      </c>
      <c r="BW1151" s="3">
        <v>21.671156224894013</v>
      </c>
      <c r="BX1151" s="3">
        <v>17.49115622489402</v>
      </c>
      <c r="BY1151" s="3">
        <v>15.711156224894012</v>
      </c>
      <c r="BZ1151" s="3">
        <v>19.24115622489402</v>
      </c>
      <c r="CA1151" s="3">
        <v>10.341156224894007</v>
      </c>
      <c r="CB1151" s="3">
        <v>9.3778228915606761</v>
      </c>
      <c r="CC1151" s="3">
        <v>9.5911562248940143</v>
      </c>
      <c r="CD1151" s="3">
        <v>8.3978228915606863</v>
      </c>
      <c r="CE1151" s="3">
        <v>8.6911562248940086</v>
      </c>
      <c r="CF1151" s="3">
        <v>-0.89551044177265737</v>
      </c>
      <c r="CG1151" s="3">
        <v>-1.4288437751059888</v>
      </c>
      <c r="CH1151" s="3">
        <v>-2.5055104417726568</v>
      </c>
      <c r="CI1151" s="13">
        <f>[1]!dbasum(RecData[[#This Row],[20]:[2000]],RecData[[#Headers],[20]:[2000]])</f>
        <v>39.613011927197512</v>
      </c>
      <c r="CJ1151" s="14">
        <v>10746</v>
      </c>
      <c r="CK1151" s="15" t="s">
        <v>249</v>
      </c>
      <c r="CL1151" s="15">
        <f>RecData[[#This Row],[Start Time]]</f>
        <v>43276.017361111109</v>
      </c>
      <c r="CM1151" s="16">
        <f>RecData[[#This Row],[Wind Speed avg]]</f>
        <v>1.0900000000000001</v>
      </c>
      <c r="CN1151" s="16">
        <f>RecData[[#This Row],[Wind Dir. avg]]</f>
        <v>182.9</v>
      </c>
      <c r="CO1151" s="16">
        <f>RecData[[#This Row],[Amb. Humidity]]</f>
        <v>52.7</v>
      </c>
      <c r="CP1151" s="16">
        <f>RecData[[#This Row],[Amb. Temperature]]</f>
        <v>12.1</v>
      </c>
      <c r="CQ1151" s="17">
        <f>RecData[[#This Row],[Amb. Rain Gauge]]</f>
        <v>0</v>
      </c>
      <c r="CR1151" s="4" t="s">
        <v>1</v>
      </c>
      <c r="CS1151" s="4" t="s">
        <v>49</v>
      </c>
      <c r="CT1151" s="70">
        <v>1619.87951660156</v>
      </c>
      <c r="CU1151" s="70">
        <v>30.459495544433501</v>
      </c>
      <c r="CV1151" s="70">
        <v>10.4400424957275</v>
      </c>
      <c r="CW1151" s="70">
        <v>15.3128356933593</v>
      </c>
      <c r="CX1151" s="4"/>
      <c r="CY1151" s="69"/>
      <c r="CZ1151" s="2" t="b">
        <f>IF($DP$1="YES",IF(RecData[[#This Row],[Power (kW)]]&gt;=$CR$3, TRUE,FALSE),TRUE)</f>
        <v>1</v>
      </c>
      <c r="DA1151" s="16">
        <f>MIN(MOD(180-ABS(ABS($DA$1-RecData[Yaw Angle (°)])-180),360),MOD(180-ABS(ABS($DB$1-RecData[Yaw Angle (°)])-180),360))</f>
        <v>22.929568766745945</v>
      </c>
      <c r="DB1151" s="2" t="str">
        <f>IF($DP$2="None","None",IF(RecData[[#This Row],[Relative Wind Direction]]&lt;=45,"DW",IF(RecData[[#This Row],[Relative Wind Direction]]&lt;=135,"CW","UW")))</f>
        <v>DW</v>
      </c>
      <c r="DC1151" s="61">
        <f>IF($CL1151-$CL1147&gt;1/24,#REF!,IF(SUM($CQ1147:$CQ1151)&gt;$DS$1,$DS$5,DC1152-1))</f>
        <v>-2</v>
      </c>
      <c r="DD1151" s="61">
        <f>IF($CL1152-$CL1151&gt;1/24,#REF!,IF(SUM($CQ1147:$CQ1151)&gt;$DS$1,$DS$6,DD1150-1))</f>
        <v>-9</v>
      </c>
      <c r="DE1151" s="18" t="b">
        <v>0</v>
      </c>
      <c r="DF1151" s="2" t="b">
        <f>IF(OR(RecData[[#This Row],[WSpd_Avg '[m/s']]]-RecData[[#This Row],[Wind Speed min]]&gt;=$DF$3,RecData[[#This Row],[Wind Speed max]]-RecData[[#This Row],[WSpd_Avg '[m/s']]]&gt;=$DF$2),TRUE,FALSE)</f>
        <v>0</v>
      </c>
      <c r="DG1151" s="2" t="b">
        <f>RecData[[#This Row],[Temperature '[°C']]]&lt;=-20</f>
        <v>0</v>
      </c>
      <c r="DH1151" s="18" t="b">
        <f>NOT(OR(MOD(RecData[[#This Row],[TIMESTAMP]],1)&gt;0.91632,MOD(RecData[[#This Row],[TIMESTAMP]],1)&lt;0.208681))</f>
        <v>0</v>
      </c>
      <c r="DI1151" s="18" t="b">
        <f>RecData[[#This Row],[Overall (dBA)]]-RecData[[#This Row],[L90]]&gt;=$DS$4</f>
        <v>0</v>
      </c>
      <c r="DJ1151" s="18" t="b">
        <f>RecData[[#This Row],[Overall (dBA)]]&gt;$DS$2</f>
        <v>0</v>
      </c>
      <c r="DK1151" s="18" t="b">
        <f>RecData[[#This Row],[Overall (dBA)]]&lt;$DS$3</f>
        <v>0</v>
      </c>
      <c r="DL11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1" s="2">
        <f>IF(AND(RecData[[#This Row],[Turbines ON/OFF]] = "OFF", NOT(OR(RecData[[#This Row],[Junk?]]="YES",RecData[[#This Row],[Gust?]],RecData[[#This Row],[Rain?]:[Min SPL Threshold?]]))),1,0)</f>
        <v>0</v>
      </c>
      <c r="DN1151" s="16">
        <f>RecData[[#This Row],[dBA Sum]]</f>
        <v>39.613011927197512</v>
      </c>
      <c r="DO1151" s="16">
        <f>RecData[[#This Row],[LAF90.0]]</f>
        <v>38.700000000000003</v>
      </c>
      <c r="DP1151" s="55">
        <f>IF(AND(RecData[[#This Row],[Useable TON Data?]],RecData[[#This Row],[Turbines ON/OFF]]="ON"),RecData[[#This Row],[dBA Sum]],"")</f>
        <v>39.613011927197512</v>
      </c>
      <c r="DQ1151" s="55" t="str">
        <f>IF(AND(RecData[[#This Row],[Useable Background Data?]],RecData[[#This Row],[Turbines ON/OFF]]="OFF"),RecData[[#This Row],[dBA Sum]],"")</f>
        <v/>
      </c>
      <c r="DR1151" s="3">
        <f>IF(OR(RecData[[#This Row],[Useable TON Data?]],RecData[[#This Row],[Useable Background Data?]]),ROUND(RecData[[#This Row],[WSpd_Avg '[m/s']]],0),"")</f>
        <v>1</v>
      </c>
      <c r="DS1151" s="85">
        <f>(0.00002)^2*(10^(RecData[[#This Row],[Overall (dBA)]]/10))</f>
        <v>3.6589896754972193E-6</v>
      </c>
    </row>
    <row r="1152" spans="1:123" ht="15" x14ac:dyDescent="0.25">
      <c r="A1152" s="3" t="s">
        <v>249</v>
      </c>
      <c r="B1152" s="12">
        <v>43276.018055555556</v>
      </c>
      <c r="C1152" s="3"/>
      <c r="D1152" s="3">
        <v>40.1</v>
      </c>
      <c r="E1152" s="3"/>
      <c r="F1152" s="3"/>
      <c r="G1152" s="3"/>
      <c r="H1152" s="3"/>
      <c r="I1152" s="3"/>
      <c r="J1152" s="3"/>
      <c r="K1152" s="3">
        <v>38.799999999999997</v>
      </c>
      <c r="L1152" s="3"/>
      <c r="M1152" s="3"/>
      <c r="N1152" s="3">
        <v>199.8</v>
      </c>
      <c r="O1152" s="3"/>
      <c r="P1152" s="3"/>
      <c r="Q1152" s="3">
        <v>1.04</v>
      </c>
      <c r="R1152" s="3">
        <v>0.2</v>
      </c>
      <c r="S1152" s="3">
        <v>1.5</v>
      </c>
      <c r="T1152" s="3">
        <v>12.1</v>
      </c>
      <c r="U1152" s="3">
        <v>52</v>
      </c>
      <c r="V1152" s="3">
        <v>977.5</v>
      </c>
      <c r="W1152" s="3">
        <v>0</v>
      </c>
      <c r="X1152" s="3">
        <v>43.3</v>
      </c>
      <c r="Y1152" s="3">
        <v>41.2</v>
      </c>
      <c r="Z1152" s="3">
        <v>40.799999999999997</v>
      </c>
      <c r="AA1152" s="3">
        <v>38.1</v>
      </c>
      <c r="AB1152" s="3">
        <v>33.1</v>
      </c>
      <c r="AC1152" s="3">
        <v>32.5</v>
      </c>
      <c r="AD1152" s="3">
        <v>36.700000000000003</v>
      </c>
      <c r="AE1152" s="3">
        <v>39.200000000000003</v>
      </c>
      <c r="AF1152" s="3">
        <v>45.7</v>
      </c>
      <c r="AG1152" s="3">
        <v>40.299999999999997</v>
      </c>
      <c r="AH1152" s="3">
        <v>38</v>
      </c>
      <c r="AI1152" s="3">
        <v>39.1</v>
      </c>
      <c r="AJ1152" s="3">
        <v>37.4</v>
      </c>
      <c r="AK1152" s="3">
        <v>36.299999999999997</v>
      </c>
      <c r="AL1152" s="3">
        <v>33.9</v>
      </c>
      <c r="AM1152" s="3">
        <v>32.799999999999997</v>
      </c>
      <c r="AN1152" s="3">
        <v>30.4</v>
      </c>
      <c r="AO1152" s="3">
        <v>26.6</v>
      </c>
      <c r="AP1152" s="3">
        <v>23.8</v>
      </c>
      <c r="AQ1152" s="3">
        <v>21.1</v>
      </c>
      <c r="AR1152" s="3">
        <v>17.2</v>
      </c>
      <c r="AS1152" s="3">
        <v>15.8</v>
      </c>
      <c r="AT1152" s="3">
        <v>20</v>
      </c>
      <c r="AU1152" s="3">
        <v>12.5</v>
      </c>
      <c r="AV1152" s="3">
        <v>11.4</v>
      </c>
      <c r="AW1152" s="3">
        <v>10.9</v>
      </c>
      <c r="AX1152" s="3">
        <v>9.6</v>
      </c>
      <c r="AY1152" s="3">
        <v>9.5</v>
      </c>
      <c r="AZ1152" s="3">
        <v>0</v>
      </c>
      <c r="BA1152" s="3">
        <v>0</v>
      </c>
      <c r="BB1152" s="3">
        <v>0</v>
      </c>
      <c r="BC1152" s="3">
        <v>40.116766823519526</v>
      </c>
      <c r="BD1152" s="3">
        <v>43.283233176480479</v>
      </c>
      <c r="BE1152" s="3">
        <v>41.183233176480485</v>
      </c>
      <c r="BF1152" s="3">
        <v>39.54323317648047</v>
      </c>
      <c r="BG1152" s="3">
        <v>37.169899843147135</v>
      </c>
      <c r="BH1152" s="3">
        <v>32.30989984314715</v>
      </c>
      <c r="BI1152" s="3">
        <v>32.123233176480483</v>
      </c>
      <c r="BJ1152" s="3">
        <v>37.116566509813808</v>
      </c>
      <c r="BK1152" s="3">
        <v>39.489899843147143</v>
      </c>
      <c r="BL1152" s="3">
        <v>45.56323317648048</v>
      </c>
      <c r="BM1152" s="3">
        <v>40.2965665098138</v>
      </c>
      <c r="BN1152" s="3">
        <v>38.279899843147149</v>
      </c>
      <c r="BO1152" s="3">
        <v>38.746566509813817</v>
      </c>
      <c r="BP1152" s="3">
        <v>36.763233176480469</v>
      </c>
      <c r="BQ1152" s="3">
        <v>36.079899843147132</v>
      </c>
      <c r="BR1152" s="3">
        <v>34.006566509813808</v>
      </c>
      <c r="BS1152" s="3">
        <v>32.709899843147141</v>
      </c>
      <c r="BT1152" s="3">
        <v>30.506566509813808</v>
      </c>
      <c r="BU1152" s="3">
        <v>26.67323317648048</v>
      </c>
      <c r="BV1152" s="3">
        <v>23.589899843147144</v>
      </c>
      <c r="BW1152" s="3">
        <v>21.42323317648048</v>
      </c>
      <c r="BX1152" s="3">
        <v>17.443233176480476</v>
      </c>
      <c r="BY1152" s="3">
        <v>15.863233176480477</v>
      </c>
      <c r="BZ1152" s="3">
        <v>20.193233176480476</v>
      </c>
      <c r="CA1152" s="3">
        <v>12.79323317648047</v>
      </c>
      <c r="CB1152" s="3">
        <v>11.129899843147143</v>
      </c>
      <c r="CC1152" s="3">
        <v>10.843233176480474</v>
      </c>
      <c r="CD1152" s="3">
        <v>8.8498998431471421</v>
      </c>
      <c r="CE1152" s="3">
        <v>8.9432331764804758</v>
      </c>
      <c r="CF1152" s="3">
        <v>-0.94343349018619449</v>
      </c>
      <c r="CG1152" s="3">
        <v>-1.4767668235195259</v>
      </c>
      <c r="CH1152" s="3">
        <v>-2.5534334901861939</v>
      </c>
      <c r="CI1152" s="13">
        <f>[1]!dbasum(RecData[[#This Row],[20]:[2000]],RecData[[#Headers],[20]:[2000]])</f>
        <v>39.895360003469051</v>
      </c>
      <c r="CJ1152" s="14">
        <v>10747</v>
      </c>
      <c r="CK1152" s="15" t="s">
        <v>249</v>
      </c>
      <c r="CL1152" s="15">
        <f>RecData[[#This Row],[Start Time]]</f>
        <v>43276.018055555556</v>
      </c>
      <c r="CM1152" s="16">
        <f>RecData[[#This Row],[Wind Speed avg]]</f>
        <v>1.04</v>
      </c>
      <c r="CN1152" s="16">
        <f>RecData[[#This Row],[Wind Dir. avg]]</f>
        <v>199.8</v>
      </c>
      <c r="CO1152" s="16">
        <f>RecData[[#This Row],[Amb. Humidity]]</f>
        <v>52</v>
      </c>
      <c r="CP1152" s="16">
        <f>RecData[[#This Row],[Amb. Temperature]]</f>
        <v>12.1</v>
      </c>
      <c r="CQ1152" s="17">
        <f>RecData[[#This Row],[Amb. Rain Gauge]]</f>
        <v>0</v>
      </c>
      <c r="CR1152" s="4" t="s">
        <v>1</v>
      </c>
      <c r="CS1152" s="4" t="s">
        <v>49</v>
      </c>
      <c r="CT1152" s="70">
        <v>1619.87951660156</v>
      </c>
      <c r="CU1152" s="70">
        <v>30.459495544433501</v>
      </c>
      <c r="CV1152" s="70">
        <v>10.4400424957275</v>
      </c>
      <c r="CW1152" s="70">
        <v>15.3128356933593</v>
      </c>
      <c r="CX1152" s="4"/>
      <c r="CY1152" s="69"/>
      <c r="CZ1152" s="2" t="b">
        <f>IF($DP$1="YES",IF(RecData[[#This Row],[Power (kW)]]&gt;=$CR$3, TRUE,FALSE),TRUE)</f>
        <v>1</v>
      </c>
      <c r="DA1152" s="16">
        <f>MIN(MOD(180-ABS(ABS($DA$1-RecData[Yaw Angle (°)])-180),360),MOD(180-ABS(ABS($DB$1-RecData[Yaw Angle (°)])-180),360))</f>
        <v>22.929568766745945</v>
      </c>
      <c r="DB1152" s="2" t="str">
        <f>IF($DP$2="None","None",IF(RecData[[#This Row],[Relative Wind Direction]]&lt;=45,"DW",IF(RecData[[#This Row],[Relative Wind Direction]]&lt;=135,"CW","UW")))</f>
        <v>DW</v>
      </c>
      <c r="DC1152" s="61">
        <v>-1</v>
      </c>
      <c r="DD1152" s="61">
        <v>-1</v>
      </c>
      <c r="DE1152" s="18" t="b">
        <v>0</v>
      </c>
      <c r="DF1152" s="2" t="b">
        <f>IF(OR(RecData[[#This Row],[WSpd_Avg '[m/s']]]-RecData[[#This Row],[Wind Speed min]]&gt;=$DF$3,RecData[[#This Row],[Wind Speed max]]-RecData[[#This Row],[WSpd_Avg '[m/s']]]&gt;=$DF$2),TRUE,FALSE)</f>
        <v>0</v>
      </c>
      <c r="DG1152" s="2" t="b">
        <f>RecData[[#This Row],[Temperature '[°C']]]&lt;=-20</f>
        <v>0</v>
      </c>
      <c r="DH1152" s="18" t="b">
        <f>NOT(OR(MOD(RecData[[#This Row],[TIMESTAMP]],1)&gt;0.91632,MOD(RecData[[#This Row],[TIMESTAMP]],1)&lt;0.208681))</f>
        <v>0</v>
      </c>
      <c r="DI1152" s="18" t="b">
        <f>RecData[[#This Row],[Overall (dBA)]]-RecData[[#This Row],[L90]]&gt;=$DS$4</f>
        <v>0</v>
      </c>
      <c r="DJ1152" s="18" t="b">
        <f>RecData[[#This Row],[Overall (dBA)]]&gt;$DS$2</f>
        <v>0</v>
      </c>
      <c r="DK1152" s="18" t="b">
        <f>RecData[[#This Row],[Overall (dBA)]]&lt;$DS$3</f>
        <v>0</v>
      </c>
      <c r="DL11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2" s="2">
        <f>IF(AND(RecData[[#This Row],[Turbines ON/OFF]] = "OFF", NOT(OR(RecData[[#This Row],[Junk?]]="YES",RecData[[#This Row],[Gust?]],RecData[[#This Row],[Rain?]:[Min SPL Threshold?]]))),1,0)</f>
        <v>0</v>
      </c>
      <c r="DN1152" s="16">
        <f>RecData[[#This Row],[dBA Sum]]</f>
        <v>39.895360003469051</v>
      </c>
      <c r="DO1152" s="16">
        <f>RecData[[#This Row],[LAF90.0]]</f>
        <v>38.799999999999997</v>
      </c>
      <c r="DP1152" s="55">
        <f>IF(AND(RecData[[#This Row],[Useable TON Data?]],RecData[[#This Row],[Turbines ON/OFF]]="ON"),RecData[[#This Row],[dBA Sum]],"")</f>
        <v>39.895360003469051</v>
      </c>
      <c r="DQ1152" s="55" t="str">
        <f>IF(AND(RecData[[#This Row],[Useable Background Data?]],RecData[[#This Row],[Turbines ON/OFF]]="OFF"),RecData[[#This Row],[dBA Sum]],"")</f>
        <v/>
      </c>
      <c r="DR1152" s="3">
        <f>IF(OR(RecData[[#This Row],[Useable TON Data?]],RecData[[#This Row],[Useable Background Data?]]),ROUND(RecData[[#This Row],[WSpd_Avg '[m/s']]],0),"")</f>
        <v>1</v>
      </c>
      <c r="DS1152" s="85">
        <f>(0.00002)^2*(10^(RecData[[#This Row],[Overall (dBA)]]/10))</f>
        <v>3.9047747981693597E-6</v>
      </c>
    </row>
    <row r="1153" spans="1:123" ht="15" x14ac:dyDescent="0.25">
      <c r="A1153" s="3" t="s">
        <v>249</v>
      </c>
      <c r="B1153" s="12">
        <v>43276.018750000003</v>
      </c>
      <c r="C1153" s="3"/>
      <c r="D1153" s="3">
        <v>38.799999999999997</v>
      </c>
      <c r="E1153" s="3"/>
      <c r="F1153" s="3"/>
      <c r="G1153" s="3"/>
      <c r="H1153" s="3"/>
      <c r="I1153" s="3"/>
      <c r="J1153" s="3"/>
      <c r="K1153" s="3">
        <v>37.700000000000003</v>
      </c>
      <c r="L1153" s="3"/>
      <c r="M1153" s="3"/>
      <c r="N1153" s="3">
        <v>187</v>
      </c>
      <c r="O1153" s="3"/>
      <c r="P1153" s="3"/>
      <c r="Q1153" s="3">
        <v>0.86</v>
      </c>
      <c r="R1153" s="3">
        <v>0.6</v>
      </c>
      <c r="S1153" s="3">
        <v>1.5</v>
      </c>
      <c r="T1153" s="3">
        <v>12.1</v>
      </c>
      <c r="U1153" s="3">
        <v>51.9</v>
      </c>
      <c r="V1153" s="3">
        <v>977.5</v>
      </c>
      <c r="W1153" s="3">
        <v>0</v>
      </c>
      <c r="X1153" s="3">
        <v>43.5</v>
      </c>
      <c r="Y1153" s="3">
        <v>41.3</v>
      </c>
      <c r="Z1153" s="3">
        <v>41</v>
      </c>
      <c r="AA1153" s="3">
        <v>38.6</v>
      </c>
      <c r="AB1153" s="3">
        <v>32.700000000000003</v>
      </c>
      <c r="AC1153" s="3">
        <v>32</v>
      </c>
      <c r="AD1153" s="3">
        <v>36.299999999999997</v>
      </c>
      <c r="AE1153" s="3">
        <v>38.9</v>
      </c>
      <c r="AF1153" s="3">
        <v>45</v>
      </c>
      <c r="AG1153" s="3">
        <v>38.799999999999997</v>
      </c>
      <c r="AH1153" s="3">
        <v>37</v>
      </c>
      <c r="AI1153" s="3">
        <v>37.799999999999997</v>
      </c>
      <c r="AJ1153" s="3">
        <v>36.200000000000003</v>
      </c>
      <c r="AK1153" s="3">
        <v>35</v>
      </c>
      <c r="AL1153" s="3">
        <v>32.4</v>
      </c>
      <c r="AM1153" s="3">
        <v>31.3</v>
      </c>
      <c r="AN1153" s="3">
        <v>28.9</v>
      </c>
      <c r="AO1153" s="3">
        <v>25.1</v>
      </c>
      <c r="AP1153" s="3">
        <v>22.7</v>
      </c>
      <c r="AQ1153" s="3">
        <v>19.8</v>
      </c>
      <c r="AR1153" s="3">
        <v>16.100000000000001</v>
      </c>
      <c r="AS1153" s="3">
        <v>14.9</v>
      </c>
      <c r="AT1153" s="3">
        <v>18.600000000000001</v>
      </c>
      <c r="AU1153" s="3">
        <v>10</v>
      </c>
      <c r="AV1153" s="3">
        <v>9.4</v>
      </c>
      <c r="AW1153" s="3">
        <v>9.3000000000000007</v>
      </c>
      <c r="AX1153" s="3">
        <v>9</v>
      </c>
      <c r="AY1153" s="3">
        <v>9.1999999999999993</v>
      </c>
      <c r="AZ1153" s="3">
        <v>0</v>
      </c>
      <c r="BA1153" s="3">
        <v>0</v>
      </c>
      <c r="BB1153" s="3">
        <v>0</v>
      </c>
      <c r="BC1153" s="3">
        <v>38.839064154120209</v>
      </c>
      <c r="BD1153" s="3">
        <v>43.460935845879789</v>
      </c>
      <c r="BE1153" s="3">
        <v>41.260935845879786</v>
      </c>
      <c r="BF1153" s="3">
        <v>39.720935845879794</v>
      </c>
      <c r="BG1153" s="3">
        <v>37.647602512546456</v>
      </c>
      <c r="BH1153" s="3">
        <v>31.887602512546465</v>
      </c>
      <c r="BI1153" s="3">
        <v>31.600935845879789</v>
      </c>
      <c r="BJ1153" s="3">
        <v>36.694269179213123</v>
      </c>
      <c r="BK1153" s="3">
        <v>39.167602512546452</v>
      </c>
      <c r="BL1153" s="3">
        <v>44.840935845879798</v>
      </c>
      <c r="BM1153" s="3">
        <v>38.774269179213121</v>
      </c>
      <c r="BN1153" s="3">
        <v>37.257602512546455</v>
      </c>
      <c r="BO1153" s="3">
        <v>37.424269179213113</v>
      </c>
      <c r="BP1153" s="3">
        <v>35.540935845879787</v>
      </c>
      <c r="BQ1153" s="3">
        <v>34.757602512546455</v>
      </c>
      <c r="BR1153" s="3">
        <v>32.484269179213115</v>
      </c>
      <c r="BS1153" s="3">
        <v>31.187602512546462</v>
      </c>
      <c r="BT1153" s="3">
        <v>28.984269179213115</v>
      </c>
      <c r="BU1153" s="3">
        <v>25.150935845879793</v>
      </c>
      <c r="BV1153" s="3">
        <v>22.467602512546456</v>
      </c>
      <c r="BW1153" s="3">
        <v>20.100935845879789</v>
      </c>
      <c r="BX1153" s="3">
        <v>16.320935845879795</v>
      </c>
      <c r="BY1153" s="3">
        <v>14.940935845879785</v>
      </c>
      <c r="BZ1153" s="3">
        <v>18.770935845879791</v>
      </c>
      <c r="CA1153" s="3">
        <v>10.270935845879784</v>
      </c>
      <c r="CB1153" s="3">
        <v>9.1076025125464497</v>
      </c>
      <c r="CC1153" s="3">
        <v>9.2209358458797865</v>
      </c>
      <c r="CD1153" s="3">
        <v>8.2276025125464614</v>
      </c>
      <c r="CE1153" s="3">
        <v>8.6209358458797851</v>
      </c>
      <c r="CF1153" s="3">
        <v>-0.96573082078688088</v>
      </c>
      <c r="CG1153" s="3">
        <v>-1.4990641541202123</v>
      </c>
      <c r="CH1153" s="3">
        <v>-2.5757308207868803</v>
      </c>
      <c r="CI1153" s="13">
        <f>[1]!dbasum(RecData[[#This Row],[20]:[2000]],RecData[[#Headers],[20]:[2000]])</f>
        <v>38.595917193352392</v>
      </c>
      <c r="CJ1153" s="14">
        <v>10748</v>
      </c>
      <c r="CK1153" s="15" t="s">
        <v>249</v>
      </c>
      <c r="CL1153" s="15">
        <f>RecData[[#This Row],[Start Time]]</f>
        <v>43276.018750000003</v>
      </c>
      <c r="CM1153" s="16">
        <f>RecData[[#This Row],[Wind Speed avg]]</f>
        <v>0.86</v>
      </c>
      <c r="CN1153" s="16">
        <f>RecData[[#This Row],[Wind Dir. avg]]</f>
        <v>187</v>
      </c>
      <c r="CO1153" s="16">
        <f>RecData[[#This Row],[Amb. Humidity]]</f>
        <v>51.9</v>
      </c>
      <c r="CP1153" s="16">
        <f>RecData[[#This Row],[Amb. Temperature]]</f>
        <v>12.1</v>
      </c>
      <c r="CQ1153" s="17">
        <f>RecData[[#This Row],[Amb. Rain Gauge]]</f>
        <v>0</v>
      </c>
      <c r="CR1153" s="4" t="s">
        <v>1</v>
      </c>
      <c r="CS1153" s="4" t="s">
        <v>49</v>
      </c>
      <c r="CT1153" s="70">
        <v>1619.87951660156</v>
      </c>
      <c r="CU1153" s="70">
        <v>30.459495544433501</v>
      </c>
      <c r="CV1153" s="70">
        <v>10.4400424957275</v>
      </c>
      <c r="CW1153" s="70">
        <v>15.3128356933593</v>
      </c>
      <c r="CX1153" s="4"/>
      <c r="CY1153" s="69"/>
      <c r="CZ1153" s="2" t="b">
        <f>IF($DP$1="YES",IF(RecData[[#This Row],[Power (kW)]]&gt;=$CR$3, TRUE,FALSE),TRUE)</f>
        <v>1</v>
      </c>
      <c r="DA1153" s="16">
        <f>MIN(MOD(180-ABS(ABS($DA$1-RecData[Yaw Angle (°)])-180),360),MOD(180-ABS(ABS($DB$1-RecData[Yaw Angle (°)])-180),360))</f>
        <v>22.929568766745945</v>
      </c>
      <c r="DB1153" s="2" t="str">
        <f>IF($DP$2="None","None",IF(RecData[[#This Row],[Relative Wind Direction]]&lt;=45,"DW",IF(RecData[[#This Row],[Relative Wind Direction]]&lt;=135,"CW","UW")))</f>
        <v>DW</v>
      </c>
      <c r="DC1153" s="61">
        <f>IF($CL1153-$CL1152&gt;1/24,#REF!,IF(SUM($CQ1152:$CQ1153)&gt;$DS$1,$DS$5,DC1154-1))</f>
        <v>-9</v>
      </c>
      <c r="DD1153" s="61">
        <f>IF($CL1154-$CL1153&gt;1/24,#REF!,IF(SUM($CQ1152:$CQ1153)&gt;$DS$1,$DS$6,DD1152-1))</f>
        <v>-2</v>
      </c>
      <c r="DE1153" s="18" t="b">
        <v>0</v>
      </c>
      <c r="DF1153" s="2" t="b">
        <f>IF(OR(RecData[[#This Row],[WSpd_Avg '[m/s']]]-RecData[[#This Row],[Wind Speed min]]&gt;=$DF$3,RecData[[#This Row],[Wind Speed max]]-RecData[[#This Row],[WSpd_Avg '[m/s']]]&gt;=$DF$2),TRUE,FALSE)</f>
        <v>0</v>
      </c>
      <c r="DG1153" s="2" t="b">
        <f>RecData[[#This Row],[Temperature '[°C']]]&lt;=-20</f>
        <v>0</v>
      </c>
      <c r="DH1153" s="18" t="b">
        <f>NOT(OR(MOD(RecData[[#This Row],[TIMESTAMP]],1)&gt;0.91632,MOD(RecData[[#This Row],[TIMESTAMP]],1)&lt;0.208681))</f>
        <v>0</v>
      </c>
      <c r="DI1153" s="18" t="b">
        <f>RecData[[#This Row],[Overall (dBA)]]-RecData[[#This Row],[L90]]&gt;=$DS$4</f>
        <v>0</v>
      </c>
      <c r="DJ1153" s="18" t="b">
        <f>RecData[[#This Row],[Overall (dBA)]]&gt;$DS$2</f>
        <v>0</v>
      </c>
      <c r="DK1153" s="18" t="b">
        <f>RecData[[#This Row],[Overall (dBA)]]&lt;$DS$3</f>
        <v>0</v>
      </c>
      <c r="DL11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3" s="2">
        <f>IF(AND(RecData[[#This Row],[Turbines ON/OFF]] = "OFF", NOT(OR(RecData[[#This Row],[Junk?]]="YES",RecData[[#This Row],[Gust?]],RecData[[#This Row],[Rain?]:[Min SPL Threshold?]]))),1,0)</f>
        <v>0</v>
      </c>
      <c r="DN1153" s="16">
        <f>RecData[[#This Row],[dBA Sum]]</f>
        <v>38.595917193352392</v>
      </c>
      <c r="DO1153" s="16">
        <f>RecData[[#This Row],[LAF90.0]]</f>
        <v>37.700000000000003</v>
      </c>
      <c r="DP1153" s="55">
        <f>IF(AND(RecData[[#This Row],[Useable TON Data?]],RecData[[#This Row],[Turbines ON/OFF]]="ON"),RecData[[#This Row],[dBA Sum]],"")</f>
        <v>38.595917193352392</v>
      </c>
      <c r="DQ1153" s="55" t="str">
        <f>IF(AND(RecData[[#This Row],[Useable Background Data?]],RecData[[#This Row],[Turbines ON/OFF]]="OFF"),RecData[[#This Row],[dBA Sum]],"")</f>
        <v/>
      </c>
      <c r="DR1153" s="3">
        <f>IF(OR(RecData[[#This Row],[Useable TON Data?]],RecData[[#This Row],[Useable Background Data?]]),ROUND(RecData[[#This Row],[WSpd_Avg '[m/s']]],0),"")</f>
        <v>1</v>
      </c>
      <c r="DS1153" s="85">
        <f>(0.00002)^2*(10^(RecData[[#This Row],[Overall (dBA)]]/10))</f>
        <v>2.8950209485949348E-6</v>
      </c>
    </row>
    <row r="1154" spans="1:123" ht="15" x14ac:dyDescent="0.25">
      <c r="A1154" s="3" t="s">
        <v>249</v>
      </c>
      <c r="B1154" s="12">
        <v>43276.019444444442</v>
      </c>
      <c r="C1154" s="3"/>
      <c r="D1154" s="3">
        <v>40.200000000000003</v>
      </c>
      <c r="E1154" s="3"/>
      <c r="F1154" s="3"/>
      <c r="G1154" s="3"/>
      <c r="H1154" s="3"/>
      <c r="I1154" s="3"/>
      <c r="J1154" s="3"/>
      <c r="K1154" s="3">
        <v>39.1</v>
      </c>
      <c r="L1154" s="3"/>
      <c r="M1154" s="3"/>
      <c r="N1154" s="3">
        <v>176</v>
      </c>
      <c r="O1154" s="3"/>
      <c r="P1154" s="3"/>
      <c r="Q1154" s="3">
        <v>0.43</v>
      </c>
      <c r="R1154" s="3">
        <v>0</v>
      </c>
      <c r="S1154" s="3">
        <v>1.3</v>
      </c>
      <c r="T1154" s="3">
        <v>12.1</v>
      </c>
      <c r="U1154" s="3">
        <v>51.9</v>
      </c>
      <c r="V1154" s="3">
        <v>977.5</v>
      </c>
      <c r="W1154" s="3">
        <v>0</v>
      </c>
      <c r="X1154" s="3">
        <v>43.7</v>
      </c>
      <c r="Y1154" s="3">
        <v>41.8</v>
      </c>
      <c r="Z1154" s="3">
        <v>40.6</v>
      </c>
      <c r="AA1154" s="3">
        <v>38.299999999999997</v>
      </c>
      <c r="AB1154" s="3">
        <v>32.9</v>
      </c>
      <c r="AC1154" s="3">
        <v>32.799999999999997</v>
      </c>
      <c r="AD1154" s="3">
        <v>37.200000000000003</v>
      </c>
      <c r="AE1154" s="3">
        <v>39.5</v>
      </c>
      <c r="AF1154" s="3">
        <v>45.9</v>
      </c>
      <c r="AG1154" s="3">
        <v>40.5</v>
      </c>
      <c r="AH1154" s="3">
        <v>38.299999999999997</v>
      </c>
      <c r="AI1154" s="3">
        <v>39.1</v>
      </c>
      <c r="AJ1154" s="3">
        <v>37.700000000000003</v>
      </c>
      <c r="AK1154" s="3">
        <v>36.200000000000003</v>
      </c>
      <c r="AL1154" s="3">
        <v>33.9</v>
      </c>
      <c r="AM1154" s="3">
        <v>32.9</v>
      </c>
      <c r="AN1154" s="3">
        <v>30.4</v>
      </c>
      <c r="AO1154" s="3">
        <v>26.8</v>
      </c>
      <c r="AP1154" s="3">
        <v>24.6</v>
      </c>
      <c r="AQ1154" s="3">
        <v>21.7</v>
      </c>
      <c r="AR1154" s="3">
        <v>17.5</v>
      </c>
      <c r="AS1154" s="3">
        <v>15.3</v>
      </c>
      <c r="AT1154" s="3">
        <v>18.2</v>
      </c>
      <c r="AU1154" s="3">
        <v>10.5</v>
      </c>
      <c r="AV1154" s="3">
        <v>10</v>
      </c>
      <c r="AW1154" s="3">
        <v>10</v>
      </c>
      <c r="AX1154" s="3">
        <v>9.5</v>
      </c>
      <c r="AY1154" s="3">
        <v>9.6</v>
      </c>
      <c r="AZ1154" s="3">
        <v>0</v>
      </c>
      <c r="BA1154" s="3">
        <v>0</v>
      </c>
      <c r="BB1154" s="3">
        <v>0</v>
      </c>
      <c r="BC1154" s="3">
        <v>40.21539943170125</v>
      </c>
      <c r="BD1154" s="3">
        <v>43.684600568298755</v>
      </c>
      <c r="BE1154" s="3">
        <v>41.78460056829875</v>
      </c>
      <c r="BF1154" s="3">
        <v>39.344600568298752</v>
      </c>
      <c r="BG1154" s="3">
        <v>37.371267234965423</v>
      </c>
      <c r="BH1154" s="3">
        <v>32.111267234965418</v>
      </c>
      <c r="BI1154" s="3">
        <v>32.42460056829875</v>
      </c>
      <c r="BJ1154" s="3">
        <v>37.617933901632092</v>
      </c>
      <c r="BK1154" s="3">
        <v>39.79126723496541</v>
      </c>
      <c r="BL1154" s="3">
        <v>45.764600568298754</v>
      </c>
      <c r="BM1154" s="3">
        <v>40.497933901632088</v>
      </c>
      <c r="BN1154" s="3">
        <v>38.581267234965416</v>
      </c>
      <c r="BO1154" s="3">
        <v>38.747933901632088</v>
      </c>
      <c r="BP1154" s="3">
        <v>37.064600568298751</v>
      </c>
      <c r="BQ1154" s="3">
        <v>35.981267234965408</v>
      </c>
      <c r="BR1154" s="3">
        <v>34.007933901632079</v>
      </c>
      <c r="BS1154" s="3">
        <v>32.81126723496542</v>
      </c>
      <c r="BT1154" s="3">
        <v>30.507933901632079</v>
      </c>
      <c r="BU1154" s="3">
        <v>26.874600568298753</v>
      </c>
      <c r="BV1154" s="3">
        <v>24.391267234965419</v>
      </c>
      <c r="BW1154" s="3">
        <v>22.024600568298759</v>
      </c>
      <c r="BX1154" s="3">
        <v>17.744600568298758</v>
      </c>
      <c r="BY1154" s="3">
        <v>15.364600568298748</v>
      </c>
      <c r="BZ1154" s="3">
        <v>18.394600568298756</v>
      </c>
      <c r="CA1154" s="3">
        <v>10.794600568298748</v>
      </c>
      <c r="CB1154" s="3">
        <v>9.731267234965415</v>
      </c>
      <c r="CC1154" s="3">
        <v>9.9446005682987533</v>
      </c>
      <c r="CD1154" s="3">
        <v>8.7512672349654252</v>
      </c>
      <c r="CE1154" s="3">
        <v>9.0446005682987547</v>
      </c>
      <c r="CF1154" s="3">
        <v>-0.94206609836791699</v>
      </c>
      <c r="CG1154" s="3">
        <v>-1.4753994317012484</v>
      </c>
      <c r="CH1154" s="3">
        <v>-2.5520660983679164</v>
      </c>
      <c r="CI1154" s="13">
        <f>[1]!dbasum(RecData[[#This Row],[20]:[2000]],RecData[[#Headers],[20]:[2000]])</f>
        <v>40.024840173371175</v>
      </c>
      <c r="CJ1154" s="14">
        <v>10749</v>
      </c>
      <c r="CK1154" s="15" t="s">
        <v>249</v>
      </c>
      <c r="CL1154" s="15">
        <f>RecData[[#This Row],[Start Time]]</f>
        <v>43276.019444444442</v>
      </c>
      <c r="CM1154" s="16">
        <f>RecData[[#This Row],[Wind Speed avg]]</f>
        <v>0.43</v>
      </c>
      <c r="CN1154" s="16">
        <f>RecData[[#This Row],[Wind Dir. avg]]</f>
        <v>176</v>
      </c>
      <c r="CO1154" s="16">
        <f>RecData[[#This Row],[Amb. Humidity]]</f>
        <v>51.9</v>
      </c>
      <c r="CP1154" s="16">
        <f>RecData[[#This Row],[Amb. Temperature]]</f>
        <v>12.1</v>
      </c>
      <c r="CQ1154" s="17">
        <f>RecData[[#This Row],[Amb. Rain Gauge]]</f>
        <v>0</v>
      </c>
      <c r="CR1154" s="4" t="s">
        <v>1</v>
      </c>
      <c r="CS1154" s="4" t="s">
        <v>49</v>
      </c>
      <c r="CT1154" s="70">
        <v>1619.87951660156</v>
      </c>
      <c r="CU1154" s="70">
        <v>30.459495544433501</v>
      </c>
      <c r="CV1154" s="70">
        <v>10.4400424957275</v>
      </c>
      <c r="CW1154" s="70">
        <v>15.3128356933593</v>
      </c>
      <c r="CX1154" s="4"/>
      <c r="CY1154" s="69"/>
      <c r="CZ1154" s="2" t="b">
        <f>IF($DP$1="YES",IF(RecData[[#This Row],[Power (kW)]]&gt;=$CR$3, TRUE,FALSE),TRUE)</f>
        <v>1</v>
      </c>
      <c r="DA1154" s="16">
        <f>MIN(MOD(180-ABS(ABS($DA$1-RecData[Yaw Angle (°)])-180),360),MOD(180-ABS(ABS($DB$1-RecData[Yaw Angle (°)])-180),360))</f>
        <v>22.929568766745945</v>
      </c>
      <c r="DB1154" s="2" t="str">
        <f>IF($DP$2="None","None",IF(RecData[[#This Row],[Relative Wind Direction]]&lt;=45,"DW",IF(RecData[[#This Row],[Relative Wind Direction]]&lt;=135,"CW","UW")))</f>
        <v>DW</v>
      </c>
      <c r="DC1154" s="61">
        <f>IF($CL1154-$CL1152&gt;1/24,#REF!,IF(SUM($CQ1152:$CQ1154)&gt;$DS$1,$DS$5,DC1155-1))</f>
        <v>-8</v>
      </c>
      <c r="DD1154" s="61">
        <f>IF($CL1155-$CL1154&gt;1/24,#REF!,IF(SUM($CQ1152:$CQ1154)&gt;$DS$1,$DS$6,DD1153-1))</f>
        <v>-3</v>
      </c>
      <c r="DE1154" s="18" t="b">
        <v>0</v>
      </c>
      <c r="DF1154" s="2" t="b">
        <f>IF(OR(RecData[[#This Row],[WSpd_Avg '[m/s']]]-RecData[[#This Row],[Wind Speed min]]&gt;=$DF$3,RecData[[#This Row],[Wind Speed max]]-RecData[[#This Row],[WSpd_Avg '[m/s']]]&gt;=$DF$2),TRUE,FALSE)</f>
        <v>0</v>
      </c>
      <c r="DG1154" s="2" t="b">
        <f>RecData[[#This Row],[Temperature '[°C']]]&lt;=-20</f>
        <v>0</v>
      </c>
      <c r="DH1154" s="18" t="b">
        <f>NOT(OR(MOD(RecData[[#This Row],[TIMESTAMP]],1)&gt;0.91632,MOD(RecData[[#This Row],[TIMESTAMP]],1)&lt;0.208681))</f>
        <v>0</v>
      </c>
      <c r="DI1154" s="18" t="b">
        <f>RecData[[#This Row],[Overall (dBA)]]-RecData[[#This Row],[L90]]&gt;=$DS$4</f>
        <v>0</v>
      </c>
      <c r="DJ1154" s="18" t="b">
        <f>RecData[[#This Row],[Overall (dBA)]]&gt;$DS$2</f>
        <v>0</v>
      </c>
      <c r="DK1154" s="18" t="b">
        <f>RecData[[#This Row],[Overall (dBA)]]&lt;$DS$3</f>
        <v>0</v>
      </c>
      <c r="DL11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4" s="2">
        <f>IF(AND(RecData[[#This Row],[Turbines ON/OFF]] = "OFF", NOT(OR(RecData[[#This Row],[Junk?]]="YES",RecData[[#This Row],[Gust?]],RecData[[#This Row],[Rain?]:[Min SPL Threshold?]]))),1,0)</f>
        <v>0</v>
      </c>
      <c r="DN1154" s="16">
        <f>RecData[[#This Row],[dBA Sum]]</f>
        <v>40.024840173371175</v>
      </c>
      <c r="DO1154" s="16">
        <f>RecData[[#This Row],[LAF90.0]]</f>
        <v>39.1</v>
      </c>
      <c r="DP1154" s="55">
        <f>IF(AND(RecData[[#This Row],[Useable TON Data?]],RecData[[#This Row],[Turbines ON/OFF]]="ON"),RecData[[#This Row],[dBA Sum]],"")</f>
        <v>40.024840173371175</v>
      </c>
      <c r="DQ1154" s="55" t="str">
        <f>IF(AND(RecData[[#This Row],[Useable Background Data?]],RecData[[#This Row],[Turbines ON/OFF]]="OFF"),RecData[[#This Row],[dBA Sum]],"")</f>
        <v/>
      </c>
      <c r="DR1154" s="3">
        <f>IF(OR(RecData[[#This Row],[Useable TON Data?]],RecData[[#This Row],[Useable Background Data?]]),ROUND(RecData[[#This Row],[WSpd_Avg '[m/s']]],0),"")</f>
        <v>0</v>
      </c>
      <c r="DS1154" s="85">
        <f>(0.00002)^2*(10^(RecData[[#This Row],[Overall (dBA)]]/10))</f>
        <v>4.0229441991379012E-6</v>
      </c>
    </row>
    <row r="1155" spans="1:123" ht="15" x14ac:dyDescent="0.25">
      <c r="A1155" s="3" t="s">
        <v>249</v>
      </c>
      <c r="B1155" s="12">
        <v>43276.020138888889</v>
      </c>
      <c r="C1155" s="3"/>
      <c r="D1155" s="3">
        <v>39.5</v>
      </c>
      <c r="E1155" s="3"/>
      <c r="F1155" s="3"/>
      <c r="G1155" s="3"/>
      <c r="H1155" s="3"/>
      <c r="I1155" s="3"/>
      <c r="J1155" s="3"/>
      <c r="K1155" s="3">
        <v>37.700000000000003</v>
      </c>
      <c r="L1155" s="3"/>
      <c r="M1155" s="3"/>
      <c r="N1155" s="3">
        <v>183</v>
      </c>
      <c r="O1155" s="3"/>
      <c r="P1155" s="3"/>
      <c r="Q1155" s="3">
        <v>0.69</v>
      </c>
      <c r="R1155" s="3">
        <v>0.2</v>
      </c>
      <c r="S1155" s="3">
        <v>1.2</v>
      </c>
      <c r="T1155" s="3">
        <v>12.1</v>
      </c>
      <c r="U1155" s="3">
        <v>52.3</v>
      </c>
      <c r="V1155" s="3">
        <v>977.5</v>
      </c>
      <c r="W1155" s="3">
        <v>0</v>
      </c>
      <c r="X1155" s="3">
        <v>44.6</v>
      </c>
      <c r="Y1155" s="3">
        <v>41.6</v>
      </c>
      <c r="Z1155" s="3">
        <v>41.1</v>
      </c>
      <c r="AA1155" s="3">
        <v>38.299999999999997</v>
      </c>
      <c r="AB1155" s="3">
        <v>32.700000000000003</v>
      </c>
      <c r="AC1155" s="3">
        <v>32.799999999999997</v>
      </c>
      <c r="AD1155" s="3">
        <v>36.700000000000003</v>
      </c>
      <c r="AE1155" s="3">
        <v>38.799999999999997</v>
      </c>
      <c r="AF1155" s="3">
        <v>44.6</v>
      </c>
      <c r="AG1155" s="3">
        <v>39.5</v>
      </c>
      <c r="AH1155" s="3">
        <v>37.799999999999997</v>
      </c>
      <c r="AI1155" s="3">
        <v>38</v>
      </c>
      <c r="AJ1155" s="3">
        <v>37</v>
      </c>
      <c r="AK1155" s="3">
        <v>35.299999999999997</v>
      </c>
      <c r="AL1155" s="3">
        <v>33.299999999999997</v>
      </c>
      <c r="AM1155" s="3">
        <v>32.6</v>
      </c>
      <c r="AN1155" s="3">
        <v>30.3</v>
      </c>
      <c r="AO1155" s="3">
        <v>26.3</v>
      </c>
      <c r="AP1155" s="3">
        <v>23.8</v>
      </c>
      <c r="AQ1155" s="3">
        <v>20.8</v>
      </c>
      <c r="AR1155" s="3">
        <v>16.8</v>
      </c>
      <c r="AS1155" s="3">
        <v>14.6</v>
      </c>
      <c r="AT1155" s="3">
        <v>15.8</v>
      </c>
      <c r="AU1155" s="3">
        <v>9.1999999999999993</v>
      </c>
      <c r="AV1155" s="3">
        <v>8.8000000000000007</v>
      </c>
      <c r="AW1155" s="3">
        <v>8.9</v>
      </c>
      <c r="AX1155" s="3">
        <v>8.9</v>
      </c>
      <c r="AY1155" s="3">
        <v>9.1</v>
      </c>
      <c r="AZ1155" s="3">
        <v>0</v>
      </c>
      <c r="BA1155" s="3">
        <v>0</v>
      </c>
      <c r="BB1155" s="3">
        <v>0</v>
      </c>
      <c r="BC1155" s="3">
        <v>39.50401137386735</v>
      </c>
      <c r="BD1155" s="3">
        <v>44.595988626132645</v>
      </c>
      <c r="BE1155" s="3">
        <v>41.595988626132645</v>
      </c>
      <c r="BF1155" s="3">
        <v>39.85598862613265</v>
      </c>
      <c r="BG1155" s="3">
        <v>37.382655292799306</v>
      </c>
      <c r="BH1155" s="3">
        <v>31.922655292799327</v>
      </c>
      <c r="BI1155" s="3">
        <v>32.435988626132648</v>
      </c>
      <c r="BJ1155" s="3">
        <v>37.129321959465976</v>
      </c>
      <c r="BK1155" s="3">
        <v>39.102655292799305</v>
      </c>
      <c r="BL1155" s="3">
        <v>44.475988626132654</v>
      </c>
      <c r="BM1155" s="3">
        <v>39.509321959465986</v>
      </c>
      <c r="BN1155" s="3">
        <v>38.092655292799314</v>
      </c>
      <c r="BO1155" s="3">
        <v>37.659321959465977</v>
      </c>
      <c r="BP1155" s="3">
        <v>36.375988626132646</v>
      </c>
      <c r="BQ1155" s="3">
        <v>35.092655292799314</v>
      </c>
      <c r="BR1155" s="3">
        <v>33.419321959465982</v>
      </c>
      <c r="BS1155" s="3">
        <v>32.522655292799321</v>
      </c>
      <c r="BT1155" s="3">
        <v>30.419321959465982</v>
      </c>
      <c r="BU1155" s="3">
        <v>26.385988626132651</v>
      </c>
      <c r="BV1155" s="3">
        <v>23.602655292799319</v>
      </c>
      <c r="BW1155" s="3">
        <v>21.135988626132651</v>
      </c>
      <c r="BX1155" s="3">
        <v>17.055988626132653</v>
      </c>
      <c r="BY1155" s="3">
        <v>14.67598862613265</v>
      </c>
      <c r="BZ1155" s="3">
        <v>16.005988626132655</v>
      </c>
      <c r="CA1155" s="3">
        <v>9.5059886261326412</v>
      </c>
      <c r="CB1155" s="3">
        <v>8.5426552927993171</v>
      </c>
      <c r="CC1155" s="3">
        <v>8.8559886261326497</v>
      </c>
      <c r="CD1155" s="3">
        <v>8.1626552927993217</v>
      </c>
      <c r="CE1155" s="3">
        <v>8.5559886261326525</v>
      </c>
      <c r="CF1155" s="3">
        <v>-0.93067804053401915</v>
      </c>
      <c r="CG1155" s="3">
        <v>-1.4640113738673506</v>
      </c>
      <c r="CH1155" s="3">
        <v>-2.5406780405340186</v>
      </c>
      <c r="CI1155" s="13">
        <f>[1]!dbasum(RecData[[#This Row],[20]:[2000]],RecData[[#Headers],[20]:[2000]])</f>
        <v>39.345649889917318</v>
      </c>
      <c r="CJ1155" s="14">
        <v>10750</v>
      </c>
      <c r="CK1155" s="15" t="s">
        <v>249</v>
      </c>
      <c r="CL1155" s="15">
        <f>RecData[[#This Row],[Start Time]]</f>
        <v>43276.020138888889</v>
      </c>
      <c r="CM1155" s="16">
        <f>RecData[[#This Row],[Wind Speed avg]]</f>
        <v>0.69</v>
      </c>
      <c r="CN1155" s="16">
        <f>RecData[[#This Row],[Wind Dir. avg]]</f>
        <v>183</v>
      </c>
      <c r="CO1155" s="16">
        <f>RecData[[#This Row],[Amb. Humidity]]</f>
        <v>52.3</v>
      </c>
      <c r="CP1155" s="16">
        <f>RecData[[#This Row],[Amb. Temperature]]</f>
        <v>12.1</v>
      </c>
      <c r="CQ1155" s="17">
        <f>RecData[[#This Row],[Amb. Rain Gauge]]</f>
        <v>0</v>
      </c>
      <c r="CR1155" s="4" t="s">
        <v>1</v>
      </c>
      <c r="CS1155" s="4" t="s">
        <v>49</v>
      </c>
      <c r="CT1155" s="70">
        <v>1619.87951660156</v>
      </c>
      <c r="CU1155" s="70">
        <v>30.459495544433501</v>
      </c>
      <c r="CV1155" s="70">
        <v>10.4400424957275</v>
      </c>
      <c r="CW1155" s="70">
        <v>15.3128356933593</v>
      </c>
      <c r="CX1155" s="4"/>
      <c r="CY1155" s="69"/>
      <c r="CZ1155" s="2" t="b">
        <f>IF($DP$1="YES",IF(RecData[[#This Row],[Power (kW)]]&gt;=$CR$3, TRUE,FALSE),TRUE)</f>
        <v>1</v>
      </c>
      <c r="DA1155" s="16">
        <f>MIN(MOD(180-ABS(ABS($DA$1-RecData[Yaw Angle (°)])-180),360),MOD(180-ABS(ABS($DB$1-RecData[Yaw Angle (°)])-180),360))</f>
        <v>22.929568766745945</v>
      </c>
      <c r="DB1155" s="2" t="str">
        <f>IF($DP$2="None","None",IF(RecData[[#This Row],[Relative Wind Direction]]&lt;=45,"DW",IF(RecData[[#This Row],[Relative Wind Direction]]&lt;=135,"CW","UW")))</f>
        <v>DW</v>
      </c>
      <c r="DC1155" s="61">
        <f>IF($CL1155-$CL1152&gt;1/24,#REF!,IF(SUM($CQ1152:$CQ1155)&gt;$DS$1,$DS$5,DC1156-1))</f>
        <v>-7</v>
      </c>
      <c r="DD1155" s="61">
        <f>IF($CL1156-$CL1155&gt;1/24,#REF!,IF(SUM($CQ1152:$CQ1155)&gt;$DS$1,$DS$6,DD1154-1))</f>
        <v>-4</v>
      </c>
      <c r="DE1155" s="18" t="b">
        <v>0</v>
      </c>
      <c r="DF1155" s="2" t="b">
        <f>IF(OR(RecData[[#This Row],[WSpd_Avg '[m/s']]]-RecData[[#This Row],[Wind Speed min]]&gt;=$DF$3,RecData[[#This Row],[Wind Speed max]]-RecData[[#This Row],[WSpd_Avg '[m/s']]]&gt;=$DF$2),TRUE,FALSE)</f>
        <v>0</v>
      </c>
      <c r="DG1155" s="2" t="b">
        <f>RecData[[#This Row],[Temperature '[°C']]]&lt;=-20</f>
        <v>0</v>
      </c>
      <c r="DH1155" s="18" t="b">
        <f>NOT(OR(MOD(RecData[[#This Row],[TIMESTAMP]],1)&gt;0.91632,MOD(RecData[[#This Row],[TIMESTAMP]],1)&lt;0.208681))</f>
        <v>0</v>
      </c>
      <c r="DI1155" s="18" t="b">
        <f>RecData[[#This Row],[Overall (dBA)]]-RecData[[#This Row],[L90]]&gt;=$DS$4</f>
        <v>0</v>
      </c>
      <c r="DJ1155" s="18" t="b">
        <f>RecData[[#This Row],[Overall (dBA)]]&gt;$DS$2</f>
        <v>0</v>
      </c>
      <c r="DK1155" s="18" t="b">
        <f>RecData[[#This Row],[Overall (dBA)]]&lt;$DS$3</f>
        <v>0</v>
      </c>
      <c r="DL11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5" s="2">
        <f>IF(AND(RecData[[#This Row],[Turbines ON/OFF]] = "OFF", NOT(OR(RecData[[#This Row],[Junk?]]="YES",RecData[[#This Row],[Gust?]],RecData[[#This Row],[Rain?]:[Min SPL Threshold?]]))),1,0)</f>
        <v>0</v>
      </c>
      <c r="DN1155" s="16">
        <f>RecData[[#This Row],[dBA Sum]]</f>
        <v>39.345649889917318</v>
      </c>
      <c r="DO1155" s="16">
        <f>RecData[[#This Row],[LAF90.0]]</f>
        <v>37.700000000000003</v>
      </c>
      <c r="DP1155" s="55">
        <f>IF(AND(RecData[[#This Row],[Useable TON Data?]],RecData[[#This Row],[Turbines ON/OFF]]="ON"),RecData[[#This Row],[dBA Sum]],"")</f>
        <v>39.345649889917318</v>
      </c>
      <c r="DQ1155" s="55" t="str">
        <f>IF(AND(RecData[[#This Row],[Useable Background Data?]],RecData[[#This Row],[Turbines ON/OFF]]="OFF"),RecData[[#This Row],[dBA Sum]],"")</f>
        <v/>
      </c>
      <c r="DR1155" s="3">
        <f>IF(OR(RecData[[#This Row],[Useable TON Data?]],RecData[[#This Row],[Useable Background Data?]]),ROUND(RecData[[#This Row],[WSpd_Avg '[m/s']]],0),"")</f>
        <v>1</v>
      </c>
      <c r="DS1155" s="85">
        <f>(0.00002)^2*(10^(RecData[[#This Row],[Overall (dBA)]]/10))</f>
        <v>3.440527078740564E-6</v>
      </c>
    </row>
    <row r="1156" spans="1:123" ht="15" x14ac:dyDescent="0.25">
      <c r="A1156" s="3" t="s">
        <v>249</v>
      </c>
      <c r="B1156" s="12">
        <v>43276.020833333336</v>
      </c>
      <c r="C1156" s="3"/>
      <c r="D1156" s="3">
        <v>39.700000000000003</v>
      </c>
      <c r="E1156" s="3"/>
      <c r="F1156" s="3"/>
      <c r="G1156" s="3"/>
      <c r="H1156" s="3"/>
      <c r="I1156" s="3"/>
      <c r="J1156" s="3"/>
      <c r="K1156" s="3">
        <v>38</v>
      </c>
      <c r="L1156" s="3"/>
      <c r="M1156" s="3"/>
      <c r="N1156" s="3">
        <v>190.1</v>
      </c>
      <c r="O1156" s="3"/>
      <c r="P1156" s="3"/>
      <c r="Q1156" s="3">
        <v>0.89</v>
      </c>
      <c r="R1156" s="3">
        <v>0.3</v>
      </c>
      <c r="S1156" s="3">
        <v>1.5</v>
      </c>
      <c r="T1156" s="3">
        <v>12</v>
      </c>
      <c r="U1156" s="3">
        <v>52.2</v>
      </c>
      <c r="V1156" s="3">
        <v>977.5</v>
      </c>
      <c r="W1156" s="3">
        <v>0</v>
      </c>
      <c r="X1156" s="3">
        <v>43.4</v>
      </c>
      <c r="Y1156" s="3">
        <v>41.4</v>
      </c>
      <c r="Z1156" s="3">
        <v>39.6</v>
      </c>
      <c r="AA1156" s="3">
        <v>37.299999999999997</v>
      </c>
      <c r="AB1156" s="3">
        <v>31.9</v>
      </c>
      <c r="AC1156" s="3">
        <v>31.5</v>
      </c>
      <c r="AD1156" s="3">
        <v>35.9</v>
      </c>
      <c r="AE1156" s="3">
        <v>38.700000000000003</v>
      </c>
      <c r="AF1156" s="3">
        <v>45.5</v>
      </c>
      <c r="AG1156" s="3">
        <v>40.200000000000003</v>
      </c>
      <c r="AH1156" s="3">
        <v>37.799999999999997</v>
      </c>
      <c r="AI1156" s="3">
        <v>39.1</v>
      </c>
      <c r="AJ1156" s="3">
        <v>37.1</v>
      </c>
      <c r="AK1156" s="3">
        <v>35.700000000000003</v>
      </c>
      <c r="AL1156" s="3">
        <v>33.200000000000003</v>
      </c>
      <c r="AM1156" s="3">
        <v>32.6</v>
      </c>
      <c r="AN1156" s="3">
        <v>29.9</v>
      </c>
      <c r="AO1156" s="3">
        <v>25.8</v>
      </c>
      <c r="AP1156" s="3">
        <v>23.6</v>
      </c>
      <c r="AQ1156" s="3">
        <v>20.2</v>
      </c>
      <c r="AR1156" s="3">
        <v>15.9</v>
      </c>
      <c r="AS1156" s="3">
        <v>13.5</v>
      </c>
      <c r="AT1156" s="3">
        <v>15.2</v>
      </c>
      <c r="AU1156" s="3">
        <v>9</v>
      </c>
      <c r="AV1156" s="3">
        <v>8.9</v>
      </c>
      <c r="AW1156" s="3">
        <v>9</v>
      </c>
      <c r="AX1156" s="3">
        <v>8.9</v>
      </c>
      <c r="AY1156" s="3">
        <v>9.1</v>
      </c>
      <c r="AZ1156" s="3">
        <v>0</v>
      </c>
      <c r="BA1156" s="3">
        <v>0</v>
      </c>
      <c r="BB1156" s="3">
        <v>0</v>
      </c>
      <c r="BC1156" s="3">
        <v>39.693663219648869</v>
      </c>
      <c r="BD1156" s="3">
        <v>43.406336780351126</v>
      </c>
      <c r="BE1156" s="3">
        <v>41.406336780351126</v>
      </c>
      <c r="BF1156" s="3">
        <v>38.366336780351133</v>
      </c>
      <c r="BG1156" s="3">
        <v>36.393003447017804</v>
      </c>
      <c r="BH1156" s="3">
        <v>31.133003447017799</v>
      </c>
      <c r="BI1156" s="3">
        <v>31.146336780351135</v>
      </c>
      <c r="BJ1156" s="3">
        <v>36.339670113684463</v>
      </c>
      <c r="BK1156" s="3">
        <v>39.013003447017809</v>
      </c>
      <c r="BL1156" s="3">
        <v>45.386336780351144</v>
      </c>
      <c r="BM1156" s="3">
        <v>40.219670113684472</v>
      </c>
      <c r="BN1156" s="3">
        <v>38.103003447017798</v>
      </c>
      <c r="BO1156" s="3">
        <v>38.769670113684469</v>
      </c>
      <c r="BP1156" s="3">
        <v>36.486336780351138</v>
      </c>
      <c r="BQ1156" s="3">
        <v>35.50300344701779</v>
      </c>
      <c r="BR1156" s="3">
        <v>33.329670113684472</v>
      </c>
      <c r="BS1156" s="3">
        <v>32.533003447017805</v>
      </c>
      <c r="BT1156" s="3">
        <v>30.02967011368446</v>
      </c>
      <c r="BU1156" s="3">
        <v>25.896336780351135</v>
      </c>
      <c r="BV1156" s="3">
        <v>23.4130034470178</v>
      </c>
      <c r="BW1156" s="3">
        <v>20.54633678035114</v>
      </c>
      <c r="BX1156" s="3">
        <v>16.166336780351138</v>
      </c>
      <c r="BY1156" s="3">
        <v>13.586336780351132</v>
      </c>
      <c r="BZ1156" s="3">
        <v>15.416336780351138</v>
      </c>
      <c r="CA1156" s="3">
        <v>9.3163367803511292</v>
      </c>
      <c r="CB1156" s="3">
        <v>8.6530034470177952</v>
      </c>
      <c r="CC1156" s="3">
        <v>8.9663367803511349</v>
      </c>
      <c r="CD1156" s="3">
        <v>8.1730034470178055</v>
      </c>
      <c r="CE1156" s="3">
        <v>8.5663367803511363</v>
      </c>
      <c r="CF1156" s="3">
        <v>-0.92032988631553536</v>
      </c>
      <c r="CG1156" s="3">
        <v>-1.4536632196488668</v>
      </c>
      <c r="CH1156" s="3">
        <v>-2.5303298863155348</v>
      </c>
      <c r="CI1156" s="13">
        <f>[1]!dbasum(RecData[[#This Row],[20]:[2000]],RecData[[#Headers],[20]:[2000]])</f>
        <v>39.541924746836614</v>
      </c>
      <c r="CJ1156" s="14">
        <v>10751</v>
      </c>
      <c r="CK1156" s="15" t="s">
        <v>249</v>
      </c>
      <c r="CL1156" s="15">
        <f>RecData[[#This Row],[Start Time]]</f>
        <v>43276.020833333336</v>
      </c>
      <c r="CM1156" s="16">
        <f>RecData[[#This Row],[Wind Speed avg]]</f>
        <v>0.89</v>
      </c>
      <c r="CN1156" s="16">
        <f>RecData[[#This Row],[Wind Dir. avg]]</f>
        <v>190.1</v>
      </c>
      <c r="CO1156" s="16">
        <f>RecData[[#This Row],[Amb. Humidity]]</f>
        <v>52.2</v>
      </c>
      <c r="CP1156" s="16">
        <f>RecData[[#This Row],[Amb. Temperature]]</f>
        <v>12</v>
      </c>
      <c r="CQ1156" s="17">
        <f>RecData[[#This Row],[Amb. Rain Gauge]]</f>
        <v>0</v>
      </c>
      <c r="CR1156" s="4" t="s">
        <v>1</v>
      </c>
      <c r="CS1156" s="4" t="s">
        <v>49</v>
      </c>
      <c r="CT1156" s="70">
        <v>1619.87951660156</v>
      </c>
      <c r="CU1156" s="70">
        <v>30.459495544433501</v>
      </c>
      <c r="CV1156" s="70">
        <v>10.4400424957275</v>
      </c>
      <c r="CW1156" s="70">
        <v>15.3128356933593</v>
      </c>
      <c r="CX1156" s="4"/>
      <c r="CY1156" s="69"/>
      <c r="CZ1156" s="2" t="b">
        <f>IF($DP$1="YES",IF(RecData[[#This Row],[Power (kW)]]&gt;=$CR$3, TRUE,FALSE),TRUE)</f>
        <v>1</v>
      </c>
      <c r="DA1156" s="16">
        <f>MIN(MOD(180-ABS(ABS($DA$1-RecData[Yaw Angle (°)])-180),360),MOD(180-ABS(ABS($DB$1-RecData[Yaw Angle (°)])-180),360))</f>
        <v>22.929568766745945</v>
      </c>
      <c r="DB1156" s="2" t="str">
        <f>IF($DP$2="None","None",IF(RecData[[#This Row],[Relative Wind Direction]]&lt;=45,"DW",IF(RecData[[#This Row],[Relative Wind Direction]]&lt;=135,"CW","UW")))</f>
        <v>DW</v>
      </c>
      <c r="DC1156" s="61">
        <f>IF($CL1156-$CL1152&gt;1/24,#REF!,IF(SUM($CQ1152:$CQ1156)&gt;$DS$1,$DS$5,DC1157-1))</f>
        <v>-6</v>
      </c>
      <c r="DD1156" s="61">
        <f>IF($CL1157-$CL1156&gt;1/24,#REF!,IF(SUM($CQ1152:$CQ1156)&gt;$DS$1,$DS$6,DD1155-1))</f>
        <v>-5</v>
      </c>
      <c r="DE1156" s="18" t="b">
        <v>0</v>
      </c>
      <c r="DF1156" s="2" t="b">
        <f>IF(OR(RecData[[#This Row],[WSpd_Avg '[m/s']]]-RecData[[#This Row],[Wind Speed min]]&gt;=$DF$3,RecData[[#This Row],[Wind Speed max]]-RecData[[#This Row],[WSpd_Avg '[m/s']]]&gt;=$DF$2),TRUE,FALSE)</f>
        <v>0</v>
      </c>
      <c r="DG1156" s="2" t="b">
        <f>RecData[[#This Row],[Temperature '[°C']]]&lt;=-20</f>
        <v>0</v>
      </c>
      <c r="DH1156" s="18" t="b">
        <f>NOT(OR(MOD(RecData[[#This Row],[TIMESTAMP]],1)&gt;0.91632,MOD(RecData[[#This Row],[TIMESTAMP]],1)&lt;0.208681))</f>
        <v>0</v>
      </c>
      <c r="DI1156" s="18" t="b">
        <f>RecData[[#This Row],[Overall (dBA)]]-RecData[[#This Row],[L90]]&gt;=$DS$4</f>
        <v>0</v>
      </c>
      <c r="DJ1156" s="18" t="b">
        <f>RecData[[#This Row],[Overall (dBA)]]&gt;$DS$2</f>
        <v>0</v>
      </c>
      <c r="DK1156" s="18" t="b">
        <f>RecData[[#This Row],[Overall (dBA)]]&lt;$DS$3</f>
        <v>0</v>
      </c>
      <c r="DL11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6" s="2">
        <f>IF(AND(RecData[[#This Row],[Turbines ON/OFF]] = "OFF", NOT(OR(RecData[[#This Row],[Junk?]]="YES",RecData[[#This Row],[Gust?]],RecData[[#This Row],[Rain?]:[Min SPL Threshold?]]))),1,0)</f>
        <v>0</v>
      </c>
      <c r="DN1156" s="16">
        <f>RecData[[#This Row],[dBA Sum]]</f>
        <v>39.541924746836614</v>
      </c>
      <c r="DO1156" s="16">
        <f>RecData[[#This Row],[LAF90.0]]</f>
        <v>38</v>
      </c>
      <c r="DP1156" s="55">
        <f>IF(AND(RecData[[#This Row],[Useable TON Data?]],RecData[[#This Row],[Turbines ON/OFF]]="ON"),RecData[[#This Row],[dBA Sum]],"")</f>
        <v>39.541924746836614</v>
      </c>
      <c r="DQ1156" s="55" t="str">
        <f>IF(AND(RecData[[#This Row],[Useable Background Data?]],RecData[[#This Row],[Turbines ON/OFF]]="OFF"),RecData[[#This Row],[dBA Sum]],"")</f>
        <v/>
      </c>
      <c r="DR1156" s="3">
        <f>IF(OR(RecData[[#This Row],[Useable TON Data?]],RecData[[#This Row],[Useable Background Data?]]),ROUND(RecData[[#This Row],[WSpd_Avg '[m/s']]],0),"")</f>
        <v>1</v>
      </c>
      <c r="DS1156" s="85">
        <f>(0.00002)^2*(10^(RecData[[#This Row],[Overall (dBA)]]/10))</f>
        <v>3.5995852704737239E-6</v>
      </c>
    </row>
    <row r="1157" spans="1:123" ht="15" x14ac:dyDescent="0.25">
      <c r="A1157" s="3" t="s">
        <v>249</v>
      </c>
      <c r="B1157" s="12">
        <v>43276.021527777775</v>
      </c>
      <c r="C1157" s="3"/>
      <c r="D1157" s="3">
        <v>39.799999999999997</v>
      </c>
      <c r="E1157" s="3"/>
      <c r="F1157" s="3"/>
      <c r="G1157" s="3"/>
      <c r="H1157" s="3"/>
      <c r="I1157" s="3"/>
      <c r="J1157" s="3"/>
      <c r="K1157" s="3">
        <v>38.4</v>
      </c>
      <c r="L1157" s="3"/>
      <c r="M1157" s="3"/>
      <c r="N1157" s="3">
        <v>195.4</v>
      </c>
      <c r="O1157" s="3"/>
      <c r="P1157" s="3"/>
      <c r="Q1157" s="3">
        <v>0.74</v>
      </c>
      <c r="R1157" s="3">
        <v>0.2</v>
      </c>
      <c r="S1157" s="3">
        <v>1.3</v>
      </c>
      <c r="T1157" s="3">
        <v>12</v>
      </c>
      <c r="U1157" s="3">
        <v>52.4</v>
      </c>
      <c r="V1157" s="3">
        <v>977.5</v>
      </c>
      <c r="W1157" s="3">
        <v>0</v>
      </c>
      <c r="X1157" s="3">
        <v>43.6</v>
      </c>
      <c r="Y1157" s="3">
        <v>41.1</v>
      </c>
      <c r="Z1157" s="3">
        <v>40.1</v>
      </c>
      <c r="AA1157" s="3">
        <v>36.9</v>
      </c>
      <c r="AB1157" s="3">
        <v>32.5</v>
      </c>
      <c r="AC1157" s="3">
        <v>31.1</v>
      </c>
      <c r="AD1157" s="3">
        <v>36</v>
      </c>
      <c r="AE1157" s="3">
        <v>38.200000000000003</v>
      </c>
      <c r="AF1157" s="3">
        <v>46.2</v>
      </c>
      <c r="AG1157" s="3">
        <v>41.3</v>
      </c>
      <c r="AH1157" s="3">
        <v>37.200000000000003</v>
      </c>
      <c r="AI1157" s="3">
        <v>38.6</v>
      </c>
      <c r="AJ1157" s="3">
        <v>36.700000000000003</v>
      </c>
      <c r="AK1157" s="3">
        <v>35.5</v>
      </c>
      <c r="AL1157" s="3">
        <v>33.200000000000003</v>
      </c>
      <c r="AM1157" s="3">
        <v>32.799999999999997</v>
      </c>
      <c r="AN1157" s="3">
        <v>30.2</v>
      </c>
      <c r="AO1157" s="3">
        <v>26.3</v>
      </c>
      <c r="AP1157" s="3">
        <v>24</v>
      </c>
      <c r="AQ1157" s="3">
        <v>21</v>
      </c>
      <c r="AR1157" s="3">
        <v>16.8</v>
      </c>
      <c r="AS1157" s="3">
        <v>13.2</v>
      </c>
      <c r="AT1157" s="3">
        <v>11.8</v>
      </c>
      <c r="AU1157" s="3">
        <v>9.1</v>
      </c>
      <c r="AV1157" s="3">
        <v>8.8000000000000007</v>
      </c>
      <c r="AW1157" s="3">
        <v>9</v>
      </c>
      <c r="AX1157" s="3">
        <v>8.9</v>
      </c>
      <c r="AY1157" s="3">
        <v>9.1</v>
      </c>
      <c r="AZ1157" s="3">
        <v>0</v>
      </c>
      <c r="BA1157" s="3">
        <v>0</v>
      </c>
      <c r="BB1157" s="3">
        <v>0</v>
      </c>
      <c r="BC1157" s="3">
        <v>39.759864282134039</v>
      </c>
      <c r="BD1157" s="3">
        <v>43.640135717865967</v>
      </c>
      <c r="BE1157" s="3">
        <v>41.140135717865967</v>
      </c>
      <c r="BF1157" s="3">
        <v>38.900135717865957</v>
      </c>
      <c r="BG1157" s="3">
        <v>36.026802384532623</v>
      </c>
      <c r="BH1157" s="3">
        <v>31.766802384532632</v>
      </c>
      <c r="BI1157" s="3">
        <v>30.780135717865953</v>
      </c>
      <c r="BJ1157" s="3">
        <v>36.473469051199281</v>
      </c>
      <c r="BK1157" s="3">
        <v>38.546802384532633</v>
      </c>
      <c r="BL1157" s="3">
        <v>46.120135717865956</v>
      </c>
      <c r="BM1157" s="3">
        <v>41.353469051199291</v>
      </c>
      <c r="BN1157" s="3">
        <v>37.536802384532628</v>
      </c>
      <c r="BO1157" s="3">
        <v>38.303469051199293</v>
      </c>
      <c r="BP1157" s="3">
        <v>36.120135717865956</v>
      </c>
      <c r="BQ1157" s="3">
        <v>35.336802384532625</v>
      </c>
      <c r="BR1157" s="3">
        <v>33.363469051199296</v>
      </c>
      <c r="BS1157" s="3">
        <v>32.766802384532632</v>
      </c>
      <c r="BT1157" s="3">
        <v>30.363469051199296</v>
      </c>
      <c r="BU1157" s="3">
        <v>26.430135717865959</v>
      </c>
      <c r="BV1157" s="3">
        <v>23.84680238453263</v>
      </c>
      <c r="BW1157" s="3">
        <v>21.380135717865961</v>
      </c>
      <c r="BX1157" s="3">
        <v>17.10013571786596</v>
      </c>
      <c r="BY1157" s="3">
        <v>13.320135717865959</v>
      </c>
      <c r="BZ1157" s="3">
        <v>12.050135717865963</v>
      </c>
      <c r="CA1157" s="3">
        <v>9.4501357178659546</v>
      </c>
      <c r="CB1157" s="3">
        <v>8.5868023845326249</v>
      </c>
      <c r="CC1157" s="3">
        <v>9.0001357178659589</v>
      </c>
      <c r="CD1157" s="3">
        <v>8.2068023845326294</v>
      </c>
      <c r="CE1157" s="3">
        <v>8.6001357178659603</v>
      </c>
      <c r="CF1157" s="3">
        <v>-0.88653094880071137</v>
      </c>
      <c r="CG1157" s="3">
        <v>-1.4198642821340428</v>
      </c>
      <c r="CH1157" s="3">
        <v>-2.4965309488007108</v>
      </c>
      <c r="CI1157" s="13">
        <f>[1]!dbasum(RecData[[#This Row],[20]:[2000]],RecData[[#Headers],[20]:[2000]])</f>
        <v>39.665634293487891</v>
      </c>
      <c r="CJ1157" s="14">
        <v>10752</v>
      </c>
      <c r="CK1157" s="15" t="s">
        <v>249</v>
      </c>
      <c r="CL1157" s="15">
        <f>RecData[[#This Row],[Start Time]]</f>
        <v>43276.021527777775</v>
      </c>
      <c r="CM1157" s="16">
        <f>RecData[[#This Row],[Wind Speed avg]]</f>
        <v>0.74</v>
      </c>
      <c r="CN1157" s="16">
        <f>RecData[[#This Row],[Wind Dir. avg]]</f>
        <v>195.4</v>
      </c>
      <c r="CO1157" s="16">
        <f>RecData[[#This Row],[Amb. Humidity]]</f>
        <v>52.4</v>
      </c>
      <c r="CP1157" s="16">
        <f>RecData[[#This Row],[Amb. Temperature]]</f>
        <v>12</v>
      </c>
      <c r="CQ1157" s="17">
        <f>RecData[[#This Row],[Amb. Rain Gauge]]</f>
        <v>0</v>
      </c>
      <c r="CR1157" s="4" t="s">
        <v>1</v>
      </c>
      <c r="CS1157" s="4" t="s">
        <v>49</v>
      </c>
      <c r="CT1157" s="70">
        <v>1616.55419921875</v>
      </c>
      <c r="CU1157" s="70">
        <v>39.000335693359297</v>
      </c>
      <c r="CV1157" s="70">
        <v>10.403810501098601</v>
      </c>
      <c r="CW1157" s="70">
        <v>15.298921585083001</v>
      </c>
      <c r="CX1157" s="4"/>
      <c r="CY1157" s="69"/>
      <c r="CZ1157" s="2" t="b">
        <f>IF($DP$1="YES",IF(RecData[[#This Row],[Power (kW)]]&gt;=$CR$3, TRUE,FALSE),TRUE)</f>
        <v>1</v>
      </c>
      <c r="DA1157" s="16">
        <f>MIN(MOD(180-ABS(ABS($DA$1-RecData[Yaw Angle (°)])-180),360),MOD(180-ABS(ABS($DB$1-RecData[Yaw Angle (°)])-180),360))</f>
        <v>31.470408915671754</v>
      </c>
      <c r="DB1157" s="2" t="str">
        <f>IF($DP$2="None","None",IF(RecData[[#This Row],[Relative Wind Direction]]&lt;=45,"DW",IF(RecData[[#This Row],[Relative Wind Direction]]&lt;=135,"CW","UW")))</f>
        <v>DW</v>
      </c>
      <c r="DC1157" s="61">
        <f>IF($CL1157-$CL1153&gt;1/24,#REF!,IF(SUM($CQ1153:$CQ1157)&gt;$DS$1,$DS$5,DC1158-1))</f>
        <v>-5</v>
      </c>
      <c r="DD1157" s="61">
        <f>IF($CL1158-$CL1157&gt;1/24,#REF!,IF(SUM($CQ1153:$CQ1157)&gt;$DS$1,$DS$6,DD1156-1))</f>
        <v>-6</v>
      </c>
      <c r="DE1157" s="18" t="b">
        <v>0</v>
      </c>
      <c r="DF1157" s="2" t="b">
        <f>IF(OR(RecData[[#This Row],[WSpd_Avg '[m/s']]]-RecData[[#This Row],[Wind Speed min]]&gt;=$DF$3,RecData[[#This Row],[Wind Speed max]]-RecData[[#This Row],[WSpd_Avg '[m/s']]]&gt;=$DF$2),TRUE,FALSE)</f>
        <v>0</v>
      </c>
      <c r="DG1157" s="2" t="b">
        <f>RecData[[#This Row],[Temperature '[°C']]]&lt;=-20</f>
        <v>0</v>
      </c>
      <c r="DH1157" s="18" t="b">
        <f>NOT(OR(MOD(RecData[[#This Row],[TIMESTAMP]],1)&gt;0.91632,MOD(RecData[[#This Row],[TIMESTAMP]],1)&lt;0.208681))</f>
        <v>0</v>
      </c>
      <c r="DI1157" s="18" t="b">
        <f>RecData[[#This Row],[Overall (dBA)]]-RecData[[#This Row],[L90]]&gt;=$DS$4</f>
        <v>0</v>
      </c>
      <c r="DJ1157" s="18" t="b">
        <f>RecData[[#This Row],[Overall (dBA)]]&gt;$DS$2</f>
        <v>0</v>
      </c>
      <c r="DK1157" s="18" t="b">
        <f>RecData[[#This Row],[Overall (dBA)]]&lt;$DS$3</f>
        <v>0</v>
      </c>
      <c r="DL11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7" s="2">
        <f>IF(AND(RecData[[#This Row],[Turbines ON/OFF]] = "OFF", NOT(OR(RecData[[#This Row],[Junk?]]="YES",RecData[[#This Row],[Gust?]],RecData[[#This Row],[Rain?]:[Min SPL Threshold?]]))),1,0)</f>
        <v>0</v>
      </c>
      <c r="DN1157" s="16">
        <f>RecData[[#This Row],[dBA Sum]]</f>
        <v>39.665634293487891</v>
      </c>
      <c r="DO1157" s="16">
        <f>RecData[[#This Row],[LAF90.0]]</f>
        <v>38.4</v>
      </c>
      <c r="DP1157" s="55">
        <f>IF(AND(RecData[[#This Row],[Useable TON Data?]],RecData[[#This Row],[Turbines ON/OFF]]="ON"),RecData[[#This Row],[dBA Sum]],"")</f>
        <v>39.665634293487891</v>
      </c>
      <c r="DQ1157" s="55" t="str">
        <f>IF(AND(RecData[[#This Row],[Useable Background Data?]],RecData[[#This Row],[Turbines ON/OFF]]="OFF"),RecData[[#This Row],[dBA Sum]],"")</f>
        <v/>
      </c>
      <c r="DR1157" s="3">
        <f>IF(OR(RecData[[#This Row],[Useable TON Data?]],RecData[[#This Row],[Useable Background Data?]]),ROUND(RecData[[#This Row],[WSpd_Avg '[m/s']]],0),"")</f>
        <v>1</v>
      </c>
      <c r="DS1157" s="85">
        <f>(0.00002)^2*(10^(RecData[[#This Row],[Overall (dBA)]]/10))</f>
        <v>3.7035944164043211E-6</v>
      </c>
    </row>
    <row r="1158" spans="1:123" ht="15" x14ac:dyDescent="0.25">
      <c r="A1158" s="3" t="s">
        <v>249</v>
      </c>
      <c r="B1158" s="12">
        <v>43276.022222222222</v>
      </c>
      <c r="C1158" s="3"/>
      <c r="D1158" s="3">
        <v>39.700000000000003</v>
      </c>
      <c r="E1158" s="3"/>
      <c r="F1158" s="3"/>
      <c r="G1158" s="3"/>
      <c r="H1158" s="3"/>
      <c r="I1158" s="3"/>
      <c r="J1158" s="3"/>
      <c r="K1158" s="3">
        <v>37.799999999999997</v>
      </c>
      <c r="L1158" s="3"/>
      <c r="M1158" s="3"/>
      <c r="N1158" s="3">
        <v>178.2</v>
      </c>
      <c r="O1158" s="3"/>
      <c r="P1158" s="3"/>
      <c r="Q1158" s="3">
        <v>0.85</v>
      </c>
      <c r="R1158" s="3">
        <v>0.1</v>
      </c>
      <c r="S1158" s="3">
        <v>1.4</v>
      </c>
      <c r="T1158" s="3">
        <v>12</v>
      </c>
      <c r="U1158" s="3">
        <v>52.6</v>
      </c>
      <c r="V1158" s="3">
        <v>977.5</v>
      </c>
      <c r="W1158" s="3">
        <v>0</v>
      </c>
      <c r="X1158" s="3">
        <v>43.4</v>
      </c>
      <c r="Y1158" s="3">
        <v>41.8</v>
      </c>
      <c r="Z1158" s="3">
        <v>40.5</v>
      </c>
      <c r="AA1158" s="3">
        <v>37.4</v>
      </c>
      <c r="AB1158" s="3">
        <v>32.6</v>
      </c>
      <c r="AC1158" s="3">
        <v>32.1</v>
      </c>
      <c r="AD1158" s="3">
        <v>37</v>
      </c>
      <c r="AE1158" s="3">
        <v>38.9</v>
      </c>
      <c r="AF1158" s="3">
        <v>45.9</v>
      </c>
      <c r="AG1158" s="3">
        <v>40.1</v>
      </c>
      <c r="AH1158" s="3">
        <v>37.4</v>
      </c>
      <c r="AI1158" s="3">
        <v>38.5</v>
      </c>
      <c r="AJ1158" s="3">
        <v>36.5</v>
      </c>
      <c r="AK1158" s="3">
        <v>35.5</v>
      </c>
      <c r="AL1158" s="3">
        <v>33.299999999999997</v>
      </c>
      <c r="AM1158" s="3">
        <v>33</v>
      </c>
      <c r="AN1158" s="3">
        <v>30.2</v>
      </c>
      <c r="AO1158" s="3">
        <v>26.2</v>
      </c>
      <c r="AP1158" s="3">
        <v>24.1</v>
      </c>
      <c r="AQ1158" s="3">
        <v>21</v>
      </c>
      <c r="AR1158" s="3">
        <v>17.100000000000001</v>
      </c>
      <c r="AS1158" s="3">
        <v>16.600000000000001</v>
      </c>
      <c r="AT1158" s="3">
        <v>16.8</v>
      </c>
      <c r="AU1158" s="3">
        <v>10.4</v>
      </c>
      <c r="AV1158" s="3">
        <v>9.9</v>
      </c>
      <c r="AW1158" s="3">
        <v>10</v>
      </c>
      <c r="AX1158" s="3">
        <v>9.3000000000000007</v>
      </c>
      <c r="AY1158" s="3">
        <v>9.3000000000000007</v>
      </c>
      <c r="AZ1158" s="3">
        <v>0</v>
      </c>
      <c r="BA1158" s="3">
        <v>0</v>
      </c>
      <c r="BB1158" s="3">
        <v>0</v>
      </c>
      <c r="BC1158" s="3">
        <v>39.723045932036911</v>
      </c>
      <c r="BD1158" s="3">
        <v>43.376954067963084</v>
      </c>
      <c r="BE1158" s="3">
        <v>41.776954067963089</v>
      </c>
      <c r="BF1158" s="3">
        <v>39.236954067963097</v>
      </c>
      <c r="BG1158" s="3">
        <v>36.463620734629757</v>
      </c>
      <c r="BH1158" s="3">
        <v>31.80362073462976</v>
      </c>
      <c r="BI1158" s="3">
        <v>31.716954067963087</v>
      </c>
      <c r="BJ1158" s="3">
        <v>37.410287401296415</v>
      </c>
      <c r="BK1158" s="3">
        <v>39.183620734629756</v>
      </c>
      <c r="BL1158" s="3">
        <v>45.756954067963093</v>
      </c>
      <c r="BM1158" s="3">
        <v>40.090287401296422</v>
      </c>
      <c r="BN1158" s="3">
        <v>37.673620734629765</v>
      </c>
      <c r="BO1158" s="3">
        <v>38.140287401296433</v>
      </c>
      <c r="BP1158" s="3">
        <v>35.856954067963102</v>
      </c>
      <c r="BQ1158" s="3">
        <v>35.273620734629759</v>
      </c>
      <c r="BR1158" s="3">
        <v>33.400287401296424</v>
      </c>
      <c r="BS1158" s="3">
        <v>32.903620734629754</v>
      </c>
      <c r="BT1158" s="3">
        <v>30.30028740129643</v>
      </c>
      <c r="BU1158" s="3">
        <v>26.266954067963098</v>
      </c>
      <c r="BV1158" s="3">
        <v>23.883620734629758</v>
      </c>
      <c r="BW1158" s="3">
        <v>21.316954067963096</v>
      </c>
      <c r="BX1158" s="3">
        <v>17.336954067963099</v>
      </c>
      <c r="BY1158" s="3">
        <v>16.656954067963092</v>
      </c>
      <c r="BZ1158" s="3">
        <v>16.986954067963097</v>
      </c>
      <c r="CA1158" s="3">
        <v>10.686954067963086</v>
      </c>
      <c r="CB1158" s="3">
        <v>9.6236207346297533</v>
      </c>
      <c r="CC1158" s="3">
        <v>9.936954067963093</v>
      </c>
      <c r="CD1158" s="3">
        <v>8.5436207346297621</v>
      </c>
      <c r="CE1158" s="3">
        <v>8.7369540679630902</v>
      </c>
      <c r="CF1158" s="3">
        <v>-0.94971259870357727</v>
      </c>
      <c r="CG1158" s="3">
        <v>-1.4830459320369087</v>
      </c>
      <c r="CH1158" s="3">
        <v>-2.5597125987035767</v>
      </c>
      <c r="CI1158" s="13">
        <f>[1]!dbasum(RecData[[#This Row],[20]:[2000]],RecData[[#Headers],[20]:[2000]])</f>
        <v>39.529157067044693</v>
      </c>
      <c r="CJ1158" s="14">
        <v>10753</v>
      </c>
      <c r="CK1158" s="15" t="s">
        <v>249</v>
      </c>
      <c r="CL1158" s="15">
        <f>RecData[[#This Row],[Start Time]]</f>
        <v>43276.022222222222</v>
      </c>
      <c r="CM1158" s="16">
        <f>RecData[[#This Row],[Wind Speed avg]]</f>
        <v>0.85</v>
      </c>
      <c r="CN1158" s="16">
        <f>RecData[[#This Row],[Wind Dir. avg]]</f>
        <v>178.2</v>
      </c>
      <c r="CO1158" s="16">
        <f>RecData[[#This Row],[Amb. Humidity]]</f>
        <v>52.6</v>
      </c>
      <c r="CP1158" s="16">
        <f>RecData[[#This Row],[Amb. Temperature]]</f>
        <v>12</v>
      </c>
      <c r="CQ1158" s="17">
        <f>RecData[[#This Row],[Amb. Rain Gauge]]</f>
        <v>0</v>
      </c>
      <c r="CR1158" s="4" t="s">
        <v>1</v>
      </c>
      <c r="CS1158" s="4" t="s">
        <v>49</v>
      </c>
      <c r="CT1158" s="70">
        <v>1616.55419921875</v>
      </c>
      <c r="CU1158" s="70">
        <v>39.000335693359297</v>
      </c>
      <c r="CV1158" s="70">
        <v>10.403810501098601</v>
      </c>
      <c r="CW1158" s="70">
        <v>15.298921585083001</v>
      </c>
      <c r="CX1158" s="4"/>
      <c r="CY1158" s="69"/>
      <c r="CZ1158" s="2" t="b">
        <f>IF($DP$1="YES",IF(RecData[[#This Row],[Power (kW)]]&gt;=$CR$3, TRUE,FALSE),TRUE)</f>
        <v>1</v>
      </c>
      <c r="DA1158" s="16">
        <f>MIN(MOD(180-ABS(ABS($DA$1-RecData[Yaw Angle (°)])-180),360),MOD(180-ABS(ABS($DB$1-RecData[Yaw Angle (°)])-180),360))</f>
        <v>31.470408915671754</v>
      </c>
      <c r="DB1158" s="2" t="str">
        <f>IF($DP$2="None","None",IF(RecData[[#This Row],[Relative Wind Direction]]&lt;=45,"DW",IF(RecData[[#This Row],[Relative Wind Direction]]&lt;=135,"CW","UW")))</f>
        <v>DW</v>
      </c>
      <c r="DC1158" s="61">
        <f>IF($CL1158-$CL1154&gt;1/24,#REF!,IF(SUM($CQ1154:$CQ1158)&gt;$DS$1,$DS$5,DC1159-1))</f>
        <v>-4</v>
      </c>
      <c r="DD1158" s="61">
        <f>IF($CL1159-$CL1158&gt;1/24,#REF!,IF(SUM($CQ1154:$CQ1158)&gt;$DS$1,$DS$6,DD1157-1))</f>
        <v>-7</v>
      </c>
      <c r="DE1158" s="18" t="b">
        <v>0</v>
      </c>
      <c r="DF1158" s="2" t="b">
        <f>IF(OR(RecData[[#This Row],[WSpd_Avg '[m/s']]]-RecData[[#This Row],[Wind Speed min]]&gt;=$DF$3,RecData[[#This Row],[Wind Speed max]]-RecData[[#This Row],[WSpd_Avg '[m/s']]]&gt;=$DF$2),TRUE,FALSE)</f>
        <v>0</v>
      </c>
      <c r="DG1158" s="2" t="b">
        <f>RecData[[#This Row],[Temperature '[°C']]]&lt;=-20</f>
        <v>0</v>
      </c>
      <c r="DH1158" s="18" t="b">
        <f>NOT(OR(MOD(RecData[[#This Row],[TIMESTAMP]],1)&gt;0.91632,MOD(RecData[[#This Row],[TIMESTAMP]],1)&lt;0.208681))</f>
        <v>0</v>
      </c>
      <c r="DI1158" s="18" t="b">
        <f>RecData[[#This Row],[Overall (dBA)]]-RecData[[#This Row],[L90]]&gt;=$DS$4</f>
        <v>0</v>
      </c>
      <c r="DJ1158" s="18" t="b">
        <f>RecData[[#This Row],[Overall (dBA)]]&gt;$DS$2</f>
        <v>0</v>
      </c>
      <c r="DK1158" s="18" t="b">
        <f>RecData[[#This Row],[Overall (dBA)]]&lt;$DS$3</f>
        <v>0</v>
      </c>
      <c r="DL11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8" s="2">
        <f>IF(AND(RecData[[#This Row],[Turbines ON/OFF]] = "OFF", NOT(OR(RecData[[#This Row],[Junk?]]="YES",RecData[[#This Row],[Gust?]],RecData[[#This Row],[Rain?]:[Min SPL Threshold?]]))),1,0)</f>
        <v>0</v>
      </c>
      <c r="DN1158" s="16">
        <f>RecData[[#This Row],[dBA Sum]]</f>
        <v>39.529157067044693</v>
      </c>
      <c r="DO1158" s="16">
        <f>RecData[[#This Row],[LAF90.0]]</f>
        <v>37.799999999999997</v>
      </c>
      <c r="DP1158" s="55">
        <f>IF(AND(RecData[[#This Row],[Useable TON Data?]],RecData[[#This Row],[Turbines ON/OFF]]="ON"),RecData[[#This Row],[dBA Sum]],"")</f>
        <v>39.529157067044693</v>
      </c>
      <c r="DQ1158" s="55" t="str">
        <f>IF(AND(RecData[[#This Row],[Useable Background Data?]],RecData[[#This Row],[Turbines ON/OFF]]="OFF"),RecData[[#This Row],[dBA Sum]],"")</f>
        <v/>
      </c>
      <c r="DR1158" s="3">
        <f>IF(OR(RecData[[#This Row],[Useable TON Data?]],RecData[[#This Row],[Useable Background Data?]]),ROUND(RecData[[#This Row],[WSpd_Avg '[m/s']]],0),"")</f>
        <v>1</v>
      </c>
      <c r="DS1158" s="85">
        <f>(0.00002)^2*(10^(RecData[[#This Row],[Overall (dBA)]]/10))</f>
        <v>3.5890185088723487E-6</v>
      </c>
    </row>
    <row r="1159" spans="1:123" ht="15" x14ac:dyDescent="0.25">
      <c r="A1159" s="3" t="s">
        <v>249</v>
      </c>
      <c r="B1159" s="12">
        <v>43276.022916666669</v>
      </c>
      <c r="C1159" s="3"/>
      <c r="D1159" s="3">
        <v>38.6</v>
      </c>
      <c r="E1159" s="3"/>
      <c r="F1159" s="3"/>
      <c r="G1159" s="3"/>
      <c r="H1159" s="3"/>
      <c r="I1159" s="3"/>
      <c r="J1159" s="3"/>
      <c r="K1159" s="3">
        <v>37.5</v>
      </c>
      <c r="L1159" s="3"/>
      <c r="M1159" s="3"/>
      <c r="N1159" s="3">
        <v>175.7</v>
      </c>
      <c r="O1159" s="3"/>
      <c r="P1159" s="3"/>
      <c r="Q1159" s="3">
        <v>0.52</v>
      </c>
      <c r="R1159" s="3">
        <v>0.1</v>
      </c>
      <c r="S1159" s="3">
        <v>1.4</v>
      </c>
      <c r="T1159" s="3">
        <v>12</v>
      </c>
      <c r="U1159" s="3">
        <v>52.7</v>
      </c>
      <c r="V1159" s="3">
        <v>977.5</v>
      </c>
      <c r="W1159" s="3">
        <v>0</v>
      </c>
      <c r="X1159" s="3">
        <v>42.6</v>
      </c>
      <c r="Y1159" s="3">
        <v>40.5</v>
      </c>
      <c r="Z1159" s="3">
        <v>39.9</v>
      </c>
      <c r="AA1159" s="3">
        <v>36.700000000000003</v>
      </c>
      <c r="AB1159" s="3">
        <v>32.1</v>
      </c>
      <c r="AC1159" s="3">
        <v>30.7</v>
      </c>
      <c r="AD1159" s="3">
        <v>34.9</v>
      </c>
      <c r="AE1159" s="3">
        <v>37.200000000000003</v>
      </c>
      <c r="AF1159" s="3">
        <v>45.9</v>
      </c>
      <c r="AG1159" s="3">
        <v>39.200000000000003</v>
      </c>
      <c r="AH1159" s="3">
        <v>35.9</v>
      </c>
      <c r="AI1159" s="3">
        <v>37.200000000000003</v>
      </c>
      <c r="AJ1159" s="3">
        <v>35.200000000000003</v>
      </c>
      <c r="AK1159" s="3">
        <v>34.4</v>
      </c>
      <c r="AL1159" s="3">
        <v>32.1</v>
      </c>
      <c r="AM1159" s="3">
        <v>31.4</v>
      </c>
      <c r="AN1159" s="3">
        <v>28.8</v>
      </c>
      <c r="AO1159" s="3">
        <v>25</v>
      </c>
      <c r="AP1159" s="3">
        <v>23.2</v>
      </c>
      <c r="AQ1159" s="3">
        <v>20</v>
      </c>
      <c r="AR1159" s="3">
        <v>16.100000000000001</v>
      </c>
      <c r="AS1159" s="3">
        <v>14.5</v>
      </c>
      <c r="AT1159" s="3">
        <v>17</v>
      </c>
      <c r="AU1159" s="3">
        <v>10.199999999999999</v>
      </c>
      <c r="AV1159" s="3">
        <v>9.6</v>
      </c>
      <c r="AW1159" s="3">
        <v>9.5</v>
      </c>
      <c r="AX1159" s="3">
        <v>9.1</v>
      </c>
      <c r="AY1159" s="3">
        <v>9.1999999999999993</v>
      </c>
      <c r="AZ1159" s="3">
        <v>0</v>
      </c>
      <c r="BA1159" s="3">
        <v>0</v>
      </c>
      <c r="BB1159" s="3">
        <v>0</v>
      </c>
      <c r="BC1159" s="3">
        <v>38.602509156206679</v>
      </c>
      <c r="BD1159" s="3">
        <v>42.597490843793324</v>
      </c>
      <c r="BE1159" s="3">
        <v>40.497490843793315</v>
      </c>
      <c r="BF1159" s="3">
        <v>38.657490843793312</v>
      </c>
      <c r="BG1159" s="3">
        <v>35.784157510459991</v>
      </c>
      <c r="BH1159" s="3">
        <v>31.324157510459997</v>
      </c>
      <c r="BI1159" s="3">
        <v>30.337490843793319</v>
      </c>
      <c r="BJ1159" s="3">
        <v>35.330824177126658</v>
      </c>
      <c r="BK1159" s="3">
        <v>37.50415751045999</v>
      </c>
      <c r="BL1159" s="3">
        <v>45.777490843793316</v>
      </c>
      <c r="BM1159" s="3">
        <v>39.210824177126653</v>
      </c>
      <c r="BN1159" s="3">
        <v>36.194157510459988</v>
      </c>
      <c r="BO1159" s="3">
        <v>36.860824177126659</v>
      </c>
      <c r="BP1159" s="3">
        <v>34.577490843793328</v>
      </c>
      <c r="BQ1159" s="3">
        <v>34.194157510459974</v>
      </c>
      <c r="BR1159" s="3">
        <v>32.220824177126659</v>
      </c>
      <c r="BS1159" s="3">
        <v>31.324157510459983</v>
      </c>
      <c r="BT1159" s="3">
        <v>28.920824177126661</v>
      </c>
      <c r="BU1159" s="3">
        <v>25.087490843793326</v>
      </c>
      <c r="BV1159" s="3">
        <v>23.00415751045999</v>
      </c>
      <c r="BW1159" s="3">
        <v>20.337490843793326</v>
      </c>
      <c r="BX1159" s="3">
        <v>16.357490843793329</v>
      </c>
      <c r="BY1159" s="3">
        <v>14.577490843793321</v>
      </c>
      <c r="BZ1159" s="3">
        <v>17.207490843793323</v>
      </c>
      <c r="CA1159" s="3">
        <v>10.507490843793313</v>
      </c>
      <c r="CB1159" s="3">
        <v>9.3441575104599863</v>
      </c>
      <c r="CC1159" s="3">
        <v>9.4574908437933232</v>
      </c>
      <c r="CD1159" s="3">
        <v>8.3641575104599895</v>
      </c>
      <c r="CE1159" s="3">
        <v>8.6574908437933189</v>
      </c>
      <c r="CF1159" s="3">
        <v>-0.9291758228733471</v>
      </c>
      <c r="CG1159" s="3">
        <v>-1.4625091562066785</v>
      </c>
      <c r="CH1159" s="3">
        <v>-2.5391758228733465</v>
      </c>
      <c r="CI1159" s="13">
        <f>[1]!dbasum(RecData[[#This Row],[20]:[2000]],RecData[[#Headers],[20]:[2000]])</f>
        <v>38.417632767889927</v>
      </c>
      <c r="CJ1159" s="14">
        <v>10754</v>
      </c>
      <c r="CK1159" s="15" t="s">
        <v>249</v>
      </c>
      <c r="CL1159" s="15">
        <f>RecData[[#This Row],[Start Time]]</f>
        <v>43276.022916666669</v>
      </c>
      <c r="CM1159" s="16">
        <f>RecData[[#This Row],[Wind Speed avg]]</f>
        <v>0.52</v>
      </c>
      <c r="CN1159" s="16">
        <f>RecData[[#This Row],[Wind Dir. avg]]</f>
        <v>175.7</v>
      </c>
      <c r="CO1159" s="16">
        <f>RecData[[#This Row],[Amb. Humidity]]</f>
        <v>52.7</v>
      </c>
      <c r="CP1159" s="16">
        <f>RecData[[#This Row],[Amb. Temperature]]</f>
        <v>12</v>
      </c>
      <c r="CQ1159" s="17">
        <f>RecData[[#This Row],[Amb. Rain Gauge]]</f>
        <v>0</v>
      </c>
      <c r="CR1159" s="4" t="s">
        <v>1</v>
      </c>
      <c r="CS1159" s="4" t="s">
        <v>49</v>
      </c>
      <c r="CT1159" s="70">
        <v>1616.55419921875</v>
      </c>
      <c r="CU1159" s="70">
        <v>39.000335693359297</v>
      </c>
      <c r="CV1159" s="70">
        <v>10.403810501098601</v>
      </c>
      <c r="CW1159" s="70">
        <v>15.298921585083001</v>
      </c>
      <c r="CX1159" s="4"/>
      <c r="CY1159" s="69"/>
      <c r="CZ1159" s="2" t="b">
        <f>IF($DP$1="YES",IF(RecData[[#This Row],[Power (kW)]]&gt;=$CR$3, TRUE,FALSE),TRUE)</f>
        <v>1</v>
      </c>
      <c r="DA1159" s="16">
        <f>MIN(MOD(180-ABS(ABS($DA$1-RecData[Yaw Angle (°)])-180),360),MOD(180-ABS(ABS($DB$1-RecData[Yaw Angle (°)])-180),360))</f>
        <v>31.470408915671754</v>
      </c>
      <c r="DB1159" s="2" t="str">
        <f>IF($DP$2="None","None",IF(RecData[[#This Row],[Relative Wind Direction]]&lt;=45,"DW",IF(RecData[[#This Row],[Relative Wind Direction]]&lt;=135,"CW","UW")))</f>
        <v>DW</v>
      </c>
      <c r="DC1159" s="61">
        <f>IF($CL1159-$CL1155&gt;1/24,#REF!,IF(SUM($CQ1155:$CQ1159)&gt;$DS$1,$DS$5,DC1160-1))</f>
        <v>-3</v>
      </c>
      <c r="DD1159" s="61">
        <f>IF($CL1160-$CL1159&gt;1/24,#REF!,IF(SUM($CQ1155:$CQ1159)&gt;$DS$1,$DS$6,DD1158-1))</f>
        <v>-8</v>
      </c>
      <c r="DE1159" s="18" t="b">
        <v>0</v>
      </c>
      <c r="DF1159" s="2" t="b">
        <f>IF(OR(RecData[[#This Row],[WSpd_Avg '[m/s']]]-RecData[[#This Row],[Wind Speed min]]&gt;=$DF$3,RecData[[#This Row],[Wind Speed max]]-RecData[[#This Row],[WSpd_Avg '[m/s']]]&gt;=$DF$2),TRUE,FALSE)</f>
        <v>0</v>
      </c>
      <c r="DG1159" s="2" t="b">
        <f>RecData[[#This Row],[Temperature '[°C']]]&lt;=-20</f>
        <v>0</v>
      </c>
      <c r="DH1159" s="18" t="b">
        <f>NOT(OR(MOD(RecData[[#This Row],[TIMESTAMP]],1)&gt;0.91632,MOD(RecData[[#This Row],[TIMESTAMP]],1)&lt;0.208681))</f>
        <v>0</v>
      </c>
      <c r="DI1159" s="18" t="b">
        <f>RecData[[#This Row],[Overall (dBA)]]-RecData[[#This Row],[L90]]&gt;=$DS$4</f>
        <v>0</v>
      </c>
      <c r="DJ1159" s="18" t="b">
        <f>RecData[[#This Row],[Overall (dBA)]]&gt;$DS$2</f>
        <v>0</v>
      </c>
      <c r="DK1159" s="18" t="b">
        <f>RecData[[#This Row],[Overall (dBA)]]&lt;$DS$3</f>
        <v>0</v>
      </c>
      <c r="DL11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59" s="2">
        <f>IF(AND(RecData[[#This Row],[Turbines ON/OFF]] = "OFF", NOT(OR(RecData[[#This Row],[Junk?]]="YES",RecData[[#This Row],[Gust?]],RecData[[#This Row],[Rain?]:[Min SPL Threshold?]]))),1,0)</f>
        <v>0</v>
      </c>
      <c r="DN1159" s="16">
        <f>RecData[[#This Row],[dBA Sum]]</f>
        <v>38.417632767889927</v>
      </c>
      <c r="DO1159" s="16">
        <f>RecData[[#This Row],[LAF90.0]]</f>
        <v>37.5</v>
      </c>
      <c r="DP1159" s="55">
        <f>IF(AND(RecData[[#This Row],[Useable TON Data?]],RecData[[#This Row],[Turbines ON/OFF]]="ON"),RecData[[#This Row],[dBA Sum]],"")</f>
        <v>38.417632767889927</v>
      </c>
      <c r="DQ1159" s="55" t="str">
        <f>IF(AND(RecData[[#This Row],[Useable Background Data?]],RecData[[#This Row],[Turbines ON/OFF]]="OFF"),RecData[[#This Row],[dBA Sum]],"")</f>
        <v/>
      </c>
      <c r="DR1159" s="3">
        <f>IF(OR(RecData[[#This Row],[Useable TON Data?]],RecData[[#This Row],[Useable Background Data?]]),ROUND(RecData[[#This Row],[WSpd_Avg '[m/s']]],0),"")</f>
        <v>1</v>
      </c>
      <c r="DS1159" s="85">
        <f>(0.00002)^2*(10^(RecData[[#This Row],[Overall (dBA)]]/10))</f>
        <v>2.7785823208174505E-6</v>
      </c>
    </row>
    <row r="1160" spans="1:123" ht="15" x14ac:dyDescent="0.25">
      <c r="A1160" s="3" t="s">
        <v>249</v>
      </c>
      <c r="B1160" s="12">
        <v>43276.023611111108</v>
      </c>
      <c r="C1160" s="3"/>
      <c r="D1160" s="3">
        <v>39.1</v>
      </c>
      <c r="E1160" s="3"/>
      <c r="F1160" s="3"/>
      <c r="G1160" s="3"/>
      <c r="H1160" s="3"/>
      <c r="I1160" s="3"/>
      <c r="J1160" s="3"/>
      <c r="K1160" s="3">
        <v>37.799999999999997</v>
      </c>
      <c r="L1160" s="3"/>
      <c r="M1160" s="3"/>
      <c r="N1160" s="3">
        <v>191.2</v>
      </c>
      <c r="O1160" s="3"/>
      <c r="P1160" s="3"/>
      <c r="Q1160" s="3">
        <v>1.01</v>
      </c>
      <c r="R1160" s="3">
        <v>0.5</v>
      </c>
      <c r="S1160" s="3">
        <v>1.8</v>
      </c>
      <c r="T1160" s="3">
        <v>11.9</v>
      </c>
      <c r="U1160" s="3">
        <v>52.7</v>
      </c>
      <c r="V1160" s="3">
        <v>977.5</v>
      </c>
      <c r="W1160" s="3">
        <v>0</v>
      </c>
      <c r="X1160" s="3">
        <v>43.7</v>
      </c>
      <c r="Y1160" s="3">
        <v>41.6</v>
      </c>
      <c r="Z1160" s="3">
        <v>40.4</v>
      </c>
      <c r="AA1160" s="3">
        <v>37.700000000000003</v>
      </c>
      <c r="AB1160" s="3">
        <v>33.4</v>
      </c>
      <c r="AC1160" s="3">
        <v>31.6</v>
      </c>
      <c r="AD1160" s="3">
        <v>35.799999999999997</v>
      </c>
      <c r="AE1160" s="3">
        <v>37.9</v>
      </c>
      <c r="AF1160" s="3">
        <v>45.5</v>
      </c>
      <c r="AG1160" s="3">
        <v>39.700000000000003</v>
      </c>
      <c r="AH1160" s="3">
        <v>37.1</v>
      </c>
      <c r="AI1160" s="3">
        <v>38.1</v>
      </c>
      <c r="AJ1160" s="3">
        <v>36.5</v>
      </c>
      <c r="AK1160" s="3">
        <v>34.9</v>
      </c>
      <c r="AL1160" s="3">
        <v>32.6</v>
      </c>
      <c r="AM1160" s="3">
        <v>31.7</v>
      </c>
      <c r="AN1160" s="3">
        <v>29</v>
      </c>
      <c r="AO1160" s="3">
        <v>25.4</v>
      </c>
      <c r="AP1160" s="3">
        <v>23</v>
      </c>
      <c r="AQ1160" s="3">
        <v>20.6</v>
      </c>
      <c r="AR1160" s="3">
        <v>16.5</v>
      </c>
      <c r="AS1160" s="3">
        <v>14.2</v>
      </c>
      <c r="AT1160" s="3">
        <v>16.100000000000001</v>
      </c>
      <c r="AU1160" s="3">
        <v>9.5</v>
      </c>
      <c r="AV1160" s="3">
        <v>9.1</v>
      </c>
      <c r="AW1160" s="3">
        <v>9.1</v>
      </c>
      <c r="AX1160" s="3">
        <v>8.9</v>
      </c>
      <c r="AY1160" s="3">
        <v>9.1</v>
      </c>
      <c r="AZ1160" s="3">
        <v>0</v>
      </c>
      <c r="BA1160" s="3">
        <v>0</v>
      </c>
      <c r="BB1160" s="3">
        <v>0</v>
      </c>
      <c r="BC1160" s="3">
        <v>39.068865706269605</v>
      </c>
      <c r="BD1160" s="3">
        <v>43.731134293730406</v>
      </c>
      <c r="BE1160" s="3">
        <v>41.631134293730398</v>
      </c>
      <c r="BF1160" s="3">
        <v>39.191134293730386</v>
      </c>
      <c r="BG1160" s="3">
        <v>36.817800960397065</v>
      </c>
      <c r="BH1160" s="3">
        <v>32.657800960397054</v>
      </c>
      <c r="BI1160" s="3">
        <v>31.271134293730398</v>
      </c>
      <c r="BJ1160" s="3">
        <v>36.264467627063723</v>
      </c>
      <c r="BK1160" s="3">
        <v>38.237800960397067</v>
      </c>
      <c r="BL1160" s="3">
        <v>45.411134293730399</v>
      </c>
      <c r="BM1160" s="3">
        <v>39.744467627063727</v>
      </c>
      <c r="BN1160" s="3">
        <v>37.427800960397065</v>
      </c>
      <c r="BO1160" s="3">
        <v>37.794467627063739</v>
      </c>
      <c r="BP1160" s="3">
        <v>35.911134293730399</v>
      </c>
      <c r="BQ1160" s="3">
        <v>34.727800960397047</v>
      </c>
      <c r="BR1160" s="3">
        <v>32.754467627063732</v>
      </c>
      <c r="BS1160" s="3">
        <v>31.657800960397054</v>
      </c>
      <c r="BT1160" s="3">
        <v>29.154467627063724</v>
      </c>
      <c r="BU1160" s="3">
        <v>25.521134293730398</v>
      </c>
      <c r="BV1160" s="3">
        <v>22.837800960397061</v>
      </c>
      <c r="BW1160" s="3">
        <v>20.971134293730401</v>
      </c>
      <c r="BX1160" s="3">
        <v>16.791134293730401</v>
      </c>
      <c r="BY1160" s="3">
        <v>14.31113429373039</v>
      </c>
      <c r="BZ1160" s="3">
        <v>16.341134293730406</v>
      </c>
      <c r="CA1160" s="3">
        <v>9.8411342937303914</v>
      </c>
      <c r="CB1160" s="3">
        <v>8.8778009603970602</v>
      </c>
      <c r="CC1160" s="3">
        <v>9.0911342937303914</v>
      </c>
      <c r="CD1160" s="3">
        <v>8.1978009603970676</v>
      </c>
      <c r="CE1160" s="3">
        <v>8.5911342937303914</v>
      </c>
      <c r="CF1160" s="3">
        <v>-0.89553237293627319</v>
      </c>
      <c r="CG1160" s="3">
        <v>-1.4288657062696046</v>
      </c>
      <c r="CH1160" s="3">
        <v>-2.5055323729362726</v>
      </c>
      <c r="CI1160" s="13">
        <f>[1]!dbasum(RecData[[#This Row],[20]:[2000]],RecData[[#Headers],[20]:[2000]])</f>
        <v>38.927891152406438</v>
      </c>
      <c r="CJ1160" s="14">
        <v>10755</v>
      </c>
      <c r="CK1160" s="15" t="s">
        <v>249</v>
      </c>
      <c r="CL1160" s="15">
        <f>RecData[[#This Row],[Start Time]]</f>
        <v>43276.023611111108</v>
      </c>
      <c r="CM1160" s="16">
        <f>RecData[[#This Row],[Wind Speed avg]]</f>
        <v>1.01</v>
      </c>
      <c r="CN1160" s="16">
        <f>RecData[[#This Row],[Wind Dir. avg]]</f>
        <v>191.2</v>
      </c>
      <c r="CO1160" s="16">
        <f>RecData[[#This Row],[Amb. Humidity]]</f>
        <v>52.7</v>
      </c>
      <c r="CP1160" s="16">
        <f>RecData[[#This Row],[Amb. Temperature]]</f>
        <v>11.9</v>
      </c>
      <c r="CQ1160" s="17">
        <f>RecData[[#This Row],[Amb. Rain Gauge]]</f>
        <v>0</v>
      </c>
      <c r="CR1160" s="4" t="s">
        <v>1</v>
      </c>
      <c r="CS1160" s="4" t="s">
        <v>49</v>
      </c>
      <c r="CT1160" s="70">
        <v>1616.55419921875</v>
      </c>
      <c r="CU1160" s="70">
        <v>39.000335693359297</v>
      </c>
      <c r="CV1160" s="70">
        <v>10.403810501098601</v>
      </c>
      <c r="CW1160" s="70">
        <v>15.298921585083001</v>
      </c>
      <c r="CX1160" s="4"/>
      <c r="CY1160" s="69"/>
      <c r="CZ1160" s="2" t="b">
        <f>IF($DP$1="YES",IF(RecData[[#This Row],[Power (kW)]]&gt;=$CR$3, TRUE,FALSE),TRUE)</f>
        <v>1</v>
      </c>
      <c r="DA1160" s="16">
        <f>MIN(MOD(180-ABS(ABS($DA$1-RecData[Yaw Angle (°)])-180),360),MOD(180-ABS(ABS($DB$1-RecData[Yaw Angle (°)])-180),360))</f>
        <v>31.470408915671754</v>
      </c>
      <c r="DB1160" s="2" t="str">
        <f>IF($DP$2="None","None",IF(RecData[[#This Row],[Relative Wind Direction]]&lt;=45,"DW",IF(RecData[[#This Row],[Relative Wind Direction]]&lt;=135,"CW","UW")))</f>
        <v>DW</v>
      </c>
      <c r="DC1160" s="61">
        <f>IF($CL1160-$CL1156&gt;1/24,#REF!,IF(SUM($CQ1156:$CQ1160)&gt;$DS$1,$DS$5,DC1161-1))</f>
        <v>-2</v>
      </c>
      <c r="DD1160" s="61">
        <f>IF($CL1161-$CL1160&gt;1/24,#REF!,IF(SUM($CQ1156:$CQ1160)&gt;$DS$1,$DS$6,DD1159-1))</f>
        <v>-9</v>
      </c>
      <c r="DE1160" s="18" t="b">
        <v>0</v>
      </c>
      <c r="DF1160" s="2" t="b">
        <f>IF(OR(RecData[[#This Row],[WSpd_Avg '[m/s']]]-RecData[[#This Row],[Wind Speed min]]&gt;=$DF$3,RecData[[#This Row],[Wind Speed max]]-RecData[[#This Row],[WSpd_Avg '[m/s']]]&gt;=$DF$2),TRUE,FALSE)</f>
        <v>0</v>
      </c>
      <c r="DG1160" s="2" t="b">
        <f>RecData[[#This Row],[Temperature '[°C']]]&lt;=-20</f>
        <v>0</v>
      </c>
      <c r="DH1160" s="18" t="b">
        <f>NOT(OR(MOD(RecData[[#This Row],[TIMESTAMP]],1)&gt;0.91632,MOD(RecData[[#This Row],[TIMESTAMP]],1)&lt;0.208681))</f>
        <v>0</v>
      </c>
      <c r="DI1160" s="18" t="b">
        <f>RecData[[#This Row],[Overall (dBA)]]-RecData[[#This Row],[L90]]&gt;=$DS$4</f>
        <v>0</v>
      </c>
      <c r="DJ1160" s="18" t="b">
        <f>RecData[[#This Row],[Overall (dBA)]]&gt;$DS$2</f>
        <v>0</v>
      </c>
      <c r="DK1160" s="18" t="b">
        <f>RecData[[#This Row],[Overall (dBA)]]&lt;$DS$3</f>
        <v>0</v>
      </c>
      <c r="DL11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0" s="2">
        <f>IF(AND(RecData[[#This Row],[Turbines ON/OFF]] = "OFF", NOT(OR(RecData[[#This Row],[Junk?]]="YES",RecData[[#This Row],[Gust?]],RecData[[#This Row],[Rain?]:[Min SPL Threshold?]]))),1,0)</f>
        <v>0</v>
      </c>
      <c r="DN1160" s="16">
        <f>RecData[[#This Row],[dBA Sum]]</f>
        <v>38.927891152406438</v>
      </c>
      <c r="DO1160" s="16">
        <f>RecData[[#This Row],[LAF90.0]]</f>
        <v>37.799999999999997</v>
      </c>
      <c r="DP1160" s="55">
        <f>IF(AND(RecData[[#This Row],[Useable TON Data?]],RecData[[#This Row],[Turbines ON/OFF]]="ON"),RecData[[#This Row],[dBA Sum]],"")</f>
        <v>38.927891152406438</v>
      </c>
      <c r="DQ1160" s="55" t="str">
        <f>IF(AND(RecData[[#This Row],[Useable Background Data?]],RecData[[#This Row],[Turbines ON/OFF]]="OFF"),RecData[[#This Row],[dBA Sum]],"")</f>
        <v/>
      </c>
      <c r="DR1160" s="3">
        <f>IF(OR(RecData[[#This Row],[Useable TON Data?]],RecData[[#This Row],[Useable Background Data?]]),ROUND(RecData[[#This Row],[WSpd_Avg '[m/s']]],0),"")</f>
        <v>1</v>
      </c>
      <c r="DS1160" s="85">
        <f>(0.00002)^2*(10^(RecData[[#This Row],[Overall (dBA)]]/10))</f>
        <v>3.1249934152504724E-6</v>
      </c>
    </row>
    <row r="1161" spans="1:123" ht="15" x14ac:dyDescent="0.25">
      <c r="A1161" s="3" t="s">
        <v>249</v>
      </c>
      <c r="B1161" s="12">
        <v>43276.024305555555</v>
      </c>
      <c r="C1161" s="3"/>
      <c r="D1161" s="3">
        <v>40.1</v>
      </c>
      <c r="E1161" s="3"/>
      <c r="F1161" s="3"/>
      <c r="G1161" s="3"/>
      <c r="H1161" s="3"/>
      <c r="I1161" s="3"/>
      <c r="J1161" s="3"/>
      <c r="K1161" s="3">
        <v>38.9</v>
      </c>
      <c r="L1161" s="3"/>
      <c r="M1161" s="3"/>
      <c r="N1161" s="3">
        <v>194.3</v>
      </c>
      <c r="O1161" s="3"/>
      <c r="P1161" s="3"/>
      <c r="Q1161" s="3">
        <v>1.01</v>
      </c>
      <c r="R1161" s="3">
        <v>0.7</v>
      </c>
      <c r="S1161" s="3">
        <v>1.5</v>
      </c>
      <c r="T1161" s="3">
        <v>11.9</v>
      </c>
      <c r="U1161" s="3">
        <v>52.9</v>
      </c>
      <c r="V1161" s="3">
        <v>977.5</v>
      </c>
      <c r="W1161" s="3">
        <v>0</v>
      </c>
      <c r="X1161" s="3">
        <v>43.5</v>
      </c>
      <c r="Y1161" s="3">
        <v>41.4</v>
      </c>
      <c r="Z1161" s="3">
        <v>40.5</v>
      </c>
      <c r="AA1161" s="3">
        <v>37.700000000000003</v>
      </c>
      <c r="AB1161" s="3">
        <v>33.299999999999997</v>
      </c>
      <c r="AC1161" s="3">
        <v>32</v>
      </c>
      <c r="AD1161" s="3">
        <v>36.799999999999997</v>
      </c>
      <c r="AE1161" s="3">
        <v>39</v>
      </c>
      <c r="AF1161" s="3">
        <v>47.3</v>
      </c>
      <c r="AG1161" s="3">
        <v>40.9</v>
      </c>
      <c r="AH1161" s="3">
        <v>37.9</v>
      </c>
      <c r="AI1161" s="3">
        <v>39.200000000000003</v>
      </c>
      <c r="AJ1161" s="3">
        <v>37.4</v>
      </c>
      <c r="AK1161" s="3">
        <v>35.799999999999997</v>
      </c>
      <c r="AL1161" s="3">
        <v>33.299999999999997</v>
      </c>
      <c r="AM1161" s="3">
        <v>32.5</v>
      </c>
      <c r="AN1161" s="3">
        <v>29.6</v>
      </c>
      <c r="AO1161" s="3">
        <v>25.7</v>
      </c>
      <c r="AP1161" s="3">
        <v>24.1</v>
      </c>
      <c r="AQ1161" s="3">
        <v>20.8</v>
      </c>
      <c r="AR1161" s="3">
        <v>17.100000000000001</v>
      </c>
      <c r="AS1161" s="3">
        <v>15.9</v>
      </c>
      <c r="AT1161" s="3">
        <v>18.600000000000001</v>
      </c>
      <c r="AU1161" s="3">
        <v>10.4</v>
      </c>
      <c r="AV1161" s="3">
        <v>9.6999999999999993</v>
      </c>
      <c r="AW1161" s="3">
        <v>9.6</v>
      </c>
      <c r="AX1161" s="3">
        <v>9.1</v>
      </c>
      <c r="AY1161" s="3">
        <v>9.1999999999999993</v>
      </c>
      <c r="AZ1161" s="3">
        <v>0</v>
      </c>
      <c r="BA1161" s="3">
        <v>0</v>
      </c>
      <c r="BB1161" s="3">
        <v>0</v>
      </c>
      <c r="BC1161" s="3">
        <v>40.036244916209583</v>
      </c>
      <c r="BD1161" s="3">
        <v>43.563755083790412</v>
      </c>
      <c r="BE1161" s="3">
        <v>41.463755083790417</v>
      </c>
      <c r="BF1161" s="3">
        <v>39.323755083790417</v>
      </c>
      <c r="BG1161" s="3">
        <v>36.850421750457087</v>
      </c>
      <c r="BH1161" s="3">
        <v>32.590421750457082</v>
      </c>
      <c r="BI1161" s="3">
        <v>31.703755083790426</v>
      </c>
      <c r="BJ1161" s="3">
        <v>37.297088417123746</v>
      </c>
      <c r="BK1161" s="3">
        <v>39.370421750457083</v>
      </c>
      <c r="BL1161" s="3">
        <v>47.243755083790418</v>
      </c>
      <c r="BM1161" s="3">
        <v>40.977088417123753</v>
      </c>
      <c r="BN1161" s="3">
        <v>38.260421750457084</v>
      </c>
      <c r="BO1161" s="3">
        <v>38.927088417123755</v>
      </c>
      <c r="BP1161" s="3">
        <v>36.843755083790413</v>
      </c>
      <c r="BQ1161" s="3">
        <v>35.660421750457076</v>
      </c>
      <c r="BR1161" s="3">
        <v>33.487088417123758</v>
      </c>
      <c r="BS1161" s="3">
        <v>32.490421750457088</v>
      </c>
      <c r="BT1161" s="3">
        <v>29.787088417123755</v>
      </c>
      <c r="BU1161" s="3">
        <v>25.853755083790418</v>
      </c>
      <c r="BV1161" s="3">
        <v>23.970421750457092</v>
      </c>
      <c r="BW1161" s="3">
        <v>21.203755083790426</v>
      </c>
      <c r="BX1161" s="3">
        <v>17.423755083790425</v>
      </c>
      <c r="BY1161" s="3">
        <v>16.043755083790415</v>
      </c>
      <c r="BZ1161" s="3">
        <v>18.873755083790428</v>
      </c>
      <c r="CA1161" s="3">
        <v>10.773755083790412</v>
      </c>
      <c r="CB1161" s="3">
        <v>9.510421750457084</v>
      </c>
      <c r="CC1161" s="3">
        <v>9.6237550837904138</v>
      </c>
      <c r="CD1161" s="3">
        <v>8.4304217504570857</v>
      </c>
      <c r="CE1161" s="3">
        <v>8.7237550837904152</v>
      </c>
      <c r="CF1161" s="3">
        <v>-0.8629115828762508</v>
      </c>
      <c r="CG1161" s="3">
        <v>-1.3962449162095822</v>
      </c>
      <c r="CH1161" s="3">
        <v>-2.4729115828762502</v>
      </c>
      <c r="CI1161" s="13">
        <f>[1]!dbasum(RecData[[#This Row],[20]:[2000]],RecData[[#Headers],[20]:[2000]])</f>
        <v>39.907420319032468</v>
      </c>
      <c r="CJ1161" s="14">
        <v>10756</v>
      </c>
      <c r="CK1161" s="15" t="s">
        <v>249</v>
      </c>
      <c r="CL1161" s="15">
        <f>RecData[[#This Row],[Start Time]]</f>
        <v>43276.024305555555</v>
      </c>
      <c r="CM1161" s="16">
        <f>RecData[[#This Row],[Wind Speed avg]]</f>
        <v>1.01</v>
      </c>
      <c r="CN1161" s="16">
        <f>RecData[[#This Row],[Wind Dir. avg]]</f>
        <v>194.3</v>
      </c>
      <c r="CO1161" s="16">
        <f>RecData[[#This Row],[Amb. Humidity]]</f>
        <v>52.9</v>
      </c>
      <c r="CP1161" s="16">
        <f>RecData[[#This Row],[Amb. Temperature]]</f>
        <v>11.9</v>
      </c>
      <c r="CQ1161" s="17">
        <f>RecData[[#This Row],[Amb. Rain Gauge]]</f>
        <v>0</v>
      </c>
      <c r="CR1161" s="4" t="s">
        <v>1</v>
      </c>
      <c r="CS1161" s="4" t="s">
        <v>49</v>
      </c>
      <c r="CT1161" s="70">
        <v>1616.55419921875</v>
      </c>
      <c r="CU1161" s="70">
        <v>39.000335693359297</v>
      </c>
      <c r="CV1161" s="70">
        <v>10.403810501098601</v>
      </c>
      <c r="CW1161" s="70">
        <v>15.298921585083001</v>
      </c>
      <c r="CX1161" s="4"/>
      <c r="CY1161" s="69"/>
      <c r="CZ1161" s="2" t="b">
        <f>IF($DP$1="YES",IF(RecData[[#This Row],[Power (kW)]]&gt;=$CR$3, TRUE,FALSE),TRUE)</f>
        <v>1</v>
      </c>
      <c r="DA1161" s="16">
        <f>MIN(MOD(180-ABS(ABS($DA$1-RecData[Yaw Angle (°)])-180),360),MOD(180-ABS(ABS($DB$1-RecData[Yaw Angle (°)])-180),360))</f>
        <v>31.470408915671754</v>
      </c>
      <c r="DB1161" s="2" t="str">
        <f>IF($DP$2="None","None",IF(RecData[[#This Row],[Relative Wind Direction]]&lt;=45,"DW",IF(RecData[[#This Row],[Relative Wind Direction]]&lt;=135,"CW","UW")))</f>
        <v>DW</v>
      </c>
      <c r="DC1161" s="61">
        <v>-1</v>
      </c>
      <c r="DD1161" s="61">
        <v>-1</v>
      </c>
      <c r="DE1161" s="18" t="b">
        <v>0</v>
      </c>
      <c r="DF1161" s="2" t="b">
        <f>IF(OR(RecData[[#This Row],[WSpd_Avg '[m/s']]]-RecData[[#This Row],[Wind Speed min]]&gt;=$DF$3,RecData[[#This Row],[Wind Speed max]]-RecData[[#This Row],[WSpd_Avg '[m/s']]]&gt;=$DF$2),TRUE,FALSE)</f>
        <v>0</v>
      </c>
      <c r="DG1161" s="2" t="b">
        <f>RecData[[#This Row],[Temperature '[°C']]]&lt;=-20</f>
        <v>0</v>
      </c>
      <c r="DH1161" s="18" t="b">
        <f>NOT(OR(MOD(RecData[[#This Row],[TIMESTAMP]],1)&gt;0.91632,MOD(RecData[[#This Row],[TIMESTAMP]],1)&lt;0.208681))</f>
        <v>0</v>
      </c>
      <c r="DI1161" s="18" t="b">
        <f>RecData[[#This Row],[Overall (dBA)]]-RecData[[#This Row],[L90]]&gt;=$DS$4</f>
        <v>0</v>
      </c>
      <c r="DJ1161" s="18" t="b">
        <f>RecData[[#This Row],[Overall (dBA)]]&gt;$DS$2</f>
        <v>0</v>
      </c>
      <c r="DK1161" s="18" t="b">
        <f>RecData[[#This Row],[Overall (dBA)]]&lt;$DS$3</f>
        <v>0</v>
      </c>
      <c r="DL11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1" s="2">
        <f>IF(AND(RecData[[#This Row],[Turbines ON/OFF]] = "OFF", NOT(OR(RecData[[#This Row],[Junk?]]="YES",RecData[[#This Row],[Gust?]],RecData[[#This Row],[Rain?]:[Min SPL Threshold?]]))),1,0)</f>
        <v>0</v>
      </c>
      <c r="DN1161" s="16">
        <f>RecData[[#This Row],[dBA Sum]]</f>
        <v>39.907420319032468</v>
      </c>
      <c r="DO1161" s="16">
        <f>RecData[[#This Row],[LAF90.0]]</f>
        <v>38.9</v>
      </c>
      <c r="DP1161" s="55">
        <f>IF(AND(RecData[[#This Row],[Useable TON Data?]],RecData[[#This Row],[Turbines ON/OFF]]="ON"),RecData[[#This Row],[dBA Sum]],"")</f>
        <v>39.907420319032468</v>
      </c>
      <c r="DQ1161" s="55" t="str">
        <f>IF(AND(RecData[[#This Row],[Useable Background Data?]],RecData[[#This Row],[Turbines ON/OFF]]="OFF"),RecData[[#This Row],[dBA Sum]],"")</f>
        <v/>
      </c>
      <c r="DR1161" s="3">
        <f>IF(OR(RecData[[#This Row],[Useable TON Data?]],RecData[[#This Row],[Useable Background Data?]]),ROUND(RecData[[#This Row],[WSpd_Avg '[m/s']]],0),"")</f>
        <v>1</v>
      </c>
      <c r="DS1161" s="85">
        <f>(0.00002)^2*(10^(RecData[[#This Row],[Overall (dBA)]]/10))</f>
        <v>3.9156333899661928E-6</v>
      </c>
    </row>
    <row r="1162" spans="1:123" ht="15" x14ac:dyDescent="0.25">
      <c r="A1162" s="3" t="s">
        <v>249</v>
      </c>
      <c r="B1162" s="12">
        <v>43276.025000000001</v>
      </c>
      <c r="C1162" s="3"/>
      <c r="D1162" s="3">
        <v>39.799999999999997</v>
      </c>
      <c r="E1162" s="3"/>
      <c r="F1162" s="3"/>
      <c r="G1162" s="3"/>
      <c r="H1162" s="3"/>
      <c r="I1162" s="3"/>
      <c r="J1162" s="3"/>
      <c r="K1162" s="3">
        <v>37.700000000000003</v>
      </c>
      <c r="L1162" s="3"/>
      <c r="M1162" s="3"/>
      <c r="N1162" s="3">
        <v>165.1</v>
      </c>
      <c r="O1162" s="3"/>
      <c r="P1162" s="3"/>
      <c r="Q1162" s="3">
        <v>1.06</v>
      </c>
      <c r="R1162" s="3">
        <v>0.7</v>
      </c>
      <c r="S1162" s="3">
        <v>1.3</v>
      </c>
      <c r="T1162" s="3">
        <v>11.9</v>
      </c>
      <c r="U1162" s="3">
        <v>53.1</v>
      </c>
      <c r="V1162" s="3">
        <v>977.6</v>
      </c>
      <c r="W1162" s="3">
        <v>0</v>
      </c>
      <c r="X1162" s="3">
        <v>44.3</v>
      </c>
      <c r="Y1162" s="3">
        <v>42</v>
      </c>
      <c r="Z1162" s="3">
        <v>41.7</v>
      </c>
      <c r="AA1162" s="3">
        <v>38.4</v>
      </c>
      <c r="AB1162" s="3">
        <v>34</v>
      </c>
      <c r="AC1162" s="3">
        <v>32.5</v>
      </c>
      <c r="AD1162" s="3">
        <v>36.700000000000003</v>
      </c>
      <c r="AE1162" s="3">
        <v>38.9</v>
      </c>
      <c r="AF1162" s="3">
        <v>45.4</v>
      </c>
      <c r="AG1162" s="3">
        <v>40.5</v>
      </c>
      <c r="AH1162" s="3">
        <v>38</v>
      </c>
      <c r="AI1162" s="3">
        <v>38.9</v>
      </c>
      <c r="AJ1162" s="3">
        <v>36.9</v>
      </c>
      <c r="AK1162" s="3">
        <v>35.9</v>
      </c>
      <c r="AL1162" s="3">
        <v>33.4</v>
      </c>
      <c r="AM1162" s="3">
        <v>32.6</v>
      </c>
      <c r="AN1162" s="3">
        <v>29.9</v>
      </c>
      <c r="AO1162" s="3">
        <v>25.8</v>
      </c>
      <c r="AP1162" s="3">
        <v>23.4</v>
      </c>
      <c r="AQ1162" s="3">
        <v>21</v>
      </c>
      <c r="AR1162" s="3">
        <v>16.899999999999999</v>
      </c>
      <c r="AS1162" s="3">
        <v>14.1</v>
      </c>
      <c r="AT1162" s="3">
        <v>15.2</v>
      </c>
      <c r="AU1162" s="3">
        <v>9.1999999999999993</v>
      </c>
      <c r="AV1162" s="3">
        <v>9</v>
      </c>
      <c r="AW1162" s="3">
        <v>9</v>
      </c>
      <c r="AX1162" s="3">
        <v>8.9</v>
      </c>
      <c r="AY1162" s="3">
        <v>9.1</v>
      </c>
      <c r="AZ1162" s="3">
        <v>0</v>
      </c>
      <c r="BA1162" s="3">
        <v>0</v>
      </c>
      <c r="BB1162" s="3">
        <v>0</v>
      </c>
      <c r="BC1162" s="3">
        <v>39.735290197757955</v>
      </c>
      <c r="BD1162" s="3">
        <v>44.364709802242039</v>
      </c>
      <c r="BE1162" s="3">
        <v>42.064709802242042</v>
      </c>
      <c r="BF1162" s="3">
        <v>40.524709802242036</v>
      </c>
      <c r="BG1162" s="3">
        <v>37.551376468908707</v>
      </c>
      <c r="BH1162" s="3">
        <v>33.291376468908716</v>
      </c>
      <c r="BI1162" s="3">
        <v>32.204709802242043</v>
      </c>
      <c r="BJ1162" s="3">
        <v>37.198043135575382</v>
      </c>
      <c r="BK1162" s="3">
        <v>39.271376468908706</v>
      </c>
      <c r="BL1162" s="3">
        <v>45.344709802242043</v>
      </c>
      <c r="BM1162" s="3">
        <v>40.578043135575378</v>
      </c>
      <c r="BN1162" s="3">
        <v>38.361376468908709</v>
      </c>
      <c r="BO1162" s="3">
        <v>38.628043135575375</v>
      </c>
      <c r="BP1162" s="3">
        <v>36.344709802242043</v>
      </c>
      <c r="BQ1162" s="3">
        <v>35.761376468908701</v>
      </c>
      <c r="BR1162" s="3">
        <v>33.588043135575369</v>
      </c>
      <c r="BS1162" s="3">
        <v>32.591376468908713</v>
      </c>
      <c r="BT1162" s="3">
        <v>30.088043135575369</v>
      </c>
      <c r="BU1162" s="3">
        <v>25.954709802242043</v>
      </c>
      <c r="BV1162" s="3">
        <v>23.271376468908706</v>
      </c>
      <c r="BW1162" s="3">
        <v>21.404709802242046</v>
      </c>
      <c r="BX1162" s="3">
        <v>17.224709802242046</v>
      </c>
      <c r="BY1162" s="3">
        <v>14.244709802242042</v>
      </c>
      <c r="BZ1162" s="3">
        <v>15.474709802242046</v>
      </c>
      <c r="CA1162" s="3">
        <v>9.5747098022420332</v>
      </c>
      <c r="CB1162" s="3">
        <v>8.8113764689087049</v>
      </c>
      <c r="CC1162" s="3">
        <v>9.0247098022420431</v>
      </c>
      <c r="CD1162" s="3">
        <v>8.2313764689087137</v>
      </c>
      <c r="CE1162" s="3">
        <v>8.6247098022420445</v>
      </c>
      <c r="CF1162" s="3">
        <v>-0.86195686442462716</v>
      </c>
      <c r="CG1162" s="3">
        <v>-1.3952901977579586</v>
      </c>
      <c r="CH1162" s="3">
        <v>-2.4719568644246266</v>
      </c>
      <c r="CI1162" s="13">
        <f>[1]!dbasum(RecData[[#This Row],[20]:[2000]],RecData[[#Headers],[20]:[2000]])</f>
        <v>39.648242994494701</v>
      </c>
      <c r="CJ1162" s="14">
        <v>10757</v>
      </c>
      <c r="CK1162" s="15" t="s">
        <v>249</v>
      </c>
      <c r="CL1162" s="15">
        <f>RecData[[#This Row],[Start Time]]</f>
        <v>43276.025000000001</v>
      </c>
      <c r="CM1162" s="16">
        <f>RecData[[#This Row],[Wind Speed avg]]</f>
        <v>1.06</v>
      </c>
      <c r="CN1162" s="16">
        <f>RecData[[#This Row],[Wind Dir. avg]]</f>
        <v>165.1</v>
      </c>
      <c r="CO1162" s="16">
        <f>RecData[[#This Row],[Amb. Humidity]]</f>
        <v>53.1</v>
      </c>
      <c r="CP1162" s="16">
        <f>RecData[[#This Row],[Amb. Temperature]]</f>
        <v>11.9</v>
      </c>
      <c r="CQ1162" s="17">
        <f>RecData[[#This Row],[Amb. Rain Gauge]]</f>
        <v>0</v>
      </c>
      <c r="CR1162" s="4" t="s">
        <v>1</v>
      </c>
      <c r="CS1162" s="4" t="s">
        <v>49</v>
      </c>
      <c r="CT1162" s="70">
        <v>1616.55419921875</v>
      </c>
      <c r="CU1162" s="70">
        <v>39.000335693359297</v>
      </c>
      <c r="CV1162" s="70">
        <v>10.403810501098601</v>
      </c>
      <c r="CW1162" s="70">
        <v>15.298921585083001</v>
      </c>
      <c r="CX1162" s="4"/>
      <c r="CY1162" s="69"/>
      <c r="CZ1162" s="2" t="b">
        <f>IF($DP$1="YES",IF(RecData[[#This Row],[Power (kW)]]&gt;=$CR$3, TRUE,FALSE),TRUE)</f>
        <v>1</v>
      </c>
      <c r="DA1162" s="16">
        <f>MIN(MOD(180-ABS(ABS($DA$1-RecData[Yaw Angle (°)])-180),360),MOD(180-ABS(ABS($DB$1-RecData[Yaw Angle (°)])-180),360))</f>
        <v>31.470408915671754</v>
      </c>
      <c r="DB1162" s="2" t="str">
        <f>IF($DP$2="None","None",IF(RecData[[#This Row],[Relative Wind Direction]]&lt;=45,"DW",IF(RecData[[#This Row],[Relative Wind Direction]]&lt;=135,"CW","UW")))</f>
        <v>DW</v>
      </c>
      <c r="DC1162" s="61">
        <f>IF($CL1162-$CL1161&gt;1/24,#REF!,IF(SUM($CQ1161:$CQ1162)&gt;$DS$1,$DS$5,DC1163-1))</f>
        <v>-9</v>
      </c>
      <c r="DD1162" s="61">
        <f>IF($CL1163-$CL1162&gt;1/24,#REF!,IF(SUM($CQ1161:$CQ1162)&gt;$DS$1,$DS$6,DD1161-1))</f>
        <v>-2</v>
      </c>
      <c r="DE1162" s="18" t="b">
        <v>0</v>
      </c>
      <c r="DF1162" s="2" t="b">
        <f>IF(OR(RecData[[#This Row],[WSpd_Avg '[m/s']]]-RecData[[#This Row],[Wind Speed min]]&gt;=$DF$3,RecData[[#This Row],[Wind Speed max]]-RecData[[#This Row],[WSpd_Avg '[m/s']]]&gt;=$DF$2),TRUE,FALSE)</f>
        <v>0</v>
      </c>
      <c r="DG1162" s="2" t="b">
        <f>RecData[[#This Row],[Temperature '[°C']]]&lt;=-20</f>
        <v>0</v>
      </c>
      <c r="DH1162" s="18" t="b">
        <f>NOT(OR(MOD(RecData[[#This Row],[TIMESTAMP]],1)&gt;0.91632,MOD(RecData[[#This Row],[TIMESTAMP]],1)&lt;0.208681))</f>
        <v>0</v>
      </c>
      <c r="DI1162" s="18" t="b">
        <f>RecData[[#This Row],[Overall (dBA)]]-RecData[[#This Row],[L90]]&gt;=$DS$4</f>
        <v>0</v>
      </c>
      <c r="DJ1162" s="18" t="b">
        <f>RecData[[#This Row],[Overall (dBA)]]&gt;$DS$2</f>
        <v>0</v>
      </c>
      <c r="DK1162" s="18" t="b">
        <f>RecData[[#This Row],[Overall (dBA)]]&lt;$DS$3</f>
        <v>0</v>
      </c>
      <c r="DL11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2" s="2">
        <f>IF(AND(RecData[[#This Row],[Turbines ON/OFF]] = "OFF", NOT(OR(RecData[[#This Row],[Junk?]]="YES",RecData[[#This Row],[Gust?]],RecData[[#This Row],[Rain?]:[Min SPL Threshold?]]))),1,0)</f>
        <v>0</v>
      </c>
      <c r="DN1162" s="16">
        <f>RecData[[#This Row],[dBA Sum]]</f>
        <v>39.648242994494701</v>
      </c>
      <c r="DO1162" s="16">
        <f>RecData[[#This Row],[LAF90.0]]</f>
        <v>37.700000000000003</v>
      </c>
      <c r="DP1162" s="55">
        <f>IF(AND(RecData[[#This Row],[Useable TON Data?]],RecData[[#This Row],[Turbines ON/OFF]]="ON"),RecData[[#This Row],[dBA Sum]],"")</f>
        <v>39.648242994494701</v>
      </c>
      <c r="DQ1162" s="55" t="str">
        <f>IF(AND(RecData[[#This Row],[Useable Background Data?]],RecData[[#This Row],[Turbines ON/OFF]]="OFF"),RecData[[#This Row],[dBA Sum]],"")</f>
        <v/>
      </c>
      <c r="DR1162" s="3">
        <f>IF(OR(RecData[[#This Row],[Useable TON Data?]],RecData[[#This Row],[Useable Background Data?]]),ROUND(RecData[[#This Row],[WSpd_Avg '[m/s']]],0),"")</f>
        <v>1</v>
      </c>
      <c r="DS1162" s="85">
        <f>(0.00002)^2*(10^(RecData[[#This Row],[Overall (dBA)]]/10))</f>
        <v>3.6887930484122699E-6</v>
      </c>
    </row>
    <row r="1163" spans="1:123" ht="15" x14ac:dyDescent="0.25">
      <c r="A1163" s="3" t="s">
        <v>249</v>
      </c>
      <c r="B1163" s="12">
        <v>43276.025694444441</v>
      </c>
      <c r="C1163" s="3"/>
      <c r="D1163" s="3">
        <v>39.4</v>
      </c>
      <c r="E1163" s="3"/>
      <c r="F1163" s="3"/>
      <c r="G1163" s="3"/>
      <c r="H1163" s="3"/>
      <c r="I1163" s="3"/>
      <c r="J1163" s="3"/>
      <c r="K1163" s="3">
        <v>38.1</v>
      </c>
      <c r="L1163" s="3"/>
      <c r="M1163" s="3"/>
      <c r="N1163" s="3">
        <v>174.5</v>
      </c>
      <c r="O1163" s="3"/>
      <c r="P1163" s="3"/>
      <c r="Q1163" s="3">
        <v>0.8</v>
      </c>
      <c r="R1163" s="3">
        <v>0.3</v>
      </c>
      <c r="S1163" s="3">
        <v>1.6</v>
      </c>
      <c r="T1163" s="3">
        <v>11.9</v>
      </c>
      <c r="U1163" s="3">
        <v>53.2</v>
      </c>
      <c r="V1163" s="3">
        <v>977.6</v>
      </c>
      <c r="W1163" s="3">
        <v>0</v>
      </c>
      <c r="X1163" s="3">
        <v>43.8</v>
      </c>
      <c r="Y1163" s="3">
        <v>41.7</v>
      </c>
      <c r="Z1163" s="3">
        <v>41.7</v>
      </c>
      <c r="AA1163" s="3">
        <v>38.9</v>
      </c>
      <c r="AB1163" s="3">
        <v>33.799999999999997</v>
      </c>
      <c r="AC1163" s="3">
        <v>33.1</v>
      </c>
      <c r="AD1163" s="3">
        <v>37</v>
      </c>
      <c r="AE1163" s="3">
        <v>38.799999999999997</v>
      </c>
      <c r="AF1163" s="3">
        <v>46.2</v>
      </c>
      <c r="AG1163" s="3">
        <v>39.700000000000003</v>
      </c>
      <c r="AH1163" s="3">
        <v>38.200000000000003</v>
      </c>
      <c r="AI1163" s="3">
        <v>38.5</v>
      </c>
      <c r="AJ1163" s="3">
        <v>36.9</v>
      </c>
      <c r="AK1163" s="3">
        <v>35.299999999999997</v>
      </c>
      <c r="AL1163" s="3">
        <v>32.6</v>
      </c>
      <c r="AM1163" s="3">
        <v>31.6</v>
      </c>
      <c r="AN1163" s="3">
        <v>28.8</v>
      </c>
      <c r="AO1163" s="3">
        <v>25</v>
      </c>
      <c r="AP1163" s="3">
        <v>23.6</v>
      </c>
      <c r="AQ1163" s="3">
        <v>20.5</v>
      </c>
      <c r="AR1163" s="3">
        <v>17.100000000000001</v>
      </c>
      <c r="AS1163" s="3">
        <v>14.6</v>
      </c>
      <c r="AT1163" s="3">
        <v>14.7</v>
      </c>
      <c r="AU1163" s="3">
        <v>10.7</v>
      </c>
      <c r="AV1163" s="3">
        <v>10</v>
      </c>
      <c r="AW1163" s="3">
        <v>9.6</v>
      </c>
      <c r="AX1163" s="3">
        <v>9.1</v>
      </c>
      <c r="AY1163" s="3">
        <v>9.1999999999999993</v>
      </c>
      <c r="AZ1163" s="3">
        <v>0</v>
      </c>
      <c r="BA1163" s="3">
        <v>0</v>
      </c>
      <c r="BB1163" s="3">
        <v>0</v>
      </c>
      <c r="BC1163" s="3">
        <v>39.343747500770931</v>
      </c>
      <c r="BD1163" s="3">
        <v>43.856252499229058</v>
      </c>
      <c r="BE1163" s="3">
        <v>41.756252499229063</v>
      </c>
      <c r="BF1163" s="3">
        <v>40.516252499229068</v>
      </c>
      <c r="BG1163" s="3">
        <v>38.042919165895725</v>
      </c>
      <c r="BH1163" s="3">
        <v>33.082919165895731</v>
      </c>
      <c r="BI1163" s="3">
        <v>32.79625249922907</v>
      </c>
      <c r="BJ1163" s="3">
        <v>37.489585832562398</v>
      </c>
      <c r="BK1163" s="3">
        <v>39.16291916589573</v>
      </c>
      <c r="BL1163" s="3">
        <v>46.136252499229073</v>
      </c>
      <c r="BM1163" s="3">
        <v>39.769585832562413</v>
      </c>
      <c r="BN1163" s="3">
        <v>38.552919165895744</v>
      </c>
      <c r="BO1163" s="3">
        <v>38.219585832562402</v>
      </c>
      <c r="BP1163" s="3">
        <v>36.336252499229076</v>
      </c>
      <c r="BQ1163" s="3">
        <v>35.152919165895725</v>
      </c>
      <c r="BR1163" s="3">
        <v>32.779585832562404</v>
      </c>
      <c r="BS1163" s="3">
        <v>31.582919165895731</v>
      </c>
      <c r="BT1163" s="3">
        <v>28.979585832562407</v>
      </c>
      <c r="BU1163" s="3">
        <v>25.146252499229078</v>
      </c>
      <c r="BV1163" s="3">
        <v>23.462919165895741</v>
      </c>
      <c r="BW1163" s="3">
        <v>20.896252499229071</v>
      </c>
      <c r="BX1163" s="3">
        <v>17.416252499229074</v>
      </c>
      <c r="BY1163" s="3">
        <v>14.736252499229067</v>
      </c>
      <c r="BZ1163" s="3">
        <v>14.966252499229071</v>
      </c>
      <c r="CA1163" s="3">
        <v>11.066252499229059</v>
      </c>
      <c r="CB1163" s="3">
        <v>9.8029191658957302</v>
      </c>
      <c r="CC1163" s="3">
        <v>9.6162524992290628</v>
      </c>
      <c r="CD1163" s="3">
        <v>8.4229191658957347</v>
      </c>
      <c r="CE1163" s="3">
        <v>8.7162524992290642</v>
      </c>
      <c r="CF1163" s="3">
        <v>-0.8704141674376018</v>
      </c>
      <c r="CG1163" s="3">
        <v>-1.4037475007709332</v>
      </c>
      <c r="CH1163" s="3">
        <v>-2.4804141674376012</v>
      </c>
      <c r="CI1163" s="13">
        <f>[1]!dbasum(RecData[[#This Row],[20]:[2000]],RecData[[#Headers],[20]:[2000]])</f>
        <v>39.230749730073136</v>
      </c>
      <c r="CJ1163" s="14">
        <v>10758</v>
      </c>
      <c r="CK1163" s="15" t="s">
        <v>249</v>
      </c>
      <c r="CL1163" s="15">
        <f>RecData[[#This Row],[Start Time]]</f>
        <v>43276.025694444441</v>
      </c>
      <c r="CM1163" s="16">
        <f>RecData[[#This Row],[Wind Speed avg]]</f>
        <v>0.8</v>
      </c>
      <c r="CN1163" s="16">
        <f>RecData[[#This Row],[Wind Dir. avg]]</f>
        <v>174.5</v>
      </c>
      <c r="CO1163" s="16">
        <f>RecData[[#This Row],[Amb. Humidity]]</f>
        <v>53.2</v>
      </c>
      <c r="CP1163" s="16">
        <f>RecData[[#This Row],[Amb. Temperature]]</f>
        <v>11.9</v>
      </c>
      <c r="CQ1163" s="17">
        <f>RecData[[#This Row],[Amb. Rain Gauge]]</f>
        <v>0</v>
      </c>
      <c r="CR1163" s="4" t="s">
        <v>1</v>
      </c>
      <c r="CS1163" s="4" t="s">
        <v>49</v>
      </c>
      <c r="CT1163" s="70">
        <v>1616.55419921875</v>
      </c>
      <c r="CU1163" s="70">
        <v>39.000335693359297</v>
      </c>
      <c r="CV1163" s="70">
        <v>10.403810501098601</v>
      </c>
      <c r="CW1163" s="70">
        <v>15.298921585083001</v>
      </c>
      <c r="CX1163" s="4"/>
      <c r="CY1163" s="69"/>
      <c r="CZ1163" s="2" t="b">
        <f>IF($DP$1="YES",IF(RecData[[#This Row],[Power (kW)]]&gt;=$CR$3, TRUE,FALSE),TRUE)</f>
        <v>1</v>
      </c>
      <c r="DA1163" s="16">
        <f>MIN(MOD(180-ABS(ABS($DA$1-RecData[Yaw Angle (°)])-180),360),MOD(180-ABS(ABS($DB$1-RecData[Yaw Angle (°)])-180),360))</f>
        <v>31.470408915671754</v>
      </c>
      <c r="DB1163" s="2" t="str">
        <f>IF($DP$2="None","None",IF(RecData[[#This Row],[Relative Wind Direction]]&lt;=45,"DW",IF(RecData[[#This Row],[Relative Wind Direction]]&lt;=135,"CW","UW")))</f>
        <v>DW</v>
      </c>
      <c r="DC1163" s="61">
        <f>IF($CL1163-$CL1161&gt;1/24,#REF!,IF(SUM($CQ1161:$CQ1163)&gt;$DS$1,$DS$5,DC1164-1))</f>
        <v>-8</v>
      </c>
      <c r="DD1163" s="61">
        <f>IF($CL1164-$CL1163&gt;1/24,#REF!,IF(SUM($CQ1161:$CQ1163)&gt;$DS$1,$DS$6,DD1162-1))</f>
        <v>-3</v>
      </c>
      <c r="DE1163" s="18" t="b">
        <v>0</v>
      </c>
      <c r="DF1163" s="2" t="b">
        <f>IF(OR(RecData[[#This Row],[WSpd_Avg '[m/s']]]-RecData[[#This Row],[Wind Speed min]]&gt;=$DF$3,RecData[[#This Row],[Wind Speed max]]-RecData[[#This Row],[WSpd_Avg '[m/s']]]&gt;=$DF$2),TRUE,FALSE)</f>
        <v>0</v>
      </c>
      <c r="DG1163" s="2" t="b">
        <f>RecData[[#This Row],[Temperature '[°C']]]&lt;=-20</f>
        <v>0</v>
      </c>
      <c r="DH1163" s="18" t="b">
        <f>NOT(OR(MOD(RecData[[#This Row],[TIMESTAMP]],1)&gt;0.91632,MOD(RecData[[#This Row],[TIMESTAMP]],1)&lt;0.208681))</f>
        <v>0</v>
      </c>
      <c r="DI1163" s="18" t="b">
        <f>RecData[[#This Row],[Overall (dBA)]]-RecData[[#This Row],[L90]]&gt;=$DS$4</f>
        <v>0</v>
      </c>
      <c r="DJ1163" s="18" t="b">
        <f>RecData[[#This Row],[Overall (dBA)]]&gt;$DS$2</f>
        <v>0</v>
      </c>
      <c r="DK1163" s="18" t="b">
        <f>RecData[[#This Row],[Overall (dBA)]]&lt;$DS$3</f>
        <v>0</v>
      </c>
      <c r="DL11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3" s="2">
        <f>IF(AND(RecData[[#This Row],[Turbines ON/OFF]] = "OFF", NOT(OR(RecData[[#This Row],[Junk?]]="YES",RecData[[#This Row],[Gust?]],RecData[[#This Row],[Rain?]:[Min SPL Threshold?]]))),1,0)</f>
        <v>0</v>
      </c>
      <c r="DN1163" s="16">
        <f>RecData[[#This Row],[dBA Sum]]</f>
        <v>39.230749730073136</v>
      </c>
      <c r="DO1163" s="16">
        <f>RecData[[#This Row],[LAF90.0]]</f>
        <v>38.1</v>
      </c>
      <c r="DP1163" s="55">
        <f>IF(AND(RecData[[#This Row],[Useable TON Data?]],RecData[[#This Row],[Turbines ON/OFF]]="ON"),RecData[[#This Row],[dBA Sum]],"")</f>
        <v>39.230749730073136</v>
      </c>
      <c r="DQ1163" s="55" t="str">
        <f>IF(AND(RecData[[#This Row],[Useable Background Data?]],RecData[[#This Row],[Turbines ON/OFF]]="OFF"),RecData[[#This Row],[dBA Sum]],"")</f>
        <v/>
      </c>
      <c r="DR1163" s="3">
        <f>IF(OR(RecData[[#This Row],[Useable TON Data?]],RecData[[#This Row],[Useable Background Data?]]),ROUND(RecData[[#This Row],[WSpd_Avg '[m/s']]],0),"")</f>
        <v>1</v>
      </c>
      <c r="DS1163" s="85">
        <f>(0.00002)^2*(10^(RecData[[#This Row],[Overall (dBA)]]/10))</f>
        <v>3.3506955149423284E-6</v>
      </c>
    </row>
    <row r="1164" spans="1:123" ht="15" x14ac:dyDescent="0.25">
      <c r="A1164" s="3" t="s">
        <v>249</v>
      </c>
      <c r="B1164" s="12">
        <v>43276.026388888888</v>
      </c>
      <c r="C1164" s="3"/>
      <c r="D1164" s="3">
        <v>40.5</v>
      </c>
      <c r="E1164" s="3"/>
      <c r="F1164" s="3"/>
      <c r="G1164" s="3"/>
      <c r="H1164" s="3"/>
      <c r="I1164" s="3"/>
      <c r="J1164" s="3"/>
      <c r="K1164" s="3">
        <v>39.1</v>
      </c>
      <c r="L1164" s="3"/>
      <c r="M1164" s="3"/>
      <c r="N1164" s="3">
        <v>192.5</v>
      </c>
      <c r="O1164" s="3"/>
      <c r="P1164" s="3"/>
      <c r="Q1164" s="3">
        <v>0.7</v>
      </c>
      <c r="R1164" s="3">
        <v>0.3</v>
      </c>
      <c r="S1164" s="3">
        <v>1.4</v>
      </c>
      <c r="T1164" s="3">
        <v>11.8</v>
      </c>
      <c r="U1164" s="3">
        <v>53.3</v>
      </c>
      <c r="V1164" s="3">
        <v>977.6</v>
      </c>
      <c r="W1164" s="3">
        <v>0</v>
      </c>
      <c r="X1164" s="3">
        <v>44.2</v>
      </c>
      <c r="Y1164" s="3">
        <v>42.3</v>
      </c>
      <c r="Z1164" s="3">
        <v>42</v>
      </c>
      <c r="AA1164" s="3">
        <v>39.200000000000003</v>
      </c>
      <c r="AB1164" s="3">
        <v>34.299999999999997</v>
      </c>
      <c r="AC1164" s="3">
        <v>33.1</v>
      </c>
      <c r="AD1164" s="3">
        <v>38.299999999999997</v>
      </c>
      <c r="AE1164" s="3">
        <v>40.5</v>
      </c>
      <c r="AF1164" s="3">
        <v>46.1</v>
      </c>
      <c r="AG1164" s="3">
        <v>40.799999999999997</v>
      </c>
      <c r="AH1164" s="3">
        <v>39.5</v>
      </c>
      <c r="AI1164" s="3">
        <v>40.5</v>
      </c>
      <c r="AJ1164" s="3">
        <v>38.1</v>
      </c>
      <c r="AK1164" s="3">
        <v>36.700000000000003</v>
      </c>
      <c r="AL1164" s="3">
        <v>34</v>
      </c>
      <c r="AM1164" s="3">
        <v>33</v>
      </c>
      <c r="AN1164" s="3">
        <v>29.9</v>
      </c>
      <c r="AO1164" s="3">
        <v>26</v>
      </c>
      <c r="AP1164" s="3">
        <v>23.7</v>
      </c>
      <c r="AQ1164" s="3">
        <v>20.9</v>
      </c>
      <c r="AR1164" s="3">
        <v>16.600000000000001</v>
      </c>
      <c r="AS1164" s="3">
        <v>13.4</v>
      </c>
      <c r="AT1164" s="3">
        <v>13</v>
      </c>
      <c r="AU1164" s="3">
        <v>9.1</v>
      </c>
      <c r="AV1164" s="3">
        <v>8.8000000000000007</v>
      </c>
      <c r="AW1164" s="3">
        <v>9.1</v>
      </c>
      <c r="AX1164" s="3">
        <v>8.9</v>
      </c>
      <c r="AY1164" s="3">
        <v>9.1</v>
      </c>
      <c r="AZ1164" s="3">
        <v>0</v>
      </c>
      <c r="BA1164" s="3">
        <v>0</v>
      </c>
      <c r="BB1164" s="3">
        <v>0</v>
      </c>
      <c r="BC1164" s="3">
        <v>40.492488693253335</v>
      </c>
      <c r="BD1164" s="3">
        <v>44.207511306746667</v>
      </c>
      <c r="BE1164" s="3">
        <v>42.307511306746662</v>
      </c>
      <c r="BF1164" s="3">
        <v>40.767511306746655</v>
      </c>
      <c r="BG1164" s="3">
        <v>38.294177973413326</v>
      </c>
      <c r="BH1164" s="3">
        <v>33.534177973413335</v>
      </c>
      <c r="BI1164" s="3">
        <v>32.747511306746674</v>
      </c>
      <c r="BJ1164" s="3">
        <v>38.740844640079985</v>
      </c>
      <c r="BK1164" s="3">
        <v>40.814177973413337</v>
      </c>
      <c r="BL1164" s="3">
        <v>45.987511306746669</v>
      </c>
      <c r="BM1164" s="3">
        <v>40.820844640079997</v>
      </c>
      <c r="BN1164" s="3">
        <v>39.804177973413331</v>
      </c>
      <c r="BO1164" s="3">
        <v>40.170844640079991</v>
      </c>
      <c r="BP1164" s="3">
        <v>37.487511306746669</v>
      </c>
      <c r="BQ1164" s="3">
        <v>36.504177973413334</v>
      </c>
      <c r="BR1164" s="3">
        <v>34.130844640079999</v>
      </c>
      <c r="BS1164" s="3">
        <v>32.934177973413341</v>
      </c>
      <c r="BT1164" s="3">
        <v>30.030844640080005</v>
      </c>
      <c r="BU1164" s="3">
        <v>26.097511306746668</v>
      </c>
      <c r="BV1164" s="3">
        <v>23.514177973413325</v>
      </c>
      <c r="BW1164" s="3">
        <v>21.247511306746667</v>
      </c>
      <c r="BX1164" s="3">
        <v>16.867511306746671</v>
      </c>
      <c r="BY1164" s="3">
        <v>13.487511306746661</v>
      </c>
      <c r="BZ1164" s="3">
        <v>13.217511306746665</v>
      </c>
      <c r="CA1164" s="3">
        <v>9.4175113067466611</v>
      </c>
      <c r="CB1164" s="3">
        <v>8.5541779734133314</v>
      </c>
      <c r="CC1164" s="3">
        <v>9.0675113067466668</v>
      </c>
      <c r="CD1164" s="3">
        <v>8.174177973413336</v>
      </c>
      <c r="CE1164" s="3">
        <v>8.5675113067466668</v>
      </c>
      <c r="CF1164" s="3">
        <v>-0.91915535992000486</v>
      </c>
      <c r="CG1164" s="3">
        <v>-1.4524886932533363</v>
      </c>
      <c r="CH1164" s="3">
        <v>-2.5291553599200043</v>
      </c>
      <c r="CI1164" s="13">
        <f>[1]!dbasum(RecData[[#This Row],[20]:[2000]],RecData[[#Headers],[20]:[2000]])</f>
        <v>40.352107371945969</v>
      </c>
      <c r="CJ1164" s="14">
        <v>10759</v>
      </c>
      <c r="CK1164" s="15" t="s">
        <v>249</v>
      </c>
      <c r="CL1164" s="15">
        <f>RecData[[#This Row],[Start Time]]</f>
        <v>43276.026388888888</v>
      </c>
      <c r="CM1164" s="16">
        <f>RecData[[#This Row],[Wind Speed avg]]</f>
        <v>0.7</v>
      </c>
      <c r="CN1164" s="16">
        <f>RecData[[#This Row],[Wind Dir. avg]]</f>
        <v>192.5</v>
      </c>
      <c r="CO1164" s="16">
        <f>RecData[[#This Row],[Amb. Humidity]]</f>
        <v>53.3</v>
      </c>
      <c r="CP1164" s="16">
        <f>RecData[[#This Row],[Amb. Temperature]]</f>
        <v>11.8</v>
      </c>
      <c r="CQ1164" s="17">
        <f>RecData[[#This Row],[Amb. Rain Gauge]]</f>
        <v>0</v>
      </c>
      <c r="CR1164" s="4" t="s">
        <v>1</v>
      </c>
      <c r="CS1164" s="4" t="s">
        <v>49</v>
      </c>
      <c r="CT1164" s="70">
        <v>1616.55419921875</v>
      </c>
      <c r="CU1164" s="70">
        <v>39.000335693359297</v>
      </c>
      <c r="CV1164" s="70">
        <v>10.403810501098601</v>
      </c>
      <c r="CW1164" s="70">
        <v>15.298921585083001</v>
      </c>
      <c r="CX1164" s="4"/>
      <c r="CY1164" s="69"/>
      <c r="CZ1164" s="2" t="b">
        <f>IF($DP$1="YES",IF(RecData[[#This Row],[Power (kW)]]&gt;=$CR$3, TRUE,FALSE),TRUE)</f>
        <v>1</v>
      </c>
      <c r="DA1164" s="16">
        <f>MIN(MOD(180-ABS(ABS($DA$1-RecData[Yaw Angle (°)])-180),360),MOD(180-ABS(ABS($DB$1-RecData[Yaw Angle (°)])-180),360))</f>
        <v>31.470408915671754</v>
      </c>
      <c r="DB1164" s="2" t="str">
        <f>IF($DP$2="None","None",IF(RecData[[#This Row],[Relative Wind Direction]]&lt;=45,"DW",IF(RecData[[#This Row],[Relative Wind Direction]]&lt;=135,"CW","UW")))</f>
        <v>DW</v>
      </c>
      <c r="DC1164" s="61">
        <f>IF($CL1164-$CL1161&gt;1/24,#REF!,IF(SUM($CQ1161:$CQ1164)&gt;$DS$1,$DS$5,DC1165-1))</f>
        <v>-7</v>
      </c>
      <c r="DD1164" s="61">
        <f>IF($CL1165-$CL1164&gt;1/24,#REF!,IF(SUM($CQ1161:$CQ1164)&gt;$DS$1,$DS$6,DD1163-1))</f>
        <v>-4</v>
      </c>
      <c r="DE1164" s="18" t="b">
        <v>0</v>
      </c>
      <c r="DF1164" s="2" t="b">
        <f>IF(OR(RecData[[#This Row],[WSpd_Avg '[m/s']]]-RecData[[#This Row],[Wind Speed min]]&gt;=$DF$3,RecData[[#This Row],[Wind Speed max]]-RecData[[#This Row],[WSpd_Avg '[m/s']]]&gt;=$DF$2),TRUE,FALSE)</f>
        <v>0</v>
      </c>
      <c r="DG1164" s="2" t="b">
        <f>RecData[[#This Row],[Temperature '[°C']]]&lt;=-20</f>
        <v>0</v>
      </c>
      <c r="DH1164" s="18" t="b">
        <f>NOT(OR(MOD(RecData[[#This Row],[TIMESTAMP]],1)&gt;0.91632,MOD(RecData[[#This Row],[TIMESTAMP]],1)&lt;0.208681))</f>
        <v>0</v>
      </c>
      <c r="DI1164" s="18" t="b">
        <f>RecData[[#This Row],[Overall (dBA)]]-RecData[[#This Row],[L90]]&gt;=$DS$4</f>
        <v>0</v>
      </c>
      <c r="DJ1164" s="18" t="b">
        <f>RecData[[#This Row],[Overall (dBA)]]&gt;$DS$2</f>
        <v>0</v>
      </c>
      <c r="DK1164" s="18" t="b">
        <f>RecData[[#This Row],[Overall (dBA)]]&lt;$DS$3</f>
        <v>0</v>
      </c>
      <c r="DL11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4" s="2">
        <f>IF(AND(RecData[[#This Row],[Turbines ON/OFF]] = "OFF", NOT(OR(RecData[[#This Row],[Junk?]]="YES",RecData[[#This Row],[Gust?]],RecData[[#This Row],[Rain?]:[Min SPL Threshold?]]))),1,0)</f>
        <v>0</v>
      </c>
      <c r="DN1164" s="16">
        <f>RecData[[#This Row],[dBA Sum]]</f>
        <v>40.352107371945969</v>
      </c>
      <c r="DO1164" s="16">
        <f>RecData[[#This Row],[LAF90.0]]</f>
        <v>39.1</v>
      </c>
      <c r="DP1164" s="55">
        <f>IF(AND(RecData[[#This Row],[Useable TON Data?]],RecData[[#This Row],[Turbines ON/OFF]]="ON"),RecData[[#This Row],[dBA Sum]],"")</f>
        <v>40.352107371945969</v>
      </c>
      <c r="DQ1164" s="55" t="str">
        <f>IF(AND(RecData[[#This Row],[Useable Background Data?]],RecData[[#This Row],[Turbines ON/OFF]]="OFF"),RecData[[#This Row],[dBA Sum]],"")</f>
        <v/>
      </c>
      <c r="DR1164" s="3">
        <f>IF(OR(RecData[[#This Row],[Useable TON Data?]],RecData[[#This Row],[Useable Background Data?]]),ROUND(RecData[[#This Row],[WSpd_Avg '[m/s']]],0),"")</f>
        <v>1</v>
      </c>
      <c r="DS1164" s="85">
        <f>(0.00002)^2*(10^(RecData[[#This Row],[Overall (dBA)]]/10))</f>
        <v>4.3378120267889727E-6</v>
      </c>
    </row>
    <row r="1165" spans="1:123" ht="15" x14ac:dyDescent="0.25">
      <c r="A1165" s="3" t="s">
        <v>249</v>
      </c>
      <c r="B1165" s="12">
        <v>43276.027083333334</v>
      </c>
      <c r="C1165" s="3"/>
      <c r="D1165" s="3">
        <v>40.200000000000003</v>
      </c>
      <c r="E1165" s="3"/>
      <c r="F1165" s="3"/>
      <c r="G1165" s="3"/>
      <c r="H1165" s="3"/>
      <c r="I1165" s="3"/>
      <c r="J1165" s="3"/>
      <c r="K1165" s="3">
        <v>39</v>
      </c>
      <c r="L1165" s="3"/>
      <c r="M1165" s="3"/>
      <c r="N1165" s="3">
        <v>198.2</v>
      </c>
      <c r="O1165" s="3"/>
      <c r="P1165" s="3"/>
      <c r="Q1165" s="3">
        <v>0.81</v>
      </c>
      <c r="R1165" s="3">
        <v>0.5</v>
      </c>
      <c r="S1165" s="3">
        <v>1.1000000000000001</v>
      </c>
      <c r="T1165" s="3">
        <v>11.8</v>
      </c>
      <c r="U1165" s="3">
        <v>53.4</v>
      </c>
      <c r="V1165" s="3">
        <v>977.6</v>
      </c>
      <c r="W1165" s="3">
        <v>0</v>
      </c>
      <c r="X1165" s="3">
        <v>43.2</v>
      </c>
      <c r="Y1165" s="3">
        <v>42.6</v>
      </c>
      <c r="Z1165" s="3">
        <v>41.6</v>
      </c>
      <c r="AA1165" s="3">
        <v>38.9</v>
      </c>
      <c r="AB1165" s="3">
        <v>34.6</v>
      </c>
      <c r="AC1165" s="3">
        <v>33</v>
      </c>
      <c r="AD1165" s="3">
        <v>38.200000000000003</v>
      </c>
      <c r="AE1165" s="3">
        <v>40.1</v>
      </c>
      <c r="AF1165" s="3">
        <v>46.5</v>
      </c>
      <c r="AG1165" s="3">
        <v>41.1</v>
      </c>
      <c r="AH1165" s="3">
        <v>38.9</v>
      </c>
      <c r="AI1165" s="3">
        <v>39.6</v>
      </c>
      <c r="AJ1165" s="3">
        <v>37.799999999999997</v>
      </c>
      <c r="AK1165" s="3">
        <v>36.1</v>
      </c>
      <c r="AL1165" s="3">
        <v>33.4</v>
      </c>
      <c r="AM1165" s="3">
        <v>32.6</v>
      </c>
      <c r="AN1165" s="3">
        <v>29.8</v>
      </c>
      <c r="AO1165" s="3">
        <v>25.6</v>
      </c>
      <c r="AP1165" s="3">
        <v>23.8</v>
      </c>
      <c r="AQ1165" s="3">
        <v>20.7</v>
      </c>
      <c r="AR1165" s="3">
        <v>16.600000000000001</v>
      </c>
      <c r="AS1165" s="3">
        <v>14.3</v>
      </c>
      <c r="AT1165" s="3">
        <v>15.3</v>
      </c>
      <c r="AU1165" s="3">
        <v>9.5</v>
      </c>
      <c r="AV1165" s="3">
        <v>9.1</v>
      </c>
      <c r="AW1165" s="3">
        <v>9.1999999999999993</v>
      </c>
      <c r="AX1165" s="3">
        <v>9</v>
      </c>
      <c r="AY1165" s="3">
        <v>9.3000000000000007</v>
      </c>
      <c r="AZ1165" s="3">
        <v>0</v>
      </c>
      <c r="BA1165" s="3">
        <v>0</v>
      </c>
      <c r="BB1165" s="3">
        <v>0</v>
      </c>
      <c r="BC1165" s="3">
        <v>40.151982086299569</v>
      </c>
      <c r="BD1165" s="3">
        <v>43.248017913700437</v>
      </c>
      <c r="BE1165" s="3">
        <v>42.648017913700443</v>
      </c>
      <c r="BF1165" s="3">
        <v>40.408017913700434</v>
      </c>
      <c r="BG1165" s="3">
        <v>38.034684580367099</v>
      </c>
      <c r="BH1165" s="3">
        <v>33.874684580367102</v>
      </c>
      <c r="BI1165" s="3">
        <v>32.688017913700435</v>
      </c>
      <c r="BJ1165" s="3">
        <v>38.681351247033774</v>
      </c>
      <c r="BK1165" s="3">
        <v>40.4546845803671</v>
      </c>
      <c r="BL1165" s="3">
        <v>46.428017913700444</v>
      </c>
      <c r="BM1165" s="3">
        <v>41.161351247033764</v>
      </c>
      <c r="BN1165" s="3">
        <v>39.244684580367107</v>
      </c>
      <c r="BO1165" s="3">
        <v>39.31135124703377</v>
      </c>
      <c r="BP1165" s="3">
        <v>37.228017913700427</v>
      </c>
      <c r="BQ1165" s="3">
        <v>35.944684580367095</v>
      </c>
      <c r="BR1165" s="3">
        <v>33.571351247033761</v>
      </c>
      <c r="BS1165" s="3">
        <v>32.574684580367105</v>
      </c>
      <c r="BT1165" s="3">
        <v>29.971351247033766</v>
      </c>
      <c r="BU1165" s="3">
        <v>25.738017913700446</v>
      </c>
      <c r="BV1165" s="3">
        <v>23.654684580367103</v>
      </c>
      <c r="BW1165" s="3">
        <v>21.08801791370044</v>
      </c>
      <c r="BX1165" s="3">
        <v>16.908017913700441</v>
      </c>
      <c r="BY1165" s="3">
        <v>14.42801791370043</v>
      </c>
      <c r="BZ1165" s="3">
        <v>15.558017913700439</v>
      </c>
      <c r="CA1165" s="3">
        <v>9.8580179137004293</v>
      </c>
      <c r="CB1165" s="3">
        <v>8.8946845803670982</v>
      </c>
      <c r="CC1165" s="3">
        <v>9.2080179137004308</v>
      </c>
      <c r="CD1165" s="3">
        <v>8.314684580367107</v>
      </c>
      <c r="CE1165" s="3">
        <v>8.8080179137004322</v>
      </c>
      <c r="CF1165" s="3">
        <v>-0.87864875296623524</v>
      </c>
      <c r="CG1165" s="3">
        <v>-1.4119820862995667</v>
      </c>
      <c r="CH1165" s="3">
        <v>-2.4886487529662347</v>
      </c>
      <c r="CI1165" s="13">
        <f>[1]!dbasum(RecData[[#This Row],[20]:[2000]],RecData[[#Headers],[20]:[2000]])</f>
        <v>40.040219604758292</v>
      </c>
      <c r="CJ1165" s="14">
        <v>10760</v>
      </c>
      <c r="CK1165" s="15" t="s">
        <v>249</v>
      </c>
      <c r="CL1165" s="15">
        <f>RecData[[#This Row],[Start Time]]</f>
        <v>43276.027083333334</v>
      </c>
      <c r="CM1165" s="16">
        <f>RecData[[#This Row],[Wind Speed avg]]</f>
        <v>0.81</v>
      </c>
      <c r="CN1165" s="16">
        <f>RecData[[#This Row],[Wind Dir. avg]]</f>
        <v>198.2</v>
      </c>
      <c r="CO1165" s="16">
        <f>RecData[[#This Row],[Amb. Humidity]]</f>
        <v>53.4</v>
      </c>
      <c r="CP1165" s="16">
        <f>RecData[[#This Row],[Amb. Temperature]]</f>
        <v>11.8</v>
      </c>
      <c r="CQ1165" s="17">
        <f>RecData[[#This Row],[Amb. Rain Gauge]]</f>
        <v>0</v>
      </c>
      <c r="CR1165" s="4" t="s">
        <v>1</v>
      </c>
      <c r="CS1165" s="4" t="s">
        <v>49</v>
      </c>
      <c r="CT1165" s="70">
        <v>1616.55419921875</v>
      </c>
      <c r="CU1165" s="70">
        <v>39.000335693359297</v>
      </c>
      <c r="CV1165" s="70">
        <v>10.403810501098601</v>
      </c>
      <c r="CW1165" s="70">
        <v>15.298921585083001</v>
      </c>
      <c r="CX1165" s="4"/>
      <c r="CY1165" s="69"/>
      <c r="CZ1165" s="2" t="b">
        <f>IF($DP$1="YES",IF(RecData[[#This Row],[Power (kW)]]&gt;=$CR$3, TRUE,FALSE),TRUE)</f>
        <v>1</v>
      </c>
      <c r="DA1165" s="16">
        <f>MIN(MOD(180-ABS(ABS($DA$1-RecData[Yaw Angle (°)])-180),360),MOD(180-ABS(ABS($DB$1-RecData[Yaw Angle (°)])-180),360))</f>
        <v>31.470408915671754</v>
      </c>
      <c r="DB1165" s="2" t="str">
        <f>IF($DP$2="None","None",IF(RecData[[#This Row],[Relative Wind Direction]]&lt;=45,"DW",IF(RecData[[#This Row],[Relative Wind Direction]]&lt;=135,"CW","UW")))</f>
        <v>DW</v>
      </c>
      <c r="DC1165" s="61">
        <f>IF($CL1165-$CL1161&gt;1/24,#REF!,IF(SUM($CQ1161:$CQ1165)&gt;$DS$1,$DS$5,DC1166-1))</f>
        <v>-6</v>
      </c>
      <c r="DD1165" s="61">
        <f>IF($CL1166-$CL1165&gt;1/24,#REF!,IF(SUM($CQ1161:$CQ1165)&gt;$DS$1,$DS$6,DD1164-1))</f>
        <v>-5</v>
      </c>
      <c r="DE1165" s="18" t="b">
        <v>0</v>
      </c>
      <c r="DF1165" s="2" t="b">
        <f>IF(OR(RecData[[#This Row],[WSpd_Avg '[m/s']]]-RecData[[#This Row],[Wind Speed min]]&gt;=$DF$3,RecData[[#This Row],[Wind Speed max]]-RecData[[#This Row],[WSpd_Avg '[m/s']]]&gt;=$DF$2),TRUE,FALSE)</f>
        <v>0</v>
      </c>
      <c r="DG1165" s="2" t="b">
        <f>RecData[[#This Row],[Temperature '[°C']]]&lt;=-20</f>
        <v>0</v>
      </c>
      <c r="DH1165" s="18" t="b">
        <f>NOT(OR(MOD(RecData[[#This Row],[TIMESTAMP]],1)&gt;0.91632,MOD(RecData[[#This Row],[TIMESTAMP]],1)&lt;0.208681))</f>
        <v>0</v>
      </c>
      <c r="DI1165" s="18" t="b">
        <f>RecData[[#This Row],[Overall (dBA)]]-RecData[[#This Row],[L90]]&gt;=$DS$4</f>
        <v>0</v>
      </c>
      <c r="DJ1165" s="18" t="b">
        <f>RecData[[#This Row],[Overall (dBA)]]&gt;$DS$2</f>
        <v>0</v>
      </c>
      <c r="DK1165" s="18" t="b">
        <f>RecData[[#This Row],[Overall (dBA)]]&lt;$DS$3</f>
        <v>0</v>
      </c>
      <c r="DL11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5" s="2">
        <f>IF(AND(RecData[[#This Row],[Turbines ON/OFF]] = "OFF", NOT(OR(RecData[[#This Row],[Junk?]]="YES",RecData[[#This Row],[Gust?]],RecData[[#This Row],[Rain?]:[Min SPL Threshold?]]))),1,0)</f>
        <v>0</v>
      </c>
      <c r="DN1165" s="16">
        <f>RecData[[#This Row],[dBA Sum]]</f>
        <v>40.040219604758292</v>
      </c>
      <c r="DO1165" s="16">
        <f>RecData[[#This Row],[LAF90.0]]</f>
        <v>39</v>
      </c>
      <c r="DP1165" s="55">
        <f>IF(AND(RecData[[#This Row],[Useable TON Data?]],RecData[[#This Row],[Turbines ON/OFF]]="ON"),RecData[[#This Row],[dBA Sum]],"")</f>
        <v>40.040219604758292</v>
      </c>
      <c r="DQ1165" s="55" t="str">
        <f>IF(AND(RecData[[#This Row],[Useable Background Data?]],RecData[[#This Row],[Turbines ON/OFF]]="OFF"),RecData[[#This Row],[dBA Sum]],"")</f>
        <v/>
      </c>
      <c r="DR1165" s="3">
        <f>IF(OR(RecData[[#This Row],[Useable TON Data?]],RecData[[#This Row],[Useable Background Data?]]),ROUND(RecData[[#This Row],[WSpd_Avg '[m/s']]],0),"")</f>
        <v>1</v>
      </c>
      <c r="DS1165" s="85">
        <f>(0.00002)^2*(10^(RecData[[#This Row],[Overall (dBA)]]/10))</f>
        <v>4.0372156844458017E-6</v>
      </c>
    </row>
    <row r="1166" spans="1:123" ht="15" x14ac:dyDescent="0.25">
      <c r="A1166" s="3" t="s">
        <v>249</v>
      </c>
      <c r="B1166" s="12">
        <v>43276.027777777781</v>
      </c>
      <c r="C1166" s="3"/>
      <c r="D1166" s="3">
        <v>40.4</v>
      </c>
      <c r="E1166" s="3"/>
      <c r="F1166" s="3"/>
      <c r="G1166" s="3"/>
      <c r="H1166" s="3"/>
      <c r="I1166" s="3"/>
      <c r="J1166" s="3"/>
      <c r="K1166" s="3">
        <v>39.1</v>
      </c>
      <c r="L1166" s="3"/>
      <c r="M1166" s="3"/>
      <c r="N1166" s="3">
        <v>199.1</v>
      </c>
      <c r="O1166" s="3"/>
      <c r="P1166" s="3"/>
      <c r="Q1166" s="3">
        <v>1.08</v>
      </c>
      <c r="R1166" s="3">
        <v>0.1</v>
      </c>
      <c r="S1166" s="3">
        <v>2</v>
      </c>
      <c r="T1166" s="3">
        <v>11.8</v>
      </c>
      <c r="U1166" s="3">
        <v>53.4</v>
      </c>
      <c r="V1166" s="3">
        <v>977.6</v>
      </c>
      <c r="W1166" s="3">
        <v>0</v>
      </c>
      <c r="X1166" s="3">
        <v>44.1</v>
      </c>
      <c r="Y1166" s="3">
        <v>43</v>
      </c>
      <c r="Z1166" s="3">
        <v>42.6</v>
      </c>
      <c r="AA1166" s="3">
        <v>39.299999999999997</v>
      </c>
      <c r="AB1166" s="3">
        <v>35.200000000000003</v>
      </c>
      <c r="AC1166" s="3">
        <v>34.299999999999997</v>
      </c>
      <c r="AD1166" s="3">
        <v>37.9</v>
      </c>
      <c r="AE1166" s="3">
        <v>39.799999999999997</v>
      </c>
      <c r="AF1166" s="3">
        <v>46.2</v>
      </c>
      <c r="AG1166" s="3">
        <v>41.6</v>
      </c>
      <c r="AH1166" s="3">
        <v>38.299999999999997</v>
      </c>
      <c r="AI1166" s="3">
        <v>39.9</v>
      </c>
      <c r="AJ1166" s="3">
        <v>38.1</v>
      </c>
      <c r="AK1166" s="3">
        <v>36.5</v>
      </c>
      <c r="AL1166" s="3">
        <v>34</v>
      </c>
      <c r="AM1166" s="3">
        <v>33.1</v>
      </c>
      <c r="AN1166" s="3">
        <v>30.2</v>
      </c>
      <c r="AO1166" s="3">
        <v>26.2</v>
      </c>
      <c r="AP1166" s="3">
        <v>23.7</v>
      </c>
      <c r="AQ1166" s="3">
        <v>21.2</v>
      </c>
      <c r="AR1166" s="3">
        <v>16.7</v>
      </c>
      <c r="AS1166" s="3">
        <v>13.8</v>
      </c>
      <c r="AT1166" s="3">
        <v>14.2</v>
      </c>
      <c r="AU1166" s="3">
        <v>8.6</v>
      </c>
      <c r="AV1166" s="3">
        <v>8.6</v>
      </c>
      <c r="AW1166" s="3">
        <v>8.9</v>
      </c>
      <c r="AX1166" s="3">
        <v>8.9</v>
      </c>
      <c r="AY1166" s="3">
        <v>9.1</v>
      </c>
      <c r="AZ1166" s="3">
        <v>0</v>
      </c>
      <c r="BA1166" s="3">
        <v>0</v>
      </c>
      <c r="BB1166" s="3">
        <v>0</v>
      </c>
      <c r="BC1166" s="3">
        <v>40.415088473398825</v>
      </c>
      <c r="BD1166" s="3">
        <v>44.084911526601175</v>
      </c>
      <c r="BE1166" s="3">
        <v>42.984911526601181</v>
      </c>
      <c r="BF1166" s="3">
        <v>41.344911526601166</v>
      </c>
      <c r="BG1166" s="3">
        <v>38.371578193267837</v>
      </c>
      <c r="BH1166" s="3">
        <v>34.411578193267843</v>
      </c>
      <c r="BI1166" s="3">
        <v>33.924911526601178</v>
      </c>
      <c r="BJ1166" s="3">
        <v>38.318244859934495</v>
      </c>
      <c r="BK1166" s="3">
        <v>40.091578193267836</v>
      </c>
      <c r="BL1166" s="3">
        <v>46.064911526601179</v>
      </c>
      <c r="BM1166" s="3">
        <v>41.59824485993451</v>
      </c>
      <c r="BN1166" s="3">
        <v>38.581578193267845</v>
      </c>
      <c r="BO1166" s="3">
        <v>39.548244859934513</v>
      </c>
      <c r="BP1166" s="3">
        <v>37.464911526601171</v>
      </c>
      <c r="BQ1166" s="3">
        <v>36.281578193267833</v>
      </c>
      <c r="BR1166" s="3">
        <v>34.108244859934516</v>
      </c>
      <c r="BS1166" s="3">
        <v>33.011578193267852</v>
      </c>
      <c r="BT1166" s="3">
        <v>30.308244859934504</v>
      </c>
      <c r="BU1166" s="3">
        <v>26.274911526601173</v>
      </c>
      <c r="BV1166" s="3">
        <v>23.491578193267841</v>
      </c>
      <c r="BW1166" s="3">
        <v>21.524911526601173</v>
      </c>
      <c r="BX1166" s="3">
        <v>16.944911526601175</v>
      </c>
      <c r="BY1166" s="3">
        <v>13.864911526601176</v>
      </c>
      <c r="BZ1166" s="3">
        <v>14.394911526601177</v>
      </c>
      <c r="CA1166" s="3">
        <v>8.8949115266011631</v>
      </c>
      <c r="CB1166" s="3">
        <v>8.3315781932678377</v>
      </c>
      <c r="CC1166" s="3">
        <v>8.8449115266011731</v>
      </c>
      <c r="CD1166" s="3">
        <v>8.1515781932678451</v>
      </c>
      <c r="CE1166" s="3">
        <v>8.5449115266011688</v>
      </c>
      <c r="CF1166" s="3">
        <v>-0.94175514006549577</v>
      </c>
      <c r="CG1166" s="3">
        <v>-1.4750884733988272</v>
      </c>
      <c r="CH1166" s="3">
        <v>-2.5517551400654952</v>
      </c>
      <c r="CI1166" s="13">
        <f>[1]!dbasum(RecData[[#This Row],[20]:[2000]],RecData[[#Headers],[20]:[2000]])</f>
        <v>40.247822604122049</v>
      </c>
      <c r="CJ1166" s="14">
        <v>10761</v>
      </c>
      <c r="CK1166" s="15" t="s">
        <v>249</v>
      </c>
      <c r="CL1166" s="15">
        <f>RecData[[#This Row],[Start Time]]</f>
        <v>43276.027777777781</v>
      </c>
      <c r="CM1166" s="16">
        <f>RecData[[#This Row],[Wind Speed avg]]</f>
        <v>1.08</v>
      </c>
      <c r="CN1166" s="16">
        <f>RecData[[#This Row],[Wind Dir. avg]]</f>
        <v>199.1</v>
      </c>
      <c r="CO1166" s="16">
        <f>RecData[[#This Row],[Amb. Humidity]]</f>
        <v>53.4</v>
      </c>
      <c r="CP1166" s="16">
        <f>RecData[[#This Row],[Amb. Temperature]]</f>
        <v>11.8</v>
      </c>
      <c r="CQ1166" s="17">
        <f>RecData[[#This Row],[Amb. Rain Gauge]]</f>
        <v>0</v>
      </c>
      <c r="CR1166" s="4" t="s">
        <v>1</v>
      </c>
      <c r="CS1166" s="4" t="s">
        <v>49</v>
      </c>
      <c r="CT1166" s="70">
        <v>1616.55419921875</v>
      </c>
      <c r="CU1166" s="70">
        <v>39.000335693359297</v>
      </c>
      <c r="CV1166" s="70">
        <v>10.403810501098601</v>
      </c>
      <c r="CW1166" s="70">
        <v>15.298921585083001</v>
      </c>
      <c r="CX1166" s="4"/>
      <c r="CY1166" s="69"/>
      <c r="CZ1166" s="2" t="b">
        <f>IF($DP$1="YES",IF(RecData[[#This Row],[Power (kW)]]&gt;=$CR$3, TRUE,FALSE),TRUE)</f>
        <v>1</v>
      </c>
      <c r="DA1166" s="16">
        <f>MIN(MOD(180-ABS(ABS($DA$1-RecData[Yaw Angle (°)])-180),360),MOD(180-ABS(ABS($DB$1-RecData[Yaw Angle (°)])-180),360))</f>
        <v>31.470408915671754</v>
      </c>
      <c r="DB1166" s="2" t="str">
        <f>IF($DP$2="None","None",IF(RecData[[#This Row],[Relative Wind Direction]]&lt;=45,"DW",IF(RecData[[#This Row],[Relative Wind Direction]]&lt;=135,"CW","UW")))</f>
        <v>DW</v>
      </c>
      <c r="DC1166" s="61">
        <f>IF($CL1166-$CL1162&gt;1/24,#REF!,IF(SUM($CQ1162:$CQ1166)&gt;$DS$1,$DS$5,DC1167-1))</f>
        <v>-5</v>
      </c>
      <c r="DD1166" s="61">
        <f>IF($CL1167-$CL1166&gt;1/24,#REF!,IF(SUM($CQ1162:$CQ1166)&gt;$DS$1,$DS$6,DD1165-1))</f>
        <v>-6</v>
      </c>
      <c r="DE1166" s="18" t="b">
        <v>0</v>
      </c>
      <c r="DF1166" s="2" t="b">
        <f>IF(OR(RecData[[#This Row],[WSpd_Avg '[m/s']]]-RecData[[#This Row],[Wind Speed min]]&gt;=$DF$3,RecData[[#This Row],[Wind Speed max]]-RecData[[#This Row],[WSpd_Avg '[m/s']]]&gt;=$DF$2),TRUE,FALSE)</f>
        <v>0</v>
      </c>
      <c r="DG1166" s="2" t="b">
        <f>RecData[[#This Row],[Temperature '[°C']]]&lt;=-20</f>
        <v>0</v>
      </c>
      <c r="DH1166" s="18" t="b">
        <f>NOT(OR(MOD(RecData[[#This Row],[TIMESTAMP]],1)&gt;0.91632,MOD(RecData[[#This Row],[TIMESTAMP]],1)&lt;0.208681))</f>
        <v>0</v>
      </c>
      <c r="DI1166" s="18" t="b">
        <f>RecData[[#This Row],[Overall (dBA)]]-RecData[[#This Row],[L90]]&gt;=$DS$4</f>
        <v>0</v>
      </c>
      <c r="DJ1166" s="18" t="b">
        <f>RecData[[#This Row],[Overall (dBA)]]&gt;$DS$2</f>
        <v>0</v>
      </c>
      <c r="DK1166" s="18" t="b">
        <f>RecData[[#This Row],[Overall (dBA)]]&lt;$DS$3</f>
        <v>0</v>
      </c>
      <c r="DL11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6" s="2">
        <f>IF(AND(RecData[[#This Row],[Turbines ON/OFF]] = "OFF", NOT(OR(RecData[[#This Row],[Junk?]]="YES",RecData[[#This Row],[Gust?]],RecData[[#This Row],[Rain?]:[Min SPL Threshold?]]))),1,0)</f>
        <v>0</v>
      </c>
      <c r="DN1166" s="16">
        <f>RecData[[#This Row],[dBA Sum]]</f>
        <v>40.247822604122049</v>
      </c>
      <c r="DO1166" s="16">
        <f>RecData[[#This Row],[LAF90.0]]</f>
        <v>39.1</v>
      </c>
      <c r="DP1166" s="55">
        <f>IF(AND(RecData[[#This Row],[Useable TON Data?]],RecData[[#This Row],[Turbines ON/OFF]]="ON"),RecData[[#This Row],[dBA Sum]],"")</f>
        <v>40.247822604122049</v>
      </c>
      <c r="DQ1166" s="55" t="str">
        <f>IF(AND(RecData[[#This Row],[Useable Background Data?]],RecData[[#This Row],[Turbines ON/OFF]]="OFF"),RecData[[#This Row],[dBA Sum]],"")</f>
        <v/>
      </c>
      <c r="DR1166" s="3">
        <f>IF(OR(RecData[[#This Row],[Useable TON Data?]],RecData[[#This Row],[Useable Background Data?]]),ROUND(RecData[[#This Row],[WSpd_Avg '[m/s']]],0),"")</f>
        <v>1</v>
      </c>
      <c r="DS1166" s="85">
        <f>(0.00002)^2*(10^(RecData[[#This Row],[Overall (dBA)]]/10))</f>
        <v>4.2348911467025729E-6</v>
      </c>
    </row>
    <row r="1167" spans="1:123" ht="15" x14ac:dyDescent="0.25">
      <c r="A1167" s="3" t="s">
        <v>249</v>
      </c>
      <c r="B1167" s="12">
        <v>43276.02847222222</v>
      </c>
      <c r="C1167" s="3"/>
      <c r="D1167" s="3">
        <v>39.6</v>
      </c>
      <c r="E1167" s="3"/>
      <c r="F1167" s="3"/>
      <c r="G1167" s="3"/>
      <c r="H1167" s="3"/>
      <c r="I1167" s="3"/>
      <c r="J1167" s="3"/>
      <c r="K1167" s="3">
        <v>38.5</v>
      </c>
      <c r="L1167" s="3"/>
      <c r="M1167" s="3"/>
      <c r="N1167" s="3">
        <v>197.6</v>
      </c>
      <c r="O1167" s="3"/>
      <c r="P1167" s="3"/>
      <c r="Q1167" s="3">
        <v>0.38</v>
      </c>
      <c r="R1167" s="3">
        <v>0.1</v>
      </c>
      <c r="S1167" s="3">
        <v>0.9</v>
      </c>
      <c r="T1167" s="3">
        <v>11.8</v>
      </c>
      <c r="U1167" s="3">
        <v>53.4</v>
      </c>
      <c r="V1167" s="3">
        <v>977.6</v>
      </c>
      <c r="W1167" s="3">
        <v>0</v>
      </c>
      <c r="X1167" s="3">
        <v>43.6</v>
      </c>
      <c r="Y1167" s="3">
        <v>42.1</v>
      </c>
      <c r="Z1167" s="3">
        <v>41.9</v>
      </c>
      <c r="AA1167" s="3">
        <v>38.9</v>
      </c>
      <c r="AB1167" s="3">
        <v>34.4</v>
      </c>
      <c r="AC1167" s="3">
        <v>34.1</v>
      </c>
      <c r="AD1167" s="3">
        <v>37.1</v>
      </c>
      <c r="AE1167" s="3">
        <v>39.200000000000003</v>
      </c>
      <c r="AF1167" s="3">
        <v>46.4</v>
      </c>
      <c r="AG1167" s="3">
        <v>39.9</v>
      </c>
      <c r="AH1167" s="3">
        <v>38.299999999999997</v>
      </c>
      <c r="AI1167" s="3">
        <v>39.1</v>
      </c>
      <c r="AJ1167" s="3">
        <v>36.9</v>
      </c>
      <c r="AK1167" s="3">
        <v>35.799999999999997</v>
      </c>
      <c r="AL1167" s="3">
        <v>33.1</v>
      </c>
      <c r="AM1167" s="3">
        <v>31.8</v>
      </c>
      <c r="AN1167" s="3">
        <v>29.2</v>
      </c>
      <c r="AO1167" s="3">
        <v>25.1</v>
      </c>
      <c r="AP1167" s="3">
        <v>23.2</v>
      </c>
      <c r="AQ1167" s="3">
        <v>20.100000000000001</v>
      </c>
      <c r="AR1167" s="3">
        <v>15.9</v>
      </c>
      <c r="AS1167" s="3">
        <v>13.3</v>
      </c>
      <c r="AT1167" s="3">
        <v>15.7</v>
      </c>
      <c r="AU1167" s="3">
        <v>8.4</v>
      </c>
      <c r="AV1167" s="3">
        <v>8.5</v>
      </c>
      <c r="AW1167" s="3">
        <v>8.8000000000000007</v>
      </c>
      <c r="AX1167" s="3">
        <v>8.9</v>
      </c>
      <c r="AY1167" s="3">
        <v>9.1</v>
      </c>
      <c r="AZ1167" s="3">
        <v>0</v>
      </c>
      <c r="BA1167" s="3">
        <v>0</v>
      </c>
      <c r="BB1167" s="3">
        <v>0</v>
      </c>
      <c r="BC1167" s="3">
        <v>39.601618478994062</v>
      </c>
      <c r="BD1167" s="3">
        <v>43.59838152100594</v>
      </c>
      <c r="BE1167" s="3">
        <v>42.09838152100594</v>
      </c>
      <c r="BF1167" s="3">
        <v>40.658381521005929</v>
      </c>
      <c r="BG1167" s="3">
        <v>37.985048187672611</v>
      </c>
      <c r="BH1167" s="3">
        <v>33.625048187672597</v>
      </c>
      <c r="BI1167" s="3">
        <v>33.738381521005941</v>
      </c>
      <c r="BJ1167" s="3">
        <v>37.531714854339263</v>
      </c>
      <c r="BK1167" s="3">
        <v>39.505048187672607</v>
      </c>
      <c r="BL1167" s="3">
        <v>46.278381521005933</v>
      </c>
      <c r="BM1167" s="3">
        <v>39.911714854339273</v>
      </c>
      <c r="BN1167" s="3">
        <v>38.595048187672596</v>
      </c>
      <c r="BO1167" s="3">
        <v>38.761714854339282</v>
      </c>
      <c r="BP1167" s="3">
        <v>36.278381521005933</v>
      </c>
      <c r="BQ1167" s="3">
        <v>35.595048187672596</v>
      </c>
      <c r="BR1167" s="3">
        <v>33.221714854339275</v>
      </c>
      <c r="BS1167" s="3">
        <v>31.725048187672606</v>
      </c>
      <c r="BT1167" s="3">
        <v>29.32171485433927</v>
      </c>
      <c r="BU1167" s="3">
        <v>25.188381521005944</v>
      </c>
      <c r="BV1167" s="3">
        <v>23.005048187672607</v>
      </c>
      <c r="BW1167" s="3">
        <v>20.438381521005944</v>
      </c>
      <c r="BX1167" s="3">
        <v>16.158381521005943</v>
      </c>
      <c r="BY1167" s="3">
        <v>13.378381521005942</v>
      </c>
      <c r="BZ1167" s="3">
        <v>15.908381521005943</v>
      </c>
      <c r="CA1167" s="3">
        <v>8.7083815210059328</v>
      </c>
      <c r="CB1167" s="3">
        <v>8.2450481876726016</v>
      </c>
      <c r="CC1167" s="3">
        <v>8.758381521005937</v>
      </c>
      <c r="CD1167" s="3">
        <v>8.1650481876726104</v>
      </c>
      <c r="CE1167" s="3">
        <v>8.5583815210059342</v>
      </c>
      <c r="CF1167" s="3">
        <v>-0.92828514566073039</v>
      </c>
      <c r="CG1167" s="3">
        <v>-1.4616184789940618</v>
      </c>
      <c r="CH1167" s="3">
        <v>-2.5382851456607298</v>
      </c>
      <c r="CI1167" s="13">
        <f>[1]!dbasum(RecData[[#This Row],[20]:[2000]],RecData[[#Headers],[20]:[2000]])</f>
        <v>39.439526473147232</v>
      </c>
      <c r="CJ1167" s="14">
        <v>10762</v>
      </c>
      <c r="CK1167" s="15" t="s">
        <v>249</v>
      </c>
      <c r="CL1167" s="15">
        <f>RecData[[#This Row],[Start Time]]</f>
        <v>43276.02847222222</v>
      </c>
      <c r="CM1167" s="16">
        <f>RecData[[#This Row],[Wind Speed avg]]</f>
        <v>0.38</v>
      </c>
      <c r="CN1167" s="16">
        <f>RecData[[#This Row],[Wind Dir. avg]]</f>
        <v>197.6</v>
      </c>
      <c r="CO1167" s="16">
        <f>RecData[[#This Row],[Amb. Humidity]]</f>
        <v>53.4</v>
      </c>
      <c r="CP1167" s="16">
        <f>RecData[[#This Row],[Amb. Temperature]]</f>
        <v>11.8</v>
      </c>
      <c r="CQ1167" s="17">
        <f>RecData[[#This Row],[Amb. Rain Gauge]]</f>
        <v>0</v>
      </c>
      <c r="CR1167" s="4" t="s">
        <v>1</v>
      </c>
      <c r="CS1167" s="4" t="s">
        <v>49</v>
      </c>
      <c r="CT1167" s="70">
        <v>1604.47131347656</v>
      </c>
      <c r="CU1167" s="70">
        <v>39.000328063964801</v>
      </c>
      <c r="CV1167" s="70">
        <v>10.710338592529199</v>
      </c>
      <c r="CW1167" s="70">
        <v>15.318859100341699</v>
      </c>
      <c r="CX1167" s="4"/>
      <c r="CY1167" s="69"/>
      <c r="CZ1167" s="2" t="b">
        <f>IF($DP$1="YES",IF(RecData[[#This Row],[Power (kW)]]&gt;=$CR$3, TRUE,FALSE),TRUE)</f>
        <v>1</v>
      </c>
      <c r="DA1167" s="16">
        <f>MIN(MOD(180-ABS(ABS($DA$1-RecData[Yaw Angle (°)])-180),360),MOD(180-ABS(ABS($DB$1-RecData[Yaw Angle (°)])-180),360))</f>
        <v>31.470401286277252</v>
      </c>
      <c r="DB1167" s="2" t="str">
        <f>IF($DP$2="None","None",IF(RecData[[#This Row],[Relative Wind Direction]]&lt;=45,"DW",IF(RecData[[#This Row],[Relative Wind Direction]]&lt;=135,"CW","UW")))</f>
        <v>DW</v>
      </c>
      <c r="DC1167" s="61">
        <f>IF($CL1167-$CL1163&gt;1/24,#REF!,IF(SUM($CQ1163:$CQ1167)&gt;$DS$1,$DS$5,DC1168-1))</f>
        <v>-4</v>
      </c>
      <c r="DD1167" s="61">
        <f>IF($CL1168-$CL1167&gt;1/24,#REF!,IF(SUM($CQ1163:$CQ1167)&gt;$DS$1,$DS$6,DD1166-1))</f>
        <v>-7</v>
      </c>
      <c r="DE1167" s="18" t="b">
        <v>0</v>
      </c>
      <c r="DF1167" s="2" t="b">
        <f>IF(OR(RecData[[#This Row],[WSpd_Avg '[m/s']]]-RecData[[#This Row],[Wind Speed min]]&gt;=$DF$3,RecData[[#This Row],[Wind Speed max]]-RecData[[#This Row],[WSpd_Avg '[m/s']]]&gt;=$DF$2),TRUE,FALSE)</f>
        <v>0</v>
      </c>
      <c r="DG1167" s="2" t="b">
        <f>RecData[[#This Row],[Temperature '[°C']]]&lt;=-20</f>
        <v>0</v>
      </c>
      <c r="DH1167" s="18" t="b">
        <f>NOT(OR(MOD(RecData[[#This Row],[TIMESTAMP]],1)&gt;0.91632,MOD(RecData[[#This Row],[TIMESTAMP]],1)&lt;0.208681))</f>
        <v>0</v>
      </c>
      <c r="DI1167" s="18" t="b">
        <f>RecData[[#This Row],[Overall (dBA)]]-RecData[[#This Row],[L90]]&gt;=$DS$4</f>
        <v>0</v>
      </c>
      <c r="DJ1167" s="18" t="b">
        <f>RecData[[#This Row],[Overall (dBA)]]&gt;$DS$2</f>
        <v>0</v>
      </c>
      <c r="DK1167" s="18" t="b">
        <f>RecData[[#This Row],[Overall (dBA)]]&lt;$DS$3</f>
        <v>0</v>
      </c>
      <c r="DL11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7" s="2">
        <f>IF(AND(RecData[[#This Row],[Turbines ON/OFF]] = "OFF", NOT(OR(RecData[[#This Row],[Junk?]]="YES",RecData[[#This Row],[Gust?]],RecData[[#This Row],[Rain?]:[Min SPL Threshold?]]))),1,0)</f>
        <v>0</v>
      </c>
      <c r="DN1167" s="16">
        <f>RecData[[#This Row],[dBA Sum]]</f>
        <v>39.439526473147232</v>
      </c>
      <c r="DO1167" s="16">
        <f>RecData[[#This Row],[LAF90.0]]</f>
        <v>38.5</v>
      </c>
      <c r="DP1167" s="55">
        <f>IF(AND(RecData[[#This Row],[Useable TON Data?]],RecData[[#This Row],[Turbines ON/OFF]]="ON"),RecData[[#This Row],[dBA Sum]],"")</f>
        <v>39.439526473147232</v>
      </c>
      <c r="DQ1167" s="55" t="str">
        <f>IF(AND(RecData[[#This Row],[Useable Background Data?]],RecData[[#This Row],[Turbines ON/OFF]]="OFF"),RecData[[#This Row],[dBA Sum]],"")</f>
        <v/>
      </c>
      <c r="DR1167" s="3">
        <f>IF(OR(RecData[[#This Row],[Useable TON Data?]],RecData[[#This Row],[Useable Background Data?]]),ROUND(RecData[[#This Row],[WSpd_Avg '[m/s']]],0),"")</f>
        <v>0</v>
      </c>
      <c r="DS1167" s="85">
        <f>(0.00002)^2*(10^(RecData[[#This Row],[Overall (dBA)]]/10))</f>
        <v>3.5157067163099208E-6</v>
      </c>
    </row>
    <row r="1168" spans="1:123" ht="15" x14ac:dyDescent="0.25">
      <c r="A1168" s="3" t="s">
        <v>249</v>
      </c>
      <c r="B1168" s="12">
        <v>43276.029166666667</v>
      </c>
      <c r="C1168" s="3"/>
      <c r="D1168" s="3">
        <v>40.5</v>
      </c>
      <c r="E1168" s="3"/>
      <c r="F1168" s="3"/>
      <c r="G1168" s="3"/>
      <c r="H1168" s="3"/>
      <c r="I1168" s="3"/>
      <c r="J1168" s="3"/>
      <c r="K1168" s="3">
        <v>39.1</v>
      </c>
      <c r="L1168" s="3"/>
      <c r="M1168" s="3"/>
      <c r="N1168" s="3">
        <v>177.6</v>
      </c>
      <c r="O1168" s="3"/>
      <c r="P1168" s="3"/>
      <c r="Q1168" s="3">
        <v>0.86</v>
      </c>
      <c r="R1168" s="3">
        <v>0.3</v>
      </c>
      <c r="S1168" s="3">
        <v>1.4</v>
      </c>
      <c r="T1168" s="3">
        <v>11.7</v>
      </c>
      <c r="U1168" s="3">
        <v>53.6</v>
      </c>
      <c r="V1168" s="3">
        <v>977.6</v>
      </c>
      <c r="W1168" s="3">
        <v>0</v>
      </c>
      <c r="X1168" s="3">
        <v>44.8</v>
      </c>
      <c r="Y1168" s="3">
        <v>43.6</v>
      </c>
      <c r="Z1168" s="3">
        <v>42.2</v>
      </c>
      <c r="AA1168" s="3">
        <v>39.200000000000003</v>
      </c>
      <c r="AB1168" s="3">
        <v>34.799999999999997</v>
      </c>
      <c r="AC1168" s="3">
        <v>34.799999999999997</v>
      </c>
      <c r="AD1168" s="3">
        <v>39.1</v>
      </c>
      <c r="AE1168" s="3">
        <v>40.700000000000003</v>
      </c>
      <c r="AF1168" s="3">
        <v>45.9</v>
      </c>
      <c r="AG1168" s="3">
        <v>40.9</v>
      </c>
      <c r="AH1168" s="3">
        <v>39.6</v>
      </c>
      <c r="AI1168" s="3">
        <v>40.1</v>
      </c>
      <c r="AJ1168" s="3">
        <v>38.5</v>
      </c>
      <c r="AK1168" s="3">
        <v>36.799999999999997</v>
      </c>
      <c r="AL1168" s="3">
        <v>34.200000000000003</v>
      </c>
      <c r="AM1168" s="3">
        <v>33</v>
      </c>
      <c r="AN1168" s="3">
        <v>30.2</v>
      </c>
      <c r="AO1168" s="3">
        <v>25.9</v>
      </c>
      <c r="AP1168" s="3">
        <v>23.4</v>
      </c>
      <c r="AQ1168" s="3">
        <v>20.3</v>
      </c>
      <c r="AR1168" s="3">
        <v>16.100000000000001</v>
      </c>
      <c r="AS1168" s="3">
        <v>12.8</v>
      </c>
      <c r="AT1168" s="3">
        <v>13.3</v>
      </c>
      <c r="AU1168" s="3">
        <v>9.4</v>
      </c>
      <c r="AV1168" s="3">
        <v>9.1999999999999993</v>
      </c>
      <c r="AW1168" s="3">
        <v>9.1999999999999993</v>
      </c>
      <c r="AX1168" s="3">
        <v>9</v>
      </c>
      <c r="AY1168" s="3">
        <v>9.1999999999999993</v>
      </c>
      <c r="AZ1168" s="3">
        <v>0</v>
      </c>
      <c r="BA1168" s="3">
        <v>0</v>
      </c>
      <c r="BB1168" s="3">
        <v>0</v>
      </c>
      <c r="BC1168" s="3">
        <v>40.531695685606046</v>
      </c>
      <c r="BD1168" s="3">
        <v>44.768304314393951</v>
      </c>
      <c r="BE1168" s="3">
        <v>43.568304314393949</v>
      </c>
      <c r="BF1168" s="3">
        <v>40.928304314393962</v>
      </c>
      <c r="BG1168" s="3">
        <v>38.254970981060616</v>
      </c>
      <c r="BH1168" s="3">
        <v>33.994970981060625</v>
      </c>
      <c r="BI1168" s="3">
        <v>34.408304314393952</v>
      </c>
      <c r="BJ1168" s="3">
        <v>39.501637647727286</v>
      </c>
      <c r="BK1168" s="3">
        <v>40.974970981060615</v>
      </c>
      <c r="BL1168" s="3">
        <v>45.748304314393955</v>
      </c>
      <c r="BM1168" s="3">
        <v>40.881637647727281</v>
      </c>
      <c r="BN1168" s="3">
        <v>39.86497098106063</v>
      </c>
      <c r="BO1168" s="3">
        <v>39.73163764772729</v>
      </c>
      <c r="BP1168" s="3">
        <v>37.84830431439395</v>
      </c>
      <c r="BQ1168" s="3">
        <v>36.564970981060618</v>
      </c>
      <c r="BR1168" s="3">
        <v>34.291637647727292</v>
      </c>
      <c r="BS1168" s="3">
        <v>32.894970981060631</v>
      </c>
      <c r="BT1168" s="3">
        <v>30.291637647727292</v>
      </c>
      <c r="BU1168" s="3">
        <v>25.958304314393963</v>
      </c>
      <c r="BV1168" s="3">
        <v>23.174970981060618</v>
      </c>
      <c r="BW1168" s="3">
        <v>20.608304314393955</v>
      </c>
      <c r="BX1168" s="3">
        <v>16.328304314393961</v>
      </c>
      <c r="BY1168" s="3">
        <v>12.84830431439395</v>
      </c>
      <c r="BZ1168" s="3">
        <v>13.478304314393959</v>
      </c>
      <c r="CA1168" s="3">
        <v>9.678304314393948</v>
      </c>
      <c r="CB1168" s="3">
        <v>8.9149709810606197</v>
      </c>
      <c r="CC1168" s="3">
        <v>9.1283043143939508</v>
      </c>
      <c r="CD1168" s="3">
        <v>8.2349709810606271</v>
      </c>
      <c r="CE1168" s="3">
        <v>8.6283043143939508</v>
      </c>
      <c r="CF1168" s="3">
        <v>-0.95836235227271516</v>
      </c>
      <c r="CG1168" s="3">
        <v>-1.4916956856060466</v>
      </c>
      <c r="CH1168" s="3">
        <v>-2.5683623522727146</v>
      </c>
      <c r="CI1168" s="13">
        <f>[1]!dbasum(RecData[[#This Row],[20]:[2000]],RecData[[#Headers],[20]:[2000]])</f>
        <v>40.351726356677062</v>
      </c>
      <c r="CJ1168" s="14">
        <v>10763</v>
      </c>
      <c r="CK1168" s="15" t="s">
        <v>249</v>
      </c>
      <c r="CL1168" s="15">
        <f>RecData[[#This Row],[Start Time]]</f>
        <v>43276.029166666667</v>
      </c>
      <c r="CM1168" s="16">
        <f>RecData[[#This Row],[Wind Speed avg]]</f>
        <v>0.86</v>
      </c>
      <c r="CN1168" s="16">
        <f>RecData[[#This Row],[Wind Dir. avg]]</f>
        <v>177.6</v>
      </c>
      <c r="CO1168" s="16">
        <f>RecData[[#This Row],[Amb. Humidity]]</f>
        <v>53.6</v>
      </c>
      <c r="CP1168" s="16">
        <f>RecData[[#This Row],[Amb. Temperature]]</f>
        <v>11.7</v>
      </c>
      <c r="CQ1168" s="17">
        <f>RecData[[#This Row],[Amb. Rain Gauge]]</f>
        <v>0</v>
      </c>
      <c r="CR1168" s="4" t="s">
        <v>1</v>
      </c>
      <c r="CS1168" s="4" t="s">
        <v>49</v>
      </c>
      <c r="CT1168" s="70">
        <v>1604.47131347656</v>
      </c>
      <c r="CU1168" s="70">
        <v>39.000328063964801</v>
      </c>
      <c r="CV1168" s="70">
        <v>10.710338592529199</v>
      </c>
      <c r="CW1168" s="70">
        <v>15.318859100341699</v>
      </c>
      <c r="CX1168" s="4"/>
      <c r="CY1168" s="69"/>
      <c r="CZ1168" s="2" t="b">
        <f>IF($DP$1="YES",IF(RecData[[#This Row],[Power (kW)]]&gt;=$CR$3, TRUE,FALSE),TRUE)</f>
        <v>1</v>
      </c>
      <c r="DA1168" s="16">
        <f>MIN(MOD(180-ABS(ABS($DA$1-RecData[Yaw Angle (°)])-180),360),MOD(180-ABS(ABS($DB$1-RecData[Yaw Angle (°)])-180),360))</f>
        <v>31.470401286277252</v>
      </c>
      <c r="DB1168" s="2" t="str">
        <f>IF($DP$2="None","None",IF(RecData[[#This Row],[Relative Wind Direction]]&lt;=45,"DW",IF(RecData[[#This Row],[Relative Wind Direction]]&lt;=135,"CW","UW")))</f>
        <v>DW</v>
      </c>
      <c r="DC1168" s="61">
        <f>IF($CL1168-$CL1164&gt;1/24,#REF!,IF(SUM($CQ1164:$CQ1168)&gt;$DS$1,$DS$5,DC1169-1))</f>
        <v>-3</v>
      </c>
      <c r="DD1168" s="61">
        <f>IF($CL1169-$CL1168&gt;1/24,#REF!,IF(SUM($CQ1164:$CQ1168)&gt;$DS$1,$DS$6,DD1167-1))</f>
        <v>-8</v>
      </c>
      <c r="DE1168" s="18" t="b">
        <v>0</v>
      </c>
      <c r="DF1168" s="2" t="b">
        <f>IF(OR(RecData[[#This Row],[WSpd_Avg '[m/s']]]-RecData[[#This Row],[Wind Speed min]]&gt;=$DF$3,RecData[[#This Row],[Wind Speed max]]-RecData[[#This Row],[WSpd_Avg '[m/s']]]&gt;=$DF$2),TRUE,FALSE)</f>
        <v>0</v>
      </c>
      <c r="DG1168" s="2" t="b">
        <f>RecData[[#This Row],[Temperature '[°C']]]&lt;=-20</f>
        <v>0</v>
      </c>
      <c r="DH1168" s="18" t="b">
        <f>NOT(OR(MOD(RecData[[#This Row],[TIMESTAMP]],1)&gt;0.91632,MOD(RecData[[#This Row],[TIMESTAMP]],1)&lt;0.208681))</f>
        <v>0</v>
      </c>
      <c r="DI1168" s="18" t="b">
        <f>RecData[[#This Row],[Overall (dBA)]]-RecData[[#This Row],[L90]]&gt;=$DS$4</f>
        <v>0</v>
      </c>
      <c r="DJ1168" s="18" t="b">
        <f>RecData[[#This Row],[Overall (dBA)]]&gt;$DS$2</f>
        <v>0</v>
      </c>
      <c r="DK1168" s="18" t="b">
        <f>RecData[[#This Row],[Overall (dBA)]]&lt;$DS$3</f>
        <v>0</v>
      </c>
      <c r="DL11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8" s="2">
        <f>IF(AND(RecData[[#This Row],[Turbines ON/OFF]] = "OFF", NOT(OR(RecData[[#This Row],[Junk?]]="YES",RecData[[#This Row],[Gust?]],RecData[[#This Row],[Rain?]:[Min SPL Threshold?]]))),1,0)</f>
        <v>0</v>
      </c>
      <c r="DN1168" s="16">
        <f>RecData[[#This Row],[dBA Sum]]</f>
        <v>40.351726356677062</v>
      </c>
      <c r="DO1168" s="16">
        <f>RecData[[#This Row],[LAF90.0]]</f>
        <v>39.1</v>
      </c>
      <c r="DP1168" s="55">
        <f>IF(AND(RecData[[#This Row],[Useable TON Data?]],RecData[[#This Row],[Turbines ON/OFF]]="ON"),RecData[[#This Row],[dBA Sum]],"")</f>
        <v>40.351726356677062</v>
      </c>
      <c r="DQ1168" s="55" t="str">
        <f>IF(AND(RecData[[#This Row],[Useable Background Data?]],RecData[[#This Row],[Turbines ON/OFF]]="OFF"),RecData[[#This Row],[dBA Sum]],"")</f>
        <v/>
      </c>
      <c r="DR1168" s="3">
        <f>IF(OR(RecData[[#This Row],[Useable TON Data?]],RecData[[#This Row],[Useable Background Data?]]),ROUND(RecData[[#This Row],[WSpd_Avg '[m/s']]],0),"")</f>
        <v>1</v>
      </c>
      <c r="DS1168" s="85">
        <f>(0.00002)^2*(10^(RecData[[#This Row],[Overall (dBA)]]/10))</f>
        <v>4.3374314785236064E-6</v>
      </c>
    </row>
    <row r="1169" spans="1:123" ht="15" x14ac:dyDescent="0.25">
      <c r="A1169" s="3" t="s">
        <v>249</v>
      </c>
      <c r="B1169" s="12">
        <v>43276.029861111114</v>
      </c>
      <c r="C1169" s="3"/>
      <c r="D1169" s="3">
        <v>39.4</v>
      </c>
      <c r="E1169" s="3"/>
      <c r="F1169" s="3"/>
      <c r="G1169" s="3"/>
      <c r="H1169" s="3"/>
      <c r="I1169" s="3"/>
      <c r="J1169" s="3"/>
      <c r="K1169" s="3">
        <v>38</v>
      </c>
      <c r="L1169" s="3"/>
      <c r="M1169" s="3"/>
      <c r="N1169" s="3">
        <v>173.5</v>
      </c>
      <c r="O1169" s="3"/>
      <c r="P1169" s="3"/>
      <c r="Q1169" s="3">
        <v>0.89</v>
      </c>
      <c r="R1169" s="3">
        <v>0.4</v>
      </c>
      <c r="S1169" s="3">
        <v>1.4</v>
      </c>
      <c r="T1169" s="3">
        <v>11.7</v>
      </c>
      <c r="U1169" s="3">
        <v>53.6</v>
      </c>
      <c r="V1169" s="3">
        <v>977.6</v>
      </c>
      <c r="W1169" s="3">
        <v>0</v>
      </c>
      <c r="X1169" s="3">
        <v>44.8</v>
      </c>
      <c r="Y1169" s="3">
        <v>43.6</v>
      </c>
      <c r="Z1169" s="3">
        <v>42.4</v>
      </c>
      <c r="AA1169" s="3">
        <v>39.5</v>
      </c>
      <c r="AB1169" s="3">
        <v>34.5</v>
      </c>
      <c r="AC1169" s="3">
        <v>33.6</v>
      </c>
      <c r="AD1169" s="3">
        <v>37.4</v>
      </c>
      <c r="AE1169" s="3">
        <v>39.1</v>
      </c>
      <c r="AF1169" s="3">
        <v>44.1</v>
      </c>
      <c r="AG1169" s="3">
        <v>40.4</v>
      </c>
      <c r="AH1169" s="3">
        <v>37</v>
      </c>
      <c r="AI1169" s="3">
        <v>38.4</v>
      </c>
      <c r="AJ1169" s="3">
        <v>37</v>
      </c>
      <c r="AK1169" s="3">
        <v>35.5</v>
      </c>
      <c r="AL1169" s="3">
        <v>33</v>
      </c>
      <c r="AM1169" s="3">
        <v>32.200000000000003</v>
      </c>
      <c r="AN1169" s="3">
        <v>29.7</v>
      </c>
      <c r="AO1169" s="3">
        <v>26</v>
      </c>
      <c r="AP1169" s="3">
        <v>23.2</v>
      </c>
      <c r="AQ1169" s="3">
        <v>20.7</v>
      </c>
      <c r="AR1169" s="3">
        <v>15.9</v>
      </c>
      <c r="AS1169" s="3">
        <v>12.3</v>
      </c>
      <c r="AT1169" s="3">
        <v>13.9</v>
      </c>
      <c r="AU1169" s="3">
        <v>8.6999999999999993</v>
      </c>
      <c r="AV1169" s="3">
        <v>8.8000000000000007</v>
      </c>
      <c r="AW1169" s="3">
        <v>9</v>
      </c>
      <c r="AX1169" s="3">
        <v>8.9</v>
      </c>
      <c r="AY1169" s="3">
        <v>9.1</v>
      </c>
      <c r="AZ1169" s="3">
        <v>0</v>
      </c>
      <c r="BA1169" s="3">
        <v>0</v>
      </c>
      <c r="BB1169" s="3">
        <v>0</v>
      </c>
      <c r="BC1169" s="3">
        <v>39.350220109234179</v>
      </c>
      <c r="BD1169" s="3">
        <v>44.849779890765809</v>
      </c>
      <c r="BE1169" s="3">
        <v>43.649779890765821</v>
      </c>
      <c r="BF1169" s="3">
        <v>41.209779890765823</v>
      </c>
      <c r="BG1169" s="3">
        <v>38.636446557432485</v>
      </c>
      <c r="BH1169" s="3">
        <v>33.776446557432486</v>
      </c>
      <c r="BI1169" s="3">
        <v>33.289779890765821</v>
      </c>
      <c r="BJ1169" s="3">
        <v>37.883113224099141</v>
      </c>
      <c r="BK1169" s="3">
        <v>39.456446557432493</v>
      </c>
      <c r="BL1169" s="3">
        <v>44.029779890765816</v>
      </c>
      <c r="BM1169" s="3">
        <v>40.463113224099153</v>
      </c>
      <c r="BN1169" s="3">
        <v>37.346446557432479</v>
      </c>
      <c r="BO1169" s="3">
        <v>38.113113224099159</v>
      </c>
      <c r="BP1169" s="3">
        <v>36.429779890765822</v>
      </c>
      <c r="BQ1169" s="3">
        <v>35.346446557432479</v>
      </c>
      <c r="BR1169" s="3">
        <v>33.173113224099161</v>
      </c>
      <c r="BS1169" s="3">
        <v>32.176446557432492</v>
      </c>
      <c r="BT1169" s="3">
        <v>29.87311322409915</v>
      </c>
      <c r="BU1169" s="3">
        <v>26.13977989076583</v>
      </c>
      <c r="BV1169" s="3">
        <v>23.056446557432487</v>
      </c>
      <c r="BW1169" s="3">
        <v>21.089779890765818</v>
      </c>
      <c r="BX1169" s="3">
        <v>16.209779890765823</v>
      </c>
      <c r="BY1169" s="3">
        <v>12.429779890765822</v>
      </c>
      <c r="BZ1169" s="3">
        <v>14.159779890765826</v>
      </c>
      <c r="CA1169" s="3">
        <v>9.0597798907658103</v>
      </c>
      <c r="CB1169" s="3">
        <v>8.5964465574324862</v>
      </c>
      <c r="CC1169" s="3">
        <v>9.0097798907658202</v>
      </c>
      <c r="CD1169" s="3">
        <v>8.2164465574324907</v>
      </c>
      <c r="CE1169" s="3">
        <v>8.6097798907658145</v>
      </c>
      <c r="CF1169" s="3">
        <v>-0.87688677590085007</v>
      </c>
      <c r="CG1169" s="3">
        <v>-1.4102201092341815</v>
      </c>
      <c r="CH1169" s="3">
        <v>-2.4868867759008495</v>
      </c>
      <c r="CI1169" s="13">
        <f>[1]!dbasum(RecData[[#This Row],[20]:[2000]],RecData[[#Headers],[20]:[2000]])</f>
        <v>39.250093419337894</v>
      </c>
      <c r="CJ1169" s="14">
        <v>10764</v>
      </c>
      <c r="CK1169" s="15" t="s">
        <v>249</v>
      </c>
      <c r="CL1169" s="15">
        <f>RecData[[#This Row],[Start Time]]</f>
        <v>43276.029861111114</v>
      </c>
      <c r="CM1169" s="16">
        <f>RecData[[#This Row],[Wind Speed avg]]</f>
        <v>0.89</v>
      </c>
      <c r="CN1169" s="16">
        <f>RecData[[#This Row],[Wind Dir. avg]]</f>
        <v>173.5</v>
      </c>
      <c r="CO1169" s="16">
        <f>RecData[[#This Row],[Amb. Humidity]]</f>
        <v>53.6</v>
      </c>
      <c r="CP1169" s="16">
        <f>RecData[[#This Row],[Amb. Temperature]]</f>
        <v>11.7</v>
      </c>
      <c r="CQ1169" s="17">
        <f>RecData[[#This Row],[Amb. Rain Gauge]]</f>
        <v>0</v>
      </c>
      <c r="CR1169" s="4" t="s">
        <v>1</v>
      </c>
      <c r="CS1169" s="4" t="s">
        <v>49</v>
      </c>
      <c r="CT1169" s="70">
        <v>1604.47131347656</v>
      </c>
      <c r="CU1169" s="70">
        <v>39.000328063964801</v>
      </c>
      <c r="CV1169" s="70">
        <v>10.710338592529199</v>
      </c>
      <c r="CW1169" s="70">
        <v>15.318859100341699</v>
      </c>
      <c r="CX1169" s="4"/>
      <c r="CY1169" s="69"/>
      <c r="CZ1169" s="2" t="b">
        <f>IF($DP$1="YES",IF(RecData[[#This Row],[Power (kW)]]&gt;=$CR$3, TRUE,FALSE),TRUE)</f>
        <v>1</v>
      </c>
      <c r="DA1169" s="16">
        <f>MIN(MOD(180-ABS(ABS($DA$1-RecData[Yaw Angle (°)])-180),360),MOD(180-ABS(ABS($DB$1-RecData[Yaw Angle (°)])-180),360))</f>
        <v>31.470401286277252</v>
      </c>
      <c r="DB1169" s="2" t="str">
        <f>IF($DP$2="None","None",IF(RecData[[#This Row],[Relative Wind Direction]]&lt;=45,"DW",IF(RecData[[#This Row],[Relative Wind Direction]]&lt;=135,"CW","UW")))</f>
        <v>DW</v>
      </c>
      <c r="DC1169" s="61">
        <f>IF($CL1169-$CL1165&gt;1/24,#REF!,IF(SUM($CQ1165:$CQ1169)&gt;$DS$1,$DS$5,DC1170-1))</f>
        <v>-2</v>
      </c>
      <c r="DD1169" s="61">
        <f>IF($CL1170-$CL1169&gt;1/24,#REF!,IF(SUM($CQ1165:$CQ1169)&gt;$DS$1,$DS$6,DD1168-1))</f>
        <v>-9</v>
      </c>
      <c r="DE1169" s="18" t="b">
        <v>0</v>
      </c>
      <c r="DF1169" s="2" t="b">
        <f>IF(OR(RecData[[#This Row],[WSpd_Avg '[m/s']]]-RecData[[#This Row],[Wind Speed min]]&gt;=$DF$3,RecData[[#This Row],[Wind Speed max]]-RecData[[#This Row],[WSpd_Avg '[m/s']]]&gt;=$DF$2),TRUE,FALSE)</f>
        <v>0</v>
      </c>
      <c r="DG1169" s="2" t="b">
        <f>RecData[[#This Row],[Temperature '[°C']]]&lt;=-20</f>
        <v>0</v>
      </c>
      <c r="DH1169" s="18" t="b">
        <f>NOT(OR(MOD(RecData[[#This Row],[TIMESTAMP]],1)&gt;0.91632,MOD(RecData[[#This Row],[TIMESTAMP]],1)&lt;0.208681))</f>
        <v>0</v>
      </c>
      <c r="DI1169" s="18" t="b">
        <f>RecData[[#This Row],[Overall (dBA)]]-RecData[[#This Row],[L90]]&gt;=$DS$4</f>
        <v>0</v>
      </c>
      <c r="DJ1169" s="18" t="b">
        <f>RecData[[#This Row],[Overall (dBA)]]&gt;$DS$2</f>
        <v>0</v>
      </c>
      <c r="DK1169" s="18" t="b">
        <f>RecData[[#This Row],[Overall (dBA)]]&lt;$DS$3</f>
        <v>0</v>
      </c>
      <c r="DL11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69" s="2">
        <f>IF(AND(RecData[[#This Row],[Turbines ON/OFF]] = "OFF", NOT(OR(RecData[[#This Row],[Junk?]]="YES",RecData[[#This Row],[Gust?]],RecData[[#This Row],[Rain?]:[Min SPL Threshold?]]))),1,0)</f>
        <v>0</v>
      </c>
      <c r="DN1169" s="16">
        <f>RecData[[#This Row],[dBA Sum]]</f>
        <v>39.250093419337894</v>
      </c>
      <c r="DO1169" s="16">
        <f>RecData[[#This Row],[LAF90.0]]</f>
        <v>38</v>
      </c>
      <c r="DP1169" s="55">
        <f>IF(AND(RecData[[#This Row],[Useable TON Data?]],RecData[[#This Row],[Turbines ON/OFF]]="ON"),RecData[[#This Row],[dBA Sum]],"")</f>
        <v>39.250093419337894</v>
      </c>
      <c r="DQ1169" s="55" t="str">
        <f>IF(AND(RecData[[#This Row],[Useable Background Data?]],RecData[[#This Row],[Turbines ON/OFF]]="OFF"),RecData[[#This Row],[dBA Sum]],"")</f>
        <v/>
      </c>
      <c r="DR1169" s="3">
        <f>IF(OR(RecData[[#This Row],[Useable TON Data?]],RecData[[#This Row],[Useable Background Data?]]),ROUND(RecData[[#This Row],[WSpd_Avg '[m/s']]],0),"")</f>
        <v>1</v>
      </c>
      <c r="DS1169" s="85">
        <f>(0.00002)^2*(10^(RecData[[#This Row],[Overall (dBA)]]/10))</f>
        <v>3.365652963008292E-6</v>
      </c>
    </row>
    <row r="1170" spans="1:123" ht="15" x14ac:dyDescent="0.25">
      <c r="A1170" s="3" t="s">
        <v>249</v>
      </c>
      <c r="B1170" s="12">
        <v>43276.030555555553</v>
      </c>
      <c r="C1170" s="3"/>
      <c r="D1170" s="3">
        <v>39.799999999999997</v>
      </c>
      <c r="E1170" s="3"/>
      <c r="F1170" s="3"/>
      <c r="G1170" s="3"/>
      <c r="H1170" s="3"/>
      <c r="I1170" s="3"/>
      <c r="J1170" s="3"/>
      <c r="K1170" s="3">
        <v>38.700000000000003</v>
      </c>
      <c r="L1170" s="3"/>
      <c r="M1170" s="3"/>
      <c r="N1170" s="3">
        <v>196.4</v>
      </c>
      <c r="O1170" s="3"/>
      <c r="P1170" s="3"/>
      <c r="Q1170" s="3">
        <v>0.69</v>
      </c>
      <c r="R1170" s="3">
        <v>0.3</v>
      </c>
      <c r="S1170" s="3">
        <v>1.3</v>
      </c>
      <c r="T1170" s="3">
        <v>11.7</v>
      </c>
      <c r="U1170" s="3">
        <v>53.5</v>
      </c>
      <c r="V1170" s="3">
        <v>977.6</v>
      </c>
      <c r="W1170" s="3">
        <v>0</v>
      </c>
      <c r="X1170" s="3">
        <v>44.7</v>
      </c>
      <c r="Y1170" s="3">
        <v>43</v>
      </c>
      <c r="Z1170" s="3">
        <v>41.7</v>
      </c>
      <c r="AA1170" s="3">
        <v>38.9</v>
      </c>
      <c r="AB1170" s="3">
        <v>34</v>
      </c>
      <c r="AC1170" s="3">
        <v>33.200000000000003</v>
      </c>
      <c r="AD1170" s="3">
        <v>37.1</v>
      </c>
      <c r="AE1170" s="3">
        <v>38.5</v>
      </c>
      <c r="AF1170" s="3">
        <v>45.9</v>
      </c>
      <c r="AG1170" s="3">
        <v>41.1</v>
      </c>
      <c r="AH1170" s="3">
        <v>37</v>
      </c>
      <c r="AI1170" s="3">
        <v>38.299999999999997</v>
      </c>
      <c r="AJ1170" s="3">
        <v>36.799999999999997</v>
      </c>
      <c r="AK1170" s="3">
        <v>35.5</v>
      </c>
      <c r="AL1170" s="3">
        <v>33.200000000000003</v>
      </c>
      <c r="AM1170" s="3">
        <v>33.1</v>
      </c>
      <c r="AN1170" s="3">
        <v>30.3</v>
      </c>
      <c r="AO1170" s="3">
        <v>26.6</v>
      </c>
      <c r="AP1170" s="3">
        <v>24.5</v>
      </c>
      <c r="AQ1170" s="3">
        <v>21.3</v>
      </c>
      <c r="AR1170" s="3">
        <v>16.399999999999999</v>
      </c>
      <c r="AS1170" s="3">
        <v>11.9</v>
      </c>
      <c r="AT1170" s="3">
        <v>14.8</v>
      </c>
      <c r="AU1170" s="3">
        <v>7.8</v>
      </c>
      <c r="AV1170" s="3">
        <v>8.1999999999999993</v>
      </c>
      <c r="AW1170" s="3">
        <v>8.6999999999999993</v>
      </c>
      <c r="AX1170" s="3">
        <v>8.9</v>
      </c>
      <c r="AY1170" s="3">
        <v>9.1</v>
      </c>
      <c r="AZ1170" s="3">
        <v>0</v>
      </c>
      <c r="BA1170" s="3">
        <v>0</v>
      </c>
      <c r="BB1170" s="3">
        <v>0</v>
      </c>
      <c r="BC1170" s="3">
        <v>39.781557291207143</v>
      </c>
      <c r="BD1170" s="3">
        <v>44.718442708792857</v>
      </c>
      <c r="BE1170" s="3">
        <v>43.018442708792854</v>
      </c>
      <c r="BF1170" s="3">
        <v>40.478442708792848</v>
      </c>
      <c r="BG1170" s="3">
        <v>38.005109375459519</v>
      </c>
      <c r="BH1170" s="3">
        <v>33.245109375459528</v>
      </c>
      <c r="BI1170" s="3">
        <v>32.858442708792857</v>
      </c>
      <c r="BJ1170" s="3">
        <v>37.551776042126185</v>
      </c>
      <c r="BK1170" s="3">
        <v>38.825109375459512</v>
      </c>
      <c r="BL1170" s="3">
        <v>45.798442708792855</v>
      </c>
      <c r="BM1170" s="3">
        <v>41.131776042126184</v>
      </c>
      <c r="BN1170" s="3">
        <v>37.315109375459521</v>
      </c>
      <c r="BO1170" s="3">
        <v>37.981776042126178</v>
      </c>
      <c r="BP1170" s="3">
        <v>36.198442708792847</v>
      </c>
      <c r="BQ1170" s="3">
        <v>35.315109375459521</v>
      </c>
      <c r="BR1170" s="3">
        <v>33.341776042126192</v>
      </c>
      <c r="BS1170" s="3">
        <v>33.045109375459525</v>
      </c>
      <c r="BT1170" s="3">
        <v>30.441776042126186</v>
      </c>
      <c r="BU1170" s="3">
        <v>26.708442708792866</v>
      </c>
      <c r="BV1170" s="3">
        <v>24.325109375459526</v>
      </c>
      <c r="BW1170" s="3">
        <v>21.658442708792855</v>
      </c>
      <c r="BX1170" s="3">
        <v>16.678442708792858</v>
      </c>
      <c r="BY1170" s="3">
        <v>11.998442708792851</v>
      </c>
      <c r="BZ1170" s="3">
        <v>15.028442708792859</v>
      </c>
      <c r="CA1170" s="3">
        <v>8.1284427087928464</v>
      </c>
      <c r="CB1170" s="3">
        <v>7.9651093754595195</v>
      </c>
      <c r="CC1170" s="3">
        <v>8.6784427087928506</v>
      </c>
      <c r="CD1170" s="3">
        <v>8.1851093754595254</v>
      </c>
      <c r="CE1170" s="3">
        <v>8.5784427087928563</v>
      </c>
      <c r="CF1170" s="3">
        <v>-0.90822395787381538</v>
      </c>
      <c r="CG1170" s="3">
        <v>-1.4415572912071468</v>
      </c>
      <c r="CH1170" s="3">
        <v>-2.5182239578738148</v>
      </c>
      <c r="CI1170" s="13">
        <f>[1]!dbasum(RecData[[#This Row],[20]:[2000]],RecData[[#Headers],[20]:[2000]])</f>
        <v>39.663060294161923</v>
      </c>
      <c r="CJ1170" s="14">
        <v>10765</v>
      </c>
      <c r="CK1170" s="15" t="s">
        <v>249</v>
      </c>
      <c r="CL1170" s="15">
        <f>RecData[[#This Row],[Start Time]]</f>
        <v>43276.030555555553</v>
      </c>
      <c r="CM1170" s="16">
        <f>RecData[[#This Row],[Wind Speed avg]]</f>
        <v>0.69</v>
      </c>
      <c r="CN1170" s="16">
        <f>RecData[[#This Row],[Wind Dir. avg]]</f>
        <v>196.4</v>
      </c>
      <c r="CO1170" s="16">
        <f>RecData[[#This Row],[Amb. Humidity]]</f>
        <v>53.5</v>
      </c>
      <c r="CP1170" s="16">
        <f>RecData[[#This Row],[Amb. Temperature]]</f>
        <v>11.7</v>
      </c>
      <c r="CQ1170" s="17">
        <f>RecData[[#This Row],[Amb. Rain Gauge]]</f>
        <v>0</v>
      </c>
      <c r="CR1170" s="4" t="s">
        <v>1</v>
      </c>
      <c r="CS1170" s="4" t="s">
        <v>49</v>
      </c>
      <c r="CT1170" s="70">
        <v>1604.47131347656</v>
      </c>
      <c r="CU1170" s="70">
        <v>39.000328063964801</v>
      </c>
      <c r="CV1170" s="70">
        <v>10.710338592529199</v>
      </c>
      <c r="CW1170" s="70">
        <v>15.318859100341699</v>
      </c>
      <c r="CX1170" s="4"/>
      <c r="CY1170" s="69"/>
      <c r="CZ1170" s="2" t="b">
        <f>IF($DP$1="YES",IF(RecData[[#This Row],[Power (kW)]]&gt;=$CR$3, TRUE,FALSE),TRUE)</f>
        <v>1</v>
      </c>
      <c r="DA1170" s="16">
        <f>MIN(MOD(180-ABS(ABS($DA$1-RecData[Yaw Angle (°)])-180),360),MOD(180-ABS(ABS($DB$1-RecData[Yaw Angle (°)])-180),360))</f>
        <v>31.470401286277252</v>
      </c>
      <c r="DB1170" s="2" t="str">
        <f>IF($DP$2="None","None",IF(RecData[[#This Row],[Relative Wind Direction]]&lt;=45,"DW",IF(RecData[[#This Row],[Relative Wind Direction]]&lt;=135,"CW","UW")))</f>
        <v>DW</v>
      </c>
      <c r="DC1170" s="61">
        <v>-1</v>
      </c>
      <c r="DD1170" s="61">
        <v>-1</v>
      </c>
      <c r="DE1170" s="18" t="b">
        <v>0</v>
      </c>
      <c r="DF1170" s="2" t="b">
        <f>IF(OR(RecData[[#This Row],[WSpd_Avg '[m/s']]]-RecData[[#This Row],[Wind Speed min]]&gt;=$DF$3,RecData[[#This Row],[Wind Speed max]]-RecData[[#This Row],[WSpd_Avg '[m/s']]]&gt;=$DF$2),TRUE,FALSE)</f>
        <v>0</v>
      </c>
      <c r="DG1170" s="2" t="b">
        <f>RecData[[#This Row],[Temperature '[°C']]]&lt;=-20</f>
        <v>0</v>
      </c>
      <c r="DH1170" s="18" t="b">
        <f>NOT(OR(MOD(RecData[[#This Row],[TIMESTAMP]],1)&gt;0.91632,MOD(RecData[[#This Row],[TIMESTAMP]],1)&lt;0.208681))</f>
        <v>0</v>
      </c>
      <c r="DI1170" s="18" t="b">
        <f>RecData[[#This Row],[Overall (dBA)]]-RecData[[#This Row],[L90]]&gt;=$DS$4</f>
        <v>0</v>
      </c>
      <c r="DJ1170" s="18" t="b">
        <f>RecData[[#This Row],[Overall (dBA)]]&gt;$DS$2</f>
        <v>0</v>
      </c>
      <c r="DK1170" s="18" t="b">
        <f>RecData[[#This Row],[Overall (dBA)]]&lt;$DS$3</f>
        <v>0</v>
      </c>
      <c r="DL11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0" s="2">
        <f>IF(AND(RecData[[#This Row],[Turbines ON/OFF]] = "OFF", NOT(OR(RecData[[#This Row],[Junk?]]="YES",RecData[[#This Row],[Gust?]],RecData[[#This Row],[Rain?]:[Min SPL Threshold?]]))),1,0)</f>
        <v>0</v>
      </c>
      <c r="DN1170" s="16">
        <f>RecData[[#This Row],[dBA Sum]]</f>
        <v>39.663060294161923</v>
      </c>
      <c r="DO1170" s="16">
        <f>RecData[[#This Row],[LAF90.0]]</f>
        <v>38.700000000000003</v>
      </c>
      <c r="DP1170" s="55">
        <f>IF(AND(RecData[[#This Row],[Useable TON Data?]],RecData[[#This Row],[Turbines ON/OFF]]="ON"),RecData[[#This Row],[dBA Sum]],"")</f>
        <v>39.663060294161923</v>
      </c>
      <c r="DQ1170" s="55" t="str">
        <f>IF(AND(RecData[[#This Row],[Useable Background Data?]],RecData[[#This Row],[Turbines ON/OFF]]="OFF"),RecData[[#This Row],[dBA Sum]],"")</f>
        <v/>
      </c>
      <c r="DR1170" s="3">
        <f>IF(OR(RecData[[#This Row],[Useable TON Data?]],RecData[[#This Row],[Useable Background Data?]]),ROUND(RecData[[#This Row],[WSpd_Avg '[m/s']]],0),"")</f>
        <v>1</v>
      </c>
      <c r="DS1170" s="85">
        <f>(0.00002)^2*(10^(RecData[[#This Row],[Overall (dBA)]]/10))</f>
        <v>3.701400000993182E-6</v>
      </c>
    </row>
    <row r="1171" spans="1:123" ht="15" x14ac:dyDescent="0.25">
      <c r="A1171" s="3" t="s">
        <v>249</v>
      </c>
      <c r="B1171" s="12">
        <v>43276.03125</v>
      </c>
      <c r="C1171" s="3"/>
      <c r="D1171" s="3">
        <v>40.299999999999997</v>
      </c>
      <c r="E1171" s="3"/>
      <c r="F1171" s="3"/>
      <c r="G1171" s="3"/>
      <c r="H1171" s="3"/>
      <c r="I1171" s="3"/>
      <c r="J1171" s="3"/>
      <c r="K1171" s="3">
        <v>39.299999999999997</v>
      </c>
      <c r="L1171" s="3"/>
      <c r="M1171" s="3"/>
      <c r="N1171" s="3">
        <v>211.4</v>
      </c>
      <c r="O1171" s="3"/>
      <c r="P1171" s="3"/>
      <c r="Q1171" s="3">
        <v>0.59</v>
      </c>
      <c r="R1171" s="3">
        <v>0.3</v>
      </c>
      <c r="S1171" s="3">
        <v>0.9</v>
      </c>
      <c r="T1171" s="3">
        <v>11.7</v>
      </c>
      <c r="U1171" s="3">
        <v>53.6</v>
      </c>
      <c r="V1171" s="3">
        <v>977.7</v>
      </c>
      <c r="W1171" s="3">
        <v>0</v>
      </c>
      <c r="X1171" s="3">
        <v>44.8</v>
      </c>
      <c r="Y1171" s="3">
        <v>43.7</v>
      </c>
      <c r="Z1171" s="3">
        <v>43.1</v>
      </c>
      <c r="AA1171" s="3">
        <v>39.4</v>
      </c>
      <c r="AB1171" s="3">
        <v>35</v>
      </c>
      <c r="AC1171" s="3">
        <v>33.5</v>
      </c>
      <c r="AD1171" s="3">
        <v>38.6</v>
      </c>
      <c r="AE1171" s="3">
        <v>39.9</v>
      </c>
      <c r="AF1171" s="3">
        <v>46.7</v>
      </c>
      <c r="AG1171" s="3">
        <v>41.2</v>
      </c>
      <c r="AH1171" s="3">
        <v>37.9</v>
      </c>
      <c r="AI1171" s="3">
        <v>38.9</v>
      </c>
      <c r="AJ1171" s="3">
        <v>37.200000000000003</v>
      </c>
      <c r="AK1171" s="3">
        <v>35.9</v>
      </c>
      <c r="AL1171" s="3">
        <v>33.6</v>
      </c>
      <c r="AM1171" s="3">
        <v>33.4</v>
      </c>
      <c r="AN1171" s="3">
        <v>31</v>
      </c>
      <c r="AO1171" s="3">
        <v>27.1</v>
      </c>
      <c r="AP1171" s="3">
        <v>24.8</v>
      </c>
      <c r="AQ1171" s="3">
        <v>21.7</v>
      </c>
      <c r="AR1171" s="3">
        <v>16.7</v>
      </c>
      <c r="AS1171" s="3">
        <v>12.1</v>
      </c>
      <c r="AT1171" s="3">
        <v>13.8</v>
      </c>
      <c r="AU1171" s="3">
        <v>7.6</v>
      </c>
      <c r="AV1171" s="3">
        <v>8.1</v>
      </c>
      <c r="AW1171" s="3">
        <v>8.6</v>
      </c>
      <c r="AX1171" s="3">
        <v>8.8000000000000007</v>
      </c>
      <c r="AY1171" s="3">
        <v>9.1</v>
      </c>
      <c r="AZ1171" s="3">
        <v>0</v>
      </c>
      <c r="BA1171" s="3">
        <v>0</v>
      </c>
      <c r="BB1171" s="3">
        <v>0</v>
      </c>
      <c r="BC1171" s="3">
        <v>40.269624628614551</v>
      </c>
      <c r="BD1171" s="3">
        <v>44.830375371385443</v>
      </c>
      <c r="BE1171" s="3">
        <v>43.730375371385449</v>
      </c>
      <c r="BF1171" s="3">
        <v>41.890375371385446</v>
      </c>
      <c r="BG1171" s="3">
        <v>38.517042038052111</v>
      </c>
      <c r="BH1171" s="3">
        <v>34.25704203805212</v>
      </c>
      <c r="BI1171" s="3">
        <v>33.170375371385447</v>
      </c>
      <c r="BJ1171" s="3">
        <v>39.063708704718778</v>
      </c>
      <c r="BK1171" s="3">
        <v>40.23704203805211</v>
      </c>
      <c r="BL1171" s="3">
        <v>46.610375371385445</v>
      </c>
      <c r="BM1171" s="3">
        <v>41.243708704718784</v>
      </c>
      <c r="BN1171" s="3">
        <v>38.227042038052119</v>
      </c>
      <c r="BO1171" s="3">
        <v>38.593708704718779</v>
      </c>
      <c r="BP1171" s="3">
        <v>36.610375371385445</v>
      </c>
      <c r="BQ1171" s="3">
        <v>35.727042038052105</v>
      </c>
      <c r="BR1171" s="3">
        <v>33.75370870471879</v>
      </c>
      <c r="BS1171" s="3">
        <v>33.357042038052114</v>
      </c>
      <c r="BT1171" s="3">
        <v>31.153708704718781</v>
      </c>
      <c r="BU1171" s="3">
        <v>27.220375371385458</v>
      </c>
      <c r="BV1171" s="3">
        <v>24.637042038052115</v>
      </c>
      <c r="BW1171" s="3">
        <v>22.070375371385452</v>
      </c>
      <c r="BX1171" s="3">
        <v>16.990375371385454</v>
      </c>
      <c r="BY1171" s="3">
        <v>12.210375371385446</v>
      </c>
      <c r="BZ1171" s="3">
        <v>14.040375371385451</v>
      </c>
      <c r="CA1171" s="3">
        <v>7.9403753713854357</v>
      </c>
      <c r="CB1171" s="3">
        <v>7.8770420380521102</v>
      </c>
      <c r="CC1171" s="3">
        <v>8.5903753713854485</v>
      </c>
      <c r="CD1171" s="3">
        <v>8.0970420380521162</v>
      </c>
      <c r="CE1171" s="3">
        <v>8.5903753713854485</v>
      </c>
      <c r="CF1171" s="3">
        <v>-0.8962912952812232</v>
      </c>
      <c r="CG1171" s="3">
        <v>-1.4296246286145546</v>
      </c>
      <c r="CH1171" s="3">
        <v>-2.5062912952812226</v>
      </c>
      <c r="CI1171" s="13">
        <f>[1]!dbasum(RecData[[#This Row],[20]:[2000]],RecData[[#Headers],[20]:[2000]])</f>
        <v>40.174347865528816</v>
      </c>
      <c r="CJ1171" s="14">
        <v>10766</v>
      </c>
      <c r="CK1171" s="15" t="s">
        <v>249</v>
      </c>
      <c r="CL1171" s="15">
        <f>RecData[[#This Row],[Start Time]]</f>
        <v>43276.03125</v>
      </c>
      <c r="CM1171" s="16">
        <f>RecData[[#This Row],[Wind Speed avg]]</f>
        <v>0.59</v>
      </c>
      <c r="CN1171" s="16">
        <f>RecData[[#This Row],[Wind Dir. avg]]</f>
        <v>211.4</v>
      </c>
      <c r="CO1171" s="16">
        <f>RecData[[#This Row],[Amb. Humidity]]</f>
        <v>53.6</v>
      </c>
      <c r="CP1171" s="16">
        <f>RecData[[#This Row],[Amb. Temperature]]</f>
        <v>11.7</v>
      </c>
      <c r="CQ1171" s="17">
        <f>RecData[[#This Row],[Amb. Rain Gauge]]</f>
        <v>0</v>
      </c>
      <c r="CR1171" s="4" t="s">
        <v>1</v>
      </c>
      <c r="CS1171" s="4" t="s">
        <v>49</v>
      </c>
      <c r="CT1171" s="70">
        <v>1604.47131347656</v>
      </c>
      <c r="CU1171" s="70">
        <v>39.000328063964801</v>
      </c>
      <c r="CV1171" s="70">
        <v>10.710338592529199</v>
      </c>
      <c r="CW1171" s="70">
        <v>15.318859100341699</v>
      </c>
      <c r="CX1171" s="4"/>
      <c r="CY1171" s="69"/>
      <c r="CZ1171" s="2" t="b">
        <f>IF($DP$1="YES",IF(RecData[[#This Row],[Power (kW)]]&gt;=$CR$3, TRUE,FALSE),TRUE)</f>
        <v>1</v>
      </c>
      <c r="DA1171" s="16">
        <f>MIN(MOD(180-ABS(ABS($DA$1-RecData[Yaw Angle (°)])-180),360),MOD(180-ABS(ABS($DB$1-RecData[Yaw Angle (°)])-180),360))</f>
        <v>31.470401286277252</v>
      </c>
      <c r="DB1171" s="2" t="str">
        <f>IF($DP$2="None","None",IF(RecData[[#This Row],[Relative Wind Direction]]&lt;=45,"DW",IF(RecData[[#This Row],[Relative Wind Direction]]&lt;=135,"CW","UW")))</f>
        <v>DW</v>
      </c>
      <c r="DC1171" s="61">
        <f>IF($CL1171-$CL1170&gt;1/24,#REF!,IF(SUM($CQ1170:$CQ1171)&gt;$DS$1,$DS$5,DC1172-1))</f>
        <v>-9</v>
      </c>
      <c r="DD1171" s="61">
        <f>IF($CL1172-$CL1171&gt;1/24,#REF!,IF(SUM($CQ1170:$CQ1171)&gt;$DS$1,$DS$6,DD1170-1))</f>
        <v>-2</v>
      </c>
      <c r="DE1171" s="18" t="b">
        <v>0</v>
      </c>
      <c r="DF1171" s="2" t="b">
        <f>IF(OR(RecData[[#This Row],[WSpd_Avg '[m/s']]]-RecData[[#This Row],[Wind Speed min]]&gt;=$DF$3,RecData[[#This Row],[Wind Speed max]]-RecData[[#This Row],[WSpd_Avg '[m/s']]]&gt;=$DF$2),TRUE,FALSE)</f>
        <v>0</v>
      </c>
      <c r="DG1171" s="2" t="b">
        <f>RecData[[#This Row],[Temperature '[°C']]]&lt;=-20</f>
        <v>0</v>
      </c>
      <c r="DH1171" s="18" t="b">
        <f>NOT(OR(MOD(RecData[[#This Row],[TIMESTAMP]],1)&gt;0.91632,MOD(RecData[[#This Row],[TIMESTAMP]],1)&lt;0.208681))</f>
        <v>0</v>
      </c>
      <c r="DI1171" s="18" t="b">
        <f>RecData[[#This Row],[Overall (dBA)]]-RecData[[#This Row],[L90]]&gt;=$DS$4</f>
        <v>0</v>
      </c>
      <c r="DJ1171" s="18" t="b">
        <f>RecData[[#This Row],[Overall (dBA)]]&gt;$DS$2</f>
        <v>0</v>
      </c>
      <c r="DK1171" s="18" t="b">
        <f>RecData[[#This Row],[Overall (dBA)]]&lt;$DS$3</f>
        <v>0</v>
      </c>
      <c r="DL11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1" s="2">
        <f>IF(AND(RecData[[#This Row],[Turbines ON/OFF]] = "OFF", NOT(OR(RecData[[#This Row],[Junk?]]="YES",RecData[[#This Row],[Gust?]],RecData[[#This Row],[Rain?]:[Min SPL Threshold?]]))),1,0)</f>
        <v>0</v>
      </c>
      <c r="DN1171" s="16">
        <f>RecData[[#This Row],[dBA Sum]]</f>
        <v>40.174347865528816</v>
      </c>
      <c r="DO1171" s="16">
        <f>RecData[[#This Row],[LAF90.0]]</f>
        <v>39.299999999999997</v>
      </c>
      <c r="DP1171" s="55">
        <f>IF(AND(RecData[[#This Row],[Useable TON Data?]],RecData[[#This Row],[Turbines ON/OFF]]="ON"),RecData[[#This Row],[dBA Sum]],"")</f>
        <v>40.174347865528816</v>
      </c>
      <c r="DQ1171" s="55" t="str">
        <f>IF(AND(RecData[[#This Row],[Useable Background Data?]],RecData[[#This Row],[Turbines ON/OFF]]="OFF"),RecData[[#This Row],[dBA Sum]],"")</f>
        <v/>
      </c>
      <c r="DR1171" s="3">
        <f>IF(OR(RecData[[#This Row],[Useable TON Data?]],RecData[[#This Row],[Useable Background Data?]]),ROUND(RecData[[#This Row],[WSpd_Avg '[m/s']]],0),"")</f>
        <v>1</v>
      </c>
      <c r="DS1171" s="85">
        <f>(0.00002)^2*(10^(RecData[[#This Row],[Overall (dBA)]]/10))</f>
        <v>4.163847142296459E-6</v>
      </c>
    </row>
    <row r="1172" spans="1:123" ht="15" x14ac:dyDescent="0.25">
      <c r="A1172" s="3" t="s">
        <v>249</v>
      </c>
      <c r="B1172" s="12">
        <v>43276.031944444447</v>
      </c>
      <c r="C1172" s="3"/>
      <c r="D1172" s="3">
        <v>39.5</v>
      </c>
      <c r="E1172" s="3"/>
      <c r="F1172" s="3"/>
      <c r="G1172" s="3"/>
      <c r="H1172" s="3"/>
      <c r="I1172" s="3"/>
      <c r="J1172" s="3"/>
      <c r="K1172" s="3">
        <v>38.5</v>
      </c>
      <c r="L1172" s="3"/>
      <c r="M1172" s="3"/>
      <c r="N1172" s="3">
        <v>191.1</v>
      </c>
      <c r="O1172" s="3"/>
      <c r="P1172" s="3"/>
      <c r="Q1172" s="3">
        <v>0.56000000000000005</v>
      </c>
      <c r="R1172" s="3">
        <v>0.1</v>
      </c>
      <c r="S1172" s="3">
        <v>1</v>
      </c>
      <c r="T1172" s="3">
        <v>11.7</v>
      </c>
      <c r="U1172" s="3">
        <v>53.7</v>
      </c>
      <c r="V1172" s="3">
        <v>977.7</v>
      </c>
      <c r="W1172" s="3">
        <v>0</v>
      </c>
      <c r="X1172" s="3">
        <v>45.1</v>
      </c>
      <c r="Y1172" s="3">
        <v>44.3</v>
      </c>
      <c r="Z1172" s="3">
        <v>42.9</v>
      </c>
      <c r="AA1172" s="3">
        <v>39.9</v>
      </c>
      <c r="AB1172" s="3">
        <v>35.6</v>
      </c>
      <c r="AC1172" s="3">
        <v>33.6</v>
      </c>
      <c r="AD1172" s="3">
        <v>38.200000000000003</v>
      </c>
      <c r="AE1172" s="3">
        <v>39.1</v>
      </c>
      <c r="AF1172" s="3">
        <v>45.2</v>
      </c>
      <c r="AG1172" s="3">
        <v>40.700000000000003</v>
      </c>
      <c r="AH1172" s="3">
        <v>36.6</v>
      </c>
      <c r="AI1172" s="3">
        <v>37.5</v>
      </c>
      <c r="AJ1172" s="3">
        <v>36.5</v>
      </c>
      <c r="AK1172" s="3">
        <v>34.799999999999997</v>
      </c>
      <c r="AL1172" s="3">
        <v>32.9</v>
      </c>
      <c r="AM1172" s="3">
        <v>32.799999999999997</v>
      </c>
      <c r="AN1172" s="3">
        <v>30.3</v>
      </c>
      <c r="AO1172" s="3">
        <v>26.5</v>
      </c>
      <c r="AP1172" s="3">
        <v>24.2</v>
      </c>
      <c r="AQ1172" s="3">
        <v>21.2</v>
      </c>
      <c r="AR1172" s="3">
        <v>16.7</v>
      </c>
      <c r="AS1172" s="3">
        <v>15.6</v>
      </c>
      <c r="AT1172" s="3">
        <v>20.399999999999999</v>
      </c>
      <c r="AU1172" s="3">
        <v>12.6</v>
      </c>
      <c r="AV1172" s="3">
        <v>8.8000000000000007</v>
      </c>
      <c r="AW1172" s="3">
        <v>8.9</v>
      </c>
      <c r="AX1172" s="3">
        <v>8.9</v>
      </c>
      <c r="AY1172" s="3">
        <v>9.1999999999999993</v>
      </c>
      <c r="AZ1172" s="3">
        <v>0</v>
      </c>
      <c r="BA1172" s="3">
        <v>0</v>
      </c>
      <c r="BB1172" s="3">
        <v>0</v>
      </c>
      <c r="BC1172" s="3">
        <v>39.479074004371434</v>
      </c>
      <c r="BD1172" s="3">
        <v>45.120925995628561</v>
      </c>
      <c r="BE1172" s="3">
        <v>44.320925995628563</v>
      </c>
      <c r="BF1172" s="3">
        <v>41.680925995628563</v>
      </c>
      <c r="BG1172" s="3">
        <v>39.007592662295231</v>
      </c>
      <c r="BH1172" s="3">
        <v>34.847592662295234</v>
      </c>
      <c r="BI1172" s="3">
        <v>33.260925995628575</v>
      </c>
      <c r="BJ1172" s="3">
        <v>38.654259328961892</v>
      </c>
      <c r="BK1172" s="3">
        <v>39.427592662295233</v>
      </c>
      <c r="BL1172" s="3">
        <v>45.100925995628579</v>
      </c>
      <c r="BM1172" s="3">
        <v>40.734259328961905</v>
      </c>
      <c r="BN1172" s="3">
        <v>36.917592662295242</v>
      </c>
      <c r="BO1172" s="3">
        <v>37.184259328961893</v>
      </c>
      <c r="BP1172" s="3">
        <v>35.900925995628562</v>
      </c>
      <c r="BQ1172" s="3">
        <v>34.61759266229523</v>
      </c>
      <c r="BR1172" s="3">
        <v>33.044259328961907</v>
      </c>
      <c r="BS1172" s="3">
        <v>32.747592662295226</v>
      </c>
      <c r="BT1172" s="3">
        <v>30.444259328961898</v>
      </c>
      <c r="BU1172" s="3">
        <v>26.61092599562857</v>
      </c>
      <c r="BV1172" s="3">
        <v>24.027592662295234</v>
      </c>
      <c r="BW1172" s="3">
        <v>21.560925995628573</v>
      </c>
      <c r="BX1172" s="3">
        <v>16.980925995628574</v>
      </c>
      <c r="BY1172" s="3">
        <v>15.700925995628566</v>
      </c>
      <c r="BZ1172" s="3">
        <v>20.630925995628566</v>
      </c>
      <c r="CA1172" s="3">
        <v>12.930925995628563</v>
      </c>
      <c r="CB1172" s="3">
        <v>8.5675926622952332</v>
      </c>
      <c r="CC1172" s="3">
        <v>8.8809259956285658</v>
      </c>
      <c r="CD1172" s="3">
        <v>8.1875926622952377</v>
      </c>
      <c r="CE1172" s="3">
        <v>8.6809259956285629</v>
      </c>
      <c r="CF1172" s="3">
        <v>-0.90574067103810307</v>
      </c>
      <c r="CG1172" s="3">
        <v>-1.4390740043714345</v>
      </c>
      <c r="CH1172" s="3">
        <v>-2.5157406710381025</v>
      </c>
      <c r="CI1172" s="13">
        <f>[1]!dbasum(RecData[[#This Row],[20]:[2000]],RecData[[#Headers],[20]:[2000]])</f>
        <v>39.292878062270155</v>
      </c>
      <c r="CJ1172" s="14">
        <v>10767</v>
      </c>
      <c r="CK1172" s="15" t="s">
        <v>249</v>
      </c>
      <c r="CL1172" s="15">
        <f>RecData[[#This Row],[Start Time]]</f>
        <v>43276.031944444447</v>
      </c>
      <c r="CM1172" s="16">
        <f>RecData[[#This Row],[Wind Speed avg]]</f>
        <v>0.56000000000000005</v>
      </c>
      <c r="CN1172" s="16">
        <f>RecData[[#This Row],[Wind Dir. avg]]</f>
        <v>191.1</v>
      </c>
      <c r="CO1172" s="16">
        <f>RecData[[#This Row],[Amb. Humidity]]</f>
        <v>53.7</v>
      </c>
      <c r="CP1172" s="16">
        <f>RecData[[#This Row],[Amb. Temperature]]</f>
        <v>11.7</v>
      </c>
      <c r="CQ1172" s="17">
        <f>RecData[[#This Row],[Amb. Rain Gauge]]</f>
        <v>0</v>
      </c>
      <c r="CR1172" s="4" t="s">
        <v>1</v>
      </c>
      <c r="CS1172" s="4" t="s">
        <v>49</v>
      </c>
      <c r="CT1172" s="70">
        <v>1604.47131347656</v>
      </c>
      <c r="CU1172" s="70">
        <v>39.000328063964801</v>
      </c>
      <c r="CV1172" s="70">
        <v>10.710338592529199</v>
      </c>
      <c r="CW1172" s="70">
        <v>15.318859100341699</v>
      </c>
      <c r="CX1172" s="4"/>
      <c r="CY1172" s="69"/>
      <c r="CZ1172" s="2" t="b">
        <f>IF($DP$1="YES",IF(RecData[[#This Row],[Power (kW)]]&gt;=$CR$3, TRUE,FALSE),TRUE)</f>
        <v>1</v>
      </c>
      <c r="DA1172" s="16">
        <f>MIN(MOD(180-ABS(ABS($DA$1-RecData[Yaw Angle (°)])-180),360),MOD(180-ABS(ABS($DB$1-RecData[Yaw Angle (°)])-180),360))</f>
        <v>31.470401286277252</v>
      </c>
      <c r="DB1172" s="2" t="str">
        <f>IF($DP$2="None","None",IF(RecData[[#This Row],[Relative Wind Direction]]&lt;=45,"DW",IF(RecData[[#This Row],[Relative Wind Direction]]&lt;=135,"CW","UW")))</f>
        <v>DW</v>
      </c>
      <c r="DC1172" s="61">
        <f>IF($CL1172-$CL1170&gt;1/24,#REF!,IF(SUM($CQ1170:$CQ1172)&gt;$DS$1,$DS$5,DC1173-1))</f>
        <v>-8</v>
      </c>
      <c r="DD1172" s="61">
        <f>IF($CL1173-$CL1172&gt;1/24,#REF!,IF(SUM($CQ1170:$CQ1172)&gt;$DS$1,$DS$6,DD1171-1))</f>
        <v>-3</v>
      </c>
      <c r="DE1172" s="18" t="b">
        <v>0</v>
      </c>
      <c r="DF1172" s="2" t="b">
        <f>IF(OR(RecData[[#This Row],[WSpd_Avg '[m/s']]]-RecData[[#This Row],[Wind Speed min]]&gt;=$DF$3,RecData[[#This Row],[Wind Speed max]]-RecData[[#This Row],[WSpd_Avg '[m/s']]]&gt;=$DF$2),TRUE,FALSE)</f>
        <v>0</v>
      </c>
      <c r="DG1172" s="2" t="b">
        <f>RecData[[#This Row],[Temperature '[°C']]]&lt;=-20</f>
        <v>0</v>
      </c>
      <c r="DH1172" s="18" t="b">
        <f>NOT(OR(MOD(RecData[[#This Row],[TIMESTAMP]],1)&gt;0.91632,MOD(RecData[[#This Row],[TIMESTAMP]],1)&lt;0.208681))</f>
        <v>0</v>
      </c>
      <c r="DI1172" s="18" t="b">
        <f>RecData[[#This Row],[Overall (dBA)]]-RecData[[#This Row],[L90]]&gt;=$DS$4</f>
        <v>0</v>
      </c>
      <c r="DJ1172" s="18" t="b">
        <f>RecData[[#This Row],[Overall (dBA)]]&gt;$DS$2</f>
        <v>0</v>
      </c>
      <c r="DK1172" s="18" t="b">
        <f>RecData[[#This Row],[Overall (dBA)]]&lt;$DS$3</f>
        <v>0</v>
      </c>
      <c r="DL11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2" s="2">
        <f>IF(AND(RecData[[#This Row],[Turbines ON/OFF]] = "OFF", NOT(OR(RecData[[#This Row],[Junk?]]="YES",RecData[[#This Row],[Gust?]],RecData[[#This Row],[Rain?]:[Min SPL Threshold?]]))),1,0)</f>
        <v>0</v>
      </c>
      <c r="DN1172" s="16">
        <f>RecData[[#This Row],[dBA Sum]]</f>
        <v>39.292878062270155</v>
      </c>
      <c r="DO1172" s="16">
        <f>RecData[[#This Row],[LAF90.0]]</f>
        <v>38.5</v>
      </c>
      <c r="DP1172" s="55">
        <f>IF(AND(RecData[[#This Row],[Useable TON Data?]],RecData[[#This Row],[Turbines ON/OFF]]="ON"),RecData[[#This Row],[dBA Sum]],"")</f>
        <v>39.292878062270155</v>
      </c>
      <c r="DQ1172" s="55" t="str">
        <f>IF(AND(RecData[[#This Row],[Useable Background Data?]],RecData[[#This Row],[Turbines ON/OFF]]="OFF"),RecData[[#This Row],[dBA Sum]],"")</f>
        <v/>
      </c>
      <c r="DR1172" s="3">
        <f>IF(OR(RecData[[#This Row],[Useable TON Data?]],RecData[[#This Row],[Useable Background Data?]]),ROUND(RecData[[#This Row],[WSpd_Avg '[m/s']]],0),"")</f>
        <v>1</v>
      </c>
      <c r="DS1172" s="85">
        <f>(0.00002)^2*(10^(RecData[[#This Row],[Overall (dBA)]]/10))</f>
        <v>3.3989736481015488E-6</v>
      </c>
    </row>
    <row r="1173" spans="1:123" ht="15" x14ac:dyDescent="0.25">
      <c r="A1173" s="3" t="s">
        <v>249</v>
      </c>
      <c r="B1173" s="12">
        <v>43276.032638888886</v>
      </c>
      <c r="C1173" s="3"/>
      <c r="D1173" s="3">
        <v>40.799999999999997</v>
      </c>
      <c r="E1173" s="3"/>
      <c r="F1173" s="3"/>
      <c r="G1173" s="3"/>
      <c r="H1173" s="3"/>
      <c r="I1173" s="3"/>
      <c r="J1173" s="3"/>
      <c r="K1173" s="3">
        <v>39.6</v>
      </c>
      <c r="L1173" s="3"/>
      <c r="M1173" s="3"/>
      <c r="N1173" s="3">
        <v>157.80000000000001</v>
      </c>
      <c r="O1173" s="3"/>
      <c r="P1173" s="3"/>
      <c r="Q1173" s="3">
        <v>0.39</v>
      </c>
      <c r="R1173" s="3">
        <v>0.1</v>
      </c>
      <c r="S1173" s="3">
        <v>1.2</v>
      </c>
      <c r="T1173" s="3">
        <v>11.7</v>
      </c>
      <c r="U1173" s="3">
        <v>54.2</v>
      </c>
      <c r="V1173" s="3">
        <v>977.7</v>
      </c>
      <c r="W1173" s="3">
        <v>0</v>
      </c>
      <c r="X1173" s="3">
        <v>45.1</v>
      </c>
      <c r="Y1173" s="3">
        <v>44.1</v>
      </c>
      <c r="Z1173" s="3">
        <v>43.3</v>
      </c>
      <c r="AA1173" s="3">
        <v>40</v>
      </c>
      <c r="AB1173" s="3">
        <v>35.4</v>
      </c>
      <c r="AC1173" s="3">
        <v>33.1</v>
      </c>
      <c r="AD1173" s="3">
        <v>39</v>
      </c>
      <c r="AE1173" s="3">
        <v>40.200000000000003</v>
      </c>
      <c r="AF1173" s="3">
        <v>47.6</v>
      </c>
      <c r="AG1173" s="3">
        <v>41.3</v>
      </c>
      <c r="AH1173" s="3">
        <v>37.799999999999997</v>
      </c>
      <c r="AI1173" s="3">
        <v>39.1</v>
      </c>
      <c r="AJ1173" s="3">
        <v>37.799999999999997</v>
      </c>
      <c r="AK1173" s="3">
        <v>36.299999999999997</v>
      </c>
      <c r="AL1173" s="3">
        <v>34.1</v>
      </c>
      <c r="AM1173" s="3">
        <v>34.200000000000003</v>
      </c>
      <c r="AN1173" s="3">
        <v>31.4</v>
      </c>
      <c r="AO1173" s="3">
        <v>27.7</v>
      </c>
      <c r="AP1173" s="3">
        <v>26.3</v>
      </c>
      <c r="AQ1173" s="3">
        <v>22.7</v>
      </c>
      <c r="AR1173" s="3">
        <v>18.100000000000001</v>
      </c>
      <c r="AS1173" s="3">
        <v>14.6</v>
      </c>
      <c r="AT1173" s="3">
        <v>15.7</v>
      </c>
      <c r="AU1173" s="3">
        <v>10</v>
      </c>
      <c r="AV1173" s="3">
        <v>9.4</v>
      </c>
      <c r="AW1173" s="3">
        <v>9.4</v>
      </c>
      <c r="AX1173" s="3">
        <v>9</v>
      </c>
      <c r="AY1173" s="3">
        <v>9.1</v>
      </c>
      <c r="AZ1173" s="3">
        <v>0</v>
      </c>
      <c r="BA1173" s="3">
        <v>0</v>
      </c>
      <c r="BB1173" s="3">
        <v>0</v>
      </c>
      <c r="BC1173" s="3">
        <v>40.831229945087657</v>
      </c>
      <c r="BD1173" s="3">
        <v>45.068770054912349</v>
      </c>
      <c r="BE1173" s="3">
        <v>44.068770054912349</v>
      </c>
      <c r="BF1173" s="3">
        <v>42.028770054912329</v>
      </c>
      <c r="BG1173" s="3">
        <v>39.055436721578999</v>
      </c>
      <c r="BH1173" s="3">
        <v>34.595436721579006</v>
      </c>
      <c r="BI1173" s="3">
        <v>32.708770054912335</v>
      </c>
      <c r="BJ1173" s="3">
        <v>39.402103388245663</v>
      </c>
      <c r="BK1173" s="3">
        <v>40.475436721579015</v>
      </c>
      <c r="BL1173" s="3">
        <v>47.448770054912345</v>
      </c>
      <c r="BM1173" s="3">
        <v>41.282103388245673</v>
      </c>
      <c r="BN1173" s="3">
        <v>38.065436721579005</v>
      </c>
      <c r="BO1173" s="3">
        <v>38.732103388245676</v>
      </c>
      <c r="BP1173" s="3">
        <v>37.148770054912333</v>
      </c>
      <c r="BQ1173" s="3">
        <v>36.06543672157899</v>
      </c>
      <c r="BR1173" s="3">
        <v>34.192103388245684</v>
      </c>
      <c r="BS1173" s="3">
        <v>34.09543672157902</v>
      </c>
      <c r="BT1173" s="3">
        <v>31.492103388245667</v>
      </c>
      <c r="BU1173" s="3">
        <v>27.758770054912347</v>
      </c>
      <c r="BV1173" s="3">
        <v>26.07543672157901</v>
      </c>
      <c r="BW1173" s="3">
        <v>23.008770054912347</v>
      </c>
      <c r="BX1173" s="3">
        <v>18.328770054912347</v>
      </c>
      <c r="BY1173" s="3">
        <v>14.64877005491234</v>
      </c>
      <c r="BZ1173" s="3">
        <v>15.878770054912344</v>
      </c>
      <c r="CA1173" s="3">
        <v>10.278770054912336</v>
      </c>
      <c r="CB1173" s="3">
        <v>9.1154367215790018</v>
      </c>
      <c r="CC1173" s="3">
        <v>9.32877005491234</v>
      </c>
      <c r="CD1173" s="3">
        <v>8.2354367215790134</v>
      </c>
      <c r="CE1173" s="3">
        <v>8.5287700549123429</v>
      </c>
      <c r="CF1173" s="3">
        <v>-0.95789661175432883</v>
      </c>
      <c r="CG1173" s="3">
        <v>-1.4912299450876603</v>
      </c>
      <c r="CH1173" s="3">
        <v>-2.5678966117543283</v>
      </c>
      <c r="CI1173" s="13">
        <f>[1]!dbasum(RecData[[#This Row],[20]:[2000]],RecData[[#Headers],[20]:[2000]])</f>
        <v>40.660338431061298</v>
      </c>
      <c r="CJ1173" s="14">
        <v>10768</v>
      </c>
      <c r="CK1173" s="15" t="s">
        <v>249</v>
      </c>
      <c r="CL1173" s="15">
        <f>RecData[[#This Row],[Start Time]]</f>
        <v>43276.032638888886</v>
      </c>
      <c r="CM1173" s="16">
        <f>RecData[[#This Row],[Wind Speed avg]]</f>
        <v>0.39</v>
      </c>
      <c r="CN1173" s="16">
        <f>RecData[[#This Row],[Wind Dir. avg]]</f>
        <v>157.80000000000001</v>
      </c>
      <c r="CO1173" s="16">
        <f>RecData[[#This Row],[Amb. Humidity]]</f>
        <v>54.2</v>
      </c>
      <c r="CP1173" s="16">
        <f>RecData[[#This Row],[Amb. Temperature]]</f>
        <v>11.7</v>
      </c>
      <c r="CQ1173" s="17">
        <f>RecData[[#This Row],[Amb. Rain Gauge]]</f>
        <v>0</v>
      </c>
      <c r="CR1173" s="4" t="s">
        <v>1</v>
      </c>
      <c r="CS1173" s="4" t="s">
        <v>49</v>
      </c>
      <c r="CT1173" s="70">
        <v>1604.47131347656</v>
      </c>
      <c r="CU1173" s="70">
        <v>39.000328063964801</v>
      </c>
      <c r="CV1173" s="70">
        <v>10.710338592529199</v>
      </c>
      <c r="CW1173" s="70">
        <v>15.318859100341699</v>
      </c>
      <c r="CX1173" s="4"/>
      <c r="CY1173" s="69"/>
      <c r="CZ1173" s="2" t="b">
        <f>IF($DP$1="YES",IF(RecData[[#This Row],[Power (kW)]]&gt;=$CR$3, TRUE,FALSE),TRUE)</f>
        <v>1</v>
      </c>
      <c r="DA1173" s="16">
        <f>MIN(MOD(180-ABS(ABS($DA$1-RecData[Yaw Angle (°)])-180),360),MOD(180-ABS(ABS($DB$1-RecData[Yaw Angle (°)])-180),360))</f>
        <v>31.470401286277252</v>
      </c>
      <c r="DB1173" s="2" t="str">
        <f>IF($DP$2="None","None",IF(RecData[[#This Row],[Relative Wind Direction]]&lt;=45,"DW",IF(RecData[[#This Row],[Relative Wind Direction]]&lt;=135,"CW","UW")))</f>
        <v>DW</v>
      </c>
      <c r="DC1173" s="61">
        <f>IF($CL1173-$CL1170&gt;1/24,#REF!,IF(SUM($CQ1170:$CQ1173)&gt;$DS$1,$DS$5,DC1174-1))</f>
        <v>-7</v>
      </c>
      <c r="DD1173" s="61">
        <f>IF($CL1174-$CL1173&gt;1/24,#REF!,IF(SUM($CQ1170:$CQ1173)&gt;$DS$1,$DS$6,DD1172-1))</f>
        <v>-4</v>
      </c>
      <c r="DE1173" s="18" t="b">
        <v>0</v>
      </c>
      <c r="DF1173" s="2" t="b">
        <f>IF(OR(RecData[[#This Row],[WSpd_Avg '[m/s']]]-RecData[[#This Row],[Wind Speed min]]&gt;=$DF$3,RecData[[#This Row],[Wind Speed max]]-RecData[[#This Row],[WSpd_Avg '[m/s']]]&gt;=$DF$2),TRUE,FALSE)</f>
        <v>0</v>
      </c>
      <c r="DG1173" s="2" t="b">
        <f>RecData[[#This Row],[Temperature '[°C']]]&lt;=-20</f>
        <v>0</v>
      </c>
      <c r="DH1173" s="18" t="b">
        <f>NOT(OR(MOD(RecData[[#This Row],[TIMESTAMP]],1)&gt;0.91632,MOD(RecData[[#This Row],[TIMESTAMP]],1)&lt;0.208681))</f>
        <v>0</v>
      </c>
      <c r="DI1173" s="18" t="b">
        <f>RecData[[#This Row],[Overall (dBA)]]-RecData[[#This Row],[L90]]&gt;=$DS$4</f>
        <v>0</v>
      </c>
      <c r="DJ1173" s="18" t="b">
        <f>RecData[[#This Row],[Overall (dBA)]]&gt;$DS$2</f>
        <v>0</v>
      </c>
      <c r="DK1173" s="18" t="b">
        <f>RecData[[#This Row],[Overall (dBA)]]&lt;$DS$3</f>
        <v>0</v>
      </c>
      <c r="DL11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3" s="2">
        <f>IF(AND(RecData[[#This Row],[Turbines ON/OFF]] = "OFF", NOT(OR(RecData[[#This Row],[Junk?]]="YES",RecData[[#This Row],[Gust?]],RecData[[#This Row],[Rain?]:[Min SPL Threshold?]]))),1,0)</f>
        <v>0</v>
      </c>
      <c r="DN1173" s="16">
        <f>RecData[[#This Row],[dBA Sum]]</f>
        <v>40.660338431061298</v>
      </c>
      <c r="DO1173" s="16">
        <f>RecData[[#This Row],[LAF90.0]]</f>
        <v>39.6</v>
      </c>
      <c r="DP1173" s="55">
        <f>IF(AND(RecData[[#This Row],[Useable TON Data?]],RecData[[#This Row],[Turbines ON/OFF]]="ON"),RecData[[#This Row],[dBA Sum]],"")</f>
        <v>40.660338431061298</v>
      </c>
      <c r="DQ1173" s="55" t="str">
        <f>IF(AND(RecData[[#This Row],[Useable Background Data?]],RecData[[#This Row],[Turbines ON/OFF]]="OFF"),RecData[[#This Row],[dBA Sum]],"")</f>
        <v/>
      </c>
      <c r="DR1173" s="3">
        <f>IF(OR(RecData[[#This Row],[Useable TON Data?]],RecData[[#This Row],[Useable Background Data?]]),ROUND(RecData[[#This Row],[WSpd_Avg '[m/s']]],0),"")</f>
        <v>0</v>
      </c>
      <c r="DS1173" s="85">
        <f>(0.00002)^2*(10^(RecData[[#This Row],[Overall (dBA)]]/10))</f>
        <v>4.6568669974620589E-6</v>
      </c>
    </row>
    <row r="1174" spans="1:123" ht="15" x14ac:dyDescent="0.25">
      <c r="A1174" s="3" t="s">
        <v>249</v>
      </c>
      <c r="B1174" s="12">
        <v>43276.033333333333</v>
      </c>
      <c r="C1174" s="3"/>
      <c r="D1174" s="3">
        <v>40.4</v>
      </c>
      <c r="E1174" s="3"/>
      <c r="F1174" s="3"/>
      <c r="G1174" s="3"/>
      <c r="H1174" s="3"/>
      <c r="I1174" s="3"/>
      <c r="J1174" s="3"/>
      <c r="K1174" s="3">
        <v>38.799999999999997</v>
      </c>
      <c r="L1174" s="3"/>
      <c r="M1174" s="3"/>
      <c r="N1174" s="3">
        <v>155.4</v>
      </c>
      <c r="O1174" s="3"/>
      <c r="P1174" s="3"/>
      <c r="Q1174" s="3">
        <v>0.22</v>
      </c>
      <c r="R1174" s="3">
        <v>0.1</v>
      </c>
      <c r="S1174" s="3">
        <v>1.1000000000000001</v>
      </c>
      <c r="T1174" s="3">
        <v>11.6</v>
      </c>
      <c r="U1174" s="3">
        <v>55.4</v>
      </c>
      <c r="V1174" s="3">
        <v>977.7</v>
      </c>
      <c r="W1174" s="3">
        <v>0</v>
      </c>
      <c r="X1174" s="3">
        <v>44.7</v>
      </c>
      <c r="Y1174" s="3">
        <v>43.6</v>
      </c>
      <c r="Z1174" s="3">
        <v>42.9</v>
      </c>
      <c r="AA1174" s="3">
        <v>40.200000000000003</v>
      </c>
      <c r="AB1174" s="3">
        <v>35.299999999999997</v>
      </c>
      <c r="AC1174" s="3">
        <v>33.700000000000003</v>
      </c>
      <c r="AD1174" s="3">
        <v>38.1</v>
      </c>
      <c r="AE1174" s="3">
        <v>39.4</v>
      </c>
      <c r="AF1174" s="3">
        <v>46.5</v>
      </c>
      <c r="AG1174" s="3">
        <v>41.5</v>
      </c>
      <c r="AH1174" s="3">
        <v>37.4</v>
      </c>
      <c r="AI1174" s="3">
        <v>38.9</v>
      </c>
      <c r="AJ1174" s="3">
        <v>37.4</v>
      </c>
      <c r="AK1174" s="3">
        <v>35.9</v>
      </c>
      <c r="AL1174" s="3">
        <v>33.700000000000003</v>
      </c>
      <c r="AM1174" s="3">
        <v>33.5</v>
      </c>
      <c r="AN1174" s="3">
        <v>31.2</v>
      </c>
      <c r="AO1174" s="3">
        <v>27.5</v>
      </c>
      <c r="AP1174" s="3">
        <v>24.5</v>
      </c>
      <c r="AQ1174" s="3">
        <v>22.1</v>
      </c>
      <c r="AR1174" s="3">
        <v>17.2</v>
      </c>
      <c r="AS1174" s="3">
        <v>13.2</v>
      </c>
      <c r="AT1174" s="3">
        <v>14.2</v>
      </c>
      <c r="AU1174" s="3">
        <v>9.5</v>
      </c>
      <c r="AV1174" s="3">
        <v>9.1</v>
      </c>
      <c r="AW1174" s="3">
        <v>9.1</v>
      </c>
      <c r="AX1174" s="3">
        <v>9</v>
      </c>
      <c r="AY1174" s="3">
        <v>9.1</v>
      </c>
      <c r="AZ1174" s="3">
        <v>0</v>
      </c>
      <c r="BA1174" s="3">
        <v>0</v>
      </c>
      <c r="BB1174" s="3">
        <v>0</v>
      </c>
      <c r="BC1174" s="3">
        <v>40.331026581710255</v>
      </c>
      <c r="BD1174" s="3">
        <v>44.76897341828974</v>
      </c>
      <c r="BE1174" s="3">
        <v>43.668973418289745</v>
      </c>
      <c r="BF1174" s="3">
        <v>41.728973418289748</v>
      </c>
      <c r="BG1174" s="3">
        <v>39.355640084956413</v>
      </c>
      <c r="BH1174" s="3">
        <v>34.595640084956408</v>
      </c>
      <c r="BI1174" s="3">
        <v>33.408973418289754</v>
      </c>
      <c r="BJ1174" s="3">
        <v>38.602306751623082</v>
      </c>
      <c r="BK1174" s="3">
        <v>39.7756400849564</v>
      </c>
      <c r="BL1174" s="3">
        <v>46.448973418289746</v>
      </c>
      <c r="BM1174" s="3">
        <v>41.582306751623072</v>
      </c>
      <c r="BN1174" s="3">
        <v>37.765640084956409</v>
      </c>
      <c r="BO1174" s="3">
        <v>38.632306751623084</v>
      </c>
      <c r="BP1174" s="3">
        <v>36.848973418289752</v>
      </c>
      <c r="BQ1174" s="3">
        <v>35.765640084956409</v>
      </c>
      <c r="BR1174" s="3">
        <v>33.892306751623074</v>
      </c>
      <c r="BS1174" s="3">
        <v>33.495640084956413</v>
      </c>
      <c r="BT1174" s="3">
        <v>31.392306751623074</v>
      </c>
      <c r="BU1174" s="3">
        <v>27.658973418289754</v>
      </c>
      <c r="BV1174" s="3">
        <v>24.375640084956409</v>
      </c>
      <c r="BW1174" s="3">
        <v>22.508973418289749</v>
      </c>
      <c r="BX1174" s="3">
        <v>17.528973418289745</v>
      </c>
      <c r="BY1174" s="3">
        <v>13.348973418289738</v>
      </c>
      <c r="BZ1174" s="3">
        <v>14.478973418289748</v>
      </c>
      <c r="CA1174" s="3">
        <v>9.8789734182897391</v>
      </c>
      <c r="CB1174" s="3">
        <v>8.9156400849564079</v>
      </c>
      <c r="CC1174" s="3">
        <v>9.1289734182897391</v>
      </c>
      <c r="CD1174" s="3">
        <v>8.3356400849564167</v>
      </c>
      <c r="CE1174" s="3">
        <v>8.6289734182897391</v>
      </c>
      <c r="CF1174" s="3">
        <v>-0.85769324837692551</v>
      </c>
      <c r="CG1174" s="3">
        <v>-1.3910265817102569</v>
      </c>
      <c r="CH1174" s="3">
        <v>-2.4676932483769249</v>
      </c>
      <c r="CI1174" s="13">
        <f>[1]!dbasum(RecData[[#This Row],[20]:[2000]],RecData[[#Headers],[20]:[2000]])</f>
        <v>40.267105773744817</v>
      </c>
      <c r="CJ1174" s="14">
        <v>10769</v>
      </c>
      <c r="CK1174" s="15" t="s">
        <v>249</v>
      </c>
      <c r="CL1174" s="15">
        <f>RecData[[#This Row],[Start Time]]</f>
        <v>43276.033333333333</v>
      </c>
      <c r="CM1174" s="16">
        <f>RecData[[#This Row],[Wind Speed avg]]</f>
        <v>0.22</v>
      </c>
      <c r="CN1174" s="16">
        <f>RecData[[#This Row],[Wind Dir. avg]]</f>
        <v>155.4</v>
      </c>
      <c r="CO1174" s="16">
        <f>RecData[[#This Row],[Amb. Humidity]]</f>
        <v>55.4</v>
      </c>
      <c r="CP1174" s="16">
        <f>RecData[[#This Row],[Amb. Temperature]]</f>
        <v>11.6</v>
      </c>
      <c r="CQ1174" s="17">
        <f>RecData[[#This Row],[Amb. Rain Gauge]]</f>
        <v>0</v>
      </c>
      <c r="CR1174" s="4" t="s">
        <v>1</v>
      </c>
      <c r="CS1174" s="4" t="s">
        <v>49</v>
      </c>
      <c r="CT1174" s="70">
        <v>1604.47131347656</v>
      </c>
      <c r="CU1174" s="70">
        <v>39.000328063964801</v>
      </c>
      <c r="CV1174" s="70">
        <v>10.710338592529199</v>
      </c>
      <c r="CW1174" s="70">
        <v>15.318859100341699</v>
      </c>
      <c r="CX1174" s="4"/>
      <c r="CY1174" s="69"/>
      <c r="CZ1174" s="2" t="b">
        <f>IF($DP$1="YES",IF(RecData[[#This Row],[Power (kW)]]&gt;=$CR$3, TRUE,FALSE),TRUE)</f>
        <v>1</v>
      </c>
      <c r="DA1174" s="16">
        <f>MIN(MOD(180-ABS(ABS($DA$1-RecData[Yaw Angle (°)])-180),360),MOD(180-ABS(ABS($DB$1-RecData[Yaw Angle (°)])-180),360))</f>
        <v>31.470401286277252</v>
      </c>
      <c r="DB1174" s="2" t="str">
        <f>IF($DP$2="None","None",IF(RecData[[#This Row],[Relative Wind Direction]]&lt;=45,"DW",IF(RecData[[#This Row],[Relative Wind Direction]]&lt;=135,"CW","UW")))</f>
        <v>DW</v>
      </c>
      <c r="DC1174" s="61">
        <f>IF($CL1174-$CL1170&gt;1/24,#REF!,IF(SUM($CQ1170:$CQ1174)&gt;$DS$1,$DS$5,DC1175-1))</f>
        <v>-6</v>
      </c>
      <c r="DD1174" s="61">
        <f>IF($CL1175-$CL1174&gt;1/24,#REF!,IF(SUM($CQ1170:$CQ1174)&gt;$DS$1,$DS$6,DD1173-1))</f>
        <v>-5</v>
      </c>
      <c r="DE1174" s="18" t="b">
        <v>0</v>
      </c>
      <c r="DF1174" s="2" t="b">
        <f>IF(OR(RecData[[#This Row],[WSpd_Avg '[m/s']]]-RecData[[#This Row],[Wind Speed min]]&gt;=$DF$3,RecData[[#This Row],[Wind Speed max]]-RecData[[#This Row],[WSpd_Avg '[m/s']]]&gt;=$DF$2),TRUE,FALSE)</f>
        <v>0</v>
      </c>
      <c r="DG1174" s="2" t="b">
        <f>RecData[[#This Row],[Temperature '[°C']]]&lt;=-20</f>
        <v>0</v>
      </c>
      <c r="DH1174" s="18" t="b">
        <f>NOT(OR(MOD(RecData[[#This Row],[TIMESTAMP]],1)&gt;0.91632,MOD(RecData[[#This Row],[TIMESTAMP]],1)&lt;0.208681))</f>
        <v>0</v>
      </c>
      <c r="DI1174" s="18" t="b">
        <f>RecData[[#This Row],[Overall (dBA)]]-RecData[[#This Row],[L90]]&gt;=$DS$4</f>
        <v>0</v>
      </c>
      <c r="DJ1174" s="18" t="b">
        <f>RecData[[#This Row],[Overall (dBA)]]&gt;$DS$2</f>
        <v>0</v>
      </c>
      <c r="DK1174" s="18" t="b">
        <f>RecData[[#This Row],[Overall (dBA)]]&lt;$DS$3</f>
        <v>0</v>
      </c>
      <c r="DL11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4" s="2">
        <f>IF(AND(RecData[[#This Row],[Turbines ON/OFF]] = "OFF", NOT(OR(RecData[[#This Row],[Junk?]]="YES",RecData[[#This Row],[Gust?]],RecData[[#This Row],[Rain?]:[Min SPL Threshold?]]))),1,0)</f>
        <v>0</v>
      </c>
      <c r="DN1174" s="16">
        <f>RecData[[#This Row],[dBA Sum]]</f>
        <v>40.267105773744817</v>
      </c>
      <c r="DO1174" s="16">
        <f>RecData[[#This Row],[LAF90.0]]</f>
        <v>38.799999999999997</v>
      </c>
      <c r="DP1174" s="55">
        <f>IF(AND(RecData[[#This Row],[Useable TON Data?]],RecData[[#This Row],[Turbines ON/OFF]]="ON"),RecData[[#This Row],[dBA Sum]],"")</f>
        <v>40.267105773744817</v>
      </c>
      <c r="DQ1174" s="55" t="str">
        <f>IF(AND(RecData[[#This Row],[Useable Background Data?]],RecData[[#This Row],[Turbines ON/OFF]]="OFF"),RecData[[#This Row],[dBA Sum]],"")</f>
        <v/>
      </c>
      <c r="DR1174" s="3">
        <f>IF(OR(RecData[[#This Row],[Useable TON Data?]],RecData[[#This Row],[Useable Background Data?]]),ROUND(RecData[[#This Row],[WSpd_Avg '[m/s']]],0),"")</f>
        <v>0</v>
      </c>
      <c r="DS1174" s="85">
        <f>(0.00002)^2*(10^(RecData[[#This Row],[Overall (dBA)]]/10))</f>
        <v>4.253736352182601E-6</v>
      </c>
    </row>
    <row r="1175" spans="1:123" ht="15" x14ac:dyDescent="0.25">
      <c r="A1175" s="3" t="s">
        <v>249</v>
      </c>
      <c r="B1175" s="12">
        <v>43276.03402777778</v>
      </c>
      <c r="C1175" s="3"/>
      <c r="D1175" s="3">
        <v>39.6</v>
      </c>
      <c r="E1175" s="3"/>
      <c r="F1175" s="3"/>
      <c r="G1175" s="3"/>
      <c r="H1175" s="3"/>
      <c r="I1175" s="3"/>
      <c r="J1175" s="3"/>
      <c r="K1175" s="3">
        <v>38.700000000000003</v>
      </c>
      <c r="L1175" s="3"/>
      <c r="M1175" s="3"/>
      <c r="N1175" s="3">
        <v>151.69999999999999</v>
      </c>
      <c r="O1175" s="3"/>
      <c r="P1175" s="3"/>
      <c r="Q1175" s="3">
        <v>0.53</v>
      </c>
      <c r="R1175" s="3">
        <v>0.2</v>
      </c>
      <c r="S1175" s="3">
        <v>1</v>
      </c>
      <c r="T1175" s="3">
        <v>11.5</v>
      </c>
      <c r="U1175" s="3">
        <v>55.8</v>
      </c>
      <c r="V1175" s="3">
        <v>977.7</v>
      </c>
      <c r="W1175" s="3">
        <v>0</v>
      </c>
      <c r="X1175" s="3">
        <v>46</v>
      </c>
      <c r="Y1175" s="3">
        <v>43.9</v>
      </c>
      <c r="Z1175" s="3">
        <v>43.2</v>
      </c>
      <c r="AA1175" s="3">
        <v>39.700000000000003</v>
      </c>
      <c r="AB1175" s="3">
        <v>35.200000000000003</v>
      </c>
      <c r="AC1175" s="3">
        <v>33</v>
      </c>
      <c r="AD1175" s="3">
        <v>37.4</v>
      </c>
      <c r="AE1175" s="3">
        <v>39.1</v>
      </c>
      <c r="AF1175" s="3">
        <v>46.6</v>
      </c>
      <c r="AG1175" s="3">
        <v>40.1</v>
      </c>
      <c r="AH1175" s="3">
        <v>37</v>
      </c>
      <c r="AI1175" s="3">
        <v>38.299999999999997</v>
      </c>
      <c r="AJ1175" s="3">
        <v>36.5</v>
      </c>
      <c r="AK1175" s="3">
        <v>35.299999999999997</v>
      </c>
      <c r="AL1175" s="3">
        <v>33</v>
      </c>
      <c r="AM1175" s="3">
        <v>32.4</v>
      </c>
      <c r="AN1175" s="3">
        <v>30</v>
      </c>
      <c r="AO1175" s="3">
        <v>26.2</v>
      </c>
      <c r="AP1175" s="3">
        <v>24.1</v>
      </c>
      <c r="AQ1175" s="3">
        <v>20.8</v>
      </c>
      <c r="AR1175" s="3">
        <v>16</v>
      </c>
      <c r="AS1175" s="3">
        <v>13.2</v>
      </c>
      <c r="AT1175" s="3">
        <v>17.2</v>
      </c>
      <c r="AU1175" s="3">
        <v>7.8</v>
      </c>
      <c r="AV1175" s="3">
        <v>8.1</v>
      </c>
      <c r="AW1175" s="3">
        <v>8.6</v>
      </c>
      <c r="AX1175" s="3">
        <v>8.8000000000000007</v>
      </c>
      <c r="AY1175" s="3">
        <v>9.1</v>
      </c>
      <c r="AZ1175" s="3">
        <v>0</v>
      </c>
      <c r="BA1175" s="3">
        <v>0</v>
      </c>
      <c r="BB1175" s="3">
        <v>0</v>
      </c>
      <c r="BC1175" s="3">
        <v>39.584036476863226</v>
      </c>
      <c r="BD1175" s="3">
        <v>46.015963523136769</v>
      </c>
      <c r="BE1175" s="3">
        <v>43.915963523136774</v>
      </c>
      <c r="BF1175" s="3">
        <v>41.975963523136777</v>
      </c>
      <c r="BG1175" s="3">
        <v>38.802630189803445</v>
      </c>
      <c r="BH1175" s="3">
        <v>34.442630189803445</v>
      </c>
      <c r="BI1175" s="3">
        <v>32.655963523136784</v>
      </c>
      <c r="BJ1175" s="3">
        <v>37.849296856470112</v>
      </c>
      <c r="BK1175" s="3">
        <v>39.422630189803435</v>
      </c>
      <c r="BL1175" s="3">
        <v>46.495963523136787</v>
      </c>
      <c r="BM1175" s="3">
        <v>40.129296856470113</v>
      </c>
      <c r="BN1175" s="3">
        <v>37.31263018980345</v>
      </c>
      <c r="BO1175" s="3">
        <v>37.979296856470107</v>
      </c>
      <c r="BP1175" s="3">
        <v>35.895963523136778</v>
      </c>
      <c r="BQ1175" s="3">
        <v>35.112630189803433</v>
      </c>
      <c r="BR1175" s="3">
        <v>33.139296856470104</v>
      </c>
      <c r="BS1175" s="3">
        <v>32.342630189803451</v>
      </c>
      <c r="BT1175" s="3">
        <v>30.139296856470104</v>
      </c>
      <c r="BU1175" s="3">
        <v>26.305963523136775</v>
      </c>
      <c r="BV1175" s="3">
        <v>23.922630189803449</v>
      </c>
      <c r="BW1175" s="3">
        <v>21.155963523136784</v>
      </c>
      <c r="BX1175" s="3">
        <v>16.275963523136781</v>
      </c>
      <c r="BY1175" s="3">
        <v>13.29596352313677</v>
      </c>
      <c r="BZ1175" s="3">
        <v>17.42596352313678</v>
      </c>
      <c r="CA1175" s="3">
        <v>8.1259635231367682</v>
      </c>
      <c r="CB1175" s="3">
        <v>7.8626301898034399</v>
      </c>
      <c r="CC1175" s="3">
        <v>8.575963523136771</v>
      </c>
      <c r="CD1175" s="3">
        <v>8.0826301898034458</v>
      </c>
      <c r="CE1175" s="3">
        <v>8.575963523136771</v>
      </c>
      <c r="CF1175" s="3">
        <v>-0.91070314352989357</v>
      </c>
      <c r="CG1175" s="3">
        <v>-1.444036476863225</v>
      </c>
      <c r="CH1175" s="3">
        <v>-2.520703143529893</v>
      </c>
      <c r="CI1175" s="13">
        <f>[1]!dbasum(RecData[[#This Row],[20]:[2000]],RecData[[#Headers],[20]:[2000]])</f>
        <v>39.441886383839623</v>
      </c>
      <c r="CJ1175" s="14">
        <v>10770</v>
      </c>
      <c r="CK1175" s="15" t="s">
        <v>249</v>
      </c>
      <c r="CL1175" s="15">
        <f>RecData[[#This Row],[Start Time]]</f>
        <v>43276.03402777778</v>
      </c>
      <c r="CM1175" s="16">
        <f>RecData[[#This Row],[Wind Speed avg]]</f>
        <v>0.53</v>
      </c>
      <c r="CN1175" s="16">
        <f>RecData[[#This Row],[Wind Dir. avg]]</f>
        <v>151.69999999999999</v>
      </c>
      <c r="CO1175" s="16">
        <f>RecData[[#This Row],[Amb. Humidity]]</f>
        <v>55.8</v>
      </c>
      <c r="CP1175" s="16">
        <f>RecData[[#This Row],[Amb. Temperature]]</f>
        <v>11.5</v>
      </c>
      <c r="CQ1175" s="17">
        <f>RecData[[#This Row],[Amb. Rain Gauge]]</f>
        <v>0</v>
      </c>
      <c r="CR1175" s="4" t="s">
        <v>1</v>
      </c>
      <c r="CS1175" s="4" t="s">
        <v>49</v>
      </c>
      <c r="CT1175" s="70">
        <v>1604.47131347656</v>
      </c>
      <c r="CU1175" s="70">
        <v>39.000328063964801</v>
      </c>
      <c r="CV1175" s="70">
        <v>10.710338592529199</v>
      </c>
      <c r="CW1175" s="70">
        <v>15.318859100341699</v>
      </c>
      <c r="CX1175" s="4"/>
      <c r="CY1175" s="69"/>
      <c r="CZ1175" s="2" t="b">
        <f>IF($DP$1="YES",IF(RecData[[#This Row],[Power (kW)]]&gt;=$CR$3, TRUE,FALSE),TRUE)</f>
        <v>1</v>
      </c>
      <c r="DA1175" s="16">
        <f>MIN(MOD(180-ABS(ABS($DA$1-RecData[Yaw Angle (°)])-180),360),MOD(180-ABS(ABS($DB$1-RecData[Yaw Angle (°)])-180),360))</f>
        <v>31.470401286277252</v>
      </c>
      <c r="DB1175" s="2" t="str">
        <f>IF($DP$2="None","None",IF(RecData[[#This Row],[Relative Wind Direction]]&lt;=45,"DW",IF(RecData[[#This Row],[Relative Wind Direction]]&lt;=135,"CW","UW")))</f>
        <v>DW</v>
      </c>
      <c r="DC1175" s="61">
        <f>IF($CL1175-$CL1171&gt;1/24,#REF!,IF(SUM($CQ1171:$CQ1175)&gt;$DS$1,$DS$5,DC1176-1))</f>
        <v>-5</v>
      </c>
      <c r="DD1175" s="61">
        <f>IF($CL1176-$CL1175&gt;1/24,#REF!,IF(SUM($CQ1171:$CQ1175)&gt;$DS$1,$DS$6,DD1174-1))</f>
        <v>-6</v>
      </c>
      <c r="DE1175" s="18" t="b">
        <v>0</v>
      </c>
      <c r="DF1175" s="2" t="b">
        <f>IF(OR(RecData[[#This Row],[WSpd_Avg '[m/s']]]-RecData[[#This Row],[Wind Speed min]]&gt;=$DF$3,RecData[[#This Row],[Wind Speed max]]-RecData[[#This Row],[WSpd_Avg '[m/s']]]&gt;=$DF$2),TRUE,FALSE)</f>
        <v>0</v>
      </c>
      <c r="DG1175" s="2" t="b">
        <f>RecData[[#This Row],[Temperature '[°C']]]&lt;=-20</f>
        <v>0</v>
      </c>
      <c r="DH1175" s="18" t="b">
        <f>NOT(OR(MOD(RecData[[#This Row],[TIMESTAMP]],1)&gt;0.91632,MOD(RecData[[#This Row],[TIMESTAMP]],1)&lt;0.208681))</f>
        <v>0</v>
      </c>
      <c r="DI1175" s="18" t="b">
        <f>RecData[[#This Row],[Overall (dBA)]]-RecData[[#This Row],[L90]]&gt;=$DS$4</f>
        <v>0</v>
      </c>
      <c r="DJ1175" s="18" t="b">
        <f>RecData[[#This Row],[Overall (dBA)]]&gt;$DS$2</f>
        <v>0</v>
      </c>
      <c r="DK1175" s="18" t="b">
        <f>RecData[[#This Row],[Overall (dBA)]]&lt;$DS$3</f>
        <v>0</v>
      </c>
      <c r="DL11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5" s="2">
        <f>IF(AND(RecData[[#This Row],[Turbines ON/OFF]] = "OFF", NOT(OR(RecData[[#This Row],[Junk?]]="YES",RecData[[#This Row],[Gust?]],RecData[[#This Row],[Rain?]:[Min SPL Threshold?]]))),1,0)</f>
        <v>0</v>
      </c>
      <c r="DN1175" s="16">
        <f>RecData[[#This Row],[dBA Sum]]</f>
        <v>39.441886383839623</v>
      </c>
      <c r="DO1175" s="16">
        <f>RecData[[#This Row],[LAF90.0]]</f>
        <v>38.700000000000003</v>
      </c>
      <c r="DP1175" s="55">
        <f>IF(AND(RecData[[#This Row],[Useable TON Data?]],RecData[[#This Row],[Turbines ON/OFF]]="ON"),RecData[[#This Row],[dBA Sum]],"")</f>
        <v>39.441886383839623</v>
      </c>
      <c r="DQ1175" s="55" t="str">
        <f>IF(AND(RecData[[#This Row],[Useable Background Data?]],RecData[[#This Row],[Turbines ON/OFF]]="OFF"),RecData[[#This Row],[dBA Sum]],"")</f>
        <v/>
      </c>
      <c r="DR1175" s="3">
        <f>IF(OR(RecData[[#This Row],[Useable TON Data?]],RecData[[#This Row],[Useable Background Data?]]),ROUND(RecData[[#This Row],[WSpd_Avg '[m/s']]],0),"")</f>
        <v>1</v>
      </c>
      <c r="DS1175" s="85">
        <f>(0.00002)^2*(10^(RecData[[#This Row],[Overall (dBA)]]/10))</f>
        <v>3.5176176336275086E-6</v>
      </c>
    </row>
    <row r="1176" spans="1:123" ht="15" x14ac:dyDescent="0.25">
      <c r="A1176" s="3" t="s">
        <v>249</v>
      </c>
      <c r="B1176" s="12">
        <v>43276.034722222219</v>
      </c>
      <c r="C1176" s="3"/>
      <c r="D1176" s="3">
        <v>40.6</v>
      </c>
      <c r="E1176" s="3"/>
      <c r="F1176" s="3"/>
      <c r="G1176" s="3"/>
      <c r="H1176" s="3"/>
      <c r="I1176" s="3"/>
      <c r="J1176" s="3"/>
      <c r="K1176" s="3">
        <v>38.700000000000003</v>
      </c>
      <c r="L1176" s="3"/>
      <c r="M1176" s="3"/>
      <c r="N1176" s="3">
        <v>178</v>
      </c>
      <c r="O1176" s="3"/>
      <c r="P1176" s="3"/>
      <c r="Q1176" s="3">
        <v>0.77</v>
      </c>
      <c r="R1176" s="3">
        <v>0.6</v>
      </c>
      <c r="S1176" s="3">
        <v>1</v>
      </c>
      <c r="T1176" s="3">
        <v>11.5</v>
      </c>
      <c r="U1176" s="3">
        <v>55.1</v>
      </c>
      <c r="V1176" s="3">
        <v>977.8</v>
      </c>
      <c r="W1176" s="3">
        <v>0</v>
      </c>
      <c r="X1176" s="3">
        <v>45.7</v>
      </c>
      <c r="Y1176" s="3">
        <v>44.6</v>
      </c>
      <c r="Z1176" s="3">
        <v>43.8</v>
      </c>
      <c r="AA1176" s="3">
        <v>41</v>
      </c>
      <c r="AB1176" s="3">
        <v>36.4</v>
      </c>
      <c r="AC1176" s="3">
        <v>33.9</v>
      </c>
      <c r="AD1176" s="3">
        <v>38.299999999999997</v>
      </c>
      <c r="AE1176" s="3">
        <v>40.299999999999997</v>
      </c>
      <c r="AF1176" s="3">
        <v>47.6</v>
      </c>
      <c r="AG1176" s="3">
        <v>41</v>
      </c>
      <c r="AH1176" s="3">
        <v>38.200000000000003</v>
      </c>
      <c r="AI1176" s="3">
        <v>39.700000000000003</v>
      </c>
      <c r="AJ1176" s="3">
        <v>38</v>
      </c>
      <c r="AK1176" s="3">
        <v>36.6</v>
      </c>
      <c r="AL1176" s="3">
        <v>34.1</v>
      </c>
      <c r="AM1176" s="3">
        <v>33.299999999999997</v>
      </c>
      <c r="AN1176" s="3">
        <v>30.6</v>
      </c>
      <c r="AO1176" s="3">
        <v>26.5</v>
      </c>
      <c r="AP1176" s="3">
        <v>24.8</v>
      </c>
      <c r="AQ1176" s="3">
        <v>21.2</v>
      </c>
      <c r="AR1176" s="3">
        <v>16.399999999999999</v>
      </c>
      <c r="AS1176" s="3">
        <v>15.3</v>
      </c>
      <c r="AT1176" s="3">
        <v>17.3</v>
      </c>
      <c r="AU1176" s="3">
        <v>7.7</v>
      </c>
      <c r="AV1176" s="3">
        <v>8.1</v>
      </c>
      <c r="AW1176" s="3">
        <v>8.6</v>
      </c>
      <c r="AX1176" s="3">
        <v>8.8000000000000007</v>
      </c>
      <c r="AY1176" s="3">
        <v>9</v>
      </c>
      <c r="AZ1176" s="3">
        <v>0</v>
      </c>
      <c r="BA1176" s="3">
        <v>0</v>
      </c>
      <c r="BB1176" s="3">
        <v>0</v>
      </c>
      <c r="BC1176" s="3">
        <v>40.632983363310188</v>
      </c>
      <c r="BD1176" s="3">
        <v>45.667016636689823</v>
      </c>
      <c r="BE1176" s="3">
        <v>44.567016636689814</v>
      </c>
      <c r="BF1176" s="3">
        <v>42.527016636689808</v>
      </c>
      <c r="BG1176" s="3">
        <v>40.053683303356479</v>
      </c>
      <c r="BH1176" s="3">
        <v>35.593683303356471</v>
      </c>
      <c r="BI1176" s="3">
        <v>33.507016636689812</v>
      </c>
      <c r="BJ1176" s="3">
        <v>38.70034997002314</v>
      </c>
      <c r="BK1176" s="3">
        <v>40.573683303356475</v>
      </c>
      <c r="BL1176" s="3">
        <v>47.447016636689824</v>
      </c>
      <c r="BM1176" s="3">
        <v>40.980349970023155</v>
      </c>
      <c r="BN1176" s="3">
        <v>38.463683303356476</v>
      </c>
      <c r="BO1176" s="3">
        <v>39.33034997002315</v>
      </c>
      <c r="BP1176" s="3">
        <v>37.347016636689816</v>
      </c>
      <c r="BQ1176" s="3">
        <v>36.363683303356481</v>
      </c>
      <c r="BR1176" s="3">
        <v>34.190349970023149</v>
      </c>
      <c r="BS1176" s="3">
        <v>33.19368330335648</v>
      </c>
      <c r="BT1176" s="3">
        <v>30.690349970023149</v>
      </c>
      <c r="BU1176" s="3">
        <v>26.557016636689809</v>
      </c>
      <c r="BV1176" s="3">
        <v>24.573683303356489</v>
      </c>
      <c r="BW1176" s="3">
        <v>21.507016636689812</v>
      </c>
      <c r="BX1176" s="3">
        <v>16.627016636689817</v>
      </c>
      <c r="BY1176" s="3">
        <v>15.347016636689816</v>
      </c>
      <c r="BZ1176" s="3">
        <v>17.477016636689818</v>
      </c>
      <c r="CA1176" s="3">
        <v>7.9770166366898039</v>
      </c>
      <c r="CB1176" s="3">
        <v>7.813683303356477</v>
      </c>
      <c r="CC1176" s="3">
        <v>8.5270166366898081</v>
      </c>
      <c r="CD1176" s="3">
        <v>8.033683303356483</v>
      </c>
      <c r="CE1176" s="3">
        <v>8.4270166366898138</v>
      </c>
      <c r="CF1176" s="3">
        <v>-0.95965002997685644</v>
      </c>
      <c r="CG1176" s="3">
        <v>-1.4929833633101879</v>
      </c>
      <c r="CH1176" s="3">
        <v>-2.5696500299768559</v>
      </c>
      <c r="CI1176" s="13">
        <f>[1]!dbasum(RecData[[#This Row],[20]:[2000]],RecData[[#Headers],[20]:[2000]])</f>
        <v>40.435778647817088</v>
      </c>
      <c r="CJ1176" s="14">
        <v>10771</v>
      </c>
      <c r="CK1176" s="15" t="s">
        <v>249</v>
      </c>
      <c r="CL1176" s="15">
        <f>RecData[[#This Row],[Start Time]]</f>
        <v>43276.034722222219</v>
      </c>
      <c r="CM1176" s="16">
        <f>RecData[[#This Row],[Wind Speed avg]]</f>
        <v>0.77</v>
      </c>
      <c r="CN1176" s="16">
        <f>RecData[[#This Row],[Wind Dir. avg]]</f>
        <v>178</v>
      </c>
      <c r="CO1176" s="16">
        <f>RecData[[#This Row],[Amb. Humidity]]</f>
        <v>55.1</v>
      </c>
      <c r="CP1176" s="16">
        <f>RecData[[#This Row],[Amb. Temperature]]</f>
        <v>11.5</v>
      </c>
      <c r="CQ1176" s="17">
        <f>RecData[[#This Row],[Amb. Rain Gauge]]</f>
        <v>0</v>
      </c>
      <c r="CR1176" s="4" t="s">
        <v>1</v>
      </c>
      <c r="CS1176" s="4" t="s">
        <v>49</v>
      </c>
      <c r="CT1176" s="70">
        <v>1604.47131347656</v>
      </c>
      <c r="CU1176" s="70">
        <v>39.000328063964801</v>
      </c>
      <c r="CV1176" s="70">
        <v>10.710338592529199</v>
      </c>
      <c r="CW1176" s="70">
        <v>15.318859100341699</v>
      </c>
      <c r="CX1176" s="4"/>
      <c r="CY1176" s="69"/>
      <c r="CZ1176" s="2" t="b">
        <f>IF($DP$1="YES",IF(RecData[[#This Row],[Power (kW)]]&gt;=$CR$3, TRUE,FALSE),TRUE)</f>
        <v>1</v>
      </c>
      <c r="DA1176" s="16">
        <f>MIN(MOD(180-ABS(ABS($DA$1-RecData[Yaw Angle (°)])-180),360),MOD(180-ABS(ABS($DB$1-RecData[Yaw Angle (°)])-180),360))</f>
        <v>31.470401286277252</v>
      </c>
      <c r="DB1176" s="2" t="str">
        <f>IF($DP$2="None","None",IF(RecData[[#This Row],[Relative Wind Direction]]&lt;=45,"DW",IF(RecData[[#This Row],[Relative Wind Direction]]&lt;=135,"CW","UW")))</f>
        <v>DW</v>
      </c>
      <c r="DC1176" s="61">
        <f>IF($CL1176-$CL1172&gt;1/24,#REF!,IF(SUM($CQ1172:$CQ1176)&gt;$DS$1,$DS$5,DC1177-1))</f>
        <v>-4</v>
      </c>
      <c r="DD1176" s="61">
        <f>IF($CL1177-$CL1176&gt;1/24,#REF!,IF(SUM($CQ1172:$CQ1176)&gt;$DS$1,$DS$6,DD1175-1))</f>
        <v>-7</v>
      </c>
      <c r="DE1176" s="18" t="b">
        <v>0</v>
      </c>
      <c r="DF1176" s="2" t="b">
        <f>IF(OR(RecData[[#This Row],[WSpd_Avg '[m/s']]]-RecData[[#This Row],[Wind Speed min]]&gt;=$DF$3,RecData[[#This Row],[Wind Speed max]]-RecData[[#This Row],[WSpd_Avg '[m/s']]]&gt;=$DF$2),TRUE,FALSE)</f>
        <v>0</v>
      </c>
      <c r="DG1176" s="2" t="b">
        <f>RecData[[#This Row],[Temperature '[°C']]]&lt;=-20</f>
        <v>0</v>
      </c>
      <c r="DH1176" s="18" t="b">
        <f>NOT(OR(MOD(RecData[[#This Row],[TIMESTAMP]],1)&gt;0.91632,MOD(RecData[[#This Row],[TIMESTAMP]],1)&lt;0.208681))</f>
        <v>0</v>
      </c>
      <c r="DI1176" s="18" t="b">
        <f>RecData[[#This Row],[Overall (dBA)]]-RecData[[#This Row],[L90]]&gt;=$DS$4</f>
        <v>0</v>
      </c>
      <c r="DJ1176" s="18" t="b">
        <f>RecData[[#This Row],[Overall (dBA)]]&gt;$DS$2</f>
        <v>0</v>
      </c>
      <c r="DK1176" s="18" t="b">
        <f>RecData[[#This Row],[Overall (dBA)]]&lt;$DS$3</f>
        <v>0</v>
      </c>
      <c r="DL11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6" s="2">
        <f>IF(AND(RecData[[#This Row],[Turbines ON/OFF]] = "OFF", NOT(OR(RecData[[#This Row],[Junk?]]="YES",RecData[[#This Row],[Gust?]],RecData[[#This Row],[Rain?]:[Min SPL Threshold?]]))),1,0)</f>
        <v>0</v>
      </c>
      <c r="DN1176" s="16">
        <f>RecData[[#This Row],[dBA Sum]]</f>
        <v>40.435778647817088</v>
      </c>
      <c r="DO1176" s="16">
        <f>RecData[[#This Row],[LAF90.0]]</f>
        <v>38.700000000000003</v>
      </c>
      <c r="DP1176" s="55">
        <f>IF(AND(RecData[[#This Row],[Useable TON Data?]],RecData[[#This Row],[Turbines ON/OFF]]="ON"),RecData[[#This Row],[dBA Sum]],"")</f>
        <v>40.435778647817088</v>
      </c>
      <c r="DQ1176" s="55" t="str">
        <f>IF(AND(RecData[[#This Row],[Useable Background Data?]],RecData[[#This Row],[Turbines ON/OFF]]="OFF"),RecData[[#This Row],[dBA Sum]],"")</f>
        <v/>
      </c>
      <c r="DR1176" s="3">
        <f>IF(OR(RecData[[#This Row],[Useable TON Data?]],RecData[[#This Row],[Useable Background Data?]]),ROUND(RecData[[#This Row],[WSpd_Avg '[m/s']]],0),"")</f>
        <v>1</v>
      </c>
      <c r="DS1176" s="85">
        <f>(0.00002)^2*(10^(RecData[[#This Row],[Overall (dBA)]]/10))</f>
        <v>4.4221946630041348E-6</v>
      </c>
    </row>
    <row r="1177" spans="1:123" ht="15" x14ac:dyDescent="0.25">
      <c r="A1177" s="3" t="s">
        <v>249</v>
      </c>
      <c r="B1177" s="12">
        <v>43276.035416666666</v>
      </c>
      <c r="C1177" s="3"/>
      <c r="D1177" s="3">
        <v>40.9</v>
      </c>
      <c r="E1177" s="3"/>
      <c r="F1177" s="3"/>
      <c r="G1177" s="3"/>
      <c r="H1177" s="3"/>
      <c r="I1177" s="3"/>
      <c r="J1177" s="3"/>
      <c r="K1177" s="3">
        <v>39.700000000000003</v>
      </c>
      <c r="L1177" s="3"/>
      <c r="M1177" s="3"/>
      <c r="N1177" s="3">
        <v>140.4</v>
      </c>
      <c r="O1177" s="3"/>
      <c r="P1177" s="3"/>
      <c r="Q1177" s="3">
        <v>0.61</v>
      </c>
      <c r="R1177" s="3">
        <v>0.3</v>
      </c>
      <c r="S1177" s="3">
        <v>0.8</v>
      </c>
      <c r="T1177" s="3">
        <v>11.5</v>
      </c>
      <c r="U1177" s="3">
        <v>56.1</v>
      </c>
      <c r="V1177" s="3">
        <v>977.8</v>
      </c>
      <c r="W1177" s="3">
        <v>0</v>
      </c>
      <c r="X1177" s="3">
        <v>46</v>
      </c>
      <c r="Y1177" s="3">
        <v>44.5</v>
      </c>
      <c r="Z1177" s="3">
        <v>43.5</v>
      </c>
      <c r="AA1177" s="3">
        <v>40.9</v>
      </c>
      <c r="AB1177" s="3">
        <v>36.700000000000003</v>
      </c>
      <c r="AC1177" s="3">
        <v>34.4</v>
      </c>
      <c r="AD1177" s="3">
        <v>38.1</v>
      </c>
      <c r="AE1177" s="3">
        <v>39.9</v>
      </c>
      <c r="AF1177" s="3">
        <v>48.2</v>
      </c>
      <c r="AG1177" s="3">
        <v>41.7</v>
      </c>
      <c r="AH1177" s="3">
        <v>38.700000000000003</v>
      </c>
      <c r="AI1177" s="3">
        <v>40.200000000000003</v>
      </c>
      <c r="AJ1177" s="3">
        <v>38.5</v>
      </c>
      <c r="AK1177" s="3">
        <v>36.799999999999997</v>
      </c>
      <c r="AL1177" s="3">
        <v>34</v>
      </c>
      <c r="AM1177" s="3">
        <v>33.4</v>
      </c>
      <c r="AN1177" s="3">
        <v>30.5</v>
      </c>
      <c r="AO1177" s="3">
        <v>26.3</v>
      </c>
      <c r="AP1177" s="3">
        <v>24.6</v>
      </c>
      <c r="AQ1177" s="3">
        <v>21.2</v>
      </c>
      <c r="AR1177" s="3">
        <v>16.399999999999999</v>
      </c>
      <c r="AS1177" s="3">
        <v>12.1</v>
      </c>
      <c r="AT1177" s="3">
        <v>13</v>
      </c>
      <c r="AU1177" s="3">
        <v>7.7</v>
      </c>
      <c r="AV1177" s="3">
        <v>8.1</v>
      </c>
      <c r="AW1177" s="3">
        <v>8.6999999999999993</v>
      </c>
      <c r="AX1177" s="3">
        <v>8.8000000000000007</v>
      </c>
      <c r="AY1177" s="3">
        <v>9.1</v>
      </c>
      <c r="AZ1177" s="3">
        <v>0</v>
      </c>
      <c r="BA1177" s="3">
        <v>0</v>
      </c>
      <c r="BB1177" s="3">
        <v>0</v>
      </c>
      <c r="BC1177" s="3">
        <v>40.864902217409139</v>
      </c>
      <c r="BD1177" s="3">
        <v>46.035097782590867</v>
      </c>
      <c r="BE1177" s="3">
        <v>44.535097782590867</v>
      </c>
      <c r="BF1177" s="3">
        <v>42.295097782590858</v>
      </c>
      <c r="BG1177" s="3">
        <v>40.021764449257518</v>
      </c>
      <c r="BH1177" s="3">
        <v>35.961764449257529</v>
      </c>
      <c r="BI1177" s="3">
        <v>34.075097782590859</v>
      </c>
      <c r="BJ1177" s="3">
        <v>38.568431115924199</v>
      </c>
      <c r="BK1177" s="3">
        <v>40.241764449257516</v>
      </c>
      <c r="BL1177" s="3">
        <v>48.115097782590865</v>
      </c>
      <c r="BM1177" s="3">
        <v>41.748431115924205</v>
      </c>
      <c r="BN1177" s="3">
        <v>39.031764449257537</v>
      </c>
      <c r="BO1177" s="3">
        <v>39.898431115924197</v>
      </c>
      <c r="BP1177" s="3">
        <v>37.915097782590863</v>
      </c>
      <c r="BQ1177" s="3">
        <v>36.631764449257517</v>
      </c>
      <c r="BR1177" s="3">
        <v>34.158431115924202</v>
      </c>
      <c r="BS1177" s="3">
        <v>33.361764449257521</v>
      </c>
      <c r="BT1177" s="3">
        <v>30.658431115924202</v>
      </c>
      <c r="BU1177" s="3">
        <v>26.425097782590868</v>
      </c>
      <c r="BV1177" s="3">
        <v>24.441764449257533</v>
      </c>
      <c r="BW1177" s="3">
        <v>21.575097782590859</v>
      </c>
      <c r="BX1177" s="3">
        <v>16.695097782590864</v>
      </c>
      <c r="BY1177" s="3">
        <v>12.21509778259086</v>
      </c>
      <c r="BZ1177" s="3">
        <v>13.245097782590861</v>
      </c>
      <c r="CA1177" s="3">
        <v>8.045097782590851</v>
      </c>
      <c r="CB1177" s="3">
        <v>7.8817644492575241</v>
      </c>
      <c r="CC1177" s="3">
        <v>8.6950977825908566</v>
      </c>
      <c r="CD1177" s="3">
        <v>8.10176444925753</v>
      </c>
      <c r="CE1177" s="3">
        <v>8.5950977825908552</v>
      </c>
      <c r="CF1177" s="3">
        <v>-0.89156888407580936</v>
      </c>
      <c r="CG1177" s="3">
        <v>-1.4249022174091408</v>
      </c>
      <c r="CH1177" s="3">
        <v>-2.5015688840758088</v>
      </c>
      <c r="CI1177" s="13">
        <f>[1]!dbasum(RecData[[#This Row],[20]:[2000]],RecData[[#Headers],[20]:[2000]])</f>
        <v>40.754623104796217</v>
      </c>
      <c r="CJ1177" s="14">
        <v>10772</v>
      </c>
      <c r="CK1177" s="15" t="s">
        <v>249</v>
      </c>
      <c r="CL1177" s="15">
        <f>RecData[[#This Row],[Start Time]]</f>
        <v>43276.035416666666</v>
      </c>
      <c r="CM1177" s="16">
        <f>RecData[[#This Row],[Wind Speed avg]]</f>
        <v>0.61</v>
      </c>
      <c r="CN1177" s="16">
        <f>RecData[[#This Row],[Wind Dir. avg]]</f>
        <v>140.4</v>
      </c>
      <c r="CO1177" s="16">
        <f>RecData[[#This Row],[Amb. Humidity]]</f>
        <v>56.1</v>
      </c>
      <c r="CP1177" s="16">
        <f>RecData[[#This Row],[Amb. Temperature]]</f>
        <v>11.5</v>
      </c>
      <c r="CQ1177" s="17">
        <f>RecData[[#This Row],[Amb. Rain Gauge]]</f>
        <v>0</v>
      </c>
      <c r="CR1177" s="4" t="s">
        <v>1</v>
      </c>
      <c r="CS1177" s="4" t="s">
        <v>49</v>
      </c>
      <c r="CT1177" s="70">
        <v>1413.64245605468</v>
      </c>
      <c r="CU1177" s="70">
        <v>39.000328063964801</v>
      </c>
      <c r="CV1177" s="70">
        <v>9.7899284362792898</v>
      </c>
      <c r="CW1177" s="70">
        <v>15.136502265930099</v>
      </c>
      <c r="CX1177" s="4"/>
      <c r="CY1177" s="69"/>
      <c r="CZ1177" s="2" t="b">
        <f>IF($DP$1="YES",IF(RecData[[#This Row],[Power (kW)]]&gt;=$CR$3, TRUE,FALSE),TRUE)</f>
        <v>1</v>
      </c>
      <c r="DA1177" s="16">
        <f>MIN(MOD(180-ABS(ABS($DA$1-RecData[Yaw Angle (°)])-180),360),MOD(180-ABS(ABS($DB$1-RecData[Yaw Angle (°)])-180),360))</f>
        <v>31.470401286277252</v>
      </c>
      <c r="DB1177" s="2" t="str">
        <f>IF($DP$2="None","None",IF(RecData[[#This Row],[Relative Wind Direction]]&lt;=45,"DW",IF(RecData[[#This Row],[Relative Wind Direction]]&lt;=135,"CW","UW")))</f>
        <v>DW</v>
      </c>
      <c r="DC1177" s="61">
        <f>IF($CL1177-$CL1173&gt;1/24,#REF!,IF(SUM($CQ1173:$CQ1177)&gt;$DS$1,$DS$5,DC1178-1))</f>
        <v>-3</v>
      </c>
      <c r="DD1177" s="61">
        <f>IF($CL1178-$CL1177&gt;1/24,#REF!,IF(SUM($CQ1173:$CQ1177)&gt;$DS$1,$DS$6,DD1176-1))</f>
        <v>-8</v>
      </c>
      <c r="DE1177" s="18" t="b">
        <v>0</v>
      </c>
      <c r="DF1177" s="2" t="b">
        <f>IF(OR(RecData[[#This Row],[WSpd_Avg '[m/s']]]-RecData[[#This Row],[Wind Speed min]]&gt;=$DF$3,RecData[[#This Row],[Wind Speed max]]-RecData[[#This Row],[WSpd_Avg '[m/s']]]&gt;=$DF$2),TRUE,FALSE)</f>
        <v>0</v>
      </c>
      <c r="DG1177" s="2" t="b">
        <f>RecData[[#This Row],[Temperature '[°C']]]&lt;=-20</f>
        <v>0</v>
      </c>
      <c r="DH1177" s="18" t="b">
        <f>NOT(OR(MOD(RecData[[#This Row],[TIMESTAMP]],1)&gt;0.91632,MOD(RecData[[#This Row],[TIMESTAMP]],1)&lt;0.208681))</f>
        <v>0</v>
      </c>
      <c r="DI1177" s="18" t="b">
        <f>RecData[[#This Row],[Overall (dBA)]]-RecData[[#This Row],[L90]]&gt;=$DS$4</f>
        <v>0</v>
      </c>
      <c r="DJ1177" s="18" t="b">
        <f>RecData[[#This Row],[Overall (dBA)]]&gt;$DS$2</f>
        <v>0</v>
      </c>
      <c r="DK1177" s="18" t="b">
        <f>RecData[[#This Row],[Overall (dBA)]]&lt;$DS$3</f>
        <v>0</v>
      </c>
      <c r="DL11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7" s="2">
        <f>IF(AND(RecData[[#This Row],[Turbines ON/OFF]] = "OFF", NOT(OR(RecData[[#This Row],[Junk?]]="YES",RecData[[#This Row],[Gust?]],RecData[[#This Row],[Rain?]:[Min SPL Threshold?]]))),1,0)</f>
        <v>0</v>
      </c>
      <c r="DN1177" s="16">
        <f>RecData[[#This Row],[dBA Sum]]</f>
        <v>40.754623104796217</v>
      </c>
      <c r="DO1177" s="16">
        <f>RecData[[#This Row],[LAF90.0]]</f>
        <v>39.700000000000003</v>
      </c>
      <c r="DP1177" s="55">
        <f>IF(AND(RecData[[#This Row],[Useable TON Data?]],RecData[[#This Row],[Turbines ON/OFF]]="ON"),RecData[[#This Row],[dBA Sum]],"")</f>
        <v>40.754623104796217</v>
      </c>
      <c r="DQ1177" s="55" t="str">
        <f>IF(AND(RecData[[#This Row],[Useable Background Data?]],RecData[[#This Row],[Turbines ON/OFF]]="OFF"),RecData[[#This Row],[dBA Sum]],"")</f>
        <v/>
      </c>
      <c r="DR1177" s="3">
        <f>IF(OR(RecData[[#This Row],[Useable TON Data?]],RecData[[#This Row],[Useable Background Data?]]),ROUND(RecData[[#This Row],[WSpd_Avg '[m/s']]],0),"")</f>
        <v>1</v>
      </c>
      <c r="DS1177" s="85">
        <f>(0.00002)^2*(10^(RecData[[#This Row],[Overall (dBA)]]/10))</f>
        <v>4.7590722905879924E-6</v>
      </c>
    </row>
    <row r="1178" spans="1:123" ht="15" x14ac:dyDescent="0.25">
      <c r="A1178" s="3" t="s">
        <v>249</v>
      </c>
      <c r="B1178" s="12">
        <v>43276.036111111112</v>
      </c>
      <c r="C1178" s="3"/>
      <c r="D1178" s="3">
        <v>41.7</v>
      </c>
      <c r="E1178" s="3"/>
      <c r="F1178" s="3"/>
      <c r="G1178" s="3"/>
      <c r="H1178" s="3"/>
      <c r="I1178" s="3"/>
      <c r="J1178" s="3"/>
      <c r="K1178" s="3">
        <v>40.4</v>
      </c>
      <c r="L1178" s="3"/>
      <c r="M1178" s="3"/>
      <c r="N1178" s="3">
        <v>152.1</v>
      </c>
      <c r="O1178" s="3"/>
      <c r="P1178" s="3"/>
      <c r="Q1178" s="3">
        <v>0.46</v>
      </c>
      <c r="R1178" s="3">
        <v>0.3</v>
      </c>
      <c r="S1178" s="3">
        <v>0.6</v>
      </c>
      <c r="T1178" s="3">
        <v>11.4</v>
      </c>
      <c r="U1178" s="3">
        <v>55.9</v>
      </c>
      <c r="V1178" s="3">
        <v>977.8</v>
      </c>
      <c r="W1178" s="3">
        <v>0</v>
      </c>
      <c r="X1178" s="3">
        <v>46.1</v>
      </c>
      <c r="Y1178" s="3">
        <v>44.4</v>
      </c>
      <c r="Z1178" s="3">
        <v>43.9</v>
      </c>
      <c r="AA1178" s="3">
        <v>41.4</v>
      </c>
      <c r="AB1178" s="3">
        <v>37.4</v>
      </c>
      <c r="AC1178" s="3">
        <v>34.4</v>
      </c>
      <c r="AD1178" s="3">
        <v>38.9</v>
      </c>
      <c r="AE1178" s="3">
        <v>41.2</v>
      </c>
      <c r="AF1178" s="3">
        <v>48.9</v>
      </c>
      <c r="AG1178" s="3">
        <v>43.2</v>
      </c>
      <c r="AH1178" s="3">
        <v>39.799999999999997</v>
      </c>
      <c r="AI1178" s="3">
        <v>41</v>
      </c>
      <c r="AJ1178" s="3">
        <v>39.6</v>
      </c>
      <c r="AK1178" s="3">
        <v>37.200000000000003</v>
      </c>
      <c r="AL1178" s="3">
        <v>34.5</v>
      </c>
      <c r="AM1178" s="3">
        <v>34</v>
      </c>
      <c r="AN1178" s="3">
        <v>31.3</v>
      </c>
      <c r="AO1178" s="3">
        <v>26.8</v>
      </c>
      <c r="AP1178" s="3">
        <v>25</v>
      </c>
      <c r="AQ1178" s="3">
        <v>21.9</v>
      </c>
      <c r="AR1178" s="3">
        <v>17</v>
      </c>
      <c r="AS1178" s="3">
        <v>14.1</v>
      </c>
      <c r="AT1178" s="3">
        <v>17.100000000000001</v>
      </c>
      <c r="AU1178" s="3">
        <v>8</v>
      </c>
      <c r="AV1178" s="3">
        <v>8.1999999999999993</v>
      </c>
      <c r="AW1178" s="3">
        <v>8.6999999999999993</v>
      </c>
      <c r="AX1178" s="3">
        <v>8.8000000000000007</v>
      </c>
      <c r="AY1178" s="3">
        <v>9.1</v>
      </c>
      <c r="AZ1178" s="3">
        <v>0</v>
      </c>
      <c r="BA1178" s="3">
        <v>0</v>
      </c>
      <c r="BB1178" s="3">
        <v>0</v>
      </c>
      <c r="BC1178" s="3">
        <v>41.642566025416208</v>
      </c>
      <c r="BD1178" s="3">
        <v>46.157433974583803</v>
      </c>
      <c r="BE1178" s="3">
        <v>44.457433974583786</v>
      </c>
      <c r="BF1178" s="3">
        <v>42.717433974583791</v>
      </c>
      <c r="BG1178" s="3">
        <v>40.544100641250459</v>
      </c>
      <c r="BH1178" s="3">
        <v>36.68410064125046</v>
      </c>
      <c r="BI1178" s="3">
        <v>34.097433974583801</v>
      </c>
      <c r="BJ1178" s="3">
        <v>39.390767307917123</v>
      </c>
      <c r="BK1178" s="3">
        <v>41.564100641250469</v>
      </c>
      <c r="BL1178" s="3">
        <v>48.837433974583796</v>
      </c>
      <c r="BM1178" s="3">
        <v>43.270767307917133</v>
      </c>
      <c r="BN1178" s="3">
        <v>40.154100641250459</v>
      </c>
      <c r="BO1178" s="3">
        <v>40.720767307917136</v>
      </c>
      <c r="BP1178" s="3">
        <v>39.037433974583799</v>
      </c>
      <c r="BQ1178" s="3">
        <v>37.05410064125045</v>
      </c>
      <c r="BR1178" s="3">
        <v>34.680767307917129</v>
      </c>
      <c r="BS1178" s="3">
        <v>33.984100641250457</v>
      </c>
      <c r="BT1178" s="3">
        <v>31.480767307917127</v>
      </c>
      <c r="BU1178" s="3">
        <v>26.947433974583795</v>
      </c>
      <c r="BV1178" s="3">
        <v>24.864100641250467</v>
      </c>
      <c r="BW1178" s="3">
        <v>22.297433974583797</v>
      </c>
      <c r="BX1178" s="3">
        <v>17.3174339745838</v>
      </c>
      <c r="BY1178" s="3">
        <v>14.237433974583794</v>
      </c>
      <c r="BZ1178" s="3">
        <v>17.367433974583797</v>
      </c>
      <c r="CA1178" s="3">
        <v>8.3674339745837898</v>
      </c>
      <c r="CB1178" s="3">
        <v>8.0041006412504601</v>
      </c>
      <c r="CC1178" s="3">
        <v>8.7174339745837912</v>
      </c>
      <c r="CD1178" s="3">
        <v>8.1241006412504646</v>
      </c>
      <c r="CE1178" s="3">
        <v>8.6174339745837969</v>
      </c>
      <c r="CF1178" s="3">
        <v>-0.86923269208287479</v>
      </c>
      <c r="CG1178" s="3">
        <v>-1.4025660254162062</v>
      </c>
      <c r="CH1178" s="3">
        <v>-2.4792326920828742</v>
      </c>
      <c r="CI1178" s="13">
        <f>[1]!dbasum(RecData[[#This Row],[20]:[2000]],RecData[[#Headers],[20]:[2000]])</f>
        <v>41.540729000115554</v>
      </c>
      <c r="CJ1178" s="14">
        <v>10773</v>
      </c>
      <c r="CK1178" s="15" t="s">
        <v>249</v>
      </c>
      <c r="CL1178" s="15">
        <f>RecData[[#This Row],[Start Time]]</f>
        <v>43276.036111111112</v>
      </c>
      <c r="CM1178" s="16">
        <f>RecData[[#This Row],[Wind Speed avg]]</f>
        <v>0.46</v>
      </c>
      <c r="CN1178" s="16">
        <f>RecData[[#This Row],[Wind Dir. avg]]</f>
        <v>152.1</v>
      </c>
      <c r="CO1178" s="16">
        <f>RecData[[#This Row],[Amb. Humidity]]</f>
        <v>55.9</v>
      </c>
      <c r="CP1178" s="16">
        <f>RecData[[#This Row],[Amb. Temperature]]</f>
        <v>11.4</v>
      </c>
      <c r="CQ1178" s="17">
        <f>RecData[[#This Row],[Amb. Rain Gauge]]</f>
        <v>0</v>
      </c>
      <c r="CR1178" s="4" t="s">
        <v>1</v>
      </c>
      <c r="CS1178" s="4" t="s">
        <v>49</v>
      </c>
      <c r="CT1178" s="70">
        <v>1413.64245605468</v>
      </c>
      <c r="CU1178" s="70">
        <v>39.000328063964801</v>
      </c>
      <c r="CV1178" s="70">
        <v>9.7899284362792898</v>
      </c>
      <c r="CW1178" s="70">
        <v>15.136502265930099</v>
      </c>
      <c r="CX1178" s="4"/>
      <c r="CY1178" s="69"/>
      <c r="CZ1178" s="2" t="b">
        <f>IF($DP$1="YES",IF(RecData[[#This Row],[Power (kW)]]&gt;=$CR$3, TRUE,FALSE),TRUE)</f>
        <v>1</v>
      </c>
      <c r="DA1178" s="16">
        <f>MIN(MOD(180-ABS(ABS($DA$1-RecData[Yaw Angle (°)])-180),360),MOD(180-ABS(ABS($DB$1-RecData[Yaw Angle (°)])-180),360))</f>
        <v>31.470401286277252</v>
      </c>
      <c r="DB1178" s="2" t="str">
        <f>IF($DP$2="None","None",IF(RecData[[#This Row],[Relative Wind Direction]]&lt;=45,"DW",IF(RecData[[#This Row],[Relative Wind Direction]]&lt;=135,"CW","UW")))</f>
        <v>DW</v>
      </c>
      <c r="DC1178" s="61">
        <f>IF($CL1178-$CL1174&gt;1/24,#REF!,IF(SUM($CQ1174:$CQ1178)&gt;$DS$1,$DS$5,DC1179-1))</f>
        <v>-2</v>
      </c>
      <c r="DD1178" s="61">
        <f>IF($CL1179-$CL1178&gt;1/24,#REF!,IF(SUM($CQ1174:$CQ1178)&gt;$DS$1,$DS$6,DD1177-1))</f>
        <v>-9</v>
      </c>
      <c r="DE1178" s="18" t="b">
        <v>0</v>
      </c>
      <c r="DF1178" s="2" t="b">
        <f>IF(OR(RecData[[#This Row],[WSpd_Avg '[m/s']]]-RecData[[#This Row],[Wind Speed min]]&gt;=$DF$3,RecData[[#This Row],[Wind Speed max]]-RecData[[#This Row],[WSpd_Avg '[m/s']]]&gt;=$DF$2),TRUE,FALSE)</f>
        <v>0</v>
      </c>
      <c r="DG1178" s="2" t="b">
        <f>RecData[[#This Row],[Temperature '[°C']]]&lt;=-20</f>
        <v>0</v>
      </c>
      <c r="DH1178" s="18" t="b">
        <f>NOT(OR(MOD(RecData[[#This Row],[TIMESTAMP]],1)&gt;0.91632,MOD(RecData[[#This Row],[TIMESTAMP]],1)&lt;0.208681))</f>
        <v>0</v>
      </c>
      <c r="DI1178" s="18" t="b">
        <f>RecData[[#This Row],[Overall (dBA)]]-RecData[[#This Row],[L90]]&gt;=$DS$4</f>
        <v>0</v>
      </c>
      <c r="DJ1178" s="18" t="b">
        <f>RecData[[#This Row],[Overall (dBA)]]&gt;$DS$2</f>
        <v>0</v>
      </c>
      <c r="DK1178" s="18" t="b">
        <f>RecData[[#This Row],[Overall (dBA)]]&lt;$DS$3</f>
        <v>0</v>
      </c>
      <c r="DL11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8" s="2">
        <f>IF(AND(RecData[[#This Row],[Turbines ON/OFF]] = "OFF", NOT(OR(RecData[[#This Row],[Junk?]]="YES",RecData[[#This Row],[Gust?]],RecData[[#This Row],[Rain?]:[Min SPL Threshold?]]))),1,0)</f>
        <v>0</v>
      </c>
      <c r="DN1178" s="16">
        <f>RecData[[#This Row],[dBA Sum]]</f>
        <v>41.540729000115554</v>
      </c>
      <c r="DO1178" s="16">
        <f>RecData[[#This Row],[LAF90.0]]</f>
        <v>40.4</v>
      </c>
      <c r="DP1178" s="55">
        <f>IF(AND(RecData[[#This Row],[Useable TON Data?]],RecData[[#This Row],[Turbines ON/OFF]]="ON"),RecData[[#This Row],[dBA Sum]],"")</f>
        <v>41.540729000115554</v>
      </c>
      <c r="DQ1178" s="55" t="str">
        <f>IF(AND(RecData[[#This Row],[Useable Background Data?]],RecData[[#This Row],[Turbines ON/OFF]]="OFF"),RecData[[#This Row],[dBA Sum]],"")</f>
        <v/>
      </c>
      <c r="DR1178" s="3">
        <f>IF(OR(RecData[[#This Row],[Useable TON Data?]],RecData[[#This Row],[Useable Background Data?]]),ROUND(RecData[[#This Row],[WSpd_Avg '[m/s']]],0),"")</f>
        <v>0</v>
      </c>
      <c r="DS1178" s="85">
        <f>(0.00002)^2*(10^(RecData[[#This Row],[Overall (dBA)]]/10))</f>
        <v>5.7033876560447407E-6</v>
      </c>
    </row>
    <row r="1179" spans="1:123" ht="15" x14ac:dyDescent="0.25">
      <c r="A1179" s="3" t="s">
        <v>249</v>
      </c>
      <c r="B1179" s="12">
        <v>43276.036805555559</v>
      </c>
      <c r="C1179" s="3"/>
      <c r="D1179" s="3">
        <v>41.5</v>
      </c>
      <c r="E1179" s="3"/>
      <c r="F1179" s="3"/>
      <c r="G1179" s="3"/>
      <c r="H1179" s="3"/>
      <c r="I1179" s="3"/>
      <c r="J1179" s="3"/>
      <c r="K1179" s="3">
        <v>40.4</v>
      </c>
      <c r="L1179" s="3"/>
      <c r="M1179" s="3"/>
      <c r="N1179" s="3">
        <v>149.69999999999999</v>
      </c>
      <c r="O1179" s="3"/>
      <c r="P1179" s="3"/>
      <c r="Q1179" s="3">
        <v>0.51</v>
      </c>
      <c r="R1179" s="3">
        <v>0.2</v>
      </c>
      <c r="S1179" s="3">
        <v>0.8</v>
      </c>
      <c r="T1179" s="3">
        <v>11.4</v>
      </c>
      <c r="U1179" s="3">
        <v>56.7</v>
      </c>
      <c r="V1179" s="3">
        <v>977.8</v>
      </c>
      <c r="W1179" s="3">
        <v>0</v>
      </c>
      <c r="X1179" s="3">
        <v>46.6</v>
      </c>
      <c r="Y1179" s="3">
        <v>44.7</v>
      </c>
      <c r="Z1179" s="3">
        <v>43.7</v>
      </c>
      <c r="AA1179" s="3">
        <v>41.1</v>
      </c>
      <c r="AB1179" s="3">
        <v>37.1</v>
      </c>
      <c r="AC1179" s="3">
        <v>34.4</v>
      </c>
      <c r="AD1179" s="3">
        <v>38.799999999999997</v>
      </c>
      <c r="AE1179" s="3">
        <v>40.5</v>
      </c>
      <c r="AF1179" s="3">
        <v>48.6</v>
      </c>
      <c r="AG1179" s="3">
        <v>43.4</v>
      </c>
      <c r="AH1179" s="3">
        <v>39.4</v>
      </c>
      <c r="AI1179" s="3">
        <v>41</v>
      </c>
      <c r="AJ1179" s="3">
        <v>39.700000000000003</v>
      </c>
      <c r="AK1179" s="3">
        <v>37.1</v>
      </c>
      <c r="AL1179" s="3">
        <v>34.9</v>
      </c>
      <c r="AM1179" s="3">
        <v>33.6</v>
      </c>
      <c r="AN1179" s="3">
        <v>30.8</v>
      </c>
      <c r="AO1179" s="3">
        <v>26.4</v>
      </c>
      <c r="AP1179" s="3">
        <v>24.3</v>
      </c>
      <c r="AQ1179" s="3">
        <v>21.3</v>
      </c>
      <c r="AR1179" s="3">
        <v>16.399999999999999</v>
      </c>
      <c r="AS1179" s="3">
        <v>12.5</v>
      </c>
      <c r="AT1179" s="3">
        <v>13.1</v>
      </c>
      <c r="AU1179" s="3">
        <v>7.6</v>
      </c>
      <c r="AV1179" s="3">
        <v>8.1</v>
      </c>
      <c r="AW1179" s="3">
        <v>8.6</v>
      </c>
      <c r="AX1179" s="3">
        <v>8.8000000000000007</v>
      </c>
      <c r="AY1179" s="3">
        <v>9.1</v>
      </c>
      <c r="AZ1179" s="3">
        <v>0</v>
      </c>
      <c r="BA1179" s="3">
        <v>0</v>
      </c>
      <c r="BB1179" s="3">
        <v>0</v>
      </c>
      <c r="BC1179" s="3">
        <v>41.496209374976218</v>
      </c>
      <c r="BD1179" s="3">
        <v>46.603790625023777</v>
      </c>
      <c r="BE1179" s="3">
        <v>44.703790625023785</v>
      </c>
      <c r="BF1179" s="3">
        <v>42.46379062502379</v>
      </c>
      <c r="BG1179" s="3">
        <v>40.19045729169045</v>
      </c>
      <c r="BH1179" s="3">
        <v>36.33045729169045</v>
      </c>
      <c r="BI1179" s="3">
        <v>34.043790625023775</v>
      </c>
      <c r="BJ1179" s="3">
        <v>39.237123958357103</v>
      </c>
      <c r="BK1179" s="3">
        <v>40.810457291690454</v>
      </c>
      <c r="BL1179" s="3">
        <v>48.483790625023786</v>
      </c>
      <c r="BM1179" s="3">
        <v>43.417123958357109</v>
      </c>
      <c r="BN1179" s="3">
        <v>39.700457291690441</v>
      </c>
      <c r="BO1179" s="3">
        <v>40.667123958357109</v>
      </c>
      <c r="BP1179" s="3">
        <v>39.083790625023795</v>
      </c>
      <c r="BQ1179" s="3">
        <v>36.900457291690444</v>
      </c>
      <c r="BR1179" s="3">
        <v>35.027123958357123</v>
      </c>
      <c r="BS1179" s="3">
        <v>33.530457291690453</v>
      </c>
      <c r="BT1179" s="3">
        <v>30.927123958357114</v>
      </c>
      <c r="BU1179" s="3">
        <v>26.493790625023792</v>
      </c>
      <c r="BV1179" s="3">
        <v>24.110457291690452</v>
      </c>
      <c r="BW1179" s="3">
        <v>21.643790625023783</v>
      </c>
      <c r="BX1179" s="3">
        <v>16.663790625023786</v>
      </c>
      <c r="BY1179" s="3">
        <v>12.583790625023781</v>
      </c>
      <c r="BZ1179" s="3">
        <v>13.313790625023785</v>
      </c>
      <c r="CA1179" s="3">
        <v>7.913790625023772</v>
      </c>
      <c r="CB1179" s="3">
        <v>7.8504572916904465</v>
      </c>
      <c r="CC1179" s="3">
        <v>8.5637906250237847</v>
      </c>
      <c r="CD1179" s="3">
        <v>8.0704572916904525</v>
      </c>
      <c r="CE1179" s="3">
        <v>8.5637906250237847</v>
      </c>
      <c r="CF1179" s="3">
        <v>-0.92287604164288695</v>
      </c>
      <c r="CG1179" s="3">
        <v>-1.4562093749762184</v>
      </c>
      <c r="CH1179" s="3">
        <v>-2.5328760416428864</v>
      </c>
      <c r="CI1179" s="13">
        <f>[1]!dbasum(RecData[[#This Row],[20]:[2000]],RecData[[#Headers],[20]:[2000]])</f>
        <v>41.349974383827892</v>
      </c>
      <c r="CJ1179" s="14">
        <v>10774</v>
      </c>
      <c r="CK1179" s="15" t="s">
        <v>249</v>
      </c>
      <c r="CL1179" s="15">
        <f>RecData[[#This Row],[Start Time]]</f>
        <v>43276.036805555559</v>
      </c>
      <c r="CM1179" s="16">
        <f>RecData[[#This Row],[Wind Speed avg]]</f>
        <v>0.51</v>
      </c>
      <c r="CN1179" s="16">
        <f>RecData[[#This Row],[Wind Dir. avg]]</f>
        <v>149.69999999999999</v>
      </c>
      <c r="CO1179" s="16">
        <f>RecData[[#This Row],[Amb. Humidity]]</f>
        <v>56.7</v>
      </c>
      <c r="CP1179" s="16">
        <f>RecData[[#This Row],[Amb. Temperature]]</f>
        <v>11.4</v>
      </c>
      <c r="CQ1179" s="17">
        <f>RecData[[#This Row],[Amb. Rain Gauge]]</f>
        <v>0</v>
      </c>
      <c r="CR1179" s="4" t="s">
        <v>1</v>
      </c>
      <c r="CS1179" s="4" t="s">
        <v>49</v>
      </c>
      <c r="CT1179" s="70">
        <v>1413.64245605468</v>
      </c>
      <c r="CU1179" s="70">
        <v>39.000328063964801</v>
      </c>
      <c r="CV1179" s="70">
        <v>9.7899284362792898</v>
      </c>
      <c r="CW1179" s="70">
        <v>15.136502265930099</v>
      </c>
      <c r="CX1179" s="4"/>
      <c r="CY1179" s="69"/>
      <c r="CZ1179" s="2" t="b">
        <f>IF($DP$1="YES",IF(RecData[[#This Row],[Power (kW)]]&gt;=$CR$3, TRUE,FALSE),TRUE)</f>
        <v>1</v>
      </c>
      <c r="DA1179" s="16">
        <f>MIN(MOD(180-ABS(ABS($DA$1-RecData[Yaw Angle (°)])-180),360),MOD(180-ABS(ABS($DB$1-RecData[Yaw Angle (°)])-180),360))</f>
        <v>31.470401286277252</v>
      </c>
      <c r="DB1179" s="2" t="str">
        <f>IF($DP$2="None","None",IF(RecData[[#This Row],[Relative Wind Direction]]&lt;=45,"DW",IF(RecData[[#This Row],[Relative Wind Direction]]&lt;=135,"CW","UW")))</f>
        <v>DW</v>
      </c>
      <c r="DC1179" s="61">
        <v>-1</v>
      </c>
      <c r="DD1179" s="61">
        <v>-1</v>
      </c>
      <c r="DE1179" s="18" t="b">
        <v>0</v>
      </c>
      <c r="DF1179" s="2" t="b">
        <f>IF(OR(RecData[[#This Row],[WSpd_Avg '[m/s']]]-RecData[[#This Row],[Wind Speed min]]&gt;=$DF$3,RecData[[#This Row],[Wind Speed max]]-RecData[[#This Row],[WSpd_Avg '[m/s']]]&gt;=$DF$2),TRUE,FALSE)</f>
        <v>0</v>
      </c>
      <c r="DG1179" s="2" t="b">
        <f>RecData[[#This Row],[Temperature '[°C']]]&lt;=-20</f>
        <v>0</v>
      </c>
      <c r="DH1179" s="18" t="b">
        <f>NOT(OR(MOD(RecData[[#This Row],[TIMESTAMP]],1)&gt;0.91632,MOD(RecData[[#This Row],[TIMESTAMP]],1)&lt;0.208681))</f>
        <v>0</v>
      </c>
      <c r="DI1179" s="18" t="b">
        <f>RecData[[#This Row],[Overall (dBA)]]-RecData[[#This Row],[L90]]&gt;=$DS$4</f>
        <v>0</v>
      </c>
      <c r="DJ1179" s="18" t="b">
        <f>RecData[[#This Row],[Overall (dBA)]]&gt;$DS$2</f>
        <v>0</v>
      </c>
      <c r="DK1179" s="18" t="b">
        <f>RecData[[#This Row],[Overall (dBA)]]&lt;$DS$3</f>
        <v>0</v>
      </c>
      <c r="DL11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79" s="2">
        <f>IF(AND(RecData[[#This Row],[Turbines ON/OFF]] = "OFF", NOT(OR(RecData[[#This Row],[Junk?]]="YES",RecData[[#This Row],[Gust?]],RecData[[#This Row],[Rain?]:[Min SPL Threshold?]]))),1,0)</f>
        <v>0</v>
      </c>
      <c r="DN1179" s="16">
        <f>RecData[[#This Row],[dBA Sum]]</f>
        <v>41.349974383827892</v>
      </c>
      <c r="DO1179" s="16">
        <f>RecData[[#This Row],[LAF90.0]]</f>
        <v>40.4</v>
      </c>
      <c r="DP1179" s="55">
        <f>IF(AND(RecData[[#This Row],[Useable TON Data?]],RecData[[#This Row],[Turbines ON/OFF]]="ON"),RecData[[#This Row],[dBA Sum]],"")</f>
        <v>41.349974383827892</v>
      </c>
      <c r="DQ1179" s="55" t="str">
        <f>IF(AND(RecData[[#This Row],[Useable Background Data?]],RecData[[#This Row],[Turbines ON/OFF]]="OFF"),RecData[[#This Row],[dBA Sum]],"")</f>
        <v/>
      </c>
      <c r="DR1179" s="3">
        <f>IF(OR(RecData[[#This Row],[Useable TON Data?]],RecData[[#This Row],[Useable Background Data?]]),ROUND(RecData[[#This Row],[WSpd_Avg '[m/s']]],0),"")</f>
        <v>1</v>
      </c>
      <c r="DS1179" s="85">
        <f>(0.00002)^2*(10^(RecData[[#This Row],[Overall (dBA)]]/10))</f>
        <v>5.4583003513407004E-6</v>
      </c>
    </row>
    <row r="1180" spans="1:123" ht="15" x14ac:dyDescent="0.25">
      <c r="A1180" s="3" t="s">
        <v>249</v>
      </c>
      <c r="B1180" s="12">
        <v>43276.037499999999</v>
      </c>
      <c r="C1180" s="3"/>
      <c r="D1180" s="3">
        <v>41.4</v>
      </c>
      <c r="E1180" s="3"/>
      <c r="F1180" s="3"/>
      <c r="G1180" s="3"/>
      <c r="H1180" s="3"/>
      <c r="I1180" s="3"/>
      <c r="J1180" s="3"/>
      <c r="K1180" s="3">
        <v>40</v>
      </c>
      <c r="L1180" s="3"/>
      <c r="M1180" s="3"/>
      <c r="N1180" s="3">
        <v>141.4</v>
      </c>
      <c r="O1180" s="3"/>
      <c r="P1180" s="3"/>
      <c r="Q1180" s="3">
        <v>0.8</v>
      </c>
      <c r="R1180" s="3">
        <v>0.5</v>
      </c>
      <c r="S1180" s="3">
        <v>1.1000000000000001</v>
      </c>
      <c r="T1180" s="3">
        <v>11.3</v>
      </c>
      <c r="U1180" s="3">
        <v>57.5</v>
      </c>
      <c r="V1180" s="3">
        <v>977.9</v>
      </c>
      <c r="W1180" s="3">
        <v>0</v>
      </c>
      <c r="X1180" s="3">
        <v>46.4</v>
      </c>
      <c r="Y1180" s="3">
        <v>44.4</v>
      </c>
      <c r="Z1180" s="3">
        <v>44.1</v>
      </c>
      <c r="AA1180" s="3">
        <v>41.3</v>
      </c>
      <c r="AB1180" s="3">
        <v>37.5</v>
      </c>
      <c r="AC1180" s="3">
        <v>34.4</v>
      </c>
      <c r="AD1180" s="3">
        <v>38.6</v>
      </c>
      <c r="AE1180" s="3">
        <v>40.9</v>
      </c>
      <c r="AF1180" s="3">
        <v>47.7</v>
      </c>
      <c r="AG1180" s="3">
        <v>42.9</v>
      </c>
      <c r="AH1180" s="3">
        <v>39.6</v>
      </c>
      <c r="AI1180" s="3">
        <v>40.9</v>
      </c>
      <c r="AJ1180" s="3">
        <v>39.9</v>
      </c>
      <c r="AK1180" s="3">
        <v>37.1</v>
      </c>
      <c r="AL1180" s="3">
        <v>34.700000000000003</v>
      </c>
      <c r="AM1180" s="3">
        <v>33.299999999999997</v>
      </c>
      <c r="AN1180" s="3">
        <v>30.7</v>
      </c>
      <c r="AO1180" s="3">
        <v>26.4</v>
      </c>
      <c r="AP1180" s="3">
        <v>23.8</v>
      </c>
      <c r="AQ1180" s="3">
        <v>21.4</v>
      </c>
      <c r="AR1180" s="3">
        <v>16.7</v>
      </c>
      <c r="AS1180" s="3">
        <v>12.8</v>
      </c>
      <c r="AT1180" s="3">
        <v>16.3</v>
      </c>
      <c r="AU1180" s="3">
        <v>7.8</v>
      </c>
      <c r="AV1180" s="3">
        <v>8.1</v>
      </c>
      <c r="AW1180" s="3">
        <v>8.6</v>
      </c>
      <c r="AX1180" s="3">
        <v>8.8000000000000007</v>
      </c>
      <c r="AY1180" s="3">
        <v>9.1</v>
      </c>
      <c r="AZ1180" s="3">
        <v>0</v>
      </c>
      <c r="BA1180" s="3">
        <v>0</v>
      </c>
      <c r="BB1180" s="3">
        <v>0</v>
      </c>
      <c r="BC1180" s="3">
        <v>41.33407399541872</v>
      </c>
      <c r="BD1180" s="3">
        <v>46.465926004581277</v>
      </c>
      <c r="BE1180" s="3">
        <v>44.465926004581277</v>
      </c>
      <c r="BF1180" s="3">
        <v>42.925926004581271</v>
      </c>
      <c r="BG1180" s="3">
        <v>40.452592671247942</v>
      </c>
      <c r="BH1180" s="3">
        <v>36.792592671247945</v>
      </c>
      <c r="BI1180" s="3">
        <v>34.105926004581278</v>
      </c>
      <c r="BJ1180" s="3">
        <v>39.099259337914617</v>
      </c>
      <c r="BK1180" s="3">
        <v>41.272592671247935</v>
      </c>
      <c r="BL1180" s="3">
        <v>47.645926004581284</v>
      </c>
      <c r="BM1180" s="3">
        <v>42.979259337914613</v>
      </c>
      <c r="BN1180" s="3">
        <v>39.962592671247947</v>
      </c>
      <c r="BO1180" s="3">
        <v>40.629259337914618</v>
      </c>
      <c r="BP1180" s="3">
        <v>39.345926004581287</v>
      </c>
      <c r="BQ1180" s="3">
        <v>36.962592671247933</v>
      </c>
      <c r="BR1180" s="3">
        <v>34.889259337914609</v>
      </c>
      <c r="BS1180" s="3">
        <v>33.292592671247945</v>
      </c>
      <c r="BT1180" s="3">
        <v>30.889259337914609</v>
      </c>
      <c r="BU1180" s="3">
        <v>26.555926004581281</v>
      </c>
      <c r="BV1180" s="3">
        <v>23.672592671247941</v>
      </c>
      <c r="BW1180" s="3">
        <v>21.805926004581281</v>
      </c>
      <c r="BX1180" s="3">
        <v>17.025926004581279</v>
      </c>
      <c r="BY1180" s="3">
        <v>12.945926004581281</v>
      </c>
      <c r="BZ1180" s="3">
        <v>16.575926004581284</v>
      </c>
      <c r="CA1180" s="3">
        <v>8.1759260045812709</v>
      </c>
      <c r="CB1180" s="3">
        <v>7.9125926712479426</v>
      </c>
      <c r="CC1180" s="3">
        <v>8.6259260045812738</v>
      </c>
      <c r="CD1180" s="3">
        <v>8.1325926712479486</v>
      </c>
      <c r="CE1180" s="3">
        <v>8.6259260045812738</v>
      </c>
      <c r="CF1180" s="3">
        <v>-0.8607406620853908</v>
      </c>
      <c r="CG1180" s="3">
        <v>-1.3940739954187222</v>
      </c>
      <c r="CH1180" s="3">
        <v>-2.4707406620853902</v>
      </c>
      <c r="CI1180" s="13">
        <f>[1]!dbasum(RecData[[#This Row],[20]:[2000]],RecData[[#Headers],[20]:[2000]])</f>
        <v>41.234722108645784</v>
      </c>
      <c r="CJ1180" s="14">
        <v>10775</v>
      </c>
      <c r="CK1180" s="15" t="s">
        <v>249</v>
      </c>
      <c r="CL1180" s="15">
        <f>RecData[[#This Row],[Start Time]]</f>
        <v>43276.037499999999</v>
      </c>
      <c r="CM1180" s="16">
        <f>RecData[[#This Row],[Wind Speed avg]]</f>
        <v>0.8</v>
      </c>
      <c r="CN1180" s="16">
        <f>RecData[[#This Row],[Wind Dir. avg]]</f>
        <v>141.4</v>
      </c>
      <c r="CO1180" s="16">
        <f>RecData[[#This Row],[Amb. Humidity]]</f>
        <v>57.5</v>
      </c>
      <c r="CP1180" s="16">
        <f>RecData[[#This Row],[Amb. Temperature]]</f>
        <v>11.3</v>
      </c>
      <c r="CQ1180" s="17">
        <f>RecData[[#This Row],[Amb. Rain Gauge]]</f>
        <v>0</v>
      </c>
      <c r="CR1180" s="4" t="s">
        <v>1</v>
      </c>
      <c r="CS1180" s="4" t="s">
        <v>49</v>
      </c>
      <c r="CT1180" s="70">
        <v>1413.64245605468</v>
      </c>
      <c r="CU1180" s="70">
        <v>39.000328063964801</v>
      </c>
      <c r="CV1180" s="70">
        <v>9.7899284362792898</v>
      </c>
      <c r="CW1180" s="70">
        <v>15.136502265930099</v>
      </c>
      <c r="CX1180" s="4"/>
      <c r="CY1180" s="69"/>
      <c r="CZ1180" s="2" t="b">
        <f>IF($DP$1="YES",IF(RecData[[#This Row],[Power (kW)]]&gt;=$CR$3, TRUE,FALSE),TRUE)</f>
        <v>1</v>
      </c>
      <c r="DA1180" s="16">
        <f>MIN(MOD(180-ABS(ABS($DA$1-RecData[Yaw Angle (°)])-180),360),MOD(180-ABS(ABS($DB$1-RecData[Yaw Angle (°)])-180),360))</f>
        <v>31.470401286277252</v>
      </c>
      <c r="DB1180" s="2" t="str">
        <f>IF($DP$2="None","None",IF(RecData[[#This Row],[Relative Wind Direction]]&lt;=45,"DW",IF(RecData[[#This Row],[Relative Wind Direction]]&lt;=135,"CW","UW")))</f>
        <v>DW</v>
      </c>
      <c r="DC1180" s="61">
        <f>IF($CL1180-$CL1179&gt;1/24,#REF!,IF(SUM($CQ1179:$CQ1180)&gt;$DS$1,$DS$5,DC1181-1))</f>
        <v>-9</v>
      </c>
      <c r="DD1180" s="61">
        <f>IF($CL1181-$CL1180&gt;1/24,#REF!,IF(SUM($CQ1179:$CQ1180)&gt;$DS$1,$DS$6,DD1179-1))</f>
        <v>-2</v>
      </c>
      <c r="DE1180" s="18" t="b">
        <v>0</v>
      </c>
      <c r="DF1180" s="2" t="b">
        <f>IF(OR(RecData[[#This Row],[WSpd_Avg '[m/s']]]-RecData[[#This Row],[Wind Speed min]]&gt;=$DF$3,RecData[[#This Row],[Wind Speed max]]-RecData[[#This Row],[WSpd_Avg '[m/s']]]&gt;=$DF$2),TRUE,FALSE)</f>
        <v>0</v>
      </c>
      <c r="DG1180" s="2" t="b">
        <f>RecData[[#This Row],[Temperature '[°C']]]&lt;=-20</f>
        <v>0</v>
      </c>
      <c r="DH1180" s="18" t="b">
        <f>NOT(OR(MOD(RecData[[#This Row],[TIMESTAMP]],1)&gt;0.91632,MOD(RecData[[#This Row],[TIMESTAMP]],1)&lt;0.208681))</f>
        <v>0</v>
      </c>
      <c r="DI1180" s="18" t="b">
        <f>RecData[[#This Row],[Overall (dBA)]]-RecData[[#This Row],[L90]]&gt;=$DS$4</f>
        <v>0</v>
      </c>
      <c r="DJ1180" s="18" t="b">
        <f>RecData[[#This Row],[Overall (dBA)]]&gt;$DS$2</f>
        <v>0</v>
      </c>
      <c r="DK1180" s="18" t="b">
        <f>RecData[[#This Row],[Overall (dBA)]]&lt;$DS$3</f>
        <v>0</v>
      </c>
      <c r="DL11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0" s="2">
        <f>IF(AND(RecData[[#This Row],[Turbines ON/OFF]] = "OFF", NOT(OR(RecData[[#This Row],[Junk?]]="YES",RecData[[#This Row],[Gust?]],RecData[[#This Row],[Rain?]:[Min SPL Threshold?]]))),1,0)</f>
        <v>0</v>
      </c>
      <c r="DN1180" s="16">
        <f>RecData[[#This Row],[dBA Sum]]</f>
        <v>41.234722108645784</v>
      </c>
      <c r="DO1180" s="16">
        <f>RecData[[#This Row],[LAF90.0]]</f>
        <v>40</v>
      </c>
      <c r="DP1180" s="55">
        <f>IF(AND(RecData[[#This Row],[Useable TON Data?]],RecData[[#This Row],[Turbines ON/OFF]]="ON"),RecData[[#This Row],[dBA Sum]],"")</f>
        <v>41.234722108645784</v>
      </c>
      <c r="DQ1180" s="55" t="str">
        <f>IF(AND(RecData[[#This Row],[Useable Background Data?]],RecData[[#This Row],[Turbines ON/OFF]]="OFF"),RecData[[#This Row],[dBA Sum]],"")</f>
        <v/>
      </c>
      <c r="DR1180" s="3">
        <f>IF(OR(RecData[[#This Row],[Useable TON Data?]],RecData[[#This Row],[Useable Background Data?]]),ROUND(RecData[[#This Row],[WSpd_Avg '[m/s']]],0),"")</f>
        <v>1</v>
      </c>
      <c r="DS1180" s="85">
        <f>(0.00002)^2*(10^(RecData[[#This Row],[Overall (dBA)]]/10))</f>
        <v>5.3153541048647041E-6</v>
      </c>
    </row>
    <row r="1181" spans="1:123" ht="15" x14ac:dyDescent="0.25">
      <c r="A1181" s="3" t="s">
        <v>249</v>
      </c>
      <c r="B1181" s="12">
        <v>43276.038194444445</v>
      </c>
      <c r="C1181" s="3"/>
      <c r="D1181" s="3">
        <v>39.9</v>
      </c>
      <c r="E1181" s="3"/>
      <c r="F1181" s="3"/>
      <c r="G1181" s="3"/>
      <c r="H1181" s="3"/>
      <c r="I1181" s="3"/>
      <c r="J1181" s="3"/>
      <c r="K1181" s="3">
        <v>38</v>
      </c>
      <c r="L1181" s="3"/>
      <c r="M1181" s="3"/>
      <c r="N1181" s="3">
        <v>149.9</v>
      </c>
      <c r="O1181" s="3"/>
      <c r="P1181" s="3"/>
      <c r="Q1181" s="3">
        <v>0.76</v>
      </c>
      <c r="R1181" s="3">
        <v>0.5</v>
      </c>
      <c r="S1181" s="3">
        <v>1</v>
      </c>
      <c r="T1181" s="3">
        <v>11.2</v>
      </c>
      <c r="U1181" s="3">
        <v>59</v>
      </c>
      <c r="V1181" s="3">
        <v>977.9</v>
      </c>
      <c r="W1181" s="3">
        <v>0</v>
      </c>
      <c r="X1181" s="3">
        <v>46.3</v>
      </c>
      <c r="Y1181" s="3">
        <v>44.3</v>
      </c>
      <c r="Z1181" s="3">
        <v>44</v>
      </c>
      <c r="AA1181" s="3">
        <v>41.5</v>
      </c>
      <c r="AB1181" s="3">
        <v>37.6</v>
      </c>
      <c r="AC1181" s="3">
        <v>34</v>
      </c>
      <c r="AD1181" s="3">
        <v>37.5</v>
      </c>
      <c r="AE1181" s="3">
        <v>39.700000000000003</v>
      </c>
      <c r="AF1181" s="3">
        <v>45.6</v>
      </c>
      <c r="AG1181" s="3">
        <v>40.9</v>
      </c>
      <c r="AH1181" s="3">
        <v>38.200000000000003</v>
      </c>
      <c r="AI1181" s="3">
        <v>39.6</v>
      </c>
      <c r="AJ1181" s="3">
        <v>38.200000000000003</v>
      </c>
      <c r="AK1181" s="3">
        <v>35.799999999999997</v>
      </c>
      <c r="AL1181" s="3">
        <v>33.5</v>
      </c>
      <c r="AM1181" s="3">
        <v>31.9</v>
      </c>
      <c r="AN1181" s="3">
        <v>29.4</v>
      </c>
      <c r="AO1181" s="3">
        <v>25</v>
      </c>
      <c r="AP1181" s="3">
        <v>22.3</v>
      </c>
      <c r="AQ1181" s="3">
        <v>19.899999999999999</v>
      </c>
      <c r="AR1181" s="3">
        <v>15.3</v>
      </c>
      <c r="AS1181" s="3">
        <v>12.6</v>
      </c>
      <c r="AT1181" s="3">
        <v>15.8</v>
      </c>
      <c r="AU1181" s="3">
        <v>7.5</v>
      </c>
      <c r="AV1181" s="3">
        <v>8</v>
      </c>
      <c r="AW1181" s="3">
        <v>8.6</v>
      </c>
      <c r="AX1181" s="3">
        <v>8.8000000000000007</v>
      </c>
      <c r="AY1181" s="3">
        <v>9.1</v>
      </c>
      <c r="AZ1181" s="3">
        <v>0</v>
      </c>
      <c r="BA1181" s="3">
        <v>0</v>
      </c>
      <c r="BB1181" s="3">
        <v>0</v>
      </c>
      <c r="BC1181" s="3">
        <v>39.848945535561811</v>
      </c>
      <c r="BD1181" s="3">
        <v>46.351054464438178</v>
      </c>
      <c r="BE1181" s="3">
        <v>44.351054464438178</v>
      </c>
      <c r="BF1181" s="3">
        <v>42.811054464438186</v>
      </c>
      <c r="BG1181" s="3">
        <v>40.637721131104854</v>
      </c>
      <c r="BH1181" s="3">
        <v>36.877721131104849</v>
      </c>
      <c r="BI1181" s="3">
        <v>33.691054464438182</v>
      </c>
      <c r="BJ1181" s="3">
        <v>37.984387797771518</v>
      </c>
      <c r="BK1181" s="3">
        <v>40.057721131104856</v>
      </c>
      <c r="BL1181" s="3">
        <v>45.531054464438185</v>
      </c>
      <c r="BM1181" s="3">
        <v>40.964387797771522</v>
      </c>
      <c r="BN1181" s="3">
        <v>38.547721131104865</v>
      </c>
      <c r="BO1181" s="3">
        <v>39.314387797771516</v>
      </c>
      <c r="BP1181" s="3">
        <v>37.631054464438193</v>
      </c>
      <c r="BQ1181" s="3">
        <v>35.647721131104845</v>
      </c>
      <c r="BR1181" s="3">
        <v>33.67438779777153</v>
      </c>
      <c r="BS1181" s="3">
        <v>31.877721131104849</v>
      </c>
      <c r="BT1181" s="3">
        <v>29.574387797771521</v>
      </c>
      <c r="BU1181" s="3">
        <v>25.141054464438199</v>
      </c>
      <c r="BV1181" s="3">
        <v>22.157721131104857</v>
      </c>
      <c r="BW1181" s="3">
        <v>20.29105446443819</v>
      </c>
      <c r="BX1181" s="3">
        <v>15.611054464438197</v>
      </c>
      <c r="BY1181" s="3">
        <v>12.731054464438188</v>
      </c>
      <c r="BZ1181" s="3">
        <v>16.061054464438193</v>
      </c>
      <c r="CA1181" s="3">
        <v>7.8610544644381832</v>
      </c>
      <c r="CB1181" s="3">
        <v>7.7977211311048507</v>
      </c>
      <c r="CC1181" s="3">
        <v>8.6110544644381832</v>
      </c>
      <c r="CD1181" s="3">
        <v>8.117721131104858</v>
      </c>
      <c r="CE1181" s="3">
        <v>8.6110544644381832</v>
      </c>
      <c r="CF1181" s="3">
        <v>-0.87561220222848135</v>
      </c>
      <c r="CG1181" s="3">
        <v>-1.4089455355618128</v>
      </c>
      <c r="CH1181" s="3">
        <v>-2.4856122022284808</v>
      </c>
      <c r="CI1181" s="13">
        <f>[1]!dbasum(RecData[[#This Row],[20]:[2000]],RecData[[#Headers],[20]:[2000]])</f>
        <v>39.727726942633595</v>
      </c>
      <c r="CJ1181" s="14">
        <v>10776</v>
      </c>
      <c r="CK1181" s="15" t="s">
        <v>249</v>
      </c>
      <c r="CL1181" s="15">
        <f>RecData[[#This Row],[Start Time]]</f>
        <v>43276.038194444445</v>
      </c>
      <c r="CM1181" s="16">
        <f>RecData[[#This Row],[Wind Speed avg]]</f>
        <v>0.76</v>
      </c>
      <c r="CN1181" s="16">
        <f>RecData[[#This Row],[Wind Dir. avg]]</f>
        <v>149.9</v>
      </c>
      <c r="CO1181" s="16">
        <f>RecData[[#This Row],[Amb. Humidity]]</f>
        <v>59</v>
      </c>
      <c r="CP1181" s="16">
        <f>RecData[[#This Row],[Amb. Temperature]]</f>
        <v>11.2</v>
      </c>
      <c r="CQ1181" s="17">
        <f>RecData[[#This Row],[Amb. Rain Gauge]]</f>
        <v>0</v>
      </c>
      <c r="CR1181" s="4" t="s">
        <v>1</v>
      </c>
      <c r="CS1181" s="4" t="s">
        <v>49</v>
      </c>
      <c r="CT1181" s="70">
        <v>1413.64245605468</v>
      </c>
      <c r="CU1181" s="70">
        <v>39.000328063964801</v>
      </c>
      <c r="CV1181" s="70">
        <v>9.7899284362792898</v>
      </c>
      <c r="CW1181" s="70">
        <v>15.136502265930099</v>
      </c>
      <c r="CX1181" s="4"/>
      <c r="CY1181" s="69"/>
      <c r="CZ1181" s="2" t="b">
        <f>IF($DP$1="YES",IF(RecData[[#This Row],[Power (kW)]]&gt;=$CR$3, TRUE,FALSE),TRUE)</f>
        <v>1</v>
      </c>
      <c r="DA1181" s="16">
        <f>MIN(MOD(180-ABS(ABS($DA$1-RecData[Yaw Angle (°)])-180),360),MOD(180-ABS(ABS($DB$1-RecData[Yaw Angle (°)])-180),360))</f>
        <v>31.470401286277252</v>
      </c>
      <c r="DB1181" s="2" t="str">
        <f>IF($DP$2="None","None",IF(RecData[[#This Row],[Relative Wind Direction]]&lt;=45,"DW",IF(RecData[[#This Row],[Relative Wind Direction]]&lt;=135,"CW","UW")))</f>
        <v>DW</v>
      </c>
      <c r="DC1181" s="61">
        <f>IF($CL1181-$CL1179&gt;1/24,#REF!,IF(SUM($CQ1179:$CQ1181)&gt;$DS$1,$DS$5,DC1182-1))</f>
        <v>-8</v>
      </c>
      <c r="DD1181" s="61">
        <f>IF($CL1182-$CL1181&gt;1/24,#REF!,IF(SUM($CQ1179:$CQ1181)&gt;$DS$1,$DS$6,DD1180-1))</f>
        <v>-3</v>
      </c>
      <c r="DE1181" s="18" t="b">
        <v>0</v>
      </c>
      <c r="DF1181" s="2" t="b">
        <f>IF(OR(RecData[[#This Row],[WSpd_Avg '[m/s']]]-RecData[[#This Row],[Wind Speed min]]&gt;=$DF$3,RecData[[#This Row],[Wind Speed max]]-RecData[[#This Row],[WSpd_Avg '[m/s']]]&gt;=$DF$2),TRUE,FALSE)</f>
        <v>0</v>
      </c>
      <c r="DG1181" s="2" t="b">
        <f>RecData[[#This Row],[Temperature '[°C']]]&lt;=-20</f>
        <v>0</v>
      </c>
      <c r="DH1181" s="18" t="b">
        <f>NOT(OR(MOD(RecData[[#This Row],[TIMESTAMP]],1)&gt;0.91632,MOD(RecData[[#This Row],[TIMESTAMP]],1)&lt;0.208681))</f>
        <v>0</v>
      </c>
      <c r="DI1181" s="18" t="b">
        <f>RecData[[#This Row],[Overall (dBA)]]-RecData[[#This Row],[L90]]&gt;=$DS$4</f>
        <v>0</v>
      </c>
      <c r="DJ1181" s="18" t="b">
        <f>RecData[[#This Row],[Overall (dBA)]]&gt;$DS$2</f>
        <v>0</v>
      </c>
      <c r="DK1181" s="18" t="b">
        <f>RecData[[#This Row],[Overall (dBA)]]&lt;$DS$3</f>
        <v>0</v>
      </c>
      <c r="DL11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1" s="2">
        <f>IF(AND(RecData[[#This Row],[Turbines ON/OFF]] = "OFF", NOT(OR(RecData[[#This Row],[Junk?]]="YES",RecData[[#This Row],[Gust?]],RecData[[#This Row],[Rain?]:[Min SPL Threshold?]]))),1,0)</f>
        <v>0</v>
      </c>
      <c r="DN1181" s="16">
        <f>RecData[[#This Row],[dBA Sum]]</f>
        <v>39.727726942633595</v>
      </c>
      <c r="DO1181" s="16">
        <f>RecData[[#This Row],[LAF90.0]]</f>
        <v>38</v>
      </c>
      <c r="DP1181" s="55">
        <f>IF(AND(RecData[[#This Row],[Useable TON Data?]],RecData[[#This Row],[Turbines ON/OFF]]="ON"),RecData[[#This Row],[dBA Sum]],"")</f>
        <v>39.727726942633595</v>
      </c>
      <c r="DQ1181" s="55" t="str">
        <f>IF(AND(RecData[[#This Row],[Useable Background Data?]],RecData[[#This Row],[Turbines ON/OFF]]="OFF"),RecData[[#This Row],[dBA Sum]],"")</f>
        <v/>
      </c>
      <c r="DR1181" s="3">
        <f>IF(OR(RecData[[#This Row],[Useable TON Data?]],RecData[[#This Row],[Useable Background Data?]]),ROUND(RecData[[#This Row],[WSpd_Avg '[m/s']]],0),"")</f>
        <v>1</v>
      </c>
      <c r="DS1181" s="85">
        <f>(0.00002)^2*(10^(RecData[[#This Row],[Overall (dBA)]]/10))</f>
        <v>3.7569263868765001E-6</v>
      </c>
    </row>
    <row r="1182" spans="1:123" ht="15" x14ac:dyDescent="0.25">
      <c r="A1182" s="3" t="s">
        <v>249</v>
      </c>
      <c r="B1182" s="12">
        <v>43276.038888888892</v>
      </c>
      <c r="C1182" s="3"/>
      <c r="D1182" s="3">
        <v>41.4</v>
      </c>
      <c r="E1182" s="3"/>
      <c r="F1182" s="3"/>
      <c r="G1182" s="3"/>
      <c r="H1182" s="3"/>
      <c r="I1182" s="3"/>
      <c r="J1182" s="3"/>
      <c r="K1182" s="3">
        <v>40</v>
      </c>
      <c r="L1182" s="3"/>
      <c r="M1182" s="3"/>
      <c r="N1182" s="3">
        <v>110.4</v>
      </c>
      <c r="O1182" s="3"/>
      <c r="P1182" s="3"/>
      <c r="Q1182" s="3">
        <v>0.55000000000000004</v>
      </c>
      <c r="R1182" s="3">
        <v>0.1</v>
      </c>
      <c r="S1182" s="3">
        <v>0.8</v>
      </c>
      <c r="T1182" s="3">
        <v>11.1</v>
      </c>
      <c r="U1182" s="3">
        <v>59.2</v>
      </c>
      <c r="V1182" s="3">
        <v>977.9</v>
      </c>
      <c r="W1182" s="3">
        <v>0</v>
      </c>
      <c r="X1182" s="3">
        <v>46.3</v>
      </c>
      <c r="Y1182" s="3">
        <v>44.8</v>
      </c>
      <c r="Z1182" s="3">
        <v>44.2</v>
      </c>
      <c r="AA1182" s="3">
        <v>41.5</v>
      </c>
      <c r="AB1182" s="3">
        <v>37.200000000000003</v>
      </c>
      <c r="AC1182" s="3">
        <v>33.700000000000003</v>
      </c>
      <c r="AD1182" s="3">
        <v>37.6</v>
      </c>
      <c r="AE1182" s="3">
        <v>40.4</v>
      </c>
      <c r="AF1182" s="3">
        <v>48.5</v>
      </c>
      <c r="AG1182" s="3">
        <v>42.8</v>
      </c>
      <c r="AH1182" s="3">
        <v>38.9</v>
      </c>
      <c r="AI1182" s="3">
        <v>41</v>
      </c>
      <c r="AJ1182" s="3">
        <v>39.799999999999997</v>
      </c>
      <c r="AK1182" s="3">
        <v>37.1</v>
      </c>
      <c r="AL1182" s="3">
        <v>34.9</v>
      </c>
      <c r="AM1182" s="3">
        <v>33.6</v>
      </c>
      <c r="AN1182" s="3">
        <v>30.9</v>
      </c>
      <c r="AO1182" s="3">
        <v>26.3</v>
      </c>
      <c r="AP1182" s="3">
        <v>23.9</v>
      </c>
      <c r="AQ1182" s="3">
        <v>21.2</v>
      </c>
      <c r="AR1182" s="3">
        <v>16.5</v>
      </c>
      <c r="AS1182" s="3">
        <v>12.9</v>
      </c>
      <c r="AT1182" s="3">
        <v>15.4</v>
      </c>
      <c r="AU1182" s="3">
        <v>8.3000000000000007</v>
      </c>
      <c r="AV1182" s="3">
        <v>8.6</v>
      </c>
      <c r="AW1182" s="3">
        <v>8.9</v>
      </c>
      <c r="AX1182" s="3">
        <v>8.9</v>
      </c>
      <c r="AY1182" s="3">
        <v>9.1</v>
      </c>
      <c r="AZ1182" s="3">
        <v>0</v>
      </c>
      <c r="BA1182" s="3">
        <v>0</v>
      </c>
      <c r="BB1182" s="3">
        <v>0</v>
      </c>
      <c r="BC1182" s="3">
        <v>41.431073637310405</v>
      </c>
      <c r="BD1182" s="3">
        <v>46.268926362689584</v>
      </c>
      <c r="BE1182" s="3">
        <v>44.768926362689584</v>
      </c>
      <c r="BF1182" s="3">
        <v>42.928926362689594</v>
      </c>
      <c r="BG1182" s="3">
        <v>40.55559302935626</v>
      </c>
      <c r="BH1182" s="3">
        <v>36.395593029356263</v>
      </c>
      <c r="BI1182" s="3">
        <v>33.308926362689604</v>
      </c>
      <c r="BJ1182" s="3">
        <v>38.002259696022932</v>
      </c>
      <c r="BK1182" s="3">
        <v>40.67559302935625</v>
      </c>
      <c r="BL1182" s="3">
        <v>48.348926362689596</v>
      </c>
      <c r="BM1182" s="3">
        <v>42.782259696022933</v>
      </c>
      <c r="BN1182" s="3">
        <v>39.165593029356259</v>
      </c>
      <c r="BO1182" s="3">
        <v>40.632259696022928</v>
      </c>
      <c r="BP1182" s="3">
        <v>39.148926362689593</v>
      </c>
      <c r="BQ1182" s="3">
        <v>36.865593029356248</v>
      </c>
      <c r="BR1182" s="3">
        <v>34.992259696022927</v>
      </c>
      <c r="BS1182" s="3">
        <v>33.495593029356272</v>
      </c>
      <c r="BT1182" s="3">
        <v>30.992259696022927</v>
      </c>
      <c r="BU1182" s="3">
        <v>26.358926362689601</v>
      </c>
      <c r="BV1182" s="3">
        <v>23.675593029356264</v>
      </c>
      <c r="BW1182" s="3">
        <v>21.508926362689593</v>
      </c>
      <c r="BX1182" s="3">
        <v>16.728926362689599</v>
      </c>
      <c r="BY1182" s="3">
        <v>12.948926362689591</v>
      </c>
      <c r="BZ1182" s="3">
        <v>15.5789263626896</v>
      </c>
      <c r="CA1182" s="3">
        <v>8.578926362689586</v>
      </c>
      <c r="CB1182" s="3">
        <v>8.3155930293562577</v>
      </c>
      <c r="CC1182" s="3">
        <v>8.8289263626895931</v>
      </c>
      <c r="CD1182" s="3">
        <v>8.135593029356265</v>
      </c>
      <c r="CE1182" s="3">
        <v>8.5289263626895888</v>
      </c>
      <c r="CF1182" s="3">
        <v>-0.95774030397707577</v>
      </c>
      <c r="CG1182" s="3">
        <v>-1.4910736373104072</v>
      </c>
      <c r="CH1182" s="3">
        <v>-2.5677403039770752</v>
      </c>
      <c r="CI1182" s="13">
        <f>[1]!dbasum(RecData[[#This Row],[20]:[2000]],RecData[[#Headers],[20]:[2000]])</f>
        <v>41.236332484409061</v>
      </c>
      <c r="CJ1182" s="14">
        <v>10777</v>
      </c>
      <c r="CK1182" s="15" t="s">
        <v>249</v>
      </c>
      <c r="CL1182" s="15">
        <f>RecData[[#This Row],[Start Time]]</f>
        <v>43276.038888888892</v>
      </c>
      <c r="CM1182" s="16">
        <f>RecData[[#This Row],[Wind Speed avg]]</f>
        <v>0.55000000000000004</v>
      </c>
      <c r="CN1182" s="16">
        <f>RecData[[#This Row],[Wind Dir. avg]]</f>
        <v>110.4</v>
      </c>
      <c r="CO1182" s="16">
        <f>RecData[[#This Row],[Amb. Humidity]]</f>
        <v>59.2</v>
      </c>
      <c r="CP1182" s="16">
        <f>RecData[[#This Row],[Amb. Temperature]]</f>
        <v>11.1</v>
      </c>
      <c r="CQ1182" s="17">
        <f>RecData[[#This Row],[Amb. Rain Gauge]]</f>
        <v>0</v>
      </c>
      <c r="CR1182" s="4" t="s">
        <v>1</v>
      </c>
      <c r="CS1182" s="4" t="s">
        <v>49</v>
      </c>
      <c r="CT1182" s="70">
        <v>1413.64245605468</v>
      </c>
      <c r="CU1182" s="70">
        <v>39.000328063964801</v>
      </c>
      <c r="CV1182" s="70">
        <v>9.7899284362792898</v>
      </c>
      <c r="CW1182" s="70">
        <v>15.136502265930099</v>
      </c>
      <c r="CX1182" s="4"/>
      <c r="CY1182" s="69"/>
      <c r="CZ1182" s="2" t="b">
        <f>IF($DP$1="YES",IF(RecData[[#This Row],[Power (kW)]]&gt;=$CR$3, TRUE,FALSE),TRUE)</f>
        <v>1</v>
      </c>
      <c r="DA1182" s="16">
        <f>MIN(MOD(180-ABS(ABS($DA$1-RecData[Yaw Angle (°)])-180),360),MOD(180-ABS(ABS($DB$1-RecData[Yaw Angle (°)])-180),360))</f>
        <v>31.470401286277252</v>
      </c>
      <c r="DB1182" s="2" t="str">
        <f>IF($DP$2="None","None",IF(RecData[[#This Row],[Relative Wind Direction]]&lt;=45,"DW",IF(RecData[[#This Row],[Relative Wind Direction]]&lt;=135,"CW","UW")))</f>
        <v>DW</v>
      </c>
      <c r="DC1182" s="61">
        <f>IF($CL1182-$CL1179&gt;1/24,#REF!,IF(SUM($CQ1179:$CQ1182)&gt;$DS$1,$DS$5,DC1183-1))</f>
        <v>-7</v>
      </c>
      <c r="DD1182" s="61">
        <f>IF($CL1183-$CL1182&gt;1/24,#REF!,IF(SUM($CQ1179:$CQ1182)&gt;$DS$1,$DS$6,DD1181-1))</f>
        <v>-4</v>
      </c>
      <c r="DE1182" s="18" t="b">
        <v>0</v>
      </c>
      <c r="DF1182" s="2" t="b">
        <f>IF(OR(RecData[[#This Row],[WSpd_Avg '[m/s']]]-RecData[[#This Row],[Wind Speed min]]&gt;=$DF$3,RecData[[#This Row],[Wind Speed max]]-RecData[[#This Row],[WSpd_Avg '[m/s']]]&gt;=$DF$2),TRUE,FALSE)</f>
        <v>0</v>
      </c>
      <c r="DG1182" s="2" t="b">
        <f>RecData[[#This Row],[Temperature '[°C']]]&lt;=-20</f>
        <v>0</v>
      </c>
      <c r="DH1182" s="18" t="b">
        <f>NOT(OR(MOD(RecData[[#This Row],[TIMESTAMP]],1)&gt;0.91632,MOD(RecData[[#This Row],[TIMESTAMP]],1)&lt;0.208681))</f>
        <v>0</v>
      </c>
      <c r="DI1182" s="18" t="b">
        <f>RecData[[#This Row],[Overall (dBA)]]-RecData[[#This Row],[L90]]&gt;=$DS$4</f>
        <v>0</v>
      </c>
      <c r="DJ1182" s="18" t="b">
        <f>RecData[[#This Row],[Overall (dBA)]]&gt;$DS$2</f>
        <v>0</v>
      </c>
      <c r="DK1182" s="18" t="b">
        <f>RecData[[#This Row],[Overall (dBA)]]&lt;$DS$3</f>
        <v>0</v>
      </c>
      <c r="DL11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2" s="2">
        <f>IF(AND(RecData[[#This Row],[Turbines ON/OFF]] = "OFF", NOT(OR(RecData[[#This Row],[Junk?]]="YES",RecData[[#This Row],[Gust?]],RecData[[#This Row],[Rain?]:[Min SPL Threshold?]]))),1,0)</f>
        <v>0</v>
      </c>
      <c r="DN1182" s="16">
        <f>RecData[[#This Row],[dBA Sum]]</f>
        <v>41.236332484409061</v>
      </c>
      <c r="DO1182" s="16">
        <f>RecData[[#This Row],[LAF90.0]]</f>
        <v>40</v>
      </c>
      <c r="DP1182" s="55">
        <f>IF(AND(RecData[[#This Row],[Useable TON Data?]],RecData[[#This Row],[Turbines ON/OFF]]="ON"),RecData[[#This Row],[dBA Sum]],"")</f>
        <v>41.236332484409061</v>
      </c>
      <c r="DQ1182" s="55" t="str">
        <f>IF(AND(RecData[[#This Row],[Useable Background Data?]],RecData[[#This Row],[Turbines ON/OFF]]="OFF"),RecData[[#This Row],[dBA Sum]],"")</f>
        <v/>
      </c>
      <c r="DR1182" s="3">
        <f>IF(OR(RecData[[#This Row],[Useable TON Data?]],RecData[[#This Row],[Useable Background Data?]]),ROUND(RecData[[#This Row],[WSpd_Avg '[m/s']]],0),"")</f>
        <v>1</v>
      </c>
      <c r="DS1182" s="85">
        <f>(0.00002)^2*(10^(RecData[[#This Row],[Overall (dBA)]]/10))</f>
        <v>5.3173254181002798E-6</v>
      </c>
    </row>
    <row r="1183" spans="1:123" ht="15" x14ac:dyDescent="0.25">
      <c r="A1183" s="3" t="s">
        <v>249</v>
      </c>
      <c r="B1183" s="12">
        <v>43276.039583333331</v>
      </c>
      <c r="C1183" s="3"/>
      <c r="D1183" s="3">
        <v>40.799999999999997</v>
      </c>
      <c r="E1183" s="3"/>
      <c r="F1183" s="3"/>
      <c r="G1183" s="3"/>
      <c r="H1183" s="3"/>
      <c r="I1183" s="3"/>
      <c r="J1183" s="3"/>
      <c r="K1183" s="3">
        <v>39.299999999999997</v>
      </c>
      <c r="L1183" s="3"/>
      <c r="M1183" s="3"/>
      <c r="N1183" s="3">
        <v>148.6</v>
      </c>
      <c r="O1183" s="3"/>
      <c r="P1183" s="3"/>
      <c r="Q1183" s="3">
        <v>0.23</v>
      </c>
      <c r="R1183" s="3">
        <v>0</v>
      </c>
      <c r="S1183" s="3">
        <v>0.9</v>
      </c>
      <c r="T1183" s="3">
        <v>11</v>
      </c>
      <c r="U1183" s="3">
        <v>60.2</v>
      </c>
      <c r="V1183" s="3">
        <v>977.9</v>
      </c>
      <c r="W1183" s="3">
        <v>0</v>
      </c>
      <c r="X1183" s="3">
        <v>47.1</v>
      </c>
      <c r="Y1183" s="3">
        <v>44.7</v>
      </c>
      <c r="Z1183" s="3">
        <v>44.8</v>
      </c>
      <c r="AA1183" s="3">
        <v>42</v>
      </c>
      <c r="AB1183" s="3">
        <v>37.5</v>
      </c>
      <c r="AC1183" s="3">
        <v>34.5</v>
      </c>
      <c r="AD1183" s="3">
        <v>38.799999999999997</v>
      </c>
      <c r="AE1183" s="3">
        <v>41.2</v>
      </c>
      <c r="AF1183" s="3">
        <v>47</v>
      </c>
      <c r="AG1183" s="3">
        <v>41.3</v>
      </c>
      <c r="AH1183" s="3">
        <v>39.1</v>
      </c>
      <c r="AI1183" s="3">
        <v>40.200000000000003</v>
      </c>
      <c r="AJ1183" s="3">
        <v>39.200000000000003</v>
      </c>
      <c r="AK1183" s="3">
        <v>36.700000000000003</v>
      </c>
      <c r="AL1183" s="3">
        <v>34.6</v>
      </c>
      <c r="AM1183" s="3">
        <v>33.1</v>
      </c>
      <c r="AN1183" s="3">
        <v>30.5</v>
      </c>
      <c r="AO1183" s="3">
        <v>26.1</v>
      </c>
      <c r="AP1183" s="3">
        <v>24.1</v>
      </c>
      <c r="AQ1183" s="3">
        <v>21.1</v>
      </c>
      <c r="AR1183" s="3">
        <v>16.3</v>
      </c>
      <c r="AS1183" s="3">
        <v>11.2</v>
      </c>
      <c r="AT1183" s="3">
        <v>9</v>
      </c>
      <c r="AU1183" s="3">
        <v>7.6</v>
      </c>
      <c r="AV1183" s="3">
        <v>8.1999999999999993</v>
      </c>
      <c r="AW1183" s="3">
        <v>8.6</v>
      </c>
      <c r="AX1183" s="3">
        <v>8.9</v>
      </c>
      <c r="AY1183" s="3">
        <v>9.1</v>
      </c>
      <c r="AZ1183" s="3">
        <v>0</v>
      </c>
      <c r="BA1183" s="3">
        <v>0</v>
      </c>
      <c r="BB1183" s="3">
        <v>0</v>
      </c>
      <c r="BC1183" s="3">
        <v>40.828808774606685</v>
      </c>
      <c r="BD1183" s="3">
        <v>47.071191225393321</v>
      </c>
      <c r="BE1183" s="3">
        <v>44.671191225393315</v>
      </c>
      <c r="BF1183" s="3">
        <v>43.5311912253933</v>
      </c>
      <c r="BG1183" s="3">
        <v>41.057857892059971</v>
      </c>
      <c r="BH1183" s="3">
        <v>36.697857892059986</v>
      </c>
      <c r="BI1183" s="3">
        <v>34.111191225393313</v>
      </c>
      <c r="BJ1183" s="3">
        <v>39.204524558726646</v>
      </c>
      <c r="BK1183" s="3">
        <v>41.477857892059987</v>
      </c>
      <c r="BL1183" s="3">
        <v>46.851191225393322</v>
      </c>
      <c r="BM1183" s="3">
        <v>41.284524558726645</v>
      </c>
      <c r="BN1183" s="3">
        <v>39.367857892059973</v>
      </c>
      <c r="BO1183" s="3">
        <v>39.834524558726642</v>
      </c>
      <c r="BP1183" s="3">
        <v>38.55119122539331</v>
      </c>
      <c r="BQ1183" s="3">
        <v>36.467857892059968</v>
      </c>
      <c r="BR1183" s="3">
        <v>34.694524558726656</v>
      </c>
      <c r="BS1183" s="3">
        <v>32.997857892059983</v>
      </c>
      <c r="BT1183" s="3">
        <v>30.594524558726647</v>
      </c>
      <c r="BU1183" s="3">
        <v>26.161191225393324</v>
      </c>
      <c r="BV1183" s="3">
        <v>23.877857892059978</v>
      </c>
      <c r="BW1183" s="3">
        <v>21.411191225393317</v>
      </c>
      <c r="BX1183" s="3">
        <v>16.531191225393314</v>
      </c>
      <c r="BY1183" s="3">
        <v>11.251191225393313</v>
      </c>
      <c r="BZ1183" s="3">
        <v>9.181191225393313</v>
      </c>
      <c r="CA1183" s="3">
        <v>7.8811912253933016</v>
      </c>
      <c r="CB1183" s="3">
        <v>7.9178578920599776</v>
      </c>
      <c r="CC1183" s="3">
        <v>8.5311912253933144</v>
      </c>
      <c r="CD1183" s="3">
        <v>8.1378578920599836</v>
      </c>
      <c r="CE1183" s="3">
        <v>8.5311912253933144</v>
      </c>
      <c r="CF1183" s="3">
        <v>-0.95547544127335726</v>
      </c>
      <c r="CG1183" s="3">
        <v>-1.4888087746066887</v>
      </c>
      <c r="CH1183" s="3">
        <v>-2.5654754412733567</v>
      </c>
      <c r="CI1183" s="13">
        <f>[1]!dbasum(RecData[[#This Row],[20]:[2000]],RecData[[#Headers],[20]:[2000]])</f>
        <v>40.657417131657205</v>
      </c>
      <c r="CJ1183" s="14">
        <v>10778</v>
      </c>
      <c r="CK1183" s="15" t="s">
        <v>249</v>
      </c>
      <c r="CL1183" s="15">
        <f>RecData[[#This Row],[Start Time]]</f>
        <v>43276.039583333331</v>
      </c>
      <c r="CM1183" s="16">
        <f>RecData[[#This Row],[Wind Speed avg]]</f>
        <v>0.23</v>
      </c>
      <c r="CN1183" s="16">
        <f>RecData[[#This Row],[Wind Dir. avg]]</f>
        <v>148.6</v>
      </c>
      <c r="CO1183" s="16">
        <f>RecData[[#This Row],[Amb. Humidity]]</f>
        <v>60.2</v>
      </c>
      <c r="CP1183" s="16">
        <f>RecData[[#This Row],[Amb. Temperature]]</f>
        <v>11</v>
      </c>
      <c r="CQ1183" s="17">
        <f>RecData[[#This Row],[Amb. Rain Gauge]]</f>
        <v>0</v>
      </c>
      <c r="CR1183" s="4" t="s">
        <v>1</v>
      </c>
      <c r="CS1183" s="4" t="s">
        <v>49</v>
      </c>
      <c r="CT1183" s="70">
        <v>1413.64245605468</v>
      </c>
      <c r="CU1183" s="70">
        <v>39.000328063964801</v>
      </c>
      <c r="CV1183" s="70">
        <v>9.7899284362792898</v>
      </c>
      <c r="CW1183" s="70">
        <v>15.136502265930099</v>
      </c>
      <c r="CX1183" s="4"/>
      <c r="CY1183" s="69"/>
      <c r="CZ1183" s="2" t="b">
        <f>IF($DP$1="YES",IF(RecData[[#This Row],[Power (kW)]]&gt;=$CR$3, TRUE,FALSE),TRUE)</f>
        <v>1</v>
      </c>
      <c r="DA1183" s="16">
        <f>MIN(MOD(180-ABS(ABS($DA$1-RecData[Yaw Angle (°)])-180),360),MOD(180-ABS(ABS($DB$1-RecData[Yaw Angle (°)])-180),360))</f>
        <v>31.470401286277252</v>
      </c>
      <c r="DB1183" s="2" t="str">
        <f>IF($DP$2="None","None",IF(RecData[[#This Row],[Relative Wind Direction]]&lt;=45,"DW",IF(RecData[[#This Row],[Relative Wind Direction]]&lt;=135,"CW","UW")))</f>
        <v>DW</v>
      </c>
      <c r="DC1183" s="61">
        <f>IF($CL1183-$CL1179&gt;1/24,#REF!,IF(SUM($CQ1179:$CQ1183)&gt;$DS$1,$DS$5,DC1184-1))</f>
        <v>-6</v>
      </c>
      <c r="DD1183" s="61">
        <f>IF($CL1184-$CL1183&gt;1/24,#REF!,IF(SUM($CQ1179:$CQ1183)&gt;$DS$1,$DS$6,DD1182-1))</f>
        <v>-5</v>
      </c>
      <c r="DE1183" s="18" t="b">
        <v>0</v>
      </c>
      <c r="DF1183" s="2" t="b">
        <f>IF(OR(RecData[[#This Row],[WSpd_Avg '[m/s']]]-RecData[[#This Row],[Wind Speed min]]&gt;=$DF$3,RecData[[#This Row],[Wind Speed max]]-RecData[[#This Row],[WSpd_Avg '[m/s']]]&gt;=$DF$2),TRUE,FALSE)</f>
        <v>0</v>
      </c>
      <c r="DG1183" s="2" t="b">
        <f>RecData[[#This Row],[Temperature '[°C']]]&lt;=-20</f>
        <v>0</v>
      </c>
      <c r="DH1183" s="18" t="b">
        <f>NOT(OR(MOD(RecData[[#This Row],[TIMESTAMP]],1)&gt;0.91632,MOD(RecData[[#This Row],[TIMESTAMP]],1)&lt;0.208681))</f>
        <v>0</v>
      </c>
      <c r="DI1183" s="18" t="b">
        <f>RecData[[#This Row],[Overall (dBA)]]-RecData[[#This Row],[L90]]&gt;=$DS$4</f>
        <v>0</v>
      </c>
      <c r="DJ1183" s="18" t="b">
        <f>RecData[[#This Row],[Overall (dBA)]]&gt;$DS$2</f>
        <v>0</v>
      </c>
      <c r="DK1183" s="18" t="b">
        <f>RecData[[#This Row],[Overall (dBA)]]&lt;$DS$3</f>
        <v>0</v>
      </c>
      <c r="DL11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3" s="2">
        <f>IF(AND(RecData[[#This Row],[Turbines ON/OFF]] = "OFF", NOT(OR(RecData[[#This Row],[Junk?]]="YES",RecData[[#This Row],[Gust?]],RecData[[#This Row],[Rain?]:[Min SPL Threshold?]]))),1,0)</f>
        <v>0</v>
      </c>
      <c r="DN1183" s="16">
        <f>RecData[[#This Row],[dBA Sum]]</f>
        <v>40.657417131657205</v>
      </c>
      <c r="DO1183" s="16">
        <f>RecData[[#This Row],[LAF90.0]]</f>
        <v>39.299999999999997</v>
      </c>
      <c r="DP1183" s="55">
        <f>IF(AND(RecData[[#This Row],[Useable TON Data?]],RecData[[#This Row],[Turbines ON/OFF]]="ON"),RecData[[#This Row],[dBA Sum]],"")</f>
        <v>40.657417131657205</v>
      </c>
      <c r="DQ1183" s="55" t="str">
        <f>IF(AND(RecData[[#This Row],[Useable Background Data?]],RecData[[#This Row],[Turbines ON/OFF]]="OFF"),RecData[[#This Row],[dBA Sum]],"")</f>
        <v/>
      </c>
      <c r="DR1183" s="3">
        <f>IF(OR(RecData[[#This Row],[Useable TON Data?]],RecData[[#This Row],[Useable Background Data?]]),ROUND(RecData[[#This Row],[WSpd_Avg '[m/s']]],0),"")</f>
        <v>0</v>
      </c>
      <c r="DS1183" s="85">
        <f>(0.00002)^2*(10^(RecData[[#This Row],[Overall (dBA)]]/10))</f>
        <v>4.6537355903294193E-6</v>
      </c>
    </row>
    <row r="1184" spans="1:123" ht="15" x14ac:dyDescent="0.25">
      <c r="A1184" s="3" t="s">
        <v>249</v>
      </c>
      <c r="B1184" s="12">
        <v>43276.040277777778</v>
      </c>
      <c r="C1184" s="3"/>
      <c r="D1184" s="3">
        <v>39.700000000000003</v>
      </c>
      <c r="E1184" s="3"/>
      <c r="F1184" s="3"/>
      <c r="G1184" s="3"/>
      <c r="H1184" s="3"/>
      <c r="I1184" s="3"/>
      <c r="J1184" s="3"/>
      <c r="K1184" s="3">
        <v>38.299999999999997</v>
      </c>
      <c r="L1184" s="3"/>
      <c r="M1184" s="3"/>
      <c r="N1184" s="3">
        <v>118.2</v>
      </c>
      <c r="O1184" s="3"/>
      <c r="P1184" s="3"/>
      <c r="Q1184" s="3">
        <v>0.56999999999999995</v>
      </c>
      <c r="R1184" s="3">
        <v>0.3</v>
      </c>
      <c r="S1184" s="3">
        <v>1</v>
      </c>
      <c r="T1184" s="3">
        <v>10.8</v>
      </c>
      <c r="U1184" s="3">
        <v>59.9</v>
      </c>
      <c r="V1184" s="3">
        <v>977.9</v>
      </c>
      <c r="W1184" s="3">
        <v>0</v>
      </c>
      <c r="X1184" s="3">
        <v>46.5</v>
      </c>
      <c r="Y1184" s="3">
        <v>45.5</v>
      </c>
      <c r="Z1184" s="3">
        <v>44.5</v>
      </c>
      <c r="AA1184" s="3">
        <v>42.1</v>
      </c>
      <c r="AB1184" s="3">
        <v>37.5</v>
      </c>
      <c r="AC1184" s="3">
        <v>33.9</v>
      </c>
      <c r="AD1184" s="3">
        <v>38.6</v>
      </c>
      <c r="AE1184" s="3">
        <v>40.4</v>
      </c>
      <c r="AF1184" s="3">
        <v>45.6</v>
      </c>
      <c r="AG1184" s="3">
        <v>39.9</v>
      </c>
      <c r="AH1184" s="3">
        <v>38.6</v>
      </c>
      <c r="AI1184" s="3">
        <v>39.5</v>
      </c>
      <c r="AJ1184" s="3">
        <v>37.700000000000003</v>
      </c>
      <c r="AK1184" s="3">
        <v>35.6</v>
      </c>
      <c r="AL1184" s="3">
        <v>33.299999999999997</v>
      </c>
      <c r="AM1184" s="3">
        <v>31.9</v>
      </c>
      <c r="AN1184" s="3">
        <v>29.4</v>
      </c>
      <c r="AO1184" s="3">
        <v>25.2</v>
      </c>
      <c r="AP1184" s="3">
        <v>23</v>
      </c>
      <c r="AQ1184" s="3">
        <v>20.100000000000001</v>
      </c>
      <c r="AR1184" s="3">
        <v>15.4</v>
      </c>
      <c r="AS1184" s="3">
        <v>11.7</v>
      </c>
      <c r="AT1184" s="3">
        <v>13.5</v>
      </c>
      <c r="AU1184" s="3">
        <v>7.7</v>
      </c>
      <c r="AV1184" s="3">
        <v>8.3000000000000007</v>
      </c>
      <c r="AW1184" s="3">
        <v>8.8000000000000007</v>
      </c>
      <c r="AX1184" s="3">
        <v>8.9</v>
      </c>
      <c r="AY1184" s="3">
        <v>9.1</v>
      </c>
      <c r="AZ1184" s="3">
        <v>0</v>
      </c>
      <c r="BA1184" s="3">
        <v>0</v>
      </c>
      <c r="BB1184" s="3">
        <v>0</v>
      </c>
      <c r="BC1184" s="3">
        <v>39.714918004802144</v>
      </c>
      <c r="BD1184" s="3">
        <v>46.485081995197859</v>
      </c>
      <c r="BE1184" s="3">
        <v>45.485081995197859</v>
      </c>
      <c r="BF1184" s="3">
        <v>43.245081995197864</v>
      </c>
      <c r="BG1184" s="3">
        <v>41.171748661864527</v>
      </c>
      <c r="BH1184" s="3">
        <v>36.711748661864533</v>
      </c>
      <c r="BI1184" s="3">
        <v>33.525081995197866</v>
      </c>
      <c r="BJ1184" s="3">
        <v>39.018415328531191</v>
      </c>
      <c r="BK1184" s="3">
        <v>40.691748661864523</v>
      </c>
      <c r="BL1184" s="3">
        <v>45.465081995197863</v>
      </c>
      <c r="BM1184" s="3">
        <v>39.8984153285312</v>
      </c>
      <c r="BN1184" s="3">
        <v>38.88174866186452</v>
      </c>
      <c r="BO1184" s="3">
        <v>39.1484153285312</v>
      </c>
      <c r="BP1184" s="3">
        <v>37.065081995197858</v>
      </c>
      <c r="BQ1184" s="3">
        <v>35.38174866186452</v>
      </c>
      <c r="BR1184" s="3">
        <v>33.408415328531191</v>
      </c>
      <c r="BS1184" s="3">
        <v>31.811748661864527</v>
      </c>
      <c r="BT1184" s="3">
        <v>29.508415328531186</v>
      </c>
      <c r="BU1184" s="3">
        <v>25.275081995197866</v>
      </c>
      <c r="BV1184" s="3">
        <v>22.791748661864531</v>
      </c>
      <c r="BW1184" s="3">
        <v>20.425081995197864</v>
      </c>
      <c r="BX1184" s="3">
        <v>15.645081995197863</v>
      </c>
      <c r="BY1184" s="3">
        <v>11.76508199519786</v>
      </c>
      <c r="BZ1184" s="3">
        <v>13.69508199519786</v>
      </c>
      <c r="CA1184" s="3">
        <v>7.9950819951978502</v>
      </c>
      <c r="CB1184" s="3">
        <v>8.0317486618645262</v>
      </c>
      <c r="CC1184" s="3">
        <v>8.7450819951978573</v>
      </c>
      <c r="CD1184" s="3">
        <v>8.1517486618645307</v>
      </c>
      <c r="CE1184" s="3">
        <v>8.5450819951978616</v>
      </c>
      <c r="CF1184" s="3">
        <v>-0.94158467146881009</v>
      </c>
      <c r="CG1184" s="3">
        <v>-1.4749180048021415</v>
      </c>
      <c r="CH1184" s="3">
        <v>-2.5515846714688095</v>
      </c>
      <c r="CI1184" s="13">
        <f>[1]!dbasum(RecData[[#This Row],[20]:[2000]],RecData[[#Headers],[20]:[2000]])</f>
        <v>39.547651395863952</v>
      </c>
      <c r="CJ1184" s="14">
        <v>10779</v>
      </c>
      <c r="CK1184" s="15" t="s">
        <v>249</v>
      </c>
      <c r="CL1184" s="15">
        <f>RecData[[#This Row],[Start Time]]</f>
        <v>43276.040277777778</v>
      </c>
      <c r="CM1184" s="16">
        <f>RecData[[#This Row],[Wind Speed avg]]</f>
        <v>0.56999999999999995</v>
      </c>
      <c r="CN1184" s="16">
        <f>RecData[[#This Row],[Wind Dir. avg]]</f>
        <v>118.2</v>
      </c>
      <c r="CO1184" s="16">
        <f>RecData[[#This Row],[Amb. Humidity]]</f>
        <v>59.9</v>
      </c>
      <c r="CP1184" s="16">
        <f>RecData[[#This Row],[Amb. Temperature]]</f>
        <v>10.8</v>
      </c>
      <c r="CQ1184" s="17">
        <f>RecData[[#This Row],[Amb. Rain Gauge]]</f>
        <v>0</v>
      </c>
      <c r="CR1184" s="4" t="s">
        <v>1</v>
      </c>
      <c r="CS1184" s="4" t="s">
        <v>49</v>
      </c>
      <c r="CT1184" s="70">
        <v>1413.64245605468</v>
      </c>
      <c r="CU1184" s="70">
        <v>39.000328063964801</v>
      </c>
      <c r="CV1184" s="70">
        <v>9.7899284362792898</v>
      </c>
      <c r="CW1184" s="70">
        <v>15.136502265930099</v>
      </c>
      <c r="CX1184" s="4"/>
      <c r="CY1184" s="69"/>
      <c r="CZ1184" s="2" t="b">
        <f>IF($DP$1="YES",IF(RecData[[#This Row],[Power (kW)]]&gt;=$CR$3, TRUE,FALSE),TRUE)</f>
        <v>1</v>
      </c>
      <c r="DA1184" s="16">
        <f>MIN(MOD(180-ABS(ABS($DA$1-RecData[Yaw Angle (°)])-180),360),MOD(180-ABS(ABS($DB$1-RecData[Yaw Angle (°)])-180),360))</f>
        <v>31.470401286277252</v>
      </c>
      <c r="DB1184" s="2" t="str">
        <f>IF($DP$2="None","None",IF(RecData[[#This Row],[Relative Wind Direction]]&lt;=45,"DW",IF(RecData[[#This Row],[Relative Wind Direction]]&lt;=135,"CW","UW")))</f>
        <v>DW</v>
      </c>
      <c r="DC1184" s="61">
        <f>IF($CL1184-$CL1180&gt;1/24,#REF!,IF(SUM($CQ1180:$CQ1184)&gt;$DS$1,$DS$5,DC1185-1))</f>
        <v>-5</v>
      </c>
      <c r="DD1184" s="61">
        <f>IF($CL1185-$CL1184&gt;1/24,#REF!,IF(SUM($CQ1180:$CQ1184)&gt;$DS$1,$DS$6,DD1183-1))</f>
        <v>-6</v>
      </c>
      <c r="DE1184" s="18" t="b">
        <v>0</v>
      </c>
      <c r="DF1184" s="2" t="b">
        <f>IF(OR(RecData[[#This Row],[WSpd_Avg '[m/s']]]-RecData[[#This Row],[Wind Speed min]]&gt;=$DF$3,RecData[[#This Row],[Wind Speed max]]-RecData[[#This Row],[WSpd_Avg '[m/s']]]&gt;=$DF$2),TRUE,FALSE)</f>
        <v>0</v>
      </c>
      <c r="DG1184" s="2" t="b">
        <f>RecData[[#This Row],[Temperature '[°C']]]&lt;=-20</f>
        <v>0</v>
      </c>
      <c r="DH1184" s="18" t="b">
        <f>NOT(OR(MOD(RecData[[#This Row],[TIMESTAMP]],1)&gt;0.91632,MOD(RecData[[#This Row],[TIMESTAMP]],1)&lt;0.208681))</f>
        <v>0</v>
      </c>
      <c r="DI1184" s="18" t="b">
        <f>RecData[[#This Row],[Overall (dBA)]]-RecData[[#This Row],[L90]]&gt;=$DS$4</f>
        <v>0</v>
      </c>
      <c r="DJ1184" s="18" t="b">
        <f>RecData[[#This Row],[Overall (dBA)]]&gt;$DS$2</f>
        <v>0</v>
      </c>
      <c r="DK1184" s="18" t="b">
        <f>RecData[[#This Row],[Overall (dBA)]]&lt;$DS$3</f>
        <v>0</v>
      </c>
      <c r="DL11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4" s="2">
        <f>IF(AND(RecData[[#This Row],[Turbines ON/OFF]] = "OFF", NOT(OR(RecData[[#This Row],[Junk?]]="YES",RecData[[#This Row],[Gust?]],RecData[[#This Row],[Rain?]:[Min SPL Threshold?]]))),1,0)</f>
        <v>0</v>
      </c>
      <c r="DN1184" s="16">
        <f>RecData[[#This Row],[dBA Sum]]</f>
        <v>39.547651395863952</v>
      </c>
      <c r="DO1184" s="16">
        <f>RecData[[#This Row],[LAF90.0]]</f>
        <v>38.299999999999997</v>
      </c>
      <c r="DP1184" s="55">
        <f>IF(AND(RecData[[#This Row],[Useable TON Data?]],RecData[[#This Row],[Turbines ON/OFF]]="ON"),RecData[[#This Row],[dBA Sum]],"")</f>
        <v>39.547651395863952</v>
      </c>
      <c r="DQ1184" s="55" t="str">
        <f>IF(AND(RecData[[#This Row],[Useable Background Data?]],RecData[[#This Row],[Turbines ON/OFF]]="OFF"),RecData[[#This Row],[dBA Sum]],"")</f>
        <v/>
      </c>
      <c r="DR1184" s="3">
        <f>IF(OR(RecData[[#This Row],[Useable TON Data?]],RecData[[#This Row],[Useable Background Data?]]),ROUND(RecData[[#This Row],[WSpd_Avg '[m/s']]],0),"")</f>
        <v>1</v>
      </c>
      <c r="DS1184" s="85">
        <f>(0.00002)^2*(10^(RecData[[#This Row],[Overall (dBA)]]/10))</f>
        <v>3.6043348491452937E-6</v>
      </c>
    </row>
    <row r="1185" spans="1:123" ht="15" x14ac:dyDescent="0.25">
      <c r="A1185" s="3" t="s">
        <v>249</v>
      </c>
      <c r="B1185" s="12">
        <v>43276.040972222225</v>
      </c>
      <c r="C1185" s="3"/>
      <c r="D1185" s="3">
        <v>40.1</v>
      </c>
      <c r="E1185" s="3"/>
      <c r="F1185" s="3"/>
      <c r="G1185" s="3"/>
      <c r="H1185" s="3"/>
      <c r="I1185" s="3"/>
      <c r="J1185" s="3"/>
      <c r="K1185" s="3">
        <v>39</v>
      </c>
      <c r="L1185" s="3"/>
      <c r="M1185" s="3"/>
      <c r="N1185" s="3">
        <v>135.1</v>
      </c>
      <c r="O1185" s="3"/>
      <c r="P1185" s="3"/>
      <c r="Q1185" s="3">
        <v>0.21</v>
      </c>
      <c r="R1185" s="3">
        <v>0</v>
      </c>
      <c r="S1185" s="3">
        <v>0.5</v>
      </c>
      <c r="T1185" s="3">
        <v>10.7</v>
      </c>
      <c r="U1185" s="3">
        <v>60.4</v>
      </c>
      <c r="V1185" s="3">
        <v>977.9</v>
      </c>
      <c r="W1185" s="3">
        <v>0</v>
      </c>
      <c r="X1185" s="3">
        <v>46.4</v>
      </c>
      <c r="Y1185" s="3">
        <v>44.1</v>
      </c>
      <c r="Z1185" s="3">
        <v>43.9</v>
      </c>
      <c r="AA1185" s="3">
        <v>41.1</v>
      </c>
      <c r="AB1185" s="3">
        <v>36.4</v>
      </c>
      <c r="AC1185" s="3">
        <v>33.9</v>
      </c>
      <c r="AD1185" s="3">
        <v>38.799999999999997</v>
      </c>
      <c r="AE1185" s="3">
        <v>41</v>
      </c>
      <c r="AF1185" s="3">
        <v>47</v>
      </c>
      <c r="AG1185" s="3">
        <v>39.799999999999997</v>
      </c>
      <c r="AH1185" s="3">
        <v>38.6</v>
      </c>
      <c r="AI1185" s="3">
        <v>39.6</v>
      </c>
      <c r="AJ1185" s="3">
        <v>38</v>
      </c>
      <c r="AK1185" s="3">
        <v>36</v>
      </c>
      <c r="AL1185" s="3">
        <v>33.799999999999997</v>
      </c>
      <c r="AM1185" s="3">
        <v>32.200000000000003</v>
      </c>
      <c r="AN1185" s="3">
        <v>29.7</v>
      </c>
      <c r="AO1185" s="3">
        <v>25.4</v>
      </c>
      <c r="AP1185" s="3">
        <v>23.2</v>
      </c>
      <c r="AQ1185" s="3">
        <v>20.2</v>
      </c>
      <c r="AR1185" s="3">
        <v>15.3</v>
      </c>
      <c r="AS1185" s="3">
        <v>10.5</v>
      </c>
      <c r="AT1185" s="3">
        <v>9.3000000000000007</v>
      </c>
      <c r="AU1185" s="3">
        <v>7.4</v>
      </c>
      <c r="AV1185" s="3">
        <v>8.1</v>
      </c>
      <c r="AW1185" s="3">
        <v>8.6</v>
      </c>
      <c r="AX1185" s="3">
        <v>8.8000000000000007</v>
      </c>
      <c r="AY1185" s="3">
        <v>9</v>
      </c>
      <c r="AZ1185" s="3">
        <v>0</v>
      </c>
      <c r="BA1185" s="3">
        <v>0</v>
      </c>
      <c r="BB1185" s="3">
        <v>0</v>
      </c>
      <c r="BC1185" s="3">
        <v>40.082019597075373</v>
      </c>
      <c r="BD1185" s="3">
        <v>46.417980402924627</v>
      </c>
      <c r="BE1185" s="3">
        <v>44.11798040292463</v>
      </c>
      <c r="BF1185" s="3">
        <v>42.677980402924618</v>
      </c>
      <c r="BG1185" s="3">
        <v>40.204647069591289</v>
      </c>
      <c r="BH1185" s="3">
        <v>35.644647069591286</v>
      </c>
      <c r="BI1185" s="3">
        <v>33.557980402924628</v>
      </c>
      <c r="BJ1185" s="3">
        <v>39.251313736257956</v>
      </c>
      <c r="BK1185" s="3">
        <v>41.324647069591293</v>
      </c>
      <c r="BL1185" s="3">
        <v>46.897980402924631</v>
      </c>
      <c r="BM1185" s="3">
        <v>39.831313736257954</v>
      </c>
      <c r="BN1185" s="3">
        <v>38.914647069591297</v>
      </c>
      <c r="BO1185" s="3">
        <v>39.281313736257971</v>
      </c>
      <c r="BP1185" s="3">
        <v>37.397980402924631</v>
      </c>
      <c r="BQ1185" s="3">
        <v>35.814647069591288</v>
      </c>
      <c r="BR1185" s="3">
        <v>33.941313736257968</v>
      </c>
      <c r="BS1185" s="3">
        <v>32.144647069591301</v>
      </c>
      <c r="BT1185" s="3">
        <v>29.841313736257959</v>
      </c>
      <c r="BU1185" s="3">
        <v>25.50798040292463</v>
      </c>
      <c r="BV1185" s="3">
        <v>23.024647069591296</v>
      </c>
      <c r="BW1185" s="3">
        <v>20.557980402924628</v>
      </c>
      <c r="BX1185" s="3">
        <v>15.577980402924638</v>
      </c>
      <c r="BY1185" s="3">
        <v>10.597980402924627</v>
      </c>
      <c r="BZ1185" s="3">
        <v>9.5279804029246336</v>
      </c>
      <c r="CA1185" s="3">
        <v>7.7279804029246222</v>
      </c>
      <c r="CB1185" s="3">
        <v>7.8646470695912924</v>
      </c>
      <c r="CC1185" s="3">
        <v>8.5779804029246236</v>
      </c>
      <c r="CD1185" s="3">
        <v>8.0846470695912984</v>
      </c>
      <c r="CE1185" s="3">
        <v>8.4779804029246293</v>
      </c>
      <c r="CF1185" s="3">
        <v>-0.90868626374204098</v>
      </c>
      <c r="CG1185" s="3">
        <v>-1.4420195970753724</v>
      </c>
      <c r="CH1185" s="3">
        <v>-2.5186862637420404</v>
      </c>
      <c r="CI1185" s="13">
        <f>[1]!dbasum(RecData[[#This Row],[20]:[2000]],RecData[[#Headers],[20]:[2000]])</f>
        <v>39.961037770439191</v>
      </c>
      <c r="CJ1185" s="14">
        <v>10780</v>
      </c>
      <c r="CK1185" s="15" t="s">
        <v>249</v>
      </c>
      <c r="CL1185" s="15">
        <f>RecData[[#This Row],[Start Time]]</f>
        <v>43276.040972222225</v>
      </c>
      <c r="CM1185" s="16">
        <f>RecData[[#This Row],[Wind Speed avg]]</f>
        <v>0.21</v>
      </c>
      <c r="CN1185" s="16">
        <f>RecData[[#This Row],[Wind Dir. avg]]</f>
        <v>135.1</v>
      </c>
      <c r="CO1185" s="16">
        <f>RecData[[#This Row],[Amb. Humidity]]</f>
        <v>60.4</v>
      </c>
      <c r="CP1185" s="16">
        <f>RecData[[#This Row],[Amb. Temperature]]</f>
        <v>10.7</v>
      </c>
      <c r="CQ1185" s="17">
        <f>RecData[[#This Row],[Amb. Rain Gauge]]</f>
        <v>0</v>
      </c>
      <c r="CR1185" s="4" t="s">
        <v>1</v>
      </c>
      <c r="CS1185" s="4" t="s">
        <v>49</v>
      </c>
      <c r="CT1185" s="70">
        <v>1413.64245605468</v>
      </c>
      <c r="CU1185" s="70">
        <v>39.000328063964801</v>
      </c>
      <c r="CV1185" s="70">
        <v>9.7899284362792898</v>
      </c>
      <c r="CW1185" s="70">
        <v>15.136502265930099</v>
      </c>
      <c r="CX1185" s="4"/>
      <c r="CY1185" s="69"/>
      <c r="CZ1185" s="2" t="b">
        <f>IF($DP$1="YES",IF(RecData[[#This Row],[Power (kW)]]&gt;=$CR$3, TRUE,FALSE),TRUE)</f>
        <v>1</v>
      </c>
      <c r="DA1185" s="16">
        <f>MIN(MOD(180-ABS(ABS($DA$1-RecData[Yaw Angle (°)])-180),360),MOD(180-ABS(ABS($DB$1-RecData[Yaw Angle (°)])-180),360))</f>
        <v>31.470401286277252</v>
      </c>
      <c r="DB1185" s="2" t="str">
        <f>IF($DP$2="None","None",IF(RecData[[#This Row],[Relative Wind Direction]]&lt;=45,"DW",IF(RecData[[#This Row],[Relative Wind Direction]]&lt;=135,"CW","UW")))</f>
        <v>DW</v>
      </c>
      <c r="DC1185" s="61">
        <f>IF($CL1185-$CL1181&gt;1/24,#REF!,IF(SUM($CQ1181:$CQ1185)&gt;$DS$1,$DS$5,DC1186-1))</f>
        <v>-4</v>
      </c>
      <c r="DD1185" s="61">
        <f>IF($CL1186-$CL1185&gt;1/24,#REF!,IF(SUM($CQ1181:$CQ1185)&gt;$DS$1,$DS$6,DD1184-1))</f>
        <v>-7</v>
      </c>
      <c r="DE1185" s="18" t="b">
        <v>0</v>
      </c>
      <c r="DF1185" s="2" t="b">
        <f>IF(OR(RecData[[#This Row],[WSpd_Avg '[m/s']]]-RecData[[#This Row],[Wind Speed min]]&gt;=$DF$3,RecData[[#This Row],[Wind Speed max]]-RecData[[#This Row],[WSpd_Avg '[m/s']]]&gt;=$DF$2),TRUE,FALSE)</f>
        <v>0</v>
      </c>
      <c r="DG1185" s="2" t="b">
        <f>RecData[[#This Row],[Temperature '[°C']]]&lt;=-20</f>
        <v>0</v>
      </c>
      <c r="DH1185" s="18" t="b">
        <f>NOT(OR(MOD(RecData[[#This Row],[TIMESTAMP]],1)&gt;0.91632,MOD(RecData[[#This Row],[TIMESTAMP]],1)&lt;0.208681))</f>
        <v>0</v>
      </c>
      <c r="DI1185" s="18" t="b">
        <f>RecData[[#This Row],[Overall (dBA)]]-RecData[[#This Row],[L90]]&gt;=$DS$4</f>
        <v>0</v>
      </c>
      <c r="DJ1185" s="18" t="b">
        <f>RecData[[#This Row],[Overall (dBA)]]&gt;$DS$2</f>
        <v>0</v>
      </c>
      <c r="DK1185" s="18" t="b">
        <f>RecData[[#This Row],[Overall (dBA)]]&lt;$DS$3</f>
        <v>0</v>
      </c>
      <c r="DL11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5" s="2">
        <f>IF(AND(RecData[[#This Row],[Turbines ON/OFF]] = "OFF", NOT(OR(RecData[[#This Row],[Junk?]]="YES",RecData[[#This Row],[Gust?]],RecData[[#This Row],[Rain?]:[Min SPL Threshold?]]))),1,0)</f>
        <v>0</v>
      </c>
      <c r="DN1185" s="16">
        <f>RecData[[#This Row],[dBA Sum]]</f>
        <v>39.961037770439191</v>
      </c>
      <c r="DO1185" s="16">
        <f>RecData[[#This Row],[LAF90.0]]</f>
        <v>39</v>
      </c>
      <c r="DP1185" s="55">
        <f>IF(AND(RecData[[#This Row],[Useable TON Data?]],RecData[[#This Row],[Turbines ON/OFF]]="ON"),RecData[[#This Row],[dBA Sum]],"")</f>
        <v>39.961037770439191</v>
      </c>
      <c r="DQ1185" s="55" t="str">
        <f>IF(AND(RecData[[#This Row],[Useable Background Data?]],RecData[[#This Row],[Turbines ON/OFF]]="OFF"),RecData[[#This Row],[dBA Sum]],"")</f>
        <v/>
      </c>
      <c r="DR1185" s="3">
        <f>IF(OR(RecData[[#This Row],[Useable TON Data?]],RecData[[#This Row],[Useable Background Data?]]),ROUND(RecData[[#This Row],[WSpd_Avg '[m/s']]],0),"")</f>
        <v>0</v>
      </c>
      <c r="DS1185" s="85">
        <f>(0.00002)^2*(10^(RecData[[#This Row],[Overall (dBA)]]/10))</f>
        <v>3.9642749516020073E-6</v>
      </c>
    </row>
    <row r="1186" spans="1:123" ht="15" x14ac:dyDescent="0.25">
      <c r="A1186" s="3" t="s">
        <v>249</v>
      </c>
      <c r="B1186" s="12">
        <v>43276.041666666672</v>
      </c>
      <c r="C1186" s="3"/>
      <c r="D1186" s="3">
        <v>40.1</v>
      </c>
      <c r="E1186" s="3"/>
      <c r="F1186" s="3"/>
      <c r="G1186" s="3"/>
      <c r="H1186" s="3"/>
      <c r="I1186" s="3"/>
      <c r="J1186" s="3"/>
      <c r="K1186" s="3">
        <v>39</v>
      </c>
      <c r="L1186" s="3"/>
      <c r="M1186" s="3"/>
      <c r="N1186" s="3">
        <v>92.7</v>
      </c>
      <c r="O1186" s="3"/>
      <c r="P1186" s="3"/>
      <c r="Q1186" s="3">
        <v>0.14000000000000001</v>
      </c>
      <c r="R1186" s="3">
        <v>0</v>
      </c>
      <c r="S1186" s="3">
        <v>0.3</v>
      </c>
      <c r="T1186" s="3">
        <v>10.6</v>
      </c>
      <c r="U1186" s="3">
        <v>62.2</v>
      </c>
      <c r="V1186" s="3">
        <v>977.9</v>
      </c>
      <c r="W1186" s="3">
        <v>0</v>
      </c>
      <c r="X1186" s="3">
        <v>46</v>
      </c>
      <c r="Y1186" s="3">
        <v>45</v>
      </c>
      <c r="Z1186" s="3">
        <v>44</v>
      </c>
      <c r="AA1186" s="3">
        <v>40.6</v>
      </c>
      <c r="AB1186" s="3">
        <v>36</v>
      </c>
      <c r="AC1186" s="3">
        <v>34.1</v>
      </c>
      <c r="AD1186" s="3">
        <v>38</v>
      </c>
      <c r="AE1186" s="3">
        <v>40.6</v>
      </c>
      <c r="AF1186" s="3">
        <v>46.5</v>
      </c>
      <c r="AG1186" s="3">
        <v>39.799999999999997</v>
      </c>
      <c r="AH1186" s="3">
        <v>39.299999999999997</v>
      </c>
      <c r="AI1186" s="3">
        <v>39.9</v>
      </c>
      <c r="AJ1186" s="3">
        <v>37.9</v>
      </c>
      <c r="AK1186" s="3">
        <v>36.1</v>
      </c>
      <c r="AL1186" s="3">
        <v>33.799999999999997</v>
      </c>
      <c r="AM1186" s="3">
        <v>32.4</v>
      </c>
      <c r="AN1186" s="3">
        <v>30</v>
      </c>
      <c r="AO1186" s="3">
        <v>25.2</v>
      </c>
      <c r="AP1186" s="3">
        <v>22.9</v>
      </c>
      <c r="AQ1186" s="3">
        <v>19.899999999999999</v>
      </c>
      <c r="AR1186" s="3">
        <v>15.2</v>
      </c>
      <c r="AS1186" s="3">
        <v>10.7</v>
      </c>
      <c r="AT1186" s="3">
        <v>10</v>
      </c>
      <c r="AU1186" s="3">
        <v>7.3</v>
      </c>
      <c r="AV1186" s="3">
        <v>8</v>
      </c>
      <c r="AW1186" s="3">
        <v>8.6</v>
      </c>
      <c r="AX1186" s="3">
        <v>8.8000000000000007</v>
      </c>
      <c r="AY1186" s="3">
        <v>9.1</v>
      </c>
      <c r="AZ1186" s="3">
        <v>0</v>
      </c>
      <c r="BA1186" s="3">
        <v>0</v>
      </c>
      <c r="BB1186" s="3">
        <v>0</v>
      </c>
      <c r="BC1186" s="3">
        <v>40.127503466573899</v>
      </c>
      <c r="BD1186" s="3">
        <v>45.972496533426096</v>
      </c>
      <c r="BE1186" s="3">
        <v>44.972496533426096</v>
      </c>
      <c r="BF1186" s="3">
        <v>42.732496533426101</v>
      </c>
      <c r="BG1186" s="3">
        <v>39.659163200092763</v>
      </c>
      <c r="BH1186" s="3">
        <v>35.199163200092769</v>
      </c>
      <c r="BI1186" s="3">
        <v>33.712496533426105</v>
      </c>
      <c r="BJ1186" s="3">
        <v>38.405829866759433</v>
      </c>
      <c r="BK1186" s="3">
        <v>40.879163200092762</v>
      </c>
      <c r="BL1186" s="3">
        <v>46.352496533426105</v>
      </c>
      <c r="BM1186" s="3">
        <v>39.785829866759428</v>
      </c>
      <c r="BN1186" s="3">
        <v>39.56916320009276</v>
      </c>
      <c r="BO1186" s="3">
        <v>39.535829866759428</v>
      </c>
      <c r="BP1186" s="3">
        <v>37.252496533426097</v>
      </c>
      <c r="BQ1186" s="3">
        <v>35.869163200092771</v>
      </c>
      <c r="BR1186" s="3">
        <v>33.895829866759442</v>
      </c>
      <c r="BS1186" s="3">
        <v>32.299163200092778</v>
      </c>
      <c r="BT1186" s="3">
        <v>30.095829866759431</v>
      </c>
      <c r="BU1186" s="3">
        <v>25.262496533426102</v>
      </c>
      <c r="BV1186" s="3">
        <v>22.679163200092773</v>
      </c>
      <c r="BW1186" s="3">
        <v>20.212496533426105</v>
      </c>
      <c r="BX1186" s="3">
        <v>15.432496533426104</v>
      </c>
      <c r="BY1186" s="3">
        <v>10.752496533426097</v>
      </c>
      <c r="BZ1186" s="3">
        <v>10.182496533426104</v>
      </c>
      <c r="CA1186" s="3">
        <v>7.5824965334260952</v>
      </c>
      <c r="CB1186" s="3">
        <v>7.7191632000927655</v>
      </c>
      <c r="CC1186" s="3">
        <v>8.532496533426098</v>
      </c>
      <c r="CD1186" s="3">
        <v>8.0391632000927729</v>
      </c>
      <c r="CE1186" s="3">
        <v>8.532496533426098</v>
      </c>
      <c r="CF1186" s="3">
        <v>-0.95417013324056654</v>
      </c>
      <c r="CG1186" s="3">
        <v>-1.487503466573898</v>
      </c>
      <c r="CH1186" s="3">
        <v>-2.564170133240566</v>
      </c>
      <c r="CI1186" s="13">
        <f>[1]!dbasum(RecData[[#This Row],[20]:[2000]],RecData[[#Headers],[20]:[2000]])</f>
        <v>39.963950093977473</v>
      </c>
      <c r="CJ1186" s="14">
        <v>10781</v>
      </c>
      <c r="CK1186" s="15" t="s">
        <v>249</v>
      </c>
      <c r="CL1186" s="15">
        <f>RecData[[#This Row],[Start Time]]</f>
        <v>43276.041666666672</v>
      </c>
      <c r="CM1186" s="16">
        <f>RecData[[#This Row],[Wind Speed avg]]</f>
        <v>0.14000000000000001</v>
      </c>
      <c r="CN1186" s="16">
        <f>RecData[[#This Row],[Wind Dir. avg]]</f>
        <v>92.7</v>
      </c>
      <c r="CO1186" s="16">
        <f>RecData[[#This Row],[Amb. Humidity]]</f>
        <v>62.2</v>
      </c>
      <c r="CP1186" s="16">
        <f>RecData[[#This Row],[Amb. Temperature]]</f>
        <v>10.6</v>
      </c>
      <c r="CQ1186" s="17">
        <f>RecData[[#This Row],[Amb. Rain Gauge]]</f>
        <v>0</v>
      </c>
      <c r="CR1186" s="4" t="s">
        <v>1</v>
      </c>
      <c r="CS1186" s="4" t="s">
        <v>49</v>
      </c>
      <c r="CT1186" s="70">
        <v>1413.64245605468</v>
      </c>
      <c r="CU1186" s="70">
        <v>39.000328063964801</v>
      </c>
      <c r="CV1186" s="70">
        <v>9.7899284362792898</v>
      </c>
      <c r="CW1186" s="70">
        <v>15.136502265930099</v>
      </c>
      <c r="CX1186" s="4"/>
      <c r="CY1186" s="69"/>
      <c r="CZ1186" s="2" t="b">
        <f>IF($DP$1="YES",IF(RecData[[#This Row],[Power (kW)]]&gt;=$CR$3, TRUE,FALSE),TRUE)</f>
        <v>1</v>
      </c>
      <c r="DA1186" s="16">
        <f>MIN(MOD(180-ABS(ABS($DA$1-RecData[Yaw Angle (°)])-180),360),MOD(180-ABS(ABS($DB$1-RecData[Yaw Angle (°)])-180),360))</f>
        <v>31.470401286277252</v>
      </c>
      <c r="DB1186" s="2" t="str">
        <f>IF($DP$2="None","None",IF(RecData[[#This Row],[Relative Wind Direction]]&lt;=45,"DW",IF(RecData[[#This Row],[Relative Wind Direction]]&lt;=135,"CW","UW")))</f>
        <v>DW</v>
      </c>
      <c r="DC1186" s="61">
        <f>IF($CL1186-$CL1182&gt;1/24,#REF!,IF(SUM($CQ1182:$CQ1186)&gt;$DS$1,$DS$5,DC1187-1))</f>
        <v>-3</v>
      </c>
      <c r="DD1186" s="61">
        <f>IF($CL1187-$CL1186&gt;1/24,#REF!,IF(SUM($CQ1182:$CQ1186)&gt;$DS$1,$DS$6,DD1185-1))</f>
        <v>-8</v>
      </c>
      <c r="DE1186" s="18" t="b">
        <v>0</v>
      </c>
      <c r="DF1186" s="2" t="b">
        <f>IF(OR(RecData[[#This Row],[WSpd_Avg '[m/s']]]-RecData[[#This Row],[Wind Speed min]]&gt;=$DF$3,RecData[[#This Row],[Wind Speed max]]-RecData[[#This Row],[WSpd_Avg '[m/s']]]&gt;=$DF$2),TRUE,FALSE)</f>
        <v>0</v>
      </c>
      <c r="DG1186" s="2" t="b">
        <f>RecData[[#This Row],[Temperature '[°C']]]&lt;=-20</f>
        <v>0</v>
      </c>
      <c r="DH1186" s="18" t="b">
        <f>NOT(OR(MOD(RecData[[#This Row],[TIMESTAMP]],1)&gt;0.91632,MOD(RecData[[#This Row],[TIMESTAMP]],1)&lt;0.208681))</f>
        <v>0</v>
      </c>
      <c r="DI1186" s="18" t="b">
        <f>RecData[[#This Row],[Overall (dBA)]]-RecData[[#This Row],[L90]]&gt;=$DS$4</f>
        <v>0</v>
      </c>
      <c r="DJ1186" s="18" t="b">
        <f>RecData[[#This Row],[Overall (dBA)]]&gt;$DS$2</f>
        <v>0</v>
      </c>
      <c r="DK1186" s="18" t="b">
        <f>RecData[[#This Row],[Overall (dBA)]]&lt;$DS$3</f>
        <v>0</v>
      </c>
      <c r="DL11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6" s="2">
        <f>IF(AND(RecData[[#This Row],[Turbines ON/OFF]] = "OFF", NOT(OR(RecData[[#This Row],[Junk?]]="YES",RecData[[#This Row],[Gust?]],RecData[[#This Row],[Rain?]:[Min SPL Threshold?]]))),1,0)</f>
        <v>0</v>
      </c>
      <c r="DN1186" s="16">
        <f>RecData[[#This Row],[dBA Sum]]</f>
        <v>39.963950093977473</v>
      </c>
      <c r="DO1186" s="16">
        <f>RecData[[#This Row],[LAF90.0]]</f>
        <v>39</v>
      </c>
      <c r="DP1186" s="55">
        <f>IF(AND(RecData[[#This Row],[Useable TON Data?]],RecData[[#This Row],[Turbines ON/OFF]]="ON"),RecData[[#This Row],[dBA Sum]],"")</f>
        <v>39.963950093977473</v>
      </c>
      <c r="DQ1186" s="55" t="str">
        <f>IF(AND(RecData[[#This Row],[Useable Background Data?]],RecData[[#This Row],[Turbines ON/OFF]]="OFF"),RecData[[#This Row],[dBA Sum]],"")</f>
        <v/>
      </c>
      <c r="DR1186" s="3">
        <f>IF(OR(RecData[[#This Row],[Useable TON Data?]],RecData[[#This Row],[Useable Background Data?]]),ROUND(RecData[[#This Row],[WSpd_Avg '[m/s']]],0),"")</f>
        <v>0</v>
      </c>
      <c r="DS1186" s="85">
        <f>(0.00002)^2*(10^(RecData[[#This Row],[Overall (dBA)]]/10))</f>
        <v>3.9669342354865009E-6</v>
      </c>
    </row>
    <row r="1187" spans="1:123" ht="15" x14ac:dyDescent="0.25">
      <c r="A1187" s="3" t="s">
        <v>249</v>
      </c>
      <c r="B1187" s="12">
        <v>43276.042361111118</v>
      </c>
      <c r="C1187" s="3"/>
      <c r="D1187" s="3">
        <v>40</v>
      </c>
      <c r="E1187" s="3"/>
      <c r="F1187" s="3"/>
      <c r="G1187" s="3"/>
      <c r="H1187" s="3"/>
      <c r="I1187" s="3"/>
      <c r="J1187" s="3"/>
      <c r="K1187" s="3">
        <v>38.9</v>
      </c>
      <c r="L1187" s="3"/>
      <c r="M1187" s="3"/>
      <c r="N1187" s="3">
        <v>114.6</v>
      </c>
      <c r="O1187" s="3"/>
      <c r="P1187" s="3"/>
      <c r="Q1187" s="3">
        <v>0.16</v>
      </c>
      <c r="R1187" s="3">
        <v>0</v>
      </c>
      <c r="S1187" s="3">
        <v>0.4</v>
      </c>
      <c r="T1187" s="3">
        <v>10.5</v>
      </c>
      <c r="U1187" s="3">
        <v>62.5</v>
      </c>
      <c r="V1187" s="3">
        <v>977.9</v>
      </c>
      <c r="W1187" s="3">
        <v>0</v>
      </c>
      <c r="X1187" s="3">
        <v>45.7</v>
      </c>
      <c r="Y1187" s="3">
        <v>44.4</v>
      </c>
      <c r="Z1187" s="3">
        <v>44</v>
      </c>
      <c r="AA1187" s="3">
        <v>40.700000000000003</v>
      </c>
      <c r="AB1187" s="3">
        <v>36</v>
      </c>
      <c r="AC1187" s="3">
        <v>34.299999999999997</v>
      </c>
      <c r="AD1187" s="3">
        <v>38.200000000000003</v>
      </c>
      <c r="AE1187" s="3">
        <v>40.5</v>
      </c>
      <c r="AF1187" s="3">
        <v>46.2</v>
      </c>
      <c r="AG1187" s="3">
        <v>39.6</v>
      </c>
      <c r="AH1187" s="3">
        <v>39.299999999999997</v>
      </c>
      <c r="AI1187" s="3">
        <v>39.799999999999997</v>
      </c>
      <c r="AJ1187" s="3">
        <v>38</v>
      </c>
      <c r="AK1187" s="3">
        <v>36.1</v>
      </c>
      <c r="AL1187" s="3">
        <v>33.6</v>
      </c>
      <c r="AM1187" s="3">
        <v>32.299999999999997</v>
      </c>
      <c r="AN1187" s="3">
        <v>29.9</v>
      </c>
      <c r="AO1187" s="3">
        <v>25.1</v>
      </c>
      <c r="AP1187" s="3">
        <v>22.8</v>
      </c>
      <c r="AQ1187" s="3">
        <v>19.600000000000001</v>
      </c>
      <c r="AR1187" s="3">
        <v>14.8</v>
      </c>
      <c r="AS1187" s="3">
        <v>11</v>
      </c>
      <c r="AT1187" s="3">
        <v>13.4</v>
      </c>
      <c r="AU1187" s="3">
        <v>7.3</v>
      </c>
      <c r="AV1187" s="3">
        <v>8</v>
      </c>
      <c r="AW1187" s="3">
        <v>8.6999999999999993</v>
      </c>
      <c r="AX1187" s="3">
        <v>9</v>
      </c>
      <c r="AY1187" s="3">
        <v>9.3000000000000007</v>
      </c>
      <c r="AZ1187" s="3">
        <v>0</v>
      </c>
      <c r="BA1187" s="3">
        <v>0</v>
      </c>
      <c r="BB1187" s="3">
        <v>0</v>
      </c>
      <c r="BC1187" s="3">
        <v>40.044505052296692</v>
      </c>
      <c r="BD1187" s="3">
        <v>45.655494947703311</v>
      </c>
      <c r="BE1187" s="3">
        <v>44.355494947703313</v>
      </c>
      <c r="BF1187" s="3">
        <v>42.715494947703299</v>
      </c>
      <c r="BG1187" s="3">
        <v>39.742161614369969</v>
      </c>
      <c r="BH1187" s="3">
        <v>35.182161614369967</v>
      </c>
      <c r="BI1187" s="3">
        <v>33.895494947703305</v>
      </c>
      <c r="BJ1187" s="3">
        <v>38.588828281036633</v>
      </c>
      <c r="BK1187" s="3">
        <v>40.76216161436998</v>
      </c>
      <c r="BL1187" s="3">
        <v>46.03549494770332</v>
      </c>
      <c r="BM1187" s="3">
        <v>39.568828281036652</v>
      </c>
      <c r="BN1187" s="3">
        <v>39.552161614369972</v>
      </c>
      <c r="BO1187" s="3">
        <v>39.418828281036646</v>
      </c>
      <c r="BP1187" s="3">
        <v>37.335494947703303</v>
      </c>
      <c r="BQ1187" s="3">
        <v>35.852161614369969</v>
      </c>
      <c r="BR1187" s="3">
        <v>33.678828281036637</v>
      </c>
      <c r="BS1187" s="3">
        <v>32.182161614369967</v>
      </c>
      <c r="BT1187" s="3">
        <v>29.978828281036648</v>
      </c>
      <c r="BU1187" s="3">
        <v>25.145494947703305</v>
      </c>
      <c r="BV1187" s="3">
        <v>22.562161614369977</v>
      </c>
      <c r="BW1187" s="3">
        <v>19.895494947703313</v>
      </c>
      <c r="BX1187" s="3">
        <v>15.01549494770331</v>
      </c>
      <c r="BY1187" s="3">
        <v>11.035494947703306</v>
      </c>
      <c r="BZ1187" s="3">
        <v>13.565494947703307</v>
      </c>
      <c r="CA1187" s="3">
        <v>7.5654949477033</v>
      </c>
      <c r="CB1187" s="3">
        <v>7.7021616143699703</v>
      </c>
      <c r="CC1187" s="3">
        <v>8.6154949477033043</v>
      </c>
      <c r="CD1187" s="3">
        <v>8.2221616143699805</v>
      </c>
      <c r="CE1187" s="3">
        <v>8.7154949477033057</v>
      </c>
      <c r="CF1187" s="3">
        <v>-0.97117171896336174</v>
      </c>
      <c r="CG1187" s="3">
        <v>-1.5045050522966932</v>
      </c>
      <c r="CH1187" s="3">
        <v>-2.5811717189633612</v>
      </c>
      <c r="CI1187" s="13">
        <f>[1]!dbasum(RecData[[#This Row],[20]:[2000]],RecData[[#Headers],[20]:[2000]])</f>
        <v>39.852419825753458</v>
      </c>
      <c r="CJ1187" s="14">
        <v>10782</v>
      </c>
      <c r="CK1187" s="15" t="s">
        <v>249</v>
      </c>
      <c r="CL1187" s="15">
        <f>RecData[[#This Row],[Start Time]]</f>
        <v>43276.042361111118</v>
      </c>
      <c r="CM1187" s="16">
        <f>RecData[[#This Row],[Wind Speed avg]]</f>
        <v>0.16</v>
      </c>
      <c r="CN1187" s="16">
        <f>RecData[[#This Row],[Wind Dir. avg]]</f>
        <v>114.6</v>
      </c>
      <c r="CO1187" s="16">
        <f>RecData[[#This Row],[Amb. Humidity]]</f>
        <v>62.5</v>
      </c>
      <c r="CP1187" s="16">
        <f>RecData[[#This Row],[Amb. Temperature]]</f>
        <v>10.5</v>
      </c>
      <c r="CQ1187" s="17">
        <f>RecData[[#This Row],[Amb. Rain Gauge]]</f>
        <v>0</v>
      </c>
      <c r="CR1187" s="4" t="s">
        <v>1</v>
      </c>
      <c r="CS1187" s="4" t="s">
        <v>49</v>
      </c>
      <c r="CT1187" s="70">
        <v>1402.24597167968</v>
      </c>
      <c r="CU1187" s="70">
        <v>39.000328063964801</v>
      </c>
      <c r="CV1187" s="70">
        <v>9.6271057128906197</v>
      </c>
      <c r="CW1187" s="70">
        <v>15.2316217422485</v>
      </c>
      <c r="CX1187" s="4"/>
      <c r="CY1187" s="69"/>
      <c r="CZ1187" s="2" t="b">
        <f>IF($DP$1="YES",IF(RecData[[#This Row],[Power (kW)]]&gt;=$CR$3, TRUE,FALSE),TRUE)</f>
        <v>1</v>
      </c>
      <c r="DA1187" s="16">
        <f>MIN(MOD(180-ABS(ABS($DA$1-RecData[Yaw Angle (°)])-180),360),MOD(180-ABS(ABS($DB$1-RecData[Yaw Angle (°)])-180),360))</f>
        <v>31.470401286277252</v>
      </c>
      <c r="DB1187" s="2" t="str">
        <f>IF($DP$2="None","None",IF(RecData[[#This Row],[Relative Wind Direction]]&lt;=45,"DW",IF(RecData[[#This Row],[Relative Wind Direction]]&lt;=135,"CW","UW")))</f>
        <v>DW</v>
      </c>
      <c r="DC1187" s="61">
        <f>IF($CL1187-$CL1183&gt;1/24,#REF!,IF(SUM($CQ1183:$CQ1187)&gt;$DS$1,$DS$5,DC1188-1))</f>
        <v>-2</v>
      </c>
      <c r="DD1187" s="61">
        <f>IF($CL1188-$CL1187&gt;1/24,#REF!,IF(SUM($CQ1183:$CQ1187)&gt;$DS$1,$DS$6,DD1186-1))</f>
        <v>-9</v>
      </c>
      <c r="DE1187" s="18" t="b">
        <v>0</v>
      </c>
      <c r="DF1187" s="2" t="b">
        <f>IF(OR(RecData[[#This Row],[WSpd_Avg '[m/s']]]-RecData[[#This Row],[Wind Speed min]]&gt;=$DF$3,RecData[[#This Row],[Wind Speed max]]-RecData[[#This Row],[WSpd_Avg '[m/s']]]&gt;=$DF$2),TRUE,FALSE)</f>
        <v>0</v>
      </c>
      <c r="DG1187" s="2" t="b">
        <f>RecData[[#This Row],[Temperature '[°C']]]&lt;=-20</f>
        <v>0</v>
      </c>
      <c r="DH1187" s="18" t="b">
        <f>NOT(OR(MOD(RecData[[#This Row],[TIMESTAMP]],1)&gt;0.91632,MOD(RecData[[#This Row],[TIMESTAMP]],1)&lt;0.208681))</f>
        <v>0</v>
      </c>
      <c r="DI1187" s="18" t="b">
        <f>RecData[[#This Row],[Overall (dBA)]]-RecData[[#This Row],[L90]]&gt;=$DS$4</f>
        <v>0</v>
      </c>
      <c r="DJ1187" s="18" t="b">
        <f>RecData[[#This Row],[Overall (dBA)]]&gt;$DS$2</f>
        <v>0</v>
      </c>
      <c r="DK1187" s="18" t="b">
        <f>RecData[[#This Row],[Overall (dBA)]]&lt;$DS$3</f>
        <v>0</v>
      </c>
      <c r="DL11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7" s="2">
        <f>IF(AND(RecData[[#This Row],[Turbines ON/OFF]] = "OFF", NOT(OR(RecData[[#This Row],[Junk?]]="YES",RecData[[#This Row],[Gust?]],RecData[[#This Row],[Rain?]:[Min SPL Threshold?]]))),1,0)</f>
        <v>0</v>
      </c>
      <c r="DN1187" s="16">
        <f>RecData[[#This Row],[dBA Sum]]</f>
        <v>39.852419825753458</v>
      </c>
      <c r="DO1187" s="16">
        <f>RecData[[#This Row],[LAF90.0]]</f>
        <v>38.9</v>
      </c>
      <c r="DP1187" s="55">
        <f>IF(AND(RecData[[#This Row],[Useable TON Data?]],RecData[[#This Row],[Turbines ON/OFF]]="ON"),RecData[[#This Row],[dBA Sum]],"")</f>
        <v>39.852419825753458</v>
      </c>
      <c r="DQ1187" s="55" t="str">
        <f>IF(AND(RecData[[#This Row],[Useable Background Data?]],RecData[[#This Row],[Turbines ON/OFF]]="OFF"),RecData[[#This Row],[dBA Sum]],"")</f>
        <v/>
      </c>
      <c r="DR1187" s="3">
        <f>IF(OR(RecData[[#This Row],[Useable TON Data?]],RecData[[#This Row],[Useable Background Data?]]),ROUND(RecData[[#This Row],[WSpd_Avg '[m/s']]],0),"")</f>
        <v>0</v>
      </c>
      <c r="DS1187" s="85">
        <f>(0.00002)^2*(10^(RecData[[#This Row],[Overall (dBA)]]/10))</f>
        <v>3.8663571939577198E-6</v>
      </c>
    </row>
    <row r="1188" spans="1:123" ht="15" x14ac:dyDescent="0.25">
      <c r="A1188" s="3" t="s">
        <v>249</v>
      </c>
      <c r="B1188" s="12">
        <v>43276.043055555558</v>
      </c>
      <c r="C1188" s="3"/>
      <c r="D1188" s="3">
        <v>40.799999999999997</v>
      </c>
      <c r="E1188" s="3"/>
      <c r="F1188" s="3"/>
      <c r="G1188" s="3"/>
      <c r="H1188" s="3"/>
      <c r="I1188" s="3"/>
      <c r="J1188" s="3"/>
      <c r="K1188" s="3">
        <v>38.799999999999997</v>
      </c>
      <c r="L1188" s="3"/>
      <c r="M1188" s="3"/>
      <c r="N1188" s="3">
        <v>134.19999999999999</v>
      </c>
      <c r="O1188" s="3"/>
      <c r="P1188" s="3"/>
      <c r="Q1188" s="3">
        <v>0.56000000000000005</v>
      </c>
      <c r="R1188" s="3">
        <v>0.3</v>
      </c>
      <c r="S1188" s="3">
        <v>0.9</v>
      </c>
      <c r="T1188" s="3">
        <v>10.4</v>
      </c>
      <c r="U1188" s="3">
        <v>61.8</v>
      </c>
      <c r="V1188" s="3">
        <v>977.9</v>
      </c>
      <c r="W1188" s="3">
        <v>0</v>
      </c>
      <c r="X1188" s="3">
        <v>45.4</v>
      </c>
      <c r="Y1188" s="3">
        <v>44.5</v>
      </c>
      <c r="Z1188" s="3">
        <v>44.2</v>
      </c>
      <c r="AA1188" s="3">
        <v>40.6</v>
      </c>
      <c r="AB1188" s="3">
        <v>36.4</v>
      </c>
      <c r="AC1188" s="3">
        <v>34.4</v>
      </c>
      <c r="AD1188" s="3">
        <v>38.299999999999997</v>
      </c>
      <c r="AE1188" s="3">
        <v>40.9</v>
      </c>
      <c r="AF1188" s="3">
        <v>47.8</v>
      </c>
      <c r="AG1188" s="3">
        <v>41</v>
      </c>
      <c r="AH1188" s="3">
        <v>39.5</v>
      </c>
      <c r="AI1188" s="3">
        <v>40.5</v>
      </c>
      <c r="AJ1188" s="3">
        <v>38.4</v>
      </c>
      <c r="AK1188" s="3">
        <v>36.700000000000003</v>
      </c>
      <c r="AL1188" s="3">
        <v>34.1</v>
      </c>
      <c r="AM1188" s="3">
        <v>33.200000000000003</v>
      </c>
      <c r="AN1188" s="3">
        <v>30.5</v>
      </c>
      <c r="AO1188" s="3">
        <v>25.8</v>
      </c>
      <c r="AP1188" s="3">
        <v>23.1</v>
      </c>
      <c r="AQ1188" s="3">
        <v>20.5</v>
      </c>
      <c r="AR1188" s="3">
        <v>15.6</v>
      </c>
      <c r="AS1188" s="3">
        <v>12</v>
      </c>
      <c r="AT1188" s="3">
        <v>14.7</v>
      </c>
      <c r="AU1188" s="3">
        <v>7.4</v>
      </c>
      <c r="AV1188" s="3">
        <v>8</v>
      </c>
      <c r="AW1188" s="3">
        <v>8.6</v>
      </c>
      <c r="AX1188" s="3">
        <v>8.8000000000000007</v>
      </c>
      <c r="AY1188" s="3">
        <v>9.1</v>
      </c>
      <c r="AZ1188" s="3">
        <v>0</v>
      </c>
      <c r="BA1188" s="3">
        <v>0</v>
      </c>
      <c r="BB1188" s="3">
        <v>0</v>
      </c>
      <c r="BC1188" s="3">
        <v>40.771711706253264</v>
      </c>
      <c r="BD1188" s="3">
        <v>45.428288293746725</v>
      </c>
      <c r="BE1188" s="3">
        <v>44.528288293746733</v>
      </c>
      <c r="BF1188" s="3">
        <v>42.988288293746727</v>
      </c>
      <c r="BG1188" s="3">
        <v>39.714954960413401</v>
      </c>
      <c r="BH1188" s="3">
        <v>35.654954960413399</v>
      </c>
      <c r="BI1188" s="3">
        <v>34.06828829374674</v>
      </c>
      <c r="BJ1188" s="3">
        <v>38.761621627080068</v>
      </c>
      <c r="BK1188" s="3">
        <v>41.234954960413397</v>
      </c>
      <c r="BL1188" s="3">
        <v>47.708288293746726</v>
      </c>
      <c r="BM1188" s="3">
        <v>41.041621627080069</v>
      </c>
      <c r="BN1188" s="3">
        <v>39.8249549604134</v>
      </c>
      <c r="BO1188" s="3">
        <v>40.191621627080075</v>
      </c>
      <c r="BP1188" s="3">
        <v>37.808288293746735</v>
      </c>
      <c r="BQ1188" s="3">
        <v>36.524954960413389</v>
      </c>
      <c r="BR1188" s="3">
        <v>34.251621627080077</v>
      </c>
      <c r="BS1188" s="3">
        <v>33.154954960413413</v>
      </c>
      <c r="BT1188" s="3">
        <v>30.651621627080068</v>
      </c>
      <c r="BU1188" s="3">
        <v>25.918288293746734</v>
      </c>
      <c r="BV1188" s="3">
        <v>22.9349549604134</v>
      </c>
      <c r="BW1188" s="3">
        <v>20.868288293746737</v>
      </c>
      <c r="BX1188" s="3">
        <v>15.88828829374674</v>
      </c>
      <c r="BY1188" s="3">
        <v>12.108288293746732</v>
      </c>
      <c r="BZ1188" s="3">
        <v>14.938288293746737</v>
      </c>
      <c r="CA1188" s="3">
        <v>7.7382882937467272</v>
      </c>
      <c r="CB1188" s="3">
        <v>7.7749549604133961</v>
      </c>
      <c r="CC1188" s="3">
        <v>8.5882882937467357</v>
      </c>
      <c r="CD1188" s="3">
        <v>8.0949549604134035</v>
      </c>
      <c r="CE1188" s="3">
        <v>8.5882882937467357</v>
      </c>
      <c r="CF1188" s="3">
        <v>-0.89837837291993594</v>
      </c>
      <c r="CG1188" s="3">
        <v>-1.4317117062532674</v>
      </c>
      <c r="CH1188" s="3">
        <v>-2.5083783729199354</v>
      </c>
      <c r="CI1188" s="13">
        <f>[1]!dbasum(RecData[[#This Row],[20]:[2000]],RecData[[#Headers],[20]:[2000]])</f>
        <v>40.653123988283696</v>
      </c>
      <c r="CJ1188" s="14">
        <v>10783</v>
      </c>
      <c r="CK1188" s="15" t="s">
        <v>249</v>
      </c>
      <c r="CL1188" s="15">
        <f>RecData[[#This Row],[Start Time]]</f>
        <v>43276.043055555558</v>
      </c>
      <c r="CM1188" s="16">
        <f>RecData[[#This Row],[Wind Speed avg]]</f>
        <v>0.56000000000000005</v>
      </c>
      <c r="CN1188" s="16">
        <f>RecData[[#This Row],[Wind Dir. avg]]</f>
        <v>134.19999999999999</v>
      </c>
      <c r="CO1188" s="16">
        <f>RecData[[#This Row],[Amb. Humidity]]</f>
        <v>61.8</v>
      </c>
      <c r="CP1188" s="16">
        <f>RecData[[#This Row],[Amb. Temperature]]</f>
        <v>10.4</v>
      </c>
      <c r="CQ1188" s="17">
        <f>RecData[[#This Row],[Amb. Rain Gauge]]</f>
        <v>0</v>
      </c>
      <c r="CR1188" s="4" t="s">
        <v>1</v>
      </c>
      <c r="CS1188" s="4" t="s">
        <v>49</v>
      </c>
      <c r="CT1188" s="70">
        <v>1402.24597167968</v>
      </c>
      <c r="CU1188" s="70">
        <v>39.000328063964801</v>
      </c>
      <c r="CV1188" s="70">
        <v>9.6271057128906197</v>
      </c>
      <c r="CW1188" s="70">
        <v>15.2316217422485</v>
      </c>
      <c r="CX1188" s="4"/>
      <c r="CY1188" s="69"/>
      <c r="CZ1188" s="2" t="b">
        <f>IF($DP$1="YES",IF(RecData[[#This Row],[Power (kW)]]&gt;=$CR$3, TRUE,FALSE),TRUE)</f>
        <v>1</v>
      </c>
      <c r="DA1188" s="16">
        <f>MIN(MOD(180-ABS(ABS($DA$1-RecData[Yaw Angle (°)])-180),360),MOD(180-ABS(ABS($DB$1-RecData[Yaw Angle (°)])-180),360))</f>
        <v>31.470401286277252</v>
      </c>
      <c r="DB1188" s="2" t="str">
        <f>IF($DP$2="None","None",IF(RecData[[#This Row],[Relative Wind Direction]]&lt;=45,"DW",IF(RecData[[#This Row],[Relative Wind Direction]]&lt;=135,"CW","UW")))</f>
        <v>DW</v>
      </c>
      <c r="DC1188" s="61">
        <v>-1</v>
      </c>
      <c r="DD1188" s="61">
        <v>-1</v>
      </c>
      <c r="DE1188" s="18" t="b">
        <v>0</v>
      </c>
      <c r="DF1188" s="2" t="b">
        <f>IF(OR(RecData[[#This Row],[WSpd_Avg '[m/s']]]-RecData[[#This Row],[Wind Speed min]]&gt;=$DF$3,RecData[[#This Row],[Wind Speed max]]-RecData[[#This Row],[WSpd_Avg '[m/s']]]&gt;=$DF$2),TRUE,FALSE)</f>
        <v>0</v>
      </c>
      <c r="DG1188" s="2" t="b">
        <f>RecData[[#This Row],[Temperature '[°C']]]&lt;=-20</f>
        <v>0</v>
      </c>
      <c r="DH1188" s="18" t="b">
        <f>NOT(OR(MOD(RecData[[#This Row],[TIMESTAMP]],1)&gt;0.91632,MOD(RecData[[#This Row],[TIMESTAMP]],1)&lt;0.208681))</f>
        <v>0</v>
      </c>
      <c r="DI1188" s="18" t="b">
        <f>RecData[[#This Row],[Overall (dBA)]]-RecData[[#This Row],[L90]]&gt;=$DS$4</f>
        <v>0</v>
      </c>
      <c r="DJ1188" s="18" t="b">
        <f>RecData[[#This Row],[Overall (dBA)]]&gt;$DS$2</f>
        <v>0</v>
      </c>
      <c r="DK1188" s="18" t="b">
        <f>RecData[[#This Row],[Overall (dBA)]]&lt;$DS$3</f>
        <v>0</v>
      </c>
      <c r="DL11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8" s="2">
        <f>IF(AND(RecData[[#This Row],[Turbines ON/OFF]] = "OFF", NOT(OR(RecData[[#This Row],[Junk?]]="YES",RecData[[#This Row],[Gust?]],RecData[[#This Row],[Rain?]:[Min SPL Threshold?]]))),1,0)</f>
        <v>0</v>
      </c>
      <c r="DN1188" s="16">
        <f>RecData[[#This Row],[dBA Sum]]</f>
        <v>40.653123988283696</v>
      </c>
      <c r="DO1188" s="16">
        <f>RecData[[#This Row],[LAF90.0]]</f>
        <v>38.799999999999997</v>
      </c>
      <c r="DP1188" s="55">
        <f>IF(AND(RecData[[#This Row],[Useable TON Data?]],RecData[[#This Row],[Turbines ON/OFF]]="ON"),RecData[[#This Row],[dBA Sum]],"")</f>
        <v>40.653123988283696</v>
      </c>
      <c r="DQ1188" s="55" t="str">
        <f>IF(AND(RecData[[#This Row],[Useable Background Data?]],RecData[[#This Row],[Turbines ON/OFF]]="OFF"),RecData[[#This Row],[dBA Sum]],"")</f>
        <v/>
      </c>
      <c r="DR1188" s="3">
        <f>IF(OR(RecData[[#This Row],[Useable TON Data?]],RecData[[#This Row],[Useable Background Data?]]),ROUND(RecData[[#This Row],[WSpd_Avg '[m/s']]],0),"")</f>
        <v>1</v>
      </c>
      <c r="DS1188" s="85">
        <f>(0.00002)^2*(10^(RecData[[#This Row],[Overall (dBA)]]/10))</f>
        <v>4.6491374931459705E-6</v>
      </c>
    </row>
    <row r="1189" spans="1:123" ht="15" x14ac:dyDescent="0.25">
      <c r="A1189" s="3" t="s">
        <v>249</v>
      </c>
      <c r="B1189" s="12">
        <v>43276.043750000004</v>
      </c>
      <c r="C1189" s="3"/>
      <c r="D1189" s="3">
        <v>39.5</v>
      </c>
      <c r="E1189" s="3"/>
      <c r="F1189" s="3"/>
      <c r="G1189" s="3"/>
      <c r="H1189" s="3"/>
      <c r="I1189" s="3"/>
      <c r="J1189" s="3"/>
      <c r="K1189" s="3">
        <v>37.9</v>
      </c>
      <c r="L1189" s="3"/>
      <c r="M1189" s="3"/>
      <c r="N1189" s="3">
        <v>175.9</v>
      </c>
      <c r="O1189" s="3"/>
      <c r="P1189" s="3"/>
      <c r="Q1189" s="3">
        <v>0.55000000000000004</v>
      </c>
      <c r="R1189" s="3">
        <v>0.4</v>
      </c>
      <c r="S1189" s="3">
        <v>0.7</v>
      </c>
      <c r="T1189" s="3">
        <v>10.3</v>
      </c>
      <c r="U1189" s="3">
        <v>62.3</v>
      </c>
      <c r="V1189" s="3">
        <v>977.9</v>
      </c>
      <c r="W1189" s="3">
        <v>0</v>
      </c>
      <c r="X1189" s="3">
        <v>45.7</v>
      </c>
      <c r="Y1189" s="3">
        <v>43.9</v>
      </c>
      <c r="Z1189" s="3">
        <v>43.6</v>
      </c>
      <c r="AA1189" s="3">
        <v>40.4</v>
      </c>
      <c r="AB1189" s="3">
        <v>36.200000000000003</v>
      </c>
      <c r="AC1189" s="3">
        <v>33.6</v>
      </c>
      <c r="AD1189" s="3">
        <v>37.6</v>
      </c>
      <c r="AE1189" s="3">
        <v>39.799999999999997</v>
      </c>
      <c r="AF1189" s="3">
        <v>45.2</v>
      </c>
      <c r="AG1189" s="3">
        <v>39.4</v>
      </c>
      <c r="AH1189" s="3">
        <v>38.1</v>
      </c>
      <c r="AI1189" s="3">
        <v>39.1</v>
      </c>
      <c r="AJ1189" s="3">
        <v>37.5</v>
      </c>
      <c r="AK1189" s="3">
        <v>35.6</v>
      </c>
      <c r="AL1189" s="3">
        <v>32.9</v>
      </c>
      <c r="AM1189" s="3">
        <v>31.8</v>
      </c>
      <c r="AN1189" s="3">
        <v>29.2</v>
      </c>
      <c r="AO1189" s="3">
        <v>25</v>
      </c>
      <c r="AP1189" s="3">
        <v>22.9</v>
      </c>
      <c r="AQ1189" s="3">
        <v>20</v>
      </c>
      <c r="AR1189" s="3">
        <v>15.2</v>
      </c>
      <c r="AS1189" s="3">
        <v>11.5</v>
      </c>
      <c r="AT1189" s="3">
        <v>14.2</v>
      </c>
      <c r="AU1189" s="3">
        <v>7.5</v>
      </c>
      <c r="AV1189" s="3">
        <v>8</v>
      </c>
      <c r="AW1189" s="3">
        <v>8.6</v>
      </c>
      <c r="AX1189" s="3">
        <v>8.8000000000000007</v>
      </c>
      <c r="AY1189" s="3">
        <v>9.1</v>
      </c>
      <c r="AZ1189" s="3">
        <v>0</v>
      </c>
      <c r="BA1189" s="3">
        <v>0</v>
      </c>
      <c r="BB1189" s="3">
        <v>0</v>
      </c>
      <c r="BC1189" s="3">
        <v>39.45097345915211</v>
      </c>
      <c r="BD1189" s="3">
        <v>45.749026540847893</v>
      </c>
      <c r="BE1189" s="3">
        <v>43.949026540847896</v>
      </c>
      <c r="BF1189" s="3">
        <v>42.40902654084789</v>
      </c>
      <c r="BG1189" s="3">
        <v>39.535693207514555</v>
      </c>
      <c r="BH1189" s="3">
        <v>35.475693207514567</v>
      </c>
      <c r="BI1189" s="3">
        <v>33.2890265408479</v>
      </c>
      <c r="BJ1189" s="3">
        <v>38.082359874181222</v>
      </c>
      <c r="BK1189" s="3">
        <v>40.155693207514545</v>
      </c>
      <c r="BL1189" s="3">
        <v>45.129026540847903</v>
      </c>
      <c r="BM1189" s="3">
        <v>39.462359874181217</v>
      </c>
      <c r="BN1189" s="3">
        <v>38.445693207514566</v>
      </c>
      <c r="BO1189" s="3">
        <v>38.812359874181226</v>
      </c>
      <c r="BP1189" s="3">
        <v>36.929026540847886</v>
      </c>
      <c r="BQ1189" s="3">
        <v>35.445693207514552</v>
      </c>
      <c r="BR1189" s="3">
        <v>33.072359874181231</v>
      </c>
      <c r="BS1189" s="3">
        <v>31.77569320751455</v>
      </c>
      <c r="BT1189" s="3">
        <v>29.372359874181228</v>
      </c>
      <c r="BU1189" s="3">
        <v>25.139026540847894</v>
      </c>
      <c r="BV1189" s="3">
        <v>22.755693207514554</v>
      </c>
      <c r="BW1189" s="3">
        <v>20.389026540847894</v>
      </c>
      <c r="BX1189" s="3">
        <v>15.509026540847898</v>
      </c>
      <c r="BY1189" s="3">
        <v>11.629026540847889</v>
      </c>
      <c r="BZ1189" s="3">
        <v>14.459026540847894</v>
      </c>
      <c r="CA1189" s="3">
        <v>7.8590265408478857</v>
      </c>
      <c r="CB1189" s="3">
        <v>7.7956932075145531</v>
      </c>
      <c r="CC1189" s="3">
        <v>8.6090265408478928</v>
      </c>
      <c r="CD1189" s="3">
        <v>8.1156932075145605</v>
      </c>
      <c r="CE1189" s="3">
        <v>8.6090265408478928</v>
      </c>
      <c r="CF1189" s="3">
        <v>-0.87764012581877893</v>
      </c>
      <c r="CG1189" s="3">
        <v>-1.4109734591521104</v>
      </c>
      <c r="CH1189" s="3">
        <v>-2.4876401258187784</v>
      </c>
      <c r="CI1189" s="13">
        <f>[1]!dbasum(RecData[[#This Row],[20]:[2000]],RecData[[#Headers],[20]:[2000]])</f>
        <v>39.340470150428899</v>
      </c>
      <c r="CJ1189" s="14">
        <v>10784</v>
      </c>
      <c r="CK1189" s="15" t="s">
        <v>249</v>
      </c>
      <c r="CL1189" s="15">
        <f>RecData[[#This Row],[Start Time]]</f>
        <v>43276.043750000004</v>
      </c>
      <c r="CM1189" s="16">
        <f>RecData[[#This Row],[Wind Speed avg]]</f>
        <v>0.55000000000000004</v>
      </c>
      <c r="CN1189" s="16">
        <f>RecData[[#This Row],[Wind Dir. avg]]</f>
        <v>175.9</v>
      </c>
      <c r="CO1189" s="16">
        <f>RecData[[#This Row],[Amb. Humidity]]</f>
        <v>62.3</v>
      </c>
      <c r="CP1189" s="16">
        <f>RecData[[#This Row],[Amb. Temperature]]</f>
        <v>10.3</v>
      </c>
      <c r="CQ1189" s="17">
        <f>RecData[[#This Row],[Amb. Rain Gauge]]</f>
        <v>0</v>
      </c>
      <c r="CR1189" s="4" t="s">
        <v>1</v>
      </c>
      <c r="CS1189" s="4" t="s">
        <v>49</v>
      </c>
      <c r="CT1189" s="70">
        <v>1402.24597167968</v>
      </c>
      <c r="CU1189" s="70">
        <v>39.000328063964801</v>
      </c>
      <c r="CV1189" s="70">
        <v>9.6271057128906197</v>
      </c>
      <c r="CW1189" s="70">
        <v>15.2316217422485</v>
      </c>
      <c r="CX1189" s="4"/>
      <c r="CY1189" s="69"/>
      <c r="CZ1189" s="2" t="b">
        <f>IF($DP$1="YES",IF(RecData[[#This Row],[Power (kW)]]&gt;=$CR$3, TRUE,FALSE),TRUE)</f>
        <v>1</v>
      </c>
      <c r="DA1189" s="16">
        <f>MIN(MOD(180-ABS(ABS($DA$1-RecData[Yaw Angle (°)])-180),360),MOD(180-ABS(ABS($DB$1-RecData[Yaw Angle (°)])-180),360))</f>
        <v>31.470401286277252</v>
      </c>
      <c r="DB1189" s="2" t="str">
        <f>IF($DP$2="None","None",IF(RecData[[#This Row],[Relative Wind Direction]]&lt;=45,"DW",IF(RecData[[#This Row],[Relative Wind Direction]]&lt;=135,"CW","UW")))</f>
        <v>DW</v>
      </c>
      <c r="DC1189" s="61" t="e">
        <f>IF($CL1189-$CL1188&gt;1/24,#REF!,IF(SUM($CQ1188:$CQ1189)&gt;$DS$1,$DS$5,DC1190-1))</f>
        <v>#REF!</v>
      </c>
      <c r="DD1189" s="61">
        <f>IF($CL1190-$CL1189&gt;1/24,#REF!,IF(SUM($CQ1188:$CQ1189)&gt;$DS$1,$DS$6,DD1188-1))</f>
        <v>-2</v>
      </c>
      <c r="DE1189" s="18" t="b">
        <v>0</v>
      </c>
      <c r="DF1189" s="2" t="b">
        <f>IF(OR(RecData[[#This Row],[WSpd_Avg '[m/s']]]-RecData[[#This Row],[Wind Speed min]]&gt;=$DF$3,RecData[[#This Row],[Wind Speed max]]-RecData[[#This Row],[WSpd_Avg '[m/s']]]&gt;=$DF$2),TRUE,FALSE)</f>
        <v>0</v>
      </c>
      <c r="DG1189" s="2" t="b">
        <f>RecData[[#This Row],[Temperature '[°C']]]&lt;=-20</f>
        <v>0</v>
      </c>
      <c r="DH1189" s="18" t="b">
        <f>NOT(OR(MOD(RecData[[#This Row],[TIMESTAMP]],1)&gt;0.91632,MOD(RecData[[#This Row],[TIMESTAMP]],1)&lt;0.208681))</f>
        <v>0</v>
      </c>
      <c r="DI1189" s="18" t="b">
        <f>RecData[[#This Row],[Overall (dBA)]]-RecData[[#This Row],[L90]]&gt;=$DS$4</f>
        <v>0</v>
      </c>
      <c r="DJ1189" s="18" t="b">
        <f>RecData[[#This Row],[Overall (dBA)]]&gt;$DS$2</f>
        <v>0</v>
      </c>
      <c r="DK1189" s="18" t="b">
        <f>RecData[[#This Row],[Overall (dBA)]]&lt;$DS$3</f>
        <v>0</v>
      </c>
      <c r="DL11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89" s="2">
        <f>IF(AND(RecData[[#This Row],[Turbines ON/OFF]] = "OFF", NOT(OR(RecData[[#This Row],[Junk?]]="YES",RecData[[#This Row],[Gust?]],RecData[[#This Row],[Rain?]:[Min SPL Threshold?]]))),1,0)</f>
        <v>0</v>
      </c>
      <c r="DN1189" s="16">
        <f>RecData[[#This Row],[dBA Sum]]</f>
        <v>39.340470150428899</v>
      </c>
      <c r="DO1189" s="16">
        <f>RecData[[#This Row],[LAF90.0]]</f>
        <v>37.9</v>
      </c>
      <c r="DP1189" s="55">
        <f>IF(AND(RecData[[#This Row],[Useable TON Data?]],RecData[[#This Row],[Turbines ON/OFF]]="ON"),RecData[[#This Row],[dBA Sum]],"")</f>
        <v>39.340470150428899</v>
      </c>
      <c r="DQ1189" s="55" t="str">
        <f>IF(AND(RecData[[#This Row],[Useable Background Data?]],RecData[[#This Row],[Turbines ON/OFF]]="OFF"),RecData[[#This Row],[dBA Sum]],"")</f>
        <v/>
      </c>
      <c r="DR1189" s="3">
        <f>IF(OR(RecData[[#This Row],[Useable TON Data?]],RecData[[#This Row],[Useable Background Data?]]),ROUND(RecData[[#This Row],[WSpd_Avg '[m/s']]],0),"")</f>
        <v>1</v>
      </c>
      <c r="DS1189" s="85">
        <f>(0.00002)^2*(10^(RecData[[#This Row],[Overall (dBA)]]/10))</f>
        <v>3.4364260800980919E-6</v>
      </c>
    </row>
    <row r="1190" spans="1:123" ht="15" x14ac:dyDescent="0.25">
      <c r="A1190" s="3" t="s">
        <v>249</v>
      </c>
      <c r="B1190" s="12">
        <v>43276.044444444451</v>
      </c>
      <c r="C1190" s="3"/>
      <c r="D1190" s="3">
        <v>40</v>
      </c>
      <c r="E1190" s="3"/>
      <c r="F1190" s="3"/>
      <c r="G1190" s="3"/>
      <c r="H1190" s="3"/>
      <c r="I1190" s="3"/>
      <c r="J1190" s="3"/>
      <c r="K1190" s="3">
        <v>38.5</v>
      </c>
      <c r="L1190" s="3"/>
      <c r="M1190" s="3"/>
      <c r="N1190" s="3">
        <v>107.7</v>
      </c>
      <c r="O1190" s="3"/>
      <c r="P1190" s="3"/>
      <c r="Q1190" s="3">
        <v>0.12</v>
      </c>
      <c r="R1190" s="3">
        <v>0</v>
      </c>
      <c r="S1190" s="3">
        <v>0.5</v>
      </c>
      <c r="T1190" s="3">
        <v>10.199999999999999</v>
      </c>
      <c r="U1190" s="3">
        <v>63.8</v>
      </c>
      <c r="V1190" s="3">
        <v>977.9</v>
      </c>
      <c r="W1190" s="3">
        <v>0</v>
      </c>
      <c r="X1190" s="3">
        <v>45.5</v>
      </c>
      <c r="Y1190" s="3">
        <v>44</v>
      </c>
      <c r="Z1190" s="3">
        <v>43.8</v>
      </c>
      <c r="AA1190" s="3">
        <v>40.700000000000003</v>
      </c>
      <c r="AB1190" s="3">
        <v>35.9</v>
      </c>
      <c r="AC1190" s="3">
        <v>33.700000000000003</v>
      </c>
      <c r="AD1190" s="3">
        <v>37.6</v>
      </c>
      <c r="AE1190" s="3">
        <v>40.1</v>
      </c>
      <c r="AF1190" s="3">
        <v>46.6</v>
      </c>
      <c r="AG1190" s="3">
        <v>40.9</v>
      </c>
      <c r="AH1190" s="3">
        <v>38.700000000000003</v>
      </c>
      <c r="AI1190" s="3">
        <v>39.6</v>
      </c>
      <c r="AJ1190" s="3">
        <v>37.6</v>
      </c>
      <c r="AK1190" s="3">
        <v>36</v>
      </c>
      <c r="AL1190" s="3">
        <v>33.4</v>
      </c>
      <c r="AM1190" s="3">
        <v>32.299999999999997</v>
      </c>
      <c r="AN1190" s="3">
        <v>29.8</v>
      </c>
      <c r="AO1190" s="3">
        <v>25.4</v>
      </c>
      <c r="AP1190" s="3">
        <v>23.1</v>
      </c>
      <c r="AQ1190" s="3">
        <v>20.5</v>
      </c>
      <c r="AR1190" s="3">
        <v>16</v>
      </c>
      <c r="AS1190" s="3">
        <v>11.3</v>
      </c>
      <c r="AT1190" s="3">
        <v>11.6</v>
      </c>
      <c r="AU1190" s="3">
        <v>7.8</v>
      </c>
      <c r="AV1190" s="3">
        <v>8.3000000000000007</v>
      </c>
      <c r="AW1190" s="3">
        <v>8.6999999999999993</v>
      </c>
      <c r="AX1190" s="3">
        <v>8.8000000000000007</v>
      </c>
      <c r="AY1190" s="3">
        <v>9.1</v>
      </c>
      <c r="AZ1190" s="3">
        <v>0</v>
      </c>
      <c r="BA1190" s="3">
        <v>0</v>
      </c>
      <c r="BB1190" s="3">
        <v>0</v>
      </c>
      <c r="BC1190" s="3">
        <v>40.015338831186952</v>
      </c>
      <c r="BD1190" s="3">
        <v>45.484661168813048</v>
      </c>
      <c r="BE1190" s="3">
        <v>43.984661168813048</v>
      </c>
      <c r="BF1190" s="3">
        <v>42.54466116881305</v>
      </c>
      <c r="BG1190" s="3">
        <v>39.77132783547971</v>
      </c>
      <c r="BH1190" s="3">
        <v>35.111327835479713</v>
      </c>
      <c r="BI1190" s="3">
        <v>33.324661168813051</v>
      </c>
      <c r="BJ1190" s="3">
        <v>38.017994502146379</v>
      </c>
      <c r="BK1190" s="3">
        <v>40.391327835479714</v>
      </c>
      <c r="BL1190" s="3">
        <v>46.464661168813052</v>
      </c>
      <c r="BM1190" s="3">
        <v>40.897994502146375</v>
      </c>
      <c r="BN1190" s="3">
        <v>38.981327835479718</v>
      </c>
      <c r="BO1190" s="3">
        <v>39.247994502146383</v>
      </c>
      <c r="BP1190" s="3">
        <v>36.964661168813052</v>
      </c>
      <c r="BQ1190" s="3">
        <v>35.781327835479701</v>
      </c>
      <c r="BR1190" s="3">
        <v>33.507994502146389</v>
      </c>
      <c r="BS1190" s="3">
        <v>32.211327835479707</v>
      </c>
      <c r="BT1190" s="3">
        <v>29.90799450214638</v>
      </c>
      <c r="BU1190" s="3">
        <v>25.474661168813057</v>
      </c>
      <c r="BV1190" s="3">
        <v>22.891327835479714</v>
      </c>
      <c r="BW1190" s="3">
        <v>20.824661168813051</v>
      </c>
      <c r="BX1190" s="3">
        <v>16.244661168813053</v>
      </c>
      <c r="BY1190" s="3">
        <v>11.364661168813043</v>
      </c>
      <c r="BZ1190" s="3">
        <v>11.79466116881305</v>
      </c>
      <c r="CA1190" s="3">
        <v>8.0946611688130403</v>
      </c>
      <c r="CB1190" s="3">
        <v>8.0313278354797148</v>
      </c>
      <c r="CC1190" s="3">
        <v>8.6446611688130446</v>
      </c>
      <c r="CD1190" s="3">
        <v>8.051327835479718</v>
      </c>
      <c r="CE1190" s="3">
        <v>8.5446611688130503</v>
      </c>
      <c r="CF1190" s="3">
        <v>-0.94200549785362142</v>
      </c>
      <c r="CG1190" s="3">
        <v>-1.4753388311869529</v>
      </c>
      <c r="CH1190" s="3">
        <v>-2.5520054978536209</v>
      </c>
      <c r="CI1190" s="13">
        <f>[1]!dbasum(RecData[[#This Row],[20]:[2000]],RecData[[#Headers],[20]:[2000]])</f>
        <v>39.860550897917342</v>
      </c>
      <c r="CJ1190" s="14">
        <v>10785</v>
      </c>
      <c r="CK1190" s="15" t="s">
        <v>249</v>
      </c>
      <c r="CL1190" s="15">
        <f>RecData[[#This Row],[Start Time]]</f>
        <v>43276.044444444451</v>
      </c>
      <c r="CM1190" s="16">
        <f>RecData[[#This Row],[Wind Speed avg]]</f>
        <v>0.12</v>
      </c>
      <c r="CN1190" s="16">
        <f>RecData[[#This Row],[Wind Dir. avg]]</f>
        <v>107.7</v>
      </c>
      <c r="CO1190" s="16">
        <f>RecData[[#This Row],[Amb. Humidity]]</f>
        <v>63.8</v>
      </c>
      <c r="CP1190" s="16">
        <f>RecData[[#This Row],[Amb. Temperature]]</f>
        <v>10.199999999999999</v>
      </c>
      <c r="CQ1190" s="17">
        <f>RecData[[#This Row],[Amb. Rain Gauge]]</f>
        <v>0</v>
      </c>
      <c r="CR1190" s="4" t="s">
        <v>1</v>
      </c>
      <c r="CS1190" s="4" t="s">
        <v>49</v>
      </c>
      <c r="CT1190" s="70">
        <v>1402.24597167968</v>
      </c>
      <c r="CU1190" s="70">
        <v>39.000328063964801</v>
      </c>
      <c r="CV1190" s="70">
        <v>9.6271057128906197</v>
      </c>
      <c r="CW1190" s="70">
        <v>15.2316217422485</v>
      </c>
      <c r="CX1190" s="4"/>
      <c r="CY1190" s="69"/>
      <c r="CZ1190" s="2" t="b">
        <f>IF($DP$1="YES",IF(RecData[[#This Row],[Power (kW)]]&gt;=$CR$3, TRUE,FALSE),TRUE)</f>
        <v>1</v>
      </c>
      <c r="DA1190" s="16">
        <f>MIN(MOD(180-ABS(ABS($DA$1-RecData[Yaw Angle (°)])-180),360),MOD(180-ABS(ABS($DB$1-RecData[Yaw Angle (°)])-180),360))</f>
        <v>31.470401286277252</v>
      </c>
      <c r="DB1190" s="2" t="str">
        <f>IF($DP$2="None","None",IF(RecData[[#This Row],[Relative Wind Direction]]&lt;=45,"DW",IF(RecData[[#This Row],[Relative Wind Direction]]&lt;=135,"CW","UW")))</f>
        <v>DW</v>
      </c>
      <c r="DC1190" s="61" t="e">
        <f>IF($CL1190-$CL1188&gt;1/24,#REF!,IF(SUM($CQ1188:$CQ1190)&gt;$DS$1,$DS$5,DC1191-1))</f>
        <v>#REF!</v>
      </c>
      <c r="DD1190" s="61">
        <f>IF($CL1191-$CL1190&gt;1/24,#REF!,IF(SUM($CQ1188:$CQ1190)&gt;$DS$1,$DS$6,DD1189-1))</f>
        <v>-3</v>
      </c>
      <c r="DE1190" s="18" t="b">
        <v>0</v>
      </c>
      <c r="DF1190" s="2" t="b">
        <f>IF(OR(RecData[[#This Row],[WSpd_Avg '[m/s']]]-RecData[[#This Row],[Wind Speed min]]&gt;=$DF$3,RecData[[#This Row],[Wind Speed max]]-RecData[[#This Row],[WSpd_Avg '[m/s']]]&gt;=$DF$2),TRUE,FALSE)</f>
        <v>0</v>
      </c>
      <c r="DG1190" s="2" t="b">
        <f>RecData[[#This Row],[Temperature '[°C']]]&lt;=-20</f>
        <v>0</v>
      </c>
      <c r="DH1190" s="18" t="b">
        <f>NOT(OR(MOD(RecData[[#This Row],[TIMESTAMP]],1)&gt;0.91632,MOD(RecData[[#This Row],[TIMESTAMP]],1)&lt;0.208681))</f>
        <v>0</v>
      </c>
      <c r="DI1190" s="18" t="b">
        <f>RecData[[#This Row],[Overall (dBA)]]-RecData[[#This Row],[L90]]&gt;=$DS$4</f>
        <v>0</v>
      </c>
      <c r="DJ1190" s="18" t="b">
        <f>RecData[[#This Row],[Overall (dBA)]]&gt;$DS$2</f>
        <v>0</v>
      </c>
      <c r="DK1190" s="18" t="b">
        <f>RecData[[#This Row],[Overall (dBA)]]&lt;$DS$3</f>
        <v>0</v>
      </c>
      <c r="DL11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0" s="2">
        <f>IF(AND(RecData[[#This Row],[Turbines ON/OFF]] = "OFF", NOT(OR(RecData[[#This Row],[Junk?]]="YES",RecData[[#This Row],[Gust?]],RecData[[#This Row],[Rain?]:[Min SPL Threshold?]]))),1,0)</f>
        <v>0</v>
      </c>
      <c r="DN1190" s="16">
        <f>RecData[[#This Row],[dBA Sum]]</f>
        <v>39.860550897917342</v>
      </c>
      <c r="DO1190" s="16">
        <f>RecData[[#This Row],[LAF90.0]]</f>
        <v>38.5</v>
      </c>
      <c r="DP1190" s="55">
        <f>IF(AND(RecData[[#This Row],[Useable TON Data?]],RecData[[#This Row],[Turbines ON/OFF]]="ON"),RecData[[#This Row],[dBA Sum]],"")</f>
        <v>39.860550897917342</v>
      </c>
      <c r="DQ1190" s="55" t="str">
        <f>IF(AND(RecData[[#This Row],[Useable Background Data?]],RecData[[#This Row],[Turbines ON/OFF]]="OFF"),RecData[[#This Row],[dBA Sum]],"")</f>
        <v/>
      </c>
      <c r="DR1190" s="3">
        <f>IF(OR(RecData[[#This Row],[Useable TON Data?]],RecData[[#This Row],[Useable Background Data?]]),ROUND(RecData[[#This Row],[WSpd_Avg '[m/s']]],0),"")</f>
        <v>0</v>
      </c>
      <c r="DS1190" s="85">
        <f>(0.00002)^2*(10^(RecData[[#This Row],[Overall (dBA)]]/10))</f>
        <v>3.8736027562592835E-6</v>
      </c>
    </row>
    <row r="1191" spans="1:123" ht="15" x14ac:dyDescent="0.25">
      <c r="A1191" s="3" t="s">
        <v>249</v>
      </c>
      <c r="B1191" s="12">
        <v>43276.045138888891</v>
      </c>
      <c r="C1191" s="3"/>
      <c r="D1191" s="3">
        <v>40.4</v>
      </c>
      <c r="E1191" s="3"/>
      <c r="F1191" s="3"/>
      <c r="G1191" s="3"/>
      <c r="H1191" s="3"/>
      <c r="I1191" s="3"/>
      <c r="J1191" s="3"/>
      <c r="K1191" s="3">
        <v>38.9</v>
      </c>
      <c r="L1191" s="3"/>
      <c r="M1191" s="3"/>
      <c r="N1191" s="3">
        <v>138.6</v>
      </c>
      <c r="O1191" s="3"/>
      <c r="P1191" s="3"/>
      <c r="Q1191" s="3">
        <v>0.51</v>
      </c>
      <c r="R1191" s="3">
        <v>0.2</v>
      </c>
      <c r="S1191" s="3">
        <v>0.7</v>
      </c>
      <c r="T1191" s="3">
        <v>10</v>
      </c>
      <c r="U1191" s="3">
        <v>63.9</v>
      </c>
      <c r="V1191" s="3">
        <v>977.9</v>
      </c>
      <c r="W1191" s="3">
        <v>0</v>
      </c>
      <c r="X1191" s="3">
        <v>45.4</v>
      </c>
      <c r="Y1191" s="3">
        <v>43.7</v>
      </c>
      <c r="Z1191" s="3">
        <v>43.4</v>
      </c>
      <c r="AA1191" s="3">
        <v>40.299999999999997</v>
      </c>
      <c r="AB1191" s="3">
        <v>36.1</v>
      </c>
      <c r="AC1191" s="3">
        <v>35</v>
      </c>
      <c r="AD1191" s="3">
        <v>38.9</v>
      </c>
      <c r="AE1191" s="3">
        <v>40.9</v>
      </c>
      <c r="AF1191" s="3">
        <v>46.2</v>
      </c>
      <c r="AG1191" s="3">
        <v>40.5</v>
      </c>
      <c r="AH1191" s="3">
        <v>39.5</v>
      </c>
      <c r="AI1191" s="3">
        <v>40.1</v>
      </c>
      <c r="AJ1191" s="3">
        <v>38.200000000000003</v>
      </c>
      <c r="AK1191" s="3">
        <v>36.6</v>
      </c>
      <c r="AL1191" s="3">
        <v>33.700000000000003</v>
      </c>
      <c r="AM1191" s="3">
        <v>32.700000000000003</v>
      </c>
      <c r="AN1191" s="3">
        <v>29.9</v>
      </c>
      <c r="AO1191" s="3">
        <v>25.6</v>
      </c>
      <c r="AP1191" s="3">
        <v>23.6</v>
      </c>
      <c r="AQ1191" s="3">
        <v>20.8</v>
      </c>
      <c r="AR1191" s="3">
        <v>16.100000000000001</v>
      </c>
      <c r="AS1191" s="3">
        <v>11.6</v>
      </c>
      <c r="AT1191" s="3">
        <v>13.7</v>
      </c>
      <c r="AU1191" s="3">
        <v>7.4</v>
      </c>
      <c r="AV1191" s="3">
        <v>8</v>
      </c>
      <c r="AW1191" s="3">
        <v>8.6</v>
      </c>
      <c r="AX1191" s="3">
        <v>8.8000000000000007</v>
      </c>
      <c r="AY1191" s="3">
        <v>9.1</v>
      </c>
      <c r="AZ1191" s="3">
        <v>0</v>
      </c>
      <c r="BA1191" s="3">
        <v>0</v>
      </c>
      <c r="BB1191" s="3">
        <v>0</v>
      </c>
      <c r="BC1191" s="3">
        <v>40.352841449625359</v>
      </c>
      <c r="BD1191" s="3">
        <v>45.447158550374638</v>
      </c>
      <c r="BE1191" s="3">
        <v>43.747158550374635</v>
      </c>
      <c r="BF1191" s="3">
        <v>42.207158550374643</v>
      </c>
      <c r="BG1191" s="3">
        <v>39.433825217041303</v>
      </c>
      <c r="BH1191" s="3">
        <v>35.373825217041301</v>
      </c>
      <c r="BI1191" s="3">
        <v>34.687158550374633</v>
      </c>
      <c r="BJ1191" s="3">
        <v>39.380491883707961</v>
      </c>
      <c r="BK1191" s="3">
        <v>41.253825217041296</v>
      </c>
      <c r="BL1191" s="3">
        <v>46.127158550374645</v>
      </c>
      <c r="BM1191" s="3">
        <v>40.560491883707968</v>
      </c>
      <c r="BN1191" s="3">
        <v>39.843825217041299</v>
      </c>
      <c r="BO1191" s="3">
        <v>39.810491883707968</v>
      </c>
      <c r="BP1191" s="3">
        <v>37.627158550374645</v>
      </c>
      <c r="BQ1191" s="3">
        <v>36.443825217041294</v>
      </c>
      <c r="BR1191" s="3">
        <v>33.87049188370797</v>
      </c>
      <c r="BS1191" s="3">
        <v>32.673825217041312</v>
      </c>
      <c r="BT1191" s="3">
        <v>30.070491883707973</v>
      </c>
      <c r="BU1191" s="3">
        <v>25.737158550374645</v>
      </c>
      <c r="BV1191" s="3">
        <v>23.453825217041313</v>
      </c>
      <c r="BW1191" s="3">
        <v>21.187158550374647</v>
      </c>
      <c r="BX1191" s="3">
        <v>16.407158550374646</v>
      </c>
      <c r="BY1191" s="3">
        <v>11.727158550374639</v>
      </c>
      <c r="BZ1191" s="3">
        <v>13.957158550374643</v>
      </c>
      <c r="CA1191" s="3">
        <v>7.7571585503746334</v>
      </c>
      <c r="CB1191" s="3">
        <v>7.7938252170413023</v>
      </c>
      <c r="CC1191" s="3">
        <v>8.6071585503746348</v>
      </c>
      <c r="CD1191" s="3">
        <v>8.1138252170413097</v>
      </c>
      <c r="CE1191" s="3">
        <v>8.6071585503746348</v>
      </c>
      <c r="CF1191" s="3">
        <v>-0.87950811629202974</v>
      </c>
      <c r="CG1191" s="3">
        <v>-1.4128414496253612</v>
      </c>
      <c r="CH1191" s="3">
        <v>-2.4895081162920292</v>
      </c>
      <c r="CI1191" s="13">
        <f>[1]!dbasum(RecData[[#This Row],[20]:[2000]],RecData[[#Headers],[20]:[2000]])</f>
        <v>40.253991363531981</v>
      </c>
      <c r="CJ1191" s="14">
        <v>10786</v>
      </c>
      <c r="CK1191" s="15" t="s">
        <v>249</v>
      </c>
      <c r="CL1191" s="15">
        <f>RecData[[#This Row],[Start Time]]</f>
        <v>43276.045138888891</v>
      </c>
      <c r="CM1191" s="16">
        <f>RecData[[#This Row],[Wind Speed avg]]</f>
        <v>0.51</v>
      </c>
      <c r="CN1191" s="16">
        <f>RecData[[#This Row],[Wind Dir. avg]]</f>
        <v>138.6</v>
      </c>
      <c r="CO1191" s="16">
        <f>RecData[[#This Row],[Amb. Humidity]]</f>
        <v>63.9</v>
      </c>
      <c r="CP1191" s="16">
        <f>RecData[[#This Row],[Amb. Temperature]]</f>
        <v>10</v>
      </c>
      <c r="CQ1191" s="17">
        <f>RecData[[#This Row],[Amb. Rain Gauge]]</f>
        <v>0</v>
      </c>
      <c r="CR1191" s="4" t="s">
        <v>1</v>
      </c>
      <c r="CS1191" s="4" t="s">
        <v>49</v>
      </c>
      <c r="CT1191" s="70">
        <v>1402.24597167968</v>
      </c>
      <c r="CU1191" s="70">
        <v>39.000328063964801</v>
      </c>
      <c r="CV1191" s="70">
        <v>9.6271057128906197</v>
      </c>
      <c r="CW1191" s="70">
        <v>15.2316217422485</v>
      </c>
      <c r="CX1191" s="4"/>
      <c r="CY1191" s="69"/>
      <c r="CZ1191" s="2" t="b">
        <f>IF($DP$1="YES",IF(RecData[[#This Row],[Power (kW)]]&gt;=$CR$3, TRUE,FALSE),TRUE)</f>
        <v>1</v>
      </c>
      <c r="DA1191" s="16">
        <f>MIN(MOD(180-ABS(ABS($DA$1-RecData[Yaw Angle (°)])-180),360),MOD(180-ABS(ABS($DB$1-RecData[Yaw Angle (°)])-180),360))</f>
        <v>31.470401286277252</v>
      </c>
      <c r="DB1191" s="2" t="str">
        <f>IF($DP$2="None","None",IF(RecData[[#This Row],[Relative Wind Direction]]&lt;=45,"DW",IF(RecData[[#This Row],[Relative Wind Direction]]&lt;=135,"CW","UW")))</f>
        <v>DW</v>
      </c>
      <c r="DC1191" s="61" t="e">
        <f>IF($CL1191-$CL1188&gt;1/24,#REF!,IF(SUM($CQ1188:$CQ1191)&gt;$DS$1,$DS$5,DC1192-1))</f>
        <v>#REF!</v>
      </c>
      <c r="DD1191" s="61">
        <f>IF($CL1192-$CL1191&gt;1/24,#REF!,IF(SUM($CQ1188:$CQ1191)&gt;$DS$1,$DS$6,DD1190-1))</f>
        <v>-4</v>
      </c>
      <c r="DE1191" s="18" t="b">
        <v>0</v>
      </c>
      <c r="DF1191" s="2" t="b">
        <f>IF(OR(RecData[[#This Row],[WSpd_Avg '[m/s']]]-RecData[[#This Row],[Wind Speed min]]&gt;=$DF$3,RecData[[#This Row],[Wind Speed max]]-RecData[[#This Row],[WSpd_Avg '[m/s']]]&gt;=$DF$2),TRUE,FALSE)</f>
        <v>0</v>
      </c>
      <c r="DG1191" s="2" t="b">
        <f>RecData[[#This Row],[Temperature '[°C']]]&lt;=-20</f>
        <v>0</v>
      </c>
      <c r="DH1191" s="18" t="b">
        <f>NOT(OR(MOD(RecData[[#This Row],[TIMESTAMP]],1)&gt;0.91632,MOD(RecData[[#This Row],[TIMESTAMP]],1)&lt;0.208681))</f>
        <v>0</v>
      </c>
      <c r="DI1191" s="18" t="b">
        <f>RecData[[#This Row],[Overall (dBA)]]-RecData[[#This Row],[L90]]&gt;=$DS$4</f>
        <v>0</v>
      </c>
      <c r="DJ1191" s="18" t="b">
        <f>RecData[[#This Row],[Overall (dBA)]]&gt;$DS$2</f>
        <v>0</v>
      </c>
      <c r="DK1191" s="18" t="b">
        <f>RecData[[#This Row],[Overall (dBA)]]&lt;$DS$3</f>
        <v>0</v>
      </c>
      <c r="DL11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1" s="2">
        <f>IF(AND(RecData[[#This Row],[Turbines ON/OFF]] = "OFF", NOT(OR(RecData[[#This Row],[Junk?]]="YES",RecData[[#This Row],[Gust?]],RecData[[#This Row],[Rain?]:[Min SPL Threshold?]]))),1,0)</f>
        <v>0</v>
      </c>
      <c r="DN1191" s="16">
        <f>RecData[[#This Row],[dBA Sum]]</f>
        <v>40.253991363531981</v>
      </c>
      <c r="DO1191" s="16">
        <f>RecData[[#This Row],[LAF90.0]]</f>
        <v>38.9</v>
      </c>
      <c r="DP1191" s="55">
        <f>IF(AND(RecData[[#This Row],[Useable TON Data?]],RecData[[#This Row],[Turbines ON/OFF]]="ON"),RecData[[#This Row],[dBA Sum]],"")</f>
        <v>40.253991363531981</v>
      </c>
      <c r="DQ1191" s="55" t="str">
        <f>IF(AND(RecData[[#This Row],[Useable Background Data?]],RecData[[#This Row],[Turbines ON/OFF]]="OFF"),RecData[[#This Row],[dBA Sum]],"")</f>
        <v/>
      </c>
      <c r="DR1191" s="3">
        <f>IF(OR(RecData[[#This Row],[Useable TON Data?]],RecData[[#This Row],[Useable Background Data?]]),ROUND(RecData[[#This Row],[WSpd_Avg '[m/s']]],0),"")</f>
        <v>1</v>
      </c>
      <c r="DS1191" s="85">
        <f>(0.00002)^2*(10^(RecData[[#This Row],[Overall (dBA)]]/10))</f>
        <v>4.2409106997691113E-6</v>
      </c>
    </row>
    <row r="1192" spans="1:123" ht="15" x14ac:dyDescent="0.25">
      <c r="A1192" s="3" t="s">
        <v>249</v>
      </c>
      <c r="B1192" s="12">
        <v>43276.045833333337</v>
      </c>
      <c r="C1192" s="3"/>
      <c r="D1192" s="3">
        <v>39.700000000000003</v>
      </c>
      <c r="E1192" s="3"/>
      <c r="F1192" s="3"/>
      <c r="G1192" s="3"/>
      <c r="H1192" s="3"/>
      <c r="I1192" s="3"/>
      <c r="J1192" s="3"/>
      <c r="K1192" s="3">
        <v>38.1</v>
      </c>
      <c r="L1192" s="3"/>
      <c r="M1192" s="3"/>
      <c r="N1192" s="3">
        <v>156</v>
      </c>
      <c r="O1192" s="3"/>
      <c r="P1192" s="3"/>
      <c r="Q1192" s="3">
        <v>0.56000000000000005</v>
      </c>
      <c r="R1192" s="3">
        <v>0.3</v>
      </c>
      <c r="S1192" s="3">
        <v>0.7</v>
      </c>
      <c r="T1192" s="3">
        <v>9.9</v>
      </c>
      <c r="U1192" s="3">
        <v>64.7</v>
      </c>
      <c r="V1192" s="3">
        <v>977.9</v>
      </c>
      <c r="W1192" s="3">
        <v>0</v>
      </c>
      <c r="X1192" s="3">
        <v>45.4</v>
      </c>
      <c r="Y1192" s="3">
        <v>44.5</v>
      </c>
      <c r="Z1192" s="3">
        <v>43.5</v>
      </c>
      <c r="AA1192" s="3">
        <v>40.9</v>
      </c>
      <c r="AB1192" s="3">
        <v>36.200000000000003</v>
      </c>
      <c r="AC1192" s="3">
        <v>34.700000000000003</v>
      </c>
      <c r="AD1192" s="3">
        <v>38.1</v>
      </c>
      <c r="AE1192" s="3">
        <v>40.1</v>
      </c>
      <c r="AF1192" s="3">
        <v>45.6</v>
      </c>
      <c r="AG1192" s="3">
        <v>40.1</v>
      </c>
      <c r="AH1192" s="3">
        <v>38.700000000000003</v>
      </c>
      <c r="AI1192" s="3">
        <v>39</v>
      </c>
      <c r="AJ1192" s="3">
        <v>37.6</v>
      </c>
      <c r="AK1192" s="3">
        <v>35.9</v>
      </c>
      <c r="AL1192" s="3">
        <v>33.299999999999997</v>
      </c>
      <c r="AM1192" s="3">
        <v>32.200000000000003</v>
      </c>
      <c r="AN1192" s="3">
        <v>29.6</v>
      </c>
      <c r="AO1192" s="3">
        <v>25.2</v>
      </c>
      <c r="AP1192" s="3">
        <v>22.6</v>
      </c>
      <c r="AQ1192" s="3">
        <v>20.6</v>
      </c>
      <c r="AR1192" s="3">
        <v>16.100000000000001</v>
      </c>
      <c r="AS1192" s="3">
        <v>11.2</v>
      </c>
      <c r="AT1192" s="3">
        <v>12</v>
      </c>
      <c r="AU1192" s="3">
        <v>7.4</v>
      </c>
      <c r="AV1192" s="3">
        <v>8</v>
      </c>
      <c r="AW1192" s="3">
        <v>8.5</v>
      </c>
      <c r="AX1192" s="3">
        <v>8.8000000000000007</v>
      </c>
      <c r="AY1192" s="3">
        <v>9.1</v>
      </c>
      <c r="AZ1192" s="3">
        <v>0</v>
      </c>
      <c r="BA1192" s="3">
        <v>0</v>
      </c>
      <c r="BB1192" s="3">
        <v>0</v>
      </c>
      <c r="BC1192" s="3">
        <v>39.734558175027644</v>
      </c>
      <c r="BD1192" s="3">
        <v>45.365441824972351</v>
      </c>
      <c r="BE1192" s="3">
        <v>44.465441824972359</v>
      </c>
      <c r="BF1192" s="3">
        <v>42.225441824972364</v>
      </c>
      <c r="BG1192" s="3">
        <v>39.952108491639024</v>
      </c>
      <c r="BH1192" s="3">
        <v>35.392108491639021</v>
      </c>
      <c r="BI1192" s="3">
        <v>34.305441824972362</v>
      </c>
      <c r="BJ1192" s="3">
        <v>38.498775158305691</v>
      </c>
      <c r="BK1192" s="3">
        <v>40.372108491639025</v>
      </c>
      <c r="BL1192" s="3">
        <v>45.445441824972363</v>
      </c>
      <c r="BM1192" s="3">
        <v>40.078775158305689</v>
      </c>
      <c r="BN1192" s="3">
        <v>38.962108491639029</v>
      </c>
      <c r="BO1192" s="3">
        <v>38.6287751583057</v>
      </c>
      <c r="BP1192" s="3">
        <v>36.945441824972363</v>
      </c>
      <c r="BQ1192" s="3">
        <v>35.662108491639017</v>
      </c>
      <c r="BR1192" s="3">
        <v>33.388775158305691</v>
      </c>
      <c r="BS1192" s="3">
        <v>32.092108491639038</v>
      </c>
      <c r="BT1192" s="3">
        <v>29.688775158305702</v>
      </c>
      <c r="BU1192" s="3">
        <v>25.255441824972365</v>
      </c>
      <c r="BV1192" s="3">
        <v>22.372108491639025</v>
      </c>
      <c r="BW1192" s="3">
        <v>20.905441824972364</v>
      </c>
      <c r="BX1192" s="3">
        <v>16.325441824972366</v>
      </c>
      <c r="BY1192" s="3">
        <v>11.24544182497236</v>
      </c>
      <c r="BZ1192" s="3">
        <v>12.17544182497236</v>
      </c>
      <c r="CA1192" s="3">
        <v>7.6754418249723528</v>
      </c>
      <c r="CB1192" s="3">
        <v>7.7121084916390217</v>
      </c>
      <c r="CC1192" s="3">
        <v>8.4254418249723599</v>
      </c>
      <c r="CD1192" s="3">
        <v>8.0321084916390291</v>
      </c>
      <c r="CE1192" s="3">
        <v>8.5254418249723614</v>
      </c>
      <c r="CF1192" s="3">
        <v>-0.96122484169431033</v>
      </c>
      <c r="CG1192" s="3">
        <v>-1.4945581750276418</v>
      </c>
      <c r="CH1192" s="3">
        <v>-2.5712248416943098</v>
      </c>
      <c r="CI1192" s="13">
        <f>[1]!dbasum(RecData[[#This Row],[20]:[2000]],RecData[[#Headers],[20]:[2000]])</f>
        <v>39.560288850229377</v>
      </c>
      <c r="CJ1192" s="14">
        <v>10787</v>
      </c>
      <c r="CK1192" s="15" t="s">
        <v>249</v>
      </c>
      <c r="CL1192" s="15">
        <f>RecData[[#This Row],[Start Time]]</f>
        <v>43276.045833333337</v>
      </c>
      <c r="CM1192" s="16">
        <f>RecData[[#This Row],[Wind Speed avg]]</f>
        <v>0.56000000000000005</v>
      </c>
      <c r="CN1192" s="16">
        <f>RecData[[#This Row],[Wind Dir. avg]]</f>
        <v>156</v>
      </c>
      <c r="CO1192" s="16">
        <f>RecData[[#This Row],[Amb. Humidity]]</f>
        <v>64.7</v>
      </c>
      <c r="CP1192" s="16">
        <f>RecData[[#This Row],[Amb. Temperature]]</f>
        <v>9.9</v>
      </c>
      <c r="CQ1192" s="17">
        <f>RecData[[#This Row],[Amb. Rain Gauge]]</f>
        <v>0</v>
      </c>
      <c r="CR1192" s="4" t="s">
        <v>1</v>
      </c>
      <c r="CS1192" s="4" t="s">
        <v>49</v>
      </c>
      <c r="CT1192" s="70">
        <v>1402.24597167968</v>
      </c>
      <c r="CU1192" s="70">
        <v>39.000328063964801</v>
      </c>
      <c r="CV1192" s="70">
        <v>9.6271057128906197</v>
      </c>
      <c r="CW1192" s="70">
        <v>15.2316217422485</v>
      </c>
      <c r="CX1192" s="4"/>
      <c r="CY1192" s="69"/>
      <c r="CZ1192" s="2" t="b">
        <f>IF($DP$1="YES",IF(RecData[[#This Row],[Power (kW)]]&gt;=$CR$3, TRUE,FALSE),TRUE)</f>
        <v>1</v>
      </c>
      <c r="DA1192" s="16">
        <f>MIN(MOD(180-ABS(ABS($DA$1-RecData[Yaw Angle (°)])-180),360),MOD(180-ABS(ABS($DB$1-RecData[Yaw Angle (°)])-180),360))</f>
        <v>31.470401286277252</v>
      </c>
      <c r="DB1192" s="2" t="str">
        <f>IF($DP$2="None","None",IF(RecData[[#This Row],[Relative Wind Direction]]&lt;=45,"DW",IF(RecData[[#This Row],[Relative Wind Direction]]&lt;=135,"CW","UW")))</f>
        <v>DW</v>
      </c>
      <c r="DC1192" s="61" t="e">
        <f>IF($CL1192-$CL1188&gt;1/24,#REF!,IF(SUM($CQ1188:$CQ1192)&gt;$DS$1,$DS$5,DC1193-1))</f>
        <v>#REF!</v>
      </c>
      <c r="DD1192" s="61">
        <f>IF($CL1193-$CL1192&gt;1/24,#REF!,IF(SUM($CQ1188:$CQ1192)&gt;$DS$1,$DS$6,DD1191-1))</f>
        <v>-5</v>
      </c>
      <c r="DE1192" s="18" t="b">
        <v>0</v>
      </c>
      <c r="DF1192" s="2" t="b">
        <f>IF(OR(RecData[[#This Row],[WSpd_Avg '[m/s']]]-RecData[[#This Row],[Wind Speed min]]&gt;=$DF$3,RecData[[#This Row],[Wind Speed max]]-RecData[[#This Row],[WSpd_Avg '[m/s']]]&gt;=$DF$2),TRUE,FALSE)</f>
        <v>0</v>
      </c>
      <c r="DG1192" s="2" t="b">
        <f>RecData[[#This Row],[Temperature '[°C']]]&lt;=-20</f>
        <v>0</v>
      </c>
      <c r="DH1192" s="18" t="b">
        <f>NOT(OR(MOD(RecData[[#This Row],[TIMESTAMP]],1)&gt;0.91632,MOD(RecData[[#This Row],[TIMESTAMP]],1)&lt;0.208681))</f>
        <v>0</v>
      </c>
      <c r="DI1192" s="18" t="b">
        <f>RecData[[#This Row],[Overall (dBA)]]-RecData[[#This Row],[L90]]&gt;=$DS$4</f>
        <v>0</v>
      </c>
      <c r="DJ1192" s="18" t="b">
        <f>RecData[[#This Row],[Overall (dBA)]]&gt;$DS$2</f>
        <v>0</v>
      </c>
      <c r="DK1192" s="18" t="b">
        <f>RecData[[#This Row],[Overall (dBA)]]&lt;$DS$3</f>
        <v>0</v>
      </c>
      <c r="DL11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2" s="2">
        <f>IF(AND(RecData[[#This Row],[Turbines ON/OFF]] = "OFF", NOT(OR(RecData[[#This Row],[Junk?]]="YES",RecData[[#This Row],[Gust?]],RecData[[#This Row],[Rain?]:[Min SPL Threshold?]]))),1,0)</f>
        <v>0</v>
      </c>
      <c r="DN1192" s="16">
        <f>RecData[[#This Row],[dBA Sum]]</f>
        <v>39.560288850229377</v>
      </c>
      <c r="DO1192" s="16">
        <f>RecData[[#This Row],[LAF90.0]]</f>
        <v>38.1</v>
      </c>
      <c r="DP1192" s="55">
        <f>IF(AND(RecData[[#This Row],[Useable TON Data?]],RecData[[#This Row],[Turbines ON/OFF]]="ON"),RecData[[#This Row],[dBA Sum]],"")</f>
        <v>39.560288850229377</v>
      </c>
      <c r="DQ1192" s="55" t="str">
        <f>IF(AND(RecData[[#This Row],[Useable Background Data?]],RecData[[#This Row],[Turbines ON/OFF]]="OFF"),RecData[[#This Row],[dBA Sum]],"")</f>
        <v/>
      </c>
      <c r="DR1192" s="3">
        <f>IF(OR(RecData[[#This Row],[Useable TON Data?]],RecData[[#This Row],[Useable Background Data?]]),ROUND(RecData[[#This Row],[WSpd_Avg '[m/s']]],0),"")</f>
        <v>1</v>
      </c>
      <c r="DS1192" s="85">
        <f>(0.00002)^2*(10^(RecData[[#This Row],[Overall (dBA)]]/10))</f>
        <v>3.6148383105970366E-6</v>
      </c>
    </row>
    <row r="1193" spans="1:123" ht="15" x14ac:dyDescent="0.25">
      <c r="A1193" s="3" t="s">
        <v>249</v>
      </c>
      <c r="B1193" s="12">
        <v>43276.046527777784</v>
      </c>
      <c r="C1193" s="3"/>
      <c r="D1193" s="3">
        <v>39.6</v>
      </c>
      <c r="E1193" s="3"/>
      <c r="F1193" s="3"/>
      <c r="G1193" s="3"/>
      <c r="H1193" s="3"/>
      <c r="I1193" s="3"/>
      <c r="J1193" s="3"/>
      <c r="K1193" s="3">
        <v>38.4</v>
      </c>
      <c r="L1193" s="3"/>
      <c r="M1193" s="3"/>
      <c r="N1193" s="3">
        <v>148.6</v>
      </c>
      <c r="O1193" s="3"/>
      <c r="P1193" s="3"/>
      <c r="Q1193" s="3">
        <v>0.56999999999999995</v>
      </c>
      <c r="R1193" s="3">
        <v>0.4</v>
      </c>
      <c r="S1193" s="3">
        <v>0.8</v>
      </c>
      <c r="T1193" s="3">
        <v>9.6999999999999993</v>
      </c>
      <c r="U1193" s="3">
        <v>66</v>
      </c>
      <c r="V1193" s="3">
        <v>977.9</v>
      </c>
      <c r="W1193" s="3">
        <v>0</v>
      </c>
      <c r="X1193" s="3">
        <v>45</v>
      </c>
      <c r="Y1193" s="3">
        <v>43.8</v>
      </c>
      <c r="Z1193" s="3">
        <v>43.6</v>
      </c>
      <c r="AA1193" s="3">
        <v>40.5</v>
      </c>
      <c r="AB1193" s="3">
        <v>35.6</v>
      </c>
      <c r="AC1193" s="3">
        <v>34.299999999999997</v>
      </c>
      <c r="AD1193" s="3">
        <v>38.1</v>
      </c>
      <c r="AE1193" s="3">
        <v>40.1</v>
      </c>
      <c r="AF1193" s="3">
        <v>45.1</v>
      </c>
      <c r="AG1193" s="3">
        <v>39.9</v>
      </c>
      <c r="AH1193" s="3">
        <v>38.5</v>
      </c>
      <c r="AI1193" s="3">
        <v>38.9</v>
      </c>
      <c r="AJ1193" s="3">
        <v>37.5</v>
      </c>
      <c r="AK1193" s="3">
        <v>35.700000000000003</v>
      </c>
      <c r="AL1193" s="3">
        <v>33.200000000000003</v>
      </c>
      <c r="AM1193" s="3">
        <v>32.1</v>
      </c>
      <c r="AN1193" s="3">
        <v>29.4</v>
      </c>
      <c r="AO1193" s="3">
        <v>25.3</v>
      </c>
      <c r="AP1193" s="3">
        <v>22.8</v>
      </c>
      <c r="AQ1193" s="3">
        <v>20.3</v>
      </c>
      <c r="AR1193" s="3">
        <v>15.5</v>
      </c>
      <c r="AS1193" s="3">
        <v>11.4</v>
      </c>
      <c r="AT1193" s="3">
        <v>12.4</v>
      </c>
      <c r="AU1193" s="3">
        <v>7.3</v>
      </c>
      <c r="AV1193" s="3">
        <v>8</v>
      </c>
      <c r="AW1193" s="3">
        <v>8.5</v>
      </c>
      <c r="AX1193" s="3">
        <v>8.8000000000000007</v>
      </c>
      <c r="AY1193" s="3">
        <v>9.1</v>
      </c>
      <c r="AZ1193" s="3">
        <v>0</v>
      </c>
      <c r="BA1193" s="3">
        <v>0</v>
      </c>
      <c r="BB1193" s="3">
        <v>0</v>
      </c>
      <c r="BC1193" s="3">
        <v>39.577244848856907</v>
      </c>
      <c r="BD1193" s="3">
        <v>45.022755151143087</v>
      </c>
      <c r="BE1193" s="3">
        <v>43.822755151143099</v>
      </c>
      <c r="BF1193" s="3">
        <v>42.382755151143101</v>
      </c>
      <c r="BG1193" s="3">
        <v>39.609421817809761</v>
      </c>
      <c r="BH1193" s="3">
        <v>34.84942181780977</v>
      </c>
      <c r="BI1193" s="3">
        <v>33.962755151143085</v>
      </c>
      <c r="BJ1193" s="3">
        <v>38.556088484476419</v>
      </c>
      <c r="BK1193" s="3">
        <v>40.429421817809754</v>
      </c>
      <c r="BL1193" s="3">
        <v>45.002755151143106</v>
      </c>
      <c r="BM1193" s="3">
        <v>39.936088484476429</v>
      </c>
      <c r="BN1193" s="3">
        <v>38.819421817809769</v>
      </c>
      <c r="BO1193" s="3">
        <v>38.58608848447642</v>
      </c>
      <c r="BP1193" s="3">
        <v>36.902755151143097</v>
      </c>
      <c r="BQ1193" s="3">
        <v>35.519421817809757</v>
      </c>
      <c r="BR1193" s="3">
        <v>33.346088484476439</v>
      </c>
      <c r="BS1193" s="3">
        <v>32.049421817809758</v>
      </c>
      <c r="BT1193" s="3">
        <v>29.546088484476428</v>
      </c>
      <c r="BU1193" s="3">
        <v>25.412755151143102</v>
      </c>
      <c r="BV1193" s="3">
        <v>22.629421817809764</v>
      </c>
      <c r="BW1193" s="3">
        <v>20.662755151143102</v>
      </c>
      <c r="BX1193" s="3">
        <v>15.7827551511431</v>
      </c>
      <c r="BY1193" s="3">
        <v>11.502755151143091</v>
      </c>
      <c r="BZ1193" s="3">
        <v>12.632755151143101</v>
      </c>
      <c r="CA1193" s="3">
        <v>7.6327551511430869</v>
      </c>
      <c r="CB1193" s="3">
        <v>7.7694218178097572</v>
      </c>
      <c r="CC1193" s="3">
        <v>8.4827551511430954</v>
      </c>
      <c r="CD1193" s="3">
        <v>8.0894218178097645</v>
      </c>
      <c r="CE1193" s="3">
        <v>8.5827551511430897</v>
      </c>
      <c r="CF1193" s="3">
        <v>-0.90391151552357485</v>
      </c>
      <c r="CG1193" s="3">
        <v>-1.4372448488569063</v>
      </c>
      <c r="CH1193" s="3">
        <v>-2.5139115155235743</v>
      </c>
      <c r="CI1193" s="13">
        <f>[1]!dbasum(RecData[[#This Row],[20]:[2000]],RecData[[#Headers],[20]:[2000]])</f>
        <v>39.456843048885418</v>
      </c>
      <c r="CJ1193" s="14">
        <v>10788</v>
      </c>
      <c r="CK1193" s="15" t="s">
        <v>249</v>
      </c>
      <c r="CL1193" s="15">
        <f>RecData[[#This Row],[Start Time]]</f>
        <v>43276.046527777784</v>
      </c>
      <c r="CM1193" s="16">
        <f>RecData[[#This Row],[Wind Speed avg]]</f>
        <v>0.56999999999999995</v>
      </c>
      <c r="CN1193" s="16">
        <f>RecData[[#This Row],[Wind Dir. avg]]</f>
        <v>148.6</v>
      </c>
      <c r="CO1193" s="16">
        <f>RecData[[#This Row],[Amb. Humidity]]</f>
        <v>66</v>
      </c>
      <c r="CP1193" s="16">
        <f>RecData[[#This Row],[Amb. Temperature]]</f>
        <v>9.6999999999999993</v>
      </c>
      <c r="CQ1193" s="17">
        <f>RecData[[#This Row],[Amb. Rain Gauge]]</f>
        <v>0</v>
      </c>
      <c r="CR1193" s="4" t="s">
        <v>1</v>
      </c>
      <c r="CS1193" s="4" t="s">
        <v>49</v>
      </c>
      <c r="CT1193" s="70">
        <v>1402.24597167968</v>
      </c>
      <c r="CU1193" s="70">
        <v>39.000328063964801</v>
      </c>
      <c r="CV1193" s="70">
        <v>9.6271057128906197</v>
      </c>
      <c r="CW1193" s="70">
        <v>15.2316217422485</v>
      </c>
      <c r="CX1193" s="4"/>
      <c r="CY1193" s="69"/>
      <c r="CZ1193" s="2" t="b">
        <f>IF($DP$1="YES",IF(RecData[[#This Row],[Power (kW)]]&gt;=$CR$3, TRUE,FALSE),TRUE)</f>
        <v>1</v>
      </c>
      <c r="DA1193" s="16">
        <f>MIN(MOD(180-ABS(ABS($DA$1-RecData[Yaw Angle (°)])-180),360),MOD(180-ABS(ABS($DB$1-RecData[Yaw Angle (°)])-180),360))</f>
        <v>31.470401286277252</v>
      </c>
      <c r="DB1193" s="2" t="str">
        <f>IF($DP$2="None","None",IF(RecData[[#This Row],[Relative Wind Direction]]&lt;=45,"DW",IF(RecData[[#This Row],[Relative Wind Direction]]&lt;=135,"CW","UW")))</f>
        <v>DW</v>
      </c>
      <c r="DC1193" s="61" t="e">
        <f>IF($CL1193-$CL1189&gt;1/24,#REF!,IF(SUM($CQ1189:$CQ1193)&gt;$DS$1,$DS$5,DC1194-1))</f>
        <v>#REF!</v>
      </c>
      <c r="DD1193" s="61">
        <f>IF($CL1194-$CL1193&gt;1/24,#REF!,IF(SUM($CQ1189:$CQ1193)&gt;$DS$1,$DS$6,DD1192-1))</f>
        <v>-6</v>
      </c>
      <c r="DE1193" s="18" t="b">
        <v>0</v>
      </c>
      <c r="DF1193" s="2" t="b">
        <f>IF(OR(RecData[[#This Row],[WSpd_Avg '[m/s']]]-RecData[[#This Row],[Wind Speed min]]&gt;=$DF$3,RecData[[#This Row],[Wind Speed max]]-RecData[[#This Row],[WSpd_Avg '[m/s']]]&gt;=$DF$2),TRUE,FALSE)</f>
        <v>0</v>
      </c>
      <c r="DG1193" s="2" t="b">
        <f>RecData[[#This Row],[Temperature '[°C']]]&lt;=-20</f>
        <v>0</v>
      </c>
      <c r="DH1193" s="18" t="b">
        <f>NOT(OR(MOD(RecData[[#This Row],[TIMESTAMP]],1)&gt;0.91632,MOD(RecData[[#This Row],[TIMESTAMP]],1)&lt;0.208681))</f>
        <v>0</v>
      </c>
      <c r="DI1193" s="18" t="b">
        <f>RecData[[#This Row],[Overall (dBA)]]-RecData[[#This Row],[L90]]&gt;=$DS$4</f>
        <v>0</v>
      </c>
      <c r="DJ1193" s="18" t="b">
        <f>RecData[[#This Row],[Overall (dBA)]]&gt;$DS$2</f>
        <v>0</v>
      </c>
      <c r="DK1193" s="18" t="b">
        <f>RecData[[#This Row],[Overall (dBA)]]&lt;$DS$3</f>
        <v>0</v>
      </c>
      <c r="DL11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3" s="2">
        <f>IF(AND(RecData[[#This Row],[Turbines ON/OFF]] = "OFF", NOT(OR(RecData[[#This Row],[Junk?]]="YES",RecData[[#This Row],[Gust?]],RecData[[#This Row],[Rain?]:[Min SPL Threshold?]]))),1,0)</f>
        <v>0</v>
      </c>
      <c r="DN1193" s="16">
        <f>RecData[[#This Row],[dBA Sum]]</f>
        <v>39.456843048885418</v>
      </c>
      <c r="DO1193" s="16">
        <f>RecData[[#This Row],[LAF90.0]]</f>
        <v>38.4</v>
      </c>
      <c r="DP1193" s="55">
        <f>IF(AND(RecData[[#This Row],[Useable TON Data?]],RecData[[#This Row],[Turbines ON/OFF]]="ON"),RecData[[#This Row],[dBA Sum]],"")</f>
        <v>39.456843048885418</v>
      </c>
      <c r="DQ1193" s="55" t="str">
        <f>IF(AND(RecData[[#This Row],[Useable Background Data?]],RecData[[#This Row],[Turbines ON/OFF]]="OFF"),RecData[[#This Row],[dBA Sum]],"")</f>
        <v/>
      </c>
      <c r="DR1193" s="3">
        <f>IF(OR(RecData[[#This Row],[Useable TON Data?]],RecData[[#This Row],[Useable Background Data?]]),ROUND(RecData[[#This Row],[WSpd_Avg '[m/s']]],0),"")</f>
        <v>1</v>
      </c>
      <c r="DS1193" s="85">
        <f>(0.00002)^2*(10^(RecData[[#This Row],[Overall (dBA)]]/10))</f>
        <v>3.5297528390960503E-6</v>
      </c>
    </row>
    <row r="1194" spans="1:123" ht="15" x14ac:dyDescent="0.25">
      <c r="A1194" s="3" t="s">
        <v>249</v>
      </c>
      <c r="B1194" s="12">
        <v>43276.047222222231</v>
      </c>
      <c r="C1194" s="3"/>
      <c r="D1194" s="3">
        <v>40.4</v>
      </c>
      <c r="E1194" s="3"/>
      <c r="F1194" s="3"/>
      <c r="G1194" s="3"/>
      <c r="H1194" s="3"/>
      <c r="I1194" s="3"/>
      <c r="J1194" s="3"/>
      <c r="K1194" s="3">
        <v>39.299999999999997</v>
      </c>
      <c r="L1194" s="3"/>
      <c r="M1194" s="3"/>
      <c r="N1194" s="3">
        <v>207.4</v>
      </c>
      <c r="O1194" s="3"/>
      <c r="P1194" s="3"/>
      <c r="Q1194" s="3">
        <v>0.55000000000000004</v>
      </c>
      <c r="R1194" s="3">
        <v>0.3</v>
      </c>
      <c r="S1194" s="3">
        <v>0.8</v>
      </c>
      <c r="T1194" s="3">
        <v>9.6</v>
      </c>
      <c r="U1194" s="3">
        <v>66.099999999999994</v>
      </c>
      <c r="V1194" s="3">
        <v>977.9</v>
      </c>
      <c r="W1194" s="3">
        <v>0</v>
      </c>
      <c r="X1194" s="3">
        <v>46.1</v>
      </c>
      <c r="Y1194" s="3">
        <v>44.2</v>
      </c>
      <c r="Z1194" s="3">
        <v>43.8</v>
      </c>
      <c r="AA1194" s="3">
        <v>40.9</v>
      </c>
      <c r="AB1194" s="3">
        <v>36.700000000000003</v>
      </c>
      <c r="AC1194" s="3">
        <v>35</v>
      </c>
      <c r="AD1194" s="3">
        <v>38.700000000000003</v>
      </c>
      <c r="AE1194" s="3">
        <v>41</v>
      </c>
      <c r="AF1194" s="3">
        <v>46.9</v>
      </c>
      <c r="AG1194" s="3">
        <v>41.4</v>
      </c>
      <c r="AH1194" s="3">
        <v>38.9</v>
      </c>
      <c r="AI1194" s="3">
        <v>40</v>
      </c>
      <c r="AJ1194" s="3">
        <v>38</v>
      </c>
      <c r="AK1194" s="3">
        <v>36.1</v>
      </c>
      <c r="AL1194" s="3">
        <v>33.799999999999997</v>
      </c>
      <c r="AM1194" s="3">
        <v>32.700000000000003</v>
      </c>
      <c r="AN1194" s="3">
        <v>30</v>
      </c>
      <c r="AO1194" s="3">
        <v>25.8</v>
      </c>
      <c r="AP1194" s="3">
        <v>23.8</v>
      </c>
      <c r="AQ1194" s="3">
        <v>21.1</v>
      </c>
      <c r="AR1194" s="3">
        <v>16.899999999999999</v>
      </c>
      <c r="AS1194" s="3">
        <v>11.7</v>
      </c>
      <c r="AT1194" s="3">
        <v>13.4</v>
      </c>
      <c r="AU1194" s="3">
        <v>7.5</v>
      </c>
      <c r="AV1194" s="3">
        <v>8</v>
      </c>
      <c r="AW1194" s="3">
        <v>8.6</v>
      </c>
      <c r="AX1194" s="3">
        <v>8.8000000000000007</v>
      </c>
      <c r="AY1194" s="3">
        <v>9.1</v>
      </c>
      <c r="AZ1194" s="3">
        <v>0</v>
      </c>
      <c r="BA1194" s="3">
        <v>0</v>
      </c>
      <c r="BB1194" s="3">
        <v>0</v>
      </c>
      <c r="BC1194" s="3">
        <v>40.368395161876585</v>
      </c>
      <c r="BD1194" s="3">
        <v>46.131604838123415</v>
      </c>
      <c r="BE1194" s="3">
        <v>44.23160483812341</v>
      </c>
      <c r="BF1194" s="3">
        <v>42.591604838123409</v>
      </c>
      <c r="BG1194" s="3">
        <v>40.018271504790071</v>
      </c>
      <c r="BH1194" s="3">
        <v>35.958271504790083</v>
      </c>
      <c r="BI1194" s="3">
        <v>34.671604838123407</v>
      </c>
      <c r="BJ1194" s="3">
        <v>39.164938171456747</v>
      </c>
      <c r="BK1194" s="3">
        <v>41.338271504790079</v>
      </c>
      <c r="BL1194" s="3">
        <v>46.811604838123422</v>
      </c>
      <c r="BM1194" s="3">
        <v>41.444938171456748</v>
      </c>
      <c r="BN1194" s="3">
        <v>39.228271504790079</v>
      </c>
      <c r="BO1194" s="3">
        <v>39.694938171456748</v>
      </c>
      <c r="BP1194" s="3">
        <v>37.411604838123417</v>
      </c>
      <c r="BQ1194" s="3">
        <v>35.928271504790068</v>
      </c>
      <c r="BR1194" s="3">
        <v>33.954938171456739</v>
      </c>
      <c r="BS1194" s="3">
        <v>32.658271504790086</v>
      </c>
      <c r="BT1194" s="3">
        <v>30.154938171456756</v>
      </c>
      <c r="BU1194" s="3">
        <v>25.921604838123422</v>
      </c>
      <c r="BV1194" s="3">
        <v>23.638271504790076</v>
      </c>
      <c r="BW1194" s="3">
        <v>21.471604838123419</v>
      </c>
      <c r="BX1194" s="3">
        <v>17.191604838123418</v>
      </c>
      <c r="BY1194" s="3">
        <v>11.811604838123408</v>
      </c>
      <c r="BZ1194" s="3">
        <v>13.641604838123421</v>
      </c>
      <c r="CA1194" s="3">
        <v>7.8416048381234091</v>
      </c>
      <c r="CB1194" s="3">
        <v>7.7782715047900766</v>
      </c>
      <c r="CC1194" s="3">
        <v>8.5916048381234091</v>
      </c>
      <c r="CD1194" s="3">
        <v>8.098271504790084</v>
      </c>
      <c r="CE1194" s="3">
        <v>8.5916048381234091</v>
      </c>
      <c r="CF1194" s="3">
        <v>-0.89506182854325544</v>
      </c>
      <c r="CG1194" s="3">
        <v>-1.4283951618765869</v>
      </c>
      <c r="CH1194" s="3">
        <v>-2.5050618285432549</v>
      </c>
      <c r="CI1194" s="13">
        <f>[1]!dbasum(RecData[[#This Row],[20]:[2000]],RecData[[#Headers],[20]:[2000]])</f>
        <v>40.259181629811849</v>
      </c>
      <c r="CJ1194" s="14">
        <v>10789</v>
      </c>
      <c r="CK1194" s="15" t="s">
        <v>249</v>
      </c>
      <c r="CL1194" s="15">
        <f>RecData[[#This Row],[Start Time]]</f>
        <v>43276.047222222231</v>
      </c>
      <c r="CM1194" s="16">
        <f>RecData[[#This Row],[Wind Speed avg]]</f>
        <v>0.55000000000000004</v>
      </c>
      <c r="CN1194" s="16">
        <f>RecData[[#This Row],[Wind Dir. avg]]</f>
        <v>207.4</v>
      </c>
      <c r="CO1194" s="16">
        <f>RecData[[#This Row],[Amb. Humidity]]</f>
        <v>66.099999999999994</v>
      </c>
      <c r="CP1194" s="16">
        <f>RecData[[#This Row],[Amb. Temperature]]</f>
        <v>9.6</v>
      </c>
      <c r="CQ1194" s="17">
        <f>RecData[[#This Row],[Amb. Rain Gauge]]</f>
        <v>0</v>
      </c>
      <c r="CR1194" s="4" t="s">
        <v>1</v>
      </c>
      <c r="CS1194" s="4" t="s">
        <v>49</v>
      </c>
      <c r="CT1194" s="70">
        <v>1402.24597167968</v>
      </c>
      <c r="CU1194" s="70">
        <v>39.000328063964801</v>
      </c>
      <c r="CV1194" s="70">
        <v>9.6271057128906197</v>
      </c>
      <c r="CW1194" s="70">
        <v>15.2316217422485</v>
      </c>
      <c r="CX1194" s="4"/>
      <c r="CY1194" s="69"/>
      <c r="CZ1194" s="2" t="b">
        <f>IF($DP$1="YES",IF(RecData[[#This Row],[Power (kW)]]&gt;=$CR$3, TRUE,FALSE),TRUE)</f>
        <v>1</v>
      </c>
      <c r="DA1194" s="16">
        <f>MIN(MOD(180-ABS(ABS($DA$1-RecData[Yaw Angle (°)])-180),360),MOD(180-ABS(ABS($DB$1-RecData[Yaw Angle (°)])-180),360))</f>
        <v>31.470401286277252</v>
      </c>
      <c r="DB1194" s="2" t="str">
        <f>IF($DP$2="None","None",IF(RecData[[#This Row],[Relative Wind Direction]]&lt;=45,"DW",IF(RecData[[#This Row],[Relative Wind Direction]]&lt;=135,"CW","UW")))</f>
        <v>DW</v>
      </c>
      <c r="DC1194" s="61" t="e">
        <f>IF($CL1194-$CL1190&gt;1/24,#REF!,IF(SUM($CQ1190:$CQ1194)&gt;$DS$1,$DS$5,DC1195-1))</f>
        <v>#REF!</v>
      </c>
      <c r="DD1194" s="61">
        <f>IF($CL1195-$CL1194&gt;1/24,#REF!,IF(SUM($CQ1190:$CQ1194)&gt;$DS$1,$DS$6,DD1193-1))</f>
        <v>-7</v>
      </c>
      <c r="DE1194" s="18" t="b">
        <v>0</v>
      </c>
      <c r="DF1194" s="2" t="b">
        <f>IF(OR(RecData[[#This Row],[WSpd_Avg '[m/s']]]-RecData[[#This Row],[Wind Speed min]]&gt;=$DF$3,RecData[[#This Row],[Wind Speed max]]-RecData[[#This Row],[WSpd_Avg '[m/s']]]&gt;=$DF$2),TRUE,FALSE)</f>
        <v>0</v>
      </c>
      <c r="DG1194" s="2" t="b">
        <f>RecData[[#This Row],[Temperature '[°C']]]&lt;=-20</f>
        <v>0</v>
      </c>
      <c r="DH1194" s="18" t="b">
        <f>NOT(OR(MOD(RecData[[#This Row],[TIMESTAMP]],1)&gt;0.91632,MOD(RecData[[#This Row],[TIMESTAMP]],1)&lt;0.208681))</f>
        <v>0</v>
      </c>
      <c r="DI1194" s="18" t="b">
        <f>RecData[[#This Row],[Overall (dBA)]]-RecData[[#This Row],[L90]]&gt;=$DS$4</f>
        <v>0</v>
      </c>
      <c r="DJ1194" s="18" t="b">
        <f>RecData[[#This Row],[Overall (dBA)]]&gt;$DS$2</f>
        <v>0</v>
      </c>
      <c r="DK1194" s="18" t="b">
        <f>RecData[[#This Row],[Overall (dBA)]]&lt;$DS$3</f>
        <v>0</v>
      </c>
      <c r="DL11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4" s="2">
        <f>IF(AND(RecData[[#This Row],[Turbines ON/OFF]] = "OFF", NOT(OR(RecData[[#This Row],[Junk?]]="YES",RecData[[#This Row],[Gust?]],RecData[[#This Row],[Rain?]:[Min SPL Threshold?]]))),1,0)</f>
        <v>0</v>
      </c>
      <c r="DN1194" s="16">
        <f>RecData[[#This Row],[dBA Sum]]</f>
        <v>40.259181629811849</v>
      </c>
      <c r="DO1194" s="16">
        <f>RecData[[#This Row],[LAF90.0]]</f>
        <v>39.299999999999997</v>
      </c>
      <c r="DP1194" s="55">
        <f>IF(AND(RecData[[#This Row],[Useable TON Data?]],RecData[[#This Row],[Turbines ON/OFF]]="ON"),RecData[[#This Row],[dBA Sum]],"")</f>
        <v>40.259181629811849</v>
      </c>
      <c r="DQ1194" s="55" t="str">
        <f>IF(AND(RecData[[#This Row],[Useable Background Data?]],RecData[[#This Row],[Turbines ON/OFF]]="OFF"),RecData[[#This Row],[dBA Sum]],"")</f>
        <v/>
      </c>
      <c r="DR1194" s="3">
        <f>IF(OR(RecData[[#This Row],[Useable TON Data?]],RecData[[#This Row],[Useable Background Data?]]),ROUND(RecData[[#This Row],[WSpd_Avg '[m/s']]],0),"")</f>
        <v>1</v>
      </c>
      <c r="DS1194" s="85">
        <f>(0.00002)^2*(10^(RecData[[#This Row],[Overall (dBA)]]/10))</f>
        <v>4.2459820545613423E-6</v>
      </c>
    </row>
    <row r="1195" spans="1:123" ht="15" x14ac:dyDescent="0.25">
      <c r="A1195" s="3" t="s">
        <v>249</v>
      </c>
      <c r="B1195" s="12">
        <v>43276.04791666667</v>
      </c>
      <c r="C1195" s="3"/>
      <c r="D1195" s="3">
        <v>40.700000000000003</v>
      </c>
      <c r="E1195" s="3"/>
      <c r="F1195" s="3"/>
      <c r="G1195" s="3"/>
      <c r="H1195" s="3"/>
      <c r="I1195" s="3"/>
      <c r="J1195" s="3"/>
      <c r="K1195" s="3">
        <v>39.5</v>
      </c>
      <c r="L1195" s="3"/>
      <c r="M1195" s="3"/>
      <c r="N1195" s="3">
        <v>150.5</v>
      </c>
      <c r="O1195" s="3"/>
      <c r="P1195" s="3"/>
      <c r="Q1195" s="3">
        <v>0.73</v>
      </c>
      <c r="R1195" s="3">
        <v>0.3</v>
      </c>
      <c r="S1195" s="3">
        <v>1</v>
      </c>
      <c r="T1195" s="3">
        <v>9.5</v>
      </c>
      <c r="U1195" s="3">
        <v>67.099999999999994</v>
      </c>
      <c r="V1195" s="3">
        <v>977.9</v>
      </c>
      <c r="W1195" s="3">
        <v>0</v>
      </c>
      <c r="X1195" s="3">
        <v>45.5</v>
      </c>
      <c r="Y1195" s="3">
        <v>44.3</v>
      </c>
      <c r="Z1195" s="3">
        <v>43.7</v>
      </c>
      <c r="AA1195" s="3">
        <v>40.700000000000003</v>
      </c>
      <c r="AB1195" s="3">
        <v>36.799999999999997</v>
      </c>
      <c r="AC1195" s="3">
        <v>35.299999999999997</v>
      </c>
      <c r="AD1195" s="3">
        <v>38.700000000000003</v>
      </c>
      <c r="AE1195" s="3">
        <v>40.9</v>
      </c>
      <c r="AF1195" s="3">
        <v>46.4</v>
      </c>
      <c r="AG1195" s="3">
        <v>41.8</v>
      </c>
      <c r="AH1195" s="3">
        <v>39.1</v>
      </c>
      <c r="AI1195" s="3">
        <v>40.5</v>
      </c>
      <c r="AJ1195" s="3">
        <v>38.5</v>
      </c>
      <c r="AK1195" s="3">
        <v>36.799999999999997</v>
      </c>
      <c r="AL1195" s="3">
        <v>34</v>
      </c>
      <c r="AM1195" s="3">
        <v>33.1</v>
      </c>
      <c r="AN1195" s="3">
        <v>30.4</v>
      </c>
      <c r="AO1195" s="3">
        <v>26.1</v>
      </c>
      <c r="AP1195" s="3">
        <v>23.6</v>
      </c>
      <c r="AQ1195" s="3">
        <v>21.3</v>
      </c>
      <c r="AR1195" s="3">
        <v>16.7</v>
      </c>
      <c r="AS1195" s="3">
        <v>12.2</v>
      </c>
      <c r="AT1195" s="3">
        <v>14.4</v>
      </c>
      <c r="AU1195" s="3">
        <v>7.5</v>
      </c>
      <c r="AV1195" s="3">
        <v>8</v>
      </c>
      <c r="AW1195" s="3">
        <v>8.6</v>
      </c>
      <c r="AX1195" s="3">
        <v>8.8000000000000007</v>
      </c>
      <c r="AY1195" s="3">
        <v>9.1</v>
      </c>
      <c r="AZ1195" s="3">
        <v>0</v>
      </c>
      <c r="BA1195" s="3">
        <v>0</v>
      </c>
      <c r="BB1195" s="3">
        <v>0</v>
      </c>
      <c r="BC1195" s="3">
        <v>40.680081221976856</v>
      </c>
      <c r="BD1195" s="3">
        <v>45.519918778023147</v>
      </c>
      <c r="BE1195" s="3">
        <v>44.319918778023144</v>
      </c>
      <c r="BF1195" s="3">
        <v>42.479918778023141</v>
      </c>
      <c r="BG1195" s="3">
        <v>39.806585444689823</v>
      </c>
      <c r="BH1195" s="3">
        <v>36.046585444689804</v>
      </c>
      <c r="BI1195" s="3">
        <v>34.959918778023145</v>
      </c>
      <c r="BJ1195" s="3">
        <v>39.153252111356487</v>
      </c>
      <c r="BK1195" s="3">
        <v>41.22658544468981</v>
      </c>
      <c r="BL1195" s="3">
        <v>46.299918778023148</v>
      </c>
      <c r="BM1195" s="3">
        <v>41.833252111356479</v>
      </c>
      <c r="BN1195" s="3">
        <v>39.416585444689808</v>
      </c>
      <c r="BO1195" s="3">
        <v>40.183252111356488</v>
      </c>
      <c r="BP1195" s="3">
        <v>37.899918778023157</v>
      </c>
      <c r="BQ1195" s="3">
        <v>36.616585444689797</v>
      </c>
      <c r="BR1195" s="3">
        <v>34.143252111356482</v>
      </c>
      <c r="BS1195" s="3">
        <v>33.046585444689818</v>
      </c>
      <c r="BT1195" s="3">
        <v>30.543252111356473</v>
      </c>
      <c r="BU1195" s="3">
        <v>26.209918778023159</v>
      </c>
      <c r="BV1195" s="3">
        <v>23.426585444689813</v>
      </c>
      <c r="BW1195" s="3">
        <v>21.659918778023147</v>
      </c>
      <c r="BX1195" s="3">
        <v>16.979918778023155</v>
      </c>
      <c r="BY1195" s="3">
        <v>12.299918778023148</v>
      </c>
      <c r="BZ1195" s="3">
        <v>14.629918778023146</v>
      </c>
      <c r="CA1195" s="3">
        <v>7.8299187780231421</v>
      </c>
      <c r="CB1195" s="3">
        <v>7.7665854446898095</v>
      </c>
      <c r="CC1195" s="3">
        <v>8.5799187780231492</v>
      </c>
      <c r="CD1195" s="3">
        <v>8.0865854446898169</v>
      </c>
      <c r="CE1195" s="3">
        <v>8.5799187780231492</v>
      </c>
      <c r="CF1195" s="3">
        <v>-0.90674788864352251</v>
      </c>
      <c r="CG1195" s="3">
        <v>-1.440081221976854</v>
      </c>
      <c r="CH1195" s="3">
        <v>-2.5167478886435219</v>
      </c>
      <c r="CI1195" s="13">
        <f>[1]!dbasum(RecData[[#This Row],[20]:[2000]],RecData[[#Headers],[20]:[2000]])</f>
        <v>40.551358962438854</v>
      </c>
      <c r="CJ1195" s="14">
        <v>10790</v>
      </c>
      <c r="CK1195" s="15" t="s">
        <v>249</v>
      </c>
      <c r="CL1195" s="15">
        <f>RecData[[#This Row],[Start Time]]</f>
        <v>43276.04791666667</v>
      </c>
      <c r="CM1195" s="16">
        <f>RecData[[#This Row],[Wind Speed avg]]</f>
        <v>0.73</v>
      </c>
      <c r="CN1195" s="16">
        <f>RecData[[#This Row],[Wind Dir. avg]]</f>
        <v>150.5</v>
      </c>
      <c r="CO1195" s="16">
        <f>RecData[[#This Row],[Amb. Humidity]]</f>
        <v>67.099999999999994</v>
      </c>
      <c r="CP1195" s="16">
        <f>RecData[[#This Row],[Amb. Temperature]]</f>
        <v>9.5</v>
      </c>
      <c r="CQ1195" s="17">
        <f>RecData[[#This Row],[Amb. Rain Gauge]]</f>
        <v>0</v>
      </c>
      <c r="CR1195" s="4" t="s">
        <v>1</v>
      </c>
      <c r="CS1195" s="4" t="s">
        <v>49</v>
      </c>
      <c r="CT1195" s="70">
        <v>1402.24597167968</v>
      </c>
      <c r="CU1195" s="70">
        <v>39.000328063964801</v>
      </c>
      <c r="CV1195" s="70">
        <v>9.6271057128906197</v>
      </c>
      <c r="CW1195" s="70">
        <v>15.2316217422485</v>
      </c>
      <c r="CX1195" s="4"/>
      <c r="CY1195" s="69"/>
      <c r="CZ1195" s="2" t="b">
        <f>IF($DP$1="YES",IF(RecData[[#This Row],[Power (kW)]]&gt;=$CR$3, TRUE,FALSE),TRUE)</f>
        <v>1</v>
      </c>
      <c r="DA1195" s="16">
        <f>MIN(MOD(180-ABS(ABS($DA$1-RecData[Yaw Angle (°)])-180),360),MOD(180-ABS(ABS($DB$1-RecData[Yaw Angle (°)])-180),360))</f>
        <v>31.470401286277252</v>
      </c>
      <c r="DB1195" s="2" t="str">
        <f>IF($DP$2="None","None",IF(RecData[[#This Row],[Relative Wind Direction]]&lt;=45,"DW",IF(RecData[[#This Row],[Relative Wind Direction]]&lt;=135,"CW","UW")))</f>
        <v>DW</v>
      </c>
      <c r="DC1195" s="61" t="e">
        <f>IF($CL1195-$CL1191&gt;1/24,#REF!,IF(SUM($CQ1191:$CQ1195)&gt;$DS$1,$DS$5,DC1196-1))</f>
        <v>#REF!</v>
      </c>
      <c r="DD1195" s="61">
        <f>IF($CL1196-$CL1195&gt;1/24,#REF!,IF(SUM($CQ1191:$CQ1195)&gt;$DS$1,$DS$6,DD1194-1))</f>
        <v>-8</v>
      </c>
      <c r="DE1195" s="18" t="b">
        <v>0</v>
      </c>
      <c r="DF1195" s="2" t="b">
        <f>IF(OR(RecData[[#This Row],[WSpd_Avg '[m/s']]]-RecData[[#This Row],[Wind Speed min]]&gt;=$DF$3,RecData[[#This Row],[Wind Speed max]]-RecData[[#This Row],[WSpd_Avg '[m/s']]]&gt;=$DF$2),TRUE,FALSE)</f>
        <v>0</v>
      </c>
      <c r="DG1195" s="2" t="b">
        <f>RecData[[#This Row],[Temperature '[°C']]]&lt;=-20</f>
        <v>0</v>
      </c>
      <c r="DH1195" s="18" t="b">
        <f>NOT(OR(MOD(RecData[[#This Row],[TIMESTAMP]],1)&gt;0.91632,MOD(RecData[[#This Row],[TIMESTAMP]],1)&lt;0.208681))</f>
        <v>0</v>
      </c>
      <c r="DI1195" s="18" t="b">
        <f>RecData[[#This Row],[Overall (dBA)]]-RecData[[#This Row],[L90]]&gt;=$DS$4</f>
        <v>0</v>
      </c>
      <c r="DJ1195" s="18" t="b">
        <f>RecData[[#This Row],[Overall (dBA)]]&gt;$DS$2</f>
        <v>0</v>
      </c>
      <c r="DK1195" s="18" t="b">
        <f>RecData[[#This Row],[Overall (dBA)]]&lt;$DS$3</f>
        <v>0</v>
      </c>
      <c r="DL11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5" s="2">
        <f>IF(AND(RecData[[#This Row],[Turbines ON/OFF]] = "OFF", NOT(OR(RecData[[#This Row],[Junk?]]="YES",RecData[[#This Row],[Gust?]],RecData[[#This Row],[Rain?]:[Min SPL Threshold?]]))),1,0)</f>
        <v>0</v>
      </c>
      <c r="DN1195" s="16">
        <f>RecData[[#This Row],[dBA Sum]]</f>
        <v>40.551358962438854</v>
      </c>
      <c r="DO1195" s="16">
        <f>RecData[[#This Row],[LAF90.0]]</f>
        <v>39.5</v>
      </c>
      <c r="DP1195" s="55">
        <f>IF(AND(RecData[[#This Row],[Useable TON Data?]],RecData[[#This Row],[Turbines ON/OFF]]="ON"),RecData[[#This Row],[dBA Sum]],"")</f>
        <v>40.551358962438854</v>
      </c>
      <c r="DQ1195" s="55" t="str">
        <f>IF(AND(RecData[[#This Row],[Useable Background Data?]],RecData[[#This Row],[Turbines ON/OFF]]="OFF"),RecData[[#This Row],[dBA Sum]],"")</f>
        <v/>
      </c>
      <c r="DR1195" s="3">
        <f>IF(OR(RecData[[#This Row],[Useable TON Data?]],RecData[[#This Row],[Useable Background Data?]]),ROUND(RecData[[#This Row],[WSpd_Avg '[m/s']]],0),"")</f>
        <v>1</v>
      </c>
      <c r="DS1195" s="85">
        <f>(0.00002)^2*(10^(RecData[[#This Row],[Overall (dBA)]]/10))</f>
        <v>4.5414641220183083E-6</v>
      </c>
    </row>
    <row r="1196" spans="1:123" ht="15" x14ac:dyDescent="0.25">
      <c r="A1196" s="3" t="s">
        <v>249</v>
      </c>
      <c r="B1196" s="12">
        <v>43276.048611111117</v>
      </c>
      <c r="C1196" s="3"/>
      <c r="D1196" s="3">
        <v>39.4</v>
      </c>
      <c r="E1196" s="3"/>
      <c r="F1196" s="3"/>
      <c r="G1196" s="3"/>
      <c r="H1196" s="3"/>
      <c r="I1196" s="3"/>
      <c r="J1196" s="3"/>
      <c r="K1196" s="3">
        <v>37.9</v>
      </c>
      <c r="L1196" s="3"/>
      <c r="M1196" s="3"/>
      <c r="N1196" s="3">
        <v>154.80000000000001</v>
      </c>
      <c r="O1196" s="3"/>
      <c r="P1196" s="3"/>
      <c r="Q1196" s="3">
        <v>0.67</v>
      </c>
      <c r="R1196" s="3">
        <v>0.3</v>
      </c>
      <c r="S1196" s="3">
        <v>1.1000000000000001</v>
      </c>
      <c r="T1196" s="3">
        <v>9.4</v>
      </c>
      <c r="U1196" s="3">
        <v>66.2</v>
      </c>
      <c r="V1196" s="3">
        <v>978</v>
      </c>
      <c r="W1196" s="3">
        <v>0</v>
      </c>
      <c r="X1196" s="3">
        <v>46</v>
      </c>
      <c r="Y1196" s="3">
        <v>44.5</v>
      </c>
      <c r="Z1196" s="3">
        <v>44.3</v>
      </c>
      <c r="AA1196" s="3">
        <v>40.700000000000003</v>
      </c>
      <c r="AB1196" s="3">
        <v>36.299999999999997</v>
      </c>
      <c r="AC1196" s="3">
        <v>35.1</v>
      </c>
      <c r="AD1196" s="3">
        <v>38</v>
      </c>
      <c r="AE1196" s="3">
        <v>40</v>
      </c>
      <c r="AF1196" s="3">
        <v>46.5</v>
      </c>
      <c r="AG1196" s="3">
        <v>39.9</v>
      </c>
      <c r="AH1196" s="3">
        <v>38.6</v>
      </c>
      <c r="AI1196" s="3">
        <v>38.700000000000003</v>
      </c>
      <c r="AJ1196" s="3">
        <v>37.1</v>
      </c>
      <c r="AK1196" s="3">
        <v>35</v>
      </c>
      <c r="AL1196" s="3">
        <v>32.6</v>
      </c>
      <c r="AM1196" s="3">
        <v>31.6</v>
      </c>
      <c r="AN1196" s="3">
        <v>29.1</v>
      </c>
      <c r="AO1196" s="3">
        <v>24.5</v>
      </c>
      <c r="AP1196" s="3">
        <v>22.3</v>
      </c>
      <c r="AQ1196" s="3">
        <v>19.3</v>
      </c>
      <c r="AR1196" s="3">
        <v>14.6</v>
      </c>
      <c r="AS1196" s="3">
        <v>11.7</v>
      </c>
      <c r="AT1196" s="3">
        <v>15.1</v>
      </c>
      <c r="AU1196" s="3">
        <v>7.4</v>
      </c>
      <c r="AV1196" s="3">
        <v>8</v>
      </c>
      <c r="AW1196" s="3">
        <v>8.6</v>
      </c>
      <c r="AX1196" s="3">
        <v>8.8000000000000007</v>
      </c>
      <c r="AY1196" s="3">
        <v>9.1</v>
      </c>
      <c r="AZ1196" s="3">
        <v>0</v>
      </c>
      <c r="BA1196" s="3">
        <v>0</v>
      </c>
      <c r="BB1196" s="3">
        <v>0</v>
      </c>
      <c r="BC1196" s="3">
        <v>39.373791935954067</v>
      </c>
      <c r="BD1196" s="3">
        <v>46.026208064045939</v>
      </c>
      <c r="BE1196" s="3">
        <v>44.526208064045939</v>
      </c>
      <c r="BF1196" s="3">
        <v>43.086208064045927</v>
      </c>
      <c r="BG1196" s="3">
        <v>39.812874730712601</v>
      </c>
      <c r="BH1196" s="3">
        <v>35.552874730712595</v>
      </c>
      <c r="BI1196" s="3">
        <v>34.766208064045934</v>
      </c>
      <c r="BJ1196" s="3">
        <v>38.459541397379262</v>
      </c>
      <c r="BK1196" s="3">
        <v>40.332874730712597</v>
      </c>
      <c r="BL1196" s="3">
        <v>46.406208064045934</v>
      </c>
      <c r="BM1196" s="3">
        <v>39.939541397379266</v>
      </c>
      <c r="BN1196" s="3">
        <v>38.9228747307126</v>
      </c>
      <c r="BO1196" s="3">
        <v>38.389541397379269</v>
      </c>
      <c r="BP1196" s="3">
        <v>36.506208064045929</v>
      </c>
      <c r="BQ1196" s="3">
        <v>34.822874730712591</v>
      </c>
      <c r="BR1196" s="3">
        <v>32.749541397379268</v>
      </c>
      <c r="BS1196" s="3">
        <v>31.552874730712595</v>
      </c>
      <c r="BT1196" s="3">
        <v>29.249541397379268</v>
      </c>
      <c r="BU1196" s="3">
        <v>24.616208064045935</v>
      </c>
      <c r="BV1196" s="3">
        <v>22.132874730712601</v>
      </c>
      <c r="BW1196" s="3">
        <v>19.666208064045939</v>
      </c>
      <c r="BX1196" s="3">
        <v>14.886208064045938</v>
      </c>
      <c r="BY1196" s="3">
        <v>11.806208064045926</v>
      </c>
      <c r="BZ1196" s="3">
        <v>15.336208064045934</v>
      </c>
      <c r="CA1196" s="3">
        <v>7.7362080640459254</v>
      </c>
      <c r="CB1196" s="3">
        <v>7.7728747307125943</v>
      </c>
      <c r="CC1196" s="3">
        <v>8.5862080640459268</v>
      </c>
      <c r="CD1196" s="3">
        <v>8.0928747307126017</v>
      </c>
      <c r="CE1196" s="3">
        <v>8.5862080640459268</v>
      </c>
      <c r="CF1196" s="3">
        <v>-0.90045860262073774</v>
      </c>
      <c r="CG1196" s="3">
        <v>-1.4337919359540692</v>
      </c>
      <c r="CH1196" s="3">
        <v>-2.5104586026207372</v>
      </c>
      <c r="CI1196" s="13">
        <f>[1]!dbasum(RecData[[#This Row],[20]:[2000]],RecData[[#Headers],[20]:[2000]])</f>
        <v>39.245156754494495</v>
      </c>
      <c r="CJ1196" s="14">
        <v>10791</v>
      </c>
      <c r="CK1196" s="15" t="s">
        <v>249</v>
      </c>
      <c r="CL1196" s="15">
        <f>RecData[[#This Row],[Start Time]]</f>
        <v>43276.048611111117</v>
      </c>
      <c r="CM1196" s="16">
        <f>RecData[[#This Row],[Wind Speed avg]]</f>
        <v>0.67</v>
      </c>
      <c r="CN1196" s="16">
        <f>RecData[[#This Row],[Wind Dir. avg]]</f>
        <v>154.80000000000001</v>
      </c>
      <c r="CO1196" s="16">
        <f>RecData[[#This Row],[Amb. Humidity]]</f>
        <v>66.2</v>
      </c>
      <c r="CP1196" s="16">
        <f>RecData[[#This Row],[Amb. Temperature]]</f>
        <v>9.4</v>
      </c>
      <c r="CQ1196" s="17">
        <f>RecData[[#This Row],[Amb. Rain Gauge]]</f>
        <v>0</v>
      </c>
      <c r="CR1196" s="4" t="s">
        <v>1</v>
      </c>
      <c r="CS1196" s="4" t="s">
        <v>49</v>
      </c>
      <c r="CT1196" s="70">
        <v>1402.24597167968</v>
      </c>
      <c r="CU1196" s="70">
        <v>39.000328063964801</v>
      </c>
      <c r="CV1196" s="70">
        <v>9.6271057128906197</v>
      </c>
      <c r="CW1196" s="70">
        <v>15.2316217422485</v>
      </c>
      <c r="CX1196" s="4"/>
      <c r="CY1196" s="69"/>
      <c r="CZ1196" s="2" t="b">
        <f>IF($DP$1="YES",IF(RecData[[#This Row],[Power (kW)]]&gt;=$CR$3, TRUE,FALSE),TRUE)</f>
        <v>1</v>
      </c>
      <c r="DA1196" s="16">
        <f>MIN(MOD(180-ABS(ABS($DA$1-RecData[Yaw Angle (°)])-180),360),MOD(180-ABS(ABS($DB$1-RecData[Yaw Angle (°)])-180),360))</f>
        <v>31.470401286277252</v>
      </c>
      <c r="DB1196" s="2" t="str">
        <f>IF($DP$2="None","None",IF(RecData[[#This Row],[Relative Wind Direction]]&lt;=45,"DW",IF(RecData[[#This Row],[Relative Wind Direction]]&lt;=135,"CW","UW")))</f>
        <v>DW</v>
      </c>
      <c r="DC1196" s="61" t="e">
        <f>IF($CL1196-$CL1192&gt;1/24,#REF!,IF(SUM($CQ1192:$CQ1196)&gt;$DS$1,$DS$5,#REF!-1))</f>
        <v>#REF!</v>
      </c>
      <c r="DD1196" s="61" t="e">
        <f>IF(#REF!-$CL1196&gt;1/24,#REF!,IF(SUM($CQ1192:$CQ1196)&gt;$DS$1,$DS$6,DD1195-1))</f>
        <v>#REF!</v>
      </c>
      <c r="DE1196" s="18" t="b">
        <v>0</v>
      </c>
      <c r="DF1196" s="2" t="b">
        <f>IF(OR(RecData[[#This Row],[WSpd_Avg '[m/s']]]-RecData[[#This Row],[Wind Speed min]]&gt;=$DF$3,RecData[[#This Row],[Wind Speed max]]-RecData[[#This Row],[WSpd_Avg '[m/s']]]&gt;=$DF$2),TRUE,FALSE)</f>
        <v>0</v>
      </c>
      <c r="DG1196" s="2" t="b">
        <f>RecData[[#This Row],[Temperature '[°C']]]&lt;=-20</f>
        <v>0</v>
      </c>
      <c r="DH1196" s="18" t="b">
        <f>NOT(OR(MOD(RecData[[#This Row],[TIMESTAMP]],1)&gt;0.91632,MOD(RecData[[#This Row],[TIMESTAMP]],1)&lt;0.208681))</f>
        <v>0</v>
      </c>
      <c r="DI1196" s="18" t="b">
        <f>RecData[[#This Row],[Overall (dBA)]]-RecData[[#This Row],[L90]]&gt;=$DS$4</f>
        <v>0</v>
      </c>
      <c r="DJ1196" s="18" t="b">
        <f>RecData[[#This Row],[Overall (dBA)]]&gt;$DS$2</f>
        <v>0</v>
      </c>
      <c r="DK1196" s="18" t="b">
        <f>RecData[[#This Row],[Overall (dBA)]]&lt;$DS$3</f>
        <v>0</v>
      </c>
      <c r="DL11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6" s="2">
        <f>IF(AND(RecData[[#This Row],[Turbines ON/OFF]] = "OFF", NOT(OR(RecData[[#This Row],[Junk?]]="YES",RecData[[#This Row],[Gust?]],RecData[[#This Row],[Rain?]:[Min SPL Threshold?]]))),1,0)</f>
        <v>0</v>
      </c>
      <c r="DN1196" s="16">
        <f>RecData[[#This Row],[dBA Sum]]</f>
        <v>39.245156754494495</v>
      </c>
      <c r="DO1196" s="16">
        <f>RecData[[#This Row],[LAF90.0]]</f>
        <v>37.9</v>
      </c>
      <c r="DP1196" s="55">
        <f>IF(AND(RecData[[#This Row],[Useable TON Data?]],RecData[[#This Row],[Turbines ON/OFF]]="ON"),RecData[[#This Row],[dBA Sum]],"")</f>
        <v>39.245156754494495</v>
      </c>
      <c r="DQ1196" s="55" t="str">
        <f>IF(AND(RecData[[#This Row],[Useable Background Data?]],RecData[[#This Row],[Turbines ON/OFF]]="OFF"),RecData[[#This Row],[dBA Sum]],"")</f>
        <v/>
      </c>
      <c r="DR1196" s="3">
        <f>IF(OR(RecData[[#This Row],[Useable TON Data?]],RecData[[#This Row],[Useable Background Data?]]),ROUND(RecData[[#This Row],[WSpd_Avg '[m/s']]],0),"")</f>
        <v>1</v>
      </c>
      <c r="DS1196" s="85">
        <f>(0.00002)^2*(10^(RecData[[#This Row],[Overall (dBA)]]/10))</f>
        <v>3.3618293682681774E-6</v>
      </c>
    </row>
    <row r="1197" spans="1:123" ht="15" x14ac:dyDescent="0.25">
      <c r="A1197" s="3" t="s">
        <v>249</v>
      </c>
      <c r="B1197" s="12">
        <v>43276.132638888892</v>
      </c>
      <c r="C1197" s="3"/>
      <c r="D1197" s="3">
        <v>38</v>
      </c>
      <c r="E1197" s="3"/>
      <c r="F1197" s="3"/>
      <c r="G1197" s="3"/>
      <c r="H1197" s="3"/>
      <c r="I1197" s="3"/>
      <c r="J1197" s="3"/>
      <c r="K1197" s="3">
        <v>36.9</v>
      </c>
      <c r="L1197" s="3"/>
      <c r="M1197" s="3"/>
      <c r="N1197" s="3">
        <v>199.3</v>
      </c>
      <c r="O1197" s="3"/>
      <c r="P1197" s="3"/>
      <c r="Q1197" s="3">
        <v>0.63</v>
      </c>
      <c r="R1197" s="3">
        <v>0.1</v>
      </c>
      <c r="S1197" s="3">
        <v>1.4</v>
      </c>
      <c r="T1197" s="3">
        <v>8.3000000000000007</v>
      </c>
      <c r="U1197" s="3">
        <v>68.2</v>
      </c>
      <c r="V1197" s="3">
        <v>978.8</v>
      </c>
      <c r="W1197" s="3">
        <v>0</v>
      </c>
      <c r="X1197" s="3">
        <v>41</v>
      </c>
      <c r="Y1197" s="3">
        <v>40.4</v>
      </c>
      <c r="Z1197" s="3">
        <v>39.299999999999997</v>
      </c>
      <c r="AA1197" s="3">
        <v>34.1</v>
      </c>
      <c r="AB1197" s="3">
        <v>29.9</v>
      </c>
      <c r="AC1197" s="3">
        <v>29.5</v>
      </c>
      <c r="AD1197" s="3">
        <v>35.4</v>
      </c>
      <c r="AE1197" s="3">
        <v>37.200000000000003</v>
      </c>
      <c r="AF1197" s="3">
        <v>42.9</v>
      </c>
      <c r="AG1197" s="3">
        <v>34.799999999999997</v>
      </c>
      <c r="AH1197" s="3">
        <v>34.9</v>
      </c>
      <c r="AI1197" s="3">
        <v>34.9</v>
      </c>
      <c r="AJ1197" s="3">
        <v>34</v>
      </c>
      <c r="AK1197" s="3">
        <v>33.1</v>
      </c>
      <c r="AL1197" s="3">
        <v>31.7</v>
      </c>
      <c r="AM1197" s="3">
        <v>31.8</v>
      </c>
      <c r="AN1197" s="3">
        <v>30</v>
      </c>
      <c r="AO1197" s="3">
        <v>26.3</v>
      </c>
      <c r="AP1197" s="3">
        <v>24.5</v>
      </c>
      <c r="AQ1197" s="3">
        <v>21.9</v>
      </c>
      <c r="AR1197" s="3">
        <v>19.600000000000001</v>
      </c>
      <c r="AS1197" s="3">
        <v>17.8</v>
      </c>
      <c r="AT1197" s="3">
        <v>16.100000000000001</v>
      </c>
      <c r="AU1197" s="3">
        <v>13.1</v>
      </c>
      <c r="AV1197" s="3">
        <v>11.6</v>
      </c>
      <c r="AW1197" s="3">
        <v>10.8</v>
      </c>
      <c r="AX1197" s="3">
        <v>9.4</v>
      </c>
      <c r="AY1197" s="3">
        <v>9.3000000000000007</v>
      </c>
      <c r="AZ1197" s="3">
        <v>0</v>
      </c>
      <c r="BA1197" s="3">
        <v>0</v>
      </c>
      <c r="BB1197" s="3">
        <v>0</v>
      </c>
      <c r="BC1197" s="3">
        <v>38.037180465265664</v>
      </c>
      <c r="BD1197" s="3">
        <v>40.962819534734336</v>
      </c>
      <c r="BE1197" s="3">
        <v>40.362819534734342</v>
      </c>
      <c r="BF1197" s="3">
        <v>38.022819534734339</v>
      </c>
      <c r="BG1197" s="3">
        <v>33.149486201401004</v>
      </c>
      <c r="BH1197" s="3">
        <v>29.089486201401002</v>
      </c>
      <c r="BI1197" s="3">
        <v>29.102819534734337</v>
      </c>
      <c r="BJ1197" s="3">
        <v>35.796152868067665</v>
      </c>
      <c r="BK1197" s="3">
        <v>37.469486201400997</v>
      </c>
      <c r="BL1197" s="3">
        <v>42.742819534734338</v>
      </c>
      <c r="BM1197" s="3">
        <v>34.776152868067669</v>
      </c>
      <c r="BN1197" s="3">
        <v>35.159486201400995</v>
      </c>
      <c r="BO1197" s="3">
        <v>34.526152868067669</v>
      </c>
      <c r="BP1197" s="3">
        <v>33.342819534734332</v>
      </c>
      <c r="BQ1197" s="3">
        <v>32.859486201400998</v>
      </c>
      <c r="BR1197" s="3">
        <v>31.786152868067674</v>
      </c>
      <c r="BS1197" s="3">
        <v>31.689486201400996</v>
      </c>
      <c r="BT1197" s="3">
        <v>30.086152868067671</v>
      </c>
      <c r="BU1197" s="3">
        <v>26.352819534734337</v>
      </c>
      <c r="BV1197" s="3">
        <v>24.269486201401008</v>
      </c>
      <c r="BW1197" s="3">
        <v>22.202819534734338</v>
      </c>
      <c r="BX1197" s="3">
        <v>19.822819534734343</v>
      </c>
      <c r="BY1197" s="3">
        <v>17.842819534734332</v>
      </c>
      <c r="BZ1197" s="3">
        <v>16.272819534734339</v>
      </c>
      <c r="CA1197" s="3">
        <v>13.372819534734333</v>
      </c>
      <c r="CB1197" s="3">
        <v>11.309486201401</v>
      </c>
      <c r="CC1197" s="3">
        <v>10.722819534734334</v>
      </c>
      <c r="CD1197" s="3">
        <v>8.6294862014010079</v>
      </c>
      <c r="CE1197" s="3">
        <v>8.7228195347343345</v>
      </c>
      <c r="CF1197" s="3">
        <v>-0.96384713193233296</v>
      </c>
      <c r="CG1197" s="3">
        <v>-1.4971804652656644</v>
      </c>
      <c r="CH1197" s="3">
        <v>-2.5738471319323324</v>
      </c>
      <c r="CI1197" s="13">
        <f>[1]!dbasum(RecData[[#This Row],[20]:[2000]],RecData[[#Headers],[20]:[2000]])</f>
        <v>37.807168981086399</v>
      </c>
      <c r="CJ1197" s="14">
        <v>10912</v>
      </c>
      <c r="CK1197" s="15" t="s">
        <v>249</v>
      </c>
      <c r="CL1197" s="15">
        <f>RecData[[#This Row],[Start Time]]</f>
        <v>43276.132638888892</v>
      </c>
      <c r="CM1197" s="16">
        <f>RecData[[#This Row],[Wind Speed avg]]</f>
        <v>0.63</v>
      </c>
      <c r="CN1197" s="16">
        <f>RecData[[#This Row],[Wind Dir. avg]]</f>
        <v>199.3</v>
      </c>
      <c r="CO1197" s="16">
        <f>RecData[[#This Row],[Amb. Humidity]]</f>
        <v>68.2</v>
      </c>
      <c r="CP1197" s="16">
        <f>RecData[[#This Row],[Amb. Temperature]]</f>
        <v>8.3000000000000007</v>
      </c>
      <c r="CQ1197" s="17">
        <f>RecData[[#This Row],[Amb. Rain Gauge]]</f>
        <v>0</v>
      </c>
      <c r="CR1197" s="4" t="s">
        <v>1</v>
      </c>
      <c r="CS1197" s="4" t="s">
        <v>49</v>
      </c>
      <c r="CT1197" s="70">
        <v>1378.41418457031</v>
      </c>
      <c r="CU1197" s="70">
        <v>45.000377655029297</v>
      </c>
      <c r="CV1197" s="70">
        <v>9.6611166000366193</v>
      </c>
      <c r="CW1197" s="70">
        <v>14.978487014770501</v>
      </c>
      <c r="CX1197" s="4"/>
      <c r="CY1197" s="69"/>
      <c r="CZ1197" s="2" t="b">
        <f>IF($DP$1="YES",IF(RecData[[#This Row],[Power (kW)]]&gt;=$CR$3, TRUE,FALSE),TRUE)</f>
        <v>1</v>
      </c>
      <c r="DA1197" s="16">
        <f>MIN(MOD(180-ABS(ABS($DA$1-RecData[Yaw Angle (°)])-180),360),MOD(180-ABS(ABS($DB$1-RecData[Yaw Angle (°)])-180),360))</f>
        <v>37.470450877341761</v>
      </c>
      <c r="DB1197" s="2" t="str">
        <f>IF($DP$2="None","None",IF(RecData[[#This Row],[Relative Wind Direction]]&lt;=45,"DW",IF(RecData[[#This Row],[Relative Wind Direction]]&lt;=135,"CW","UW")))</f>
        <v>DW</v>
      </c>
      <c r="DC1197" s="61" t="e">
        <f>IF($CL1197-#REF!&gt;1/24,#REF!,IF(SUM($CQ1197:$CQ1197)&gt;$DS$1,$DS$5,DC1198-1))</f>
        <v>#REF!</v>
      </c>
      <c r="DD1197" s="61" t="e">
        <f>IF($CL1198-$CL1197&gt;1/24,#REF!,IF(SUM($CQ1197:$CQ1197)&gt;$DS$1,$DS$6,#REF!-1))</f>
        <v>#REF!</v>
      </c>
      <c r="DE1197" s="18" t="b">
        <v>0</v>
      </c>
      <c r="DF1197" s="2" t="b">
        <f>IF(OR(RecData[[#This Row],[WSpd_Avg '[m/s']]]-RecData[[#This Row],[Wind Speed min]]&gt;=$DF$3,RecData[[#This Row],[Wind Speed max]]-RecData[[#This Row],[WSpd_Avg '[m/s']]]&gt;=$DF$2),TRUE,FALSE)</f>
        <v>0</v>
      </c>
      <c r="DG1197" s="2" t="b">
        <f>RecData[[#This Row],[Temperature '[°C']]]&lt;=-20</f>
        <v>0</v>
      </c>
      <c r="DH1197" s="18" t="b">
        <f>NOT(OR(MOD(RecData[[#This Row],[TIMESTAMP]],1)&gt;0.91632,MOD(RecData[[#This Row],[TIMESTAMP]],1)&lt;0.208681))</f>
        <v>0</v>
      </c>
      <c r="DI1197" s="18" t="b">
        <f>RecData[[#This Row],[Overall (dBA)]]-RecData[[#This Row],[L90]]&gt;=$DS$4</f>
        <v>0</v>
      </c>
      <c r="DJ1197" s="18" t="b">
        <f>RecData[[#This Row],[Overall (dBA)]]&gt;$DS$2</f>
        <v>0</v>
      </c>
      <c r="DK1197" s="18" t="b">
        <f>RecData[[#This Row],[Overall (dBA)]]&lt;$DS$3</f>
        <v>0</v>
      </c>
      <c r="DL11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7" s="2">
        <f>IF(AND(RecData[[#This Row],[Turbines ON/OFF]] = "OFF", NOT(OR(RecData[[#This Row],[Junk?]]="YES",RecData[[#This Row],[Gust?]],RecData[[#This Row],[Rain?]:[Min SPL Threshold?]]))),1,0)</f>
        <v>0</v>
      </c>
      <c r="DN1197" s="16">
        <f>RecData[[#This Row],[dBA Sum]]</f>
        <v>37.807168981086399</v>
      </c>
      <c r="DO1197" s="16">
        <f>RecData[[#This Row],[LAF90.0]]</f>
        <v>36.9</v>
      </c>
      <c r="DP1197" s="55">
        <f>IF(AND(RecData[[#This Row],[Useable TON Data?]],RecData[[#This Row],[Turbines ON/OFF]]="ON"),RecData[[#This Row],[dBA Sum]],"")</f>
        <v>37.807168981086399</v>
      </c>
      <c r="DQ1197" s="55" t="str">
        <f>IF(AND(RecData[[#This Row],[Useable Background Data?]],RecData[[#This Row],[Turbines ON/OFF]]="OFF"),RecData[[#This Row],[dBA Sum]],"")</f>
        <v/>
      </c>
      <c r="DR1197" s="3">
        <f>IF(OR(RecData[[#This Row],[Useable TON Data?]],RecData[[#This Row],[Useable Background Data?]]),ROUND(RecData[[#This Row],[WSpd_Avg '[m/s']]],0),"")</f>
        <v>1</v>
      </c>
      <c r="DS1197" s="85">
        <f>(0.00002)^2*(10^(RecData[[#This Row],[Overall (dBA)]]/10))</f>
        <v>2.4142202558855823E-6</v>
      </c>
    </row>
    <row r="1198" spans="1:123" ht="15" x14ac:dyDescent="0.25">
      <c r="A1198" s="3" t="s">
        <v>249</v>
      </c>
      <c r="B1198" s="12">
        <v>43276.133333333331</v>
      </c>
      <c r="C1198" s="3"/>
      <c r="D1198" s="3">
        <v>38.299999999999997</v>
      </c>
      <c r="E1198" s="3"/>
      <c r="F1198" s="3"/>
      <c r="G1198" s="3"/>
      <c r="H1198" s="3"/>
      <c r="I1198" s="3"/>
      <c r="J1198" s="3"/>
      <c r="K1198" s="3">
        <v>37</v>
      </c>
      <c r="L1198" s="3"/>
      <c r="M1198" s="3"/>
      <c r="N1198" s="3">
        <v>195.7</v>
      </c>
      <c r="O1198" s="3"/>
      <c r="P1198" s="3"/>
      <c r="Q1198" s="3">
        <v>1.23</v>
      </c>
      <c r="R1198" s="3">
        <v>0.5</v>
      </c>
      <c r="S1198" s="3">
        <v>2.2000000000000002</v>
      </c>
      <c r="T1198" s="3">
        <v>8.3000000000000007</v>
      </c>
      <c r="U1198" s="3">
        <v>67.900000000000006</v>
      </c>
      <c r="V1198" s="3">
        <v>978.8</v>
      </c>
      <c r="W1198" s="3">
        <v>0</v>
      </c>
      <c r="X1198" s="3">
        <v>41.5</v>
      </c>
      <c r="Y1198" s="3">
        <v>41</v>
      </c>
      <c r="Z1198" s="3">
        <v>40.5</v>
      </c>
      <c r="AA1198" s="3">
        <v>35.4</v>
      </c>
      <c r="AB1198" s="3">
        <v>30.4</v>
      </c>
      <c r="AC1198" s="3">
        <v>30.6</v>
      </c>
      <c r="AD1198" s="3">
        <v>35.799999999999997</v>
      </c>
      <c r="AE1198" s="3">
        <v>37.200000000000003</v>
      </c>
      <c r="AF1198" s="3">
        <v>43.3</v>
      </c>
      <c r="AG1198" s="3">
        <v>35.700000000000003</v>
      </c>
      <c r="AH1198" s="3">
        <v>35.5</v>
      </c>
      <c r="AI1198" s="3">
        <v>35.6</v>
      </c>
      <c r="AJ1198" s="3">
        <v>34.6</v>
      </c>
      <c r="AK1198" s="3">
        <v>33.299999999999997</v>
      </c>
      <c r="AL1198" s="3">
        <v>31.8</v>
      </c>
      <c r="AM1198" s="3">
        <v>31.9</v>
      </c>
      <c r="AN1198" s="3">
        <v>30</v>
      </c>
      <c r="AO1198" s="3">
        <v>26.5</v>
      </c>
      <c r="AP1198" s="3">
        <v>24.9</v>
      </c>
      <c r="AQ1198" s="3">
        <v>22.2</v>
      </c>
      <c r="AR1198" s="3">
        <v>20</v>
      </c>
      <c r="AS1198" s="3">
        <v>18.2</v>
      </c>
      <c r="AT1198" s="3">
        <v>16.600000000000001</v>
      </c>
      <c r="AU1198" s="3">
        <v>14.7</v>
      </c>
      <c r="AV1198" s="3">
        <v>13.2</v>
      </c>
      <c r="AW1198" s="3">
        <v>12.3</v>
      </c>
      <c r="AX1198" s="3">
        <v>10.199999999999999</v>
      </c>
      <c r="AY1198" s="3">
        <v>9.9</v>
      </c>
      <c r="AZ1198" s="3">
        <v>0</v>
      </c>
      <c r="BA1198" s="3">
        <v>0</v>
      </c>
      <c r="BB1198" s="3">
        <v>0</v>
      </c>
      <c r="BC1198" s="3">
        <v>38.340491486866448</v>
      </c>
      <c r="BD1198" s="3">
        <v>41.459508513133549</v>
      </c>
      <c r="BE1198" s="3">
        <v>40.959508513133549</v>
      </c>
      <c r="BF1198" s="3">
        <v>39.219508513133555</v>
      </c>
      <c r="BG1198" s="3">
        <v>34.446175179800214</v>
      </c>
      <c r="BH1198" s="3">
        <v>29.586175179800215</v>
      </c>
      <c r="BI1198" s="3">
        <v>30.199508513133544</v>
      </c>
      <c r="BJ1198" s="3">
        <v>36.192841846466884</v>
      </c>
      <c r="BK1198" s="3">
        <v>37.466175179800224</v>
      </c>
      <c r="BL1198" s="3">
        <v>43.139508513133542</v>
      </c>
      <c r="BM1198" s="3">
        <v>35.672841846466888</v>
      </c>
      <c r="BN1198" s="3">
        <v>35.756175179800216</v>
      </c>
      <c r="BO1198" s="3">
        <v>35.222841846466885</v>
      </c>
      <c r="BP1198" s="3">
        <v>33.939508513133553</v>
      </c>
      <c r="BQ1198" s="3">
        <v>33.056175179800199</v>
      </c>
      <c r="BR1198" s="3">
        <v>31.882841846466881</v>
      </c>
      <c r="BS1198" s="3">
        <v>31.786175179800217</v>
      </c>
      <c r="BT1198" s="3">
        <v>30.082841846466884</v>
      </c>
      <c r="BU1198" s="3">
        <v>26.549508513133553</v>
      </c>
      <c r="BV1198" s="3">
        <v>24.666175179800213</v>
      </c>
      <c r="BW1198" s="3">
        <v>22.499508513133556</v>
      </c>
      <c r="BX1198" s="3">
        <v>20.219508513133555</v>
      </c>
      <c r="BY1198" s="3">
        <v>18.239508513133551</v>
      </c>
      <c r="BZ1198" s="3">
        <v>16.769508513133552</v>
      </c>
      <c r="CA1198" s="3">
        <v>14.96950851313354</v>
      </c>
      <c r="CB1198" s="3">
        <v>12.906175179800215</v>
      </c>
      <c r="CC1198" s="3">
        <v>12.219508513133547</v>
      </c>
      <c r="CD1198" s="3">
        <v>9.426175179800218</v>
      </c>
      <c r="CE1198" s="3">
        <v>9.3195085131335489</v>
      </c>
      <c r="CF1198" s="3">
        <v>-0.96715815353311996</v>
      </c>
      <c r="CG1198" s="3">
        <v>-1.5004914868664514</v>
      </c>
      <c r="CH1198" s="3">
        <v>-2.5771581535331194</v>
      </c>
      <c r="CI1198" s="13">
        <f>[1]!dbasum(RecData[[#This Row],[20]:[2000]],RecData[[#Headers],[20]:[2000]])</f>
        <v>38.083829587996554</v>
      </c>
      <c r="CJ1198" s="14">
        <v>10913</v>
      </c>
      <c r="CK1198" s="15" t="s">
        <v>249</v>
      </c>
      <c r="CL1198" s="15">
        <f>RecData[[#This Row],[Start Time]]</f>
        <v>43276.133333333331</v>
      </c>
      <c r="CM1198" s="16">
        <f>RecData[[#This Row],[Wind Speed avg]]</f>
        <v>1.23</v>
      </c>
      <c r="CN1198" s="16">
        <f>RecData[[#This Row],[Wind Dir. avg]]</f>
        <v>195.7</v>
      </c>
      <c r="CO1198" s="16">
        <f>RecData[[#This Row],[Amb. Humidity]]</f>
        <v>67.900000000000006</v>
      </c>
      <c r="CP1198" s="16">
        <f>RecData[[#This Row],[Amb. Temperature]]</f>
        <v>8.3000000000000007</v>
      </c>
      <c r="CQ1198" s="17">
        <f>RecData[[#This Row],[Amb. Rain Gauge]]</f>
        <v>0</v>
      </c>
      <c r="CR1198" s="4" t="s">
        <v>1</v>
      </c>
      <c r="CS1198" s="4" t="s">
        <v>49</v>
      </c>
      <c r="CT1198" s="70">
        <v>1378.41418457031</v>
      </c>
      <c r="CU1198" s="70">
        <v>45.000377655029297</v>
      </c>
      <c r="CV1198" s="70">
        <v>9.6611166000366193</v>
      </c>
      <c r="CW1198" s="70">
        <v>14.978487014770501</v>
      </c>
      <c r="CX1198" s="4"/>
      <c r="CY1198" s="69"/>
      <c r="CZ1198" s="2" t="b">
        <f>IF($DP$1="YES",IF(RecData[[#This Row],[Power (kW)]]&gt;=$CR$3, TRUE,FALSE),TRUE)</f>
        <v>1</v>
      </c>
      <c r="DA1198" s="16">
        <f>MIN(MOD(180-ABS(ABS($DA$1-RecData[Yaw Angle (°)])-180),360),MOD(180-ABS(ABS($DB$1-RecData[Yaw Angle (°)])-180),360))</f>
        <v>37.470450877341761</v>
      </c>
      <c r="DB1198" s="2" t="str">
        <f>IF($DP$2="None","None",IF(RecData[[#This Row],[Relative Wind Direction]]&lt;=45,"DW",IF(RecData[[#This Row],[Relative Wind Direction]]&lt;=135,"CW","UW")))</f>
        <v>DW</v>
      </c>
      <c r="DC1198" s="61" t="e">
        <f>IF($CL1198-#REF!&gt;1/24,#REF!,IF(SUM($CQ1197:$CQ1198)&gt;$DS$1,$DS$5,DC1199-1))</f>
        <v>#REF!</v>
      </c>
      <c r="DD1198" s="61" t="e">
        <f>IF($CL1199-$CL1198&gt;1/24,#REF!,IF(SUM($CQ1197:$CQ1198)&gt;$DS$1,$DS$6,DD1197-1))</f>
        <v>#REF!</v>
      </c>
      <c r="DE1198" s="18" t="b">
        <v>0</v>
      </c>
      <c r="DF1198" s="2" t="b">
        <f>IF(OR(RecData[[#This Row],[WSpd_Avg '[m/s']]]-RecData[[#This Row],[Wind Speed min]]&gt;=$DF$3,RecData[[#This Row],[Wind Speed max]]-RecData[[#This Row],[WSpd_Avg '[m/s']]]&gt;=$DF$2),TRUE,FALSE)</f>
        <v>0</v>
      </c>
      <c r="DG1198" s="2" t="b">
        <f>RecData[[#This Row],[Temperature '[°C']]]&lt;=-20</f>
        <v>0</v>
      </c>
      <c r="DH1198" s="18" t="b">
        <f>NOT(OR(MOD(RecData[[#This Row],[TIMESTAMP]],1)&gt;0.91632,MOD(RecData[[#This Row],[TIMESTAMP]],1)&lt;0.208681))</f>
        <v>0</v>
      </c>
      <c r="DI1198" s="18" t="b">
        <f>RecData[[#This Row],[Overall (dBA)]]-RecData[[#This Row],[L90]]&gt;=$DS$4</f>
        <v>0</v>
      </c>
      <c r="DJ1198" s="18" t="b">
        <f>RecData[[#This Row],[Overall (dBA)]]&gt;$DS$2</f>
        <v>0</v>
      </c>
      <c r="DK1198" s="18" t="b">
        <f>RecData[[#This Row],[Overall (dBA)]]&lt;$DS$3</f>
        <v>0</v>
      </c>
      <c r="DL11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8" s="2">
        <f>IF(AND(RecData[[#This Row],[Turbines ON/OFF]] = "OFF", NOT(OR(RecData[[#This Row],[Junk?]]="YES",RecData[[#This Row],[Gust?]],RecData[[#This Row],[Rain?]:[Min SPL Threshold?]]))),1,0)</f>
        <v>0</v>
      </c>
      <c r="DN1198" s="16">
        <f>RecData[[#This Row],[dBA Sum]]</f>
        <v>38.083829587996554</v>
      </c>
      <c r="DO1198" s="16">
        <f>RecData[[#This Row],[LAF90.0]]</f>
        <v>37</v>
      </c>
      <c r="DP1198" s="55">
        <f>IF(AND(RecData[[#This Row],[Useable TON Data?]],RecData[[#This Row],[Turbines ON/OFF]]="ON"),RecData[[#This Row],[dBA Sum]],"")</f>
        <v>38.083829587996554</v>
      </c>
      <c r="DQ1198" s="55" t="str">
        <f>IF(AND(RecData[[#This Row],[Useable Background Data?]],RecData[[#This Row],[Turbines ON/OFF]]="OFF"),RecData[[#This Row],[dBA Sum]],"")</f>
        <v/>
      </c>
      <c r="DR1198" s="3">
        <f>IF(OR(RecData[[#This Row],[Useable TON Data?]],RecData[[#This Row],[Useable Background Data?]]),ROUND(RecData[[#This Row],[WSpd_Avg '[m/s']]],0),"")</f>
        <v>1</v>
      </c>
      <c r="DS1198" s="85">
        <f>(0.00002)^2*(10^(RecData[[#This Row],[Overall (dBA)]]/10))</f>
        <v>2.5730187448589236E-6</v>
      </c>
    </row>
    <row r="1199" spans="1:123" ht="15" x14ac:dyDescent="0.25">
      <c r="A1199" s="3" t="s">
        <v>249</v>
      </c>
      <c r="B1199" s="12">
        <v>43276.134027777778</v>
      </c>
      <c r="C1199" s="3"/>
      <c r="D1199" s="3">
        <v>38.200000000000003</v>
      </c>
      <c r="E1199" s="3"/>
      <c r="F1199" s="3"/>
      <c r="G1199" s="3"/>
      <c r="H1199" s="3"/>
      <c r="I1199" s="3"/>
      <c r="J1199" s="3"/>
      <c r="K1199" s="3">
        <v>37.1</v>
      </c>
      <c r="L1199" s="3"/>
      <c r="M1199" s="3"/>
      <c r="N1199" s="3">
        <v>182.8</v>
      </c>
      <c r="O1199" s="3"/>
      <c r="P1199" s="3"/>
      <c r="Q1199" s="3">
        <v>1.1000000000000001</v>
      </c>
      <c r="R1199" s="3">
        <v>0.1</v>
      </c>
      <c r="S1199" s="3">
        <v>2</v>
      </c>
      <c r="T1199" s="3">
        <v>8.4</v>
      </c>
      <c r="U1199" s="3">
        <v>66.5</v>
      </c>
      <c r="V1199" s="3">
        <v>978.8</v>
      </c>
      <c r="W1199" s="3">
        <v>0</v>
      </c>
      <c r="X1199" s="3">
        <v>40.5</v>
      </c>
      <c r="Y1199" s="3">
        <v>40.6</v>
      </c>
      <c r="Z1199" s="3">
        <v>39.6</v>
      </c>
      <c r="AA1199" s="3">
        <v>35.4</v>
      </c>
      <c r="AB1199" s="3">
        <v>30.7</v>
      </c>
      <c r="AC1199" s="3">
        <v>29.9</v>
      </c>
      <c r="AD1199" s="3">
        <v>34.700000000000003</v>
      </c>
      <c r="AE1199" s="3">
        <v>35.9</v>
      </c>
      <c r="AF1199" s="3">
        <v>42.6</v>
      </c>
      <c r="AG1199" s="3">
        <v>34.799999999999997</v>
      </c>
      <c r="AH1199" s="3">
        <v>34.5</v>
      </c>
      <c r="AI1199" s="3">
        <v>34.9</v>
      </c>
      <c r="AJ1199" s="3">
        <v>33.700000000000003</v>
      </c>
      <c r="AK1199" s="3">
        <v>32.700000000000003</v>
      </c>
      <c r="AL1199" s="3">
        <v>31.4</v>
      </c>
      <c r="AM1199" s="3">
        <v>31.6</v>
      </c>
      <c r="AN1199" s="3">
        <v>29.9</v>
      </c>
      <c r="AO1199" s="3">
        <v>26.5</v>
      </c>
      <c r="AP1199" s="3">
        <v>25.2</v>
      </c>
      <c r="AQ1199" s="3">
        <v>23</v>
      </c>
      <c r="AR1199" s="3">
        <v>21.7</v>
      </c>
      <c r="AS1199" s="3">
        <v>21.1</v>
      </c>
      <c r="AT1199" s="3">
        <v>21.3</v>
      </c>
      <c r="AU1199" s="3">
        <v>18.5</v>
      </c>
      <c r="AV1199" s="3">
        <v>16.399999999999999</v>
      </c>
      <c r="AW1199" s="3">
        <v>15.5</v>
      </c>
      <c r="AX1199" s="3">
        <v>12.1</v>
      </c>
      <c r="AY1199" s="3">
        <v>10.9</v>
      </c>
      <c r="AZ1199" s="3">
        <v>0</v>
      </c>
      <c r="BA1199" s="3">
        <v>0</v>
      </c>
      <c r="BB1199" s="3">
        <v>0</v>
      </c>
      <c r="BC1199" s="3">
        <v>38.218818322498379</v>
      </c>
      <c r="BD1199" s="3">
        <v>40.481181677501624</v>
      </c>
      <c r="BE1199" s="3">
        <v>40.581181677501633</v>
      </c>
      <c r="BF1199" s="3">
        <v>38.341181677501623</v>
      </c>
      <c r="BG1199" s="3">
        <v>34.467848344168289</v>
      </c>
      <c r="BH1199" s="3">
        <v>29.907848344168286</v>
      </c>
      <c r="BI1199" s="3">
        <v>29.52118167750163</v>
      </c>
      <c r="BJ1199" s="3">
        <v>35.114515010834964</v>
      </c>
      <c r="BK1199" s="3">
        <v>36.187848344168287</v>
      </c>
      <c r="BL1199" s="3">
        <v>42.461181677501628</v>
      </c>
      <c r="BM1199" s="3">
        <v>34.794515010834957</v>
      </c>
      <c r="BN1199" s="3">
        <v>34.777848344168291</v>
      </c>
      <c r="BO1199" s="3">
        <v>34.544515010834957</v>
      </c>
      <c r="BP1199" s="3">
        <v>33.061181677501622</v>
      </c>
      <c r="BQ1199" s="3">
        <v>32.477848344168279</v>
      </c>
      <c r="BR1199" s="3">
        <v>31.50451501083495</v>
      </c>
      <c r="BS1199" s="3">
        <v>31.507848344168295</v>
      </c>
      <c r="BT1199" s="3">
        <v>30.00451501083495</v>
      </c>
      <c r="BU1199" s="3">
        <v>26.571181677501627</v>
      </c>
      <c r="BV1199" s="3">
        <v>24.987848344168292</v>
      </c>
      <c r="BW1199" s="3">
        <v>23.321181677501627</v>
      </c>
      <c r="BX1199" s="3">
        <v>21.941181677501632</v>
      </c>
      <c r="BY1199" s="3">
        <v>21.161181677501624</v>
      </c>
      <c r="BZ1199" s="3">
        <v>21.491181677501629</v>
      </c>
      <c r="CA1199" s="3">
        <v>18.791181677501612</v>
      </c>
      <c r="CB1199" s="3">
        <v>16.127848344168285</v>
      </c>
      <c r="CC1199" s="3">
        <v>15.441181677501625</v>
      </c>
      <c r="CD1199" s="3">
        <v>11.347848344168298</v>
      </c>
      <c r="CE1199" s="3">
        <v>10.341181677501623</v>
      </c>
      <c r="CF1199" s="3">
        <v>-0.94548498916504542</v>
      </c>
      <c r="CG1199" s="3">
        <v>-1.4788183224983769</v>
      </c>
      <c r="CH1199" s="3">
        <v>-2.5554849891650449</v>
      </c>
      <c r="CI1199" s="13">
        <f>[1]!dbasum(RecData[[#This Row],[20]:[2000]],RecData[[#Headers],[20]:[2000]])</f>
        <v>37.782812311620944</v>
      </c>
      <c r="CJ1199" s="14">
        <v>10914</v>
      </c>
      <c r="CK1199" s="15" t="s">
        <v>249</v>
      </c>
      <c r="CL1199" s="15">
        <f>RecData[[#This Row],[Start Time]]</f>
        <v>43276.134027777778</v>
      </c>
      <c r="CM1199" s="16">
        <f>RecData[[#This Row],[Wind Speed avg]]</f>
        <v>1.1000000000000001</v>
      </c>
      <c r="CN1199" s="16">
        <f>RecData[[#This Row],[Wind Dir. avg]]</f>
        <v>182.8</v>
      </c>
      <c r="CO1199" s="16">
        <f>RecData[[#This Row],[Amb. Humidity]]</f>
        <v>66.5</v>
      </c>
      <c r="CP1199" s="16">
        <f>RecData[[#This Row],[Amb. Temperature]]</f>
        <v>8.4</v>
      </c>
      <c r="CQ1199" s="17">
        <f>RecData[[#This Row],[Amb. Rain Gauge]]</f>
        <v>0</v>
      </c>
      <c r="CR1199" s="4" t="s">
        <v>1</v>
      </c>
      <c r="CS1199" s="4" t="s">
        <v>49</v>
      </c>
      <c r="CT1199" s="70">
        <v>1378.41418457031</v>
      </c>
      <c r="CU1199" s="70">
        <v>45.000377655029297</v>
      </c>
      <c r="CV1199" s="70">
        <v>9.6611166000366193</v>
      </c>
      <c r="CW1199" s="70">
        <v>14.978487014770501</v>
      </c>
      <c r="CX1199" s="4"/>
      <c r="CY1199" s="69"/>
      <c r="CZ1199" s="2" t="b">
        <f>IF($DP$1="YES",IF(RecData[[#This Row],[Power (kW)]]&gt;=$CR$3, TRUE,FALSE),TRUE)</f>
        <v>1</v>
      </c>
      <c r="DA1199" s="16">
        <f>MIN(MOD(180-ABS(ABS($DA$1-RecData[Yaw Angle (°)])-180),360),MOD(180-ABS(ABS($DB$1-RecData[Yaw Angle (°)])-180),360))</f>
        <v>37.470450877341761</v>
      </c>
      <c r="DB1199" s="2" t="str">
        <f>IF($DP$2="None","None",IF(RecData[[#This Row],[Relative Wind Direction]]&lt;=45,"DW",IF(RecData[[#This Row],[Relative Wind Direction]]&lt;=135,"CW","UW")))</f>
        <v>DW</v>
      </c>
      <c r="DC1199" s="61" t="e">
        <f>IF($CL1199-#REF!&gt;1/24,#REF!,IF(SUM($CQ1197:$CQ1199)&gt;$DS$1,$DS$5,DC1200-1))</f>
        <v>#REF!</v>
      </c>
      <c r="DD1199" s="61" t="e">
        <f>IF($CL1200-$CL1199&gt;1/24,#REF!,IF(SUM($CQ1197:$CQ1199)&gt;$DS$1,$DS$6,DD1198-1))</f>
        <v>#REF!</v>
      </c>
      <c r="DE1199" s="18" t="b">
        <v>0</v>
      </c>
      <c r="DF1199" s="2" t="b">
        <f>IF(OR(RecData[[#This Row],[WSpd_Avg '[m/s']]]-RecData[[#This Row],[Wind Speed min]]&gt;=$DF$3,RecData[[#This Row],[Wind Speed max]]-RecData[[#This Row],[WSpd_Avg '[m/s']]]&gt;=$DF$2),TRUE,FALSE)</f>
        <v>0</v>
      </c>
      <c r="DG1199" s="2" t="b">
        <f>RecData[[#This Row],[Temperature '[°C']]]&lt;=-20</f>
        <v>0</v>
      </c>
      <c r="DH1199" s="18" t="b">
        <f>NOT(OR(MOD(RecData[[#This Row],[TIMESTAMP]],1)&gt;0.91632,MOD(RecData[[#This Row],[TIMESTAMP]],1)&lt;0.208681))</f>
        <v>0</v>
      </c>
      <c r="DI1199" s="18" t="b">
        <f>RecData[[#This Row],[Overall (dBA)]]-RecData[[#This Row],[L90]]&gt;=$DS$4</f>
        <v>0</v>
      </c>
      <c r="DJ1199" s="18" t="b">
        <f>RecData[[#This Row],[Overall (dBA)]]&gt;$DS$2</f>
        <v>0</v>
      </c>
      <c r="DK1199" s="18" t="b">
        <f>RecData[[#This Row],[Overall (dBA)]]&lt;$DS$3</f>
        <v>0</v>
      </c>
      <c r="DL11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199" s="2">
        <f>IF(AND(RecData[[#This Row],[Turbines ON/OFF]] = "OFF", NOT(OR(RecData[[#This Row],[Junk?]]="YES",RecData[[#This Row],[Gust?]],RecData[[#This Row],[Rain?]:[Min SPL Threshold?]]))),1,0)</f>
        <v>0</v>
      </c>
      <c r="DN1199" s="16">
        <f>RecData[[#This Row],[dBA Sum]]</f>
        <v>37.782812311620944</v>
      </c>
      <c r="DO1199" s="16">
        <f>RecData[[#This Row],[LAF90.0]]</f>
        <v>37.1</v>
      </c>
      <c r="DP1199" s="55">
        <f>IF(AND(RecData[[#This Row],[Useable TON Data?]],RecData[[#This Row],[Turbines ON/OFF]]="ON"),RecData[[#This Row],[dBA Sum]],"")</f>
        <v>37.782812311620944</v>
      </c>
      <c r="DQ1199" s="55" t="str">
        <f>IF(AND(RecData[[#This Row],[Useable Background Data?]],RecData[[#This Row],[Turbines ON/OFF]]="OFF"),RecData[[#This Row],[dBA Sum]],"")</f>
        <v/>
      </c>
      <c r="DR1199" s="3">
        <f>IF(OR(RecData[[#This Row],[Useable TON Data?]],RecData[[#This Row],[Useable Background Data?]]),ROUND(RecData[[#This Row],[WSpd_Avg '[m/s']]],0),"")</f>
        <v>1</v>
      </c>
      <c r="DS1199" s="85">
        <f>(0.00002)^2*(10^(RecData[[#This Row],[Overall (dBA)]]/10))</f>
        <v>2.4007184078282344E-6</v>
      </c>
    </row>
    <row r="1200" spans="1:123" ht="15" x14ac:dyDescent="0.25">
      <c r="A1200" s="3" t="s">
        <v>249</v>
      </c>
      <c r="B1200" s="12">
        <v>43276.134722222225</v>
      </c>
      <c r="C1200" s="3"/>
      <c r="D1200" s="3">
        <v>38.200000000000003</v>
      </c>
      <c r="E1200" s="3"/>
      <c r="F1200" s="3"/>
      <c r="G1200" s="3"/>
      <c r="H1200" s="3"/>
      <c r="I1200" s="3"/>
      <c r="J1200" s="3"/>
      <c r="K1200" s="3">
        <v>37.4</v>
      </c>
      <c r="L1200" s="3"/>
      <c r="M1200" s="3"/>
      <c r="N1200" s="3">
        <v>179.5</v>
      </c>
      <c r="O1200" s="3"/>
      <c r="P1200" s="3"/>
      <c r="Q1200" s="3">
        <v>1.32</v>
      </c>
      <c r="R1200" s="3">
        <v>0.1</v>
      </c>
      <c r="S1200" s="3">
        <v>2.8</v>
      </c>
      <c r="T1200" s="3">
        <v>8.5</v>
      </c>
      <c r="U1200" s="3">
        <v>65.5</v>
      </c>
      <c r="V1200" s="3">
        <v>978.8</v>
      </c>
      <c r="W1200" s="3">
        <v>0</v>
      </c>
      <c r="X1200" s="3">
        <v>41.3</v>
      </c>
      <c r="Y1200" s="3">
        <v>40.5</v>
      </c>
      <c r="Z1200" s="3">
        <v>39.9</v>
      </c>
      <c r="AA1200" s="3">
        <v>35.1</v>
      </c>
      <c r="AB1200" s="3">
        <v>30.3</v>
      </c>
      <c r="AC1200" s="3">
        <v>30.1</v>
      </c>
      <c r="AD1200" s="3">
        <v>35.6</v>
      </c>
      <c r="AE1200" s="3">
        <v>36.799999999999997</v>
      </c>
      <c r="AF1200" s="3">
        <v>43.4</v>
      </c>
      <c r="AG1200" s="3">
        <v>34.799999999999997</v>
      </c>
      <c r="AH1200" s="3">
        <v>34.6</v>
      </c>
      <c r="AI1200" s="3">
        <v>34.4</v>
      </c>
      <c r="AJ1200" s="3">
        <v>33.799999999999997</v>
      </c>
      <c r="AK1200" s="3">
        <v>32.6</v>
      </c>
      <c r="AL1200" s="3">
        <v>31.2</v>
      </c>
      <c r="AM1200" s="3">
        <v>31.2</v>
      </c>
      <c r="AN1200" s="3">
        <v>29.7</v>
      </c>
      <c r="AO1200" s="3">
        <v>26.6</v>
      </c>
      <c r="AP1200" s="3">
        <v>25.2</v>
      </c>
      <c r="AQ1200" s="3">
        <v>23.2</v>
      </c>
      <c r="AR1200" s="3">
        <v>22.2</v>
      </c>
      <c r="AS1200" s="3">
        <v>21.3</v>
      </c>
      <c r="AT1200" s="3">
        <v>20.399999999999999</v>
      </c>
      <c r="AU1200" s="3">
        <v>17.600000000000001</v>
      </c>
      <c r="AV1200" s="3">
        <v>16</v>
      </c>
      <c r="AW1200" s="3">
        <v>15</v>
      </c>
      <c r="AX1200" s="3">
        <v>11.7</v>
      </c>
      <c r="AY1200" s="3">
        <v>10.7</v>
      </c>
      <c r="AZ1200" s="3">
        <v>0</v>
      </c>
      <c r="BA1200" s="3">
        <v>0</v>
      </c>
      <c r="BB1200" s="3">
        <v>0</v>
      </c>
      <c r="BC1200" s="3">
        <v>38.158005841781467</v>
      </c>
      <c r="BD1200" s="3">
        <v>41.341994158218533</v>
      </c>
      <c r="BE1200" s="3">
        <v>40.541994158218536</v>
      </c>
      <c r="BF1200" s="3">
        <v>38.701994158218533</v>
      </c>
      <c r="BG1200" s="3">
        <v>34.228660824885203</v>
      </c>
      <c r="BH1200" s="3">
        <v>29.568660824885207</v>
      </c>
      <c r="BI1200" s="3">
        <v>29.781994158218531</v>
      </c>
      <c r="BJ1200" s="3">
        <v>36.075327491551867</v>
      </c>
      <c r="BK1200" s="3">
        <v>37.148660824885205</v>
      </c>
      <c r="BL1200" s="3">
        <v>43.321994158218537</v>
      </c>
      <c r="BM1200" s="3">
        <v>34.855327491551868</v>
      </c>
      <c r="BN1200" s="3">
        <v>34.938660824885197</v>
      </c>
      <c r="BO1200" s="3">
        <v>34.105327491551868</v>
      </c>
      <c r="BP1200" s="3">
        <v>33.221994158218529</v>
      </c>
      <c r="BQ1200" s="3">
        <v>32.438660824885197</v>
      </c>
      <c r="BR1200" s="3">
        <v>31.365327491551874</v>
      </c>
      <c r="BS1200" s="3">
        <v>31.168660824885201</v>
      </c>
      <c r="BT1200" s="3">
        <v>29.865327491551874</v>
      </c>
      <c r="BU1200" s="3">
        <v>26.731994158218548</v>
      </c>
      <c r="BV1200" s="3">
        <v>25.048660824885204</v>
      </c>
      <c r="BW1200" s="3">
        <v>23.581994158218542</v>
      </c>
      <c r="BX1200" s="3">
        <v>22.501994158218544</v>
      </c>
      <c r="BY1200" s="3">
        <v>21.421994158218531</v>
      </c>
      <c r="BZ1200" s="3">
        <v>20.651994158218535</v>
      </c>
      <c r="CA1200" s="3">
        <v>17.951994158218533</v>
      </c>
      <c r="CB1200" s="3">
        <v>15.788660824885199</v>
      </c>
      <c r="CC1200" s="3">
        <v>15.001994158218537</v>
      </c>
      <c r="CD1200" s="3">
        <v>11.008660824885204</v>
      </c>
      <c r="CE1200" s="3">
        <v>10.201994158218533</v>
      </c>
      <c r="CF1200" s="3">
        <v>-0.8846725084481335</v>
      </c>
      <c r="CG1200" s="3">
        <v>-1.4180058417814649</v>
      </c>
      <c r="CH1200" s="3">
        <v>-2.4946725084481329</v>
      </c>
      <c r="CI1200" s="13">
        <f>[1]!dbasum(RecData[[#This Row],[20]:[2000]],RecData[[#Headers],[20]:[2000]])</f>
        <v>37.816662117953854</v>
      </c>
      <c r="CJ1200" s="14">
        <v>10915</v>
      </c>
      <c r="CK1200" s="15" t="s">
        <v>249</v>
      </c>
      <c r="CL1200" s="15">
        <f>RecData[[#This Row],[Start Time]]</f>
        <v>43276.134722222225</v>
      </c>
      <c r="CM1200" s="16">
        <f>RecData[[#This Row],[Wind Speed avg]]</f>
        <v>1.32</v>
      </c>
      <c r="CN1200" s="16">
        <f>RecData[[#This Row],[Wind Dir. avg]]</f>
        <v>179.5</v>
      </c>
      <c r="CO1200" s="16">
        <f>RecData[[#This Row],[Amb. Humidity]]</f>
        <v>65.5</v>
      </c>
      <c r="CP1200" s="16">
        <f>RecData[[#This Row],[Amb. Temperature]]</f>
        <v>8.5</v>
      </c>
      <c r="CQ1200" s="17">
        <f>RecData[[#This Row],[Amb. Rain Gauge]]</f>
        <v>0</v>
      </c>
      <c r="CR1200" s="4" t="s">
        <v>1</v>
      </c>
      <c r="CS1200" s="4" t="s">
        <v>49</v>
      </c>
      <c r="CT1200" s="70">
        <v>1378.41418457031</v>
      </c>
      <c r="CU1200" s="70">
        <v>45.000377655029297</v>
      </c>
      <c r="CV1200" s="70">
        <v>9.6611166000366193</v>
      </c>
      <c r="CW1200" s="70">
        <v>14.978487014770501</v>
      </c>
      <c r="CX1200" s="4"/>
      <c r="CY1200" s="69"/>
      <c r="CZ1200" s="2" t="b">
        <f>IF($DP$1="YES",IF(RecData[[#This Row],[Power (kW)]]&gt;=$CR$3, TRUE,FALSE),TRUE)</f>
        <v>1</v>
      </c>
      <c r="DA1200" s="16">
        <f>MIN(MOD(180-ABS(ABS($DA$1-RecData[Yaw Angle (°)])-180),360),MOD(180-ABS(ABS($DB$1-RecData[Yaw Angle (°)])-180),360))</f>
        <v>37.470450877341761</v>
      </c>
      <c r="DB1200" s="2" t="str">
        <f>IF($DP$2="None","None",IF(RecData[[#This Row],[Relative Wind Direction]]&lt;=45,"DW",IF(RecData[[#This Row],[Relative Wind Direction]]&lt;=135,"CW","UW")))</f>
        <v>DW</v>
      </c>
      <c r="DC1200" s="61" t="e">
        <f>IF($CL1200-#REF!&gt;1/24,#REF!,IF(SUM($CQ1197:$CQ1200)&gt;$DS$1,$DS$5,DC1201-1))</f>
        <v>#REF!</v>
      </c>
      <c r="DD1200" s="61" t="e">
        <f>IF($CL1201-$CL1200&gt;1/24,#REF!,IF(SUM($CQ1197:$CQ1200)&gt;$DS$1,$DS$6,DD1199-1))</f>
        <v>#REF!</v>
      </c>
      <c r="DE1200" s="18" t="b">
        <v>0</v>
      </c>
      <c r="DF1200" s="2" t="b">
        <f>IF(OR(RecData[[#This Row],[WSpd_Avg '[m/s']]]-RecData[[#This Row],[Wind Speed min]]&gt;=$DF$3,RecData[[#This Row],[Wind Speed max]]-RecData[[#This Row],[WSpd_Avg '[m/s']]]&gt;=$DF$2),TRUE,FALSE)</f>
        <v>0</v>
      </c>
      <c r="DG1200" s="2" t="b">
        <f>RecData[[#This Row],[Temperature '[°C']]]&lt;=-20</f>
        <v>0</v>
      </c>
      <c r="DH1200" s="18" t="b">
        <f>NOT(OR(MOD(RecData[[#This Row],[TIMESTAMP]],1)&gt;0.91632,MOD(RecData[[#This Row],[TIMESTAMP]],1)&lt;0.208681))</f>
        <v>0</v>
      </c>
      <c r="DI1200" s="18" t="b">
        <f>RecData[[#This Row],[Overall (dBA)]]-RecData[[#This Row],[L90]]&gt;=$DS$4</f>
        <v>0</v>
      </c>
      <c r="DJ1200" s="18" t="b">
        <f>RecData[[#This Row],[Overall (dBA)]]&gt;$DS$2</f>
        <v>0</v>
      </c>
      <c r="DK1200" s="18" t="b">
        <f>RecData[[#This Row],[Overall (dBA)]]&lt;$DS$3</f>
        <v>0</v>
      </c>
      <c r="DL12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0" s="2">
        <f>IF(AND(RecData[[#This Row],[Turbines ON/OFF]] = "OFF", NOT(OR(RecData[[#This Row],[Junk?]]="YES",RecData[[#This Row],[Gust?]],RecData[[#This Row],[Rain?]:[Min SPL Threshold?]]))),1,0)</f>
        <v>0</v>
      </c>
      <c r="DN1200" s="16">
        <f>RecData[[#This Row],[dBA Sum]]</f>
        <v>37.816662117953854</v>
      </c>
      <c r="DO1200" s="16">
        <f>RecData[[#This Row],[LAF90.0]]</f>
        <v>37.4</v>
      </c>
      <c r="DP1200" s="55">
        <f>IF(AND(RecData[[#This Row],[Useable TON Data?]],RecData[[#This Row],[Turbines ON/OFF]]="ON"),RecData[[#This Row],[dBA Sum]],"")</f>
        <v>37.816662117953854</v>
      </c>
      <c r="DQ1200" s="55" t="str">
        <f>IF(AND(RecData[[#This Row],[Useable Background Data?]],RecData[[#This Row],[Turbines ON/OFF]]="OFF"),RecData[[#This Row],[dBA Sum]],"")</f>
        <v/>
      </c>
      <c r="DR1200" s="3">
        <f>IF(OR(RecData[[#This Row],[Useable TON Data?]],RecData[[#This Row],[Useable Background Data?]]),ROUND(RecData[[#This Row],[WSpd_Avg '[m/s']]],0),"")</f>
        <v>1</v>
      </c>
      <c r="DS1200" s="85">
        <f>(0.00002)^2*(10^(RecData[[#This Row],[Overall (dBA)]]/10))</f>
        <v>2.4195032127395416E-6</v>
      </c>
    </row>
    <row r="1201" spans="1:123" ht="15" x14ac:dyDescent="0.25">
      <c r="A1201" s="3" t="s">
        <v>249</v>
      </c>
      <c r="B1201" s="12">
        <v>43276.135416666664</v>
      </c>
      <c r="C1201" s="3"/>
      <c r="D1201" s="3">
        <v>38.5</v>
      </c>
      <c r="E1201" s="3"/>
      <c r="F1201" s="3"/>
      <c r="G1201" s="3"/>
      <c r="H1201" s="3"/>
      <c r="I1201" s="3"/>
      <c r="J1201" s="3"/>
      <c r="K1201" s="3">
        <v>37</v>
      </c>
      <c r="L1201" s="3"/>
      <c r="M1201" s="3"/>
      <c r="N1201" s="3">
        <v>169</v>
      </c>
      <c r="O1201" s="3"/>
      <c r="P1201" s="3"/>
      <c r="Q1201" s="3">
        <v>1.24</v>
      </c>
      <c r="R1201" s="3">
        <v>0.1</v>
      </c>
      <c r="S1201" s="3">
        <v>2.2000000000000002</v>
      </c>
      <c r="T1201" s="3">
        <v>8.6999999999999993</v>
      </c>
      <c r="U1201" s="3">
        <v>64.599999999999994</v>
      </c>
      <c r="V1201" s="3">
        <v>978.8</v>
      </c>
      <c r="W1201" s="3">
        <v>0</v>
      </c>
      <c r="X1201" s="3">
        <v>41.8</v>
      </c>
      <c r="Y1201" s="3">
        <v>40.799999999999997</v>
      </c>
      <c r="Z1201" s="3">
        <v>39.9</v>
      </c>
      <c r="AA1201" s="3">
        <v>35.200000000000003</v>
      </c>
      <c r="AB1201" s="3">
        <v>31.2</v>
      </c>
      <c r="AC1201" s="3">
        <v>31.5</v>
      </c>
      <c r="AD1201" s="3">
        <v>36</v>
      </c>
      <c r="AE1201" s="3">
        <v>36.9</v>
      </c>
      <c r="AF1201" s="3">
        <v>43.3</v>
      </c>
      <c r="AG1201" s="3">
        <v>35.799999999999997</v>
      </c>
      <c r="AH1201" s="3">
        <v>34.4</v>
      </c>
      <c r="AI1201" s="3">
        <v>35.6</v>
      </c>
      <c r="AJ1201" s="3">
        <v>33.799999999999997</v>
      </c>
      <c r="AK1201" s="3">
        <v>33.5</v>
      </c>
      <c r="AL1201" s="3">
        <v>31.9</v>
      </c>
      <c r="AM1201" s="3">
        <v>32.1</v>
      </c>
      <c r="AN1201" s="3">
        <v>30.4</v>
      </c>
      <c r="AO1201" s="3">
        <v>26.8</v>
      </c>
      <c r="AP1201" s="3">
        <v>25.1</v>
      </c>
      <c r="AQ1201" s="3">
        <v>22.7</v>
      </c>
      <c r="AR1201" s="3">
        <v>20.8</v>
      </c>
      <c r="AS1201" s="3">
        <v>19.899999999999999</v>
      </c>
      <c r="AT1201" s="3">
        <v>19.2</v>
      </c>
      <c r="AU1201" s="3">
        <v>16.5</v>
      </c>
      <c r="AV1201" s="3">
        <v>15</v>
      </c>
      <c r="AW1201" s="3">
        <v>13.8</v>
      </c>
      <c r="AX1201" s="3">
        <v>10.9</v>
      </c>
      <c r="AY1201" s="3">
        <v>10.199999999999999</v>
      </c>
      <c r="AZ1201" s="3">
        <v>0</v>
      </c>
      <c r="BA1201" s="3">
        <v>0</v>
      </c>
      <c r="BB1201" s="3">
        <v>0</v>
      </c>
      <c r="BC1201" s="3">
        <v>38.491069209495258</v>
      </c>
      <c r="BD1201" s="3">
        <v>41.808930790504739</v>
      </c>
      <c r="BE1201" s="3">
        <v>40.808930790504739</v>
      </c>
      <c r="BF1201" s="3">
        <v>38.668930790504739</v>
      </c>
      <c r="BG1201" s="3">
        <v>34.295597457171404</v>
      </c>
      <c r="BH1201" s="3">
        <v>30.435597457171419</v>
      </c>
      <c r="BI1201" s="3">
        <v>31.148930790504743</v>
      </c>
      <c r="BJ1201" s="3">
        <v>36.442264123838079</v>
      </c>
      <c r="BK1201" s="3">
        <v>37.215597457171405</v>
      </c>
      <c r="BL1201" s="3">
        <v>43.188930790504749</v>
      </c>
      <c r="BM1201" s="3">
        <v>35.822264123838075</v>
      </c>
      <c r="BN1201" s="3">
        <v>34.7055974571714</v>
      </c>
      <c r="BO1201" s="3">
        <v>35.272264123838077</v>
      </c>
      <c r="BP1201" s="3">
        <v>33.188930790504749</v>
      </c>
      <c r="BQ1201" s="3">
        <v>33.305597457171395</v>
      </c>
      <c r="BR1201" s="3">
        <v>32.032264123838083</v>
      </c>
      <c r="BS1201" s="3">
        <v>32.035597457171413</v>
      </c>
      <c r="BT1201" s="3">
        <v>30.532264123838083</v>
      </c>
      <c r="BU1201" s="3">
        <v>26.898930790504743</v>
      </c>
      <c r="BV1201" s="3">
        <v>24.915597457171408</v>
      </c>
      <c r="BW1201" s="3">
        <v>23.048930790504748</v>
      </c>
      <c r="BX1201" s="3">
        <v>21.068930790504744</v>
      </c>
      <c r="BY1201" s="3">
        <v>19.988930790504739</v>
      </c>
      <c r="BZ1201" s="3">
        <v>19.418930790504746</v>
      </c>
      <c r="CA1201" s="3">
        <v>16.81893079050473</v>
      </c>
      <c r="CB1201" s="3">
        <v>14.755597457171405</v>
      </c>
      <c r="CC1201" s="3">
        <v>13.76893079050474</v>
      </c>
      <c r="CD1201" s="3">
        <v>10.175597457171413</v>
      </c>
      <c r="CE1201" s="3">
        <v>9.6689307905047386</v>
      </c>
      <c r="CF1201" s="3">
        <v>-0.91773587616192742</v>
      </c>
      <c r="CG1201" s="3">
        <v>-1.4510692094952589</v>
      </c>
      <c r="CH1201" s="3">
        <v>-2.5277358761619269</v>
      </c>
      <c r="CI1201" s="13">
        <f>[1]!dbasum(RecData[[#This Row],[20]:[2000]],RecData[[#Headers],[20]:[2000]])</f>
        <v>38.214472428687728</v>
      </c>
      <c r="CJ1201" s="14">
        <v>10916</v>
      </c>
      <c r="CK1201" s="15" t="s">
        <v>249</v>
      </c>
      <c r="CL1201" s="15">
        <f>RecData[[#This Row],[Start Time]]</f>
        <v>43276.135416666664</v>
      </c>
      <c r="CM1201" s="16">
        <f>RecData[[#This Row],[Wind Speed avg]]</f>
        <v>1.24</v>
      </c>
      <c r="CN1201" s="16">
        <f>RecData[[#This Row],[Wind Dir. avg]]</f>
        <v>169</v>
      </c>
      <c r="CO1201" s="16">
        <f>RecData[[#This Row],[Amb. Humidity]]</f>
        <v>64.599999999999994</v>
      </c>
      <c r="CP1201" s="16">
        <f>RecData[[#This Row],[Amb. Temperature]]</f>
        <v>8.6999999999999993</v>
      </c>
      <c r="CQ1201" s="17">
        <f>RecData[[#This Row],[Amb. Rain Gauge]]</f>
        <v>0</v>
      </c>
      <c r="CR1201" s="4" t="s">
        <v>1</v>
      </c>
      <c r="CS1201" s="4" t="s">
        <v>49</v>
      </c>
      <c r="CT1201" s="70">
        <v>1378.41418457031</v>
      </c>
      <c r="CU1201" s="70">
        <v>45.000377655029297</v>
      </c>
      <c r="CV1201" s="70">
        <v>9.6611166000366193</v>
      </c>
      <c r="CW1201" s="70">
        <v>14.978487014770501</v>
      </c>
      <c r="CX1201" s="4"/>
      <c r="CY1201" s="69"/>
      <c r="CZ1201" s="2" t="b">
        <f>IF($DP$1="YES",IF(RecData[[#This Row],[Power (kW)]]&gt;=$CR$3, TRUE,FALSE),TRUE)</f>
        <v>1</v>
      </c>
      <c r="DA1201" s="16">
        <f>MIN(MOD(180-ABS(ABS($DA$1-RecData[Yaw Angle (°)])-180),360),MOD(180-ABS(ABS($DB$1-RecData[Yaw Angle (°)])-180),360))</f>
        <v>37.470450877341761</v>
      </c>
      <c r="DB1201" s="2" t="str">
        <f>IF($DP$2="None","None",IF(RecData[[#This Row],[Relative Wind Direction]]&lt;=45,"DW",IF(RecData[[#This Row],[Relative Wind Direction]]&lt;=135,"CW","UW")))</f>
        <v>DW</v>
      </c>
      <c r="DC1201" s="61">
        <f>IF($CL1201-$CL1197&gt;1/24,#REF!,IF(SUM($CQ1197:$CQ1201)&gt;$DS$1,$DS$5,DC1202-1))</f>
        <v>-3</v>
      </c>
      <c r="DD1201" s="61" t="e">
        <f>IF($CL1202-$CL1201&gt;1/24,#REF!,IF(SUM($CQ1197:$CQ1201)&gt;$DS$1,$DS$6,DD1200-1))</f>
        <v>#REF!</v>
      </c>
      <c r="DE1201" s="18" t="b">
        <v>0</v>
      </c>
      <c r="DF1201" s="2" t="b">
        <f>IF(OR(RecData[[#This Row],[WSpd_Avg '[m/s']]]-RecData[[#This Row],[Wind Speed min]]&gt;=$DF$3,RecData[[#This Row],[Wind Speed max]]-RecData[[#This Row],[WSpd_Avg '[m/s']]]&gt;=$DF$2),TRUE,FALSE)</f>
        <v>0</v>
      </c>
      <c r="DG1201" s="2" t="b">
        <f>RecData[[#This Row],[Temperature '[°C']]]&lt;=-20</f>
        <v>0</v>
      </c>
      <c r="DH1201" s="18" t="b">
        <f>NOT(OR(MOD(RecData[[#This Row],[TIMESTAMP]],1)&gt;0.91632,MOD(RecData[[#This Row],[TIMESTAMP]],1)&lt;0.208681))</f>
        <v>0</v>
      </c>
      <c r="DI1201" s="18" t="b">
        <f>RecData[[#This Row],[Overall (dBA)]]-RecData[[#This Row],[L90]]&gt;=$DS$4</f>
        <v>0</v>
      </c>
      <c r="DJ1201" s="18" t="b">
        <f>RecData[[#This Row],[Overall (dBA)]]&gt;$DS$2</f>
        <v>0</v>
      </c>
      <c r="DK1201" s="18" t="b">
        <f>RecData[[#This Row],[Overall (dBA)]]&lt;$DS$3</f>
        <v>0</v>
      </c>
      <c r="DL12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1" s="2">
        <f>IF(AND(RecData[[#This Row],[Turbines ON/OFF]] = "OFF", NOT(OR(RecData[[#This Row],[Junk?]]="YES",RecData[[#This Row],[Gust?]],RecData[[#This Row],[Rain?]:[Min SPL Threshold?]]))),1,0)</f>
        <v>0</v>
      </c>
      <c r="DN1201" s="16">
        <f>RecData[[#This Row],[dBA Sum]]</f>
        <v>38.214472428687728</v>
      </c>
      <c r="DO1201" s="16">
        <f>RecData[[#This Row],[LAF90.0]]</f>
        <v>37</v>
      </c>
      <c r="DP1201" s="55">
        <f>IF(AND(RecData[[#This Row],[Useable TON Data?]],RecData[[#This Row],[Turbines ON/OFF]]="ON"),RecData[[#This Row],[dBA Sum]],"")</f>
        <v>38.214472428687728</v>
      </c>
      <c r="DQ1201" s="55" t="str">
        <f>IF(AND(RecData[[#This Row],[Useable Background Data?]],RecData[[#This Row],[Turbines ON/OFF]]="OFF"),RecData[[#This Row],[dBA Sum]],"")</f>
        <v/>
      </c>
      <c r="DR1201" s="3">
        <f>IF(OR(RecData[[#This Row],[Useable TON Data?]],RecData[[#This Row],[Useable Background Data?]]),ROUND(RecData[[#This Row],[WSpd_Avg '[m/s']]],0),"")</f>
        <v>1</v>
      </c>
      <c r="DS1201" s="85">
        <f>(0.00002)^2*(10^(RecData[[#This Row],[Overall (dBA)]]/10))</f>
        <v>2.6515952612011189E-6</v>
      </c>
    </row>
    <row r="1202" spans="1:123" ht="15" x14ac:dyDescent="0.25">
      <c r="A1202" s="3" t="s">
        <v>249</v>
      </c>
      <c r="B1202" s="12">
        <v>43276.136111111111</v>
      </c>
      <c r="C1202" s="3"/>
      <c r="D1202" s="3">
        <v>38.9</v>
      </c>
      <c r="E1202" s="3"/>
      <c r="F1202" s="3"/>
      <c r="G1202" s="3"/>
      <c r="H1202" s="3"/>
      <c r="I1202" s="3"/>
      <c r="J1202" s="3"/>
      <c r="K1202" s="3">
        <v>37.5</v>
      </c>
      <c r="L1202" s="3"/>
      <c r="M1202" s="3"/>
      <c r="N1202" s="3">
        <v>180.5</v>
      </c>
      <c r="O1202" s="3"/>
      <c r="P1202" s="3"/>
      <c r="Q1202" s="3">
        <v>1.17</v>
      </c>
      <c r="R1202" s="3">
        <v>0.5</v>
      </c>
      <c r="S1202" s="3">
        <v>2</v>
      </c>
      <c r="T1202" s="3">
        <v>8.9</v>
      </c>
      <c r="U1202" s="3">
        <v>64.3</v>
      </c>
      <c r="V1202" s="3">
        <v>978.8</v>
      </c>
      <c r="W1202" s="3">
        <v>0</v>
      </c>
      <c r="X1202" s="3">
        <v>41.4</v>
      </c>
      <c r="Y1202" s="3">
        <v>41</v>
      </c>
      <c r="Z1202" s="3">
        <v>39.9</v>
      </c>
      <c r="AA1202" s="3">
        <v>35.200000000000003</v>
      </c>
      <c r="AB1202" s="3">
        <v>31.2</v>
      </c>
      <c r="AC1202" s="3">
        <v>31.5</v>
      </c>
      <c r="AD1202" s="3">
        <v>36.4</v>
      </c>
      <c r="AE1202" s="3">
        <v>37.299999999999997</v>
      </c>
      <c r="AF1202" s="3">
        <v>43.8</v>
      </c>
      <c r="AG1202" s="3">
        <v>35.700000000000003</v>
      </c>
      <c r="AH1202" s="3">
        <v>35.200000000000003</v>
      </c>
      <c r="AI1202" s="3">
        <v>35.299999999999997</v>
      </c>
      <c r="AJ1202" s="3">
        <v>34.299999999999997</v>
      </c>
      <c r="AK1202" s="3">
        <v>33.5</v>
      </c>
      <c r="AL1202" s="3">
        <v>32.1</v>
      </c>
      <c r="AM1202" s="3">
        <v>32.200000000000003</v>
      </c>
      <c r="AN1202" s="3">
        <v>30.5</v>
      </c>
      <c r="AO1202" s="3">
        <v>27.2</v>
      </c>
      <c r="AP1202" s="3">
        <v>25.7</v>
      </c>
      <c r="AQ1202" s="3">
        <v>23.4</v>
      </c>
      <c r="AR1202" s="3">
        <v>22.1</v>
      </c>
      <c r="AS1202" s="3">
        <v>21.7</v>
      </c>
      <c r="AT1202" s="3">
        <v>21.4</v>
      </c>
      <c r="AU1202" s="3">
        <v>18.8</v>
      </c>
      <c r="AV1202" s="3">
        <v>17.600000000000001</v>
      </c>
      <c r="AW1202" s="3">
        <v>15.6</v>
      </c>
      <c r="AX1202" s="3">
        <v>12.2</v>
      </c>
      <c r="AY1202" s="3">
        <v>11.1</v>
      </c>
      <c r="AZ1202" s="3">
        <v>0</v>
      </c>
      <c r="BA1202" s="3">
        <v>0</v>
      </c>
      <c r="BB1202" s="3">
        <v>0</v>
      </c>
      <c r="BC1202" s="3">
        <v>38.870119175223905</v>
      </c>
      <c r="BD1202" s="3">
        <v>41.429880824776092</v>
      </c>
      <c r="BE1202" s="3">
        <v>41.0298808247761</v>
      </c>
      <c r="BF1202" s="3">
        <v>38.689880824776097</v>
      </c>
      <c r="BG1202" s="3">
        <v>34.316547491442762</v>
      </c>
      <c r="BH1202" s="3">
        <v>30.456547491442763</v>
      </c>
      <c r="BI1202" s="3">
        <v>31.169880824776087</v>
      </c>
      <c r="BJ1202" s="3">
        <v>36.863214158109415</v>
      </c>
      <c r="BK1202" s="3">
        <v>37.636547491442755</v>
      </c>
      <c r="BL1202" s="3">
        <v>43.709880824776093</v>
      </c>
      <c r="BM1202" s="3">
        <v>35.743214158109438</v>
      </c>
      <c r="BN1202" s="3">
        <v>35.52654749144277</v>
      </c>
      <c r="BO1202" s="3">
        <v>34.993214158109424</v>
      </c>
      <c r="BP1202" s="3">
        <v>33.709880824776093</v>
      </c>
      <c r="BQ1202" s="3">
        <v>33.326547491442753</v>
      </c>
      <c r="BR1202" s="3">
        <v>32.253214158109429</v>
      </c>
      <c r="BS1202" s="3">
        <v>32.156547491442765</v>
      </c>
      <c r="BT1202" s="3">
        <v>30.653214158109435</v>
      </c>
      <c r="BU1202" s="3">
        <v>27.319880824776092</v>
      </c>
      <c r="BV1202" s="3">
        <v>25.536547491442761</v>
      </c>
      <c r="BW1202" s="3">
        <v>23.769880824776095</v>
      </c>
      <c r="BX1202" s="3">
        <v>22.3898808247761</v>
      </c>
      <c r="BY1202" s="3">
        <v>21.809880824776087</v>
      </c>
      <c r="BZ1202" s="3">
        <v>21.6398808247761</v>
      </c>
      <c r="CA1202" s="3">
        <v>19.139880824776085</v>
      </c>
      <c r="CB1202" s="3">
        <v>17.376547491442764</v>
      </c>
      <c r="CC1202" s="3">
        <v>15.589880824776088</v>
      </c>
      <c r="CD1202" s="3">
        <v>11.496547491442762</v>
      </c>
      <c r="CE1202" s="3">
        <v>10.589880824776088</v>
      </c>
      <c r="CF1202" s="3">
        <v>-0.89678584189057631</v>
      </c>
      <c r="CG1202" s="3">
        <v>-1.4301191752239077</v>
      </c>
      <c r="CH1202" s="3">
        <v>-2.5067858418905757</v>
      </c>
      <c r="CI1202" s="13">
        <f>[1]!dbasum(RecData[[#This Row],[20]:[2000]],RecData[[#Headers],[20]:[2000]])</f>
        <v>38.504357586495153</v>
      </c>
      <c r="CJ1202" s="14">
        <v>10917</v>
      </c>
      <c r="CK1202" s="15" t="s">
        <v>249</v>
      </c>
      <c r="CL1202" s="15">
        <f>RecData[[#This Row],[Start Time]]</f>
        <v>43276.136111111111</v>
      </c>
      <c r="CM1202" s="16">
        <f>RecData[[#This Row],[Wind Speed avg]]</f>
        <v>1.17</v>
      </c>
      <c r="CN1202" s="16">
        <f>RecData[[#This Row],[Wind Dir. avg]]</f>
        <v>180.5</v>
      </c>
      <c r="CO1202" s="16">
        <f>RecData[[#This Row],[Amb. Humidity]]</f>
        <v>64.3</v>
      </c>
      <c r="CP1202" s="16">
        <f>RecData[[#This Row],[Amb. Temperature]]</f>
        <v>8.9</v>
      </c>
      <c r="CQ1202" s="17">
        <f>RecData[[#This Row],[Amb. Rain Gauge]]</f>
        <v>0</v>
      </c>
      <c r="CR1202" s="4" t="s">
        <v>1</v>
      </c>
      <c r="CS1202" s="4" t="s">
        <v>49</v>
      </c>
      <c r="CT1202" s="70">
        <v>1378.41418457031</v>
      </c>
      <c r="CU1202" s="70">
        <v>45.000377655029297</v>
      </c>
      <c r="CV1202" s="70">
        <v>9.6611166000366193</v>
      </c>
      <c r="CW1202" s="70">
        <v>14.978487014770501</v>
      </c>
      <c r="CX1202" s="4"/>
      <c r="CY1202" s="69"/>
      <c r="CZ1202" s="2" t="b">
        <f>IF($DP$1="YES",IF(RecData[[#This Row],[Power (kW)]]&gt;=$CR$3, TRUE,FALSE),TRUE)</f>
        <v>1</v>
      </c>
      <c r="DA1202" s="16">
        <f>MIN(MOD(180-ABS(ABS($DA$1-RecData[Yaw Angle (°)])-180),360),MOD(180-ABS(ABS($DB$1-RecData[Yaw Angle (°)])-180),360))</f>
        <v>37.470450877341761</v>
      </c>
      <c r="DB1202" s="2" t="str">
        <f>IF($DP$2="None","None",IF(RecData[[#This Row],[Relative Wind Direction]]&lt;=45,"DW",IF(RecData[[#This Row],[Relative Wind Direction]]&lt;=135,"CW","UW")))</f>
        <v>DW</v>
      </c>
      <c r="DC1202" s="61">
        <f>IF($CL1202-$CL1198&gt;1/24,#REF!,IF(SUM($CQ1198:$CQ1202)&gt;$DS$1,$DS$5,DC1203-1))</f>
        <v>-2</v>
      </c>
      <c r="DD1202" s="61" t="e">
        <f>IF($CL1203-$CL1202&gt;1/24,#REF!,IF(SUM($CQ1198:$CQ1202)&gt;$DS$1,$DS$6,DD1201-1))</f>
        <v>#REF!</v>
      </c>
      <c r="DE1202" s="18" t="b">
        <v>0</v>
      </c>
      <c r="DF1202" s="2" t="b">
        <f>IF(OR(RecData[[#This Row],[WSpd_Avg '[m/s']]]-RecData[[#This Row],[Wind Speed min]]&gt;=$DF$3,RecData[[#This Row],[Wind Speed max]]-RecData[[#This Row],[WSpd_Avg '[m/s']]]&gt;=$DF$2),TRUE,FALSE)</f>
        <v>0</v>
      </c>
      <c r="DG1202" s="2" t="b">
        <f>RecData[[#This Row],[Temperature '[°C']]]&lt;=-20</f>
        <v>0</v>
      </c>
      <c r="DH1202" s="18" t="b">
        <f>NOT(OR(MOD(RecData[[#This Row],[TIMESTAMP]],1)&gt;0.91632,MOD(RecData[[#This Row],[TIMESTAMP]],1)&lt;0.208681))</f>
        <v>0</v>
      </c>
      <c r="DI1202" s="18" t="b">
        <f>RecData[[#This Row],[Overall (dBA)]]-RecData[[#This Row],[L90]]&gt;=$DS$4</f>
        <v>0</v>
      </c>
      <c r="DJ1202" s="18" t="b">
        <f>RecData[[#This Row],[Overall (dBA)]]&gt;$DS$2</f>
        <v>0</v>
      </c>
      <c r="DK1202" s="18" t="b">
        <f>RecData[[#This Row],[Overall (dBA)]]&lt;$DS$3</f>
        <v>0</v>
      </c>
      <c r="DL12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2" s="2">
        <f>IF(AND(RecData[[#This Row],[Turbines ON/OFF]] = "OFF", NOT(OR(RecData[[#This Row],[Junk?]]="YES",RecData[[#This Row],[Gust?]],RecData[[#This Row],[Rain?]:[Min SPL Threshold?]]))),1,0)</f>
        <v>0</v>
      </c>
      <c r="DN1202" s="16">
        <f>RecData[[#This Row],[dBA Sum]]</f>
        <v>38.504357586495153</v>
      </c>
      <c r="DO1202" s="16">
        <f>RecData[[#This Row],[LAF90.0]]</f>
        <v>37.5</v>
      </c>
      <c r="DP1202" s="55">
        <f>IF(AND(RecData[[#This Row],[Useable TON Data?]],RecData[[#This Row],[Turbines ON/OFF]]="ON"),RecData[[#This Row],[dBA Sum]],"")</f>
        <v>38.504357586495153</v>
      </c>
      <c r="DQ1202" s="55" t="str">
        <f>IF(AND(RecData[[#This Row],[Useable Background Data?]],RecData[[#This Row],[Turbines ON/OFF]]="OFF"),RecData[[#This Row],[dBA Sum]],"")</f>
        <v/>
      </c>
      <c r="DR1202" s="3">
        <f>IF(OR(RecData[[#This Row],[Useable TON Data?]],RecData[[#This Row],[Useable Background Data?]]),ROUND(RecData[[#This Row],[WSpd_Avg '[m/s']]],0),"")</f>
        <v>1</v>
      </c>
      <c r="DS1202" s="85">
        <f>(0.00002)^2*(10^(RecData[[#This Row],[Overall (dBA)]]/10))</f>
        <v>2.8346258935957968E-6</v>
      </c>
    </row>
    <row r="1203" spans="1:123" ht="15" x14ac:dyDescent="0.25">
      <c r="A1203" s="3" t="s">
        <v>249</v>
      </c>
      <c r="B1203" s="12">
        <v>43276.136805555558</v>
      </c>
      <c r="C1203" s="3"/>
      <c r="D1203" s="3">
        <v>39.200000000000003</v>
      </c>
      <c r="E1203" s="3"/>
      <c r="F1203" s="3"/>
      <c r="G1203" s="3"/>
      <c r="H1203" s="3"/>
      <c r="I1203" s="3"/>
      <c r="J1203" s="3"/>
      <c r="K1203" s="3">
        <v>37.6</v>
      </c>
      <c r="L1203" s="3"/>
      <c r="M1203" s="3"/>
      <c r="N1203" s="3">
        <v>190.2</v>
      </c>
      <c r="O1203" s="3"/>
      <c r="P1203" s="3"/>
      <c r="Q1203" s="3">
        <v>1.1399999999999999</v>
      </c>
      <c r="R1203" s="3">
        <v>0.2</v>
      </c>
      <c r="S1203" s="3">
        <v>1.8</v>
      </c>
      <c r="T1203" s="3">
        <v>9</v>
      </c>
      <c r="U1203" s="3">
        <v>63</v>
      </c>
      <c r="V1203" s="3">
        <v>978.8</v>
      </c>
      <c r="W1203" s="3">
        <v>0</v>
      </c>
      <c r="X1203" s="3">
        <v>42.4</v>
      </c>
      <c r="Y1203" s="3">
        <v>41.4</v>
      </c>
      <c r="Z1203" s="3">
        <v>40.5</v>
      </c>
      <c r="AA1203" s="3">
        <v>36.5</v>
      </c>
      <c r="AB1203" s="3">
        <v>31.4</v>
      </c>
      <c r="AC1203" s="3">
        <v>31.4</v>
      </c>
      <c r="AD1203" s="3">
        <v>36.799999999999997</v>
      </c>
      <c r="AE1203" s="3">
        <v>38.200000000000003</v>
      </c>
      <c r="AF1203" s="3">
        <v>43.6</v>
      </c>
      <c r="AG1203" s="3">
        <v>35.5</v>
      </c>
      <c r="AH1203" s="3">
        <v>36.1</v>
      </c>
      <c r="AI1203" s="3">
        <v>35.299999999999997</v>
      </c>
      <c r="AJ1203" s="3">
        <v>35</v>
      </c>
      <c r="AK1203" s="3">
        <v>33.700000000000003</v>
      </c>
      <c r="AL1203" s="3">
        <v>32.299999999999997</v>
      </c>
      <c r="AM1203" s="3">
        <v>32.5</v>
      </c>
      <c r="AN1203" s="3">
        <v>30.9</v>
      </c>
      <c r="AO1203" s="3">
        <v>27.5</v>
      </c>
      <c r="AP1203" s="3">
        <v>25.9</v>
      </c>
      <c r="AQ1203" s="3">
        <v>23.8</v>
      </c>
      <c r="AR1203" s="3">
        <v>22.6</v>
      </c>
      <c r="AS1203" s="3">
        <v>22.3</v>
      </c>
      <c r="AT1203" s="3">
        <v>21.8</v>
      </c>
      <c r="AU1203" s="3">
        <v>19.899999999999999</v>
      </c>
      <c r="AV1203" s="3">
        <v>18.3</v>
      </c>
      <c r="AW1203" s="3">
        <v>17</v>
      </c>
      <c r="AX1203" s="3">
        <v>13.3</v>
      </c>
      <c r="AY1203" s="3">
        <v>11.9</v>
      </c>
      <c r="AZ1203" s="3">
        <v>0</v>
      </c>
      <c r="BA1203" s="3">
        <v>0</v>
      </c>
      <c r="BB1203" s="3">
        <v>0</v>
      </c>
      <c r="BC1203" s="3">
        <v>39.195983772279753</v>
      </c>
      <c r="BD1203" s="3">
        <v>42.404016227720241</v>
      </c>
      <c r="BE1203" s="3">
        <v>41.404016227720241</v>
      </c>
      <c r="BF1203" s="3">
        <v>39.264016227720255</v>
      </c>
      <c r="BG1203" s="3">
        <v>35.590682894386909</v>
      </c>
      <c r="BH1203" s="3">
        <v>30.630682894386915</v>
      </c>
      <c r="BI1203" s="3">
        <v>31.044016227720256</v>
      </c>
      <c r="BJ1203" s="3">
        <v>37.237349561053584</v>
      </c>
      <c r="BK1203" s="3">
        <v>38.510682894386925</v>
      </c>
      <c r="BL1203" s="3">
        <v>43.484016227720254</v>
      </c>
      <c r="BM1203" s="3">
        <v>35.517349561053585</v>
      </c>
      <c r="BN1203" s="3">
        <v>36.400682894386911</v>
      </c>
      <c r="BO1203" s="3">
        <v>34.967349561053574</v>
      </c>
      <c r="BP1203" s="3">
        <v>34.384016227720259</v>
      </c>
      <c r="BQ1203" s="3">
        <v>33.500682894386905</v>
      </c>
      <c r="BR1203" s="3">
        <v>32.427349561053582</v>
      </c>
      <c r="BS1203" s="3">
        <v>32.430682894386912</v>
      </c>
      <c r="BT1203" s="3">
        <v>31.027349561053576</v>
      </c>
      <c r="BU1203" s="3">
        <v>27.594016227720253</v>
      </c>
      <c r="BV1203" s="3">
        <v>25.710682894386913</v>
      </c>
      <c r="BW1203" s="3">
        <v>24.14401622772025</v>
      </c>
      <c r="BX1203" s="3">
        <v>22.864016227720256</v>
      </c>
      <c r="BY1203" s="3">
        <v>22.384016227720245</v>
      </c>
      <c r="BZ1203" s="3">
        <v>22.014016227720255</v>
      </c>
      <c r="CA1203" s="3">
        <v>20.214016227720244</v>
      </c>
      <c r="CB1203" s="3">
        <v>18.050682894386917</v>
      </c>
      <c r="CC1203" s="3">
        <v>16.964016227720244</v>
      </c>
      <c r="CD1203" s="3">
        <v>12.57068289438692</v>
      </c>
      <c r="CE1203" s="3">
        <v>11.364016227720249</v>
      </c>
      <c r="CF1203" s="3">
        <v>-0.92265043894641963</v>
      </c>
      <c r="CG1203" s="3">
        <v>-1.4559837722797511</v>
      </c>
      <c r="CH1203" s="3">
        <v>-2.5326504389464191</v>
      </c>
      <c r="CI1203" s="13">
        <f>[1]!dbasum(RecData[[#This Row],[20]:[2000]],RecData[[#Headers],[20]:[2000]])</f>
        <v>38.772971065507321</v>
      </c>
      <c r="CJ1203" s="14">
        <v>10918</v>
      </c>
      <c r="CK1203" s="15" t="s">
        <v>249</v>
      </c>
      <c r="CL1203" s="15">
        <f>RecData[[#This Row],[Start Time]]</f>
        <v>43276.136805555558</v>
      </c>
      <c r="CM1203" s="16">
        <f>RecData[[#This Row],[Wind Speed avg]]</f>
        <v>1.1399999999999999</v>
      </c>
      <c r="CN1203" s="16">
        <f>RecData[[#This Row],[Wind Dir. avg]]</f>
        <v>190.2</v>
      </c>
      <c r="CO1203" s="16">
        <f>RecData[[#This Row],[Amb. Humidity]]</f>
        <v>63</v>
      </c>
      <c r="CP1203" s="16">
        <f>RecData[[#This Row],[Amb. Temperature]]</f>
        <v>9</v>
      </c>
      <c r="CQ1203" s="17">
        <f>RecData[[#This Row],[Amb. Rain Gauge]]</f>
        <v>0</v>
      </c>
      <c r="CR1203" s="4" t="s">
        <v>1</v>
      </c>
      <c r="CS1203" s="4" t="s">
        <v>49</v>
      </c>
      <c r="CT1203" s="70">
        <v>1378.41418457031</v>
      </c>
      <c r="CU1203" s="70">
        <v>45.000377655029297</v>
      </c>
      <c r="CV1203" s="70">
        <v>9.6611166000366193</v>
      </c>
      <c r="CW1203" s="70">
        <v>14.978487014770501</v>
      </c>
      <c r="CX1203" s="4"/>
      <c r="CY1203" s="69"/>
      <c r="CZ1203" s="2" t="b">
        <f>IF($DP$1="YES",IF(RecData[[#This Row],[Power (kW)]]&gt;=$CR$3, TRUE,FALSE),TRUE)</f>
        <v>1</v>
      </c>
      <c r="DA1203" s="16">
        <f>MIN(MOD(180-ABS(ABS($DA$1-RecData[Yaw Angle (°)])-180),360),MOD(180-ABS(ABS($DB$1-RecData[Yaw Angle (°)])-180),360))</f>
        <v>37.470450877341761</v>
      </c>
      <c r="DB1203" s="2" t="str">
        <f>IF($DP$2="None","None",IF(RecData[[#This Row],[Relative Wind Direction]]&lt;=45,"DW",IF(RecData[[#This Row],[Relative Wind Direction]]&lt;=135,"CW","UW")))</f>
        <v>DW</v>
      </c>
      <c r="DC1203" s="61">
        <v>-1</v>
      </c>
      <c r="DD1203" s="61">
        <v>-1</v>
      </c>
      <c r="DE1203" s="18" t="b">
        <v>0</v>
      </c>
      <c r="DF1203" s="2" t="b">
        <f>IF(OR(RecData[[#This Row],[WSpd_Avg '[m/s']]]-RecData[[#This Row],[Wind Speed min]]&gt;=$DF$3,RecData[[#This Row],[Wind Speed max]]-RecData[[#This Row],[WSpd_Avg '[m/s']]]&gt;=$DF$2),TRUE,FALSE)</f>
        <v>0</v>
      </c>
      <c r="DG1203" s="2" t="b">
        <f>RecData[[#This Row],[Temperature '[°C']]]&lt;=-20</f>
        <v>0</v>
      </c>
      <c r="DH1203" s="18" t="b">
        <f>NOT(OR(MOD(RecData[[#This Row],[TIMESTAMP]],1)&gt;0.91632,MOD(RecData[[#This Row],[TIMESTAMP]],1)&lt;0.208681))</f>
        <v>0</v>
      </c>
      <c r="DI1203" s="18" t="b">
        <f>RecData[[#This Row],[Overall (dBA)]]-RecData[[#This Row],[L90]]&gt;=$DS$4</f>
        <v>0</v>
      </c>
      <c r="DJ1203" s="18" t="b">
        <f>RecData[[#This Row],[Overall (dBA)]]&gt;$DS$2</f>
        <v>0</v>
      </c>
      <c r="DK1203" s="18" t="b">
        <f>RecData[[#This Row],[Overall (dBA)]]&lt;$DS$3</f>
        <v>0</v>
      </c>
      <c r="DL12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3" s="2">
        <f>IF(AND(RecData[[#This Row],[Turbines ON/OFF]] = "OFF", NOT(OR(RecData[[#This Row],[Junk?]]="YES",RecData[[#This Row],[Gust?]],RecData[[#This Row],[Rain?]:[Min SPL Threshold?]]))),1,0)</f>
        <v>0</v>
      </c>
      <c r="DN1203" s="16">
        <f>RecData[[#This Row],[dBA Sum]]</f>
        <v>38.772971065507321</v>
      </c>
      <c r="DO1203" s="16">
        <f>RecData[[#This Row],[LAF90.0]]</f>
        <v>37.6</v>
      </c>
      <c r="DP1203" s="55">
        <f>IF(AND(RecData[[#This Row],[Useable TON Data?]],RecData[[#This Row],[Turbines ON/OFF]]="ON"),RecData[[#This Row],[dBA Sum]],"")</f>
        <v>38.772971065507321</v>
      </c>
      <c r="DQ1203" s="55" t="str">
        <f>IF(AND(RecData[[#This Row],[Useable Background Data?]],RecData[[#This Row],[Turbines ON/OFF]]="OFF"),RecData[[#This Row],[dBA Sum]],"")</f>
        <v/>
      </c>
      <c r="DR1203" s="3">
        <f>IF(OR(RecData[[#This Row],[Useable TON Data?]],RecData[[#This Row],[Useable Background Data?]]),ROUND(RecData[[#This Row],[WSpd_Avg '[m/s']]],0),"")</f>
        <v>1</v>
      </c>
      <c r="DS1203" s="85">
        <f>(0.00002)^2*(10^(RecData[[#This Row],[Overall (dBA)]]/10))</f>
        <v>3.015484481937583E-6</v>
      </c>
    </row>
    <row r="1204" spans="1:123" ht="15" x14ac:dyDescent="0.25">
      <c r="A1204" s="3" t="s">
        <v>249</v>
      </c>
      <c r="B1204" s="12">
        <v>43276.137499999997</v>
      </c>
      <c r="C1204" s="3"/>
      <c r="D1204" s="3">
        <v>38.1</v>
      </c>
      <c r="E1204" s="3"/>
      <c r="F1204" s="3"/>
      <c r="G1204" s="3"/>
      <c r="H1204" s="3"/>
      <c r="I1204" s="3"/>
      <c r="J1204" s="3"/>
      <c r="K1204" s="3">
        <v>37</v>
      </c>
      <c r="L1204" s="3"/>
      <c r="M1204" s="3"/>
      <c r="N1204" s="3">
        <v>174.7</v>
      </c>
      <c r="O1204" s="3"/>
      <c r="P1204" s="3"/>
      <c r="Q1204" s="3">
        <v>0.78</v>
      </c>
      <c r="R1204" s="3">
        <v>0.1</v>
      </c>
      <c r="S1204" s="3">
        <v>1.5</v>
      </c>
      <c r="T1204" s="3">
        <v>9.1</v>
      </c>
      <c r="U1204" s="3">
        <v>63.2</v>
      </c>
      <c r="V1204" s="3">
        <v>978.8</v>
      </c>
      <c r="W1204" s="3">
        <v>0</v>
      </c>
      <c r="X1204" s="3">
        <v>41.5</v>
      </c>
      <c r="Y1204" s="3">
        <v>40.799999999999997</v>
      </c>
      <c r="Z1204" s="3">
        <v>39.1</v>
      </c>
      <c r="AA1204" s="3">
        <v>35.299999999999997</v>
      </c>
      <c r="AB1204" s="3">
        <v>30.2</v>
      </c>
      <c r="AC1204" s="3">
        <v>30.2</v>
      </c>
      <c r="AD1204" s="3">
        <v>34.799999999999997</v>
      </c>
      <c r="AE1204" s="3">
        <v>36.200000000000003</v>
      </c>
      <c r="AF1204" s="3">
        <v>44.6</v>
      </c>
      <c r="AG1204" s="3">
        <v>35.799999999999997</v>
      </c>
      <c r="AH1204" s="3">
        <v>34.1</v>
      </c>
      <c r="AI1204" s="3">
        <v>34.5</v>
      </c>
      <c r="AJ1204" s="3">
        <v>33.5</v>
      </c>
      <c r="AK1204" s="3">
        <v>32.6</v>
      </c>
      <c r="AL1204" s="3">
        <v>31.2</v>
      </c>
      <c r="AM1204" s="3">
        <v>31.4</v>
      </c>
      <c r="AN1204" s="3">
        <v>29.8</v>
      </c>
      <c r="AO1204" s="3">
        <v>26.4</v>
      </c>
      <c r="AP1204" s="3">
        <v>25.1</v>
      </c>
      <c r="AQ1204" s="3">
        <v>22.1</v>
      </c>
      <c r="AR1204" s="3">
        <v>20.100000000000001</v>
      </c>
      <c r="AS1204" s="3">
        <v>19.399999999999999</v>
      </c>
      <c r="AT1204" s="3">
        <v>18.7</v>
      </c>
      <c r="AU1204" s="3">
        <v>16.399999999999999</v>
      </c>
      <c r="AV1204" s="3">
        <v>15.1</v>
      </c>
      <c r="AW1204" s="3">
        <v>13.5</v>
      </c>
      <c r="AX1204" s="3">
        <v>10.8</v>
      </c>
      <c r="AY1204" s="3">
        <v>10</v>
      </c>
      <c r="AZ1204" s="3">
        <v>0</v>
      </c>
      <c r="BA1204" s="3">
        <v>0</v>
      </c>
      <c r="BB1204" s="3">
        <v>0</v>
      </c>
      <c r="BC1204" s="3">
        <v>38.077057789982881</v>
      </c>
      <c r="BD1204" s="3">
        <v>41.522942210017113</v>
      </c>
      <c r="BE1204" s="3">
        <v>40.822942210017125</v>
      </c>
      <c r="BF1204" s="3">
        <v>37.882942210017127</v>
      </c>
      <c r="BG1204" s="3">
        <v>34.409608876683784</v>
      </c>
      <c r="BH1204" s="3">
        <v>29.44960887668379</v>
      </c>
      <c r="BI1204" s="3">
        <v>29.862942210017117</v>
      </c>
      <c r="BJ1204" s="3">
        <v>35.256275543350448</v>
      </c>
      <c r="BK1204" s="3">
        <v>36.529608876683788</v>
      </c>
      <c r="BL1204" s="3">
        <v>44.502942210017132</v>
      </c>
      <c r="BM1204" s="3">
        <v>35.836275543350446</v>
      </c>
      <c r="BN1204" s="3">
        <v>34.419608876683789</v>
      </c>
      <c r="BO1204" s="3">
        <v>34.186275543350455</v>
      </c>
      <c r="BP1204" s="3">
        <v>32.902942210017123</v>
      </c>
      <c r="BQ1204" s="3">
        <v>32.419608876683789</v>
      </c>
      <c r="BR1204" s="3">
        <v>31.346275543350451</v>
      </c>
      <c r="BS1204" s="3">
        <v>31.349608876683781</v>
      </c>
      <c r="BT1204" s="3">
        <v>29.94627554335046</v>
      </c>
      <c r="BU1204" s="3">
        <v>26.512942210017123</v>
      </c>
      <c r="BV1204" s="3">
        <v>24.929608876683794</v>
      </c>
      <c r="BW1204" s="3">
        <v>22.462942210017125</v>
      </c>
      <c r="BX1204" s="3">
        <v>20.382942210017127</v>
      </c>
      <c r="BY1204" s="3">
        <v>19.502942210017117</v>
      </c>
      <c r="BZ1204" s="3">
        <v>18.932942210017124</v>
      </c>
      <c r="CA1204" s="3">
        <v>16.732942210017107</v>
      </c>
      <c r="CB1204" s="3">
        <v>14.869608876683785</v>
      </c>
      <c r="CC1204" s="3">
        <v>13.482942210017121</v>
      </c>
      <c r="CD1204" s="3">
        <v>10.089608876683791</v>
      </c>
      <c r="CE1204" s="3">
        <v>9.4829422100171215</v>
      </c>
      <c r="CF1204" s="3">
        <v>-0.90372445664954881</v>
      </c>
      <c r="CG1204" s="3">
        <v>-1.4370577899828803</v>
      </c>
      <c r="CH1204" s="3">
        <v>-2.5137244566495482</v>
      </c>
      <c r="CI1204" s="13">
        <f>[1]!dbasum(RecData[[#This Row],[20]:[2000]],RecData[[#Headers],[20]:[2000]])</f>
        <v>37.808104204747423</v>
      </c>
      <c r="CJ1204" s="14">
        <v>10919</v>
      </c>
      <c r="CK1204" s="15" t="s">
        <v>249</v>
      </c>
      <c r="CL1204" s="15">
        <f>RecData[[#This Row],[Start Time]]</f>
        <v>43276.137499999997</v>
      </c>
      <c r="CM1204" s="16">
        <f>RecData[[#This Row],[Wind Speed avg]]</f>
        <v>0.78</v>
      </c>
      <c r="CN1204" s="16">
        <f>RecData[[#This Row],[Wind Dir. avg]]</f>
        <v>174.7</v>
      </c>
      <c r="CO1204" s="16">
        <f>RecData[[#This Row],[Amb. Humidity]]</f>
        <v>63.2</v>
      </c>
      <c r="CP1204" s="16">
        <f>RecData[[#This Row],[Amb. Temperature]]</f>
        <v>9.1</v>
      </c>
      <c r="CQ1204" s="17">
        <f>RecData[[#This Row],[Amb. Rain Gauge]]</f>
        <v>0</v>
      </c>
      <c r="CR1204" s="4" t="s">
        <v>1</v>
      </c>
      <c r="CS1204" s="4" t="s">
        <v>49</v>
      </c>
      <c r="CT1204" s="70">
        <v>1378.41418457031</v>
      </c>
      <c r="CU1204" s="70">
        <v>45.000377655029297</v>
      </c>
      <c r="CV1204" s="70">
        <v>9.6611166000366193</v>
      </c>
      <c r="CW1204" s="70">
        <v>14.978487014770501</v>
      </c>
      <c r="CX1204" s="4"/>
      <c r="CY1204" s="69"/>
      <c r="CZ1204" s="2" t="b">
        <f>IF($DP$1="YES",IF(RecData[[#This Row],[Power (kW)]]&gt;=$CR$3, TRUE,FALSE),TRUE)</f>
        <v>1</v>
      </c>
      <c r="DA1204" s="16">
        <f>MIN(MOD(180-ABS(ABS($DA$1-RecData[Yaw Angle (°)])-180),360),MOD(180-ABS(ABS($DB$1-RecData[Yaw Angle (°)])-180),360))</f>
        <v>37.470450877341761</v>
      </c>
      <c r="DB1204" s="2" t="str">
        <f>IF($DP$2="None","None",IF(RecData[[#This Row],[Relative Wind Direction]]&lt;=45,"DW",IF(RecData[[#This Row],[Relative Wind Direction]]&lt;=135,"CW","UW")))</f>
        <v>DW</v>
      </c>
      <c r="DC1204" s="61">
        <f>IF($CL1204-$CL1203&gt;1/24,#REF!,IF(SUM($CQ1203:$CQ1204)&gt;$DS$1,$DS$5,DC1205-1))</f>
        <v>-9</v>
      </c>
      <c r="DD1204" s="61">
        <f>IF($CL1205-$CL1204&gt;1/24,#REF!,IF(SUM($CQ1203:$CQ1204)&gt;$DS$1,$DS$6,DD1203-1))</f>
        <v>-2</v>
      </c>
      <c r="DE1204" s="18" t="b">
        <v>0</v>
      </c>
      <c r="DF1204" s="2" t="b">
        <f>IF(OR(RecData[[#This Row],[WSpd_Avg '[m/s']]]-RecData[[#This Row],[Wind Speed min]]&gt;=$DF$3,RecData[[#This Row],[Wind Speed max]]-RecData[[#This Row],[WSpd_Avg '[m/s']]]&gt;=$DF$2),TRUE,FALSE)</f>
        <v>0</v>
      </c>
      <c r="DG1204" s="2" t="b">
        <f>RecData[[#This Row],[Temperature '[°C']]]&lt;=-20</f>
        <v>0</v>
      </c>
      <c r="DH1204" s="18" t="b">
        <f>NOT(OR(MOD(RecData[[#This Row],[TIMESTAMP]],1)&gt;0.91632,MOD(RecData[[#This Row],[TIMESTAMP]],1)&lt;0.208681))</f>
        <v>0</v>
      </c>
      <c r="DI1204" s="18" t="b">
        <f>RecData[[#This Row],[Overall (dBA)]]-RecData[[#This Row],[L90]]&gt;=$DS$4</f>
        <v>0</v>
      </c>
      <c r="DJ1204" s="18" t="b">
        <f>RecData[[#This Row],[Overall (dBA)]]&gt;$DS$2</f>
        <v>0</v>
      </c>
      <c r="DK1204" s="18" t="b">
        <f>RecData[[#This Row],[Overall (dBA)]]&lt;$DS$3</f>
        <v>0</v>
      </c>
      <c r="DL12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4" s="2">
        <f>IF(AND(RecData[[#This Row],[Turbines ON/OFF]] = "OFF", NOT(OR(RecData[[#This Row],[Junk?]]="YES",RecData[[#This Row],[Gust?]],RecData[[#This Row],[Rain?]:[Min SPL Threshold?]]))),1,0)</f>
        <v>0</v>
      </c>
      <c r="DN1204" s="16">
        <f>RecData[[#This Row],[dBA Sum]]</f>
        <v>37.808104204747423</v>
      </c>
      <c r="DO1204" s="16">
        <f>RecData[[#This Row],[LAF90.0]]</f>
        <v>37</v>
      </c>
      <c r="DP1204" s="55">
        <f>IF(AND(RecData[[#This Row],[Useable TON Data?]],RecData[[#This Row],[Turbines ON/OFF]]="ON"),RecData[[#This Row],[dBA Sum]],"")</f>
        <v>37.808104204747423</v>
      </c>
      <c r="DQ1204" s="55" t="str">
        <f>IF(AND(RecData[[#This Row],[Useable Background Data?]],RecData[[#This Row],[Turbines ON/OFF]]="OFF"),RecData[[#This Row],[dBA Sum]],"")</f>
        <v/>
      </c>
      <c r="DR1204" s="3">
        <f>IF(OR(RecData[[#This Row],[Useable TON Data?]],RecData[[#This Row],[Useable Background Data?]]),ROUND(RecData[[#This Row],[WSpd_Avg '[m/s']]],0),"")</f>
        <v>1</v>
      </c>
      <c r="DS1204" s="85">
        <f>(0.00002)^2*(10^(RecData[[#This Row],[Overall (dBA)]]/10))</f>
        <v>2.4147401977965629E-6</v>
      </c>
    </row>
    <row r="1205" spans="1:123" ht="15" x14ac:dyDescent="0.25">
      <c r="A1205" s="3" t="s">
        <v>249</v>
      </c>
      <c r="B1205" s="12">
        <v>43276.138194444444</v>
      </c>
      <c r="C1205" s="3"/>
      <c r="D1205" s="3">
        <v>38.5</v>
      </c>
      <c r="E1205" s="3"/>
      <c r="F1205" s="3"/>
      <c r="G1205" s="3"/>
      <c r="H1205" s="3"/>
      <c r="I1205" s="3"/>
      <c r="J1205" s="3"/>
      <c r="K1205" s="3">
        <v>37.6</v>
      </c>
      <c r="L1205" s="3"/>
      <c r="M1205" s="3"/>
      <c r="N1205" s="3">
        <v>180.7</v>
      </c>
      <c r="O1205" s="3"/>
      <c r="P1205" s="3"/>
      <c r="Q1205" s="3">
        <v>0.89</v>
      </c>
      <c r="R1205" s="3">
        <v>0.2</v>
      </c>
      <c r="S1205" s="3">
        <v>1.4</v>
      </c>
      <c r="T1205" s="3">
        <v>9.1999999999999993</v>
      </c>
      <c r="U1205" s="3">
        <v>62.5</v>
      </c>
      <c r="V1205" s="3">
        <v>978.8</v>
      </c>
      <c r="W1205" s="3">
        <v>0</v>
      </c>
      <c r="X1205" s="3">
        <v>41.6</v>
      </c>
      <c r="Y1205" s="3">
        <v>41.2</v>
      </c>
      <c r="Z1205" s="3">
        <v>40.200000000000003</v>
      </c>
      <c r="AA1205" s="3">
        <v>35.700000000000003</v>
      </c>
      <c r="AB1205" s="3">
        <v>30.6</v>
      </c>
      <c r="AC1205" s="3">
        <v>29.6</v>
      </c>
      <c r="AD1205" s="3">
        <v>34.6</v>
      </c>
      <c r="AE1205" s="3">
        <v>36.200000000000003</v>
      </c>
      <c r="AF1205" s="3">
        <v>44.4</v>
      </c>
      <c r="AG1205" s="3">
        <v>36.1</v>
      </c>
      <c r="AH1205" s="3">
        <v>35</v>
      </c>
      <c r="AI1205" s="3">
        <v>34.6</v>
      </c>
      <c r="AJ1205" s="3">
        <v>33.799999999999997</v>
      </c>
      <c r="AK1205" s="3">
        <v>32.9</v>
      </c>
      <c r="AL1205" s="3">
        <v>31.6</v>
      </c>
      <c r="AM1205" s="3">
        <v>31.9</v>
      </c>
      <c r="AN1205" s="3">
        <v>30.2</v>
      </c>
      <c r="AO1205" s="3">
        <v>26.8</v>
      </c>
      <c r="AP1205" s="3">
        <v>25.2</v>
      </c>
      <c r="AQ1205" s="3">
        <v>22.8</v>
      </c>
      <c r="AR1205" s="3">
        <v>21.3</v>
      </c>
      <c r="AS1205" s="3">
        <v>20.3</v>
      </c>
      <c r="AT1205" s="3">
        <v>19.399999999999999</v>
      </c>
      <c r="AU1205" s="3">
        <v>17.3</v>
      </c>
      <c r="AV1205" s="3">
        <v>15.5</v>
      </c>
      <c r="AW1205" s="3">
        <v>14.1</v>
      </c>
      <c r="AX1205" s="3">
        <v>11.1</v>
      </c>
      <c r="AY1205" s="3">
        <v>10.199999999999999</v>
      </c>
      <c r="AZ1205" s="3">
        <v>0</v>
      </c>
      <c r="BA1205" s="3">
        <v>0</v>
      </c>
      <c r="BB1205" s="3">
        <v>0</v>
      </c>
      <c r="BC1205" s="3">
        <v>38.437133308169315</v>
      </c>
      <c r="BD1205" s="3">
        <v>41.662866691830679</v>
      </c>
      <c r="BE1205" s="3">
        <v>41.262866691830688</v>
      </c>
      <c r="BF1205" s="3">
        <v>39.022866691830693</v>
      </c>
      <c r="BG1205" s="3">
        <v>34.849533358497347</v>
      </c>
      <c r="BH1205" s="3">
        <v>29.889533358497353</v>
      </c>
      <c r="BI1205" s="3">
        <v>29.302866691830694</v>
      </c>
      <c r="BJ1205" s="3">
        <v>35.096200025164016</v>
      </c>
      <c r="BK1205" s="3">
        <v>36.569533358497345</v>
      </c>
      <c r="BL1205" s="3">
        <v>44.342866691830686</v>
      </c>
      <c r="BM1205" s="3">
        <v>36.176200025164029</v>
      </c>
      <c r="BN1205" s="3">
        <v>35.359533358497352</v>
      </c>
      <c r="BO1205" s="3">
        <v>34.32620002516402</v>
      </c>
      <c r="BP1205" s="3">
        <v>33.242866691830692</v>
      </c>
      <c r="BQ1205" s="3">
        <v>32.759533358497343</v>
      </c>
      <c r="BR1205" s="3">
        <v>31.786200025164014</v>
      </c>
      <c r="BS1205" s="3">
        <v>31.889533358497353</v>
      </c>
      <c r="BT1205" s="3">
        <v>30.386200025164023</v>
      </c>
      <c r="BU1205" s="3">
        <v>26.952866691830685</v>
      </c>
      <c r="BV1205" s="3">
        <v>25.069533358497353</v>
      </c>
      <c r="BW1205" s="3">
        <v>23.202866691830685</v>
      </c>
      <c r="BX1205" s="3">
        <v>21.622866691830687</v>
      </c>
      <c r="BY1205" s="3">
        <v>20.44286669183068</v>
      </c>
      <c r="BZ1205" s="3">
        <v>19.672866691830684</v>
      </c>
      <c r="CA1205" s="3">
        <v>17.672866691830677</v>
      </c>
      <c r="CB1205" s="3">
        <v>15.309533358497347</v>
      </c>
      <c r="CC1205" s="3">
        <v>14.122866691830687</v>
      </c>
      <c r="CD1205" s="3">
        <v>10.429533358497359</v>
      </c>
      <c r="CE1205" s="3">
        <v>9.7228666918306814</v>
      </c>
      <c r="CF1205" s="3">
        <v>-0.86379997483598459</v>
      </c>
      <c r="CG1205" s="3">
        <v>-1.397133308169316</v>
      </c>
      <c r="CH1205" s="3">
        <v>-2.473799974835984</v>
      </c>
      <c r="CI1205" s="13">
        <f>[1]!dbasum(RecData[[#This Row],[20]:[2000]],RecData[[#Headers],[20]:[2000]])</f>
        <v>38.192778798991711</v>
      </c>
      <c r="CJ1205" s="14">
        <v>10920</v>
      </c>
      <c r="CK1205" s="15" t="s">
        <v>249</v>
      </c>
      <c r="CL1205" s="15">
        <f>RecData[[#This Row],[Start Time]]</f>
        <v>43276.138194444444</v>
      </c>
      <c r="CM1205" s="16">
        <f>RecData[[#This Row],[Wind Speed avg]]</f>
        <v>0.89</v>
      </c>
      <c r="CN1205" s="16">
        <f>RecData[[#This Row],[Wind Dir. avg]]</f>
        <v>180.7</v>
      </c>
      <c r="CO1205" s="16">
        <f>RecData[[#This Row],[Amb. Humidity]]</f>
        <v>62.5</v>
      </c>
      <c r="CP1205" s="16">
        <f>RecData[[#This Row],[Amb. Temperature]]</f>
        <v>9.1999999999999993</v>
      </c>
      <c r="CQ1205" s="17">
        <f>RecData[[#This Row],[Amb. Rain Gauge]]</f>
        <v>0</v>
      </c>
      <c r="CR1205" s="4" t="s">
        <v>1</v>
      </c>
      <c r="CS1205" s="4" t="s">
        <v>49</v>
      </c>
      <c r="CT1205" s="70">
        <v>1378.41418457031</v>
      </c>
      <c r="CU1205" s="70">
        <v>45.000377655029297</v>
      </c>
      <c r="CV1205" s="70">
        <v>9.6611166000366193</v>
      </c>
      <c r="CW1205" s="70">
        <v>14.978487014770501</v>
      </c>
      <c r="CX1205" s="4"/>
      <c r="CY1205" s="69"/>
      <c r="CZ1205" s="2" t="b">
        <f>IF($DP$1="YES",IF(RecData[[#This Row],[Power (kW)]]&gt;=$CR$3, TRUE,FALSE),TRUE)</f>
        <v>1</v>
      </c>
      <c r="DA1205" s="16">
        <f>MIN(MOD(180-ABS(ABS($DA$1-RecData[Yaw Angle (°)])-180),360),MOD(180-ABS(ABS($DB$1-RecData[Yaw Angle (°)])-180),360))</f>
        <v>37.470450877341761</v>
      </c>
      <c r="DB1205" s="2" t="str">
        <f>IF($DP$2="None","None",IF(RecData[[#This Row],[Relative Wind Direction]]&lt;=45,"DW",IF(RecData[[#This Row],[Relative Wind Direction]]&lt;=135,"CW","UW")))</f>
        <v>DW</v>
      </c>
      <c r="DC1205" s="61">
        <f>IF($CL1205-$CL1203&gt;1/24,#REF!,IF(SUM($CQ1203:$CQ1205)&gt;$DS$1,$DS$5,DC1206-1))</f>
        <v>-8</v>
      </c>
      <c r="DD1205" s="61">
        <f>IF($CL1206-$CL1205&gt;1/24,#REF!,IF(SUM($CQ1203:$CQ1205)&gt;$DS$1,$DS$6,DD1204-1))</f>
        <v>-3</v>
      </c>
      <c r="DE1205" s="18" t="b">
        <v>0</v>
      </c>
      <c r="DF1205" s="2" t="b">
        <f>IF(OR(RecData[[#This Row],[WSpd_Avg '[m/s']]]-RecData[[#This Row],[Wind Speed min]]&gt;=$DF$3,RecData[[#This Row],[Wind Speed max]]-RecData[[#This Row],[WSpd_Avg '[m/s']]]&gt;=$DF$2),TRUE,FALSE)</f>
        <v>0</v>
      </c>
      <c r="DG1205" s="2" t="b">
        <f>RecData[[#This Row],[Temperature '[°C']]]&lt;=-20</f>
        <v>0</v>
      </c>
      <c r="DH1205" s="18" t="b">
        <f>NOT(OR(MOD(RecData[[#This Row],[TIMESTAMP]],1)&gt;0.91632,MOD(RecData[[#This Row],[TIMESTAMP]],1)&lt;0.208681))</f>
        <v>0</v>
      </c>
      <c r="DI1205" s="18" t="b">
        <f>RecData[[#This Row],[Overall (dBA)]]-RecData[[#This Row],[L90]]&gt;=$DS$4</f>
        <v>0</v>
      </c>
      <c r="DJ1205" s="18" t="b">
        <f>RecData[[#This Row],[Overall (dBA)]]&gt;$DS$2</f>
        <v>0</v>
      </c>
      <c r="DK1205" s="18" t="b">
        <f>RecData[[#This Row],[Overall (dBA)]]&lt;$DS$3</f>
        <v>0</v>
      </c>
      <c r="DL12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5" s="2">
        <f>IF(AND(RecData[[#This Row],[Turbines ON/OFF]] = "OFF", NOT(OR(RecData[[#This Row],[Junk?]]="YES",RecData[[#This Row],[Gust?]],RecData[[#This Row],[Rain?]:[Min SPL Threshold?]]))),1,0)</f>
        <v>0</v>
      </c>
      <c r="DN1205" s="16">
        <f>RecData[[#This Row],[dBA Sum]]</f>
        <v>38.192778798991711</v>
      </c>
      <c r="DO1205" s="16">
        <f>RecData[[#This Row],[LAF90.0]]</f>
        <v>37.6</v>
      </c>
      <c r="DP1205" s="55">
        <f>IF(AND(RecData[[#This Row],[Useable TON Data?]],RecData[[#This Row],[Turbines ON/OFF]]="ON"),RecData[[#This Row],[dBA Sum]],"")</f>
        <v>38.192778798991711</v>
      </c>
      <c r="DQ1205" s="55" t="str">
        <f>IF(AND(RecData[[#This Row],[Useable Background Data?]],RecData[[#This Row],[Turbines ON/OFF]]="OFF"),RecData[[#This Row],[dBA Sum]],"")</f>
        <v/>
      </c>
      <c r="DR1205" s="3">
        <f>IF(OR(RecData[[#This Row],[Useable TON Data?]],RecData[[#This Row],[Useable Background Data?]]),ROUND(RecData[[#This Row],[WSpd_Avg '[m/s']]],0),"")</f>
        <v>1</v>
      </c>
      <c r="DS1205" s="85">
        <f>(0.00002)^2*(10^(RecData[[#This Row],[Overall (dBA)]]/10))</f>
        <v>2.6383831896943941E-6</v>
      </c>
    </row>
    <row r="1206" spans="1:123" ht="15" x14ac:dyDescent="0.25">
      <c r="A1206" s="3" t="s">
        <v>249</v>
      </c>
      <c r="B1206" s="12">
        <v>43276.138888888891</v>
      </c>
      <c r="C1206" s="3"/>
      <c r="D1206" s="3">
        <v>39.4</v>
      </c>
      <c r="E1206" s="3"/>
      <c r="F1206" s="3"/>
      <c r="G1206" s="3"/>
      <c r="H1206" s="3"/>
      <c r="I1206" s="3"/>
      <c r="J1206" s="3"/>
      <c r="K1206" s="3">
        <v>37.9</v>
      </c>
      <c r="L1206" s="3"/>
      <c r="M1206" s="3"/>
      <c r="N1206" s="3">
        <v>170.3</v>
      </c>
      <c r="O1206" s="3"/>
      <c r="P1206" s="3"/>
      <c r="Q1206" s="3">
        <v>0.75</v>
      </c>
      <c r="R1206" s="3">
        <v>0.1</v>
      </c>
      <c r="S1206" s="3">
        <v>1.6</v>
      </c>
      <c r="T1206" s="3">
        <v>9.1999999999999993</v>
      </c>
      <c r="U1206" s="3">
        <v>62.3</v>
      </c>
      <c r="V1206" s="3">
        <v>978.8</v>
      </c>
      <c r="W1206" s="3">
        <v>0</v>
      </c>
      <c r="X1206" s="3">
        <v>42.4</v>
      </c>
      <c r="Y1206" s="3">
        <v>41.7</v>
      </c>
      <c r="Z1206" s="3">
        <v>40.5</v>
      </c>
      <c r="AA1206" s="3">
        <v>36.200000000000003</v>
      </c>
      <c r="AB1206" s="3">
        <v>30.9</v>
      </c>
      <c r="AC1206" s="3">
        <v>30.6</v>
      </c>
      <c r="AD1206" s="3">
        <v>37.799999999999997</v>
      </c>
      <c r="AE1206" s="3">
        <v>38.799999999999997</v>
      </c>
      <c r="AF1206" s="3">
        <v>45.6</v>
      </c>
      <c r="AG1206" s="3">
        <v>37.299999999999997</v>
      </c>
      <c r="AH1206" s="3">
        <v>36.700000000000003</v>
      </c>
      <c r="AI1206" s="3">
        <v>35.5</v>
      </c>
      <c r="AJ1206" s="3">
        <v>35.299999999999997</v>
      </c>
      <c r="AK1206" s="3">
        <v>34.1</v>
      </c>
      <c r="AL1206" s="3">
        <v>32.5</v>
      </c>
      <c r="AM1206" s="3">
        <v>33.1</v>
      </c>
      <c r="AN1206" s="3">
        <v>31.2</v>
      </c>
      <c r="AO1206" s="3">
        <v>27.4</v>
      </c>
      <c r="AP1206" s="3">
        <v>25.9</v>
      </c>
      <c r="AQ1206" s="3">
        <v>22.8</v>
      </c>
      <c r="AR1206" s="3">
        <v>20.399999999999999</v>
      </c>
      <c r="AS1206" s="3">
        <v>19</v>
      </c>
      <c r="AT1206" s="3">
        <v>18.399999999999999</v>
      </c>
      <c r="AU1206" s="3">
        <v>15.6</v>
      </c>
      <c r="AV1206" s="3">
        <v>14</v>
      </c>
      <c r="AW1206" s="3">
        <v>12.8</v>
      </c>
      <c r="AX1206" s="3">
        <v>10.5</v>
      </c>
      <c r="AY1206" s="3">
        <v>9.9</v>
      </c>
      <c r="AZ1206" s="3">
        <v>0</v>
      </c>
      <c r="BA1206" s="3">
        <v>0</v>
      </c>
      <c r="BB1206" s="3">
        <v>0</v>
      </c>
      <c r="BC1206" s="3">
        <v>39.368671660944102</v>
      </c>
      <c r="BD1206" s="3">
        <v>42.431328339055895</v>
      </c>
      <c r="BE1206" s="3">
        <v>41.731328339055892</v>
      </c>
      <c r="BF1206" s="3">
        <v>39.291328339055895</v>
      </c>
      <c r="BG1206" s="3">
        <v>35.317995005722565</v>
      </c>
      <c r="BH1206" s="3">
        <v>30.157995005722569</v>
      </c>
      <c r="BI1206" s="3">
        <v>30.271328339055898</v>
      </c>
      <c r="BJ1206" s="3">
        <v>38.264661672389224</v>
      </c>
      <c r="BK1206" s="3">
        <v>39.137995005722559</v>
      </c>
      <c r="BL1206" s="3">
        <v>45.511328339055893</v>
      </c>
      <c r="BM1206" s="3">
        <v>37.344661672389236</v>
      </c>
      <c r="BN1206" s="3">
        <v>37.027995005722573</v>
      </c>
      <c r="BO1206" s="3">
        <v>35.19466167238923</v>
      </c>
      <c r="BP1206" s="3">
        <v>34.711328339055896</v>
      </c>
      <c r="BQ1206" s="3">
        <v>33.927995005722551</v>
      </c>
      <c r="BR1206" s="3">
        <v>32.654661672389238</v>
      </c>
      <c r="BS1206" s="3">
        <v>33.057995005722574</v>
      </c>
      <c r="BT1206" s="3">
        <v>31.354661672389227</v>
      </c>
      <c r="BU1206" s="3">
        <v>27.521328339055898</v>
      </c>
      <c r="BV1206" s="3">
        <v>25.737995005722567</v>
      </c>
      <c r="BW1206" s="3">
        <v>23.171328339055904</v>
      </c>
      <c r="BX1206" s="3">
        <v>20.6913283390559</v>
      </c>
      <c r="BY1206" s="3">
        <v>19.111328339055895</v>
      </c>
      <c r="BZ1206" s="3">
        <v>18.641328339055903</v>
      </c>
      <c r="CA1206" s="3">
        <v>15.941328339055886</v>
      </c>
      <c r="CB1206" s="3">
        <v>13.777995005722559</v>
      </c>
      <c r="CC1206" s="3">
        <v>12.791328339055895</v>
      </c>
      <c r="CD1206" s="3">
        <v>9.7979950057225693</v>
      </c>
      <c r="CE1206" s="3">
        <v>9.3913283390558959</v>
      </c>
      <c r="CF1206" s="3">
        <v>-0.89533832761077292</v>
      </c>
      <c r="CG1206" s="3">
        <v>-1.4286716609441044</v>
      </c>
      <c r="CH1206" s="3">
        <v>-2.5053383276107724</v>
      </c>
      <c r="CI1206" s="13">
        <f>[1]!dbasum(RecData[[#This Row],[20]:[2000]],RecData[[#Headers],[20]:[2000]])</f>
        <v>39.189813563799468</v>
      </c>
      <c r="CJ1206" s="14">
        <v>10921</v>
      </c>
      <c r="CK1206" s="15" t="s">
        <v>249</v>
      </c>
      <c r="CL1206" s="15">
        <f>RecData[[#This Row],[Start Time]]</f>
        <v>43276.138888888891</v>
      </c>
      <c r="CM1206" s="16">
        <f>RecData[[#This Row],[Wind Speed avg]]</f>
        <v>0.75</v>
      </c>
      <c r="CN1206" s="16">
        <f>RecData[[#This Row],[Wind Dir. avg]]</f>
        <v>170.3</v>
      </c>
      <c r="CO1206" s="16">
        <f>RecData[[#This Row],[Amb. Humidity]]</f>
        <v>62.3</v>
      </c>
      <c r="CP1206" s="16">
        <f>RecData[[#This Row],[Amb. Temperature]]</f>
        <v>9.1999999999999993</v>
      </c>
      <c r="CQ1206" s="17">
        <f>RecData[[#This Row],[Amb. Rain Gauge]]</f>
        <v>0</v>
      </c>
      <c r="CR1206" s="4" t="s">
        <v>1</v>
      </c>
      <c r="CS1206" s="4" t="s">
        <v>49</v>
      </c>
      <c r="CT1206" s="70">
        <v>1378.41418457031</v>
      </c>
      <c r="CU1206" s="70">
        <v>45.000377655029297</v>
      </c>
      <c r="CV1206" s="70">
        <v>9.6611166000366193</v>
      </c>
      <c r="CW1206" s="70">
        <v>14.978487014770501</v>
      </c>
      <c r="CX1206" s="4"/>
      <c r="CY1206" s="69"/>
      <c r="CZ1206" s="2" t="b">
        <f>IF($DP$1="YES",IF(RecData[[#This Row],[Power (kW)]]&gt;=$CR$3, TRUE,FALSE),TRUE)</f>
        <v>1</v>
      </c>
      <c r="DA1206" s="16">
        <f>MIN(MOD(180-ABS(ABS($DA$1-RecData[Yaw Angle (°)])-180),360),MOD(180-ABS(ABS($DB$1-RecData[Yaw Angle (°)])-180),360))</f>
        <v>37.470450877341761</v>
      </c>
      <c r="DB1206" s="2" t="str">
        <f>IF($DP$2="None","None",IF(RecData[[#This Row],[Relative Wind Direction]]&lt;=45,"DW",IF(RecData[[#This Row],[Relative Wind Direction]]&lt;=135,"CW","UW")))</f>
        <v>DW</v>
      </c>
      <c r="DC1206" s="61">
        <f>IF($CL1206-$CL1203&gt;1/24,#REF!,IF(SUM($CQ1203:$CQ1206)&gt;$DS$1,$DS$5,DC1207-1))</f>
        <v>-7</v>
      </c>
      <c r="DD1206" s="61">
        <f>IF($CL1207-$CL1206&gt;1/24,#REF!,IF(SUM($CQ1203:$CQ1206)&gt;$DS$1,$DS$6,DD1205-1))</f>
        <v>-4</v>
      </c>
      <c r="DE1206" s="18" t="b">
        <v>0</v>
      </c>
      <c r="DF1206" s="2" t="b">
        <f>IF(OR(RecData[[#This Row],[WSpd_Avg '[m/s']]]-RecData[[#This Row],[Wind Speed min]]&gt;=$DF$3,RecData[[#This Row],[Wind Speed max]]-RecData[[#This Row],[WSpd_Avg '[m/s']]]&gt;=$DF$2),TRUE,FALSE)</f>
        <v>0</v>
      </c>
      <c r="DG1206" s="2" t="b">
        <f>RecData[[#This Row],[Temperature '[°C']]]&lt;=-20</f>
        <v>0</v>
      </c>
      <c r="DH1206" s="18" t="b">
        <f>NOT(OR(MOD(RecData[[#This Row],[TIMESTAMP]],1)&gt;0.91632,MOD(RecData[[#This Row],[TIMESTAMP]],1)&lt;0.208681))</f>
        <v>0</v>
      </c>
      <c r="DI1206" s="18" t="b">
        <f>RecData[[#This Row],[Overall (dBA)]]-RecData[[#This Row],[L90]]&gt;=$DS$4</f>
        <v>0</v>
      </c>
      <c r="DJ1206" s="18" t="b">
        <f>RecData[[#This Row],[Overall (dBA)]]&gt;$DS$2</f>
        <v>0</v>
      </c>
      <c r="DK1206" s="18" t="b">
        <f>RecData[[#This Row],[Overall (dBA)]]&lt;$DS$3</f>
        <v>0</v>
      </c>
      <c r="DL12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6" s="2">
        <f>IF(AND(RecData[[#This Row],[Turbines ON/OFF]] = "OFF", NOT(OR(RecData[[#This Row],[Junk?]]="YES",RecData[[#This Row],[Gust?]],RecData[[#This Row],[Rain?]:[Min SPL Threshold?]]))),1,0)</f>
        <v>0</v>
      </c>
      <c r="DN1206" s="16">
        <f>RecData[[#This Row],[dBA Sum]]</f>
        <v>39.189813563799468</v>
      </c>
      <c r="DO1206" s="16">
        <f>RecData[[#This Row],[LAF90.0]]</f>
        <v>37.9</v>
      </c>
      <c r="DP1206" s="55">
        <f>IF(AND(RecData[[#This Row],[Useable TON Data?]],RecData[[#This Row],[Turbines ON/OFF]]="ON"),RecData[[#This Row],[dBA Sum]],"")</f>
        <v>39.189813563799468</v>
      </c>
      <c r="DQ1206" s="55" t="str">
        <f>IF(AND(RecData[[#This Row],[Useable Background Data?]],RecData[[#This Row],[Turbines ON/OFF]]="OFF"),RecData[[#This Row],[dBA Sum]],"")</f>
        <v/>
      </c>
      <c r="DR1206" s="3">
        <f>IF(OR(RecData[[#This Row],[Useable TON Data?]],RecData[[#This Row],[Useable Background Data?]]),ROUND(RecData[[#This Row],[WSpd_Avg '[m/s']]],0),"")</f>
        <v>1</v>
      </c>
      <c r="DS1206" s="85">
        <f>(0.00002)^2*(10^(RecData[[#This Row],[Overall (dBA)]]/10))</f>
        <v>3.3192605760498058E-6</v>
      </c>
    </row>
    <row r="1207" spans="1:123" ht="15" x14ac:dyDescent="0.25">
      <c r="A1207" s="3" t="s">
        <v>249</v>
      </c>
      <c r="B1207" s="12">
        <v>43276.13958333333</v>
      </c>
      <c r="C1207" s="3"/>
      <c r="D1207" s="3">
        <v>38.6</v>
      </c>
      <c r="E1207" s="3"/>
      <c r="F1207" s="3"/>
      <c r="G1207" s="3"/>
      <c r="H1207" s="3"/>
      <c r="I1207" s="3"/>
      <c r="J1207" s="3"/>
      <c r="K1207" s="3">
        <v>37.1</v>
      </c>
      <c r="L1207" s="3"/>
      <c r="M1207" s="3"/>
      <c r="N1207" s="3">
        <v>197.1</v>
      </c>
      <c r="O1207" s="3"/>
      <c r="P1207" s="3"/>
      <c r="Q1207" s="3">
        <v>1.38</v>
      </c>
      <c r="R1207" s="3">
        <v>0.2</v>
      </c>
      <c r="S1207" s="3">
        <v>2.8</v>
      </c>
      <c r="T1207" s="3">
        <v>9.1999999999999993</v>
      </c>
      <c r="U1207" s="3">
        <v>62</v>
      </c>
      <c r="V1207" s="3">
        <v>978.8</v>
      </c>
      <c r="W1207" s="3">
        <v>0</v>
      </c>
      <c r="X1207" s="3">
        <v>41.6</v>
      </c>
      <c r="Y1207" s="3">
        <v>41.5</v>
      </c>
      <c r="Z1207" s="3">
        <v>40.9</v>
      </c>
      <c r="AA1207" s="3">
        <v>36.1</v>
      </c>
      <c r="AB1207" s="3">
        <v>30.9</v>
      </c>
      <c r="AC1207" s="3">
        <v>30.9</v>
      </c>
      <c r="AD1207" s="3">
        <v>35.5</v>
      </c>
      <c r="AE1207" s="3">
        <v>36.799999999999997</v>
      </c>
      <c r="AF1207" s="3">
        <v>43.9</v>
      </c>
      <c r="AG1207" s="3">
        <v>35.799999999999997</v>
      </c>
      <c r="AH1207" s="3">
        <v>34.5</v>
      </c>
      <c r="AI1207" s="3">
        <v>34.700000000000003</v>
      </c>
      <c r="AJ1207" s="3">
        <v>33.700000000000003</v>
      </c>
      <c r="AK1207" s="3">
        <v>33</v>
      </c>
      <c r="AL1207" s="3">
        <v>31.6</v>
      </c>
      <c r="AM1207" s="3">
        <v>32</v>
      </c>
      <c r="AN1207" s="3">
        <v>30.3</v>
      </c>
      <c r="AO1207" s="3">
        <v>26.9</v>
      </c>
      <c r="AP1207" s="3">
        <v>25.4</v>
      </c>
      <c r="AQ1207" s="3">
        <v>23.2</v>
      </c>
      <c r="AR1207" s="3">
        <v>22</v>
      </c>
      <c r="AS1207" s="3">
        <v>21.7</v>
      </c>
      <c r="AT1207" s="3">
        <v>21.4</v>
      </c>
      <c r="AU1207" s="3">
        <v>19.899999999999999</v>
      </c>
      <c r="AV1207" s="3">
        <v>18.100000000000001</v>
      </c>
      <c r="AW1207" s="3">
        <v>16.5</v>
      </c>
      <c r="AX1207" s="3">
        <v>13</v>
      </c>
      <c r="AY1207" s="3">
        <v>11.9</v>
      </c>
      <c r="AZ1207" s="3">
        <v>0</v>
      </c>
      <c r="BA1207" s="3">
        <v>0</v>
      </c>
      <c r="BB1207" s="3">
        <v>0</v>
      </c>
      <c r="BC1207" s="3">
        <v>38.604885660383523</v>
      </c>
      <c r="BD1207" s="3">
        <v>41.59511433961648</v>
      </c>
      <c r="BE1207" s="3">
        <v>41.495114339616471</v>
      </c>
      <c r="BF1207" s="3">
        <v>39.655114339616468</v>
      </c>
      <c r="BG1207" s="3">
        <v>35.181781006283138</v>
      </c>
      <c r="BH1207" s="3">
        <v>30.12178100628315</v>
      </c>
      <c r="BI1207" s="3">
        <v>30.535114339616477</v>
      </c>
      <c r="BJ1207" s="3">
        <v>35.928447672949808</v>
      </c>
      <c r="BK1207" s="3">
        <v>37.10178100628314</v>
      </c>
      <c r="BL1207" s="3">
        <v>43.775114339616472</v>
      </c>
      <c r="BM1207" s="3">
        <v>35.808447672949804</v>
      </c>
      <c r="BN1207" s="3">
        <v>34.791781006283152</v>
      </c>
      <c r="BO1207" s="3">
        <v>34.358447672949815</v>
      </c>
      <c r="BP1207" s="3">
        <v>33.075114339616484</v>
      </c>
      <c r="BQ1207" s="3">
        <v>32.791781006283138</v>
      </c>
      <c r="BR1207" s="3">
        <v>31.718447672949814</v>
      </c>
      <c r="BS1207" s="3">
        <v>31.921781006283148</v>
      </c>
      <c r="BT1207" s="3">
        <v>30.418447672949817</v>
      </c>
      <c r="BU1207" s="3">
        <v>26.98511433961648</v>
      </c>
      <c r="BV1207" s="3">
        <v>25.201781006283149</v>
      </c>
      <c r="BW1207" s="3">
        <v>23.535114339616477</v>
      </c>
      <c r="BX1207" s="3">
        <v>22.255114339616483</v>
      </c>
      <c r="BY1207" s="3">
        <v>21.775114339616472</v>
      </c>
      <c r="BZ1207" s="3">
        <v>21.605114339616485</v>
      </c>
      <c r="CA1207" s="3">
        <v>20.205114339616465</v>
      </c>
      <c r="CB1207" s="3">
        <v>17.841781006283149</v>
      </c>
      <c r="CC1207" s="3">
        <v>16.455114339616479</v>
      </c>
      <c r="CD1207" s="3">
        <v>12.261781006283151</v>
      </c>
      <c r="CE1207" s="3">
        <v>11.355114339616478</v>
      </c>
      <c r="CF1207" s="3">
        <v>-0.93155232705019131</v>
      </c>
      <c r="CG1207" s="3">
        <v>-1.4648856603835227</v>
      </c>
      <c r="CH1207" s="3">
        <v>-2.5415523270501907</v>
      </c>
      <c r="CI1207" s="13">
        <f>[1]!dbasum(RecData[[#This Row],[20]:[2000]],RecData[[#Headers],[20]:[2000]])</f>
        <v>38.153559681333469</v>
      </c>
      <c r="CJ1207" s="14">
        <v>10922</v>
      </c>
      <c r="CK1207" s="15" t="s">
        <v>249</v>
      </c>
      <c r="CL1207" s="15">
        <f>RecData[[#This Row],[Start Time]]</f>
        <v>43276.13958333333</v>
      </c>
      <c r="CM1207" s="16">
        <f>RecData[[#This Row],[Wind Speed avg]]</f>
        <v>1.38</v>
      </c>
      <c r="CN1207" s="16">
        <f>RecData[[#This Row],[Wind Dir. avg]]</f>
        <v>197.1</v>
      </c>
      <c r="CO1207" s="16">
        <f>RecData[[#This Row],[Amb. Humidity]]</f>
        <v>62</v>
      </c>
      <c r="CP1207" s="16">
        <f>RecData[[#This Row],[Amb. Temperature]]</f>
        <v>9.1999999999999993</v>
      </c>
      <c r="CQ1207" s="17">
        <f>RecData[[#This Row],[Amb. Rain Gauge]]</f>
        <v>0</v>
      </c>
      <c r="CR1207" s="4" t="s">
        <v>1</v>
      </c>
      <c r="CS1207" s="4" t="s">
        <v>49</v>
      </c>
      <c r="CT1207" s="70">
        <v>1383.30065917968</v>
      </c>
      <c r="CU1207" s="70">
        <v>45.000381469726499</v>
      </c>
      <c r="CV1207" s="70">
        <v>9.7554674148559499</v>
      </c>
      <c r="CW1207" s="70">
        <v>14.970129966735801</v>
      </c>
      <c r="CX1207" s="4"/>
      <c r="CY1207" s="69"/>
      <c r="CZ1207" s="2" t="b">
        <f>IF($DP$1="YES",IF(RecData[[#This Row],[Power (kW)]]&gt;=$CR$3, TRUE,FALSE),TRUE)</f>
        <v>1</v>
      </c>
      <c r="DA1207" s="16">
        <f>MIN(MOD(180-ABS(ABS($DA$1-RecData[Yaw Angle (°)])-180),360),MOD(180-ABS(ABS($DB$1-RecData[Yaw Angle (°)])-180),360))</f>
        <v>37.470454692038942</v>
      </c>
      <c r="DB1207" s="2" t="str">
        <f>IF($DP$2="None","None",IF(RecData[[#This Row],[Relative Wind Direction]]&lt;=45,"DW",IF(RecData[[#This Row],[Relative Wind Direction]]&lt;=135,"CW","UW")))</f>
        <v>DW</v>
      </c>
      <c r="DC1207" s="61">
        <f>IF($CL1207-$CL1203&gt;1/24,#REF!,IF(SUM($CQ1203:$CQ1207)&gt;$DS$1,$DS$5,DC1208-1))</f>
        <v>-6</v>
      </c>
      <c r="DD1207" s="61">
        <f>IF($CL1208-$CL1207&gt;1/24,#REF!,IF(SUM($CQ1203:$CQ1207)&gt;$DS$1,$DS$6,DD1206-1))</f>
        <v>-5</v>
      </c>
      <c r="DE1207" s="18" t="b">
        <v>0</v>
      </c>
      <c r="DF1207" s="2" t="b">
        <f>IF(OR(RecData[[#This Row],[WSpd_Avg '[m/s']]]-RecData[[#This Row],[Wind Speed min]]&gt;=$DF$3,RecData[[#This Row],[Wind Speed max]]-RecData[[#This Row],[WSpd_Avg '[m/s']]]&gt;=$DF$2),TRUE,FALSE)</f>
        <v>0</v>
      </c>
      <c r="DG1207" s="2" t="b">
        <f>RecData[[#This Row],[Temperature '[°C']]]&lt;=-20</f>
        <v>0</v>
      </c>
      <c r="DH1207" s="18" t="b">
        <f>NOT(OR(MOD(RecData[[#This Row],[TIMESTAMP]],1)&gt;0.91632,MOD(RecData[[#This Row],[TIMESTAMP]],1)&lt;0.208681))</f>
        <v>0</v>
      </c>
      <c r="DI1207" s="18" t="b">
        <f>RecData[[#This Row],[Overall (dBA)]]-RecData[[#This Row],[L90]]&gt;=$DS$4</f>
        <v>0</v>
      </c>
      <c r="DJ1207" s="18" t="b">
        <f>RecData[[#This Row],[Overall (dBA)]]&gt;$DS$2</f>
        <v>0</v>
      </c>
      <c r="DK1207" s="18" t="b">
        <f>RecData[[#This Row],[Overall (dBA)]]&lt;$DS$3</f>
        <v>0</v>
      </c>
      <c r="DL12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7" s="2">
        <f>IF(AND(RecData[[#This Row],[Turbines ON/OFF]] = "OFF", NOT(OR(RecData[[#This Row],[Junk?]]="YES",RecData[[#This Row],[Gust?]],RecData[[#This Row],[Rain?]:[Min SPL Threshold?]]))),1,0)</f>
        <v>0</v>
      </c>
      <c r="DN1207" s="16">
        <f>RecData[[#This Row],[dBA Sum]]</f>
        <v>38.153559681333469</v>
      </c>
      <c r="DO1207" s="16">
        <f>RecData[[#This Row],[LAF90.0]]</f>
        <v>37.1</v>
      </c>
      <c r="DP1207" s="55">
        <f>IF(AND(RecData[[#This Row],[Useable TON Data?]],RecData[[#This Row],[Turbines ON/OFF]]="ON"),RecData[[#This Row],[dBA Sum]],"")</f>
        <v>38.153559681333469</v>
      </c>
      <c r="DQ1207" s="55" t="str">
        <f>IF(AND(RecData[[#This Row],[Useable Background Data?]],RecData[[#This Row],[Turbines ON/OFF]]="OFF"),RecData[[#This Row],[dBA Sum]],"")</f>
        <v/>
      </c>
      <c r="DR1207" s="3">
        <f>IF(OR(RecData[[#This Row],[Useable TON Data?]],RecData[[#This Row],[Useable Background Data?]]),ROUND(RecData[[#This Row],[WSpd_Avg '[m/s']]],0),"")</f>
        <v>1</v>
      </c>
      <c r="DS1207" s="85">
        <f>(0.00002)^2*(10^(RecData[[#This Row],[Overall (dBA)]]/10))</f>
        <v>2.6146644341800581E-6</v>
      </c>
    </row>
    <row r="1208" spans="1:123" ht="15" x14ac:dyDescent="0.25">
      <c r="A1208" s="3" t="s">
        <v>249</v>
      </c>
      <c r="B1208" s="12">
        <v>43276.140277777777</v>
      </c>
      <c r="C1208" s="3"/>
      <c r="D1208" s="3">
        <v>39.4</v>
      </c>
      <c r="E1208" s="3"/>
      <c r="F1208" s="3"/>
      <c r="G1208" s="3"/>
      <c r="H1208" s="3"/>
      <c r="I1208" s="3"/>
      <c r="J1208" s="3"/>
      <c r="K1208" s="3">
        <v>38.1</v>
      </c>
      <c r="L1208" s="3"/>
      <c r="M1208" s="3"/>
      <c r="N1208" s="3">
        <v>191.8</v>
      </c>
      <c r="O1208" s="3"/>
      <c r="P1208" s="3"/>
      <c r="Q1208" s="3">
        <v>1.62</v>
      </c>
      <c r="R1208" s="3">
        <v>0.6</v>
      </c>
      <c r="S1208" s="3">
        <v>2.5</v>
      </c>
      <c r="T1208" s="3">
        <v>9.3000000000000007</v>
      </c>
      <c r="U1208" s="3">
        <v>61.7</v>
      </c>
      <c r="V1208" s="3">
        <v>978.8</v>
      </c>
      <c r="W1208" s="3">
        <v>0</v>
      </c>
      <c r="X1208" s="3">
        <v>42.1</v>
      </c>
      <c r="Y1208" s="3">
        <v>41.7</v>
      </c>
      <c r="Z1208" s="3">
        <v>41</v>
      </c>
      <c r="AA1208" s="3">
        <v>36.799999999999997</v>
      </c>
      <c r="AB1208" s="3">
        <v>31</v>
      </c>
      <c r="AC1208" s="3">
        <v>30.5</v>
      </c>
      <c r="AD1208" s="3">
        <v>35.700000000000003</v>
      </c>
      <c r="AE1208" s="3">
        <v>37.799999999999997</v>
      </c>
      <c r="AF1208" s="3">
        <v>45.8</v>
      </c>
      <c r="AG1208" s="3">
        <v>37.299999999999997</v>
      </c>
      <c r="AH1208" s="3">
        <v>35.700000000000003</v>
      </c>
      <c r="AI1208" s="3">
        <v>36</v>
      </c>
      <c r="AJ1208" s="3">
        <v>34.9</v>
      </c>
      <c r="AK1208" s="3">
        <v>34</v>
      </c>
      <c r="AL1208" s="3">
        <v>32.6</v>
      </c>
      <c r="AM1208" s="3">
        <v>32.799999999999997</v>
      </c>
      <c r="AN1208" s="3">
        <v>31</v>
      </c>
      <c r="AO1208" s="3">
        <v>27.3</v>
      </c>
      <c r="AP1208" s="3">
        <v>26.2</v>
      </c>
      <c r="AQ1208" s="3">
        <v>23.3</v>
      </c>
      <c r="AR1208" s="3">
        <v>21.5</v>
      </c>
      <c r="AS1208" s="3">
        <v>20.9</v>
      </c>
      <c r="AT1208" s="3">
        <v>20.6</v>
      </c>
      <c r="AU1208" s="3">
        <v>18.7</v>
      </c>
      <c r="AV1208" s="3">
        <v>16.8</v>
      </c>
      <c r="AW1208" s="3">
        <v>15.2</v>
      </c>
      <c r="AX1208" s="3">
        <v>11.8</v>
      </c>
      <c r="AY1208" s="3">
        <v>10.9</v>
      </c>
      <c r="AZ1208" s="3">
        <v>0</v>
      </c>
      <c r="BA1208" s="3">
        <v>0</v>
      </c>
      <c r="BB1208" s="3">
        <v>0</v>
      </c>
      <c r="BC1208" s="3">
        <v>39.412132203427035</v>
      </c>
      <c r="BD1208" s="3">
        <v>42.087867796572965</v>
      </c>
      <c r="BE1208" s="3">
        <v>41.687867796572959</v>
      </c>
      <c r="BF1208" s="3">
        <v>39.747867796572962</v>
      </c>
      <c r="BG1208" s="3">
        <v>35.874534463239627</v>
      </c>
      <c r="BH1208" s="3">
        <v>30.21453446323963</v>
      </c>
      <c r="BI1208" s="3">
        <v>30.127867796572957</v>
      </c>
      <c r="BJ1208" s="3">
        <v>36.121201129906297</v>
      </c>
      <c r="BK1208" s="3">
        <v>38.094534463239626</v>
      </c>
      <c r="BL1208" s="3">
        <v>45.667867796572963</v>
      </c>
      <c r="BM1208" s="3">
        <v>37.301201129906303</v>
      </c>
      <c r="BN1208" s="3">
        <v>35.98453446323964</v>
      </c>
      <c r="BO1208" s="3">
        <v>35.651201129906298</v>
      </c>
      <c r="BP1208" s="3">
        <v>34.267867796572972</v>
      </c>
      <c r="BQ1208" s="3">
        <v>33.784534463239623</v>
      </c>
      <c r="BR1208" s="3">
        <v>32.7112011299063</v>
      </c>
      <c r="BS1208" s="3">
        <v>32.71453446323963</v>
      </c>
      <c r="BT1208" s="3">
        <v>31.111201129906306</v>
      </c>
      <c r="BU1208" s="3">
        <v>27.377867796572971</v>
      </c>
      <c r="BV1208" s="3">
        <v>25.994534463239631</v>
      </c>
      <c r="BW1208" s="3">
        <v>23.627867796572971</v>
      </c>
      <c r="BX1208" s="3">
        <v>21.747867796572969</v>
      </c>
      <c r="BY1208" s="3">
        <v>20.967867796572961</v>
      </c>
      <c r="BZ1208" s="3">
        <v>20.797867796572973</v>
      </c>
      <c r="CA1208" s="3">
        <v>18.997867796572955</v>
      </c>
      <c r="CB1208" s="3">
        <v>16.53453446323963</v>
      </c>
      <c r="CC1208" s="3">
        <v>15.14786779657296</v>
      </c>
      <c r="CD1208" s="3">
        <v>11.054534463239634</v>
      </c>
      <c r="CE1208" s="3">
        <v>10.347867796572963</v>
      </c>
      <c r="CF1208" s="3">
        <v>-0.93879887009370577</v>
      </c>
      <c r="CG1208" s="3">
        <v>-1.4721322034270372</v>
      </c>
      <c r="CH1208" s="3">
        <v>-2.5487988700937052</v>
      </c>
      <c r="CI1208" s="13">
        <f>[1]!dbasum(RecData[[#This Row],[20]:[2000]],RecData[[#Headers],[20]:[2000]])</f>
        <v>39.080921586428381</v>
      </c>
      <c r="CJ1208" s="14">
        <v>10923</v>
      </c>
      <c r="CK1208" s="15" t="s">
        <v>249</v>
      </c>
      <c r="CL1208" s="15">
        <f>RecData[[#This Row],[Start Time]]</f>
        <v>43276.140277777777</v>
      </c>
      <c r="CM1208" s="16">
        <f>RecData[[#This Row],[Wind Speed avg]]</f>
        <v>1.62</v>
      </c>
      <c r="CN1208" s="16">
        <f>RecData[[#This Row],[Wind Dir. avg]]</f>
        <v>191.8</v>
      </c>
      <c r="CO1208" s="16">
        <f>RecData[[#This Row],[Amb. Humidity]]</f>
        <v>61.7</v>
      </c>
      <c r="CP1208" s="16">
        <f>RecData[[#This Row],[Amb. Temperature]]</f>
        <v>9.3000000000000007</v>
      </c>
      <c r="CQ1208" s="17">
        <f>RecData[[#This Row],[Amb. Rain Gauge]]</f>
        <v>0</v>
      </c>
      <c r="CR1208" s="4" t="s">
        <v>1</v>
      </c>
      <c r="CS1208" s="4" t="s">
        <v>49</v>
      </c>
      <c r="CT1208" s="70">
        <v>1383.30065917968</v>
      </c>
      <c r="CU1208" s="70">
        <v>45.000381469726499</v>
      </c>
      <c r="CV1208" s="70">
        <v>9.7554674148559499</v>
      </c>
      <c r="CW1208" s="70">
        <v>14.970129966735801</v>
      </c>
      <c r="CX1208" s="4"/>
      <c r="CY1208" s="69"/>
      <c r="CZ1208" s="2" t="b">
        <f>IF($DP$1="YES",IF(RecData[[#This Row],[Power (kW)]]&gt;=$CR$3, TRUE,FALSE),TRUE)</f>
        <v>1</v>
      </c>
      <c r="DA1208" s="16">
        <f>MIN(MOD(180-ABS(ABS($DA$1-RecData[Yaw Angle (°)])-180),360),MOD(180-ABS(ABS($DB$1-RecData[Yaw Angle (°)])-180),360))</f>
        <v>37.470454692038942</v>
      </c>
      <c r="DB1208" s="2" t="str">
        <f>IF($DP$2="None","None",IF(RecData[[#This Row],[Relative Wind Direction]]&lt;=45,"DW",IF(RecData[[#This Row],[Relative Wind Direction]]&lt;=135,"CW","UW")))</f>
        <v>DW</v>
      </c>
      <c r="DC1208" s="61">
        <f>IF($CL1208-$CL1204&gt;1/24,#REF!,IF(SUM($CQ1204:$CQ1208)&gt;$DS$1,$DS$5,DC1209-1))</f>
        <v>-5</v>
      </c>
      <c r="DD1208" s="61">
        <f>IF($CL1209-$CL1208&gt;1/24,#REF!,IF(SUM($CQ1204:$CQ1208)&gt;$DS$1,$DS$6,DD1207-1))</f>
        <v>-6</v>
      </c>
      <c r="DE1208" s="18" t="b">
        <v>0</v>
      </c>
      <c r="DF1208" s="2" t="b">
        <f>IF(OR(RecData[[#This Row],[WSpd_Avg '[m/s']]]-RecData[[#This Row],[Wind Speed min]]&gt;=$DF$3,RecData[[#This Row],[Wind Speed max]]-RecData[[#This Row],[WSpd_Avg '[m/s']]]&gt;=$DF$2),TRUE,FALSE)</f>
        <v>0</v>
      </c>
      <c r="DG1208" s="2" t="b">
        <f>RecData[[#This Row],[Temperature '[°C']]]&lt;=-20</f>
        <v>0</v>
      </c>
      <c r="DH1208" s="18" t="b">
        <f>NOT(OR(MOD(RecData[[#This Row],[TIMESTAMP]],1)&gt;0.91632,MOD(RecData[[#This Row],[TIMESTAMP]],1)&lt;0.208681))</f>
        <v>0</v>
      </c>
      <c r="DI1208" s="18" t="b">
        <f>RecData[[#This Row],[Overall (dBA)]]-RecData[[#This Row],[L90]]&gt;=$DS$4</f>
        <v>0</v>
      </c>
      <c r="DJ1208" s="18" t="b">
        <f>RecData[[#This Row],[Overall (dBA)]]&gt;$DS$2</f>
        <v>0</v>
      </c>
      <c r="DK1208" s="18" t="b">
        <f>RecData[[#This Row],[Overall (dBA)]]&lt;$DS$3</f>
        <v>0</v>
      </c>
      <c r="DL12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8" s="2">
        <f>IF(AND(RecData[[#This Row],[Turbines ON/OFF]] = "OFF", NOT(OR(RecData[[#This Row],[Junk?]]="YES",RecData[[#This Row],[Gust?]],RecData[[#This Row],[Rain?]:[Min SPL Threshold?]]))),1,0)</f>
        <v>0</v>
      </c>
      <c r="DN1208" s="16">
        <f>RecData[[#This Row],[dBA Sum]]</f>
        <v>39.080921586428381</v>
      </c>
      <c r="DO1208" s="16">
        <f>RecData[[#This Row],[LAF90.0]]</f>
        <v>38.1</v>
      </c>
      <c r="DP1208" s="55">
        <f>IF(AND(RecData[[#This Row],[Useable TON Data?]],RecData[[#This Row],[Turbines ON/OFF]]="ON"),RecData[[#This Row],[dBA Sum]],"")</f>
        <v>39.080921586428381</v>
      </c>
      <c r="DQ1208" s="55" t="str">
        <f>IF(AND(RecData[[#This Row],[Useable Background Data?]],RecData[[#This Row],[Turbines ON/OFF]]="OFF"),RecData[[#This Row],[dBA Sum]],"")</f>
        <v/>
      </c>
      <c r="DR1208" s="3">
        <f>IF(OR(RecData[[#This Row],[Useable TON Data?]],RecData[[#This Row],[Useable Background Data?]]),ROUND(RecData[[#This Row],[WSpd_Avg '[m/s']]],0),"")</f>
        <v>2</v>
      </c>
      <c r="DS1208" s="85">
        <f>(0.00002)^2*(10^(RecData[[#This Row],[Overall (dBA)]]/10))</f>
        <v>3.237070440273771E-6</v>
      </c>
    </row>
    <row r="1209" spans="1:123" ht="15" x14ac:dyDescent="0.25">
      <c r="A1209" s="3" t="s">
        <v>249</v>
      </c>
      <c r="B1209" s="12">
        <v>43276.140972222223</v>
      </c>
      <c r="C1209" s="3"/>
      <c r="D1209" s="3">
        <v>38.200000000000003</v>
      </c>
      <c r="E1209" s="3"/>
      <c r="F1209" s="3"/>
      <c r="G1209" s="3"/>
      <c r="H1209" s="3"/>
      <c r="I1209" s="3"/>
      <c r="J1209" s="3"/>
      <c r="K1209" s="3">
        <v>36.9</v>
      </c>
      <c r="L1209" s="3"/>
      <c r="M1209" s="3"/>
      <c r="N1209" s="3">
        <v>155</v>
      </c>
      <c r="O1209" s="3"/>
      <c r="P1209" s="3"/>
      <c r="Q1209" s="3">
        <v>1.01</v>
      </c>
      <c r="R1209" s="3">
        <v>0.2</v>
      </c>
      <c r="S1209" s="3">
        <v>1.6</v>
      </c>
      <c r="T1209" s="3">
        <v>9.3000000000000007</v>
      </c>
      <c r="U1209" s="3">
        <v>61.5</v>
      </c>
      <c r="V1209" s="3">
        <v>978.8</v>
      </c>
      <c r="W1209" s="3">
        <v>0</v>
      </c>
      <c r="X1209" s="3">
        <v>41.3</v>
      </c>
      <c r="Y1209" s="3">
        <v>41.1</v>
      </c>
      <c r="Z1209" s="3">
        <v>40.700000000000003</v>
      </c>
      <c r="AA1209" s="3">
        <v>35.6</v>
      </c>
      <c r="AB1209" s="3">
        <v>30.3</v>
      </c>
      <c r="AC1209" s="3">
        <v>30.4</v>
      </c>
      <c r="AD1209" s="3">
        <v>35.1</v>
      </c>
      <c r="AE1209" s="3">
        <v>35.9</v>
      </c>
      <c r="AF1209" s="3">
        <v>44.3</v>
      </c>
      <c r="AG1209" s="3">
        <v>36.299999999999997</v>
      </c>
      <c r="AH1209" s="3">
        <v>34.299999999999997</v>
      </c>
      <c r="AI1209" s="3">
        <v>35.1</v>
      </c>
      <c r="AJ1209" s="3">
        <v>33.700000000000003</v>
      </c>
      <c r="AK1209" s="3">
        <v>33.1</v>
      </c>
      <c r="AL1209" s="3">
        <v>32</v>
      </c>
      <c r="AM1209" s="3">
        <v>31.9</v>
      </c>
      <c r="AN1209" s="3">
        <v>30</v>
      </c>
      <c r="AO1209" s="3">
        <v>26.4</v>
      </c>
      <c r="AP1209" s="3">
        <v>24.4</v>
      </c>
      <c r="AQ1209" s="3">
        <v>21.4</v>
      </c>
      <c r="AR1209" s="3">
        <v>18.399999999999999</v>
      </c>
      <c r="AS1209" s="3">
        <v>17</v>
      </c>
      <c r="AT1209" s="3">
        <v>15.4</v>
      </c>
      <c r="AU1209" s="3">
        <v>12.3</v>
      </c>
      <c r="AV1209" s="3">
        <v>11.1</v>
      </c>
      <c r="AW1209" s="3">
        <v>10.5</v>
      </c>
      <c r="AX1209" s="3">
        <v>9.4</v>
      </c>
      <c r="AY1209" s="3">
        <v>9.3000000000000007</v>
      </c>
      <c r="AZ1209" s="3">
        <v>0</v>
      </c>
      <c r="BA1209" s="3">
        <v>0</v>
      </c>
      <c r="BB1209" s="3">
        <v>0</v>
      </c>
      <c r="BC1209" s="3">
        <v>38.150419787377466</v>
      </c>
      <c r="BD1209" s="3">
        <v>41.349580212622534</v>
      </c>
      <c r="BE1209" s="3">
        <v>41.149580212622546</v>
      </c>
      <c r="BF1209" s="3">
        <v>39.509580212622531</v>
      </c>
      <c r="BG1209" s="3">
        <v>34.736246879289205</v>
      </c>
      <c r="BH1209" s="3">
        <v>29.576246879289208</v>
      </c>
      <c r="BI1209" s="3">
        <v>30.089580212622543</v>
      </c>
      <c r="BJ1209" s="3">
        <v>35.582913545955869</v>
      </c>
      <c r="BK1209" s="3">
        <v>36.256246879289201</v>
      </c>
      <c r="BL1209" s="3">
        <v>44.22958021262253</v>
      </c>
      <c r="BM1209" s="3">
        <v>36.36291354595587</v>
      </c>
      <c r="BN1209" s="3">
        <v>34.646246879289201</v>
      </c>
      <c r="BO1209" s="3">
        <v>34.812913545955873</v>
      </c>
      <c r="BP1209" s="3">
        <v>33.129580212622535</v>
      </c>
      <c r="BQ1209" s="3">
        <v>32.946246879289198</v>
      </c>
      <c r="BR1209" s="3">
        <v>32.172913545955872</v>
      </c>
      <c r="BS1209" s="3">
        <v>31.876246879289205</v>
      </c>
      <c r="BT1209" s="3">
        <v>30.172913545955872</v>
      </c>
      <c r="BU1209" s="3">
        <v>26.539580212622532</v>
      </c>
      <c r="BV1209" s="3">
        <v>24.256246879289201</v>
      </c>
      <c r="BW1209" s="3">
        <v>21.789580212622539</v>
      </c>
      <c r="BX1209" s="3">
        <v>18.709580212622541</v>
      </c>
      <c r="BY1209" s="3">
        <v>17.129580212622535</v>
      </c>
      <c r="BZ1209" s="3">
        <v>15.659580212622537</v>
      </c>
      <c r="CA1209" s="3">
        <v>12.659580212622529</v>
      </c>
      <c r="CB1209" s="3">
        <v>10.896246879289201</v>
      </c>
      <c r="CC1209" s="3">
        <v>10.509580212622538</v>
      </c>
      <c r="CD1209" s="3">
        <v>8.7162468792892085</v>
      </c>
      <c r="CE1209" s="3">
        <v>8.8095802126225351</v>
      </c>
      <c r="CF1209" s="3">
        <v>-0.87708645404413232</v>
      </c>
      <c r="CG1209" s="3">
        <v>-1.4104197873774638</v>
      </c>
      <c r="CH1209" s="3">
        <v>-2.4870864540441318</v>
      </c>
      <c r="CI1209" s="13">
        <f>[1]!dbasum(RecData[[#This Row],[20]:[2000]],RecData[[#Headers],[20]:[2000]])</f>
        <v>38.026994534423572</v>
      </c>
      <c r="CJ1209" s="14">
        <v>10924</v>
      </c>
      <c r="CK1209" s="15" t="s">
        <v>249</v>
      </c>
      <c r="CL1209" s="15">
        <f>RecData[[#This Row],[Start Time]]</f>
        <v>43276.140972222223</v>
      </c>
      <c r="CM1209" s="16">
        <f>RecData[[#This Row],[Wind Speed avg]]</f>
        <v>1.01</v>
      </c>
      <c r="CN1209" s="16">
        <f>RecData[[#This Row],[Wind Dir. avg]]</f>
        <v>155</v>
      </c>
      <c r="CO1209" s="16">
        <f>RecData[[#This Row],[Amb. Humidity]]</f>
        <v>61.5</v>
      </c>
      <c r="CP1209" s="16">
        <f>RecData[[#This Row],[Amb. Temperature]]</f>
        <v>9.3000000000000007</v>
      </c>
      <c r="CQ1209" s="17">
        <f>RecData[[#This Row],[Amb. Rain Gauge]]</f>
        <v>0</v>
      </c>
      <c r="CR1209" s="4" t="s">
        <v>1</v>
      </c>
      <c r="CS1209" s="4" t="s">
        <v>49</v>
      </c>
      <c r="CT1209" s="70">
        <v>1383.30065917968</v>
      </c>
      <c r="CU1209" s="70">
        <v>45.000381469726499</v>
      </c>
      <c r="CV1209" s="70">
        <v>9.7554674148559499</v>
      </c>
      <c r="CW1209" s="70">
        <v>14.970129966735801</v>
      </c>
      <c r="CX1209" s="4"/>
      <c r="CY1209" s="69"/>
      <c r="CZ1209" s="2" t="b">
        <f>IF($DP$1="YES",IF(RecData[[#This Row],[Power (kW)]]&gt;=$CR$3, TRUE,FALSE),TRUE)</f>
        <v>1</v>
      </c>
      <c r="DA1209" s="16">
        <f>MIN(MOD(180-ABS(ABS($DA$1-RecData[Yaw Angle (°)])-180),360),MOD(180-ABS(ABS($DB$1-RecData[Yaw Angle (°)])-180),360))</f>
        <v>37.470454692038942</v>
      </c>
      <c r="DB1209" s="2" t="str">
        <f>IF($DP$2="None","None",IF(RecData[[#This Row],[Relative Wind Direction]]&lt;=45,"DW",IF(RecData[[#This Row],[Relative Wind Direction]]&lt;=135,"CW","UW")))</f>
        <v>DW</v>
      </c>
      <c r="DC1209" s="61">
        <f>IF($CL1209-$CL1205&gt;1/24,#REF!,IF(SUM($CQ1205:$CQ1209)&gt;$DS$1,$DS$5,DC1210-1))</f>
        <v>-4</v>
      </c>
      <c r="DD1209" s="61">
        <f>IF($CL1210-$CL1209&gt;1/24,#REF!,IF(SUM($CQ1205:$CQ1209)&gt;$DS$1,$DS$6,DD1208-1))</f>
        <v>-7</v>
      </c>
      <c r="DE1209" s="18" t="b">
        <v>0</v>
      </c>
      <c r="DF1209" s="2" t="b">
        <f>IF(OR(RecData[[#This Row],[WSpd_Avg '[m/s']]]-RecData[[#This Row],[Wind Speed min]]&gt;=$DF$3,RecData[[#This Row],[Wind Speed max]]-RecData[[#This Row],[WSpd_Avg '[m/s']]]&gt;=$DF$2),TRUE,FALSE)</f>
        <v>0</v>
      </c>
      <c r="DG1209" s="2" t="b">
        <f>RecData[[#This Row],[Temperature '[°C']]]&lt;=-20</f>
        <v>0</v>
      </c>
      <c r="DH1209" s="18" t="b">
        <f>NOT(OR(MOD(RecData[[#This Row],[TIMESTAMP]],1)&gt;0.91632,MOD(RecData[[#This Row],[TIMESTAMP]],1)&lt;0.208681))</f>
        <v>0</v>
      </c>
      <c r="DI1209" s="18" t="b">
        <f>RecData[[#This Row],[Overall (dBA)]]-RecData[[#This Row],[L90]]&gt;=$DS$4</f>
        <v>0</v>
      </c>
      <c r="DJ1209" s="18" t="b">
        <f>RecData[[#This Row],[Overall (dBA)]]&gt;$DS$2</f>
        <v>0</v>
      </c>
      <c r="DK1209" s="18" t="b">
        <f>RecData[[#This Row],[Overall (dBA)]]&lt;$DS$3</f>
        <v>0</v>
      </c>
      <c r="DL12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09" s="2">
        <f>IF(AND(RecData[[#This Row],[Turbines ON/OFF]] = "OFF", NOT(OR(RecData[[#This Row],[Junk?]]="YES",RecData[[#This Row],[Gust?]],RecData[[#This Row],[Rain?]:[Min SPL Threshold?]]))),1,0)</f>
        <v>0</v>
      </c>
      <c r="DN1209" s="16">
        <f>RecData[[#This Row],[dBA Sum]]</f>
        <v>38.026994534423572</v>
      </c>
      <c r="DO1209" s="16">
        <f>RecData[[#This Row],[LAF90.0]]</f>
        <v>36.9</v>
      </c>
      <c r="DP1209" s="55">
        <f>IF(AND(RecData[[#This Row],[Useable TON Data?]],RecData[[#This Row],[Turbines ON/OFF]]="ON"),RecData[[#This Row],[dBA Sum]],"")</f>
        <v>38.026994534423572</v>
      </c>
      <c r="DQ1209" s="55" t="str">
        <f>IF(AND(RecData[[#This Row],[Useable Background Data?]],RecData[[#This Row],[Turbines ON/OFF]]="OFF"),RecData[[#This Row],[dBA Sum]],"")</f>
        <v/>
      </c>
      <c r="DR1209" s="3">
        <f>IF(OR(RecData[[#This Row],[Useable TON Data?]],RecData[[#This Row],[Useable Background Data?]]),ROUND(RecData[[#This Row],[WSpd_Avg '[m/s']]],0),"")</f>
        <v>1</v>
      </c>
      <c r="DS1209" s="85">
        <f>(0.00002)^2*(10^(RecData[[#This Row],[Overall (dBA)]]/10))</f>
        <v>2.5395656533168954E-6</v>
      </c>
    </row>
    <row r="1210" spans="1:123" ht="15" x14ac:dyDescent="0.25">
      <c r="A1210" s="3" t="s">
        <v>249</v>
      </c>
      <c r="B1210" s="12">
        <v>43276.14166666667</v>
      </c>
      <c r="C1210" s="3"/>
      <c r="D1210" s="3">
        <v>38.799999999999997</v>
      </c>
      <c r="E1210" s="3"/>
      <c r="F1210" s="3"/>
      <c r="G1210" s="3"/>
      <c r="H1210" s="3"/>
      <c r="I1210" s="3"/>
      <c r="J1210" s="3"/>
      <c r="K1210" s="3">
        <v>37.700000000000003</v>
      </c>
      <c r="L1210" s="3"/>
      <c r="M1210" s="3"/>
      <c r="N1210" s="3">
        <v>189.2</v>
      </c>
      <c r="O1210" s="3"/>
      <c r="P1210" s="3"/>
      <c r="Q1210" s="3">
        <v>0.94</v>
      </c>
      <c r="R1210" s="3">
        <v>0.5</v>
      </c>
      <c r="S1210" s="3">
        <v>1.6</v>
      </c>
      <c r="T1210" s="3">
        <v>9.4</v>
      </c>
      <c r="U1210" s="3">
        <v>61.2</v>
      </c>
      <c r="V1210" s="3">
        <v>978.8</v>
      </c>
      <c r="W1210" s="3">
        <v>0</v>
      </c>
      <c r="X1210" s="3">
        <v>42</v>
      </c>
      <c r="Y1210" s="3">
        <v>41.6</v>
      </c>
      <c r="Z1210" s="3">
        <v>40.4</v>
      </c>
      <c r="AA1210" s="3">
        <v>35.700000000000003</v>
      </c>
      <c r="AB1210" s="3">
        <v>30.8</v>
      </c>
      <c r="AC1210" s="3">
        <v>31.3</v>
      </c>
      <c r="AD1210" s="3">
        <v>36.9</v>
      </c>
      <c r="AE1210" s="3">
        <v>37.9</v>
      </c>
      <c r="AF1210" s="3">
        <v>44.9</v>
      </c>
      <c r="AG1210" s="3">
        <v>36.4</v>
      </c>
      <c r="AH1210" s="3">
        <v>35.6</v>
      </c>
      <c r="AI1210" s="3">
        <v>35.5</v>
      </c>
      <c r="AJ1210" s="3">
        <v>34.6</v>
      </c>
      <c r="AK1210" s="3">
        <v>33.700000000000003</v>
      </c>
      <c r="AL1210" s="3">
        <v>32.200000000000003</v>
      </c>
      <c r="AM1210" s="3">
        <v>32.200000000000003</v>
      </c>
      <c r="AN1210" s="3">
        <v>30.6</v>
      </c>
      <c r="AO1210" s="3">
        <v>27.1</v>
      </c>
      <c r="AP1210" s="3">
        <v>25.4</v>
      </c>
      <c r="AQ1210" s="3">
        <v>22.4</v>
      </c>
      <c r="AR1210" s="3">
        <v>19.899999999999999</v>
      </c>
      <c r="AS1210" s="3">
        <v>18.399999999999999</v>
      </c>
      <c r="AT1210" s="3">
        <v>16.600000000000001</v>
      </c>
      <c r="AU1210" s="3">
        <v>13.9</v>
      </c>
      <c r="AV1210" s="3">
        <v>12.4</v>
      </c>
      <c r="AW1210" s="3">
        <v>11.4</v>
      </c>
      <c r="AX1210" s="3">
        <v>9.6999999999999993</v>
      </c>
      <c r="AY1210" s="3">
        <v>9.5</v>
      </c>
      <c r="AZ1210" s="3">
        <v>0</v>
      </c>
      <c r="BA1210" s="3">
        <v>0</v>
      </c>
      <c r="BB1210" s="3">
        <v>0</v>
      </c>
      <c r="BC1210" s="3">
        <v>38.770948616643807</v>
      </c>
      <c r="BD1210" s="3">
        <v>42.02905138335619</v>
      </c>
      <c r="BE1210" s="3">
        <v>41.629051383356199</v>
      </c>
      <c r="BF1210" s="3">
        <v>39.189051383356187</v>
      </c>
      <c r="BG1210" s="3">
        <v>34.815718050022866</v>
      </c>
      <c r="BH1210" s="3">
        <v>30.055718050022861</v>
      </c>
      <c r="BI1210" s="3">
        <v>30.969051383356188</v>
      </c>
      <c r="BJ1210" s="3">
        <v>37.362384716689519</v>
      </c>
      <c r="BK1210" s="3">
        <v>38.235718050022854</v>
      </c>
      <c r="BL1210" s="3">
        <v>44.809051383356191</v>
      </c>
      <c r="BM1210" s="3">
        <v>36.442384716689531</v>
      </c>
      <c r="BN1210" s="3">
        <v>35.925718050022851</v>
      </c>
      <c r="BO1210" s="3">
        <v>35.192384716689531</v>
      </c>
      <c r="BP1210" s="3">
        <v>34.009051383356194</v>
      </c>
      <c r="BQ1210" s="3">
        <v>33.525718050022846</v>
      </c>
      <c r="BR1210" s="3">
        <v>32.352384716689528</v>
      </c>
      <c r="BS1210" s="3">
        <v>32.15571805002287</v>
      </c>
      <c r="BT1210" s="3">
        <v>30.752384716689534</v>
      </c>
      <c r="BU1210" s="3">
        <v>27.219051383356202</v>
      </c>
      <c r="BV1210" s="3">
        <v>25.235718050022854</v>
      </c>
      <c r="BW1210" s="3">
        <v>22.769051383356192</v>
      </c>
      <c r="BX1210" s="3">
        <v>20.189051383356194</v>
      </c>
      <c r="BY1210" s="3">
        <v>18.509051383356187</v>
      </c>
      <c r="BZ1210" s="3">
        <v>16.839051383356193</v>
      </c>
      <c r="CA1210" s="3">
        <v>14.239051383356184</v>
      </c>
      <c r="CB1210" s="3">
        <v>12.175718050022851</v>
      </c>
      <c r="CC1210" s="3">
        <v>11.38905138335619</v>
      </c>
      <c r="CD1210" s="3">
        <v>8.9957180500228588</v>
      </c>
      <c r="CE1210" s="3">
        <v>8.9890513833561911</v>
      </c>
      <c r="CF1210" s="3">
        <v>-0.89761528331047913</v>
      </c>
      <c r="CG1210" s="3">
        <v>-1.4309486166438106</v>
      </c>
      <c r="CH1210" s="3">
        <v>-2.5076152833104786</v>
      </c>
      <c r="CI1210" s="13">
        <f>[1]!dbasum(RecData[[#This Row],[20]:[2000]],RecData[[#Headers],[20]:[2000]])</f>
        <v>38.609749173259161</v>
      </c>
      <c r="CJ1210" s="14">
        <v>10925</v>
      </c>
      <c r="CK1210" s="15" t="s">
        <v>249</v>
      </c>
      <c r="CL1210" s="15">
        <f>RecData[[#This Row],[Start Time]]</f>
        <v>43276.14166666667</v>
      </c>
      <c r="CM1210" s="16">
        <f>RecData[[#This Row],[Wind Speed avg]]</f>
        <v>0.94</v>
      </c>
      <c r="CN1210" s="16">
        <f>RecData[[#This Row],[Wind Dir. avg]]</f>
        <v>189.2</v>
      </c>
      <c r="CO1210" s="16">
        <f>RecData[[#This Row],[Amb. Humidity]]</f>
        <v>61.2</v>
      </c>
      <c r="CP1210" s="16">
        <f>RecData[[#This Row],[Amb. Temperature]]</f>
        <v>9.4</v>
      </c>
      <c r="CQ1210" s="17">
        <f>RecData[[#This Row],[Amb. Rain Gauge]]</f>
        <v>0</v>
      </c>
      <c r="CR1210" s="4" t="s">
        <v>1</v>
      </c>
      <c r="CS1210" s="4" t="s">
        <v>49</v>
      </c>
      <c r="CT1210" s="70">
        <v>1383.30065917968</v>
      </c>
      <c r="CU1210" s="70">
        <v>45.000381469726499</v>
      </c>
      <c r="CV1210" s="70">
        <v>9.7554674148559499</v>
      </c>
      <c r="CW1210" s="70">
        <v>14.970129966735801</v>
      </c>
      <c r="CX1210" s="4"/>
      <c r="CY1210" s="69"/>
      <c r="CZ1210" s="2" t="b">
        <f>IF($DP$1="YES",IF(RecData[[#This Row],[Power (kW)]]&gt;=$CR$3, TRUE,FALSE),TRUE)</f>
        <v>1</v>
      </c>
      <c r="DA1210" s="16">
        <f>MIN(MOD(180-ABS(ABS($DA$1-RecData[Yaw Angle (°)])-180),360),MOD(180-ABS(ABS($DB$1-RecData[Yaw Angle (°)])-180),360))</f>
        <v>37.470454692038942</v>
      </c>
      <c r="DB1210" s="2" t="str">
        <f>IF($DP$2="None","None",IF(RecData[[#This Row],[Relative Wind Direction]]&lt;=45,"DW",IF(RecData[[#This Row],[Relative Wind Direction]]&lt;=135,"CW","UW")))</f>
        <v>DW</v>
      </c>
      <c r="DC1210" s="61">
        <f>IF($CL1210-$CL1206&gt;1/24,#REF!,IF(SUM($CQ1206:$CQ1210)&gt;$DS$1,$DS$5,DC1211-1))</f>
        <v>-3</v>
      </c>
      <c r="DD1210" s="61">
        <f>IF($CL1211-$CL1210&gt;1/24,#REF!,IF(SUM($CQ1206:$CQ1210)&gt;$DS$1,$DS$6,DD1209-1))</f>
        <v>-8</v>
      </c>
      <c r="DE1210" s="18" t="b">
        <v>0</v>
      </c>
      <c r="DF1210" s="2" t="b">
        <f>IF(OR(RecData[[#This Row],[WSpd_Avg '[m/s']]]-RecData[[#This Row],[Wind Speed min]]&gt;=$DF$3,RecData[[#This Row],[Wind Speed max]]-RecData[[#This Row],[WSpd_Avg '[m/s']]]&gt;=$DF$2),TRUE,FALSE)</f>
        <v>0</v>
      </c>
      <c r="DG1210" s="2" t="b">
        <f>RecData[[#This Row],[Temperature '[°C']]]&lt;=-20</f>
        <v>0</v>
      </c>
      <c r="DH1210" s="18" t="b">
        <f>NOT(OR(MOD(RecData[[#This Row],[TIMESTAMP]],1)&gt;0.91632,MOD(RecData[[#This Row],[TIMESTAMP]],1)&lt;0.208681))</f>
        <v>0</v>
      </c>
      <c r="DI1210" s="18" t="b">
        <f>RecData[[#This Row],[Overall (dBA)]]-RecData[[#This Row],[L90]]&gt;=$DS$4</f>
        <v>0</v>
      </c>
      <c r="DJ1210" s="18" t="b">
        <f>RecData[[#This Row],[Overall (dBA)]]&gt;$DS$2</f>
        <v>0</v>
      </c>
      <c r="DK1210" s="18" t="b">
        <f>RecData[[#This Row],[Overall (dBA)]]&lt;$DS$3</f>
        <v>0</v>
      </c>
      <c r="DL121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0" s="2">
        <f>IF(AND(RecData[[#This Row],[Turbines ON/OFF]] = "OFF", NOT(OR(RecData[[#This Row],[Junk?]]="YES",RecData[[#This Row],[Gust?]],RecData[[#This Row],[Rain?]:[Min SPL Threshold?]]))),1,0)</f>
        <v>0</v>
      </c>
      <c r="DN1210" s="16">
        <f>RecData[[#This Row],[dBA Sum]]</f>
        <v>38.609749173259161</v>
      </c>
      <c r="DO1210" s="16">
        <f>RecData[[#This Row],[LAF90.0]]</f>
        <v>37.700000000000003</v>
      </c>
      <c r="DP1210" s="55">
        <f>IF(AND(RecData[[#This Row],[Useable TON Data?]],RecData[[#This Row],[Turbines ON/OFF]]="ON"),RecData[[#This Row],[dBA Sum]],"")</f>
        <v>38.609749173259161</v>
      </c>
      <c r="DQ1210" s="55" t="str">
        <f>IF(AND(RecData[[#This Row],[Useable Background Data?]],RecData[[#This Row],[Turbines ON/OFF]]="OFF"),RecData[[#This Row],[dBA Sum]],"")</f>
        <v/>
      </c>
      <c r="DR1210" s="3">
        <f>IF(OR(RecData[[#This Row],[Useable TON Data?]],RecData[[#This Row],[Useable Background Data?]]),ROUND(RecData[[#This Row],[WSpd_Avg '[m/s']]],0),"")</f>
        <v>1</v>
      </c>
      <c r="DS1210" s="85">
        <f>(0.00002)^2*(10^(RecData[[#This Row],[Overall (dBA)]]/10))</f>
        <v>2.9042560896111645E-6</v>
      </c>
    </row>
    <row r="1211" spans="1:123" ht="15" x14ac:dyDescent="0.25">
      <c r="A1211" s="3" t="s">
        <v>249</v>
      </c>
      <c r="B1211" s="12">
        <v>43276.142361111109</v>
      </c>
      <c r="C1211" s="3"/>
      <c r="D1211" s="3">
        <v>38.5</v>
      </c>
      <c r="E1211" s="3"/>
      <c r="F1211" s="3"/>
      <c r="G1211" s="3"/>
      <c r="H1211" s="3"/>
      <c r="I1211" s="3"/>
      <c r="J1211" s="3"/>
      <c r="K1211" s="3">
        <v>37.4</v>
      </c>
      <c r="L1211" s="3"/>
      <c r="M1211" s="3"/>
      <c r="N1211" s="3">
        <v>176.9</v>
      </c>
      <c r="O1211" s="3"/>
      <c r="P1211" s="3"/>
      <c r="Q1211" s="3">
        <v>0.98</v>
      </c>
      <c r="R1211" s="3">
        <v>0.2</v>
      </c>
      <c r="S1211" s="3">
        <v>2.1</v>
      </c>
      <c r="T1211" s="3">
        <v>9.4</v>
      </c>
      <c r="U1211" s="3">
        <v>60.6</v>
      </c>
      <c r="V1211" s="3">
        <v>978.8</v>
      </c>
      <c r="W1211" s="3">
        <v>0</v>
      </c>
      <c r="X1211" s="3">
        <v>41.8</v>
      </c>
      <c r="Y1211" s="3">
        <v>41.9</v>
      </c>
      <c r="Z1211" s="3">
        <v>40.700000000000003</v>
      </c>
      <c r="AA1211" s="3">
        <v>36.4</v>
      </c>
      <c r="AB1211" s="3">
        <v>30.9</v>
      </c>
      <c r="AC1211" s="3">
        <v>30.6</v>
      </c>
      <c r="AD1211" s="3">
        <v>35.1</v>
      </c>
      <c r="AE1211" s="3">
        <v>36.799999999999997</v>
      </c>
      <c r="AF1211" s="3">
        <v>44.6</v>
      </c>
      <c r="AG1211" s="3">
        <v>35.799999999999997</v>
      </c>
      <c r="AH1211" s="3">
        <v>34.700000000000003</v>
      </c>
      <c r="AI1211" s="3">
        <v>35</v>
      </c>
      <c r="AJ1211" s="3">
        <v>34.1</v>
      </c>
      <c r="AK1211" s="3">
        <v>33.299999999999997</v>
      </c>
      <c r="AL1211" s="3">
        <v>31.9</v>
      </c>
      <c r="AM1211" s="3">
        <v>31.9</v>
      </c>
      <c r="AN1211" s="3">
        <v>30.3</v>
      </c>
      <c r="AO1211" s="3">
        <v>26.7</v>
      </c>
      <c r="AP1211" s="3">
        <v>24.8</v>
      </c>
      <c r="AQ1211" s="3">
        <v>22.4</v>
      </c>
      <c r="AR1211" s="3">
        <v>20.7</v>
      </c>
      <c r="AS1211" s="3">
        <v>19.5</v>
      </c>
      <c r="AT1211" s="3">
        <v>17.8</v>
      </c>
      <c r="AU1211" s="3">
        <v>15.4</v>
      </c>
      <c r="AV1211" s="3">
        <v>13.8</v>
      </c>
      <c r="AW1211" s="3">
        <v>12.7</v>
      </c>
      <c r="AX1211" s="3">
        <v>10</v>
      </c>
      <c r="AY1211" s="3">
        <v>9.6</v>
      </c>
      <c r="AZ1211" s="3">
        <v>0</v>
      </c>
      <c r="BA1211" s="3">
        <v>0</v>
      </c>
      <c r="BB1211" s="3">
        <v>0</v>
      </c>
      <c r="BC1211" s="3">
        <v>38.452016274797927</v>
      </c>
      <c r="BD1211" s="3">
        <v>41.84798372520207</v>
      </c>
      <c r="BE1211" s="3">
        <v>41.947983725202079</v>
      </c>
      <c r="BF1211" s="3">
        <v>39.507983725202081</v>
      </c>
      <c r="BG1211" s="3">
        <v>35.534650391868738</v>
      </c>
      <c r="BH1211" s="3">
        <v>30.174650391868738</v>
      </c>
      <c r="BI1211" s="3">
        <v>30.287983725202082</v>
      </c>
      <c r="BJ1211" s="3">
        <v>35.581317058535404</v>
      </c>
      <c r="BK1211" s="3">
        <v>37.154650391868728</v>
      </c>
      <c r="BL1211" s="3">
        <v>44.527983725202077</v>
      </c>
      <c r="BM1211" s="3">
        <v>35.861317058535406</v>
      </c>
      <c r="BN1211" s="3">
        <v>35.044650391868743</v>
      </c>
      <c r="BO1211" s="3">
        <v>34.7113170585354</v>
      </c>
      <c r="BP1211" s="3">
        <v>33.527983725202077</v>
      </c>
      <c r="BQ1211" s="3">
        <v>33.144650391868737</v>
      </c>
      <c r="BR1211" s="3">
        <v>32.071317058535413</v>
      </c>
      <c r="BS1211" s="3">
        <v>31.874650391868741</v>
      </c>
      <c r="BT1211" s="3">
        <v>30.471317058535405</v>
      </c>
      <c r="BU1211" s="3">
        <v>26.837983725202079</v>
      </c>
      <c r="BV1211" s="3">
        <v>24.654650391868742</v>
      </c>
      <c r="BW1211" s="3">
        <v>22.787983725202075</v>
      </c>
      <c r="BX1211" s="3">
        <v>21.007983725202081</v>
      </c>
      <c r="BY1211" s="3">
        <v>19.627983725202071</v>
      </c>
      <c r="BZ1211" s="3">
        <v>18.057983725202078</v>
      </c>
      <c r="CA1211" s="3">
        <v>15.757983725202067</v>
      </c>
      <c r="CB1211" s="3">
        <v>13.59465039186874</v>
      </c>
      <c r="CC1211" s="3">
        <v>12.70798372520207</v>
      </c>
      <c r="CD1211" s="3">
        <v>9.3146503918687458</v>
      </c>
      <c r="CE1211" s="3">
        <v>9.1079837252020752</v>
      </c>
      <c r="CF1211" s="3">
        <v>-0.87868294146459647</v>
      </c>
      <c r="CG1211" s="3">
        <v>-1.4120162747979279</v>
      </c>
      <c r="CH1211" s="3">
        <v>-2.4886829414645959</v>
      </c>
      <c r="CI1211" s="13">
        <f>[1]!dbasum(RecData[[#This Row],[20]:[2000]],RecData[[#Headers],[20]:[2000]])</f>
        <v>38.256068058269783</v>
      </c>
      <c r="CJ1211" s="14">
        <v>10926</v>
      </c>
      <c r="CK1211" s="15" t="s">
        <v>249</v>
      </c>
      <c r="CL1211" s="15">
        <f>RecData[[#This Row],[Start Time]]</f>
        <v>43276.142361111109</v>
      </c>
      <c r="CM1211" s="16">
        <f>RecData[[#This Row],[Wind Speed avg]]</f>
        <v>0.98</v>
      </c>
      <c r="CN1211" s="16">
        <f>RecData[[#This Row],[Wind Dir. avg]]</f>
        <v>176.9</v>
      </c>
      <c r="CO1211" s="16">
        <f>RecData[[#This Row],[Amb. Humidity]]</f>
        <v>60.6</v>
      </c>
      <c r="CP1211" s="16">
        <f>RecData[[#This Row],[Amb. Temperature]]</f>
        <v>9.4</v>
      </c>
      <c r="CQ1211" s="17">
        <f>RecData[[#This Row],[Amb. Rain Gauge]]</f>
        <v>0</v>
      </c>
      <c r="CR1211" s="4" t="s">
        <v>1</v>
      </c>
      <c r="CS1211" s="4" t="s">
        <v>49</v>
      </c>
      <c r="CT1211" s="70">
        <v>1383.30065917968</v>
      </c>
      <c r="CU1211" s="70">
        <v>45.000381469726499</v>
      </c>
      <c r="CV1211" s="70">
        <v>9.7554674148559499</v>
      </c>
      <c r="CW1211" s="70">
        <v>14.970129966735801</v>
      </c>
      <c r="CX1211" s="4"/>
      <c r="CY1211" s="69"/>
      <c r="CZ1211" s="2" t="b">
        <f>IF($DP$1="YES",IF(RecData[[#This Row],[Power (kW)]]&gt;=$CR$3, TRUE,FALSE),TRUE)</f>
        <v>1</v>
      </c>
      <c r="DA1211" s="16">
        <f>MIN(MOD(180-ABS(ABS($DA$1-RecData[Yaw Angle (°)])-180),360),MOD(180-ABS(ABS($DB$1-RecData[Yaw Angle (°)])-180),360))</f>
        <v>37.470454692038942</v>
      </c>
      <c r="DB1211" s="2" t="str">
        <f>IF($DP$2="None","None",IF(RecData[[#This Row],[Relative Wind Direction]]&lt;=45,"DW",IF(RecData[[#This Row],[Relative Wind Direction]]&lt;=135,"CW","UW")))</f>
        <v>DW</v>
      </c>
      <c r="DC1211" s="61">
        <f>IF($CL1211-$CL1207&gt;1/24,#REF!,IF(SUM($CQ1207:$CQ1211)&gt;$DS$1,$DS$5,DC1212-1))</f>
        <v>-2</v>
      </c>
      <c r="DD1211" s="61">
        <f>IF($CL1212-$CL1211&gt;1/24,#REF!,IF(SUM($CQ1207:$CQ1211)&gt;$DS$1,$DS$6,DD1210-1))</f>
        <v>-9</v>
      </c>
      <c r="DE1211" s="18" t="b">
        <v>0</v>
      </c>
      <c r="DF1211" s="2" t="b">
        <f>IF(OR(RecData[[#This Row],[WSpd_Avg '[m/s']]]-RecData[[#This Row],[Wind Speed min]]&gt;=$DF$3,RecData[[#This Row],[Wind Speed max]]-RecData[[#This Row],[WSpd_Avg '[m/s']]]&gt;=$DF$2),TRUE,FALSE)</f>
        <v>0</v>
      </c>
      <c r="DG1211" s="2" t="b">
        <f>RecData[[#This Row],[Temperature '[°C']]]&lt;=-20</f>
        <v>0</v>
      </c>
      <c r="DH1211" s="18" t="b">
        <f>NOT(OR(MOD(RecData[[#This Row],[TIMESTAMP]],1)&gt;0.91632,MOD(RecData[[#This Row],[TIMESTAMP]],1)&lt;0.208681))</f>
        <v>0</v>
      </c>
      <c r="DI1211" s="18" t="b">
        <f>RecData[[#This Row],[Overall (dBA)]]-RecData[[#This Row],[L90]]&gt;=$DS$4</f>
        <v>0</v>
      </c>
      <c r="DJ1211" s="18" t="b">
        <f>RecData[[#This Row],[Overall (dBA)]]&gt;$DS$2</f>
        <v>0</v>
      </c>
      <c r="DK1211" s="18" t="b">
        <f>RecData[[#This Row],[Overall (dBA)]]&lt;$DS$3</f>
        <v>0</v>
      </c>
      <c r="DL121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1" s="2">
        <f>IF(AND(RecData[[#This Row],[Turbines ON/OFF]] = "OFF", NOT(OR(RecData[[#This Row],[Junk?]]="YES",RecData[[#This Row],[Gust?]],RecData[[#This Row],[Rain?]:[Min SPL Threshold?]]))),1,0)</f>
        <v>0</v>
      </c>
      <c r="DN1211" s="16">
        <f>RecData[[#This Row],[dBA Sum]]</f>
        <v>38.256068058269783</v>
      </c>
      <c r="DO1211" s="16">
        <f>RecData[[#This Row],[LAF90.0]]</f>
        <v>37.4</v>
      </c>
      <c r="DP1211" s="55">
        <f>IF(AND(RecData[[#This Row],[Useable TON Data?]],RecData[[#This Row],[Turbines ON/OFF]]="ON"),RecData[[#This Row],[dBA Sum]],"")</f>
        <v>38.256068058269783</v>
      </c>
      <c r="DQ1211" s="55" t="str">
        <f>IF(AND(RecData[[#This Row],[Useable Background Data?]],RecData[[#This Row],[Turbines ON/OFF]]="OFF"),RecData[[#This Row],[dBA Sum]],"")</f>
        <v/>
      </c>
      <c r="DR1211" s="3">
        <f>IF(OR(RecData[[#This Row],[Useable TON Data?]],RecData[[#This Row],[Useable Background Data?]]),ROUND(RecData[[#This Row],[WSpd_Avg '[m/s']]],0),"")</f>
        <v>1</v>
      </c>
      <c r="DS1211" s="85">
        <f>(0.00002)^2*(10^(RecData[[#This Row],[Overall (dBA)]]/10))</f>
        <v>2.6771135804501826E-6</v>
      </c>
    </row>
    <row r="1212" spans="1:123" ht="15" x14ac:dyDescent="0.25">
      <c r="A1212" s="3" t="s">
        <v>249</v>
      </c>
      <c r="B1212" s="12">
        <v>43276.143055555556</v>
      </c>
      <c r="C1212" s="3"/>
      <c r="D1212" s="3">
        <v>38.5</v>
      </c>
      <c r="E1212" s="3"/>
      <c r="F1212" s="3"/>
      <c r="G1212" s="3"/>
      <c r="H1212" s="3"/>
      <c r="I1212" s="3"/>
      <c r="J1212" s="3"/>
      <c r="K1212" s="3">
        <v>37.6</v>
      </c>
      <c r="L1212" s="3"/>
      <c r="M1212" s="3"/>
      <c r="N1212" s="3">
        <v>149.6</v>
      </c>
      <c r="O1212" s="3"/>
      <c r="P1212" s="3"/>
      <c r="Q1212" s="3">
        <v>0.88</v>
      </c>
      <c r="R1212" s="3">
        <v>0.2</v>
      </c>
      <c r="S1212" s="3">
        <v>1.9</v>
      </c>
      <c r="T1212" s="3">
        <v>9.4</v>
      </c>
      <c r="U1212" s="3">
        <v>60.5</v>
      </c>
      <c r="V1212" s="3">
        <v>978.8</v>
      </c>
      <c r="W1212" s="3">
        <v>0</v>
      </c>
      <c r="X1212" s="3">
        <v>42.2</v>
      </c>
      <c r="Y1212" s="3">
        <v>41.3</v>
      </c>
      <c r="Z1212" s="3">
        <v>40.5</v>
      </c>
      <c r="AA1212" s="3">
        <v>35.700000000000003</v>
      </c>
      <c r="AB1212" s="3">
        <v>30.5</v>
      </c>
      <c r="AC1212" s="3">
        <v>30.3</v>
      </c>
      <c r="AD1212" s="3">
        <v>36</v>
      </c>
      <c r="AE1212" s="3">
        <v>37.200000000000003</v>
      </c>
      <c r="AF1212" s="3">
        <v>43.4</v>
      </c>
      <c r="AG1212" s="3">
        <v>35.200000000000003</v>
      </c>
      <c r="AH1212" s="3">
        <v>35.700000000000003</v>
      </c>
      <c r="AI1212" s="3">
        <v>34.799999999999997</v>
      </c>
      <c r="AJ1212" s="3">
        <v>34.700000000000003</v>
      </c>
      <c r="AK1212" s="3">
        <v>33.4</v>
      </c>
      <c r="AL1212" s="3">
        <v>32</v>
      </c>
      <c r="AM1212" s="3">
        <v>32</v>
      </c>
      <c r="AN1212" s="3">
        <v>30.4</v>
      </c>
      <c r="AO1212" s="3">
        <v>26.8</v>
      </c>
      <c r="AP1212" s="3">
        <v>25.2</v>
      </c>
      <c r="AQ1212" s="3">
        <v>22.3</v>
      </c>
      <c r="AR1212" s="3">
        <v>20.2</v>
      </c>
      <c r="AS1212" s="3">
        <v>19.2</v>
      </c>
      <c r="AT1212" s="3">
        <v>17.600000000000001</v>
      </c>
      <c r="AU1212" s="3">
        <v>15.5</v>
      </c>
      <c r="AV1212" s="3">
        <v>13.8</v>
      </c>
      <c r="AW1212" s="3">
        <v>12.6</v>
      </c>
      <c r="AX1212" s="3">
        <v>10.199999999999999</v>
      </c>
      <c r="AY1212" s="3">
        <v>9.6999999999999993</v>
      </c>
      <c r="AZ1212" s="3">
        <v>0</v>
      </c>
      <c r="BA1212" s="3">
        <v>0</v>
      </c>
      <c r="BB1212" s="3">
        <v>0</v>
      </c>
      <c r="BC1212" s="3">
        <v>38.473180552404791</v>
      </c>
      <c r="BD1212" s="3">
        <v>42.226819447595211</v>
      </c>
      <c r="BE1212" s="3">
        <v>41.326819447595206</v>
      </c>
      <c r="BF1212" s="3">
        <v>39.2868194475952</v>
      </c>
      <c r="BG1212" s="3">
        <v>34.81348611426187</v>
      </c>
      <c r="BH1212" s="3">
        <v>29.753486114261882</v>
      </c>
      <c r="BI1212" s="3">
        <v>29.966819447595206</v>
      </c>
      <c r="BJ1212" s="3">
        <v>36.460152780928546</v>
      </c>
      <c r="BK1212" s="3">
        <v>37.533486114261869</v>
      </c>
      <c r="BL1212" s="3">
        <v>43.30681944759521</v>
      </c>
      <c r="BM1212" s="3">
        <v>35.240152780928547</v>
      </c>
      <c r="BN1212" s="3">
        <v>36.023486114261878</v>
      </c>
      <c r="BO1212" s="3">
        <v>34.490152780928547</v>
      </c>
      <c r="BP1212" s="3">
        <v>34.106819447595221</v>
      </c>
      <c r="BQ1212" s="3">
        <v>33.223486114261867</v>
      </c>
      <c r="BR1212" s="3">
        <v>32.150152780928543</v>
      </c>
      <c r="BS1212" s="3">
        <v>31.953486114261871</v>
      </c>
      <c r="BT1212" s="3">
        <v>30.550152780928549</v>
      </c>
      <c r="BU1212" s="3">
        <v>26.916819447595209</v>
      </c>
      <c r="BV1212" s="3">
        <v>25.033486114261876</v>
      </c>
      <c r="BW1212" s="3">
        <v>22.666819447595209</v>
      </c>
      <c r="BX1212" s="3">
        <v>20.486819447595217</v>
      </c>
      <c r="BY1212" s="3">
        <v>19.30681944759521</v>
      </c>
      <c r="BZ1212" s="3">
        <v>17.836819447595211</v>
      </c>
      <c r="CA1212" s="3">
        <v>15.836819447595204</v>
      </c>
      <c r="CB1212" s="3">
        <v>13.573486114261875</v>
      </c>
      <c r="CC1212" s="3">
        <v>12.586819447595211</v>
      </c>
      <c r="CD1212" s="3">
        <v>9.4934861142618772</v>
      </c>
      <c r="CE1212" s="3">
        <v>9.1868194475952052</v>
      </c>
      <c r="CF1212" s="3">
        <v>-0.89984721907146081</v>
      </c>
      <c r="CG1212" s="3">
        <v>-1.4331805524047923</v>
      </c>
      <c r="CH1212" s="3">
        <v>-2.5098472190714602</v>
      </c>
      <c r="CI1212" s="13">
        <f>[1]!dbasum(RecData[[#This Row],[20]:[2000]],RecData[[#Headers],[20]:[2000]])</f>
        <v>38.262568373671925</v>
      </c>
      <c r="CJ1212" s="14">
        <v>10927</v>
      </c>
      <c r="CK1212" s="15" t="s">
        <v>249</v>
      </c>
      <c r="CL1212" s="15">
        <f>RecData[[#This Row],[Start Time]]</f>
        <v>43276.143055555556</v>
      </c>
      <c r="CM1212" s="16">
        <f>RecData[[#This Row],[Wind Speed avg]]</f>
        <v>0.88</v>
      </c>
      <c r="CN1212" s="16">
        <f>RecData[[#This Row],[Wind Dir. avg]]</f>
        <v>149.6</v>
      </c>
      <c r="CO1212" s="16">
        <f>RecData[[#This Row],[Amb. Humidity]]</f>
        <v>60.5</v>
      </c>
      <c r="CP1212" s="16">
        <f>RecData[[#This Row],[Amb. Temperature]]</f>
        <v>9.4</v>
      </c>
      <c r="CQ1212" s="17">
        <f>RecData[[#This Row],[Amb. Rain Gauge]]</f>
        <v>0</v>
      </c>
      <c r="CR1212" s="4" t="s">
        <v>1</v>
      </c>
      <c r="CS1212" s="4" t="s">
        <v>49</v>
      </c>
      <c r="CT1212" s="70">
        <v>1383.30065917968</v>
      </c>
      <c r="CU1212" s="70">
        <v>45.000381469726499</v>
      </c>
      <c r="CV1212" s="70">
        <v>9.7554674148559499</v>
      </c>
      <c r="CW1212" s="70">
        <v>14.970129966735801</v>
      </c>
      <c r="CX1212" s="4"/>
      <c r="CY1212" s="69"/>
      <c r="CZ1212" s="2" t="b">
        <f>IF($DP$1="YES",IF(RecData[[#This Row],[Power (kW)]]&gt;=$CR$3, TRUE,FALSE),TRUE)</f>
        <v>1</v>
      </c>
      <c r="DA1212" s="16">
        <f>MIN(MOD(180-ABS(ABS($DA$1-RecData[Yaw Angle (°)])-180),360),MOD(180-ABS(ABS($DB$1-RecData[Yaw Angle (°)])-180),360))</f>
        <v>37.470454692038942</v>
      </c>
      <c r="DB1212" s="2" t="str">
        <f>IF($DP$2="None","None",IF(RecData[[#This Row],[Relative Wind Direction]]&lt;=45,"DW",IF(RecData[[#This Row],[Relative Wind Direction]]&lt;=135,"CW","UW")))</f>
        <v>DW</v>
      </c>
      <c r="DC1212" s="61">
        <v>-1</v>
      </c>
      <c r="DD1212" s="61">
        <v>-1</v>
      </c>
      <c r="DE1212" s="18" t="b">
        <v>0</v>
      </c>
      <c r="DF1212" s="2" t="b">
        <f>IF(OR(RecData[[#This Row],[WSpd_Avg '[m/s']]]-RecData[[#This Row],[Wind Speed min]]&gt;=$DF$3,RecData[[#This Row],[Wind Speed max]]-RecData[[#This Row],[WSpd_Avg '[m/s']]]&gt;=$DF$2),TRUE,FALSE)</f>
        <v>0</v>
      </c>
      <c r="DG1212" s="2" t="b">
        <f>RecData[[#This Row],[Temperature '[°C']]]&lt;=-20</f>
        <v>0</v>
      </c>
      <c r="DH1212" s="18" t="b">
        <f>NOT(OR(MOD(RecData[[#This Row],[TIMESTAMP]],1)&gt;0.91632,MOD(RecData[[#This Row],[TIMESTAMP]],1)&lt;0.208681))</f>
        <v>0</v>
      </c>
      <c r="DI1212" s="18" t="b">
        <f>RecData[[#This Row],[Overall (dBA)]]-RecData[[#This Row],[L90]]&gt;=$DS$4</f>
        <v>0</v>
      </c>
      <c r="DJ1212" s="18" t="b">
        <f>RecData[[#This Row],[Overall (dBA)]]&gt;$DS$2</f>
        <v>0</v>
      </c>
      <c r="DK1212" s="18" t="b">
        <f>RecData[[#This Row],[Overall (dBA)]]&lt;$DS$3</f>
        <v>0</v>
      </c>
      <c r="DL121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2" s="2">
        <f>IF(AND(RecData[[#This Row],[Turbines ON/OFF]] = "OFF", NOT(OR(RecData[[#This Row],[Junk?]]="YES",RecData[[#This Row],[Gust?]],RecData[[#This Row],[Rain?]:[Min SPL Threshold?]]))),1,0)</f>
        <v>0</v>
      </c>
      <c r="DN1212" s="16">
        <f>RecData[[#This Row],[dBA Sum]]</f>
        <v>38.262568373671925</v>
      </c>
      <c r="DO1212" s="16">
        <f>RecData[[#This Row],[LAF90.0]]</f>
        <v>37.6</v>
      </c>
      <c r="DP1212" s="55">
        <f>IF(AND(RecData[[#This Row],[Useable TON Data?]],RecData[[#This Row],[Turbines ON/OFF]]="ON"),RecData[[#This Row],[dBA Sum]],"")</f>
        <v>38.262568373671925</v>
      </c>
      <c r="DQ1212" s="55" t="str">
        <f>IF(AND(RecData[[#This Row],[Useable Background Data?]],RecData[[#This Row],[Turbines ON/OFF]]="OFF"),RecData[[#This Row],[dBA Sum]],"")</f>
        <v/>
      </c>
      <c r="DR1212" s="3">
        <f>IF(OR(RecData[[#This Row],[Useable TON Data?]],RecData[[#This Row],[Useable Background Data?]]),ROUND(RecData[[#This Row],[WSpd_Avg '[m/s']]],0),"")</f>
        <v>1</v>
      </c>
      <c r="DS1212" s="85">
        <f>(0.00002)^2*(10^(RecData[[#This Row],[Overall (dBA)]]/10))</f>
        <v>2.6811235582820643E-6</v>
      </c>
    </row>
    <row r="1213" spans="1:123" ht="15" x14ac:dyDescent="0.25">
      <c r="A1213" s="3" t="s">
        <v>249</v>
      </c>
      <c r="B1213" s="12">
        <v>43276.143750000003</v>
      </c>
      <c r="C1213" s="3"/>
      <c r="D1213" s="3">
        <v>39.700000000000003</v>
      </c>
      <c r="E1213" s="3"/>
      <c r="F1213" s="3"/>
      <c r="G1213" s="3"/>
      <c r="H1213" s="3"/>
      <c r="I1213" s="3"/>
      <c r="J1213" s="3"/>
      <c r="K1213" s="3">
        <v>37.799999999999997</v>
      </c>
      <c r="L1213" s="3"/>
      <c r="M1213" s="3"/>
      <c r="N1213" s="3">
        <v>166.9</v>
      </c>
      <c r="O1213" s="3"/>
      <c r="P1213" s="3"/>
      <c r="Q1213" s="3">
        <v>1.48</v>
      </c>
      <c r="R1213" s="3">
        <v>0.4</v>
      </c>
      <c r="S1213" s="3">
        <v>2.5</v>
      </c>
      <c r="T1213" s="3">
        <v>9.5</v>
      </c>
      <c r="U1213" s="3">
        <v>60</v>
      </c>
      <c r="V1213" s="3">
        <v>978.7</v>
      </c>
      <c r="W1213" s="3">
        <v>0</v>
      </c>
      <c r="X1213" s="3">
        <v>41.9</v>
      </c>
      <c r="Y1213" s="3">
        <v>41.7</v>
      </c>
      <c r="Z1213" s="3">
        <v>41.1</v>
      </c>
      <c r="AA1213" s="3">
        <v>36.700000000000003</v>
      </c>
      <c r="AB1213" s="3">
        <v>30.9</v>
      </c>
      <c r="AC1213" s="3">
        <v>31.5</v>
      </c>
      <c r="AD1213" s="3">
        <v>36.1</v>
      </c>
      <c r="AE1213" s="3">
        <v>38.200000000000003</v>
      </c>
      <c r="AF1213" s="3">
        <v>45.8</v>
      </c>
      <c r="AG1213" s="3">
        <v>37.200000000000003</v>
      </c>
      <c r="AH1213" s="3">
        <v>36.200000000000003</v>
      </c>
      <c r="AI1213" s="3">
        <v>36.700000000000003</v>
      </c>
      <c r="AJ1213" s="3">
        <v>35.4</v>
      </c>
      <c r="AK1213" s="3">
        <v>34.299999999999997</v>
      </c>
      <c r="AL1213" s="3">
        <v>32.9</v>
      </c>
      <c r="AM1213" s="3">
        <v>33</v>
      </c>
      <c r="AN1213" s="3">
        <v>31</v>
      </c>
      <c r="AO1213" s="3">
        <v>27.3</v>
      </c>
      <c r="AP1213" s="3">
        <v>25.9</v>
      </c>
      <c r="AQ1213" s="3">
        <v>23.3</v>
      </c>
      <c r="AR1213" s="3">
        <v>21.8</v>
      </c>
      <c r="AS1213" s="3">
        <v>21.8</v>
      </c>
      <c r="AT1213" s="3">
        <v>21.6</v>
      </c>
      <c r="AU1213" s="3">
        <v>20.6</v>
      </c>
      <c r="AV1213" s="3">
        <v>18.7</v>
      </c>
      <c r="AW1213" s="3">
        <v>17</v>
      </c>
      <c r="AX1213" s="3">
        <v>13.2</v>
      </c>
      <c r="AY1213" s="3">
        <v>12.1</v>
      </c>
      <c r="AZ1213" s="3">
        <v>0</v>
      </c>
      <c r="BA1213" s="3">
        <v>0</v>
      </c>
      <c r="BB1213" s="3">
        <v>0</v>
      </c>
      <c r="BC1213" s="3">
        <v>39.681454824132459</v>
      </c>
      <c r="BD1213" s="3">
        <v>41.918545175867536</v>
      </c>
      <c r="BE1213" s="3">
        <v>41.718545175867547</v>
      </c>
      <c r="BF1213" s="3">
        <v>39.878545175867544</v>
      </c>
      <c r="BG1213" s="3">
        <v>35.80521184253422</v>
      </c>
      <c r="BH1213" s="3">
        <v>30.145211842534209</v>
      </c>
      <c r="BI1213" s="3">
        <v>31.158545175867545</v>
      </c>
      <c r="BJ1213" s="3">
        <v>36.551878509200876</v>
      </c>
      <c r="BK1213" s="3">
        <v>38.525211842534219</v>
      </c>
      <c r="BL1213" s="3">
        <v>45.698545175867537</v>
      </c>
      <c r="BM1213" s="3">
        <v>37.231878509200882</v>
      </c>
      <c r="BN1213" s="3">
        <v>36.515211842534214</v>
      </c>
      <c r="BO1213" s="3">
        <v>36.381878509200874</v>
      </c>
      <c r="BP1213" s="3">
        <v>34.798545175867545</v>
      </c>
      <c r="BQ1213" s="3">
        <v>34.115211842534194</v>
      </c>
      <c r="BR1213" s="3">
        <v>33.04187850920087</v>
      </c>
      <c r="BS1213" s="3">
        <v>32.945211842534206</v>
      </c>
      <c r="BT1213" s="3">
        <v>31.141878509200879</v>
      </c>
      <c r="BU1213" s="3">
        <v>27.408545175867545</v>
      </c>
      <c r="BV1213" s="3">
        <v>25.725211842534208</v>
      </c>
      <c r="BW1213" s="3">
        <v>23.658545175867545</v>
      </c>
      <c r="BX1213" s="3">
        <v>22.078545175867546</v>
      </c>
      <c r="BY1213" s="3">
        <v>21.89854517586754</v>
      </c>
      <c r="BZ1213" s="3">
        <v>21.828545175867546</v>
      </c>
      <c r="CA1213" s="3">
        <v>20.928545175867541</v>
      </c>
      <c r="CB1213" s="3">
        <v>18.46521184253421</v>
      </c>
      <c r="CC1213" s="3">
        <v>16.978545175867538</v>
      </c>
      <c r="CD1213" s="3">
        <v>12.485211842534213</v>
      </c>
      <c r="CE1213" s="3">
        <v>11.578545175867546</v>
      </c>
      <c r="CF1213" s="3">
        <v>-0.9081214907991253</v>
      </c>
      <c r="CG1213" s="3">
        <v>-1.4414548241324567</v>
      </c>
      <c r="CH1213" s="3">
        <v>-2.5181214907991247</v>
      </c>
      <c r="CI1213" s="13">
        <f>[1]!dbasum(RecData[[#This Row],[20]:[2000]],RecData[[#Headers],[20]:[2000]])</f>
        <v>39.301955349905057</v>
      </c>
      <c r="CJ1213" s="14">
        <v>10928</v>
      </c>
      <c r="CK1213" s="15" t="s">
        <v>249</v>
      </c>
      <c r="CL1213" s="15">
        <f>RecData[[#This Row],[Start Time]]</f>
        <v>43276.143750000003</v>
      </c>
      <c r="CM1213" s="16">
        <f>RecData[[#This Row],[Wind Speed avg]]</f>
        <v>1.48</v>
      </c>
      <c r="CN1213" s="16">
        <f>RecData[[#This Row],[Wind Dir. avg]]</f>
        <v>166.9</v>
      </c>
      <c r="CO1213" s="16">
        <f>RecData[[#This Row],[Amb. Humidity]]</f>
        <v>60</v>
      </c>
      <c r="CP1213" s="16">
        <f>RecData[[#This Row],[Amb. Temperature]]</f>
        <v>9.5</v>
      </c>
      <c r="CQ1213" s="17">
        <f>RecData[[#This Row],[Amb. Rain Gauge]]</f>
        <v>0</v>
      </c>
      <c r="CR1213" s="4" t="s">
        <v>1</v>
      </c>
      <c r="CS1213" s="4" t="s">
        <v>49</v>
      </c>
      <c r="CT1213" s="70">
        <v>1383.30065917968</v>
      </c>
      <c r="CU1213" s="70">
        <v>45.000381469726499</v>
      </c>
      <c r="CV1213" s="70">
        <v>9.7554674148559499</v>
      </c>
      <c r="CW1213" s="70">
        <v>14.970129966735801</v>
      </c>
      <c r="CX1213" s="4"/>
      <c r="CY1213" s="69"/>
      <c r="CZ1213" s="2" t="b">
        <f>IF($DP$1="YES",IF(RecData[[#This Row],[Power (kW)]]&gt;=$CR$3, TRUE,FALSE),TRUE)</f>
        <v>1</v>
      </c>
      <c r="DA1213" s="16">
        <f>MIN(MOD(180-ABS(ABS($DA$1-RecData[Yaw Angle (°)])-180),360),MOD(180-ABS(ABS($DB$1-RecData[Yaw Angle (°)])-180),360))</f>
        <v>37.470454692038942</v>
      </c>
      <c r="DB1213" s="2" t="str">
        <f>IF($DP$2="None","None",IF(RecData[[#This Row],[Relative Wind Direction]]&lt;=45,"DW",IF(RecData[[#This Row],[Relative Wind Direction]]&lt;=135,"CW","UW")))</f>
        <v>DW</v>
      </c>
      <c r="DC1213" s="61" t="e">
        <f>IF($CL1213-$CL1212&gt;1/24,#REF!,IF(SUM($CQ1212:$CQ1213)&gt;$DS$1,$DS$5,DC1214-1))</f>
        <v>#REF!</v>
      </c>
      <c r="DD1213" s="61">
        <f>IF($CL1214-$CL1213&gt;1/24,#REF!,IF(SUM($CQ1212:$CQ1213)&gt;$DS$1,$DS$6,DD1212-1))</f>
        <v>-2</v>
      </c>
      <c r="DE1213" s="18" t="b">
        <v>0</v>
      </c>
      <c r="DF1213" s="2" t="b">
        <f>IF(OR(RecData[[#This Row],[WSpd_Avg '[m/s']]]-RecData[[#This Row],[Wind Speed min]]&gt;=$DF$3,RecData[[#This Row],[Wind Speed max]]-RecData[[#This Row],[WSpd_Avg '[m/s']]]&gt;=$DF$2),TRUE,FALSE)</f>
        <v>0</v>
      </c>
      <c r="DG1213" s="2" t="b">
        <f>RecData[[#This Row],[Temperature '[°C']]]&lt;=-20</f>
        <v>0</v>
      </c>
      <c r="DH1213" s="18" t="b">
        <f>NOT(OR(MOD(RecData[[#This Row],[TIMESTAMP]],1)&gt;0.91632,MOD(RecData[[#This Row],[TIMESTAMP]],1)&lt;0.208681))</f>
        <v>0</v>
      </c>
      <c r="DI1213" s="18" t="b">
        <f>RecData[[#This Row],[Overall (dBA)]]-RecData[[#This Row],[L90]]&gt;=$DS$4</f>
        <v>0</v>
      </c>
      <c r="DJ1213" s="18" t="b">
        <f>RecData[[#This Row],[Overall (dBA)]]&gt;$DS$2</f>
        <v>0</v>
      </c>
      <c r="DK1213" s="18" t="b">
        <f>RecData[[#This Row],[Overall (dBA)]]&lt;$DS$3</f>
        <v>0</v>
      </c>
      <c r="DL121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3" s="2">
        <f>IF(AND(RecData[[#This Row],[Turbines ON/OFF]] = "OFF", NOT(OR(RecData[[#This Row],[Junk?]]="YES",RecData[[#This Row],[Gust?]],RecData[[#This Row],[Rain?]:[Min SPL Threshold?]]))),1,0)</f>
        <v>0</v>
      </c>
      <c r="DN1213" s="16">
        <f>RecData[[#This Row],[dBA Sum]]</f>
        <v>39.301955349905057</v>
      </c>
      <c r="DO1213" s="16">
        <f>RecData[[#This Row],[LAF90.0]]</f>
        <v>37.799999999999997</v>
      </c>
      <c r="DP1213" s="55">
        <f>IF(AND(RecData[[#This Row],[Useable TON Data?]],RecData[[#This Row],[Turbines ON/OFF]]="ON"),RecData[[#This Row],[dBA Sum]],"")</f>
        <v>39.301955349905057</v>
      </c>
      <c r="DQ1213" s="55" t="str">
        <f>IF(AND(RecData[[#This Row],[Useable Background Data?]],RecData[[#This Row],[Turbines ON/OFF]]="OFF"),RecData[[#This Row],[dBA Sum]],"")</f>
        <v/>
      </c>
      <c r="DR1213" s="3">
        <f>IF(OR(RecData[[#This Row],[Useable TON Data?]],RecData[[#This Row],[Useable Background Data?]]),ROUND(RecData[[#This Row],[WSpd_Avg '[m/s']]],0),"")</f>
        <v>1</v>
      </c>
      <c r="DS1213" s="85">
        <f>(0.00002)^2*(10^(RecData[[#This Row],[Overall (dBA)]]/10))</f>
        <v>3.4060853497212731E-6</v>
      </c>
    </row>
    <row r="1214" spans="1:123" ht="15" x14ac:dyDescent="0.25">
      <c r="A1214" s="3" t="s">
        <v>249</v>
      </c>
      <c r="B1214" s="12">
        <v>43276.144444444442</v>
      </c>
      <c r="C1214" s="3"/>
      <c r="D1214" s="3">
        <v>38.299999999999997</v>
      </c>
      <c r="E1214" s="3"/>
      <c r="F1214" s="3"/>
      <c r="G1214" s="3"/>
      <c r="H1214" s="3"/>
      <c r="I1214" s="3"/>
      <c r="J1214" s="3"/>
      <c r="K1214" s="3">
        <v>36.5</v>
      </c>
      <c r="L1214" s="3"/>
      <c r="M1214" s="3"/>
      <c r="N1214" s="3">
        <v>207.9</v>
      </c>
      <c r="O1214" s="3"/>
      <c r="P1214" s="3"/>
      <c r="Q1214" s="3">
        <v>0.77</v>
      </c>
      <c r="R1214" s="3">
        <v>0.2</v>
      </c>
      <c r="S1214" s="3">
        <v>1.5</v>
      </c>
      <c r="T1214" s="3">
        <v>9.5</v>
      </c>
      <c r="U1214" s="3">
        <v>59.9</v>
      </c>
      <c r="V1214" s="3">
        <v>978.8</v>
      </c>
      <c r="W1214" s="3">
        <v>0</v>
      </c>
      <c r="X1214" s="3">
        <v>41.9</v>
      </c>
      <c r="Y1214" s="3">
        <v>41.6</v>
      </c>
      <c r="Z1214" s="3">
        <v>40.9</v>
      </c>
      <c r="AA1214" s="3">
        <v>36.1</v>
      </c>
      <c r="AB1214" s="3">
        <v>31.1</v>
      </c>
      <c r="AC1214" s="3">
        <v>29.9</v>
      </c>
      <c r="AD1214" s="3">
        <v>35</v>
      </c>
      <c r="AE1214" s="3">
        <v>36.799999999999997</v>
      </c>
      <c r="AF1214" s="3">
        <v>45</v>
      </c>
      <c r="AG1214" s="3">
        <v>36.4</v>
      </c>
      <c r="AH1214" s="3">
        <v>34.4</v>
      </c>
      <c r="AI1214" s="3">
        <v>35.200000000000003</v>
      </c>
      <c r="AJ1214" s="3">
        <v>34</v>
      </c>
      <c r="AK1214" s="3">
        <v>33.1</v>
      </c>
      <c r="AL1214" s="3">
        <v>31.7</v>
      </c>
      <c r="AM1214" s="3">
        <v>31.9</v>
      </c>
      <c r="AN1214" s="3">
        <v>30.1</v>
      </c>
      <c r="AO1214" s="3">
        <v>26.3</v>
      </c>
      <c r="AP1214" s="3">
        <v>24.9</v>
      </c>
      <c r="AQ1214" s="3">
        <v>22</v>
      </c>
      <c r="AR1214" s="3">
        <v>19.8</v>
      </c>
      <c r="AS1214" s="3">
        <v>18.3</v>
      </c>
      <c r="AT1214" s="3">
        <v>16.8</v>
      </c>
      <c r="AU1214" s="3">
        <v>14.8</v>
      </c>
      <c r="AV1214" s="3">
        <v>13.1</v>
      </c>
      <c r="AW1214" s="3">
        <v>12</v>
      </c>
      <c r="AX1214" s="3">
        <v>9.9</v>
      </c>
      <c r="AY1214" s="3">
        <v>9.6</v>
      </c>
      <c r="AZ1214" s="3">
        <v>0</v>
      </c>
      <c r="BA1214" s="3">
        <v>0</v>
      </c>
      <c r="BB1214" s="3">
        <v>0</v>
      </c>
      <c r="BC1214" s="3">
        <v>38.351610055304583</v>
      </c>
      <c r="BD1214" s="3">
        <v>41.848389944695406</v>
      </c>
      <c r="BE1214" s="3">
        <v>41.548389944695423</v>
      </c>
      <c r="BF1214" s="3">
        <v>39.608389944695411</v>
      </c>
      <c r="BG1214" s="3">
        <v>35.135056611362081</v>
      </c>
      <c r="BH1214" s="3">
        <v>30.275056611362082</v>
      </c>
      <c r="BI1214" s="3">
        <v>29.48838994469542</v>
      </c>
      <c r="BJ1214" s="3">
        <v>35.381723278028737</v>
      </c>
      <c r="BK1214" s="3">
        <v>37.055056611362083</v>
      </c>
      <c r="BL1214" s="3">
        <v>44.828389944695424</v>
      </c>
      <c r="BM1214" s="3">
        <v>36.361723278028755</v>
      </c>
      <c r="BN1214" s="3">
        <v>34.645056611362087</v>
      </c>
      <c r="BO1214" s="3">
        <v>34.811723278028744</v>
      </c>
      <c r="BP1214" s="3">
        <v>33.328389944695424</v>
      </c>
      <c r="BQ1214" s="3">
        <v>32.845056611362075</v>
      </c>
      <c r="BR1214" s="3">
        <v>31.771723278028752</v>
      </c>
      <c r="BS1214" s="3">
        <v>31.775056611362082</v>
      </c>
      <c r="BT1214" s="3">
        <v>30.171723278028757</v>
      </c>
      <c r="BU1214" s="3">
        <v>26.338389944695415</v>
      </c>
      <c r="BV1214" s="3">
        <v>24.655056611362077</v>
      </c>
      <c r="BW1214" s="3">
        <v>22.288389944695417</v>
      </c>
      <c r="BX1214" s="3">
        <v>20.008389944695416</v>
      </c>
      <c r="BY1214" s="3">
        <v>18.328389944695409</v>
      </c>
      <c r="BZ1214" s="3">
        <v>16.958389944695419</v>
      </c>
      <c r="CA1214" s="3">
        <v>15.058389944695406</v>
      </c>
      <c r="CB1214" s="3">
        <v>12.795056611362078</v>
      </c>
      <c r="CC1214" s="3">
        <v>11.908389944695415</v>
      </c>
      <c r="CD1214" s="3">
        <v>9.1150566113620854</v>
      </c>
      <c r="CE1214" s="3">
        <v>9.0083899446954163</v>
      </c>
      <c r="CF1214" s="3">
        <v>-0.97827672197125537</v>
      </c>
      <c r="CG1214" s="3">
        <v>-1.5116100553045868</v>
      </c>
      <c r="CH1214" s="3">
        <v>-2.5882767219712548</v>
      </c>
      <c r="CI1214" s="13">
        <f>[1]!dbasum(RecData[[#This Row],[20]:[2000]],RecData[[#Headers],[20]:[2000]])</f>
        <v>38.083494054773681</v>
      </c>
      <c r="CJ1214" s="14">
        <v>10929</v>
      </c>
      <c r="CK1214" s="15" t="s">
        <v>249</v>
      </c>
      <c r="CL1214" s="15">
        <f>RecData[[#This Row],[Start Time]]</f>
        <v>43276.144444444442</v>
      </c>
      <c r="CM1214" s="16">
        <f>RecData[[#This Row],[Wind Speed avg]]</f>
        <v>0.77</v>
      </c>
      <c r="CN1214" s="16">
        <f>RecData[[#This Row],[Wind Dir. avg]]</f>
        <v>207.9</v>
      </c>
      <c r="CO1214" s="16">
        <f>RecData[[#This Row],[Amb. Humidity]]</f>
        <v>59.9</v>
      </c>
      <c r="CP1214" s="16">
        <f>RecData[[#This Row],[Amb. Temperature]]</f>
        <v>9.5</v>
      </c>
      <c r="CQ1214" s="17">
        <f>RecData[[#This Row],[Amb. Rain Gauge]]</f>
        <v>0</v>
      </c>
      <c r="CR1214" s="4" t="s">
        <v>1</v>
      </c>
      <c r="CS1214" s="4" t="s">
        <v>49</v>
      </c>
      <c r="CT1214" s="70">
        <v>1383.30065917968</v>
      </c>
      <c r="CU1214" s="70">
        <v>45.000381469726499</v>
      </c>
      <c r="CV1214" s="70">
        <v>9.7554674148559499</v>
      </c>
      <c r="CW1214" s="70">
        <v>14.970129966735801</v>
      </c>
      <c r="CX1214" s="4"/>
      <c r="CY1214" s="69"/>
      <c r="CZ1214" s="2" t="b">
        <f>IF($DP$1="YES",IF(RecData[[#This Row],[Power (kW)]]&gt;=$CR$3, TRUE,FALSE),TRUE)</f>
        <v>1</v>
      </c>
      <c r="DA1214" s="16">
        <f>MIN(MOD(180-ABS(ABS($DA$1-RecData[Yaw Angle (°)])-180),360),MOD(180-ABS(ABS($DB$1-RecData[Yaw Angle (°)])-180),360))</f>
        <v>37.470454692038942</v>
      </c>
      <c r="DB1214" s="2" t="str">
        <f>IF($DP$2="None","None",IF(RecData[[#This Row],[Relative Wind Direction]]&lt;=45,"DW",IF(RecData[[#This Row],[Relative Wind Direction]]&lt;=135,"CW","UW")))</f>
        <v>DW</v>
      </c>
      <c r="DC1214" s="61" t="e">
        <f>IF($CL1214-$CL1212&gt;1/24,#REF!,IF(SUM($CQ1212:$CQ1214)&gt;$DS$1,$DS$5,#REF!-1))</f>
        <v>#REF!</v>
      </c>
      <c r="DD1214" s="61" t="e">
        <f>IF(#REF!-$CL1214&gt;1/24,#REF!,IF(SUM($CQ1212:$CQ1214)&gt;$DS$1,$DS$6,DD1213-1))</f>
        <v>#REF!</v>
      </c>
      <c r="DE1214" s="18" t="b">
        <v>0</v>
      </c>
      <c r="DF1214" s="2" t="b">
        <f>IF(OR(RecData[[#This Row],[WSpd_Avg '[m/s']]]-RecData[[#This Row],[Wind Speed min]]&gt;=$DF$3,RecData[[#This Row],[Wind Speed max]]-RecData[[#This Row],[WSpd_Avg '[m/s']]]&gt;=$DF$2),TRUE,FALSE)</f>
        <v>0</v>
      </c>
      <c r="DG1214" s="2" t="b">
        <f>RecData[[#This Row],[Temperature '[°C']]]&lt;=-20</f>
        <v>0</v>
      </c>
      <c r="DH1214" s="18" t="b">
        <f>NOT(OR(MOD(RecData[[#This Row],[TIMESTAMP]],1)&gt;0.91632,MOD(RecData[[#This Row],[TIMESTAMP]],1)&lt;0.208681))</f>
        <v>0</v>
      </c>
      <c r="DI1214" s="18" t="b">
        <f>RecData[[#This Row],[Overall (dBA)]]-RecData[[#This Row],[L90]]&gt;=$DS$4</f>
        <v>0</v>
      </c>
      <c r="DJ1214" s="18" t="b">
        <f>RecData[[#This Row],[Overall (dBA)]]&gt;$DS$2</f>
        <v>0</v>
      </c>
      <c r="DK1214" s="18" t="b">
        <f>RecData[[#This Row],[Overall (dBA)]]&lt;$DS$3</f>
        <v>0</v>
      </c>
      <c r="DL121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4" s="2">
        <f>IF(AND(RecData[[#This Row],[Turbines ON/OFF]] = "OFF", NOT(OR(RecData[[#This Row],[Junk?]]="YES",RecData[[#This Row],[Gust?]],RecData[[#This Row],[Rain?]:[Min SPL Threshold?]]))),1,0)</f>
        <v>0</v>
      </c>
      <c r="DN1214" s="16">
        <f>RecData[[#This Row],[dBA Sum]]</f>
        <v>38.083494054773681</v>
      </c>
      <c r="DO1214" s="16">
        <f>RecData[[#This Row],[LAF90.0]]</f>
        <v>36.5</v>
      </c>
      <c r="DP1214" s="55">
        <f>IF(AND(RecData[[#This Row],[Useable TON Data?]],RecData[[#This Row],[Turbines ON/OFF]]="ON"),RecData[[#This Row],[dBA Sum]],"")</f>
        <v>38.083494054773681</v>
      </c>
      <c r="DQ1214" s="55" t="str">
        <f>IF(AND(RecData[[#This Row],[Useable Background Data?]],RecData[[#This Row],[Turbines ON/OFF]]="OFF"),RecData[[#This Row],[dBA Sum]],"")</f>
        <v/>
      </c>
      <c r="DR1214" s="3">
        <f>IF(OR(RecData[[#This Row],[Useable TON Data?]],RecData[[#This Row],[Useable Background Data?]]),ROUND(RecData[[#This Row],[WSpd_Avg '[m/s']]],0),"")</f>
        <v>1</v>
      </c>
      <c r="DS1214" s="85">
        <f>(0.00002)^2*(10^(RecData[[#This Row],[Overall (dBA)]]/10))</f>
        <v>2.5728199627056788E-6</v>
      </c>
    </row>
    <row r="1215" spans="1:123" ht="15" x14ac:dyDescent="0.25">
      <c r="A1215" s="3" t="s">
        <v>249</v>
      </c>
      <c r="B1215" s="12">
        <v>43276.145833333336</v>
      </c>
      <c r="C1215" s="3"/>
      <c r="D1215" s="3">
        <v>38.799999999999997</v>
      </c>
      <c r="E1215" s="3"/>
      <c r="F1215" s="3"/>
      <c r="G1215" s="3"/>
      <c r="H1215" s="3"/>
      <c r="I1215" s="3"/>
      <c r="J1215" s="3"/>
      <c r="K1215" s="3">
        <v>37.6</v>
      </c>
      <c r="L1215" s="3"/>
      <c r="M1215" s="3"/>
      <c r="N1215" s="3">
        <v>186.6</v>
      </c>
      <c r="O1215" s="3"/>
      <c r="P1215" s="3"/>
      <c r="Q1215" s="3">
        <v>1.34</v>
      </c>
      <c r="R1215" s="3">
        <v>0.8</v>
      </c>
      <c r="S1215" s="3">
        <v>2</v>
      </c>
      <c r="T1215" s="3">
        <v>9.6</v>
      </c>
      <c r="U1215" s="3">
        <v>59.3</v>
      </c>
      <c r="V1215" s="3">
        <v>978.8</v>
      </c>
      <c r="W1215" s="3">
        <v>0</v>
      </c>
      <c r="X1215" s="3">
        <v>42</v>
      </c>
      <c r="Y1215" s="3">
        <v>42.1</v>
      </c>
      <c r="Z1215" s="3">
        <v>41.6</v>
      </c>
      <c r="AA1215" s="3">
        <v>37.1</v>
      </c>
      <c r="AB1215" s="3">
        <v>31.4</v>
      </c>
      <c r="AC1215" s="3">
        <v>30</v>
      </c>
      <c r="AD1215" s="3">
        <v>36.6</v>
      </c>
      <c r="AE1215" s="3">
        <v>37.799999999999997</v>
      </c>
      <c r="AF1215" s="3">
        <v>44.9</v>
      </c>
      <c r="AG1215" s="3">
        <v>36.5</v>
      </c>
      <c r="AH1215" s="3">
        <v>35.4</v>
      </c>
      <c r="AI1215" s="3">
        <v>36</v>
      </c>
      <c r="AJ1215" s="3">
        <v>34.5</v>
      </c>
      <c r="AK1215" s="3">
        <v>33.799999999999997</v>
      </c>
      <c r="AL1215" s="3">
        <v>32.1</v>
      </c>
      <c r="AM1215" s="3">
        <v>32.4</v>
      </c>
      <c r="AN1215" s="3">
        <v>30.6</v>
      </c>
      <c r="AO1215" s="3">
        <v>26.9</v>
      </c>
      <c r="AP1215" s="3">
        <v>25.6</v>
      </c>
      <c r="AQ1215" s="3">
        <v>22.6</v>
      </c>
      <c r="AR1215" s="3">
        <v>20.2</v>
      </c>
      <c r="AS1215" s="3">
        <v>18.7</v>
      </c>
      <c r="AT1215" s="3">
        <v>17.600000000000001</v>
      </c>
      <c r="AU1215" s="3">
        <v>15</v>
      </c>
      <c r="AV1215" s="3">
        <v>13.4</v>
      </c>
      <c r="AW1215" s="3">
        <v>12.2</v>
      </c>
      <c r="AX1215" s="3">
        <v>10.1</v>
      </c>
      <c r="AY1215" s="3">
        <v>9.6999999999999993</v>
      </c>
      <c r="AZ1215" s="3">
        <v>0</v>
      </c>
      <c r="BA1215" s="3">
        <v>0</v>
      </c>
      <c r="BB1215" s="3">
        <v>0</v>
      </c>
      <c r="BC1215" s="3">
        <v>38.849809093521237</v>
      </c>
      <c r="BD1215" s="3">
        <v>41.95019090647876</v>
      </c>
      <c r="BE1215" s="3">
        <v>42.050190906478768</v>
      </c>
      <c r="BF1215" s="3">
        <v>40.310190906478759</v>
      </c>
      <c r="BG1215" s="3">
        <v>36.136857573145427</v>
      </c>
      <c r="BH1215" s="3">
        <v>30.576857573145425</v>
      </c>
      <c r="BI1215" s="3">
        <v>29.59019090647876</v>
      </c>
      <c r="BJ1215" s="3">
        <v>36.983524239812091</v>
      </c>
      <c r="BK1215" s="3">
        <v>38.056857573145429</v>
      </c>
      <c r="BL1215" s="3">
        <v>44.730190906478761</v>
      </c>
      <c r="BM1215" s="3">
        <v>36.463524239812095</v>
      </c>
      <c r="BN1215" s="3">
        <v>35.646857573145432</v>
      </c>
      <c r="BO1215" s="3">
        <v>35.613524239812101</v>
      </c>
      <c r="BP1215" s="3">
        <v>33.830190906478769</v>
      </c>
      <c r="BQ1215" s="3">
        <v>33.54685757314541</v>
      </c>
      <c r="BR1215" s="3">
        <v>32.173524239812103</v>
      </c>
      <c r="BS1215" s="3">
        <v>32.276857573145428</v>
      </c>
      <c r="BT1215" s="3">
        <v>30.673524239812103</v>
      </c>
      <c r="BU1215" s="3">
        <v>26.940190906478755</v>
      </c>
      <c r="BV1215" s="3">
        <v>25.356857573145426</v>
      </c>
      <c r="BW1215" s="3">
        <v>22.890190906478765</v>
      </c>
      <c r="BX1215" s="3">
        <v>20.410190906478768</v>
      </c>
      <c r="BY1215" s="3">
        <v>18.730190906478761</v>
      </c>
      <c r="BZ1215" s="3">
        <v>17.760190906478762</v>
      </c>
      <c r="CA1215" s="3">
        <v>15.260190906478755</v>
      </c>
      <c r="CB1215" s="3">
        <v>13.096857573145421</v>
      </c>
      <c r="CC1215" s="3">
        <v>12.110190906478756</v>
      </c>
      <c r="CD1215" s="3">
        <v>9.3168575731454339</v>
      </c>
      <c r="CE1215" s="3">
        <v>9.1101909064787563</v>
      </c>
      <c r="CF1215" s="3">
        <v>-0.97647576018790971</v>
      </c>
      <c r="CG1215" s="3">
        <v>-1.5098090935212412</v>
      </c>
      <c r="CH1215" s="3">
        <v>-2.5864757601879091</v>
      </c>
      <c r="CI1215" s="13">
        <f>[1]!dbasum(RecData[[#This Row],[20]:[2000]],RecData[[#Headers],[20]:[2000]])</f>
        <v>38.586119065840791</v>
      </c>
      <c r="CJ1215" s="14">
        <v>10931</v>
      </c>
      <c r="CK1215" s="15" t="s">
        <v>249</v>
      </c>
      <c r="CL1215" s="15">
        <f>RecData[[#This Row],[Start Time]]</f>
        <v>43276.145833333336</v>
      </c>
      <c r="CM1215" s="16">
        <f>RecData[[#This Row],[Wind Speed avg]]</f>
        <v>1.34</v>
      </c>
      <c r="CN1215" s="16">
        <f>RecData[[#This Row],[Wind Dir. avg]]</f>
        <v>186.6</v>
      </c>
      <c r="CO1215" s="16">
        <f>RecData[[#This Row],[Amb. Humidity]]</f>
        <v>59.3</v>
      </c>
      <c r="CP1215" s="16">
        <f>RecData[[#This Row],[Amb. Temperature]]</f>
        <v>9.6</v>
      </c>
      <c r="CQ1215" s="17">
        <f>RecData[[#This Row],[Amb. Rain Gauge]]</f>
        <v>0</v>
      </c>
      <c r="CR1215" s="4" t="s">
        <v>1</v>
      </c>
      <c r="CS1215" s="4" t="s">
        <v>49</v>
      </c>
      <c r="CT1215" s="70">
        <v>1383.30065917968</v>
      </c>
      <c r="CU1215" s="70">
        <v>45.000381469726499</v>
      </c>
      <c r="CV1215" s="70">
        <v>9.7554674148559499</v>
      </c>
      <c r="CW1215" s="70">
        <v>14.970129966735801</v>
      </c>
      <c r="CX1215" s="4"/>
      <c r="CY1215" s="69"/>
      <c r="CZ1215" s="2" t="b">
        <f>IF($DP$1="YES",IF(RecData[[#This Row],[Power (kW)]]&gt;=$CR$3, TRUE,FALSE),TRUE)</f>
        <v>1</v>
      </c>
      <c r="DA1215" s="16">
        <f>MIN(MOD(180-ABS(ABS($DA$1-RecData[Yaw Angle (°)])-180),360),MOD(180-ABS(ABS($DB$1-RecData[Yaw Angle (°)])-180),360))</f>
        <v>37.470454692038942</v>
      </c>
      <c r="DB1215" s="2" t="str">
        <f>IF($DP$2="None","None",IF(RecData[[#This Row],[Relative Wind Direction]]&lt;=45,"DW",IF(RecData[[#This Row],[Relative Wind Direction]]&lt;=135,"CW","UW")))</f>
        <v>DW</v>
      </c>
      <c r="DC1215" s="61" t="e">
        <f>IF($CL1215-$CL1212&gt;1/24,#REF!,IF(SUM($CQ1212:$CQ1215)&gt;$DS$1,$DS$5,#REF!-1))</f>
        <v>#REF!</v>
      </c>
      <c r="DD1215" s="61" t="e">
        <f>IF(#REF!-$CL1215&gt;1/24,#REF!,IF(SUM($CQ1212:$CQ1215)&gt;$DS$1,$DS$6,#REF!-1))</f>
        <v>#REF!</v>
      </c>
      <c r="DE1215" s="18" t="b">
        <v>0</v>
      </c>
      <c r="DF1215" s="2" t="b">
        <f>IF(OR(RecData[[#This Row],[WSpd_Avg '[m/s']]]-RecData[[#This Row],[Wind Speed min]]&gt;=$DF$3,RecData[[#This Row],[Wind Speed max]]-RecData[[#This Row],[WSpd_Avg '[m/s']]]&gt;=$DF$2),TRUE,FALSE)</f>
        <v>0</v>
      </c>
      <c r="DG1215" s="2" t="b">
        <f>RecData[[#This Row],[Temperature '[°C']]]&lt;=-20</f>
        <v>0</v>
      </c>
      <c r="DH1215" s="18" t="b">
        <f>NOT(OR(MOD(RecData[[#This Row],[TIMESTAMP]],1)&gt;0.91632,MOD(RecData[[#This Row],[TIMESTAMP]],1)&lt;0.208681))</f>
        <v>0</v>
      </c>
      <c r="DI1215" s="18" t="b">
        <f>RecData[[#This Row],[Overall (dBA)]]-RecData[[#This Row],[L90]]&gt;=$DS$4</f>
        <v>0</v>
      </c>
      <c r="DJ1215" s="18" t="b">
        <f>RecData[[#This Row],[Overall (dBA)]]&gt;$DS$2</f>
        <v>0</v>
      </c>
      <c r="DK1215" s="18" t="b">
        <f>RecData[[#This Row],[Overall (dBA)]]&lt;$DS$3</f>
        <v>0</v>
      </c>
      <c r="DL121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5" s="2">
        <f>IF(AND(RecData[[#This Row],[Turbines ON/OFF]] = "OFF", NOT(OR(RecData[[#This Row],[Junk?]]="YES",RecData[[#This Row],[Gust?]],RecData[[#This Row],[Rain?]:[Min SPL Threshold?]]))),1,0)</f>
        <v>0</v>
      </c>
      <c r="DN1215" s="16">
        <f>RecData[[#This Row],[dBA Sum]]</f>
        <v>38.586119065840791</v>
      </c>
      <c r="DO1215" s="16">
        <f>RecData[[#This Row],[LAF90.0]]</f>
        <v>37.6</v>
      </c>
      <c r="DP1215" s="55">
        <f>IF(AND(RecData[[#This Row],[Useable TON Data?]],RecData[[#This Row],[Turbines ON/OFF]]="ON"),RecData[[#This Row],[dBA Sum]],"")</f>
        <v>38.586119065840791</v>
      </c>
      <c r="DQ1215" s="55" t="str">
        <f>IF(AND(RecData[[#This Row],[Useable Background Data?]],RecData[[#This Row],[Turbines ON/OFF]]="OFF"),RecData[[#This Row],[dBA Sum]],"")</f>
        <v/>
      </c>
      <c r="DR1215" s="3">
        <f>IF(OR(RecData[[#This Row],[Useable TON Data?]],RecData[[#This Row],[Useable Background Data?]]),ROUND(RecData[[#This Row],[WSpd_Avg '[m/s']]],0),"")</f>
        <v>1</v>
      </c>
      <c r="DS1215" s="85">
        <f>(0.00002)^2*(10^(RecData[[#This Row],[Overall (dBA)]]/10))</f>
        <v>2.8884968476498387E-6</v>
      </c>
    </row>
    <row r="1216" spans="1:123" ht="15" x14ac:dyDescent="0.25">
      <c r="A1216" s="3" t="s">
        <v>249</v>
      </c>
      <c r="B1216" s="12">
        <v>43276.181250000001</v>
      </c>
      <c r="C1216" s="3"/>
      <c r="D1216" s="3">
        <v>38.299999999999997</v>
      </c>
      <c r="E1216" s="3"/>
      <c r="F1216" s="3"/>
      <c r="G1216" s="3"/>
      <c r="H1216" s="3"/>
      <c r="I1216" s="3"/>
      <c r="J1216" s="3"/>
      <c r="K1216" s="3">
        <v>37.200000000000003</v>
      </c>
      <c r="L1216" s="3"/>
      <c r="M1216" s="3"/>
      <c r="N1216" s="3">
        <v>140.30000000000001</v>
      </c>
      <c r="O1216" s="3"/>
      <c r="P1216" s="3"/>
      <c r="Q1216" s="3">
        <v>0.56000000000000005</v>
      </c>
      <c r="R1216" s="3">
        <v>0.3</v>
      </c>
      <c r="S1216" s="3">
        <v>0.7</v>
      </c>
      <c r="T1216" s="3">
        <v>8.3000000000000007</v>
      </c>
      <c r="U1216" s="3">
        <v>64.8</v>
      </c>
      <c r="V1216" s="3">
        <v>979</v>
      </c>
      <c r="W1216" s="3">
        <v>0</v>
      </c>
      <c r="X1216" s="3">
        <v>41.5</v>
      </c>
      <c r="Y1216" s="3">
        <v>41.1</v>
      </c>
      <c r="Z1216" s="3">
        <v>38.9</v>
      </c>
      <c r="AA1216" s="3">
        <v>36.1</v>
      </c>
      <c r="AB1216" s="3">
        <v>31.4</v>
      </c>
      <c r="AC1216" s="3">
        <v>30.1</v>
      </c>
      <c r="AD1216" s="3">
        <v>34.5</v>
      </c>
      <c r="AE1216" s="3">
        <v>36</v>
      </c>
      <c r="AF1216" s="3">
        <v>45.8</v>
      </c>
      <c r="AG1216" s="3">
        <v>39.4</v>
      </c>
      <c r="AH1216" s="3">
        <v>34.1</v>
      </c>
      <c r="AI1216" s="3">
        <v>35.5</v>
      </c>
      <c r="AJ1216" s="3">
        <v>33.700000000000003</v>
      </c>
      <c r="AK1216" s="3">
        <v>32.9</v>
      </c>
      <c r="AL1216" s="3">
        <v>31.5</v>
      </c>
      <c r="AM1216" s="3">
        <v>32.299999999999997</v>
      </c>
      <c r="AN1216" s="3">
        <v>29.8</v>
      </c>
      <c r="AO1216" s="3">
        <v>25.9</v>
      </c>
      <c r="AP1216" s="3">
        <v>23.6</v>
      </c>
      <c r="AQ1216" s="3">
        <v>21</v>
      </c>
      <c r="AR1216" s="3">
        <v>17.100000000000001</v>
      </c>
      <c r="AS1216" s="3">
        <v>12.3</v>
      </c>
      <c r="AT1216" s="3">
        <v>9.6999999999999993</v>
      </c>
      <c r="AU1216" s="3">
        <v>8.5</v>
      </c>
      <c r="AV1216" s="3">
        <v>8.6</v>
      </c>
      <c r="AW1216" s="3">
        <v>8.9</v>
      </c>
      <c r="AX1216" s="3">
        <v>8.9</v>
      </c>
      <c r="AY1216" s="3">
        <v>9.1</v>
      </c>
      <c r="AZ1216" s="3">
        <v>0</v>
      </c>
      <c r="BA1216" s="3">
        <v>0</v>
      </c>
      <c r="BB1216" s="3">
        <v>0</v>
      </c>
      <c r="BC1216" s="3">
        <v>38.290855058980149</v>
      </c>
      <c r="BD1216" s="3">
        <v>41.509144941019848</v>
      </c>
      <c r="BE1216" s="3">
        <v>41.109144941019856</v>
      </c>
      <c r="BF1216" s="3">
        <v>37.669144941019844</v>
      </c>
      <c r="BG1216" s="3">
        <v>35.195811607686515</v>
      </c>
      <c r="BH1216" s="3">
        <v>30.635811607686513</v>
      </c>
      <c r="BI1216" s="3">
        <v>29.749144941019843</v>
      </c>
      <c r="BJ1216" s="3">
        <v>34.942478274353171</v>
      </c>
      <c r="BK1216" s="3">
        <v>36.315811607686506</v>
      </c>
      <c r="BL1216" s="3">
        <v>45.68914494101984</v>
      </c>
      <c r="BM1216" s="3">
        <v>39.422478274353189</v>
      </c>
      <c r="BN1216" s="3">
        <v>34.405811607686509</v>
      </c>
      <c r="BO1216" s="3">
        <v>35.172478274353189</v>
      </c>
      <c r="BP1216" s="3">
        <v>33.089144941019846</v>
      </c>
      <c r="BQ1216" s="3">
        <v>32.705811607686506</v>
      </c>
      <c r="BR1216" s="3">
        <v>31.632478274353183</v>
      </c>
      <c r="BS1216" s="3">
        <v>32.235811607686522</v>
      </c>
      <c r="BT1216" s="3">
        <v>29.93247827435318</v>
      </c>
      <c r="BU1216" s="3">
        <v>25.999144941019843</v>
      </c>
      <c r="BV1216" s="3">
        <v>23.415811607686514</v>
      </c>
      <c r="BW1216" s="3">
        <v>21.349144941019851</v>
      </c>
      <c r="BX1216" s="3">
        <v>17.369144941019854</v>
      </c>
      <c r="BY1216" s="3">
        <v>12.389144941019843</v>
      </c>
      <c r="BZ1216" s="3">
        <v>9.9191449410198516</v>
      </c>
      <c r="CA1216" s="3">
        <v>8.819144941019843</v>
      </c>
      <c r="CB1216" s="3">
        <v>8.3558116076865119</v>
      </c>
      <c r="CC1216" s="3">
        <v>8.8691449410198473</v>
      </c>
      <c r="CD1216" s="3">
        <v>8.1758116076865193</v>
      </c>
      <c r="CE1216" s="3">
        <v>8.5691449410198501</v>
      </c>
      <c r="CF1216" s="3">
        <v>-0.91752172564682155</v>
      </c>
      <c r="CG1216" s="3">
        <v>-1.450855058980153</v>
      </c>
      <c r="CH1216" s="3">
        <v>-2.527521725646821</v>
      </c>
      <c r="CI1216" s="13">
        <f>[1]!dbasum(RecData[[#This Row],[20]:[2000]],RecData[[#Headers],[20]:[2000]])</f>
        <v>38.189220946579482</v>
      </c>
      <c r="CJ1216" s="14">
        <v>10982</v>
      </c>
      <c r="CK1216" s="15" t="s">
        <v>249</v>
      </c>
      <c r="CL1216" s="15">
        <f>RecData[[#This Row],[Start Time]]</f>
        <v>43276.181250000001</v>
      </c>
      <c r="CM1216" s="16">
        <f>RecData[[#This Row],[Wind Speed avg]]</f>
        <v>0.56000000000000005</v>
      </c>
      <c r="CN1216" s="16">
        <f>RecData[[#This Row],[Wind Dir. avg]]</f>
        <v>140.30000000000001</v>
      </c>
      <c r="CO1216" s="16">
        <f>RecData[[#This Row],[Amb. Humidity]]</f>
        <v>64.8</v>
      </c>
      <c r="CP1216" s="16">
        <f>RecData[[#This Row],[Amb. Temperature]]</f>
        <v>8.3000000000000007</v>
      </c>
      <c r="CQ1216" s="17">
        <f>RecData[[#This Row],[Amb. Rain Gauge]]</f>
        <v>0</v>
      </c>
      <c r="CR1216" s="4" t="s">
        <v>1</v>
      </c>
      <c r="CS1216" s="4" t="s">
        <v>49</v>
      </c>
      <c r="CT1216" s="70">
        <v>1488.79504394531</v>
      </c>
      <c r="CU1216" s="70">
        <v>52.000442504882798</v>
      </c>
      <c r="CV1216" s="70">
        <v>9.2554559707641602</v>
      </c>
      <c r="CW1216" s="70">
        <v>15.1288251876831</v>
      </c>
      <c r="CX1216" s="4"/>
      <c r="CY1216" s="69"/>
      <c r="CZ1216" s="2" t="b">
        <f>IF($DP$1="YES",IF(RecData[[#This Row],[Power (kW)]]&gt;=$CR$3, TRUE,FALSE),TRUE)</f>
        <v>1</v>
      </c>
      <c r="DA1216" s="16">
        <f>MIN(MOD(180-ABS(ABS($DA$1-RecData[Yaw Angle (°)])-180),360),MOD(180-ABS(ABS($DB$1-RecData[Yaw Angle (°)])-180),360))</f>
        <v>44.470515727195249</v>
      </c>
      <c r="DB1216" s="2" t="str">
        <f>IF($DP$2="None","None",IF(RecData[[#This Row],[Relative Wind Direction]]&lt;=45,"DW",IF(RecData[[#This Row],[Relative Wind Direction]]&lt;=135,"CW","UW")))</f>
        <v>DW</v>
      </c>
      <c r="DC1216" s="61" t="e">
        <f>IF($CL1216-#REF!&gt;1/24,#REF!,IF(SUM($CQ1216:$CQ1216)&gt;$DS$1,$DS$5,DC1217-1))</f>
        <v>#REF!</v>
      </c>
      <c r="DD1216" s="61" t="e">
        <f>IF($CL1217-$CL1216&gt;1/24,#REF!,IF(SUM($CQ1216:$CQ1216)&gt;$DS$1,$DS$6,#REF!-1))</f>
        <v>#REF!</v>
      </c>
      <c r="DE1216" s="18" t="b">
        <v>0</v>
      </c>
      <c r="DF1216" s="2" t="b">
        <f>IF(OR(RecData[[#This Row],[WSpd_Avg '[m/s']]]-RecData[[#This Row],[Wind Speed min]]&gt;=$DF$3,RecData[[#This Row],[Wind Speed max]]-RecData[[#This Row],[WSpd_Avg '[m/s']]]&gt;=$DF$2),TRUE,FALSE)</f>
        <v>0</v>
      </c>
      <c r="DG1216" s="2" t="b">
        <f>RecData[[#This Row],[Temperature '[°C']]]&lt;=-20</f>
        <v>0</v>
      </c>
      <c r="DH1216" s="18" t="b">
        <f>NOT(OR(MOD(RecData[[#This Row],[TIMESTAMP]],1)&gt;0.91632,MOD(RecData[[#This Row],[TIMESTAMP]],1)&lt;0.208681))</f>
        <v>0</v>
      </c>
      <c r="DI1216" s="18" t="b">
        <f>RecData[[#This Row],[Overall (dBA)]]-RecData[[#This Row],[L90]]&gt;=$DS$4</f>
        <v>0</v>
      </c>
      <c r="DJ1216" s="18" t="b">
        <f>RecData[[#This Row],[Overall (dBA)]]&gt;$DS$2</f>
        <v>0</v>
      </c>
      <c r="DK1216" s="18" t="b">
        <f>RecData[[#This Row],[Overall (dBA)]]&lt;$DS$3</f>
        <v>0</v>
      </c>
      <c r="DL121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6" s="2">
        <f>IF(AND(RecData[[#This Row],[Turbines ON/OFF]] = "OFF", NOT(OR(RecData[[#This Row],[Junk?]]="YES",RecData[[#This Row],[Gust?]],RecData[[#This Row],[Rain?]:[Min SPL Threshold?]]))),1,0)</f>
        <v>0</v>
      </c>
      <c r="DN1216" s="16">
        <f>RecData[[#This Row],[dBA Sum]]</f>
        <v>38.189220946579482</v>
      </c>
      <c r="DO1216" s="16">
        <f>RecData[[#This Row],[LAF90.0]]</f>
        <v>37.200000000000003</v>
      </c>
      <c r="DP1216" s="55">
        <f>IF(AND(RecData[[#This Row],[Useable TON Data?]],RecData[[#This Row],[Turbines ON/OFF]]="ON"),RecData[[#This Row],[dBA Sum]],"")</f>
        <v>38.189220946579482</v>
      </c>
      <c r="DQ1216" s="55" t="str">
        <f>IF(AND(RecData[[#This Row],[Useable Background Data?]],RecData[[#This Row],[Turbines ON/OFF]]="OFF"),RecData[[#This Row],[dBA Sum]],"")</f>
        <v/>
      </c>
      <c r="DR1216" s="3">
        <f>IF(OR(RecData[[#This Row],[Useable TON Data?]],RecData[[#This Row],[Useable Background Data?]]),ROUND(RecData[[#This Row],[WSpd_Avg '[m/s']]],0),"")</f>
        <v>1</v>
      </c>
      <c r="DS1216" s="85">
        <f>(0.00002)^2*(10^(RecData[[#This Row],[Overall (dBA)]]/10))</f>
        <v>2.6362226432427723E-6</v>
      </c>
    </row>
    <row r="1217" spans="1:123" ht="15" x14ac:dyDescent="0.25">
      <c r="A1217" s="3" t="s">
        <v>249</v>
      </c>
      <c r="B1217" s="12">
        <v>43276.181944444448</v>
      </c>
      <c r="C1217" s="3"/>
      <c r="D1217" s="3">
        <v>38.6</v>
      </c>
      <c r="E1217" s="3"/>
      <c r="F1217" s="3"/>
      <c r="G1217" s="3"/>
      <c r="H1217" s="3"/>
      <c r="I1217" s="3"/>
      <c r="J1217" s="3"/>
      <c r="K1217" s="3">
        <v>37.200000000000003</v>
      </c>
      <c r="L1217" s="3"/>
      <c r="M1217" s="3"/>
      <c r="N1217" s="3">
        <v>128.80000000000001</v>
      </c>
      <c r="O1217" s="3"/>
      <c r="P1217" s="3"/>
      <c r="Q1217" s="3">
        <v>0.69</v>
      </c>
      <c r="R1217" s="3">
        <v>0.3</v>
      </c>
      <c r="S1217" s="3">
        <v>1</v>
      </c>
      <c r="T1217" s="3">
        <v>8.3000000000000007</v>
      </c>
      <c r="U1217" s="3">
        <v>65</v>
      </c>
      <c r="V1217" s="3">
        <v>979</v>
      </c>
      <c r="W1217" s="3">
        <v>0</v>
      </c>
      <c r="X1217" s="3">
        <v>42.3</v>
      </c>
      <c r="Y1217" s="3">
        <v>42</v>
      </c>
      <c r="Z1217" s="3">
        <v>40.799999999999997</v>
      </c>
      <c r="AA1217" s="3">
        <v>37.4</v>
      </c>
      <c r="AB1217" s="3">
        <v>31.4</v>
      </c>
      <c r="AC1217" s="3">
        <v>31.4</v>
      </c>
      <c r="AD1217" s="3">
        <v>34.4</v>
      </c>
      <c r="AE1217" s="3">
        <v>36.6</v>
      </c>
      <c r="AF1217" s="3">
        <v>45.6</v>
      </c>
      <c r="AG1217" s="3">
        <v>36.799999999999997</v>
      </c>
      <c r="AH1217" s="3">
        <v>34.6</v>
      </c>
      <c r="AI1217" s="3">
        <v>35.9</v>
      </c>
      <c r="AJ1217" s="3">
        <v>34.1</v>
      </c>
      <c r="AK1217" s="3">
        <v>33.6</v>
      </c>
      <c r="AL1217" s="3">
        <v>32.200000000000003</v>
      </c>
      <c r="AM1217" s="3">
        <v>32.700000000000003</v>
      </c>
      <c r="AN1217" s="3">
        <v>30.4</v>
      </c>
      <c r="AO1217" s="3">
        <v>26.3</v>
      </c>
      <c r="AP1217" s="3">
        <v>24.4</v>
      </c>
      <c r="AQ1217" s="3">
        <v>21.1</v>
      </c>
      <c r="AR1217" s="3">
        <v>17.600000000000001</v>
      </c>
      <c r="AS1217" s="3">
        <v>12.4</v>
      </c>
      <c r="AT1217" s="3">
        <v>11.2</v>
      </c>
      <c r="AU1217" s="3">
        <v>9.6</v>
      </c>
      <c r="AV1217" s="3">
        <v>9.6999999999999993</v>
      </c>
      <c r="AW1217" s="3">
        <v>9.8000000000000007</v>
      </c>
      <c r="AX1217" s="3">
        <v>9.1999999999999993</v>
      </c>
      <c r="AY1217" s="3">
        <v>9.1999999999999993</v>
      </c>
      <c r="AZ1217" s="3">
        <v>0</v>
      </c>
      <c r="BA1217" s="3">
        <v>0</v>
      </c>
      <c r="BB1217" s="3">
        <v>0</v>
      </c>
      <c r="BC1217" s="3">
        <v>38.584328989391508</v>
      </c>
      <c r="BD1217" s="3">
        <v>42.315671010608497</v>
      </c>
      <c r="BE1217" s="3">
        <v>42.015671010608486</v>
      </c>
      <c r="BF1217" s="3">
        <v>39.575671010608488</v>
      </c>
      <c r="BG1217" s="3">
        <v>36.502337677275165</v>
      </c>
      <c r="BH1217" s="3">
        <v>30.642337677275165</v>
      </c>
      <c r="BI1217" s="3">
        <v>31.055671010608492</v>
      </c>
      <c r="BJ1217" s="3">
        <v>34.849004343941829</v>
      </c>
      <c r="BK1217" s="3">
        <v>36.922337677275152</v>
      </c>
      <c r="BL1217" s="3">
        <v>45.495671010608504</v>
      </c>
      <c r="BM1217" s="3">
        <v>36.829004343941818</v>
      </c>
      <c r="BN1217" s="3">
        <v>34.912337677275161</v>
      </c>
      <c r="BO1217" s="3">
        <v>35.579004343941818</v>
      </c>
      <c r="BP1217" s="3">
        <v>33.495671010608504</v>
      </c>
      <c r="BQ1217" s="3">
        <v>33.412337677275161</v>
      </c>
      <c r="BR1217" s="3">
        <v>32.339004343941838</v>
      </c>
      <c r="BS1217" s="3">
        <v>32.642337677275165</v>
      </c>
      <c r="BT1217" s="3">
        <v>30.539004343941826</v>
      </c>
      <c r="BU1217" s="3">
        <v>26.405671010608501</v>
      </c>
      <c r="BV1217" s="3">
        <v>24.222337677275164</v>
      </c>
      <c r="BW1217" s="3">
        <v>21.455671010608498</v>
      </c>
      <c r="BX1217" s="3">
        <v>17.8756710106085</v>
      </c>
      <c r="BY1217" s="3">
        <v>12.49567101060849</v>
      </c>
      <c r="BZ1217" s="3">
        <v>11.425671010608497</v>
      </c>
      <c r="CA1217" s="3">
        <v>9.9256710106084824</v>
      </c>
      <c r="CB1217" s="3">
        <v>9.4623376772751584</v>
      </c>
      <c r="CC1217" s="3">
        <v>9.775671010608491</v>
      </c>
      <c r="CD1217" s="3">
        <v>8.4823376772751615</v>
      </c>
      <c r="CE1217" s="3">
        <v>8.6756710106084896</v>
      </c>
      <c r="CF1217" s="3">
        <v>-0.91099565605817645</v>
      </c>
      <c r="CG1217" s="3">
        <v>-1.4443289893915079</v>
      </c>
      <c r="CH1217" s="3">
        <v>-2.5209956560581759</v>
      </c>
      <c r="CI1217" s="13">
        <f>[1]!dbasum(RecData[[#This Row],[20]:[2000]],RecData[[#Headers],[20]:[2000]])</f>
        <v>38.483530378478847</v>
      </c>
      <c r="CJ1217" s="14">
        <v>10983</v>
      </c>
      <c r="CK1217" s="15" t="s">
        <v>249</v>
      </c>
      <c r="CL1217" s="15">
        <f>RecData[[#This Row],[Start Time]]</f>
        <v>43276.181944444448</v>
      </c>
      <c r="CM1217" s="16">
        <f>RecData[[#This Row],[Wind Speed avg]]</f>
        <v>0.69</v>
      </c>
      <c r="CN1217" s="16">
        <f>RecData[[#This Row],[Wind Dir. avg]]</f>
        <v>128.80000000000001</v>
      </c>
      <c r="CO1217" s="16">
        <f>RecData[[#This Row],[Amb. Humidity]]</f>
        <v>65</v>
      </c>
      <c r="CP1217" s="16">
        <f>RecData[[#This Row],[Amb. Temperature]]</f>
        <v>8.3000000000000007</v>
      </c>
      <c r="CQ1217" s="17">
        <f>RecData[[#This Row],[Amb. Rain Gauge]]</f>
        <v>0</v>
      </c>
      <c r="CR1217" s="4" t="s">
        <v>1</v>
      </c>
      <c r="CS1217" s="4" t="s">
        <v>49</v>
      </c>
      <c r="CT1217" s="70">
        <v>1488.79504394531</v>
      </c>
      <c r="CU1217" s="70">
        <v>52.000442504882798</v>
      </c>
      <c r="CV1217" s="70">
        <v>9.2554559707641602</v>
      </c>
      <c r="CW1217" s="70">
        <v>15.1288251876831</v>
      </c>
      <c r="CX1217" s="4"/>
      <c r="CY1217" s="69"/>
      <c r="CZ1217" s="2" t="b">
        <f>IF($DP$1="YES",IF(RecData[[#This Row],[Power (kW)]]&gt;=$CR$3, TRUE,FALSE),TRUE)</f>
        <v>1</v>
      </c>
      <c r="DA1217" s="16">
        <f>MIN(MOD(180-ABS(ABS($DA$1-RecData[Yaw Angle (°)])-180),360),MOD(180-ABS(ABS($DB$1-RecData[Yaw Angle (°)])-180),360))</f>
        <v>44.470515727195249</v>
      </c>
      <c r="DB1217" s="2" t="str">
        <f>IF($DP$2="None","None",IF(RecData[[#This Row],[Relative Wind Direction]]&lt;=45,"DW",IF(RecData[[#This Row],[Relative Wind Direction]]&lt;=135,"CW","UW")))</f>
        <v>DW</v>
      </c>
      <c r="DC1217" s="61" t="e">
        <f>IF($CL1217-#REF!&gt;1/24,#REF!,IF(SUM($CQ1216:$CQ1217)&gt;$DS$1,$DS$5,DC1218-1))</f>
        <v>#REF!</v>
      </c>
      <c r="DD1217" s="61" t="e">
        <f>IF($CL1218-$CL1217&gt;1/24,#REF!,IF(SUM($CQ1216:$CQ1217)&gt;$DS$1,$DS$6,DD1216-1))</f>
        <v>#REF!</v>
      </c>
      <c r="DE1217" s="18" t="b">
        <v>0</v>
      </c>
      <c r="DF1217" s="2" t="b">
        <f>IF(OR(RecData[[#This Row],[WSpd_Avg '[m/s']]]-RecData[[#This Row],[Wind Speed min]]&gt;=$DF$3,RecData[[#This Row],[Wind Speed max]]-RecData[[#This Row],[WSpd_Avg '[m/s']]]&gt;=$DF$2),TRUE,FALSE)</f>
        <v>0</v>
      </c>
      <c r="DG1217" s="2" t="b">
        <f>RecData[[#This Row],[Temperature '[°C']]]&lt;=-20</f>
        <v>0</v>
      </c>
      <c r="DH1217" s="18" t="b">
        <f>NOT(OR(MOD(RecData[[#This Row],[TIMESTAMP]],1)&gt;0.91632,MOD(RecData[[#This Row],[TIMESTAMP]],1)&lt;0.208681))</f>
        <v>0</v>
      </c>
      <c r="DI1217" s="18" t="b">
        <f>RecData[[#This Row],[Overall (dBA)]]-RecData[[#This Row],[L90]]&gt;=$DS$4</f>
        <v>0</v>
      </c>
      <c r="DJ1217" s="18" t="b">
        <f>RecData[[#This Row],[Overall (dBA)]]&gt;$DS$2</f>
        <v>0</v>
      </c>
      <c r="DK1217" s="18" t="b">
        <f>RecData[[#This Row],[Overall (dBA)]]&lt;$DS$3</f>
        <v>0</v>
      </c>
      <c r="DL121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7" s="2">
        <f>IF(AND(RecData[[#This Row],[Turbines ON/OFF]] = "OFF", NOT(OR(RecData[[#This Row],[Junk?]]="YES",RecData[[#This Row],[Gust?]],RecData[[#This Row],[Rain?]:[Min SPL Threshold?]]))),1,0)</f>
        <v>0</v>
      </c>
      <c r="DN1217" s="16">
        <f>RecData[[#This Row],[dBA Sum]]</f>
        <v>38.483530378478847</v>
      </c>
      <c r="DO1217" s="16">
        <f>RecData[[#This Row],[LAF90.0]]</f>
        <v>37.200000000000003</v>
      </c>
      <c r="DP1217" s="55">
        <f>IF(AND(RecData[[#This Row],[Useable TON Data?]],RecData[[#This Row],[Turbines ON/OFF]]="ON"),RecData[[#This Row],[dBA Sum]],"")</f>
        <v>38.483530378478847</v>
      </c>
      <c r="DQ1217" s="55" t="str">
        <f>IF(AND(RecData[[#This Row],[Useable Background Data?]],RecData[[#This Row],[Turbines ON/OFF]]="OFF"),RecData[[#This Row],[dBA Sum]],"")</f>
        <v/>
      </c>
      <c r="DR1217" s="3">
        <f>IF(OR(RecData[[#This Row],[Useable TON Data?]],RecData[[#This Row],[Useable Background Data?]]),ROUND(RecData[[#This Row],[WSpd_Avg '[m/s']]],0),"")</f>
        <v>1</v>
      </c>
      <c r="DS1217" s="85">
        <f>(0.00002)^2*(10^(RecData[[#This Row],[Overall (dBA)]]/10))</f>
        <v>2.8210645865490743E-6</v>
      </c>
    </row>
    <row r="1218" spans="1:123" ht="15" x14ac:dyDescent="0.25">
      <c r="A1218" s="3" t="s">
        <v>249</v>
      </c>
      <c r="B1218" s="12">
        <v>43276.182638888895</v>
      </c>
      <c r="C1218" s="3"/>
      <c r="D1218" s="3">
        <v>37.4</v>
      </c>
      <c r="E1218" s="3"/>
      <c r="F1218" s="3"/>
      <c r="G1218" s="3"/>
      <c r="H1218" s="3"/>
      <c r="I1218" s="3"/>
      <c r="J1218" s="3"/>
      <c r="K1218" s="3">
        <v>36</v>
      </c>
      <c r="L1218" s="3"/>
      <c r="M1218" s="3"/>
      <c r="N1218" s="3">
        <v>143.6</v>
      </c>
      <c r="O1218" s="3"/>
      <c r="P1218" s="3"/>
      <c r="Q1218" s="3">
        <v>0.73</v>
      </c>
      <c r="R1218" s="3">
        <v>0.4</v>
      </c>
      <c r="S1218" s="3">
        <v>1.1000000000000001</v>
      </c>
      <c r="T1218" s="3">
        <v>8.1999999999999993</v>
      </c>
      <c r="U1218" s="3">
        <v>63.9</v>
      </c>
      <c r="V1218" s="3">
        <v>979</v>
      </c>
      <c r="W1218" s="3">
        <v>0</v>
      </c>
      <c r="X1218" s="3">
        <v>41.9</v>
      </c>
      <c r="Y1218" s="3">
        <v>41.5</v>
      </c>
      <c r="Z1218" s="3">
        <v>40.299999999999997</v>
      </c>
      <c r="AA1218" s="3">
        <v>37.6</v>
      </c>
      <c r="AB1218" s="3">
        <v>32.1</v>
      </c>
      <c r="AC1218" s="3">
        <v>30.3</v>
      </c>
      <c r="AD1218" s="3">
        <v>33.6</v>
      </c>
      <c r="AE1218" s="3">
        <v>35.5</v>
      </c>
      <c r="AF1218" s="3">
        <v>44.7</v>
      </c>
      <c r="AG1218" s="3">
        <v>36.6</v>
      </c>
      <c r="AH1218" s="3">
        <v>33.700000000000003</v>
      </c>
      <c r="AI1218" s="3">
        <v>34.799999999999997</v>
      </c>
      <c r="AJ1218" s="3">
        <v>33</v>
      </c>
      <c r="AK1218" s="3">
        <v>32.200000000000003</v>
      </c>
      <c r="AL1218" s="3">
        <v>30.8</v>
      </c>
      <c r="AM1218" s="3">
        <v>31.3</v>
      </c>
      <c r="AN1218" s="3">
        <v>29</v>
      </c>
      <c r="AO1218" s="3">
        <v>25.2</v>
      </c>
      <c r="AP1218" s="3">
        <v>23.2</v>
      </c>
      <c r="AQ1218" s="3">
        <v>20.2</v>
      </c>
      <c r="AR1218" s="3">
        <v>17</v>
      </c>
      <c r="AS1218" s="3">
        <v>11.3</v>
      </c>
      <c r="AT1218" s="3">
        <v>12.6</v>
      </c>
      <c r="AU1218" s="3">
        <v>7.7</v>
      </c>
      <c r="AV1218" s="3">
        <v>8.1</v>
      </c>
      <c r="AW1218" s="3">
        <v>8.5</v>
      </c>
      <c r="AX1218" s="3">
        <v>8.8000000000000007</v>
      </c>
      <c r="AY1218" s="3">
        <v>9</v>
      </c>
      <c r="AZ1218" s="3">
        <v>0</v>
      </c>
      <c r="BA1218" s="3">
        <v>0</v>
      </c>
      <c r="BB1218" s="3">
        <v>0</v>
      </c>
      <c r="BC1218" s="3">
        <v>37.414579058810673</v>
      </c>
      <c r="BD1218" s="3">
        <v>41.885420941189324</v>
      </c>
      <c r="BE1218" s="3">
        <v>41.485420941189332</v>
      </c>
      <c r="BF1218" s="3">
        <v>39.04542094118932</v>
      </c>
      <c r="BG1218" s="3">
        <v>36.672087607856</v>
      </c>
      <c r="BH1218" s="3">
        <v>31.312087607856</v>
      </c>
      <c r="BI1218" s="3">
        <v>29.92542094118933</v>
      </c>
      <c r="BJ1218" s="3">
        <v>34.018754274522664</v>
      </c>
      <c r="BK1218" s="3">
        <v>35.79208760785599</v>
      </c>
      <c r="BL1218" s="3">
        <v>44.565420941189331</v>
      </c>
      <c r="BM1218" s="3">
        <v>36.598754274522662</v>
      </c>
      <c r="BN1218" s="3">
        <v>33.982087607856002</v>
      </c>
      <c r="BO1218" s="3">
        <v>34.448754274522656</v>
      </c>
      <c r="BP1218" s="3">
        <v>32.365420941189328</v>
      </c>
      <c r="BQ1218" s="3">
        <v>31.982087607855988</v>
      </c>
      <c r="BR1218" s="3">
        <v>30.908754274522664</v>
      </c>
      <c r="BS1218" s="3">
        <v>31.212087607855992</v>
      </c>
      <c r="BT1218" s="3">
        <v>29.108754274522667</v>
      </c>
      <c r="BU1218" s="3">
        <v>25.275420941189324</v>
      </c>
      <c r="BV1218" s="3">
        <v>22.992087607855993</v>
      </c>
      <c r="BW1218" s="3">
        <v>20.525420941189324</v>
      </c>
      <c r="BX1218" s="3">
        <v>17.24542094118933</v>
      </c>
      <c r="BY1218" s="3">
        <v>11.365420941189328</v>
      </c>
      <c r="BZ1218" s="3">
        <v>12.795420941189327</v>
      </c>
      <c r="CA1218" s="3">
        <v>7.995420941189316</v>
      </c>
      <c r="CB1218" s="3">
        <v>7.8320876078559891</v>
      </c>
      <c r="CC1218" s="3">
        <v>8.445420941189326</v>
      </c>
      <c r="CD1218" s="3">
        <v>8.0520876078559951</v>
      </c>
      <c r="CE1218" s="3">
        <v>8.445420941189326</v>
      </c>
      <c r="CF1218" s="3">
        <v>-0.94124572547734431</v>
      </c>
      <c r="CG1218" s="3">
        <v>-1.4745790588106757</v>
      </c>
      <c r="CH1218" s="3">
        <v>-2.5512457254773437</v>
      </c>
      <c r="CI1218" s="13">
        <f>[1]!dbasum(RecData[[#This Row],[20]:[2000]],RecData[[#Headers],[20]:[2000]])</f>
        <v>37.274917386029649</v>
      </c>
      <c r="CJ1218" s="14">
        <v>10984</v>
      </c>
      <c r="CK1218" s="15" t="s">
        <v>249</v>
      </c>
      <c r="CL1218" s="15">
        <f>RecData[[#This Row],[Start Time]]</f>
        <v>43276.182638888895</v>
      </c>
      <c r="CM1218" s="16">
        <f>RecData[[#This Row],[Wind Speed avg]]</f>
        <v>0.73</v>
      </c>
      <c r="CN1218" s="16">
        <f>RecData[[#This Row],[Wind Dir. avg]]</f>
        <v>143.6</v>
      </c>
      <c r="CO1218" s="16">
        <f>RecData[[#This Row],[Amb. Humidity]]</f>
        <v>63.9</v>
      </c>
      <c r="CP1218" s="16">
        <f>RecData[[#This Row],[Amb. Temperature]]</f>
        <v>8.1999999999999993</v>
      </c>
      <c r="CQ1218" s="17">
        <f>RecData[[#This Row],[Amb. Rain Gauge]]</f>
        <v>0</v>
      </c>
      <c r="CR1218" s="4" t="s">
        <v>1</v>
      </c>
      <c r="CS1218" s="4" t="s">
        <v>49</v>
      </c>
      <c r="CT1218" s="70">
        <v>1488.79504394531</v>
      </c>
      <c r="CU1218" s="70">
        <v>52.000442504882798</v>
      </c>
      <c r="CV1218" s="70">
        <v>9.2554559707641602</v>
      </c>
      <c r="CW1218" s="70">
        <v>15.1288251876831</v>
      </c>
      <c r="CX1218" s="4"/>
      <c r="CY1218" s="69"/>
      <c r="CZ1218" s="2" t="b">
        <f>IF($DP$1="YES",IF(RecData[[#This Row],[Power (kW)]]&gt;=$CR$3, TRUE,FALSE),TRUE)</f>
        <v>1</v>
      </c>
      <c r="DA1218" s="16">
        <f>MIN(MOD(180-ABS(ABS($DA$1-RecData[Yaw Angle (°)])-180),360),MOD(180-ABS(ABS($DB$1-RecData[Yaw Angle (°)])-180),360))</f>
        <v>44.470515727195249</v>
      </c>
      <c r="DB1218" s="2" t="str">
        <f>IF($DP$2="None","None",IF(RecData[[#This Row],[Relative Wind Direction]]&lt;=45,"DW",IF(RecData[[#This Row],[Relative Wind Direction]]&lt;=135,"CW","UW")))</f>
        <v>DW</v>
      </c>
      <c r="DC1218" s="61" t="e">
        <f>IF($CL1218-#REF!&gt;1/24,#REF!,IF(SUM($CQ1216:$CQ1218)&gt;$DS$1,$DS$5,DC1219-1))</f>
        <v>#REF!</v>
      </c>
      <c r="DD1218" s="61" t="e">
        <f>IF($CL1219-$CL1218&gt;1/24,#REF!,IF(SUM($CQ1216:$CQ1218)&gt;$DS$1,$DS$6,DD1217-1))</f>
        <v>#REF!</v>
      </c>
      <c r="DE1218" s="18" t="b">
        <v>0</v>
      </c>
      <c r="DF1218" s="2" t="b">
        <f>IF(OR(RecData[[#This Row],[WSpd_Avg '[m/s']]]-RecData[[#This Row],[Wind Speed min]]&gt;=$DF$3,RecData[[#This Row],[Wind Speed max]]-RecData[[#This Row],[WSpd_Avg '[m/s']]]&gt;=$DF$2),TRUE,FALSE)</f>
        <v>0</v>
      </c>
      <c r="DG1218" s="2" t="b">
        <f>RecData[[#This Row],[Temperature '[°C']]]&lt;=-20</f>
        <v>0</v>
      </c>
      <c r="DH1218" s="18" t="b">
        <f>NOT(OR(MOD(RecData[[#This Row],[TIMESTAMP]],1)&gt;0.91632,MOD(RecData[[#This Row],[TIMESTAMP]],1)&lt;0.208681))</f>
        <v>0</v>
      </c>
      <c r="DI1218" s="18" t="b">
        <f>RecData[[#This Row],[Overall (dBA)]]-RecData[[#This Row],[L90]]&gt;=$DS$4</f>
        <v>0</v>
      </c>
      <c r="DJ1218" s="18" t="b">
        <f>RecData[[#This Row],[Overall (dBA)]]&gt;$DS$2</f>
        <v>0</v>
      </c>
      <c r="DK1218" s="18" t="b">
        <f>RecData[[#This Row],[Overall (dBA)]]&lt;$DS$3</f>
        <v>0</v>
      </c>
      <c r="DL121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8" s="2">
        <f>IF(AND(RecData[[#This Row],[Turbines ON/OFF]] = "OFF", NOT(OR(RecData[[#This Row],[Junk?]]="YES",RecData[[#This Row],[Gust?]],RecData[[#This Row],[Rain?]:[Min SPL Threshold?]]))),1,0)</f>
        <v>0</v>
      </c>
      <c r="DN1218" s="16">
        <f>RecData[[#This Row],[dBA Sum]]</f>
        <v>37.274917386029649</v>
      </c>
      <c r="DO1218" s="16">
        <f>RecData[[#This Row],[LAF90.0]]</f>
        <v>36</v>
      </c>
      <c r="DP1218" s="55">
        <f>IF(AND(RecData[[#This Row],[Useable TON Data?]],RecData[[#This Row],[Turbines ON/OFF]]="ON"),RecData[[#This Row],[dBA Sum]],"")</f>
        <v>37.274917386029649</v>
      </c>
      <c r="DQ1218" s="55" t="str">
        <f>IF(AND(RecData[[#This Row],[Useable Background Data?]],RecData[[#This Row],[Turbines ON/OFF]]="OFF"),RecData[[#This Row],[dBA Sum]],"")</f>
        <v/>
      </c>
      <c r="DR1218" s="3">
        <f>IF(OR(RecData[[#This Row],[Useable TON Data?]],RecData[[#This Row],[Useable Background Data?]]),ROUND(RecData[[#This Row],[WSpd_Avg '[m/s']]],0),"")</f>
        <v>1</v>
      </c>
      <c r="DS1218" s="85">
        <f>(0.00002)^2*(10^(RecData[[#This Row],[Overall (dBA)]]/10))</f>
        <v>2.1357564663341301E-6</v>
      </c>
    </row>
    <row r="1219" spans="1:123" ht="15" x14ac:dyDescent="0.25">
      <c r="A1219" s="3" t="s">
        <v>249</v>
      </c>
      <c r="B1219" s="12">
        <v>43276.183333333342</v>
      </c>
      <c r="C1219" s="3"/>
      <c r="D1219" s="3">
        <v>38.200000000000003</v>
      </c>
      <c r="E1219" s="3"/>
      <c r="F1219" s="3"/>
      <c r="G1219" s="3"/>
      <c r="H1219" s="3"/>
      <c r="I1219" s="3"/>
      <c r="J1219" s="3"/>
      <c r="K1219" s="3">
        <v>36.6</v>
      </c>
      <c r="L1219" s="3"/>
      <c r="M1219" s="3"/>
      <c r="N1219" s="3">
        <v>143.6</v>
      </c>
      <c r="O1219" s="3"/>
      <c r="P1219" s="3"/>
      <c r="Q1219" s="3">
        <v>0.5</v>
      </c>
      <c r="R1219" s="3">
        <v>0</v>
      </c>
      <c r="S1219" s="3">
        <v>0.8</v>
      </c>
      <c r="T1219" s="3">
        <v>8.1999999999999993</v>
      </c>
      <c r="U1219" s="3">
        <v>66.3</v>
      </c>
      <c r="V1219" s="3">
        <v>979</v>
      </c>
      <c r="W1219" s="3">
        <v>0</v>
      </c>
      <c r="X1219" s="3">
        <v>42.1</v>
      </c>
      <c r="Y1219" s="3">
        <v>41.2</v>
      </c>
      <c r="Z1219" s="3">
        <v>39.4</v>
      </c>
      <c r="AA1219" s="3">
        <v>36.6</v>
      </c>
      <c r="AB1219" s="3">
        <v>31.3</v>
      </c>
      <c r="AC1219" s="3">
        <v>30.7</v>
      </c>
      <c r="AD1219" s="3">
        <v>35.299999999999997</v>
      </c>
      <c r="AE1219" s="3">
        <v>36.9</v>
      </c>
      <c r="AF1219" s="3">
        <v>47.1</v>
      </c>
      <c r="AG1219" s="3">
        <v>38</v>
      </c>
      <c r="AH1219" s="3">
        <v>34.9</v>
      </c>
      <c r="AI1219" s="3">
        <v>35.700000000000003</v>
      </c>
      <c r="AJ1219" s="3">
        <v>33.700000000000003</v>
      </c>
      <c r="AK1219" s="3">
        <v>33</v>
      </c>
      <c r="AL1219" s="3">
        <v>31.1</v>
      </c>
      <c r="AM1219" s="3">
        <v>31.7</v>
      </c>
      <c r="AN1219" s="3">
        <v>29.2</v>
      </c>
      <c r="AO1219" s="3">
        <v>25.3</v>
      </c>
      <c r="AP1219" s="3">
        <v>23</v>
      </c>
      <c r="AQ1219" s="3">
        <v>20.2</v>
      </c>
      <c r="AR1219" s="3">
        <v>16.3</v>
      </c>
      <c r="AS1219" s="3">
        <v>11.2</v>
      </c>
      <c r="AT1219" s="3">
        <v>15.9</v>
      </c>
      <c r="AU1219" s="3">
        <v>7.6</v>
      </c>
      <c r="AV1219" s="3">
        <v>8.1</v>
      </c>
      <c r="AW1219" s="3">
        <v>8.6</v>
      </c>
      <c r="AX1219" s="3">
        <v>8.8000000000000007</v>
      </c>
      <c r="AY1219" s="3">
        <v>9</v>
      </c>
      <c r="AZ1219" s="3">
        <v>0</v>
      </c>
      <c r="BA1219" s="3">
        <v>0</v>
      </c>
      <c r="BB1219" s="3">
        <v>0</v>
      </c>
      <c r="BC1219" s="3">
        <v>38.230614602655095</v>
      </c>
      <c r="BD1219" s="3">
        <v>42.069385397344917</v>
      </c>
      <c r="BE1219" s="3">
        <v>41.169385397344911</v>
      </c>
      <c r="BF1219" s="3">
        <v>38.129385397344905</v>
      </c>
      <c r="BG1219" s="3">
        <v>35.656052064011575</v>
      </c>
      <c r="BH1219" s="3">
        <v>30.496052064011579</v>
      </c>
      <c r="BI1219" s="3">
        <v>30.309385397344911</v>
      </c>
      <c r="BJ1219" s="3">
        <v>35.702718730678242</v>
      </c>
      <c r="BK1219" s="3">
        <v>37.176052064011571</v>
      </c>
      <c r="BL1219" s="3">
        <v>46.949385397344912</v>
      </c>
      <c r="BM1219" s="3">
        <v>37.982718730678243</v>
      </c>
      <c r="BN1219" s="3">
        <v>35.166052064011581</v>
      </c>
      <c r="BO1219" s="3">
        <v>35.332718730678238</v>
      </c>
      <c r="BP1219" s="3">
        <v>33.049385397344906</v>
      </c>
      <c r="BQ1219" s="3">
        <v>32.766052064011575</v>
      </c>
      <c r="BR1219" s="3">
        <v>31.192718730678251</v>
      </c>
      <c r="BS1219" s="3">
        <v>31.596052064011573</v>
      </c>
      <c r="BT1219" s="3">
        <v>29.292718730678246</v>
      </c>
      <c r="BU1219" s="3">
        <v>25.359385397344909</v>
      </c>
      <c r="BV1219" s="3">
        <v>22.77605206401158</v>
      </c>
      <c r="BW1219" s="3">
        <v>20.509385397344914</v>
      </c>
      <c r="BX1219" s="3">
        <v>16.52938539734491</v>
      </c>
      <c r="BY1219" s="3">
        <v>11.249385397344909</v>
      </c>
      <c r="BZ1219" s="3">
        <v>16.079385397344907</v>
      </c>
      <c r="CA1219" s="3">
        <v>7.8793853973448975</v>
      </c>
      <c r="CB1219" s="3">
        <v>7.816052064011572</v>
      </c>
      <c r="CC1219" s="3">
        <v>8.5293853973449103</v>
      </c>
      <c r="CD1219" s="3">
        <v>8.036052064011578</v>
      </c>
      <c r="CE1219" s="3">
        <v>8.4293853973449089</v>
      </c>
      <c r="CF1219" s="3">
        <v>-0.95728126932176139</v>
      </c>
      <c r="CG1219" s="3">
        <v>-1.4906146026550928</v>
      </c>
      <c r="CH1219" s="3">
        <v>-2.5672812693217608</v>
      </c>
      <c r="CI1219" s="13">
        <f>[1]!dbasum(RecData[[#This Row],[20]:[2000]],RecData[[#Headers],[20]:[2000]])</f>
        <v>38.059001041670449</v>
      </c>
      <c r="CJ1219" s="14">
        <v>10985</v>
      </c>
      <c r="CK1219" s="15" t="s">
        <v>249</v>
      </c>
      <c r="CL1219" s="15">
        <f>RecData[[#This Row],[Start Time]]</f>
        <v>43276.183333333342</v>
      </c>
      <c r="CM1219" s="16">
        <f>RecData[[#This Row],[Wind Speed avg]]</f>
        <v>0.5</v>
      </c>
      <c r="CN1219" s="16">
        <f>RecData[[#This Row],[Wind Dir. avg]]</f>
        <v>143.6</v>
      </c>
      <c r="CO1219" s="16">
        <f>RecData[[#This Row],[Amb. Humidity]]</f>
        <v>66.3</v>
      </c>
      <c r="CP1219" s="16">
        <f>RecData[[#This Row],[Amb. Temperature]]</f>
        <v>8.1999999999999993</v>
      </c>
      <c r="CQ1219" s="17">
        <f>RecData[[#This Row],[Amb. Rain Gauge]]</f>
        <v>0</v>
      </c>
      <c r="CR1219" s="4" t="s">
        <v>1</v>
      </c>
      <c r="CS1219" s="4" t="s">
        <v>49</v>
      </c>
      <c r="CT1219" s="70">
        <v>1488.79504394531</v>
      </c>
      <c r="CU1219" s="70">
        <v>52.000442504882798</v>
      </c>
      <c r="CV1219" s="70">
        <v>9.2554559707641602</v>
      </c>
      <c r="CW1219" s="70">
        <v>15.1288251876831</v>
      </c>
      <c r="CX1219" s="4"/>
      <c r="CY1219" s="69"/>
      <c r="CZ1219" s="2" t="b">
        <f>IF($DP$1="YES",IF(RecData[[#This Row],[Power (kW)]]&gt;=$CR$3, TRUE,FALSE),TRUE)</f>
        <v>1</v>
      </c>
      <c r="DA1219" s="16">
        <f>MIN(MOD(180-ABS(ABS($DA$1-RecData[Yaw Angle (°)])-180),360),MOD(180-ABS(ABS($DB$1-RecData[Yaw Angle (°)])-180),360))</f>
        <v>44.470515727195249</v>
      </c>
      <c r="DB1219" s="2" t="str">
        <f>IF($DP$2="None","None",IF(RecData[[#This Row],[Relative Wind Direction]]&lt;=45,"DW",IF(RecData[[#This Row],[Relative Wind Direction]]&lt;=135,"CW","UW")))</f>
        <v>DW</v>
      </c>
      <c r="DC1219" s="61" t="e">
        <f>IF($CL1219-#REF!&gt;1/24,#REF!,IF(SUM($CQ1216:$CQ1219)&gt;$DS$1,$DS$5,DC1220-1))</f>
        <v>#REF!</v>
      </c>
      <c r="DD1219" s="61" t="e">
        <f>IF($CL1220-$CL1219&gt;1/24,#REF!,IF(SUM($CQ1216:$CQ1219)&gt;$DS$1,$DS$6,DD1218-1))</f>
        <v>#REF!</v>
      </c>
      <c r="DE1219" s="18" t="b">
        <v>0</v>
      </c>
      <c r="DF1219" s="2" t="b">
        <f>IF(OR(RecData[[#This Row],[WSpd_Avg '[m/s']]]-RecData[[#This Row],[Wind Speed min]]&gt;=$DF$3,RecData[[#This Row],[Wind Speed max]]-RecData[[#This Row],[WSpd_Avg '[m/s']]]&gt;=$DF$2),TRUE,FALSE)</f>
        <v>0</v>
      </c>
      <c r="DG1219" s="2" t="b">
        <f>RecData[[#This Row],[Temperature '[°C']]]&lt;=-20</f>
        <v>0</v>
      </c>
      <c r="DH1219" s="18" t="b">
        <f>NOT(OR(MOD(RecData[[#This Row],[TIMESTAMP]],1)&gt;0.91632,MOD(RecData[[#This Row],[TIMESTAMP]],1)&lt;0.208681))</f>
        <v>0</v>
      </c>
      <c r="DI1219" s="18" t="b">
        <f>RecData[[#This Row],[Overall (dBA)]]-RecData[[#This Row],[L90]]&gt;=$DS$4</f>
        <v>0</v>
      </c>
      <c r="DJ1219" s="18" t="b">
        <f>RecData[[#This Row],[Overall (dBA)]]&gt;$DS$2</f>
        <v>0</v>
      </c>
      <c r="DK1219" s="18" t="b">
        <f>RecData[[#This Row],[Overall (dBA)]]&lt;$DS$3</f>
        <v>0</v>
      </c>
      <c r="DL121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19" s="2">
        <f>IF(AND(RecData[[#This Row],[Turbines ON/OFF]] = "OFF", NOT(OR(RecData[[#This Row],[Junk?]]="YES",RecData[[#This Row],[Gust?]],RecData[[#This Row],[Rain?]:[Min SPL Threshold?]]))),1,0)</f>
        <v>0</v>
      </c>
      <c r="DN1219" s="16">
        <f>RecData[[#This Row],[dBA Sum]]</f>
        <v>38.059001041670449</v>
      </c>
      <c r="DO1219" s="16">
        <f>RecData[[#This Row],[LAF90.0]]</f>
        <v>36.6</v>
      </c>
      <c r="DP1219" s="55">
        <f>IF(AND(RecData[[#This Row],[Useable TON Data?]],RecData[[#This Row],[Turbines ON/OFF]]="ON"),RecData[[#This Row],[dBA Sum]],"")</f>
        <v>38.059001041670449</v>
      </c>
      <c r="DQ1219" s="55" t="str">
        <f>IF(AND(RecData[[#This Row],[Useable Background Data?]],RecData[[#This Row],[Turbines ON/OFF]]="OFF"),RecData[[#This Row],[dBA Sum]],"")</f>
        <v/>
      </c>
      <c r="DR1219" s="3">
        <f>IF(OR(RecData[[#This Row],[Useable TON Data?]],RecData[[#This Row],[Useable Background Data?]]),ROUND(RecData[[#This Row],[WSpd_Avg '[m/s']]],0),"")</f>
        <v>1</v>
      </c>
      <c r="DS1219" s="85">
        <f>(0.00002)^2*(10^(RecData[[#This Row],[Overall (dBA)]]/10))</f>
        <v>2.5583508058325903E-6</v>
      </c>
    </row>
    <row r="1220" spans="1:123" ht="15" x14ac:dyDescent="0.25">
      <c r="A1220" s="3" t="s">
        <v>249</v>
      </c>
      <c r="B1220" s="12">
        <v>43276.184027777781</v>
      </c>
      <c r="C1220" s="3"/>
      <c r="D1220" s="3">
        <v>39.200000000000003</v>
      </c>
      <c r="E1220" s="3"/>
      <c r="F1220" s="3"/>
      <c r="G1220" s="3"/>
      <c r="H1220" s="3"/>
      <c r="I1220" s="3"/>
      <c r="J1220" s="3"/>
      <c r="K1220" s="3">
        <v>37.700000000000003</v>
      </c>
      <c r="L1220" s="3"/>
      <c r="M1220" s="3"/>
      <c r="N1220" s="3">
        <v>135.80000000000001</v>
      </c>
      <c r="O1220" s="3"/>
      <c r="P1220" s="3"/>
      <c r="Q1220" s="3">
        <v>0.52</v>
      </c>
      <c r="R1220" s="3">
        <v>0</v>
      </c>
      <c r="S1220" s="3">
        <v>1.1000000000000001</v>
      </c>
      <c r="T1220" s="3">
        <v>8.1</v>
      </c>
      <c r="U1220" s="3">
        <v>67.7</v>
      </c>
      <c r="V1220" s="3">
        <v>979</v>
      </c>
      <c r="W1220" s="3">
        <v>0</v>
      </c>
      <c r="X1220" s="3">
        <v>42.5</v>
      </c>
      <c r="Y1220" s="3">
        <v>42.1</v>
      </c>
      <c r="Z1220" s="3">
        <v>39.5</v>
      </c>
      <c r="AA1220" s="3">
        <v>37.4</v>
      </c>
      <c r="AB1220" s="3">
        <v>31.8</v>
      </c>
      <c r="AC1220" s="3">
        <v>30.9</v>
      </c>
      <c r="AD1220" s="3">
        <v>35.4</v>
      </c>
      <c r="AE1220" s="3">
        <v>37.700000000000003</v>
      </c>
      <c r="AF1220" s="3">
        <v>47.5</v>
      </c>
      <c r="AG1220" s="3">
        <v>39.799999999999997</v>
      </c>
      <c r="AH1220" s="3">
        <v>35.799999999999997</v>
      </c>
      <c r="AI1220" s="3">
        <v>36.200000000000003</v>
      </c>
      <c r="AJ1220" s="3">
        <v>34.799999999999997</v>
      </c>
      <c r="AK1220" s="3">
        <v>33.6</v>
      </c>
      <c r="AL1220" s="3">
        <v>32.1</v>
      </c>
      <c r="AM1220" s="3">
        <v>33.1</v>
      </c>
      <c r="AN1220" s="3">
        <v>30.4</v>
      </c>
      <c r="AO1220" s="3">
        <v>26.5</v>
      </c>
      <c r="AP1220" s="3">
        <v>24.7</v>
      </c>
      <c r="AQ1220" s="3">
        <v>21.7</v>
      </c>
      <c r="AR1220" s="3">
        <v>17.8</v>
      </c>
      <c r="AS1220" s="3">
        <v>11.7</v>
      </c>
      <c r="AT1220" s="3">
        <v>18</v>
      </c>
      <c r="AU1220" s="3">
        <v>7.8</v>
      </c>
      <c r="AV1220" s="3">
        <v>8.1999999999999993</v>
      </c>
      <c r="AW1220" s="3">
        <v>8.6999999999999993</v>
      </c>
      <c r="AX1220" s="3">
        <v>8.8000000000000007</v>
      </c>
      <c r="AY1220" s="3">
        <v>9</v>
      </c>
      <c r="AZ1220" s="3">
        <v>0</v>
      </c>
      <c r="BA1220" s="3">
        <v>0</v>
      </c>
      <c r="BB1220" s="3">
        <v>0</v>
      </c>
      <c r="BC1220" s="3">
        <v>39.228679498059819</v>
      </c>
      <c r="BD1220" s="3">
        <v>42.471320501940184</v>
      </c>
      <c r="BE1220" s="3">
        <v>42.071320501940193</v>
      </c>
      <c r="BF1220" s="3">
        <v>38.231320501940189</v>
      </c>
      <c r="BG1220" s="3">
        <v>36.457987168606849</v>
      </c>
      <c r="BH1220" s="3">
        <v>30.997987168606855</v>
      </c>
      <c r="BI1220" s="3">
        <v>30.51132050194019</v>
      </c>
      <c r="BJ1220" s="3">
        <v>35.804653835273513</v>
      </c>
      <c r="BK1220" s="3">
        <v>37.977987168606859</v>
      </c>
      <c r="BL1220" s="3">
        <v>47.351320501940194</v>
      </c>
      <c r="BM1220" s="3">
        <v>39.784653835273517</v>
      </c>
      <c r="BN1220" s="3">
        <v>36.067987168606848</v>
      </c>
      <c r="BO1220" s="3">
        <v>35.834653835273514</v>
      </c>
      <c r="BP1220" s="3">
        <v>34.151320501940177</v>
      </c>
      <c r="BQ1220" s="3">
        <v>33.367987168606845</v>
      </c>
      <c r="BR1220" s="3">
        <v>32.194653835273527</v>
      </c>
      <c r="BS1220" s="3">
        <v>32.997987168606855</v>
      </c>
      <c r="BT1220" s="3">
        <v>30.49465383527351</v>
      </c>
      <c r="BU1220" s="3">
        <v>26.561320501940187</v>
      </c>
      <c r="BV1220" s="3">
        <v>24.477987168606852</v>
      </c>
      <c r="BW1220" s="3">
        <v>22.01132050194019</v>
      </c>
      <c r="BX1220" s="3">
        <v>18.031320501940186</v>
      </c>
      <c r="BY1220" s="3">
        <v>11.751320501940185</v>
      </c>
      <c r="BZ1220" s="3">
        <v>18.181320501940192</v>
      </c>
      <c r="CA1220" s="3">
        <v>8.0813205019401764</v>
      </c>
      <c r="CB1220" s="3">
        <v>7.9179871686068495</v>
      </c>
      <c r="CC1220" s="3">
        <v>8.6313205019401806</v>
      </c>
      <c r="CD1220" s="3">
        <v>8.037987168606854</v>
      </c>
      <c r="CE1220" s="3">
        <v>8.4313205019401849</v>
      </c>
      <c r="CF1220" s="3">
        <v>-0.95534616472648537</v>
      </c>
      <c r="CG1220" s="3">
        <v>-1.4886794980598168</v>
      </c>
      <c r="CH1220" s="3">
        <v>-2.5653461647264848</v>
      </c>
      <c r="CI1220" s="13">
        <f>[1]!dbasum(RecData[[#This Row],[20]:[2000]],RecData[[#Headers],[20]:[2000]])</f>
        <v>39.060102358426221</v>
      </c>
      <c r="CJ1220" s="14">
        <v>10986</v>
      </c>
      <c r="CK1220" s="15" t="s">
        <v>249</v>
      </c>
      <c r="CL1220" s="15">
        <f>RecData[[#This Row],[Start Time]]</f>
        <v>43276.184027777781</v>
      </c>
      <c r="CM1220" s="16">
        <f>RecData[[#This Row],[Wind Speed avg]]</f>
        <v>0.52</v>
      </c>
      <c r="CN1220" s="16">
        <f>RecData[[#This Row],[Wind Dir. avg]]</f>
        <v>135.80000000000001</v>
      </c>
      <c r="CO1220" s="16">
        <f>RecData[[#This Row],[Amb. Humidity]]</f>
        <v>67.7</v>
      </c>
      <c r="CP1220" s="16">
        <f>RecData[[#This Row],[Amb. Temperature]]</f>
        <v>8.1</v>
      </c>
      <c r="CQ1220" s="17">
        <f>RecData[[#This Row],[Amb. Rain Gauge]]</f>
        <v>0</v>
      </c>
      <c r="CR1220" s="4" t="s">
        <v>1</v>
      </c>
      <c r="CS1220" s="4" t="s">
        <v>49</v>
      </c>
      <c r="CT1220" s="70">
        <v>1488.79504394531</v>
      </c>
      <c r="CU1220" s="70">
        <v>52.000442504882798</v>
      </c>
      <c r="CV1220" s="70">
        <v>9.2554559707641602</v>
      </c>
      <c r="CW1220" s="70">
        <v>15.1288251876831</v>
      </c>
      <c r="CX1220" s="4"/>
      <c r="CY1220" s="69"/>
      <c r="CZ1220" s="2" t="b">
        <f>IF($DP$1="YES",IF(RecData[[#This Row],[Power (kW)]]&gt;=$CR$3, TRUE,FALSE),TRUE)</f>
        <v>1</v>
      </c>
      <c r="DA1220" s="16">
        <f>MIN(MOD(180-ABS(ABS($DA$1-RecData[Yaw Angle (°)])-180),360),MOD(180-ABS(ABS($DB$1-RecData[Yaw Angle (°)])-180),360))</f>
        <v>44.470515727195249</v>
      </c>
      <c r="DB1220" s="2" t="str">
        <f>IF($DP$2="None","None",IF(RecData[[#This Row],[Relative Wind Direction]]&lt;=45,"DW",IF(RecData[[#This Row],[Relative Wind Direction]]&lt;=135,"CW","UW")))</f>
        <v>DW</v>
      </c>
      <c r="DC1220" s="61">
        <f>IF($CL1220-$CL1216&gt;1/24,#REF!,IF(SUM($CQ1216:$CQ1220)&gt;$DS$1,$DS$5,DC1221-1))</f>
        <v>-5</v>
      </c>
      <c r="DD1220" s="61" t="e">
        <f>IF($CL1221-$CL1220&gt;1/24,#REF!,IF(SUM($CQ1216:$CQ1220)&gt;$DS$1,$DS$6,DD1219-1))</f>
        <v>#REF!</v>
      </c>
      <c r="DE1220" s="18" t="b">
        <v>0</v>
      </c>
      <c r="DF1220" s="2" t="b">
        <f>IF(OR(RecData[[#This Row],[WSpd_Avg '[m/s']]]-RecData[[#This Row],[Wind Speed min]]&gt;=$DF$3,RecData[[#This Row],[Wind Speed max]]-RecData[[#This Row],[WSpd_Avg '[m/s']]]&gt;=$DF$2),TRUE,FALSE)</f>
        <v>0</v>
      </c>
      <c r="DG1220" s="2" t="b">
        <f>RecData[[#This Row],[Temperature '[°C']]]&lt;=-20</f>
        <v>0</v>
      </c>
      <c r="DH1220" s="18" t="b">
        <f>NOT(OR(MOD(RecData[[#This Row],[TIMESTAMP]],1)&gt;0.91632,MOD(RecData[[#This Row],[TIMESTAMP]],1)&lt;0.208681))</f>
        <v>0</v>
      </c>
      <c r="DI1220" s="18" t="b">
        <f>RecData[[#This Row],[Overall (dBA)]]-RecData[[#This Row],[L90]]&gt;=$DS$4</f>
        <v>0</v>
      </c>
      <c r="DJ1220" s="18" t="b">
        <f>RecData[[#This Row],[Overall (dBA)]]&gt;$DS$2</f>
        <v>0</v>
      </c>
      <c r="DK1220" s="18" t="b">
        <f>RecData[[#This Row],[Overall (dBA)]]&lt;$DS$3</f>
        <v>0</v>
      </c>
      <c r="DL122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0" s="2">
        <f>IF(AND(RecData[[#This Row],[Turbines ON/OFF]] = "OFF", NOT(OR(RecData[[#This Row],[Junk?]]="YES",RecData[[#This Row],[Gust?]],RecData[[#This Row],[Rain?]:[Min SPL Threshold?]]))),1,0)</f>
        <v>0</v>
      </c>
      <c r="DN1220" s="16">
        <f>RecData[[#This Row],[dBA Sum]]</f>
        <v>39.060102358426221</v>
      </c>
      <c r="DO1220" s="16">
        <f>RecData[[#This Row],[LAF90.0]]</f>
        <v>37.700000000000003</v>
      </c>
      <c r="DP1220" s="55">
        <f>IF(AND(RecData[[#This Row],[Useable TON Data?]],RecData[[#This Row],[Turbines ON/OFF]]="ON"),RecData[[#This Row],[dBA Sum]],"")</f>
        <v>39.060102358426221</v>
      </c>
      <c r="DQ1220" s="55" t="str">
        <f>IF(AND(RecData[[#This Row],[Useable Background Data?]],RecData[[#This Row],[Turbines ON/OFF]]="OFF"),RecData[[#This Row],[dBA Sum]],"")</f>
        <v/>
      </c>
      <c r="DR1220" s="3">
        <f>IF(OR(RecData[[#This Row],[Useable TON Data?]],RecData[[#This Row],[Useable Background Data?]]),ROUND(RecData[[#This Row],[WSpd_Avg '[m/s']]],0),"")</f>
        <v>1</v>
      </c>
      <c r="DS1220" s="85">
        <f>(0.00002)^2*(10^(RecData[[#This Row],[Overall (dBA)]]/10))</f>
        <v>3.2215896932224156E-6</v>
      </c>
    </row>
    <row r="1221" spans="1:123" ht="15" x14ac:dyDescent="0.25">
      <c r="A1221" s="3" t="s">
        <v>249</v>
      </c>
      <c r="B1221" s="12">
        <v>43276.184722222228</v>
      </c>
      <c r="C1221" s="3"/>
      <c r="D1221" s="3">
        <v>38.700000000000003</v>
      </c>
      <c r="E1221" s="3"/>
      <c r="F1221" s="3"/>
      <c r="G1221" s="3"/>
      <c r="H1221" s="3"/>
      <c r="I1221" s="3"/>
      <c r="J1221" s="3"/>
      <c r="K1221" s="3">
        <v>36.299999999999997</v>
      </c>
      <c r="L1221" s="3"/>
      <c r="M1221" s="3"/>
      <c r="N1221" s="3">
        <v>153.1</v>
      </c>
      <c r="O1221" s="3"/>
      <c r="P1221" s="3"/>
      <c r="Q1221" s="3">
        <v>0.62</v>
      </c>
      <c r="R1221" s="3">
        <v>0.1</v>
      </c>
      <c r="S1221" s="3">
        <v>1.3</v>
      </c>
      <c r="T1221" s="3">
        <v>8</v>
      </c>
      <c r="U1221" s="3">
        <v>68.599999999999994</v>
      </c>
      <c r="V1221" s="3">
        <v>979</v>
      </c>
      <c r="W1221" s="3">
        <v>0</v>
      </c>
      <c r="X1221" s="3">
        <v>41.3</v>
      </c>
      <c r="Y1221" s="3">
        <v>42.1</v>
      </c>
      <c r="Z1221" s="3">
        <v>40.1</v>
      </c>
      <c r="AA1221" s="3">
        <v>36.5</v>
      </c>
      <c r="AB1221" s="3">
        <v>31.7</v>
      </c>
      <c r="AC1221" s="3">
        <v>31.3</v>
      </c>
      <c r="AD1221" s="3">
        <v>35.5</v>
      </c>
      <c r="AE1221" s="3">
        <v>37.200000000000003</v>
      </c>
      <c r="AF1221" s="3">
        <v>45.7</v>
      </c>
      <c r="AG1221" s="3">
        <v>38.9</v>
      </c>
      <c r="AH1221" s="3">
        <v>35.5</v>
      </c>
      <c r="AI1221" s="3">
        <v>35.299999999999997</v>
      </c>
      <c r="AJ1221" s="3">
        <v>34.5</v>
      </c>
      <c r="AK1221" s="3">
        <v>33.299999999999997</v>
      </c>
      <c r="AL1221" s="3">
        <v>31.8</v>
      </c>
      <c r="AM1221" s="3">
        <v>32.700000000000003</v>
      </c>
      <c r="AN1221" s="3">
        <v>30.3</v>
      </c>
      <c r="AO1221" s="3">
        <v>26.3</v>
      </c>
      <c r="AP1221" s="3">
        <v>24.2</v>
      </c>
      <c r="AQ1221" s="3">
        <v>21.2</v>
      </c>
      <c r="AR1221" s="3">
        <v>17.2</v>
      </c>
      <c r="AS1221" s="3">
        <v>13.1</v>
      </c>
      <c r="AT1221" s="3">
        <v>19.2</v>
      </c>
      <c r="AU1221" s="3">
        <v>7.9</v>
      </c>
      <c r="AV1221" s="3">
        <v>8.1</v>
      </c>
      <c r="AW1221" s="3">
        <v>8.5</v>
      </c>
      <c r="AX1221" s="3">
        <v>8.8000000000000007</v>
      </c>
      <c r="AY1221" s="3">
        <v>9</v>
      </c>
      <c r="AZ1221" s="3">
        <v>0</v>
      </c>
      <c r="BA1221" s="3">
        <v>0</v>
      </c>
      <c r="BB1221" s="3">
        <v>0</v>
      </c>
      <c r="BC1221" s="3">
        <v>38.668948450242119</v>
      </c>
      <c r="BD1221" s="3">
        <v>41.331051549757881</v>
      </c>
      <c r="BE1221" s="3">
        <v>42.131051549757892</v>
      </c>
      <c r="BF1221" s="3">
        <v>38.891051549757883</v>
      </c>
      <c r="BG1221" s="3">
        <v>35.617718216424542</v>
      </c>
      <c r="BH1221" s="3">
        <v>30.957718216424546</v>
      </c>
      <c r="BI1221" s="3">
        <v>30.971051549757881</v>
      </c>
      <c r="BJ1221" s="3">
        <v>35.964384883091206</v>
      </c>
      <c r="BK1221" s="3">
        <v>37.537718216424558</v>
      </c>
      <c r="BL1221" s="3">
        <v>45.611051549757882</v>
      </c>
      <c r="BM1221" s="3">
        <v>38.944384883091224</v>
      </c>
      <c r="BN1221" s="3">
        <v>35.82771821642455</v>
      </c>
      <c r="BO1221" s="3">
        <v>34.994384883091207</v>
      </c>
      <c r="BP1221" s="3">
        <v>33.911051549757893</v>
      </c>
      <c r="BQ1221" s="3">
        <v>33.127718216424533</v>
      </c>
      <c r="BR1221" s="3">
        <v>31.954384883091215</v>
      </c>
      <c r="BS1221" s="3">
        <v>32.657718216424563</v>
      </c>
      <c r="BT1221" s="3">
        <v>30.454384883091215</v>
      </c>
      <c r="BU1221" s="3">
        <v>26.421051549757884</v>
      </c>
      <c r="BV1221" s="3">
        <v>24.037718216424551</v>
      </c>
      <c r="BW1221" s="3">
        <v>21.57105154975789</v>
      </c>
      <c r="BX1221" s="3">
        <v>17.491051549757891</v>
      </c>
      <c r="BY1221" s="3">
        <v>13.211051549757883</v>
      </c>
      <c r="BZ1221" s="3">
        <v>19.441051549757887</v>
      </c>
      <c r="CA1221" s="3">
        <v>8.2410515497578771</v>
      </c>
      <c r="CB1221" s="3">
        <v>7.8777182164245474</v>
      </c>
      <c r="CC1221" s="3">
        <v>8.4910515497578842</v>
      </c>
      <c r="CD1221" s="3">
        <v>8.0977182164245534</v>
      </c>
      <c r="CE1221" s="3">
        <v>8.4910515497578842</v>
      </c>
      <c r="CF1221" s="3">
        <v>-0.89561511690878604</v>
      </c>
      <c r="CG1221" s="3">
        <v>-1.4289484502421175</v>
      </c>
      <c r="CH1221" s="3">
        <v>-2.5056151169087855</v>
      </c>
      <c r="CI1221" s="13">
        <f>[1]!dbasum(RecData[[#This Row],[20]:[2000]],RecData[[#Headers],[20]:[2000]])</f>
        <v>38.535209111809046</v>
      </c>
      <c r="CJ1221" s="14">
        <v>10987</v>
      </c>
      <c r="CK1221" s="15" t="s">
        <v>249</v>
      </c>
      <c r="CL1221" s="15">
        <f>RecData[[#This Row],[Start Time]]</f>
        <v>43276.184722222228</v>
      </c>
      <c r="CM1221" s="16">
        <f>RecData[[#This Row],[Wind Speed avg]]</f>
        <v>0.62</v>
      </c>
      <c r="CN1221" s="16">
        <f>RecData[[#This Row],[Wind Dir. avg]]</f>
        <v>153.1</v>
      </c>
      <c r="CO1221" s="16">
        <f>RecData[[#This Row],[Amb. Humidity]]</f>
        <v>68.599999999999994</v>
      </c>
      <c r="CP1221" s="16">
        <f>RecData[[#This Row],[Amb. Temperature]]</f>
        <v>8</v>
      </c>
      <c r="CQ1221" s="17">
        <f>RecData[[#This Row],[Amb. Rain Gauge]]</f>
        <v>0</v>
      </c>
      <c r="CR1221" s="4" t="s">
        <v>1</v>
      </c>
      <c r="CS1221" s="4" t="s">
        <v>49</v>
      </c>
      <c r="CT1221" s="70">
        <v>1488.79504394531</v>
      </c>
      <c r="CU1221" s="70">
        <v>52.000442504882798</v>
      </c>
      <c r="CV1221" s="70">
        <v>9.2554559707641602</v>
      </c>
      <c r="CW1221" s="70">
        <v>15.1288251876831</v>
      </c>
      <c r="CX1221" s="4"/>
      <c r="CY1221" s="69"/>
      <c r="CZ1221" s="2" t="b">
        <f>IF($DP$1="YES",IF(RecData[[#This Row],[Power (kW)]]&gt;=$CR$3, TRUE,FALSE),TRUE)</f>
        <v>1</v>
      </c>
      <c r="DA1221" s="16">
        <f>MIN(MOD(180-ABS(ABS($DA$1-RecData[Yaw Angle (°)])-180),360),MOD(180-ABS(ABS($DB$1-RecData[Yaw Angle (°)])-180),360))</f>
        <v>44.470515727195249</v>
      </c>
      <c r="DB1221" s="2" t="str">
        <f>IF($DP$2="None","None",IF(RecData[[#This Row],[Relative Wind Direction]]&lt;=45,"DW",IF(RecData[[#This Row],[Relative Wind Direction]]&lt;=135,"CW","UW")))</f>
        <v>DW</v>
      </c>
      <c r="DC1221" s="61">
        <f>IF($CL1221-$CL1217&gt;1/24,#REF!,IF(SUM($CQ1217:$CQ1221)&gt;$DS$1,$DS$5,DC1222-1))</f>
        <v>-4</v>
      </c>
      <c r="DD1221" s="61" t="e">
        <f>IF($CL1222-$CL1221&gt;1/24,#REF!,IF(SUM($CQ1217:$CQ1221)&gt;$DS$1,$DS$6,DD1220-1))</f>
        <v>#REF!</v>
      </c>
      <c r="DE1221" s="18" t="b">
        <v>0</v>
      </c>
      <c r="DF1221" s="2" t="b">
        <f>IF(OR(RecData[[#This Row],[WSpd_Avg '[m/s']]]-RecData[[#This Row],[Wind Speed min]]&gt;=$DF$3,RecData[[#This Row],[Wind Speed max]]-RecData[[#This Row],[WSpd_Avg '[m/s']]]&gt;=$DF$2),TRUE,FALSE)</f>
        <v>0</v>
      </c>
      <c r="DG1221" s="2" t="b">
        <f>RecData[[#This Row],[Temperature '[°C']]]&lt;=-20</f>
        <v>0</v>
      </c>
      <c r="DH1221" s="18" t="b">
        <f>NOT(OR(MOD(RecData[[#This Row],[TIMESTAMP]],1)&gt;0.91632,MOD(RecData[[#This Row],[TIMESTAMP]],1)&lt;0.208681))</f>
        <v>0</v>
      </c>
      <c r="DI1221" s="18" t="b">
        <f>RecData[[#This Row],[Overall (dBA)]]-RecData[[#This Row],[L90]]&gt;=$DS$4</f>
        <v>0</v>
      </c>
      <c r="DJ1221" s="18" t="b">
        <f>RecData[[#This Row],[Overall (dBA)]]&gt;$DS$2</f>
        <v>0</v>
      </c>
      <c r="DK1221" s="18" t="b">
        <f>RecData[[#This Row],[Overall (dBA)]]&lt;$DS$3</f>
        <v>0</v>
      </c>
      <c r="DL122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1" s="2">
        <f>IF(AND(RecData[[#This Row],[Turbines ON/OFF]] = "OFF", NOT(OR(RecData[[#This Row],[Junk?]]="YES",RecData[[#This Row],[Gust?]],RecData[[#This Row],[Rain?]:[Min SPL Threshold?]]))),1,0)</f>
        <v>0</v>
      </c>
      <c r="DN1221" s="16">
        <f>RecData[[#This Row],[dBA Sum]]</f>
        <v>38.535209111809046</v>
      </c>
      <c r="DO1221" s="16">
        <f>RecData[[#This Row],[LAF90.0]]</f>
        <v>36.299999999999997</v>
      </c>
      <c r="DP1221" s="55">
        <f>IF(AND(RecData[[#This Row],[Useable TON Data?]],RecData[[#This Row],[Turbines ON/OFF]]="ON"),RecData[[#This Row],[dBA Sum]],"")</f>
        <v>38.535209111809046</v>
      </c>
      <c r="DQ1221" s="55" t="str">
        <f>IF(AND(RecData[[#This Row],[Useable Background Data?]],RecData[[#This Row],[Turbines ON/OFF]]="OFF"),RecData[[#This Row],[dBA Sum]],"")</f>
        <v/>
      </c>
      <c r="DR1221" s="3">
        <f>IF(OR(RecData[[#This Row],[Useable TON Data?]],RecData[[#This Row],[Useable Background Data?]]),ROUND(RecData[[#This Row],[WSpd_Avg '[m/s']]],0),"")</f>
        <v>1</v>
      </c>
      <c r="DS1221" s="85">
        <f>(0.00002)^2*(10^(RecData[[#This Row],[Overall (dBA)]]/10))</f>
        <v>2.8548342768042286E-6</v>
      </c>
    </row>
    <row r="1222" spans="1:123" ht="15" x14ac:dyDescent="0.25">
      <c r="A1222" s="3" t="s">
        <v>249</v>
      </c>
      <c r="B1222" s="12">
        <v>43276.185416666674</v>
      </c>
      <c r="C1222" s="3"/>
      <c r="D1222" s="3">
        <v>38.6</v>
      </c>
      <c r="E1222" s="3"/>
      <c r="F1222" s="3"/>
      <c r="G1222" s="3"/>
      <c r="H1222" s="3"/>
      <c r="I1222" s="3"/>
      <c r="J1222" s="3"/>
      <c r="K1222" s="3">
        <v>36.799999999999997</v>
      </c>
      <c r="L1222" s="3"/>
      <c r="M1222" s="3"/>
      <c r="N1222" s="3">
        <v>170.6</v>
      </c>
      <c r="O1222" s="3"/>
      <c r="P1222" s="3"/>
      <c r="Q1222" s="3">
        <v>0.61</v>
      </c>
      <c r="R1222" s="3">
        <v>0.1</v>
      </c>
      <c r="S1222" s="3">
        <v>0.9</v>
      </c>
      <c r="T1222" s="3">
        <v>7.8</v>
      </c>
      <c r="U1222" s="3">
        <v>68.099999999999994</v>
      </c>
      <c r="V1222" s="3">
        <v>979</v>
      </c>
      <c r="W1222" s="3">
        <v>0</v>
      </c>
      <c r="X1222" s="3">
        <v>41.8</v>
      </c>
      <c r="Y1222" s="3">
        <v>41.7</v>
      </c>
      <c r="Z1222" s="3">
        <v>39.5</v>
      </c>
      <c r="AA1222" s="3">
        <v>36.5</v>
      </c>
      <c r="AB1222" s="3">
        <v>30.8</v>
      </c>
      <c r="AC1222" s="3">
        <v>31</v>
      </c>
      <c r="AD1222" s="3">
        <v>35.700000000000003</v>
      </c>
      <c r="AE1222" s="3">
        <v>37.5</v>
      </c>
      <c r="AF1222" s="3">
        <v>45.2</v>
      </c>
      <c r="AG1222" s="3">
        <v>37.799999999999997</v>
      </c>
      <c r="AH1222" s="3">
        <v>35.299999999999997</v>
      </c>
      <c r="AI1222" s="3">
        <v>35.4</v>
      </c>
      <c r="AJ1222" s="3">
        <v>34.4</v>
      </c>
      <c r="AK1222" s="3">
        <v>32.9</v>
      </c>
      <c r="AL1222" s="3">
        <v>31.7</v>
      </c>
      <c r="AM1222" s="3">
        <v>32.6</v>
      </c>
      <c r="AN1222" s="3">
        <v>30.3</v>
      </c>
      <c r="AO1222" s="3">
        <v>26.4</v>
      </c>
      <c r="AP1222" s="3">
        <v>24.4</v>
      </c>
      <c r="AQ1222" s="3">
        <v>21.4</v>
      </c>
      <c r="AR1222" s="3">
        <v>17.8</v>
      </c>
      <c r="AS1222" s="3">
        <v>15.3</v>
      </c>
      <c r="AT1222" s="3">
        <v>19.8</v>
      </c>
      <c r="AU1222" s="3">
        <v>8.1</v>
      </c>
      <c r="AV1222" s="3">
        <v>8.1999999999999993</v>
      </c>
      <c r="AW1222" s="3">
        <v>8.6999999999999993</v>
      </c>
      <c r="AX1222" s="3">
        <v>8.8000000000000007</v>
      </c>
      <c r="AY1222" s="3">
        <v>9</v>
      </c>
      <c r="AZ1222" s="3">
        <v>0</v>
      </c>
      <c r="BA1222" s="3">
        <v>0</v>
      </c>
      <c r="BB1222" s="3">
        <v>0</v>
      </c>
      <c r="BC1222" s="3">
        <v>38.537374684004661</v>
      </c>
      <c r="BD1222" s="3">
        <v>41.862625315995345</v>
      </c>
      <c r="BE1222" s="3">
        <v>41.762625315995351</v>
      </c>
      <c r="BF1222" s="3">
        <v>38.322625315995339</v>
      </c>
      <c r="BG1222" s="3">
        <v>35.649291982662007</v>
      </c>
      <c r="BH1222" s="3">
        <v>30.089291982662004</v>
      </c>
      <c r="BI1222" s="3">
        <v>30.702625315995348</v>
      </c>
      <c r="BJ1222" s="3">
        <v>36.195958649328674</v>
      </c>
      <c r="BK1222" s="3">
        <v>37.869291982662006</v>
      </c>
      <c r="BL1222" s="3">
        <v>45.142625315995346</v>
      </c>
      <c r="BM1222" s="3">
        <v>37.875958649328666</v>
      </c>
      <c r="BN1222" s="3">
        <v>35.659291982661998</v>
      </c>
      <c r="BO1222" s="3">
        <v>35.125958649328666</v>
      </c>
      <c r="BP1222" s="3">
        <v>33.842625315995335</v>
      </c>
      <c r="BQ1222" s="3">
        <v>32.759291982661992</v>
      </c>
      <c r="BR1222" s="3">
        <v>31.885958649328671</v>
      </c>
      <c r="BS1222" s="3">
        <v>32.589291982662004</v>
      </c>
      <c r="BT1222" s="3">
        <v>30.48595864932868</v>
      </c>
      <c r="BU1222" s="3">
        <v>26.552625315995343</v>
      </c>
      <c r="BV1222" s="3">
        <v>24.269291982662011</v>
      </c>
      <c r="BW1222" s="3">
        <v>21.802625315995343</v>
      </c>
      <c r="BX1222" s="3">
        <v>18.12262531599535</v>
      </c>
      <c r="BY1222" s="3">
        <v>15.442625315995343</v>
      </c>
      <c r="BZ1222" s="3">
        <v>20.072625315995346</v>
      </c>
      <c r="CA1222" s="3">
        <v>8.4726253159953302</v>
      </c>
      <c r="CB1222" s="3">
        <v>8.0092919826620061</v>
      </c>
      <c r="CC1222" s="3">
        <v>8.7226253159953373</v>
      </c>
      <c r="CD1222" s="3">
        <v>8.1292919826620107</v>
      </c>
      <c r="CE1222" s="3">
        <v>8.5226253159953416</v>
      </c>
      <c r="CF1222" s="3">
        <v>-0.8640413506713287</v>
      </c>
      <c r="CG1222" s="3">
        <v>-1.3973746840046601</v>
      </c>
      <c r="CH1222" s="3">
        <v>-2.4740413506713281</v>
      </c>
      <c r="CI1222" s="13">
        <f>[1]!dbasum(RecData[[#This Row],[20]:[2000]],RecData[[#Headers],[20]:[2000]])</f>
        <v>38.412060607154089</v>
      </c>
      <c r="CJ1222" s="14">
        <v>10988</v>
      </c>
      <c r="CK1222" s="15" t="s">
        <v>249</v>
      </c>
      <c r="CL1222" s="15">
        <f>RecData[[#This Row],[Start Time]]</f>
        <v>43276.185416666674</v>
      </c>
      <c r="CM1222" s="16">
        <f>RecData[[#This Row],[Wind Speed avg]]</f>
        <v>0.61</v>
      </c>
      <c r="CN1222" s="16">
        <f>RecData[[#This Row],[Wind Dir. avg]]</f>
        <v>170.6</v>
      </c>
      <c r="CO1222" s="16">
        <f>RecData[[#This Row],[Amb. Humidity]]</f>
        <v>68.099999999999994</v>
      </c>
      <c r="CP1222" s="16">
        <f>RecData[[#This Row],[Amb. Temperature]]</f>
        <v>7.8</v>
      </c>
      <c r="CQ1222" s="17">
        <f>RecData[[#This Row],[Amb. Rain Gauge]]</f>
        <v>0</v>
      </c>
      <c r="CR1222" s="4" t="s">
        <v>1</v>
      </c>
      <c r="CS1222" s="4" t="s">
        <v>49</v>
      </c>
      <c r="CT1222" s="70">
        <v>1488.79504394531</v>
      </c>
      <c r="CU1222" s="70">
        <v>52.000442504882798</v>
      </c>
      <c r="CV1222" s="70">
        <v>9.2554559707641602</v>
      </c>
      <c r="CW1222" s="70">
        <v>15.1288251876831</v>
      </c>
      <c r="CX1222" s="4"/>
      <c r="CY1222" s="69"/>
      <c r="CZ1222" s="2" t="b">
        <f>IF($DP$1="YES",IF(RecData[[#This Row],[Power (kW)]]&gt;=$CR$3, TRUE,FALSE),TRUE)</f>
        <v>1</v>
      </c>
      <c r="DA1222" s="16">
        <f>MIN(MOD(180-ABS(ABS($DA$1-RecData[Yaw Angle (°)])-180),360),MOD(180-ABS(ABS($DB$1-RecData[Yaw Angle (°)])-180),360))</f>
        <v>44.470515727195249</v>
      </c>
      <c r="DB1222" s="2" t="str">
        <f>IF($DP$2="None","None",IF(RecData[[#This Row],[Relative Wind Direction]]&lt;=45,"DW",IF(RecData[[#This Row],[Relative Wind Direction]]&lt;=135,"CW","UW")))</f>
        <v>DW</v>
      </c>
      <c r="DC1222" s="61">
        <f>IF($CL1222-$CL1218&gt;1/24,#REF!,IF(SUM($CQ1218:$CQ1222)&gt;$DS$1,$DS$5,DC1223-1))</f>
        <v>-3</v>
      </c>
      <c r="DD1222" s="61" t="e">
        <f>IF($CL1223-$CL1222&gt;1/24,#REF!,IF(SUM($CQ1218:$CQ1222)&gt;$DS$1,$DS$6,DD1221-1))</f>
        <v>#REF!</v>
      </c>
      <c r="DE1222" s="18" t="b">
        <v>0</v>
      </c>
      <c r="DF1222" s="2" t="b">
        <f>IF(OR(RecData[[#This Row],[WSpd_Avg '[m/s']]]-RecData[[#This Row],[Wind Speed min]]&gt;=$DF$3,RecData[[#This Row],[Wind Speed max]]-RecData[[#This Row],[WSpd_Avg '[m/s']]]&gt;=$DF$2),TRUE,FALSE)</f>
        <v>0</v>
      </c>
      <c r="DG1222" s="2" t="b">
        <f>RecData[[#This Row],[Temperature '[°C']]]&lt;=-20</f>
        <v>0</v>
      </c>
      <c r="DH1222" s="18" t="b">
        <f>NOT(OR(MOD(RecData[[#This Row],[TIMESTAMP]],1)&gt;0.91632,MOD(RecData[[#This Row],[TIMESTAMP]],1)&lt;0.208681))</f>
        <v>0</v>
      </c>
      <c r="DI1222" s="18" t="b">
        <f>RecData[[#This Row],[Overall (dBA)]]-RecData[[#This Row],[L90]]&gt;=$DS$4</f>
        <v>0</v>
      </c>
      <c r="DJ1222" s="18" t="b">
        <f>RecData[[#This Row],[Overall (dBA)]]&gt;$DS$2</f>
        <v>0</v>
      </c>
      <c r="DK1222" s="18" t="b">
        <f>RecData[[#This Row],[Overall (dBA)]]&lt;$DS$3</f>
        <v>0</v>
      </c>
      <c r="DL122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2" s="2">
        <f>IF(AND(RecData[[#This Row],[Turbines ON/OFF]] = "OFF", NOT(OR(RecData[[#This Row],[Junk?]]="YES",RecData[[#This Row],[Gust?]],RecData[[#This Row],[Rain?]:[Min SPL Threshold?]]))),1,0)</f>
        <v>0</v>
      </c>
      <c r="DN1222" s="16">
        <f>RecData[[#This Row],[dBA Sum]]</f>
        <v>38.412060607154089</v>
      </c>
      <c r="DO1222" s="16">
        <f>RecData[[#This Row],[LAF90.0]]</f>
        <v>36.799999999999997</v>
      </c>
      <c r="DP1222" s="55">
        <f>IF(AND(RecData[[#This Row],[Useable TON Data?]],RecData[[#This Row],[Turbines ON/OFF]]="ON"),RecData[[#This Row],[dBA Sum]],"")</f>
        <v>38.412060607154089</v>
      </c>
      <c r="DQ1222" s="55" t="str">
        <f>IF(AND(RecData[[#This Row],[Useable Background Data?]],RecData[[#This Row],[Turbines ON/OFF]]="OFF"),RecData[[#This Row],[dBA Sum]],"")</f>
        <v/>
      </c>
      <c r="DR1222" s="3">
        <f>IF(OR(RecData[[#This Row],[Useable TON Data?]],RecData[[#This Row],[Useable Background Data?]]),ROUND(RecData[[#This Row],[WSpd_Avg '[m/s']]],0),"")</f>
        <v>1</v>
      </c>
      <c r="DS1222" s="85">
        <f>(0.00002)^2*(10^(RecData[[#This Row],[Overall (dBA)]]/10))</f>
        <v>2.7750195817649952E-6</v>
      </c>
    </row>
    <row r="1223" spans="1:123" ht="15" x14ac:dyDescent="0.25">
      <c r="A1223" s="3" t="s">
        <v>249</v>
      </c>
      <c r="B1223" s="12">
        <v>43276.186111111114</v>
      </c>
      <c r="C1223" s="3"/>
      <c r="D1223" s="3">
        <v>38.200000000000003</v>
      </c>
      <c r="E1223" s="3"/>
      <c r="F1223" s="3"/>
      <c r="G1223" s="3"/>
      <c r="H1223" s="3"/>
      <c r="I1223" s="3"/>
      <c r="J1223" s="3"/>
      <c r="K1223" s="3">
        <v>36.700000000000003</v>
      </c>
      <c r="L1223" s="3"/>
      <c r="M1223" s="3"/>
      <c r="N1223" s="3">
        <v>155.5</v>
      </c>
      <c r="O1223" s="3"/>
      <c r="P1223" s="3"/>
      <c r="Q1223" s="3">
        <v>0.76</v>
      </c>
      <c r="R1223" s="3">
        <v>0.4</v>
      </c>
      <c r="S1223" s="3">
        <v>1.1000000000000001</v>
      </c>
      <c r="T1223" s="3">
        <v>7.7</v>
      </c>
      <c r="U1223" s="3">
        <v>71.599999999999994</v>
      </c>
      <c r="V1223" s="3">
        <v>979</v>
      </c>
      <c r="W1223" s="3">
        <v>0</v>
      </c>
      <c r="X1223" s="3">
        <v>43.1</v>
      </c>
      <c r="Y1223" s="3">
        <v>43.2</v>
      </c>
      <c r="Z1223" s="3">
        <v>41</v>
      </c>
      <c r="AA1223" s="3">
        <v>38.6</v>
      </c>
      <c r="AB1223" s="3">
        <v>33.299999999999997</v>
      </c>
      <c r="AC1223" s="3">
        <v>32.700000000000003</v>
      </c>
      <c r="AD1223" s="3">
        <v>35.1</v>
      </c>
      <c r="AE1223" s="3">
        <v>36.6</v>
      </c>
      <c r="AF1223" s="3">
        <v>45.5</v>
      </c>
      <c r="AG1223" s="3">
        <v>38</v>
      </c>
      <c r="AH1223" s="3">
        <v>34.5</v>
      </c>
      <c r="AI1223" s="3">
        <v>34.799999999999997</v>
      </c>
      <c r="AJ1223" s="3">
        <v>34.1</v>
      </c>
      <c r="AK1223" s="3">
        <v>32.700000000000003</v>
      </c>
      <c r="AL1223" s="3">
        <v>31.4</v>
      </c>
      <c r="AM1223" s="3">
        <v>32.1</v>
      </c>
      <c r="AN1223" s="3">
        <v>29.8</v>
      </c>
      <c r="AO1223" s="3">
        <v>25.7</v>
      </c>
      <c r="AP1223" s="3">
        <v>23.4</v>
      </c>
      <c r="AQ1223" s="3">
        <v>20.7</v>
      </c>
      <c r="AR1223" s="3">
        <v>17.100000000000001</v>
      </c>
      <c r="AS1223" s="3">
        <v>15.8</v>
      </c>
      <c r="AT1223" s="3">
        <v>19.399999999999999</v>
      </c>
      <c r="AU1223" s="3">
        <v>8.6</v>
      </c>
      <c r="AV1223" s="3">
        <v>8.6</v>
      </c>
      <c r="AW1223" s="3">
        <v>8.8000000000000007</v>
      </c>
      <c r="AX1223" s="3">
        <v>8.9</v>
      </c>
      <c r="AY1223" s="3">
        <v>9.1</v>
      </c>
      <c r="AZ1223" s="3">
        <v>0</v>
      </c>
      <c r="BA1223" s="3">
        <v>0</v>
      </c>
      <c r="BB1223" s="3">
        <v>0</v>
      </c>
      <c r="BC1223" s="3">
        <v>38.183099839660372</v>
      </c>
      <c r="BD1223" s="3">
        <v>43.11690016033964</v>
      </c>
      <c r="BE1223" s="3">
        <v>43.216900160339634</v>
      </c>
      <c r="BF1223" s="3">
        <v>39.776900160339636</v>
      </c>
      <c r="BG1223" s="3">
        <v>37.703566827006298</v>
      </c>
      <c r="BH1223" s="3">
        <v>32.543566827006288</v>
      </c>
      <c r="BI1223" s="3">
        <v>32.356900160339634</v>
      </c>
      <c r="BJ1223" s="3">
        <v>35.550233493672962</v>
      </c>
      <c r="BK1223" s="3">
        <v>36.923566827006297</v>
      </c>
      <c r="BL1223" s="3">
        <v>45.396900160339641</v>
      </c>
      <c r="BM1223" s="3">
        <v>38.030233493672966</v>
      </c>
      <c r="BN1223" s="3">
        <v>34.813566827006298</v>
      </c>
      <c r="BO1223" s="3">
        <v>34.480233493672955</v>
      </c>
      <c r="BP1223" s="3">
        <v>33.496900160339635</v>
      </c>
      <c r="BQ1223" s="3">
        <v>32.513566827006287</v>
      </c>
      <c r="BR1223" s="3">
        <v>31.540233493672957</v>
      </c>
      <c r="BS1223" s="3">
        <v>32.043566827006302</v>
      </c>
      <c r="BT1223" s="3">
        <v>29.940233493672963</v>
      </c>
      <c r="BU1223" s="3">
        <v>25.806900160339637</v>
      </c>
      <c r="BV1223" s="3">
        <v>23.223566827006294</v>
      </c>
      <c r="BW1223" s="3">
        <v>21.056900160339637</v>
      </c>
      <c r="BX1223" s="3">
        <v>17.376900160339638</v>
      </c>
      <c r="BY1223" s="3">
        <v>15.896900160339626</v>
      </c>
      <c r="BZ1223" s="3">
        <v>19.62690016033963</v>
      </c>
      <c r="CA1223" s="3">
        <v>8.9269001603396276</v>
      </c>
      <c r="CB1223" s="3">
        <v>8.3635668270062951</v>
      </c>
      <c r="CC1223" s="3">
        <v>8.7769001603396291</v>
      </c>
      <c r="CD1223" s="3">
        <v>8.1835668270063024</v>
      </c>
      <c r="CE1223" s="3">
        <v>8.5769001603396333</v>
      </c>
      <c r="CF1223" s="3">
        <v>-0.90976650632703837</v>
      </c>
      <c r="CG1223" s="3">
        <v>-1.4430998396603698</v>
      </c>
      <c r="CH1223" s="3">
        <v>-2.5197665063270378</v>
      </c>
      <c r="CI1223" s="13">
        <f>[1]!dbasum(RecData[[#This Row],[20]:[2000]],RecData[[#Headers],[20]:[2000]])</f>
        <v>37.998886110010886</v>
      </c>
      <c r="CJ1223" s="14">
        <v>10989</v>
      </c>
      <c r="CK1223" s="15" t="s">
        <v>249</v>
      </c>
      <c r="CL1223" s="15">
        <f>RecData[[#This Row],[Start Time]]</f>
        <v>43276.186111111114</v>
      </c>
      <c r="CM1223" s="16">
        <f>RecData[[#This Row],[Wind Speed avg]]</f>
        <v>0.76</v>
      </c>
      <c r="CN1223" s="16">
        <f>RecData[[#This Row],[Wind Dir. avg]]</f>
        <v>155.5</v>
      </c>
      <c r="CO1223" s="16">
        <f>RecData[[#This Row],[Amb. Humidity]]</f>
        <v>71.599999999999994</v>
      </c>
      <c r="CP1223" s="16">
        <f>RecData[[#This Row],[Amb. Temperature]]</f>
        <v>7.7</v>
      </c>
      <c r="CQ1223" s="17">
        <f>RecData[[#This Row],[Amb. Rain Gauge]]</f>
        <v>0</v>
      </c>
      <c r="CR1223" s="4" t="s">
        <v>1</v>
      </c>
      <c r="CS1223" s="4" t="s">
        <v>49</v>
      </c>
      <c r="CT1223" s="70">
        <v>1488.79504394531</v>
      </c>
      <c r="CU1223" s="70">
        <v>52.000442504882798</v>
      </c>
      <c r="CV1223" s="70">
        <v>9.2554559707641602</v>
      </c>
      <c r="CW1223" s="70">
        <v>15.1288251876831</v>
      </c>
      <c r="CX1223" s="4"/>
      <c r="CY1223" s="69"/>
      <c r="CZ1223" s="2" t="b">
        <f>IF($DP$1="YES",IF(RecData[[#This Row],[Power (kW)]]&gt;=$CR$3, TRUE,FALSE),TRUE)</f>
        <v>1</v>
      </c>
      <c r="DA1223" s="16">
        <f>MIN(MOD(180-ABS(ABS($DA$1-RecData[Yaw Angle (°)])-180),360),MOD(180-ABS(ABS($DB$1-RecData[Yaw Angle (°)])-180),360))</f>
        <v>44.470515727195249</v>
      </c>
      <c r="DB1223" s="2" t="str">
        <f>IF($DP$2="None","None",IF(RecData[[#This Row],[Relative Wind Direction]]&lt;=45,"DW",IF(RecData[[#This Row],[Relative Wind Direction]]&lt;=135,"CW","UW")))</f>
        <v>DW</v>
      </c>
      <c r="DC1223" s="61">
        <f>IF($CL1223-$CL1219&gt;1/24,#REF!,IF(SUM($CQ1219:$CQ1223)&gt;$DS$1,$DS$5,DC1224-1))</f>
        <v>-2</v>
      </c>
      <c r="DD1223" s="61" t="e">
        <f>IF($CL1224-$CL1223&gt;1/24,#REF!,IF(SUM($CQ1219:$CQ1223)&gt;$DS$1,$DS$6,DD1222-1))</f>
        <v>#REF!</v>
      </c>
      <c r="DE1223" s="18" t="b">
        <v>0</v>
      </c>
      <c r="DF1223" s="2" t="b">
        <f>IF(OR(RecData[[#This Row],[WSpd_Avg '[m/s']]]-RecData[[#This Row],[Wind Speed min]]&gt;=$DF$3,RecData[[#This Row],[Wind Speed max]]-RecData[[#This Row],[WSpd_Avg '[m/s']]]&gt;=$DF$2),TRUE,FALSE)</f>
        <v>0</v>
      </c>
      <c r="DG1223" s="2" t="b">
        <f>RecData[[#This Row],[Temperature '[°C']]]&lt;=-20</f>
        <v>0</v>
      </c>
      <c r="DH1223" s="18" t="b">
        <f>NOT(OR(MOD(RecData[[#This Row],[TIMESTAMP]],1)&gt;0.91632,MOD(RecData[[#This Row],[TIMESTAMP]],1)&lt;0.208681))</f>
        <v>0</v>
      </c>
      <c r="DI1223" s="18" t="b">
        <f>RecData[[#This Row],[Overall (dBA)]]-RecData[[#This Row],[L90]]&gt;=$DS$4</f>
        <v>0</v>
      </c>
      <c r="DJ1223" s="18" t="b">
        <f>RecData[[#This Row],[Overall (dBA)]]&gt;$DS$2</f>
        <v>0</v>
      </c>
      <c r="DK1223" s="18" t="b">
        <f>RecData[[#This Row],[Overall (dBA)]]&lt;$DS$3</f>
        <v>0</v>
      </c>
      <c r="DL122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3" s="2">
        <f>IF(AND(RecData[[#This Row],[Turbines ON/OFF]] = "OFF", NOT(OR(RecData[[#This Row],[Junk?]]="YES",RecData[[#This Row],[Gust?]],RecData[[#This Row],[Rain?]:[Min SPL Threshold?]]))),1,0)</f>
        <v>0</v>
      </c>
      <c r="DN1223" s="16">
        <f>RecData[[#This Row],[dBA Sum]]</f>
        <v>37.998886110010886</v>
      </c>
      <c r="DO1223" s="16">
        <f>RecData[[#This Row],[LAF90.0]]</f>
        <v>36.700000000000003</v>
      </c>
      <c r="DP1223" s="55">
        <f>IF(AND(RecData[[#This Row],[Useable TON Data?]],RecData[[#This Row],[Turbines ON/OFF]]="ON"),RecData[[#This Row],[dBA Sum]],"")</f>
        <v>37.998886110010886</v>
      </c>
      <c r="DQ1223" s="55" t="str">
        <f>IF(AND(RecData[[#This Row],[Useable Background Data?]],RecData[[#This Row],[Turbines ON/OFF]]="OFF"),RecData[[#This Row],[dBA Sum]],"")</f>
        <v/>
      </c>
      <c r="DR1223" s="3">
        <f>IF(OR(RecData[[#This Row],[Useable TON Data?]],RecData[[#This Row],[Useable Background Data?]]),ROUND(RecData[[#This Row],[WSpd_Avg '[m/s']]],0),"")</f>
        <v>1</v>
      </c>
      <c r="DS1223" s="85">
        <f>(0.00002)^2*(10^(RecData[[#This Row],[Overall (dBA)]]/10))</f>
        <v>2.5231821424836504E-6</v>
      </c>
    </row>
    <row r="1224" spans="1:123" ht="15" x14ac:dyDescent="0.25">
      <c r="A1224" s="3" t="s">
        <v>249</v>
      </c>
      <c r="B1224" s="12">
        <v>43276.186805555561</v>
      </c>
      <c r="C1224" s="3"/>
      <c r="D1224" s="3">
        <v>38.6</v>
      </c>
      <c r="E1224" s="3"/>
      <c r="F1224" s="3"/>
      <c r="G1224" s="3"/>
      <c r="H1224" s="3"/>
      <c r="I1224" s="3"/>
      <c r="J1224" s="3"/>
      <c r="K1224" s="3">
        <v>37.299999999999997</v>
      </c>
      <c r="L1224" s="3"/>
      <c r="M1224" s="3"/>
      <c r="N1224" s="3">
        <v>175</v>
      </c>
      <c r="O1224" s="3"/>
      <c r="P1224" s="3"/>
      <c r="Q1224" s="3">
        <v>0.67</v>
      </c>
      <c r="R1224" s="3">
        <v>0.4</v>
      </c>
      <c r="S1224" s="3">
        <v>0.9</v>
      </c>
      <c r="T1224" s="3">
        <v>7.6</v>
      </c>
      <c r="U1224" s="3">
        <v>69.400000000000006</v>
      </c>
      <c r="V1224" s="3">
        <v>979</v>
      </c>
      <c r="W1224" s="3">
        <v>0</v>
      </c>
      <c r="X1224" s="3">
        <v>41</v>
      </c>
      <c r="Y1224" s="3">
        <v>41.9</v>
      </c>
      <c r="Z1224" s="3">
        <v>40.6</v>
      </c>
      <c r="AA1224" s="3">
        <v>37</v>
      </c>
      <c r="AB1224" s="3">
        <v>30.6</v>
      </c>
      <c r="AC1224" s="3">
        <v>30.8</v>
      </c>
      <c r="AD1224" s="3">
        <v>34.4</v>
      </c>
      <c r="AE1224" s="3">
        <v>36.5</v>
      </c>
      <c r="AF1224" s="3">
        <v>45.6</v>
      </c>
      <c r="AG1224" s="3">
        <v>37.299999999999997</v>
      </c>
      <c r="AH1224" s="3">
        <v>34.700000000000003</v>
      </c>
      <c r="AI1224" s="3">
        <v>34.9</v>
      </c>
      <c r="AJ1224" s="3">
        <v>33.9</v>
      </c>
      <c r="AK1224" s="3">
        <v>32.9</v>
      </c>
      <c r="AL1224" s="3">
        <v>31.7</v>
      </c>
      <c r="AM1224" s="3">
        <v>32.6</v>
      </c>
      <c r="AN1224" s="3">
        <v>30.2</v>
      </c>
      <c r="AO1224" s="3">
        <v>26.2</v>
      </c>
      <c r="AP1224" s="3">
        <v>24.3</v>
      </c>
      <c r="AQ1224" s="3">
        <v>21.4</v>
      </c>
      <c r="AR1224" s="3">
        <v>18.600000000000001</v>
      </c>
      <c r="AS1224" s="3">
        <v>16.100000000000001</v>
      </c>
      <c r="AT1224" s="3">
        <v>23.3</v>
      </c>
      <c r="AU1224" s="3">
        <v>21</v>
      </c>
      <c r="AV1224" s="3">
        <v>12.4</v>
      </c>
      <c r="AW1224" s="3">
        <v>8.6999999999999993</v>
      </c>
      <c r="AX1224" s="3">
        <v>8.8000000000000007</v>
      </c>
      <c r="AY1224" s="3">
        <v>9</v>
      </c>
      <c r="AZ1224" s="3">
        <v>0</v>
      </c>
      <c r="BA1224" s="3">
        <v>0</v>
      </c>
      <c r="BB1224" s="3">
        <v>0</v>
      </c>
      <c r="BC1224" s="3">
        <v>38.639438481210455</v>
      </c>
      <c r="BD1224" s="3">
        <v>40.96056151878954</v>
      </c>
      <c r="BE1224" s="3">
        <v>41.860561518789545</v>
      </c>
      <c r="BF1224" s="3">
        <v>39.320561518789553</v>
      </c>
      <c r="BG1224" s="3">
        <v>36.047228185456213</v>
      </c>
      <c r="BH1224" s="3">
        <v>29.787228185456222</v>
      </c>
      <c r="BI1224" s="3">
        <v>30.400561518789551</v>
      </c>
      <c r="BJ1224" s="3">
        <v>34.793894852122882</v>
      </c>
      <c r="BK1224" s="3">
        <v>36.767228185456212</v>
      </c>
      <c r="BL1224" s="3">
        <v>45.440561518789558</v>
      </c>
      <c r="BM1224" s="3">
        <v>37.273894852122872</v>
      </c>
      <c r="BN1224" s="3">
        <v>34.957228185456209</v>
      </c>
      <c r="BO1224" s="3">
        <v>34.523894852122872</v>
      </c>
      <c r="BP1224" s="3">
        <v>33.240561518789541</v>
      </c>
      <c r="BQ1224" s="3">
        <v>32.657228185456198</v>
      </c>
      <c r="BR1224" s="3">
        <v>31.783894852122877</v>
      </c>
      <c r="BS1224" s="3">
        <v>32.48722818545621</v>
      </c>
      <c r="BT1224" s="3">
        <v>30.283894852122877</v>
      </c>
      <c r="BU1224" s="3">
        <v>26.250561518789546</v>
      </c>
      <c r="BV1224" s="3">
        <v>24.067228185456216</v>
      </c>
      <c r="BW1224" s="3">
        <v>21.700561518789549</v>
      </c>
      <c r="BX1224" s="3">
        <v>18.820561518789553</v>
      </c>
      <c r="BY1224" s="3">
        <v>16.140561518789546</v>
      </c>
      <c r="BZ1224" s="3">
        <v>23.470561518789552</v>
      </c>
      <c r="CA1224" s="3">
        <v>21.270561518789542</v>
      </c>
      <c r="CB1224" s="3">
        <v>12.107228185456215</v>
      </c>
      <c r="CC1224" s="3">
        <v>8.6205615187895432</v>
      </c>
      <c r="CD1224" s="3">
        <v>8.0272281854562166</v>
      </c>
      <c r="CE1224" s="3">
        <v>8.4205615187895475</v>
      </c>
      <c r="CF1224" s="3">
        <v>-0.96610514787712276</v>
      </c>
      <c r="CG1224" s="3">
        <v>-1.4994384812104542</v>
      </c>
      <c r="CH1224" s="3">
        <v>-2.5761051478771222</v>
      </c>
      <c r="CI1224" s="13">
        <f>[1]!dbasum(RecData[[#This Row],[20]:[2000]],RecData[[#Headers],[20]:[2000]])</f>
        <v>38.213586425754713</v>
      </c>
      <c r="CJ1224" s="14">
        <v>10990</v>
      </c>
      <c r="CK1224" s="15" t="s">
        <v>249</v>
      </c>
      <c r="CL1224" s="15">
        <f>RecData[[#This Row],[Start Time]]</f>
        <v>43276.186805555561</v>
      </c>
      <c r="CM1224" s="16">
        <f>RecData[[#This Row],[Wind Speed avg]]</f>
        <v>0.67</v>
      </c>
      <c r="CN1224" s="16">
        <f>RecData[[#This Row],[Wind Dir. avg]]</f>
        <v>175</v>
      </c>
      <c r="CO1224" s="16">
        <f>RecData[[#This Row],[Amb. Humidity]]</f>
        <v>69.400000000000006</v>
      </c>
      <c r="CP1224" s="16">
        <f>RecData[[#This Row],[Amb. Temperature]]</f>
        <v>7.6</v>
      </c>
      <c r="CQ1224" s="17">
        <f>RecData[[#This Row],[Amb. Rain Gauge]]</f>
        <v>0</v>
      </c>
      <c r="CR1224" s="4" t="s">
        <v>1</v>
      </c>
      <c r="CS1224" s="4" t="s">
        <v>49</v>
      </c>
      <c r="CT1224" s="70">
        <v>1488.79504394531</v>
      </c>
      <c r="CU1224" s="70">
        <v>52.000442504882798</v>
      </c>
      <c r="CV1224" s="70">
        <v>9.2554559707641602</v>
      </c>
      <c r="CW1224" s="70">
        <v>15.1288251876831</v>
      </c>
      <c r="CX1224" s="4"/>
      <c r="CY1224" s="69"/>
      <c r="CZ1224" s="2" t="b">
        <f>IF($DP$1="YES",IF(RecData[[#This Row],[Power (kW)]]&gt;=$CR$3, TRUE,FALSE),TRUE)</f>
        <v>1</v>
      </c>
      <c r="DA1224" s="16">
        <f>MIN(MOD(180-ABS(ABS($DA$1-RecData[Yaw Angle (°)])-180),360),MOD(180-ABS(ABS($DB$1-RecData[Yaw Angle (°)])-180),360))</f>
        <v>44.470515727195249</v>
      </c>
      <c r="DB1224" s="2" t="str">
        <f>IF($DP$2="None","None",IF(RecData[[#This Row],[Relative Wind Direction]]&lt;=45,"DW",IF(RecData[[#This Row],[Relative Wind Direction]]&lt;=135,"CW","UW")))</f>
        <v>DW</v>
      </c>
      <c r="DC1224" s="61">
        <v>-1</v>
      </c>
      <c r="DD1224" s="61">
        <v>-1</v>
      </c>
      <c r="DE1224" s="18" t="b">
        <v>0</v>
      </c>
      <c r="DF1224" s="2" t="b">
        <f>IF(OR(RecData[[#This Row],[WSpd_Avg '[m/s']]]-RecData[[#This Row],[Wind Speed min]]&gt;=$DF$3,RecData[[#This Row],[Wind Speed max]]-RecData[[#This Row],[WSpd_Avg '[m/s']]]&gt;=$DF$2),TRUE,FALSE)</f>
        <v>0</v>
      </c>
      <c r="DG1224" s="2" t="b">
        <f>RecData[[#This Row],[Temperature '[°C']]]&lt;=-20</f>
        <v>0</v>
      </c>
      <c r="DH1224" s="18" t="b">
        <f>NOT(OR(MOD(RecData[[#This Row],[TIMESTAMP]],1)&gt;0.91632,MOD(RecData[[#This Row],[TIMESTAMP]],1)&lt;0.208681))</f>
        <v>0</v>
      </c>
      <c r="DI1224" s="18" t="b">
        <f>RecData[[#This Row],[Overall (dBA)]]-RecData[[#This Row],[L90]]&gt;=$DS$4</f>
        <v>0</v>
      </c>
      <c r="DJ1224" s="18" t="b">
        <f>RecData[[#This Row],[Overall (dBA)]]&gt;$DS$2</f>
        <v>0</v>
      </c>
      <c r="DK1224" s="18" t="b">
        <f>RecData[[#This Row],[Overall (dBA)]]&lt;$DS$3</f>
        <v>0</v>
      </c>
      <c r="DL122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4" s="2">
        <f>IF(AND(RecData[[#This Row],[Turbines ON/OFF]] = "OFF", NOT(OR(RecData[[#This Row],[Junk?]]="YES",RecData[[#This Row],[Gust?]],RecData[[#This Row],[Rain?]:[Min SPL Threshold?]]))),1,0)</f>
        <v>0</v>
      </c>
      <c r="DN1224" s="16">
        <f>RecData[[#This Row],[dBA Sum]]</f>
        <v>38.213586425754713</v>
      </c>
      <c r="DO1224" s="16">
        <f>RecData[[#This Row],[LAF90.0]]</f>
        <v>37.299999999999997</v>
      </c>
      <c r="DP1224" s="55">
        <f>IF(AND(RecData[[#This Row],[Useable TON Data?]],RecData[[#This Row],[Turbines ON/OFF]]="ON"),RecData[[#This Row],[dBA Sum]],"")</f>
        <v>38.213586425754713</v>
      </c>
      <c r="DQ1224" s="55" t="str">
        <f>IF(AND(RecData[[#This Row],[Useable Background Data?]],RecData[[#This Row],[Turbines ON/OFF]]="OFF"),RecData[[#This Row],[dBA Sum]],"")</f>
        <v/>
      </c>
      <c r="DR1224" s="3">
        <f>IF(OR(RecData[[#This Row],[Useable TON Data?]],RecData[[#This Row],[Useable Background Data?]]),ROUND(RecData[[#This Row],[WSpd_Avg '[m/s']]],0),"")</f>
        <v>1</v>
      </c>
      <c r="DS1224" s="85">
        <f>(0.00002)^2*(10^(RecData[[#This Row],[Overall (dBA)]]/10))</f>
        <v>2.6510543651845649E-6</v>
      </c>
    </row>
    <row r="1225" spans="1:123" ht="15" x14ac:dyDescent="0.25">
      <c r="A1225" s="3" t="s">
        <v>249</v>
      </c>
      <c r="B1225" s="12">
        <v>43276.187500000007</v>
      </c>
      <c r="C1225" s="3"/>
      <c r="D1225" s="3">
        <v>38.5</v>
      </c>
      <c r="E1225" s="3"/>
      <c r="F1225" s="3"/>
      <c r="G1225" s="3"/>
      <c r="H1225" s="3"/>
      <c r="I1225" s="3"/>
      <c r="J1225" s="3"/>
      <c r="K1225" s="3">
        <v>36.799999999999997</v>
      </c>
      <c r="L1225" s="3"/>
      <c r="M1225" s="3"/>
      <c r="N1225" s="3">
        <v>176.4</v>
      </c>
      <c r="O1225" s="3"/>
      <c r="P1225" s="3"/>
      <c r="Q1225" s="3">
        <v>0.81</v>
      </c>
      <c r="R1225" s="3">
        <v>0.6</v>
      </c>
      <c r="S1225" s="3">
        <v>1.1000000000000001</v>
      </c>
      <c r="T1225" s="3">
        <v>7.5</v>
      </c>
      <c r="U1225" s="3">
        <v>71.2</v>
      </c>
      <c r="V1225" s="3">
        <v>979</v>
      </c>
      <c r="W1225" s="3">
        <v>0</v>
      </c>
      <c r="X1225" s="3">
        <v>41.9</v>
      </c>
      <c r="Y1225" s="3">
        <v>42.1</v>
      </c>
      <c r="Z1225" s="3">
        <v>40.200000000000003</v>
      </c>
      <c r="AA1225" s="3">
        <v>36.799999999999997</v>
      </c>
      <c r="AB1225" s="3">
        <v>31.4</v>
      </c>
      <c r="AC1225" s="3">
        <v>30.7</v>
      </c>
      <c r="AD1225" s="3">
        <v>33.9</v>
      </c>
      <c r="AE1225" s="3">
        <v>36.200000000000003</v>
      </c>
      <c r="AF1225" s="3">
        <v>45.6</v>
      </c>
      <c r="AG1225" s="3">
        <v>39.4</v>
      </c>
      <c r="AH1225" s="3">
        <v>34.299999999999997</v>
      </c>
      <c r="AI1225" s="3">
        <v>35.799999999999997</v>
      </c>
      <c r="AJ1225" s="3">
        <v>34.200000000000003</v>
      </c>
      <c r="AK1225" s="3">
        <v>33.200000000000003</v>
      </c>
      <c r="AL1225" s="3">
        <v>31.6</v>
      </c>
      <c r="AM1225" s="3">
        <v>32.4</v>
      </c>
      <c r="AN1225" s="3">
        <v>30</v>
      </c>
      <c r="AO1225" s="3">
        <v>26.2</v>
      </c>
      <c r="AP1225" s="3">
        <v>24.1</v>
      </c>
      <c r="AQ1225" s="3">
        <v>21.4</v>
      </c>
      <c r="AR1225" s="3">
        <v>17.600000000000001</v>
      </c>
      <c r="AS1225" s="3">
        <v>13.9</v>
      </c>
      <c r="AT1225" s="3">
        <v>14.5</v>
      </c>
      <c r="AU1225" s="3">
        <v>8</v>
      </c>
      <c r="AV1225" s="3">
        <v>8.1999999999999993</v>
      </c>
      <c r="AW1225" s="3">
        <v>8.6999999999999993</v>
      </c>
      <c r="AX1225" s="3">
        <v>8.8000000000000007</v>
      </c>
      <c r="AY1225" s="3">
        <v>9</v>
      </c>
      <c r="AZ1225" s="3">
        <v>0</v>
      </c>
      <c r="BA1225" s="3">
        <v>0</v>
      </c>
      <c r="BB1225" s="3">
        <v>0</v>
      </c>
      <c r="BC1225" s="3">
        <v>38.484189192673746</v>
      </c>
      <c r="BD1225" s="3">
        <v>41.91581080732626</v>
      </c>
      <c r="BE1225" s="3">
        <v>42.115810807326248</v>
      </c>
      <c r="BF1225" s="3">
        <v>38.975810807326262</v>
      </c>
      <c r="BG1225" s="3">
        <v>35.90247747399291</v>
      </c>
      <c r="BH1225" s="3">
        <v>30.642477473992919</v>
      </c>
      <c r="BI1225" s="3">
        <v>30.355810807326257</v>
      </c>
      <c r="BJ1225" s="3">
        <v>34.349144140659583</v>
      </c>
      <c r="BK1225" s="3">
        <v>36.522477473992915</v>
      </c>
      <c r="BL1225" s="3">
        <v>45.495810807326258</v>
      </c>
      <c r="BM1225" s="3">
        <v>39.429144140659581</v>
      </c>
      <c r="BN1225" s="3">
        <v>34.612477473992918</v>
      </c>
      <c r="BO1225" s="3">
        <v>35.479144140659592</v>
      </c>
      <c r="BP1225" s="3">
        <v>33.595810807326266</v>
      </c>
      <c r="BQ1225" s="3">
        <v>33.012477473992924</v>
      </c>
      <c r="BR1225" s="3">
        <v>31.739144140659583</v>
      </c>
      <c r="BS1225" s="3">
        <v>32.342477473992922</v>
      </c>
      <c r="BT1225" s="3">
        <v>30.139144140659589</v>
      </c>
      <c r="BU1225" s="3">
        <v>26.30581080732626</v>
      </c>
      <c r="BV1225" s="3">
        <v>23.92247747399292</v>
      </c>
      <c r="BW1225" s="3">
        <v>21.755810807326256</v>
      </c>
      <c r="BX1225" s="3">
        <v>17.87581080732626</v>
      </c>
      <c r="BY1225" s="3">
        <v>13.995810807326251</v>
      </c>
      <c r="BZ1225" s="3">
        <v>14.725810807326255</v>
      </c>
      <c r="CA1225" s="3">
        <v>8.3258108073262491</v>
      </c>
      <c r="CB1225" s="3">
        <v>7.9624774739929194</v>
      </c>
      <c r="CC1225" s="3">
        <v>8.6758108073262505</v>
      </c>
      <c r="CD1225" s="3">
        <v>8.0824774739929239</v>
      </c>
      <c r="CE1225" s="3">
        <v>8.4758108073262548</v>
      </c>
      <c r="CF1225" s="3">
        <v>-0.91085585934041546</v>
      </c>
      <c r="CG1225" s="3">
        <v>-1.4441891926737469</v>
      </c>
      <c r="CH1225" s="3">
        <v>-2.5208558593404149</v>
      </c>
      <c r="CI1225" s="13">
        <f>[1]!dbasum(RecData[[#This Row],[20]:[2000]],RecData[[#Headers],[20]:[2000]])</f>
        <v>38.367552468951338</v>
      </c>
      <c r="CJ1225" s="14">
        <v>10991</v>
      </c>
      <c r="CK1225" s="15" t="s">
        <v>249</v>
      </c>
      <c r="CL1225" s="15">
        <f>RecData[[#This Row],[Start Time]]</f>
        <v>43276.187500000007</v>
      </c>
      <c r="CM1225" s="16">
        <f>RecData[[#This Row],[Wind Speed avg]]</f>
        <v>0.81</v>
      </c>
      <c r="CN1225" s="16">
        <f>RecData[[#This Row],[Wind Dir. avg]]</f>
        <v>176.4</v>
      </c>
      <c r="CO1225" s="16">
        <f>RecData[[#This Row],[Amb. Humidity]]</f>
        <v>71.2</v>
      </c>
      <c r="CP1225" s="16">
        <f>RecData[[#This Row],[Amb. Temperature]]</f>
        <v>7.5</v>
      </c>
      <c r="CQ1225" s="17">
        <f>RecData[[#This Row],[Amb. Rain Gauge]]</f>
        <v>0</v>
      </c>
      <c r="CR1225" s="4" t="s">
        <v>1</v>
      </c>
      <c r="CS1225" s="4" t="s">
        <v>49</v>
      </c>
      <c r="CT1225" s="70">
        <v>1488.79504394531</v>
      </c>
      <c r="CU1225" s="70">
        <v>52.000442504882798</v>
      </c>
      <c r="CV1225" s="70">
        <v>9.2554559707641602</v>
      </c>
      <c r="CW1225" s="70">
        <v>15.1288251876831</v>
      </c>
      <c r="CX1225" s="4"/>
      <c r="CY1225" s="69"/>
      <c r="CZ1225" s="2" t="b">
        <f>IF($DP$1="YES",IF(RecData[[#This Row],[Power (kW)]]&gt;=$CR$3, TRUE,FALSE),TRUE)</f>
        <v>1</v>
      </c>
      <c r="DA1225" s="16">
        <f>MIN(MOD(180-ABS(ABS($DA$1-RecData[Yaw Angle (°)])-180),360),MOD(180-ABS(ABS($DB$1-RecData[Yaw Angle (°)])-180),360))</f>
        <v>44.470515727195249</v>
      </c>
      <c r="DB1225" s="2" t="str">
        <f>IF($DP$2="None","None",IF(RecData[[#This Row],[Relative Wind Direction]]&lt;=45,"DW",IF(RecData[[#This Row],[Relative Wind Direction]]&lt;=135,"CW","UW")))</f>
        <v>DW</v>
      </c>
      <c r="DC1225" s="61">
        <f>IF($CL1225-$CL1224&gt;1/24,#REF!,IF(SUM($CQ1224:$CQ1225)&gt;$DS$1,$DS$5,DC1226-1))</f>
        <v>-9</v>
      </c>
      <c r="DD1225" s="61">
        <f>IF($CL1226-$CL1225&gt;1/24,#REF!,IF(SUM($CQ1224:$CQ1225)&gt;$DS$1,$DS$6,DD1224-1))</f>
        <v>-2</v>
      </c>
      <c r="DE1225" s="18" t="b">
        <v>0</v>
      </c>
      <c r="DF1225" s="2" t="b">
        <f>IF(OR(RecData[[#This Row],[WSpd_Avg '[m/s']]]-RecData[[#This Row],[Wind Speed min]]&gt;=$DF$3,RecData[[#This Row],[Wind Speed max]]-RecData[[#This Row],[WSpd_Avg '[m/s']]]&gt;=$DF$2),TRUE,FALSE)</f>
        <v>0</v>
      </c>
      <c r="DG1225" s="2" t="b">
        <f>RecData[[#This Row],[Temperature '[°C']]]&lt;=-20</f>
        <v>0</v>
      </c>
      <c r="DH1225" s="18" t="b">
        <f>NOT(OR(MOD(RecData[[#This Row],[TIMESTAMP]],1)&gt;0.91632,MOD(RecData[[#This Row],[TIMESTAMP]],1)&lt;0.208681))</f>
        <v>0</v>
      </c>
      <c r="DI1225" s="18" t="b">
        <f>RecData[[#This Row],[Overall (dBA)]]-RecData[[#This Row],[L90]]&gt;=$DS$4</f>
        <v>0</v>
      </c>
      <c r="DJ1225" s="18" t="b">
        <f>RecData[[#This Row],[Overall (dBA)]]&gt;$DS$2</f>
        <v>0</v>
      </c>
      <c r="DK1225" s="18" t="b">
        <f>RecData[[#This Row],[Overall (dBA)]]&lt;$DS$3</f>
        <v>0</v>
      </c>
      <c r="DL122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5" s="2">
        <f>IF(AND(RecData[[#This Row],[Turbines ON/OFF]] = "OFF", NOT(OR(RecData[[#This Row],[Junk?]]="YES",RecData[[#This Row],[Gust?]],RecData[[#This Row],[Rain?]:[Min SPL Threshold?]]))),1,0)</f>
        <v>0</v>
      </c>
      <c r="DN1225" s="16">
        <f>RecData[[#This Row],[dBA Sum]]</f>
        <v>38.367552468951338</v>
      </c>
      <c r="DO1225" s="16">
        <f>RecData[[#This Row],[LAF90.0]]</f>
        <v>36.799999999999997</v>
      </c>
      <c r="DP1225" s="55">
        <f>IF(AND(RecData[[#This Row],[Useable TON Data?]],RecData[[#This Row],[Turbines ON/OFF]]="ON"),RecData[[#This Row],[dBA Sum]],"")</f>
        <v>38.367552468951338</v>
      </c>
      <c r="DQ1225" s="55" t="str">
        <f>IF(AND(RecData[[#This Row],[Useable Background Data?]],RecData[[#This Row],[Turbines ON/OFF]]="OFF"),RecData[[#This Row],[dBA Sum]],"")</f>
        <v/>
      </c>
      <c r="DR1225" s="3">
        <f>IF(OR(RecData[[#This Row],[Useable TON Data?]],RecData[[#This Row],[Useable Background Data?]]),ROUND(RecData[[#This Row],[WSpd_Avg '[m/s']]],0),"")</f>
        <v>1</v>
      </c>
      <c r="DS1225" s="85">
        <f>(0.00002)^2*(10^(RecData[[#This Row],[Overall (dBA)]]/10))</f>
        <v>2.7467253659168229E-6</v>
      </c>
    </row>
    <row r="1226" spans="1:123" ht="15" x14ac:dyDescent="0.25">
      <c r="A1226" s="3" t="s">
        <v>249</v>
      </c>
      <c r="B1226" s="12">
        <v>43276.188194444447</v>
      </c>
      <c r="C1226" s="3"/>
      <c r="D1226" s="3">
        <v>38.9</v>
      </c>
      <c r="E1226" s="3"/>
      <c r="F1226" s="3"/>
      <c r="G1226" s="3"/>
      <c r="H1226" s="3"/>
      <c r="I1226" s="3"/>
      <c r="J1226" s="3"/>
      <c r="K1226" s="3">
        <v>37.1</v>
      </c>
      <c r="L1226" s="3"/>
      <c r="M1226" s="3"/>
      <c r="N1226" s="3">
        <v>184.1</v>
      </c>
      <c r="O1226" s="3"/>
      <c r="P1226" s="3"/>
      <c r="Q1226" s="3">
        <v>0.85</v>
      </c>
      <c r="R1226" s="3">
        <v>0.1</v>
      </c>
      <c r="S1226" s="3">
        <v>1.2</v>
      </c>
      <c r="T1226" s="3">
        <v>7.5</v>
      </c>
      <c r="U1226" s="3">
        <v>72</v>
      </c>
      <c r="V1226" s="3">
        <v>979</v>
      </c>
      <c r="W1226" s="3">
        <v>0</v>
      </c>
      <c r="X1226" s="3">
        <v>41.9</v>
      </c>
      <c r="Y1226" s="3">
        <v>42.2</v>
      </c>
      <c r="Z1226" s="3">
        <v>40.5</v>
      </c>
      <c r="AA1226" s="3">
        <v>36.9</v>
      </c>
      <c r="AB1226" s="3">
        <v>31.5</v>
      </c>
      <c r="AC1226" s="3">
        <v>31.3</v>
      </c>
      <c r="AD1226" s="3">
        <v>34.799999999999997</v>
      </c>
      <c r="AE1226" s="3">
        <v>36.299999999999997</v>
      </c>
      <c r="AF1226" s="3">
        <v>46.5</v>
      </c>
      <c r="AG1226" s="3">
        <v>39.299999999999997</v>
      </c>
      <c r="AH1226" s="3">
        <v>34.5</v>
      </c>
      <c r="AI1226" s="3">
        <v>36.200000000000003</v>
      </c>
      <c r="AJ1226" s="3">
        <v>34.1</v>
      </c>
      <c r="AK1226" s="3">
        <v>33.4</v>
      </c>
      <c r="AL1226" s="3">
        <v>31.9</v>
      </c>
      <c r="AM1226" s="3">
        <v>32.799999999999997</v>
      </c>
      <c r="AN1226" s="3">
        <v>30.3</v>
      </c>
      <c r="AO1226" s="3">
        <v>26.5</v>
      </c>
      <c r="AP1226" s="3">
        <v>24.5</v>
      </c>
      <c r="AQ1226" s="3">
        <v>21.6</v>
      </c>
      <c r="AR1226" s="3">
        <v>18.100000000000001</v>
      </c>
      <c r="AS1226" s="3">
        <v>15.4</v>
      </c>
      <c r="AT1226" s="3">
        <v>16.8</v>
      </c>
      <c r="AU1226" s="3">
        <v>8.8000000000000007</v>
      </c>
      <c r="AV1226" s="3">
        <v>8.6</v>
      </c>
      <c r="AW1226" s="3">
        <v>8.8000000000000007</v>
      </c>
      <c r="AX1226" s="3">
        <v>8.9</v>
      </c>
      <c r="AY1226" s="3">
        <v>9.1</v>
      </c>
      <c r="AZ1226" s="3">
        <v>0</v>
      </c>
      <c r="BA1226" s="3">
        <v>0</v>
      </c>
      <c r="BB1226" s="3">
        <v>0</v>
      </c>
      <c r="BC1226" s="3">
        <v>38.844653099789838</v>
      </c>
      <c r="BD1226" s="3">
        <v>41.955346900210159</v>
      </c>
      <c r="BE1226" s="3">
        <v>42.255346900210156</v>
      </c>
      <c r="BF1226" s="3">
        <v>39.315346900210159</v>
      </c>
      <c r="BG1226" s="3">
        <v>36.042013566876818</v>
      </c>
      <c r="BH1226" s="3">
        <v>30.782013566876827</v>
      </c>
      <c r="BI1226" s="3">
        <v>30.995346900210166</v>
      </c>
      <c r="BJ1226" s="3">
        <v>35.288680233543488</v>
      </c>
      <c r="BK1226" s="3">
        <v>36.662013566876823</v>
      </c>
      <c r="BL1226" s="3">
        <v>46.435346900210163</v>
      </c>
      <c r="BM1226" s="3">
        <v>39.3686802335435</v>
      </c>
      <c r="BN1226" s="3">
        <v>34.852013566876821</v>
      </c>
      <c r="BO1226" s="3">
        <v>35.918680233543498</v>
      </c>
      <c r="BP1226" s="3">
        <v>33.535346900210158</v>
      </c>
      <c r="BQ1226" s="3">
        <v>33.252013566876826</v>
      </c>
      <c r="BR1226" s="3">
        <v>32.078680233543494</v>
      </c>
      <c r="BS1226" s="3">
        <v>32.782013566876827</v>
      </c>
      <c r="BT1226" s="3">
        <v>30.4786802335435</v>
      </c>
      <c r="BU1226" s="3">
        <v>26.645346900210171</v>
      </c>
      <c r="BV1226" s="3">
        <v>24.362013566876826</v>
      </c>
      <c r="BW1226" s="3">
        <v>21.995346900210166</v>
      </c>
      <c r="BX1226" s="3">
        <v>18.415346900210167</v>
      </c>
      <c r="BY1226" s="3">
        <v>15.535346900210158</v>
      </c>
      <c r="BZ1226" s="3">
        <v>17.065346900210166</v>
      </c>
      <c r="CA1226" s="3">
        <v>9.1653469002101531</v>
      </c>
      <c r="CB1226" s="3">
        <v>8.4020135668768248</v>
      </c>
      <c r="CC1226" s="3">
        <v>8.8153469002101588</v>
      </c>
      <c r="CD1226" s="3">
        <v>8.2220135668768322</v>
      </c>
      <c r="CE1226" s="3">
        <v>8.6153469002101559</v>
      </c>
      <c r="CF1226" s="3">
        <v>-0.87131976645650866</v>
      </c>
      <c r="CG1226" s="3">
        <v>-1.4046530997898401</v>
      </c>
      <c r="CH1226" s="3">
        <v>-2.4813197664565081</v>
      </c>
      <c r="CI1226" s="13">
        <f>[1]!dbasum(RecData[[#This Row],[20]:[2000]],RecData[[#Headers],[20]:[2000]])</f>
        <v>38.750098429189002</v>
      </c>
      <c r="CJ1226" s="14">
        <v>10992</v>
      </c>
      <c r="CK1226" s="15" t="s">
        <v>249</v>
      </c>
      <c r="CL1226" s="15">
        <f>RecData[[#This Row],[Start Time]]</f>
        <v>43276.188194444447</v>
      </c>
      <c r="CM1226" s="16">
        <f>RecData[[#This Row],[Wind Speed avg]]</f>
        <v>0.85</v>
      </c>
      <c r="CN1226" s="16">
        <f>RecData[[#This Row],[Wind Dir. avg]]</f>
        <v>184.1</v>
      </c>
      <c r="CO1226" s="16">
        <f>RecData[[#This Row],[Amb. Humidity]]</f>
        <v>72</v>
      </c>
      <c r="CP1226" s="16">
        <f>RecData[[#This Row],[Amb. Temperature]]</f>
        <v>7.5</v>
      </c>
      <c r="CQ1226" s="17">
        <f>RecData[[#This Row],[Amb. Rain Gauge]]</f>
        <v>0</v>
      </c>
      <c r="CR1226" s="4" t="s">
        <v>1</v>
      </c>
      <c r="CS1226" s="4" t="s">
        <v>49</v>
      </c>
      <c r="CT1226" s="70">
        <v>1510.0498046875</v>
      </c>
      <c r="CU1226" s="70">
        <v>52.00044631958</v>
      </c>
      <c r="CV1226" s="70">
        <v>9.6320781707763601</v>
      </c>
      <c r="CW1226" s="70">
        <v>15.1574907302856</v>
      </c>
      <c r="CX1226" s="4"/>
      <c r="CY1226" s="69"/>
      <c r="CZ1226" s="2" t="b">
        <f>IF($DP$1="YES",IF(RecData[[#This Row],[Power (kW)]]&gt;=$CR$3, TRUE,FALSE),TRUE)</f>
        <v>1</v>
      </c>
      <c r="DA1226" s="16">
        <f>MIN(MOD(180-ABS(ABS($DA$1-RecData[Yaw Angle (°)])-180),360),MOD(180-ABS(ABS($DB$1-RecData[Yaw Angle (°)])-180),360))</f>
        <v>44.470519541892457</v>
      </c>
      <c r="DB1226" s="2" t="str">
        <f>IF($DP$2="None","None",IF(RecData[[#This Row],[Relative Wind Direction]]&lt;=45,"DW",IF(RecData[[#This Row],[Relative Wind Direction]]&lt;=135,"CW","UW")))</f>
        <v>DW</v>
      </c>
      <c r="DC1226" s="61">
        <f>IF($CL1226-$CL1224&gt;1/24,#REF!,IF(SUM($CQ1224:$CQ1226)&gt;$DS$1,$DS$5,DC1227-1))</f>
        <v>-8</v>
      </c>
      <c r="DD1226" s="61">
        <f>IF($CL1227-$CL1226&gt;1/24,#REF!,IF(SUM($CQ1224:$CQ1226)&gt;$DS$1,$DS$6,DD1225-1))</f>
        <v>-3</v>
      </c>
      <c r="DE1226" s="18" t="b">
        <v>0</v>
      </c>
      <c r="DF1226" s="2" t="b">
        <f>IF(OR(RecData[[#This Row],[WSpd_Avg '[m/s']]]-RecData[[#This Row],[Wind Speed min]]&gt;=$DF$3,RecData[[#This Row],[Wind Speed max]]-RecData[[#This Row],[WSpd_Avg '[m/s']]]&gt;=$DF$2),TRUE,FALSE)</f>
        <v>0</v>
      </c>
      <c r="DG1226" s="2" t="b">
        <f>RecData[[#This Row],[Temperature '[°C']]]&lt;=-20</f>
        <v>0</v>
      </c>
      <c r="DH1226" s="18" t="b">
        <f>NOT(OR(MOD(RecData[[#This Row],[TIMESTAMP]],1)&gt;0.91632,MOD(RecData[[#This Row],[TIMESTAMP]],1)&lt;0.208681))</f>
        <v>0</v>
      </c>
      <c r="DI1226" s="18" t="b">
        <f>RecData[[#This Row],[Overall (dBA)]]-RecData[[#This Row],[L90]]&gt;=$DS$4</f>
        <v>0</v>
      </c>
      <c r="DJ1226" s="18" t="b">
        <f>RecData[[#This Row],[Overall (dBA)]]&gt;$DS$2</f>
        <v>0</v>
      </c>
      <c r="DK1226" s="18" t="b">
        <f>RecData[[#This Row],[Overall (dBA)]]&lt;$DS$3</f>
        <v>0</v>
      </c>
      <c r="DL122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6" s="2">
        <f>IF(AND(RecData[[#This Row],[Turbines ON/OFF]] = "OFF", NOT(OR(RecData[[#This Row],[Junk?]]="YES",RecData[[#This Row],[Gust?]],RecData[[#This Row],[Rain?]:[Min SPL Threshold?]]))),1,0)</f>
        <v>0</v>
      </c>
      <c r="DN1226" s="16">
        <f>RecData[[#This Row],[dBA Sum]]</f>
        <v>38.750098429189002</v>
      </c>
      <c r="DO1226" s="16">
        <f>RecData[[#This Row],[LAF90.0]]</f>
        <v>37.1</v>
      </c>
      <c r="DP1226" s="55">
        <f>IF(AND(RecData[[#This Row],[Useable TON Data?]],RecData[[#This Row],[Turbines ON/OFF]]="ON"),RecData[[#This Row],[dBA Sum]],"")</f>
        <v>38.750098429189002</v>
      </c>
      <c r="DQ1226" s="55" t="str">
        <f>IF(AND(RecData[[#This Row],[Useable Background Data?]],RecData[[#This Row],[Turbines ON/OFF]]="OFF"),RecData[[#This Row],[dBA Sum]],"")</f>
        <v/>
      </c>
      <c r="DR1226" s="3">
        <f>IF(OR(RecData[[#This Row],[Useable TON Data?]],RecData[[#This Row],[Useable Background Data?]]),ROUND(RecData[[#This Row],[WSpd_Avg '[m/s']]],0),"")</f>
        <v>1</v>
      </c>
      <c r="DS1226" s="85">
        <f>(0.00002)^2*(10^(RecData[[#This Row],[Overall (dBA)]]/10))</f>
        <v>2.9996448209845864E-6</v>
      </c>
    </row>
    <row r="1227" spans="1:123" ht="15" x14ac:dyDescent="0.25">
      <c r="A1227" s="3" t="s">
        <v>249</v>
      </c>
      <c r="B1227" s="12">
        <v>43276.188888888893</v>
      </c>
      <c r="C1227" s="3"/>
      <c r="D1227" s="3">
        <v>38.1</v>
      </c>
      <c r="E1227" s="3"/>
      <c r="F1227" s="3"/>
      <c r="G1227" s="3"/>
      <c r="H1227" s="3"/>
      <c r="I1227" s="3"/>
      <c r="J1227" s="3"/>
      <c r="K1227" s="3">
        <v>36.9</v>
      </c>
      <c r="L1227" s="3"/>
      <c r="M1227" s="3"/>
      <c r="N1227" s="3">
        <v>129.1</v>
      </c>
      <c r="O1227" s="3"/>
      <c r="P1227" s="3"/>
      <c r="Q1227" s="3">
        <v>0.7</v>
      </c>
      <c r="R1227" s="3">
        <v>0.1</v>
      </c>
      <c r="S1227" s="3">
        <v>1.1000000000000001</v>
      </c>
      <c r="T1227" s="3">
        <v>7.4</v>
      </c>
      <c r="U1227" s="3">
        <v>73</v>
      </c>
      <c r="V1227" s="3">
        <v>979</v>
      </c>
      <c r="W1227" s="3">
        <v>0</v>
      </c>
      <c r="X1227" s="3">
        <v>41.3</v>
      </c>
      <c r="Y1227" s="3">
        <v>41.6</v>
      </c>
      <c r="Z1227" s="3">
        <v>40</v>
      </c>
      <c r="AA1227" s="3">
        <v>36.700000000000003</v>
      </c>
      <c r="AB1227" s="3">
        <v>30.8</v>
      </c>
      <c r="AC1227" s="3">
        <v>30.9</v>
      </c>
      <c r="AD1227" s="3">
        <v>34.1</v>
      </c>
      <c r="AE1227" s="3">
        <v>35.9</v>
      </c>
      <c r="AF1227" s="3">
        <v>45.3</v>
      </c>
      <c r="AG1227" s="3">
        <v>38</v>
      </c>
      <c r="AH1227" s="3">
        <v>33.9</v>
      </c>
      <c r="AI1227" s="3">
        <v>34.799999999999997</v>
      </c>
      <c r="AJ1227" s="3">
        <v>33.5</v>
      </c>
      <c r="AK1227" s="3">
        <v>32.5</v>
      </c>
      <c r="AL1227" s="3">
        <v>31.4</v>
      </c>
      <c r="AM1227" s="3">
        <v>32.1</v>
      </c>
      <c r="AN1227" s="3">
        <v>29.8</v>
      </c>
      <c r="AO1227" s="3">
        <v>26</v>
      </c>
      <c r="AP1227" s="3">
        <v>23.9</v>
      </c>
      <c r="AQ1227" s="3">
        <v>21.3</v>
      </c>
      <c r="AR1227" s="3">
        <v>17.899999999999999</v>
      </c>
      <c r="AS1227" s="3">
        <v>15.1</v>
      </c>
      <c r="AT1227" s="3">
        <v>16.8</v>
      </c>
      <c r="AU1227" s="3">
        <v>8.5</v>
      </c>
      <c r="AV1227" s="3">
        <v>8.5</v>
      </c>
      <c r="AW1227" s="3">
        <v>8.8000000000000007</v>
      </c>
      <c r="AX1227" s="3">
        <v>8.9</v>
      </c>
      <c r="AY1227" s="3">
        <v>9.1</v>
      </c>
      <c r="AZ1227" s="3">
        <v>0</v>
      </c>
      <c r="BA1227" s="3">
        <v>0</v>
      </c>
      <c r="BB1227" s="3">
        <v>0</v>
      </c>
      <c r="BC1227" s="3">
        <v>38.082297501947735</v>
      </c>
      <c r="BD1227" s="3">
        <v>41.31770249805227</v>
      </c>
      <c r="BE1227" s="3">
        <v>41.617702498052267</v>
      </c>
      <c r="BF1227" s="3">
        <v>38.777702498052264</v>
      </c>
      <c r="BG1227" s="3">
        <v>35.804369164718935</v>
      </c>
      <c r="BH1227" s="3">
        <v>30.04436916471893</v>
      </c>
      <c r="BI1227" s="3">
        <v>30.557702498052265</v>
      </c>
      <c r="BJ1227" s="3">
        <v>34.55103583138559</v>
      </c>
      <c r="BK1227" s="3">
        <v>36.224369164718937</v>
      </c>
      <c r="BL1227" s="3">
        <v>45.197702498052266</v>
      </c>
      <c r="BM1227" s="3">
        <v>38.031035831385609</v>
      </c>
      <c r="BN1227" s="3">
        <v>34.214369164718931</v>
      </c>
      <c r="BO1227" s="3">
        <v>34.481035831385597</v>
      </c>
      <c r="BP1227" s="3">
        <v>32.897702498052269</v>
      </c>
      <c r="BQ1227" s="3">
        <v>32.314369164718926</v>
      </c>
      <c r="BR1227" s="3">
        <v>31.541035831385599</v>
      </c>
      <c r="BS1227" s="3">
        <v>32.04436916471893</v>
      </c>
      <c r="BT1227" s="3">
        <v>29.941035831385605</v>
      </c>
      <c r="BU1227" s="3">
        <v>26.107702498052262</v>
      </c>
      <c r="BV1227" s="3">
        <v>23.724369164718937</v>
      </c>
      <c r="BW1227" s="3">
        <v>21.657702498052274</v>
      </c>
      <c r="BX1227" s="3">
        <v>18.17770249805227</v>
      </c>
      <c r="BY1227" s="3">
        <v>15.197702498052266</v>
      </c>
      <c r="BZ1227" s="3">
        <v>17.027702498052271</v>
      </c>
      <c r="CA1227" s="3">
        <v>8.8277024980522611</v>
      </c>
      <c r="CB1227" s="3">
        <v>8.2643691647189286</v>
      </c>
      <c r="CC1227" s="3">
        <v>8.777702498052264</v>
      </c>
      <c r="CD1227" s="3">
        <v>8.1843691647189374</v>
      </c>
      <c r="CE1227" s="3">
        <v>8.5777024980522611</v>
      </c>
      <c r="CF1227" s="3">
        <v>-0.90896416861440343</v>
      </c>
      <c r="CG1227" s="3">
        <v>-1.4422975019477349</v>
      </c>
      <c r="CH1227" s="3">
        <v>-2.5189641686144029</v>
      </c>
      <c r="CI1227" s="13">
        <f>[1]!dbasum(RecData[[#This Row],[20]:[2000]],RecData[[#Headers],[20]:[2000]])</f>
        <v>37.943879129902442</v>
      </c>
      <c r="CJ1227" s="14">
        <v>10993</v>
      </c>
      <c r="CK1227" s="15" t="s">
        <v>249</v>
      </c>
      <c r="CL1227" s="15">
        <f>RecData[[#This Row],[Start Time]]</f>
        <v>43276.188888888893</v>
      </c>
      <c r="CM1227" s="16">
        <f>RecData[[#This Row],[Wind Speed avg]]</f>
        <v>0.7</v>
      </c>
      <c r="CN1227" s="16">
        <f>RecData[[#This Row],[Wind Dir. avg]]</f>
        <v>129.1</v>
      </c>
      <c r="CO1227" s="16">
        <f>RecData[[#This Row],[Amb. Humidity]]</f>
        <v>73</v>
      </c>
      <c r="CP1227" s="16">
        <f>RecData[[#This Row],[Amb. Temperature]]</f>
        <v>7.4</v>
      </c>
      <c r="CQ1227" s="17">
        <f>RecData[[#This Row],[Amb. Rain Gauge]]</f>
        <v>0</v>
      </c>
      <c r="CR1227" s="4" t="s">
        <v>1</v>
      </c>
      <c r="CS1227" s="4" t="s">
        <v>49</v>
      </c>
      <c r="CT1227" s="70">
        <v>1510.0498046875</v>
      </c>
      <c r="CU1227" s="70">
        <v>52.00044631958</v>
      </c>
      <c r="CV1227" s="70">
        <v>9.6320781707763601</v>
      </c>
      <c r="CW1227" s="70">
        <v>15.1574907302856</v>
      </c>
      <c r="CX1227" s="4"/>
      <c r="CY1227" s="69"/>
      <c r="CZ1227" s="2" t="b">
        <f>IF($DP$1="YES",IF(RecData[[#This Row],[Power (kW)]]&gt;=$CR$3, TRUE,FALSE),TRUE)</f>
        <v>1</v>
      </c>
      <c r="DA1227" s="16">
        <f>MIN(MOD(180-ABS(ABS($DA$1-RecData[Yaw Angle (°)])-180),360),MOD(180-ABS(ABS($DB$1-RecData[Yaw Angle (°)])-180),360))</f>
        <v>44.470519541892457</v>
      </c>
      <c r="DB1227" s="2" t="str">
        <f>IF($DP$2="None","None",IF(RecData[[#This Row],[Relative Wind Direction]]&lt;=45,"DW",IF(RecData[[#This Row],[Relative Wind Direction]]&lt;=135,"CW","UW")))</f>
        <v>DW</v>
      </c>
      <c r="DC1227" s="61">
        <f>IF($CL1227-$CL1224&gt;1/24,#REF!,IF(SUM($CQ1224:$CQ1227)&gt;$DS$1,$DS$5,DC1228-1))</f>
        <v>-7</v>
      </c>
      <c r="DD1227" s="61">
        <f>IF($CL1228-$CL1227&gt;1/24,#REF!,IF(SUM($CQ1224:$CQ1227)&gt;$DS$1,$DS$6,DD1226-1))</f>
        <v>-4</v>
      </c>
      <c r="DE1227" s="18" t="b">
        <v>0</v>
      </c>
      <c r="DF1227" s="2" t="b">
        <f>IF(OR(RecData[[#This Row],[WSpd_Avg '[m/s']]]-RecData[[#This Row],[Wind Speed min]]&gt;=$DF$3,RecData[[#This Row],[Wind Speed max]]-RecData[[#This Row],[WSpd_Avg '[m/s']]]&gt;=$DF$2),TRUE,FALSE)</f>
        <v>0</v>
      </c>
      <c r="DG1227" s="2" t="b">
        <f>RecData[[#This Row],[Temperature '[°C']]]&lt;=-20</f>
        <v>0</v>
      </c>
      <c r="DH1227" s="18" t="b">
        <f>NOT(OR(MOD(RecData[[#This Row],[TIMESTAMP]],1)&gt;0.91632,MOD(RecData[[#This Row],[TIMESTAMP]],1)&lt;0.208681))</f>
        <v>0</v>
      </c>
      <c r="DI1227" s="18" t="b">
        <f>RecData[[#This Row],[Overall (dBA)]]-RecData[[#This Row],[L90]]&gt;=$DS$4</f>
        <v>0</v>
      </c>
      <c r="DJ1227" s="18" t="b">
        <f>RecData[[#This Row],[Overall (dBA)]]&gt;$DS$2</f>
        <v>0</v>
      </c>
      <c r="DK1227" s="18" t="b">
        <f>RecData[[#This Row],[Overall (dBA)]]&lt;$DS$3</f>
        <v>0</v>
      </c>
      <c r="DL122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7" s="2">
        <f>IF(AND(RecData[[#This Row],[Turbines ON/OFF]] = "OFF", NOT(OR(RecData[[#This Row],[Junk?]]="YES",RecData[[#This Row],[Gust?]],RecData[[#This Row],[Rain?]:[Min SPL Threshold?]]))),1,0)</f>
        <v>0</v>
      </c>
      <c r="DN1227" s="16">
        <f>RecData[[#This Row],[dBA Sum]]</f>
        <v>37.943879129902442</v>
      </c>
      <c r="DO1227" s="16">
        <f>RecData[[#This Row],[LAF90.0]]</f>
        <v>36.9</v>
      </c>
      <c r="DP1227" s="55">
        <f>IF(AND(RecData[[#This Row],[Useable TON Data?]],RecData[[#This Row],[Turbines ON/OFF]]="ON"),RecData[[#This Row],[dBA Sum]],"")</f>
        <v>37.943879129902442</v>
      </c>
      <c r="DQ1227" s="55" t="str">
        <f>IF(AND(RecData[[#This Row],[Useable Background Data?]],RecData[[#This Row],[Turbines ON/OFF]]="OFF"),RecData[[#This Row],[dBA Sum]],"")</f>
        <v/>
      </c>
      <c r="DR1227" s="3">
        <f>IF(OR(RecData[[#This Row],[Useable TON Data?]],RecData[[#This Row],[Useable Background Data?]]),ROUND(RecData[[#This Row],[WSpd_Avg '[m/s']]],0),"")</f>
        <v>1</v>
      </c>
      <c r="DS1227" s="85">
        <f>(0.00002)^2*(10^(RecData[[#This Row],[Overall (dBA)]]/10))</f>
        <v>2.4914254950301982E-6</v>
      </c>
    </row>
    <row r="1228" spans="1:123" ht="15" x14ac:dyDescent="0.25">
      <c r="A1228" s="3" t="s">
        <v>249</v>
      </c>
      <c r="B1228" s="12">
        <v>43276.18958333334</v>
      </c>
      <c r="C1228" s="3"/>
      <c r="D1228" s="3">
        <v>38.9</v>
      </c>
      <c r="E1228" s="3"/>
      <c r="F1228" s="3"/>
      <c r="G1228" s="3"/>
      <c r="H1228" s="3"/>
      <c r="I1228" s="3"/>
      <c r="J1228" s="3"/>
      <c r="K1228" s="3">
        <v>37.299999999999997</v>
      </c>
      <c r="L1228" s="3"/>
      <c r="M1228" s="3"/>
      <c r="N1228" s="3">
        <v>146.30000000000001</v>
      </c>
      <c r="O1228" s="3"/>
      <c r="P1228" s="3"/>
      <c r="Q1228" s="3">
        <v>0.87</v>
      </c>
      <c r="R1228" s="3">
        <v>0.5</v>
      </c>
      <c r="S1228" s="3">
        <v>1.2</v>
      </c>
      <c r="T1228" s="3">
        <v>7.3</v>
      </c>
      <c r="U1228" s="3">
        <v>70.900000000000006</v>
      </c>
      <c r="V1228" s="3">
        <v>979</v>
      </c>
      <c r="W1228" s="3">
        <v>0</v>
      </c>
      <c r="X1228" s="3">
        <v>41.5</v>
      </c>
      <c r="Y1228" s="3">
        <v>41.5</v>
      </c>
      <c r="Z1228" s="3">
        <v>40.1</v>
      </c>
      <c r="AA1228" s="3">
        <v>36.6</v>
      </c>
      <c r="AB1228" s="3">
        <v>30.4</v>
      </c>
      <c r="AC1228" s="3">
        <v>31.5</v>
      </c>
      <c r="AD1228" s="3">
        <v>35.6</v>
      </c>
      <c r="AE1228" s="3">
        <v>37.200000000000003</v>
      </c>
      <c r="AF1228" s="3">
        <v>45.2</v>
      </c>
      <c r="AG1228" s="3">
        <v>38.700000000000003</v>
      </c>
      <c r="AH1228" s="3">
        <v>35.5</v>
      </c>
      <c r="AI1228" s="3">
        <v>35.200000000000003</v>
      </c>
      <c r="AJ1228" s="3">
        <v>34.799999999999997</v>
      </c>
      <c r="AK1228" s="3">
        <v>33.4</v>
      </c>
      <c r="AL1228" s="3">
        <v>32.200000000000003</v>
      </c>
      <c r="AM1228" s="3">
        <v>33.299999999999997</v>
      </c>
      <c r="AN1228" s="3">
        <v>30.9</v>
      </c>
      <c r="AO1228" s="3">
        <v>26.9</v>
      </c>
      <c r="AP1228" s="3">
        <v>24.5</v>
      </c>
      <c r="AQ1228" s="3">
        <v>21.7</v>
      </c>
      <c r="AR1228" s="3">
        <v>17.8</v>
      </c>
      <c r="AS1228" s="3">
        <v>13.6</v>
      </c>
      <c r="AT1228" s="3">
        <v>13.1</v>
      </c>
      <c r="AU1228" s="3">
        <v>9.1999999999999993</v>
      </c>
      <c r="AV1228" s="3">
        <v>8.9</v>
      </c>
      <c r="AW1228" s="3">
        <v>9</v>
      </c>
      <c r="AX1228" s="3">
        <v>8.9</v>
      </c>
      <c r="AY1228" s="3">
        <v>9.1</v>
      </c>
      <c r="AZ1228" s="3">
        <v>0</v>
      </c>
      <c r="BA1228" s="3">
        <v>0</v>
      </c>
      <c r="BB1228" s="3">
        <v>0</v>
      </c>
      <c r="BC1228" s="3">
        <v>38.874108674590623</v>
      </c>
      <c r="BD1228" s="3">
        <v>41.525891325409383</v>
      </c>
      <c r="BE1228" s="3">
        <v>41.525891325409383</v>
      </c>
      <c r="BF1228" s="3">
        <v>38.885891325409368</v>
      </c>
      <c r="BG1228" s="3">
        <v>35.71255799207605</v>
      </c>
      <c r="BH1228" s="3">
        <v>29.652557992076048</v>
      </c>
      <c r="BI1228" s="3">
        <v>31.165891325409369</v>
      </c>
      <c r="BJ1228" s="3">
        <v>36.059224658742714</v>
      </c>
      <c r="BK1228" s="3">
        <v>37.532557992076043</v>
      </c>
      <c r="BL1228" s="3">
        <v>45.105891325409381</v>
      </c>
      <c r="BM1228" s="3">
        <v>38.739224658742721</v>
      </c>
      <c r="BN1228" s="3">
        <v>35.822557992076035</v>
      </c>
      <c r="BO1228" s="3">
        <v>34.889224658742712</v>
      </c>
      <c r="BP1228" s="3">
        <v>34.205891325409375</v>
      </c>
      <c r="BQ1228" s="3">
        <v>33.222557992076041</v>
      </c>
      <c r="BR1228" s="3">
        <v>32.349224658742706</v>
      </c>
      <c r="BS1228" s="3">
        <v>33.252557992076042</v>
      </c>
      <c r="BT1228" s="3">
        <v>31.049224658742709</v>
      </c>
      <c r="BU1228" s="3">
        <v>27.015891325409378</v>
      </c>
      <c r="BV1228" s="3">
        <v>24.33255799207604</v>
      </c>
      <c r="BW1228" s="3">
        <v>22.065891325409375</v>
      </c>
      <c r="BX1228" s="3">
        <v>18.085891325409385</v>
      </c>
      <c r="BY1228" s="3">
        <v>13.705891325409375</v>
      </c>
      <c r="BZ1228" s="3">
        <v>13.335891325409378</v>
      </c>
      <c r="CA1228" s="3">
        <v>9.5358913254093665</v>
      </c>
      <c r="CB1228" s="3">
        <v>8.6725579920760438</v>
      </c>
      <c r="CC1228" s="3">
        <v>8.9858913254093764</v>
      </c>
      <c r="CD1228" s="3">
        <v>8.192557992076047</v>
      </c>
      <c r="CE1228" s="3">
        <v>8.5858913254093707</v>
      </c>
      <c r="CF1228" s="3">
        <v>-0.90077534125729386</v>
      </c>
      <c r="CG1228" s="3">
        <v>-1.4341086745906253</v>
      </c>
      <c r="CH1228" s="3">
        <v>-2.5107753412572933</v>
      </c>
      <c r="CI1228" s="13">
        <f>[1]!dbasum(RecData[[#This Row],[20]:[2000]],RecData[[#Headers],[20]:[2000]])</f>
        <v>38.78736115717863</v>
      </c>
      <c r="CJ1228" s="14">
        <v>10994</v>
      </c>
      <c r="CK1228" s="15" t="s">
        <v>249</v>
      </c>
      <c r="CL1228" s="15">
        <f>RecData[[#This Row],[Start Time]]</f>
        <v>43276.18958333334</v>
      </c>
      <c r="CM1228" s="16">
        <f>RecData[[#This Row],[Wind Speed avg]]</f>
        <v>0.87</v>
      </c>
      <c r="CN1228" s="16">
        <f>RecData[[#This Row],[Wind Dir. avg]]</f>
        <v>146.30000000000001</v>
      </c>
      <c r="CO1228" s="16">
        <f>RecData[[#This Row],[Amb. Humidity]]</f>
        <v>70.900000000000006</v>
      </c>
      <c r="CP1228" s="16">
        <f>RecData[[#This Row],[Amb. Temperature]]</f>
        <v>7.3</v>
      </c>
      <c r="CQ1228" s="17">
        <f>RecData[[#This Row],[Amb. Rain Gauge]]</f>
        <v>0</v>
      </c>
      <c r="CR1228" s="4" t="s">
        <v>1</v>
      </c>
      <c r="CS1228" s="4" t="s">
        <v>49</v>
      </c>
      <c r="CT1228" s="70">
        <v>1510.0498046875</v>
      </c>
      <c r="CU1228" s="70">
        <v>52.00044631958</v>
      </c>
      <c r="CV1228" s="70">
        <v>9.6320781707763601</v>
      </c>
      <c r="CW1228" s="70">
        <v>15.1574907302856</v>
      </c>
      <c r="CX1228" s="4"/>
      <c r="CY1228" s="69"/>
      <c r="CZ1228" s="2" t="b">
        <f>IF($DP$1="YES",IF(RecData[[#This Row],[Power (kW)]]&gt;=$CR$3, TRUE,FALSE),TRUE)</f>
        <v>1</v>
      </c>
      <c r="DA1228" s="16">
        <f>MIN(MOD(180-ABS(ABS($DA$1-RecData[Yaw Angle (°)])-180),360),MOD(180-ABS(ABS($DB$1-RecData[Yaw Angle (°)])-180),360))</f>
        <v>44.470519541892457</v>
      </c>
      <c r="DB1228" s="2" t="str">
        <f>IF($DP$2="None","None",IF(RecData[[#This Row],[Relative Wind Direction]]&lt;=45,"DW",IF(RecData[[#This Row],[Relative Wind Direction]]&lt;=135,"CW","UW")))</f>
        <v>DW</v>
      </c>
      <c r="DC1228" s="61">
        <f>IF($CL1228-$CL1224&gt;1/24,#REF!,IF(SUM($CQ1224:$CQ1228)&gt;$DS$1,$DS$5,DC1229-1))</f>
        <v>-6</v>
      </c>
      <c r="DD1228" s="61">
        <f>IF($CL1229-$CL1228&gt;1/24,#REF!,IF(SUM($CQ1224:$CQ1228)&gt;$DS$1,$DS$6,DD1227-1))</f>
        <v>-5</v>
      </c>
      <c r="DE1228" s="18" t="b">
        <v>0</v>
      </c>
      <c r="DF1228" s="2" t="b">
        <f>IF(OR(RecData[[#This Row],[WSpd_Avg '[m/s']]]-RecData[[#This Row],[Wind Speed min]]&gt;=$DF$3,RecData[[#This Row],[Wind Speed max]]-RecData[[#This Row],[WSpd_Avg '[m/s']]]&gt;=$DF$2),TRUE,FALSE)</f>
        <v>0</v>
      </c>
      <c r="DG1228" s="2" t="b">
        <f>RecData[[#This Row],[Temperature '[°C']]]&lt;=-20</f>
        <v>0</v>
      </c>
      <c r="DH1228" s="18" t="b">
        <f>NOT(OR(MOD(RecData[[#This Row],[TIMESTAMP]],1)&gt;0.91632,MOD(RecData[[#This Row],[TIMESTAMP]],1)&lt;0.208681))</f>
        <v>0</v>
      </c>
      <c r="DI1228" s="18" t="b">
        <f>RecData[[#This Row],[Overall (dBA)]]-RecData[[#This Row],[L90]]&gt;=$DS$4</f>
        <v>0</v>
      </c>
      <c r="DJ1228" s="18" t="b">
        <f>RecData[[#This Row],[Overall (dBA)]]&gt;$DS$2</f>
        <v>0</v>
      </c>
      <c r="DK1228" s="18" t="b">
        <f>RecData[[#This Row],[Overall (dBA)]]&lt;$DS$3</f>
        <v>0</v>
      </c>
      <c r="DL122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8" s="2">
        <f>IF(AND(RecData[[#This Row],[Turbines ON/OFF]] = "OFF", NOT(OR(RecData[[#This Row],[Junk?]]="YES",RecData[[#This Row],[Gust?]],RecData[[#This Row],[Rain?]:[Min SPL Threshold?]]))),1,0)</f>
        <v>0</v>
      </c>
      <c r="DN1228" s="16">
        <f>RecData[[#This Row],[dBA Sum]]</f>
        <v>38.78736115717863</v>
      </c>
      <c r="DO1228" s="16">
        <f>RecData[[#This Row],[LAF90.0]]</f>
        <v>37.299999999999997</v>
      </c>
      <c r="DP1228" s="55">
        <f>IF(AND(RecData[[#This Row],[Useable TON Data?]],RecData[[#This Row],[Turbines ON/OFF]]="ON"),RecData[[#This Row],[dBA Sum]],"")</f>
        <v>38.78736115717863</v>
      </c>
      <c r="DQ1228" s="55" t="str">
        <f>IF(AND(RecData[[#This Row],[Useable Background Data?]],RecData[[#This Row],[Turbines ON/OFF]]="OFF"),RecData[[#This Row],[dBA Sum]],"")</f>
        <v/>
      </c>
      <c r="DR1228" s="3">
        <f>IF(OR(RecData[[#This Row],[Useable TON Data?]],RecData[[#This Row],[Useable Background Data?]]),ROUND(RecData[[#This Row],[WSpd_Avg '[m/s']]],0),"")</f>
        <v>1</v>
      </c>
      <c r="DS1228" s="85">
        <f>(0.00002)^2*(10^(RecData[[#This Row],[Overall (dBA)]]/10))</f>
        <v>3.025492683663206E-6</v>
      </c>
    </row>
    <row r="1229" spans="1:123" ht="15" x14ac:dyDescent="0.25">
      <c r="A1229" s="3" t="s">
        <v>249</v>
      </c>
      <c r="B1229" s="12">
        <v>43276.19027777778</v>
      </c>
      <c r="C1229" s="3"/>
      <c r="D1229" s="3">
        <v>37.6</v>
      </c>
      <c r="E1229" s="3"/>
      <c r="F1229" s="3"/>
      <c r="G1229" s="3"/>
      <c r="H1229" s="3"/>
      <c r="I1229" s="3"/>
      <c r="J1229" s="3"/>
      <c r="K1229" s="3">
        <v>35.799999999999997</v>
      </c>
      <c r="L1229" s="3"/>
      <c r="M1229" s="3"/>
      <c r="N1229" s="3">
        <v>177.7</v>
      </c>
      <c r="O1229" s="3"/>
      <c r="P1229" s="3"/>
      <c r="Q1229" s="3">
        <v>1.23</v>
      </c>
      <c r="R1229" s="3">
        <v>0.8</v>
      </c>
      <c r="S1229" s="3">
        <v>1.8</v>
      </c>
      <c r="T1229" s="3">
        <v>7.4</v>
      </c>
      <c r="U1229" s="3">
        <v>69.900000000000006</v>
      </c>
      <c r="V1229" s="3">
        <v>979</v>
      </c>
      <c r="W1229" s="3">
        <v>0</v>
      </c>
      <c r="X1229" s="3">
        <v>41.4</v>
      </c>
      <c r="Y1229" s="3">
        <v>40.700000000000003</v>
      </c>
      <c r="Z1229" s="3">
        <v>39.200000000000003</v>
      </c>
      <c r="AA1229" s="3">
        <v>36</v>
      </c>
      <c r="AB1229" s="3">
        <v>30.3</v>
      </c>
      <c r="AC1229" s="3">
        <v>30</v>
      </c>
      <c r="AD1229" s="3">
        <v>34</v>
      </c>
      <c r="AE1229" s="3">
        <v>35.700000000000003</v>
      </c>
      <c r="AF1229" s="3">
        <v>44.9</v>
      </c>
      <c r="AG1229" s="3">
        <v>36.299999999999997</v>
      </c>
      <c r="AH1229" s="3">
        <v>34.1</v>
      </c>
      <c r="AI1229" s="3">
        <v>34.5</v>
      </c>
      <c r="AJ1229" s="3">
        <v>33.299999999999997</v>
      </c>
      <c r="AK1229" s="3">
        <v>32.299999999999997</v>
      </c>
      <c r="AL1229" s="3">
        <v>30.7</v>
      </c>
      <c r="AM1229" s="3">
        <v>31.6</v>
      </c>
      <c r="AN1229" s="3">
        <v>29.1</v>
      </c>
      <c r="AO1229" s="3">
        <v>25.5</v>
      </c>
      <c r="AP1229" s="3">
        <v>23.7</v>
      </c>
      <c r="AQ1229" s="3">
        <v>21</v>
      </c>
      <c r="AR1229" s="3">
        <v>17.899999999999999</v>
      </c>
      <c r="AS1229" s="3">
        <v>14.6</v>
      </c>
      <c r="AT1229" s="3">
        <v>15.1</v>
      </c>
      <c r="AU1229" s="3">
        <v>9.8000000000000007</v>
      </c>
      <c r="AV1229" s="3">
        <v>9.4</v>
      </c>
      <c r="AW1229" s="3">
        <v>9.5</v>
      </c>
      <c r="AX1229" s="3">
        <v>9</v>
      </c>
      <c r="AY1229" s="3">
        <v>9.1999999999999993</v>
      </c>
      <c r="AZ1229" s="3">
        <v>0</v>
      </c>
      <c r="BA1229" s="3">
        <v>0</v>
      </c>
      <c r="BB1229" s="3">
        <v>0</v>
      </c>
      <c r="BC1229" s="3">
        <v>37.617178732331745</v>
      </c>
      <c r="BD1229" s="3">
        <v>41.382821267668255</v>
      </c>
      <c r="BE1229" s="3">
        <v>40.682821267668267</v>
      </c>
      <c r="BF1229" s="3">
        <v>37.942821267668258</v>
      </c>
      <c r="BG1229" s="3">
        <v>35.069487934334923</v>
      </c>
      <c r="BH1229" s="3">
        <v>29.509487934334921</v>
      </c>
      <c r="BI1229" s="3">
        <v>29.622821267668265</v>
      </c>
      <c r="BJ1229" s="3">
        <v>34.416154601001587</v>
      </c>
      <c r="BK1229" s="3">
        <v>35.989487934334925</v>
      </c>
      <c r="BL1229" s="3">
        <v>44.762821267668251</v>
      </c>
      <c r="BM1229" s="3">
        <v>36.296154601001582</v>
      </c>
      <c r="BN1229" s="3">
        <v>34.379487934334925</v>
      </c>
      <c r="BO1229" s="3">
        <v>34.146154601001591</v>
      </c>
      <c r="BP1229" s="3">
        <v>32.662821267668257</v>
      </c>
      <c r="BQ1229" s="3">
        <v>32.079487934334914</v>
      </c>
      <c r="BR1229" s="3">
        <v>30.806154601001587</v>
      </c>
      <c r="BS1229" s="3">
        <v>31.509487934334921</v>
      </c>
      <c r="BT1229" s="3">
        <v>29.206154601001593</v>
      </c>
      <c r="BU1229" s="3">
        <v>25.57282126766826</v>
      </c>
      <c r="BV1229" s="3">
        <v>23.489487934334925</v>
      </c>
      <c r="BW1229" s="3">
        <v>21.32282126766826</v>
      </c>
      <c r="BX1229" s="3">
        <v>18.142821267668261</v>
      </c>
      <c r="BY1229" s="3">
        <v>14.662821267668257</v>
      </c>
      <c r="BZ1229" s="3">
        <v>15.292821267668259</v>
      </c>
      <c r="CA1229" s="3">
        <v>10.092821267668249</v>
      </c>
      <c r="CB1229" s="3">
        <v>9.1294879343349251</v>
      </c>
      <c r="CC1229" s="3">
        <v>9.4428212676682577</v>
      </c>
      <c r="CD1229" s="3">
        <v>8.2494879343349297</v>
      </c>
      <c r="CE1229" s="3">
        <v>8.6428212676682534</v>
      </c>
      <c r="CF1229" s="3">
        <v>-0.94384539899841258</v>
      </c>
      <c r="CG1229" s="3">
        <v>-1.477178732331744</v>
      </c>
      <c r="CH1229" s="3">
        <v>-2.553845398998412</v>
      </c>
      <c r="CI1229" s="13">
        <f>[1]!dbasum(RecData[[#This Row],[20]:[2000]],RecData[[#Headers],[20]:[2000]])</f>
        <v>37.442690257033291</v>
      </c>
      <c r="CJ1229" s="14">
        <v>10995</v>
      </c>
      <c r="CK1229" s="15" t="s">
        <v>249</v>
      </c>
      <c r="CL1229" s="15">
        <f>RecData[[#This Row],[Start Time]]</f>
        <v>43276.19027777778</v>
      </c>
      <c r="CM1229" s="16">
        <f>RecData[[#This Row],[Wind Speed avg]]</f>
        <v>1.23</v>
      </c>
      <c r="CN1229" s="16">
        <f>RecData[[#This Row],[Wind Dir. avg]]</f>
        <v>177.7</v>
      </c>
      <c r="CO1229" s="16">
        <f>RecData[[#This Row],[Amb. Humidity]]</f>
        <v>69.900000000000006</v>
      </c>
      <c r="CP1229" s="16">
        <f>RecData[[#This Row],[Amb. Temperature]]</f>
        <v>7.4</v>
      </c>
      <c r="CQ1229" s="17">
        <f>RecData[[#This Row],[Amb. Rain Gauge]]</f>
        <v>0</v>
      </c>
      <c r="CR1229" s="4" t="s">
        <v>1</v>
      </c>
      <c r="CS1229" s="4" t="s">
        <v>49</v>
      </c>
      <c r="CT1229" s="70">
        <v>1510.0498046875</v>
      </c>
      <c r="CU1229" s="70">
        <v>52.00044631958</v>
      </c>
      <c r="CV1229" s="70">
        <v>9.6320781707763601</v>
      </c>
      <c r="CW1229" s="70">
        <v>15.1574907302856</v>
      </c>
      <c r="CX1229" s="4"/>
      <c r="CY1229" s="69"/>
      <c r="CZ1229" s="2" t="b">
        <f>IF($DP$1="YES",IF(RecData[[#This Row],[Power (kW)]]&gt;=$CR$3, TRUE,FALSE),TRUE)</f>
        <v>1</v>
      </c>
      <c r="DA1229" s="16">
        <f>MIN(MOD(180-ABS(ABS($DA$1-RecData[Yaw Angle (°)])-180),360),MOD(180-ABS(ABS($DB$1-RecData[Yaw Angle (°)])-180),360))</f>
        <v>44.470519541892457</v>
      </c>
      <c r="DB1229" s="2" t="str">
        <f>IF($DP$2="None","None",IF(RecData[[#This Row],[Relative Wind Direction]]&lt;=45,"DW",IF(RecData[[#This Row],[Relative Wind Direction]]&lt;=135,"CW","UW")))</f>
        <v>DW</v>
      </c>
      <c r="DC1229" s="61">
        <f>IF($CL1229-$CL1225&gt;1/24,#REF!,IF(SUM($CQ1225:$CQ1229)&gt;$DS$1,$DS$5,DC1230-1))</f>
        <v>-5</v>
      </c>
      <c r="DD1229" s="61">
        <f>IF($CL1230-$CL1229&gt;1/24,#REF!,IF(SUM($CQ1225:$CQ1229)&gt;$DS$1,$DS$6,DD1228-1))</f>
        <v>-6</v>
      </c>
      <c r="DE1229" s="18" t="b">
        <v>0</v>
      </c>
      <c r="DF1229" s="2" t="b">
        <f>IF(OR(RecData[[#This Row],[WSpd_Avg '[m/s']]]-RecData[[#This Row],[Wind Speed min]]&gt;=$DF$3,RecData[[#This Row],[Wind Speed max]]-RecData[[#This Row],[WSpd_Avg '[m/s']]]&gt;=$DF$2),TRUE,FALSE)</f>
        <v>0</v>
      </c>
      <c r="DG1229" s="2" t="b">
        <f>RecData[[#This Row],[Temperature '[°C']]]&lt;=-20</f>
        <v>0</v>
      </c>
      <c r="DH1229" s="18" t="b">
        <f>NOT(OR(MOD(RecData[[#This Row],[TIMESTAMP]],1)&gt;0.91632,MOD(RecData[[#This Row],[TIMESTAMP]],1)&lt;0.208681))</f>
        <v>0</v>
      </c>
      <c r="DI1229" s="18" t="b">
        <f>RecData[[#This Row],[Overall (dBA)]]-RecData[[#This Row],[L90]]&gt;=$DS$4</f>
        <v>0</v>
      </c>
      <c r="DJ1229" s="18" t="b">
        <f>RecData[[#This Row],[Overall (dBA)]]&gt;$DS$2</f>
        <v>0</v>
      </c>
      <c r="DK1229" s="18" t="b">
        <f>RecData[[#This Row],[Overall (dBA)]]&lt;$DS$3</f>
        <v>0</v>
      </c>
      <c r="DL122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29" s="2">
        <f>IF(AND(RecData[[#This Row],[Turbines ON/OFF]] = "OFF", NOT(OR(RecData[[#This Row],[Junk?]]="YES",RecData[[#This Row],[Gust?]],RecData[[#This Row],[Rain?]:[Min SPL Threshold?]]))),1,0)</f>
        <v>0</v>
      </c>
      <c r="DN1229" s="16">
        <f>RecData[[#This Row],[dBA Sum]]</f>
        <v>37.442690257033291</v>
      </c>
      <c r="DO1229" s="16">
        <f>RecData[[#This Row],[LAF90.0]]</f>
        <v>35.799999999999997</v>
      </c>
      <c r="DP1229" s="55">
        <f>IF(AND(RecData[[#This Row],[Useable TON Data?]],RecData[[#This Row],[Turbines ON/OFF]]="ON"),RecData[[#This Row],[dBA Sum]],"")</f>
        <v>37.442690257033291</v>
      </c>
      <c r="DQ1229" s="55" t="str">
        <f>IF(AND(RecData[[#This Row],[Useable Background Data?]],RecData[[#This Row],[Turbines ON/OFF]]="OFF"),RecData[[#This Row],[dBA Sum]],"")</f>
        <v/>
      </c>
      <c r="DR1229" s="3">
        <f>IF(OR(RecData[[#This Row],[Useable TON Data?]],RecData[[#This Row],[Useable Background Data?]]),ROUND(RecData[[#This Row],[WSpd_Avg '[m/s']]],0),"")</f>
        <v>1</v>
      </c>
      <c r="DS1229" s="85">
        <f>(0.00002)^2*(10^(RecData[[#This Row],[Overall (dBA)]]/10))</f>
        <v>2.2198775393051721E-6</v>
      </c>
    </row>
    <row r="1230" spans="1:123" ht="15" x14ac:dyDescent="0.25">
      <c r="A1230" s="3" t="s">
        <v>249</v>
      </c>
      <c r="B1230" s="12">
        <v>43276.190972222226</v>
      </c>
      <c r="C1230" s="3"/>
      <c r="D1230" s="3">
        <v>37.6</v>
      </c>
      <c r="E1230" s="3"/>
      <c r="F1230" s="3"/>
      <c r="G1230" s="3"/>
      <c r="H1230" s="3"/>
      <c r="I1230" s="3"/>
      <c r="J1230" s="3"/>
      <c r="K1230" s="3">
        <v>36.4</v>
      </c>
      <c r="L1230" s="3"/>
      <c r="M1230" s="3"/>
      <c r="N1230" s="3">
        <v>160.30000000000001</v>
      </c>
      <c r="O1230" s="3"/>
      <c r="P1230" s="3"/>
      <c r="Q1230" s="3">
        <v>0.54</v>
      </c>
      <c r="R1230" s="3">
        <v>0</v>
      </c>
      <c r="S1230" s="3">
        <v>2</v>
      </c>
      <c r="T1230" s="3">
        <v>7.5</v>
      </c>
      <c r="U1230" s="3">
        <v>69.3</v>
      </c>
      <c r="V1230" s="3">
        <v>979</v>
      </c>
      <c r="W1230" s="3">
        <v>0</v>
      </c>
      <c r="X1230" s="3">
        <v>41.2</v>
      </c>
      <c r="Y1230" s="3">
        <v>40.9</v>
      </c>
      <c r="Z1230" s="3">
        <v>39.700000000000003</v>
      </c>
      <c r="AA1230" s="3">
        <v>36.200000000000003</v>
      </c>
      <c r="AB1230" s="3">
        <v>31.1</v>
      </c>
      <c r="AC1230" s="3">
        <v>30.9</v>
      </c>
      <c r="AD1230" s="3">
        <v>34.5</v>
      </c>
      <c r="AE1230" s="3">
        <v>35.799999999999997</v>
      </c>
      <c r="AF1230" s="3">
        <v>43.9</v>
      </c>
      <c r="AG1230" s="3">
        <v>35.799999999999997</v>
      </c>
      <c r="AH1230" s="3">
        <v>33.9</v>
      </c>
      <c r="AI1230" s="3">
        <v>34.700000000000003</v>
      </c>
      <c r="AJ1230" s="3">
        <v>33.299999999999997</v>
      </c>
      <c r="AK1230" s="3">
        <v>32.200000000000003</v>
      </c>
      <c r="AL1230" s="3">
        <v>30.8</v>
      </c>
      <c r="AM1230" s="3">
        <v>31.5</v>
      </c>
      <c r="AN1230" s="3">
        <v>29.1</v>
      </c>
      <c r="AO1230" s="3">
        <v>25.6</v>
      </c>
      <c r="AP1230" s="3">
        <v>23.8</v>
      </c>
      <c r="AQ1230" s="3">
        <v>21.1</v>
      </c>
      <c r="AR1230" s="3">
        <v>18.7</v>
      </c>
      <c r="AS1230" s="3">
        <v>16.600000000000001</v>
      </c>
      <c r="AT1230" s="3">
        <v>17.5</v>
      </c>
      <c r="AU1230" s="3">
        <v>11.6</v>
      </c>
      <c r="AV1230" s="3">
        <v>10.4</v>
      </c>
      <c r="AW1230" s="3">
        <v>10</v>
      </c>
      <c r="AX1230" s="3">
        <v>9.1999999999999993</v>
      </c>
      <c r="AY1230" s="3">
        <v>9.1999999999999993</v>
      </c>
      <c r="AZ1230" s="3">
        <v>0</v>
      </c>
      <c r="BA1230" s="3">
        <v>0</v>
      </c>
      <c r="BB1230" s="3">
        <v>0</v>
      </c>
      <c r="BC1230" s="3">
        <v>37.552943319865406</v>
      </c>
      <c r="BD1230" s="3">
        <v>41.247056680134605</v>
      </c>
      <c r="BE1230" s="3">
        <v>40.947056680134594</v>
      </c>
      <c r="BF1230" s="3">
        <v>38.507056680134596</v>
      </c>
      <c r="BG1230" s="3">
        <v>35.333723346801264</v>
      </c>
      <c r="BH1230" s="3">
        <v>30.37372334680127</v>
      </c>
      <c r="BI1230" s="3">
        <v>30.587056680134594</v>
      </c>
      <c r="BJ1230" s="3">
        <v>34.980390013467925</v>
      </c>
      <c r="BK1230" s="3">
        <v>36.153723346801257</v>
      </c>
      <c r="BL1230" s="3">
        <v>43.827056680134589</v>
      </c>
      <c r="BM1230" s="3">
        <v>35.860390013467921</v>
      </c>
      <c r="BN1230" s="3">
        <v>34.243723346801261</v>
      </c>
      <c r="BO1230" s="3">
        <v>34.410390013467932</v>
      </c>
      <c r="BP1230" s="3">
        <v>32.727056680134595</v>
      </c>
      <c r="BQ1230" s="3">
        <v>32.043723346801258</v>
      </c>
      <c r="BR1230" s="3">
        <v>30.970390013467934</v>
      </c>
      <c r="BS1230" s="3">
        <v>31.473723346801265</v>
      </c>
      <c r="BT1230" s="3">
        <v>29.270390013467932</v>
      </c>
      <c r="BU1230" s="3">
        <v>25.7370566801346</v>
      </c>
      <c r="BV1230" s="3">
        <v>23.653723346801264</v>
      </c>
      <c r="BW1230" s="3">
        <v>21.4870566801346</v>
      </c>
      <c r="BX1230" s="3">
        <v>19.007056680134596</v>
      </c>
      <c r="BY1230" s="3">
        <v>16.727056680134595</v>
      </c>
      <c r="BZ1230" s="3">
        <v>17.757056680134596</v>
      </c>
      <c r="CA1230" s="3">
        <v>11.957056680134585</v>
      </c>
      <c r="CB1230" s="3">
        <v>10.193723346801264</v>
      </c>
      <c r="CC1230" s="3">
        <v>10.007056680134596</v>
      </c>
      <c r="CD1230" s="3">
        <v>8.5137233468012639</v>
      </c>
      <c r="CE1230" s="3">
        <v>8.7070566801345919</v>
      </c>
      <c r="CF1230" s="3">
        <v>-0.87960998653207412</v>
      </c>
      <c r="CG1230" s="3">
        <v>-1.4129433198654056</v>
      </c>
      <c r="CH1230" s="3">
        <v>-2.4896099865320735</v>
      </c>
      <c r="CI1230" s="13">
        <f>[1]!dbasum(RecData[[#This Row],[20]:[2000]],RecData[[#Headers],[20]:[2000]])</f>
        <v>37.393103998970886</v>
      </c>
      <c r="CJ1230" s="14">
        <v>10996</v>
      </c>
      <c r="CK1230" s="15" t="s">
        <v>249</v>
      </c>
      <c r="CL1230" s="15">
        <f>RecData[[#This Row],[Start Time]]</f>
        <v>43276.190972222226</v>
      </c>
      <c r="CM1230" s="16">
        <f>RecData[[#This Row],[Wind Speed avg]]</f>
        <v>0.54</v>
      </c>
      <c r="CN1230" s="16">
        <f>RecData[[#This Row],[Wind Dir. avg]]</f>
        <v>160.30000000000001</v>
      </c>
      <c r="CO1230" s="16">
        <f>RecData[[#This Row],[Amb. Humidity]]</f>
        <v>69.3</v>
      </c>
      <c r="CP1230" s="16">
        <f>RecData[[#This Row],[Amb. Temperature]]</f>
        <v>7.5</v>
      </c>
      <c r="CQ1230" s="17">
        <f>RecData[[#This Row],[Amb. Rain Gauge]]</f>
        <v>0</v>
      </c>
      <c r="CR1230" s="4" t="s">
        <v>1</v>
      </c>
      <c r="CS1230" s="4" t="s">
        <v>49</v>
      </c>
      <c r="CT1230" s="70">
        <v>1510.0498046875</v>
      </c>
      <c r="CU1230" s="70">
        <v>52.00044631958</v>
      </c>
      <c r="CV1230" s="70">
        <v>9.6320781707763601</v>
      </c>
      <c r="CW1230" s="70">
        <v>15.1574907302856</v>
      </c>
      <c r="CX1230" s="4"/>
      <c r="CY1230" s="69"/>
      <c r="CZ1230" s="2" t="b">
        <f>IF($DP$1="YES",IF(RecData[[#This Row],[Power (kW)]]&gt;=$CR$3, TRUE,FALSE),TRUE)</f>
        <v>1</v>
      </c>
      <c r="DA1230" s="16">
        <f>MIN(MOD(180-ABS(ABS($DA$1-RecData[Yaw Angle (°)])-180),360),MOD(180-ABS(ABS($DB$1-RecData[Yaw Angle (°)])-180),360))</f>
        <v>44.470519541892457</v>
      </c>
      <c r="DB1230" s="2" t="str">
        <f>IF($DP$2="None","None",IF(RecData[[#This Row],[Relative Wind Direction]]&lt;=45,"DW",IF(RecData[[#This Row],[Relative Wind Direction]]&lt;=135,"CW","UW")))</f>
        <v>DW</v>
      </c>
      <c r="DC1230" s="61">
        <f>IF($CL1230-$CL1226&gt;1/24,#REF!,IF(SUM($CQ1226:$CQ1230)&gt;$DS$1,$DS$5,DC1231-1))</f>
        <v>-4</v>
      </c>
      <c r="DD1230" s="61">
        <f>IF($CL1231-$CL1230&gt;1/24,#REF!,IF(SUM($CQ1226:$CQ1230)&gt;$DS$1,$DS$6,DD1229-1))</f>
        <v>-7</v>
      </c>
      <c r="DE1230" s="18" t="b">
        <v>0</v>
      </c>
      <c r="DF1230" s="2" t="b">
        <f>IF(OR(RecData[[#This Row],[WSpd_Avg '[m/s']]]-RecData[[#This Row],[Wind Speed min]]&gt;=$DF$3,RecData[[#This Row],[Wind Speed max]]-RecData[[#This Row],[WSpd_Avg '[m/s']]]&gt;=$DF$2),TRUE,FALSE)</f>
        <v>0</v>
      </c>
      <c r="DG1230" s="2" t="b">
        <f>RecData[[#This Row],[Temperature '[°C']]]&lt;=-20</f>
        <v>0</v>
      </c>
      <c r="DH1230" s="18" t="b">
        <f>NOT(OR(MOD(RecData[[#This Row],[TIMESTAMP]],1)&gt;0.91632,MOD(RecData[[#This Row],[TIMESTAMP]],1)&lt;0.208681))</f>
        <v>0</v>
      </c>
      <c r="DI1230" s="18" t="b">
        <f>RecData[[#This Row],[Overall (dBA)]]-RecData[[#This Row],[L90]]&gt;=$DS$4</f>
        <v>0</v>
      </c>
      <c r="DJ1230" s="18" t="b">
        <f>RecData[[#This Row],[Overall (dBA)]]&gt;$DS$2</f>
        <v>0</v>
      </c>
      <c r="DK1230" s="18" t="b">
        <f>RecData[[#This Row],[Overall (dBA)]]&lt;$DS$3</f>
        <v>0</v>
      </c>
      <c r="DL123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0" s="2">
        <f>IF(AND(RecData[[#This Row],[Turbines ON/OFF]] = "OFF", NOT(OR(RecData[[#This Row],[Junk?]]="YES",RecData[[#This Row],[Gust?]],RecData[[#This Row],[Rain?]:[Min SPL Threshold?]]))),1,0)</f>
        <v>0</v>
      </c>
      <c r="DN1230" s="16">
        <f>RecData[[#This Row],[dBA Sum]]</f>
        <v>37.393103998970886</v>
      </c>
      <c r="DO1230" s="16">
        <f>RecData[[#This Row],[LAF90.0]]</f>
        <v>36.4</v>
      </c>
      <c r="DP1230" s="55">
        <f>IF(AND(RecData[[#This Row],[Useable TON Data?]],RecData[[#This Row],[Turbines ON/OFF]]="ON"),RecData[[#This Row],[dBA Sum]],"")</f>
        <v>37.393103998970886</v>
      </c>
      <c r="DQ1230" s="55" t="str">
        <f>IF(AND(RecData[[#This Row],[Useable Background Data?]],RecData[[#This Row],[Turbines ON/OFF]]="OFF"),RecData[[#This Row],[dBA Sum]],"")</f>
        <v/>
      </c>
      <c r="DR1230" s="3">
        <f>IF(OR(RecData[[#This Row],[Useable TON Data?]],RecData[[#This Row],[Useable Background Data?]]),ROUND(RecData[[#This Row],[WSpd_Avg '[m/s']]],0),"")</f>
        <v>1</v>
      </c>
      <c r="DS1230" s="85">
        <f>(0.00002)^2*(10^(RecData[[#This Row],[Overall (dBA)]]/10))</f>
        <v>2.1946758827885749E-6</v>
      </c>
    </row>
    <row r="1231" spans="1:123" ht="15" x14ac:dyDescent="0.25">
      <c r="A1231" s="3" t="s">
        <v>249</v>
      </c>
      <c r="B1231" s="12">
        <v>43276.191666666673</v>
      </c>
      <c r="C1231" s="3"/>
      <c r="D1231" s="3">
        <v>37.4</v>
      </c>
      <c r="E1231" s="3"/>
      <c r="F1231" s="3"/>
      <c r="G1231" s="3"/>
      <c r="H1231" s="3"/>
      <c r="I1231" s="3"/>
      <c r="J1231" s="3"/>
      <c r="K1231" s="3">
        <v>36.1</v>
      </c>
      <c r="L1231" s="3"/>
      <c r="M1231" s="3"/>
      <c r="N1231" s="3">
        <v>180.1</v>
      </c>
      <c r="O1231" s="3"/>
      <c r="P1231" s="3"/>
      <c r="Q1231" s="3">
        <v>1.19</v>
      </c>
      <c r="R1231" s="3">
        <v>0.4</v>
      </c>
      <c r="S1231" s="3">
        <v>1.8</v>
      </c>
      <c r="T1231" s="3">
        <v>7.6</v>
      </c>
      <c r="U1231" s="3">
        <v>69.5</v>
      </c>
      <c r="V1231" s="3">
        <v>979</v>
      </c>
      <c r="W1231" s="3">
        <v>0</v>
      </c>
      <c r="X1231" s="3">
        <v>40.9</v>
      </c>
      <c r="Y1231" s="3">
        <v>40.5</v>
      </c>
      <c r="Z1231" s="3">
        <v>39.4</v>
      </c>
      <c r="AA1231" s="3">
        <v>35.5</v>
      </c>
      <c r="AB1231" s="3">
        <v>30.8</v>
      </c>
      <c r="AC1231" s="3">
        <v>30.1</v>
      </c>
      <c r="AD1231" s="3">
        <v>33</v>
      </c>
      <c r="AE1231" s="3">
        <v>34.5</v>
      </c>
      <c r="AF1231" s="3">
        <v>44.3</v>
      </c>
      <c r="AG1231" s="3">
        <v>37.299999999999997</v>
      </c>
      <c r="AH1231" s="3">
        <v>32.799999999999997</v>
      </c>
      <c r="AI1231" s="3">
        <v>34.4</v>
      </c>
      <c r="AJ1231" s="3">
        <v>32.9</v>
      </c>
      <c r="AK1231" s="3">
        <v>31.9</v>
      </c>
      <c r="AL1231" s="3">
        <v>30.5</v>
      </c>
      <c r="AM1231" s="3">
        <v>31.2</v>
      </c>
      <c r="AN1231" s="3">
        <v>28.9</v>
      </c>
      <c r="AO1231" s="3">
        <v>25.5</v>
      </c>
      <c r="AP1231" s="3">
        <v>23.5</v>
      </c>
      <c r="AQ1231" s="3">
        <v>21.3</v>
      </c>
      <c r="AR1231" s="3">
        <v>18.7</v>
      </c>
      <c r="AS1231" s="3">
        <v>15.9</v>
      </c>
      <c r="AT1231" s="3">
        <v>17.8</v>
      </c>
      <c r="AU1231" s="3">
        <v>12</v>
      </c>
      <c r="AV1231" s="3">
        <v>10.9</v>
      </c>
      <c r="AW1231" s="3">
        <v>10.199999999999999</v>
      </c>
      <c r="AX1231" s="3">
        <v>9.3000000000000007</v>
      </c>
      <c r="AY1231" s="3">
        <v>9.3000000000000007</v>
      </c>
      <c r="AZ1231" s="3">
        <v>0</v>
      </c>
      <c r="BA1231" s="3">
        <v>0</v>
      </c>
      <c r="BB1231" s="3">
        <v>0</v>
      </c>
      <c r="BC1231" s="3">
        <v>37.410476230859857</v>
      </c>
      <c r="BD1231" s="3">
        <v>40.889523769140141</v>
      </c>
      <c r="BE1231" s="3">
        <v>40.489523769140149</v>
      </c>
      <c r="BF1231" s="3">
        <v>38.149523769140146</v>
      </c>
      <c r="BG1231" s="3">
        <v>34.576190435806808</v>
      </c>
      <c r="BH1231" s="3">
        <v>30.01619043580682</v>
      </c>
      <c r="BI1231" s="3">
        <v>29.729523769140144</v>
      </c>
      <c r="BJ1231" s="3">
        <v>33.422857102473472</v>
      </c>
      <c r="BK1231" s="3">
        <v>34.796190435806807</v>
      </c>
      <c r="BL1231" s="3">
        <v>44.169523769140142</v>
      </c>
      <c r="BM1231" s="3">
        <v>37.302857102473482</v>
      </c>
      <c r="BN1231" s="3">
        <v>33.086190435806813</v>
      </c>
      <c r="BO1231" s="3">
        <v>34.052857102473482</v>
      </c>
      <c r="BP1231" s="3">
        <v>32.26952376914015</v>
      </c>
      <c r="BQ1231" s="3">
        <v>31.686190435806793</v>
      </c>
      <c r="BR1231" s="3">
        <v>30.612857102473484</v>
      </c>
      <c r="BS1231" s="3">
        <v>31.116190435806814</v>
      </c>
      <c r="BT1231" s="3">
        <v>29.012857102473475</v>
      </c>
      <c r="BU1231" s="3">
        <v>25.579523769140145</v>
      </c>
      <c r="BV1231" s="3">
        <v>23.296190435806807</v>
      </c>
      <c r="BW1231" s="3">
        <v>21.62952376914015</v>
      </c>
      <c r="BX1231" s="3">
        <v>18.949523769140143</v>
      </c>
      <c r="BY1231" s="3">
        <v>15.969523769140139</v>
      </c>
      <c r="BZ1231" s="3">
        <v>17.999523769140147</v>
      </c>
      <c r="CA1231" s="3">
        <v>12.299523769140137</v>
      </c>
      <c r="CB1231" s="3">
        <v>10.63619043580681</v>
      </c>
      <c r="CC1231" s="3">
        <v>10.149523769140139</v>
      </c>
      <c r="CD1231" s="3">
        <v>8.5561904358068119</v>
      </c>
      <c r="CE1231" s="3">
        <v>8.74952376914014</v>
      </c>
      <c r="CF1231" s="3">
        <v>-0.93714289752652746</v>
      </c>
      <c r="CG1231" s="3">
        <v>-1.4704762308598589</v>
      </c>
      <c r="CH1231" s="3">
        <v>-2.5471428975265269</v>
      </c>
      <c r="CI1231" s="13">
        <f>[1]!dbasum(RecData[[#This Row],[20]:[2000]],RecData[[#Headers],[20]:[2000]])</f>
        <v>37.188881735602955</v>
      </c>
      <c r="CJ1231" s="14">
        <v>10997</v>
      </c>
      <c r="CK1231" s="15" t="s">
        <v>249</v>
      </c>
      <c r="CL1231" s="15">
        <f>RecData[[#This Row],[Start Time]]</f>
        <v>43276.191666666673</v>
      </c>
      <c r="CM1231" s="16">
        <f>RecData[[#This Row],[Wind Speed avg]]</f>
        <v>1.19</v>
      </c>
      <c r="CN1231" s="16">
        <f>RecData[[#This Row],[Wind Dir. avg]]</f>
        <v>180.1</v>
      </c>
      <c r="CO1231" s="16">
        <f>RecData[[#This Row],[Amb. Humidity]]</f>
        <v>69.5</v>
      </c>
      <c r="CP1231" s="16">
        <f>RecData[[#This Row],[Amb. Temperature]]</f>
        <v>7.6</v>
      </c>
      <c r="CQ1231" s="17">
        <f>RecData[[#This Row],[Amb. Rain Gauge]]</f>
        <v>0</v>
      </c>
      <c r="CR1231" s="4" t="s">
        <v>1</v>
      </c>
      <c r="CS1231" s="4" t="s">
        <v>49</v>
      </c>
      <c r="CT1231" s="70">
        <v>1510.0498046875</v>
      </c>
      <c r="CU1231" s="70">
        <v>52.00044631958</v>
      </c>
      <c r="CV1231" s="70">
        <v>9.6320781707763601</v>
      </c>
      <c r="CW1231" s="70">
        <v>15.1574907302856</v>
      </c>
      <c r="CX1231" s="4"/>
      <c r="CY1231" s="69"/>
      <c r="CZ1231" s="2" t="b">
        <f>IF($DP$1="YES",IF(RecData[[#This Row],[Power (kW)]]&gt;=$CR$3, TRUE,FALSE),TRUE)</f>
        <v>1</v>
      </c>
      <c r="DA1231" s="16">
        <f>MIN(MOD(180-ABS(ABS($DA$1-RecData[Yaw Angle (°)])-180),360),MOD(180-ABS(ABS($DB$1-RecData[Yaw Angle (°)])-180),360))</f>
        <v>44.470519541892457</v>
      </c>
      <c r="DB1231" s="2" t="str">
        <f>IF($DP$2="None","None",IF(RecData[[#This Row],[Relative Wind Direction]]&lt;=45,"DW",IF(RecData[[#This Row],[Relative Wind Direction]]&lt;=135,"CW","UW")))</f>
        <v>DW</v>
      </c>
      <c r="DC1231" s="61">
        <f>IF($CL1231-$CL1227&gt;1/24,#REF!,IF(SUM($CQ1227:$CQ1231)&gt;$DS$1,$DS$5,DC1232-1))</f>
        <v>-3</v>
      </c>
      <c r="DD1231" s="61">
        <f>IF($CL1232-$CL1231&gt;1/24,#REF!,IF(SUM($CQ1227:$CQ1231)&gt;$DS$1,$DS$6,DD1230-1))</f>
        <v>-8</v>
      </c>
      <c r="DE1231" s="18" t="b">
        <v>0</v>
      </c>
      <c r="DF1231" s="2" t="b">
        <f>IF(OR(RecData[[#This Row],[WSpd_Avg '[m/s']]]-RecData[[#This Row],[Wind Speed min]]&gt;=$DF$3,RecData[[#This Row],[Wind Speed max]]-RecData[[#This Row],[WSpd_Avg '[m/s']]]&gt;=$DF$2),TRUE,FALSE)</f>
        <v>0</v>
      </c>
      <c r="DG1231" s="2" t="b">
        <f>RecData[[#This Row],[Temperature '[°C']]]&lt;=-20</f>
        <v>0</v>
      </c>
      <c r="DH1231" s="18" t="b">
        <f>NOT(OR(MOD(RecData[[#This Row],[TIMESTAMP]],1)&gt;0.91632,MOD(RecData[[#This Row],[TIMESTAMP]],1)&lt;0.208681))</f>
        <v>0</v>
      </c>
      <c r="DI1231" s="18" t="b">
        <f>RecData[[#This Row],[Overall (dBA)]]-RecData[[#This Row],[L90]]&gt;=$DS$4</f>
        <v>0</v>
      </c>
      <c r="DJ1231" s="18" t="b">
        <f>RecData[[#This Row],[Overall (dBA)]]&gt;$DS$2</f>
        <v>0</v>
      </c>
      <c r="DK1231" s="18" t="b">
        <f>RecData[[#This Row],[Overall (dBA)]]&lt;$DS$3</f>
        <v>0</v>
      </c>
      <c r="DL123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1" s="2">
        <f>IF(AND(RecData[[#This Row],[Turbines ON/OFF]] = "OFF", NOT(OR(RecData[[#This Row],[Junk?]]="YES",RecData[[#This Row],[Gust?]],RecData[[#This Row],[Rain?]:[Min SPL Threshold?]]))),1,0)</f>
        <v>0</v>
      </c>
      <c r="DN1231" s="16">
        <f>RecData[[#This Row],[dBA Sum]]</f>
        <v>37.188881735602955</v>
      </c>
      <c r="DO1231" s="16">
        <f>RecData[[#This Row],[LAF90.0]]</f>
        <v>36.1</v>
      </c>
      <c r="DP1231" s="55">
        <f>IF(AND(RecData[[#This Row],[Useable TON Data?]],RecData[[#This Row],[Turbines ON/OFF]]="ON"),RecData[[#This Row],[dBA Sum]],"")</f>
        <v>37.188881735602955</v>
      </c>
      <c r="DQ1231" s="55" t="str">
        <f>IF(AND(RecData[[#This Row],[Useable Background Data?]],RecData[[#This Row],[Turbines ON/OFF]]="OFF"),RecData[[#This Row],[dBA Sum]],"")</f>
        <v/>
      </c>
      <c r="DR1231" s="3">
        <f>IF(OR(RecData[[#This Row],[Useable TON Data?]],RecData[[#This Row],[Useable Background Data?]]),ROUND(RecData[[#This Row],[WSpd_Avg '[m/s']]],0),"")</f>
        <v>1</v>
      </c>
      <c r="DS1231" s="85">
        <f>(0.00002)^2*(10^(RecData[[#This Row],[Overall (dBA)]]/10))</f>
        <v>2.0938625284858534E-6</v>
      </c>
    </row>
    <row r="1232" spans="1:123" ht="15" x14ac:dyDescent="0.25">
      <c r="A1232" s="3" t="s">
        <v>249</v>
      </c>
      <c r="B1232" s="12">
        <v>43276.192361111112</v>
      </c>
      <c r="C1232" s="3"/>
      <c r="D1232" s="3">
        <v>38.5</v>
      </c>
      <c r="E1232" s="3"/>
      <c r="F1232" s="3"/>
      <c r="G1232" s="3"/>
      <c r="H1232" s="3"/>
      <c r="I1232" s="3"/>
      <c r="J1232" s="3"/>
      <c r="K1232" s="3">
        <v>36.6</v>
      </c>
      <c r="L1232" s="3"/>
      <c r="M1232" s="3"/>
      <c r="N1232" s="3">
        <v>203.5</v>
      </c>
      <c r="O1232" s="3"/>
      <c r="P1232" s="3"/>
      <c r="Q1232" s="3">
        <v>0.61</v>
      </c>
      <c r="R1232" s="3">
        <v>0.1</v>
      </c>
      <c r="S1232" s="3">
        <v>1.7</v>
      </c>
      <c r="T1232" s="3">
        <v>7.7</v>
      </c>
      <c r="U1232" s="3">
        <v>67.900000000000006</v>
      </c>
      <c r="V1232" s="3">
        <v>978.9</v>
      </c>
      <c r="W1232" s="3">
        <v>0</v>
      </c>
      <c r="X1232" s="3">
        <v>41.1</v>
      </c>
      <c r="Y1232" s="3">
        <v>41.1</v>
      </c>
      <c r="Z1232" s="3">
        <v>39.299999999999997</v>
      </c>
      <c r="AA1232" s="3">
        <v>36</v>
      </c>
      <c r="AB1232" s="3">
        <v>30.7</v>
      </c>
      <c r="AC1232" s="3">
        <v>31</v>
      </c>
      <c r="AD1232" s="3">
        <v>35.200000000000003</v>
      </c>
      <c r="AE1232" s="3">
        <v>36.200000000000003</v>
      </c>
      <c r="AF1232" s="3">
        <v>46.1</v>
      </c>
      <c r="AG1232" s="3">
        <v>38.200000000000003</v>
      </c>
      <c r="AH1232" s="3">
        <v>34.799999999999997</v>
      </c>
      <c r="AI1232" s="3">
        <v>34.799999999999997</v>
      </c>
      <c r="AJ1232" s="3">
        <v>33.9</v>
      </c>
      <c r="AK1232" s="3">
        <v>32.5</v>
      </c>
      <c r="AL1232" s="3">
        <v>31.3</v>
      </c>
      <c r="AM1232" s="3">
        <v>32</v>
      </c>
      <c r="AN1232" s="3">
        <v>29.9</v>
      </c>
      <c r="AO1232" s="3">
        <v>26</v>
      </c>
      <c r="AP1232" s="3">
        <v>24</v>
      </c>
      <c r="AQ1232" s="3">
        <v>21.6</v>
      </c>
      <c r="AR1232" s="3">
        <v>18.600000000000001</v>
      </c>
      <c r="AS1232" s="3">
        <v>17.2</v>
      </c>
      <c r="AT1232" s="3">
        <v>22</v>
      </c>
      <c r="AU1232" s="3">
        <v>19.5</v>
      </c>
      <c r="AV1232" s="3">
        <v>10</v>
      </c>
      <c r="AW1232" s="3">
        <v>9.5</v>
      </c>
      <c r="AX1232" s="3">
        <v>9</v>
      </c>
      <c r="AY1232" s="3">
        <v>9.1</v>
      </c>
      <c r="AZ1232" s="3">
        <v>0</v>
      </c>
      <c r="BA1232" s="3">
        <v>0</v>
      </c>
      <c r="BB1232" s="3">
        <v>0</v>
      </c>
      <c r="BC1232" s="3">
        <v>38.452161618404645</v>
      </c>
      <c r="BD1232" s="3">
        <v>41.147838381595349</v>
      </c>
      <c r="BE1232" s="3">
        <v>41.147838381595349</v>
      </c>
      <c r="BF1232" s="3">
        <v>38.107838381595357</v>
      </c>
      <c r="BG1232" s="3">
        <v>35.134505048262028</v>
      </c>
      <c r="BH1232" s="3">
        <v>29.974505048262031</v>
      </c>
      <c r="BI1232" s="3">
        <v>30.687838381595355</v>
      </c>
      <c r="BJ1232" s="3">
        <v>35.681171714928681</v>
      </c>
      <c r="BK1232" s="3">
        <v>36.554505048262016</v>
      </c>
      <c r="BL1232" s="3">
        <v>46.027838381595359</v>
      </c>
      <c r="BM1232" s="3">
        <v>38.261171714928693</v>
      </c>
      <c r="BN1232" s="3">
        <v>35.144505048262019</v>
      </c>
      <c r="BO1232" s="3">
        <v>34.511171714928693</v>
      </c>
      <c r="BP1232" s="3">
        <v>33.327838381595356</v>
      </c>
      <c r="BQ1232" s="3">
        <v>32.344505048262008</v>
      </c>
      <c r="BR1232" s="3">
        <v>31.471171714928687</v>
      </c>
      <c r="BS1232" s="3">
        <v>31.974505048262017</v>
      </c>
      <c r="BT1232" s="3">
        <v>30.071171714928695</v>
      </c>
      <c r="BU1232" s="3">
        <v>26.137838381595358</v>
      </c>
      <c r="BV1232" s="3">
        <v>23.854505048262027</v>
      </c>
      <c r="BW1232" s="3">
        <v>21.98783838159536</v>
      </c>
      <c r="BX1232" s="3">
        <v>18.907838381595361</v>
      </c>
      <c r="BY1232" s="3">
        <v>17.327838381595356</v>
      </c>
      <c r="BZ1232" s="3">
        <v>22.257838381595363</v>
      </c>
      <c r="CA1232" s="3">
        <v>19.857838381595343</v>
      </c>
      <c r="CB1232" s="3">
        <v>9.7945050482620175</v>
      </c>
      <c r="CC1232" s="3">
        <v>9.5078383815953558</v>
      </c>
      <c r="CD1232" s="3">
        <v>8.3145050482620277</v>
      </c>
      <c r="CE1232" s="3">
        <v>8.6078383815953572</v>
      </c>
      <c r="CF1232" s="3">
        <v>-0.8788282850713145</v>
      </c>
      <c r="CG1232" s="3">
        <v>-1.4121616184046459</v>
      </c>
      <c r="CH1232" s="3">
        <v>-2.4888282850713139</v>
      </c>
      <c r="CI1232" s="13">
        <f>[1]!dbasum(RecData[[#This Row],[20]:[2000]],RecData[[#Headers],[20]:[2000]])</f>
        <v>38.170661120693531</v>
      </c>
      <c r="CJ1232" s="14">
        <v>10998</v>
      </c>
      <c r="CK1232" s="15" t="s">
        <v>249</v>
      </c>
      <c r="CL1232" s="15">
        <f>RecData[[#This Row],[Start Time]]</f>
        <v>43276.192361111112</v>
      </c>
      <c r="CM1232" s="16">
        <f>RecData[[#This Row],[Wind Speed avg]]</f>
        <v>0.61</v>
      </c>
      <c r="CN1232" s="16">
        <f>RecData[[#This Row],[Wind Dir. avg]]</f>
        <v>203.5</v>
      </c>
      <c r="CO1232" s="16">
        <f>RecData[[#This Row],[Amb. Humidity]]</f>
        <v>67.900000000000006</v>
      </c>
      <c r="CP1232" s="16">
        <f>RecData[[#This Row],[Amb. Temperature]]</f>
        <v>7.7</v>
      </c>
      <c r="CQ1232" s="17">
        <f>RecData[[#This Row],[Amb. Rain Gauge]]</f>
        <v>0</v>
      </c>
      <c r="CR1232" s="4" t="s">
        <v>1</v>
      </c>
      <c r="CS1232" s="4" t="s">
        <v>49</v>
      </c>
      <c r="CT1232" s="70">
        <v>1510.0498046875</v>
      </c>
      <c r="CU1232" s="70">
        <v>52.00044631958</v>
      </c>
      <c r="CV1232" s="70">
        <v>9.6320781707763601</v>
      </c>
      <c r="CW1232" s="70">
        <v>15.1574907302856</v>
      </c>
      <c r="CX1232" s="4"/>
      <c r="CY1232" s="69"/>
      <c r="CZ1232" s="2" t="b">
        <f>IF($DP$1="YES",IF(RecData[[#This Row],[Power (kW)]]&gt;=$CR$3, TRUE,FALSE),TRUE)</f>
        <v>1</v>
      </c>
      <c r="DA1232" s="16">
        <f>MIN(MOD(180-ABS(ABS($DA$1-RecData[Yaw Angle (°)])-180),360),MOD(180-ABS(ABS($DB$1-RecData[Yaw Angle (°)])-180),360))</f>
        <v>44.470519541892457</v>
      </c>
      <c r="DB1232" s="2" t="str">
        <f>IF($DP$2="None","None",IF(RecData[[#This Row],[Relative Wind Direction]]&lt;=45,"DW",IF(RecData[[#This Row],[Relative Wind Direction]]&lt;=135,"CW","UW")))</f>
        <v>DW</v>
      </c>
      <c r="DC1232" s="61">
        <f>IF($CL1232-$CL1228&gt;1/24,#REF!,IF(SUM($CQ1228:$CQ1232)&gt;$DS$1,$DS$5,DC1233-1))</f>
        <v>-2</v>
      </c>
      <c r="DD1232" s="61">
        <f>IF($CL1233-$CL1232&gt;1/24,#REF!,IF(SUM($CQ1228:$CQ1232)&gt;$DS$1,$DS$6,DD1231-1))</f>
        <v>-9</v>
      </c>
      <c r="DE1232" s="18" t="b">
        <v>0</v>
      </c>
      <c r="DF1232" s="2" t="b">
        <f>IF(OR(RecData[[#This Row],[WSpd_Avg '[m/s']]]-RecData[[#This Row],[Wind Speed min]]&gt;=$DF$3,RecData[[#This Row],[Wind Speed max]]-RecData[[#This Row],[WSpd_Avg '[m/s']]]&gt;=$DF$2),TRUE,FALSE)</f>
        <v>0</v>
      </c>
      <c r="DG1232" s="2" t="b">
        <f>RecData[[#This Row],[Temperature '[°C']]]&lt;=-20</f>
        <v>0</v>
      </c>
      <c r="DH1232" s="18" t="b">
        <f>NOT(OR(MOD(RecData[[#This Row],[TIMESTAMP]],1)&gt;0.91632,MOD(RecData[[#This Row],[TIMESTAMP]],1)&lt;0.208681))</f>
        <v>0</v>
      </c>
      <c r="DI1232" s="18" t="b">
        <f>RecData[[#This Row],[Overall (dBA)]]-RecData[[#This Row],[L90]]&gt;=$DS$4</f>
        <v>0</v>
      </c>
      <c r="DJ1232" s="18" t="b">
        <f>RecData[[#This Row],[Overall (dBA)]]&gt;$DS$2</f>
        <v>0</v>
      </c>
      <c r="DK1232" s="18" t="b">
        <f>RecData[[#This Row],[Overall (dBA)]]&lt;$DS$3</f>
        <v>0</v>
      </c>
      <c r="DL123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2" s="2">
        <f>IF(AND(RecData[[#This Row],[Turbines ON/OFF]] = "OFF", NOT(OR(RecData[[#This Row],[Junk?]]="YES",RecData[[#This Row],[Gust?]],RecData[[#This Row],[Rain?]:[Min SPL Threshold?]]))),1,0)</f>
        <v>0</v>
      </c>
      <c r="DN1232" s="16">
        <f>RecData[[#This Row],[dBA Sum]]</f>
        <v>38.170661120693531</v>
      </c>
      <c r="DO1232" s="16">
        <f>RecData[[#This Row],[LAF90.0]]</f>
        <v>36.6</v>
      </c>
      <c r="DP1232" s="55">
        <f>IF(AND(RecData[[#This Row],[Useable TON Data?]],RecData[[#This Row],[Turbines ON/OFF]]="ON"),RecData[[#This Row],[dBA Sum]],"")</f>
        <v>38.170661120693531</v>
      </c>
      <c r="DQ1232" s="55" t="str">
        <f>IF(AND(RecData[[#This Row],[Useable Background Data?]],RecData[[#This Row],[Turbines ON/OFF]]="OFF"),RecData[[#This Row],[dBA Sum]],"")</f>
        <v/>
      </c>
      <c r="DR1232" s="3">
        <f>IF(OR(RecData[[#This Row],[Useable TON Data?]],RecData[[#This Row],[Useable Background Data?]]),ROUND(RecData[[#This Row],[WSpd_Avg '[m/s']]],0),"")</f>
        <v>1</v>
      </c>
      <c r="DS1232" s="85">
        <f>(0.00002)^2*(10^(RecData[[#This Row],[Overall (dBA)]]/10))</f>
        <v>2.6249806320963059E-6</v>
      </c>
    </row>
    <row r="1233" spans="1:123" ht="15" x14ac:dyDescent="0.25">
      <c r="A1233" s="3" t="s">
        <v>249</v>
      </c>
      <c r="B1233" s="12">
        <v>43276.193055555559</v>
      </c>
      <c r="C1233" s="3"/>
      <c r="D1233" s="3">
        <v>38.200000000000003</v>
      </c>
      <c r="E1233" s="3"/>
      <c r="F1233" s="3"/>
      <c r="G1233" s="3"/>
      <c r="H1233" s="3"/>
      <c r="I1233" s="3"/>
      <c r="J1233" s="3"/>
      <c r="K1233" s="3">
        <v>35.799999999999997</v>
      </c>
      <c r="L1233" s="3"/>
      <c r="M1233" s="3"/>
      <c r="N1233" s="3">
        <v>192.1</v>
      </c>
      <c r="O1233" s="3"/>
      <c r="P1233" s="3"/>
      <c r="Q1233" s="3">
        <v>0.78</v>
      </c>
      <c r="R1233" s="3">
        <v>0.5</v>
      </c>
      <c r="S1233" s="3">
        <v>1.1000000000000001</v>
      </c>
      <c r="T1233" s="3">
        <v>7.7</v>
      </c>
      <c r="U1233" s="3">
        <v>67.2</v>
      </c>
      <c r="V1233" s="3">
        <v>978.9</v>
      </c>
      <c r="W1233" s="3">
        <v>0</v>
      </c>
      <c r="X1233" s="3">
        <v>41.2</v>
      </c>
      <c r="Y1233" s="3">
        <v>40.6</v>
      </c>
      <c r="Z1233" s="3">
        <v>38.6</v>
      </c>
      <c r="AA1233" s="3">
        <v>35</v>
      </c>
      <c r="AB1233" s="3">
        <v>30.4</v>
      </c>
      <c r="AC1233" s="3">
        <v>31</v>
      </c>
      <c r="AD1233" s="3">
        <v>35</v>
      </c>
      <c r="AE1233" s="3">
        <v>35.9</v>
      </c>
      <c r="AF1233" s="3">
        <v>45.4</v>
      </c>
      <c r="AG1233" s="3">
        <v>37.200000000000003</v>
      </c>
      <c r="AH1233" s="3">
        <v>33.9</v>
      </c>
      <c r="AI1233" s="3">
        <v>34.9</v>
      </c>
      <c r="AJ1233" s="3">
        <v>33.6</v>
      </c>
      <c r="AK1233" s="3">
        <v>32.799999999999997</v>
      </c>
      <c r="AL1233" s="3">
        <v>31.5</v>
      </c>
      <c r="AM1233" s="3">
        <v>32</v>
      </c>
      <c r="AN1233" s="3">
        <v>30.2</v>
      </c>
      <c r="AO1233" s="3">
        <v>26.2</v>
      </c>
      <c r="AP1233" s="3">
        <v>24</v>
      </c>
      <c r="AQ1233" s="3">
        <v>21.1</v>
      </c>
      <c r="AR1233" s="3">
        <v>17.600000000000001</v>
      </c>
      <c r="AS1233" s="3">
        <v>14.5</v>
      </c>
      <c r="AT1233" s="3">
        <v>14</v>
      </c>
      <c r="AU1233" s="3">
        <v>9.3000000000000007</v>
      </c>
      <c r="AV1233" s="3">
        <v>9.1</v>
      </c>
      <c r="AW1233" s="3">
        <v>9</v>
      </c>
      <c r="AX1233" s="3">
        <v>8.9</v>
      </c>
      <c r="AY1233" s="3">
        <v>9.1</v>
      </c>
      <c r="AZ1233" s="3">
        <v>0</v>
      </c>
      <c r="BA1233" s="3">
        <v>0</v>
      </c>
      <c r="BB1233" s="3">
        <v>0</v>
      </c>
      <c r="BC1233" s="3">
        <v>38.137582162036082</v>
      </c>
      <c r="BD1233" s="3">
        <v>41.262417837963923</v>
      </c>
      <c r="BE1233" s="3">
        <v>40.662417837963929</v>
      </c>
      <c r="BF1233" s="3">
        <v>37.42241783796392</v>
      </c>
      <c r="BG1233" s="3">
        <v>34.149084504630579</v>
      </c>
      <c r="BH1233" s="3">
        <v>29.689084504630586</v>
      </c>
      <c r="BI1233" s="3">
        <v>30.702417837963921</v>
      </c>
      <c r="BJ1233" s="3">
        <v>35.495751171297243</v>
      </c>
      <c r="BK1233" s="3">
        <v>36.269084504630584</v>
      </c>
      <c r="BL1233" s="3">
        <v>45.342417837963922</v>
      </c>
      <c r="BM1233" s="3">
        <v>37.275751171297259</v>
      </c>
      <c r="BN1233" s="3">
        <v>34.259084504630593</v>
      </c>
      <c r="BO1233" s="3">
        <v>34.625751171297253</v>
      </c>
      <c r="BP1233" s="3">
        <v>33.042417837963924</v>
      </c>
      <c r="BQ1233" s="3">
        <v>32.65908450463057</v>
      </c>
      <c r="BR1233" s="3">
        <v>31.685751171297255</v>
      </c>
      <c r="BS1233" s="3">
        <v>31.989084504630583</v>
      </c>
      <c r="BT1233" s="3">
        <v>30.385751171297258</v>
      </c>
      <c r="BU1233" s="3">
        <v>26.352417837963927</v>
      </c>
      <c r="BV1233" s="3">
        <v>23.869084504630592</v>
      </c>
      <c r="BW1233" s="3">
        <v>21.502417837963925</v>
      </c>
      <c r="BX1233" s="3">
        <v>17.922417837963927</v>
      </c>
      <c r="BY1233" s="3">
        <v>14.642417837963919</v>
      </c>
      <c r="BZ1233" s="3">
        <v>14.272417837963921</v>
      </c>
      <c r="CA1233" s="3">
        <v>9.6724178379639127</v>
      </c>
      <c r="CB1233" s="3">
        <v>8.9090845046305844</v>
      </c>
      <c r="CC1233" s="3">
        <v>9.0224178379639213</v>
      </c>
      <c r="CD1233" s="3">
        <v>8.2290845046305918</v>
      </c>
      <c r="CE1233" s="3">
        <v>8.6224178379639227</v>
      </c>
      <c r="CF1233" s="3">
        <v>-0.86424882870274899</v>
      </c>
      <c r="CG1233" s="3">
        <v>-1.3975821620360804</v>
      </c>
      <c r="CH1233" s="3">
        <v>-2.4742488287027484</v>
      </c>
      <c r="CI1233" s="13">
        <f>[1]!dbasum(RecData[[#This Row],[20]:[2000]],RecData[[#Headers],[20]:[2000]])</f>
        <v>38.066673904290539</v>
      </c>
      <c r="CJ1233" s="14">
        <v>10999</v>
      </c>
      <c r="CK1233" s="15" t="s">
        <v>249</v>
      </c>
      <c r="CL1233" s="15">
        <f>RecData[[#This Row],[Start Time]]</f>
        <v>43276.193055555559</v>
      </c>
      <c r="CM1233" s="16">
        <f>RecData[[#This Row],[Wind Speed avg]]</f>
        <v>0.78</v>
      </c>
      <c r="CN1233" s="16">
        <f>RecData[[#This Row],[Wind Dir. avg]]</f>
        <v>192.1</v>
      </c>
      <c r="CO1233" s="16">
        <f>RecData[[#This Row],[Amb. Humidity]]</f>
        <v>67.2</v>
      </c>
      <c r="CP1233" s="16">
        <f>RecData[[#This Row],[Amb. Temperature]]</f>
        <v>7.7</v>
      </c>
      <c r="CQ1233" s="17">
        <f>RecData[[#This Row],[Amb. Rain Gauge]]</f>
        <v>0</v>
      </c>
      <c r="CR1233" s="4" t="s">
        <v>1</v>
      </c>
      <c r="CS1233" s="4" t="s">
        <v>49</v>
      </c>
      <c r="CT1233" s="70">
        <v>1510.0498046875</v>
      </c>
      <c r="CU1233" s="70">
        <v>52.00044631958</v>
      </c>
      <c r="CV1233" s="70">
        <v>9.6320781707763601</v>
      </c>
      <c r="CW1233" s="70">
        <v>15.1574907302856</v>
      </c>
      <c r="CX1233" s="4"/>
      <c r="CY1233" s="69"/>
      <c r="CZ1233" s="2" t="b">
        <f>IF($DP$1="YES",IF(RecData[[#This Row],[Power (kW)]]&gt;=$CR$3, TRUE,FALSE),TRUE)</f>
        <v>1</v>
      </c>
      <c r="DA1233" s="16">
        <f>MIN(MOD(180-ABS(ABS($DA$1-RecData[Yaw Angle (°)])-180),360),MOD(180-ABS(ABS($DB$1-RecData[Yaw Angle (°)])-180),360))</f>
        <v>44.470519541892457</v>
      </c>
      <c r="DB1233" s="2" t="str">
        <f>IF($DP$2="None","None",IF(RecData[[#This Row],[Relative Wind Direction]]&lt;=45,"DW",IF(RecData[[#This Row],[Relative Wind Direction]]&lt;=135,"CW","UW")))</f>
        <v>DW</v>
      </c>
      <c r="DC1233" s="61">
        <v>-1</v>
      </c>
      <c r="DD1233" s="61">
        <v>-1</v>
      </c>
      <c r="DE1233" s="18" t="b">
        <v>0</v>
      </c>
      <c r="DF1233" s="2" t="b">
        <f>IF(OR(RecData[[#This Row],[WSpd_Avg '[m/s']]]-RecData[[#This Row],[Wind Speed min]]&gt;=$DF$3,RecData[[#This Row],[Wind Speed max]]-RecData[[#This Row],[WSpd_Avg '[m/s']]]&gt;=$DF$2),TRUE,FALSE)</f>
        <v>0</v>
      </c>
      <c r="DG1233" s="2" t="b">
        <f>RecData[[#This Row],[Temperature '[°C']]]&lt;=-20</f>
        <v>0</v>
      </c>
      <c r="DH1233" s="18" t="b">
        <f>NOT(OR(MOD(RecData[[#This Row],[TIMESTAMP]],1)&gt;0.91632,MOD(RecData[[#This Row],[TIMESTAMP]],1)&lt;0.208681))</f>
        <v>0</v>
      </c>
      <c r="DI1233" s="18" t="b">
        <f>RecData[[#This Row],[Overall (dBA)]]-RecData[[#This Row],[L90]]&gt;=$DS$4</f>
        <v>0</v>
      </c>
      <c r="DJ1233" s="18" t="b">
        <f>RecData[[#This Row],[Overall (dBA)]]&gt;$DS$2</f>
        <v>0</v>
      </c>
      <c r="DK1233" s="18" t="b">
        <f>RecData[[#This Row],[Overall (dBA)]]&lt;$DS$3</f>
        <v>0</v>
      </c>
      <c r="DL123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3" s="2">
        <f>IF(AND(RecData[[#This Row],[Turbines ON/OFF]] = "OFF", NOT(OR(RecData[[#This Row],[Junk?]]="YES",RecData[[#This Row],[Gust?]],RecData[[#This Row],[Rain?]:[Min SPL Threshold?]]))),1,0)</f>
        <v>0</v>
      </c>
      <c r="DN1233" s="16">
        <f>RecData[[#This Row],[dBA Sum]]</f>
        <v>38.066673904290539</v>
      </c>
      <c r="DO1233" s="16">
        <f>RecData[[#This Row],[LAF90.0]]</f>
        <v>35.799999999999997</v>
      </c>
      <c r="DP1233" s="55">
        <f>IF(AND(RecData[[#This Row],[Useable TON Data?]],RecData[[#This Row],[Turbines ON/OFF]]="ON"),RecData[[#This Row],[dBA Sum]],"")</f>
        <v>38.066673904290539</v>
      </c>
      <c r="DQ1233" s="55" t="str">
        <f>IF(AND(RecData[[#This Row],[Useable Background Data?]],RecData[[#This Row],[Turbines ON/OFF]]="OFF"),RecData[[#This Row],[dBA Sum]],"")</f>
        <v/>
      </c>
      <c r="DR1233" s="3">
        <f>IF(OR(RecData[[#This Row],[Useable TON Data?]],RecData[[#This Row],[Useable Background Data?]]),ROUND(RecData[[#This Row],[WSpd_Avg '[m/s']]],0),"")</f>
        <v>1</v>
      </c>
      <c r="DS1233" s="85">
        <f>(0.00002)^2*(10^(RecData[[#This Row],[Overall (dBA)]]/10))</f>
        <v>2.5628747465601735E-6</v>
      </c>
    </row>
    <row r="1234" spans="1:123" ht="15" x14ac:dyDescent="0.25">
      <c r="A1234" s="3" t="s">
        <v>249</v>
      </c>
      <c r="B1234" s="12">
        <v>43276.193750000006</v>
      </c>
      <c r="C1234" s="3"/>
      <c r="D1234" s="3">
        <v>38.4</v>
      </c>
      <c r="E1234" s="3"/>
      <c r="F1234" s="3"/>
      <c r="G1234" s="3"/>
      <c r="H1234" s="3"/>
      <c r="I1234" s="3"/>
      <c r="J1234" s="3"/>
      <c r="K1234" s="3">
        <v>37</v>
      </c>
      <c r="L1234" s="3"/>
      <c r="M1234" s="3"/>
      <c r="N1234" s="3">
        <v>185.1</v>
      </c>
      <c r="O1234" s="3"/>
      <c r="P1234" s="3"/>
      <c r="Q1234" s="3">
        <v>0.79</v>
      </c>
      <c r="R1234" s="3">
        <v>0.1</v>
      </c>
      <c r="S1234" s="3">
        <v>1.4</v>
      </c>
      <c r="T1234" s="3">
        <v>7.8</v>
      </c>
      <c r="U1234" s="3">
        <v>67.3</v>
      </c>
      <c r="V1234" s="3">
        <v>978.9</v>
      </c>
      <c r="W1234" s="3">
        <v>0</v>
      </c>
      <c r="X1234" s="3">
        <v>41.2</v>
      </c>
      <c r="Y1234" s="3">
        <v>41</v>
      </c>
      <c r="Z1234" s="3">
        <v>39.4</v>
      </c>
      <c r="AA1234" s="3">
        <v>36.4</v>
      </c>
      <c r="AB1234" s="3">
        <v>30.9</v>
      </c>
      <c r="AC1234" s="3">
        <v>30.9</v>
      </c>
      <c r="AD1234" s="3">
        <v>34.799999999999997</v>
      </c>
      <c r="AE1234" s="3">
        <v>35.9</v>
      </c>
      <c r="AF1234" s="3">
        <v>46.1</v>
      </c>
      <c r="AG1234" s="3">
        <v>38.1</v>
      </c>
      <c r="AH1234" s="3">
        <v>34</v>
      </c>
      <c r="AI1234" s="3">
        <v>34.9</v>
      </c>
      <c r="AJ1234" s="3">
        <v>33.6</v>
      </c>
      <c r="AK1234" s="3">
        <v>32.6</v>
      </c>
      <c r="AL1234" s="3">
        <v>31.1</v>
      </c>
      <c r="AM1234" s="3">
        <v>32.299999999999997</v>
      </c>
      <c r="AN1234" s="3">
        <v>29.6</v>
      </c>
      <c r="AO1234" s="3">
        <v>26.3</v>
      </c>
      <c r="AP1234" s="3">
        <v>24.5</v>
      </c>
      <c r="AQ1234" s="3">
        <v>21.7</v>
      </c>
      <c r="AR1234" s="3">
        <v>18.399999999999999</v>
      </c>
      <c r="AS1234" s="3">
        <v>15.9</v>
      </c>
      <c r="AT1234" s="3">
        <v>20.9</v>
      </c>
      <c r="AU1234" s="3">
        <v>18.8</v>
      </c>
      <c r="AV1234" s="3">
        <v>10.3</v>
      </c>
      <c r="AW1234" s="3">
        <v>9.6999999999999993</v>
      </c>
      <c r="AX1234" s="3">
        <v>9.1999999999999993</v>
      </c>
      <c r="AY1234" s="3">
        <v>9.3000000000000007</v>
      </c>
      <c r="AZ1234" s="3">
        <v>0</v>
      </c>
      <c r="BA1234" s="3">
        <v>0</v>
      </c>
      <c r="BB1234" s="3">
        <v>0</v>
      </c>
      <c r="BC1234" s="3">
        <v>38.394515082780835</v>
      </c>
      <c r="BD1234" s="3">
        <v>41.20548491721916</v>
      </c>
      <c r="BE1234" s="3">
        <v>41.005484917219171</v>
      </c>
      <c r="BF1234" s="3">
        <v>38.165484917219167</v>
      </c>
      <c r="BG1234" s="3">
        <v>35.492151583885821</v>
      </c>
      <c r="BH1234" s="3">
        <v>30.132151583885836</v>
      </c>
      <c r="BI1234" s="3">
        <v>30.545484917219163</v>
      </c>
      <c r="BJ1234" s="3">
        <v>35.238818250552491</v>
      </c>
      <c r="BK1234" s="3">
        <v>36.21215158388582</v>
      </c>
      <c r="BL1234" s="3">
        <v>45.985484917219161</v>
      </c>
      <c r="BM1234" s="3">
        <v>38.118818250552501</v>
      </c>
      <c r="BN1234" s="3">
        <v>34.302151583885824</v>
      </c>
      <c r="BO1234" s="3">
        <v>34.568818250552503</v>
      </c>
      <c r="BP1234" s="3">
        <v>32.985484917219161</v>
      </c>
      <c r="BQ1234" s="3">
        <v>32.402151583885818</v>
      </c>
      <c r="BR1234" s="3">
        <v>31.2288182505525</v>
      </c>
      <c r="BS1234" s="3">
        <v>32.23215158388583</v>
      </c>
      <c r="BT1234" s="3">
        <v>29.7288182505525</v>
      </c>
      <c r="BU1234" s="3">
        <v>26.395484917219171</v>
      </c>
      <c r="BV1234" s="3">
        <v>24.312151583885829</v>
      </c>
      <c r="BW1234" s="3">
        <v>22.045484917219163</v>
      </c>
      <c r="BX1234" s="3">
        <v>18.665484917219167</v>
      </c>
      <c r="BY1234" s="3">
        <v>15.985484917219161</v>
      </c>
      <c r="BZ1234" s="3">
        <v>21.11548491721917</v>
      </c>
      <c r="CA1234" s="3">
        <v>19.115484917219156</v>
      </c>
      <c r="CB1234" s="3">
        <v>10.052151583885831</v>
      </c>
      <c r="CC1234" s="3">
        <v>9.6654849172191604</v>
      </c>
      <c r="CD1234" s="3">
        <v>8.4721515838858323</v>
      </c>
      <c r="CE1234" s="3">
        <v>8.7654849172191618</v>
      </c>
      <c r="CF1234" s="3">
        <v>-0.92118174944750564</v>
      </c>
      <c r="CG1234" s="3">
        <v>-1.4545150827808371</v>
      </c>
      <c r="CH1234" s="3">
        <v>-2.5311817494475051</v>
      </c>
      <c r="CI1234" s="13">
        <f>[1]!dbasum(RecData[[#This Row],[20]:[2000]],RecData[[#Headers],[20]:[2000]])</f>
        <v>38.116837084611895</v>
      </c>
      <c r="CJ1234" s="14">
        <v>11000</v>
      </c>
      <c r="CK1234" s="15" t="s">
        <v>249</v>
      </c>
      <c r="CL1234" s="15">
        <f>RecData[[#This Row],[Start Time]]</f>
        <v>43276.193750000006</v>
      </c>
      <c r="CM1234" s="16">
        <f>RecData[[#This Row],[Wind Speed avg]]</f>
        <v>0.79</v>
      </c>
      <c r="CN1234" s="16">
        <f>RecData[[#This Row],[Wind Dir. avg]]</f>
        <v>185.1</v>
      </c>
      <c r="CO1234" s="16">
        <f>RecData[[#This Row],[Amb. Humidity]]</f>
        <v>67.3</v>
      </c>
      <c r="CP1234" s="16">
        <f>RecData[[#This Row],[Amb. Temperature]]</f>
        <v>7.8</v>
      </c>
      <c r="CQ1234" s="17">
        <f>RecData[[#This Row],[Amb. Rain Gauge]]</f>
        <v>0</v>
      </c>
      <c r="CR1234" s="4" t="s">
        <v>1</v>
      </c>
      <c r="CS1234" s="4" t="s">
        <v>49</v>
      </c>
      <c r="CT1234" s="70">
        <v>1510.0498046875</v>
      </c>
      <c r="CU1234" s="70">
        <v>52.00044631958</v>
      </c>
      <c r="CV1234" s="70">
        <v>9.6320781707763601</v>
      </c>
      <c r="CW1234" s="70">
        <v>15.1574907302856</v>
      </c>
      <c r="CX1234" s="4"/>
      <c r="CY1234" s="69"/>
      <c r="CZ1234" s="2" t="b">
        <f>IF($DP$1="YES",IF(RecData[[#This Row],[Power (kW)]]&gt;=$CR$3, TRUE,FALSE),TRUE)</f>
        <v>1</v>
      </c>
      <c r="DA1234" s="16">
        <f>MIN(MOD(180-ABS(ABS($DA$1-RecData[Yaw Angle (°)])-180),360),MOD(180-ABS(ABS($DB$1-RecData[Yaw Angle (°)])-180),360))</f>
        <v>44.470519541892457</v>
      </c>
      <c r="DB1234" s="2" t="str">
        <f>IF($DP$2="None","None",IF(RecData[[#This Row],[Relative Wind Direction]]&lt;=45,"DW",IF(RecData[[#This Row],[Relative Wind Direction]]&lt;=135,"CW","UW")))</f>
        <v>DW</v>
      </c>
      <c r="DC1234" s="61">
        <f>IF($CL1234-$CL1233&gt;1/24,#REF!,IF(SUM($CQ1233:$CQ1234)&gt;$DS$1,$DS$5,DC1235-1))</f>
        <v>-9</v>
      </c>
      <c r="DD1234" s="61">
        <f>IF($CL1235-$CL1234&gt;1/24,#REF!,IF(SUM($CQ1233:$CQ1234)&gt;$DS$1,$DS$6,DD1233-1))</f>
        <v>-2</v>
      </c>
      <c r="DE1234" s="18" t="b">
        <v>0</v>
      </c>
      <c r="DF1234" s="2" t="b">
        <f>IF(OR(RecData[[#This Row],[WSpd_Avg '[m/s']]]-RecData[[#This Row],[Wind Speed min]]&gt;=$DF$3,RecData[[#This Row],[Wind Speed max]]-RecData[[#This Row],[WSpd_Avg '[m/s']]]&gt;=$DF$2),TRUE,FALSE)</f>
        <v>0</v>
      </c>
      <c r="DG1234" s="2" t="b">
        <f>RecData[[#This Row],[Temperature '[°C']]]&lt;=-20</f>
        <v>0</v>
      </c>
      <c r="DH1234" s="18" t="b">
        <f>NOT(OR(MOD(RecData[[#This Row],[TIMESTAMP]],1)&gt;0.91632,MOD(RecData[[#This Row],[TIMESTAMP]],1)&lt;0.208681))</f>
        <v>0</v>
      </c>
      <c r="DI1234" s="18" t="b">
        <f>RecData[[#This Row],[Overall (dBA)]]-RecData[[#This Row],[L90]]&gt;=$DS$4</f>
        <v>0</v>
      </c>
      <c r="DJ1234" s="18" t="b">
        <f>RecData[[#This Row],[Overall (dBA)]]&gt;$DS$2</f>
        <v>0</v>
      </c>
      <c r="DK1234" s="18" t="b">
        <f>RecData[[#This Row],[Overall (dBA)]]&lt;$DS$3</f>
        <v>0</v>
      </c>
      <c r="DL123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4" s="2">
        <f>IF(AND(RecData[[#This Row],[Turbines ON/OFF]] = "OFF", NOT(OR(RecData[[#This Row],[Junk?]]="YES",RecData[[#This Row],[Gust?]],RecData[[#This Row],[Rain?]:[Min SPL Threshold?]]))),1,0)</f>
        <v>0</v>
      </c>
      <c r="DN1234" s="16">
        <f>RecData[[#This Row],[dBA Sum]]</f>
        <v>38.116837084611895</v>
      </c>
      <c r="DO1234" s="16">
        <f>RecData[[#This Row],[LAF90.0]]</f>
        <v>37</v>
      </c>
      <c r="DP1234" s="55">
        <f>IF(AND(RecData[[#This Row],[Useable TON Data?]],RecData[[#This Row],[Turbines ON/OFF]]="ON"),RecData[[#This Row],[dBA Sum]],"")</f>
        <v>38.116837084611895</v>
      </c>
      <c r="DQ1234" s="55" t="str">
        <f>IF(AND(RecData[[#This Row],[Useable Background Data?]],RecData[[#This Row],[Turbines ON/OFF]]="OFF"),RecData[[#This Row],[dBA Sum]],"")</f>
        <v/>
      </c>
      <c r="DR1234" s="3">
        <f>IF(OR(RecData[[#This Row],[Useable TON Data?]],RecData[[#This Row],[Useable Background Data?]]),ROUND(RecData[[#This Row],[WSpd_Avg '[m/s']]],0),"")</f>
        <v>1</v>
      </c>
      <c r="DS1234" s="85">
        <f>(0.00002)^2*(10^(RecData[[#This Row],[Overall (dBA)]]/10))</f>
        <v>2.5926488509317654E-6</v>
      </c>
    </row>
    <row r="1235" spans="1:123" ht="15" x14ac:dyDescent="0.25">
      <c r="A1235" s="3" t="s">
        <v>249</v>
      </c>
      <c r="B1235" s="12">
        <v>43276.194444444453</v>
      </c>
      <c r="C1235" s="3"/>
      <c r="D1235" s="3">
        <v>39.299999999999997</v>
      </c>
      <c r="E1235" s="3"/>
      <c r="F1235" s="3"/>
      <c r="G1235" s="3"/>
      <c r="H1235" s="3"/>
      <c r="I1235" s="3"/>
      <c r="J1235" s="3"/>
      <c r="K1235" s="3">
        <v>36.1</v>
      </c>
      <c r="L1235" s="3"/>
      <c r="M1235" s="3"/>
      <c r="N1235" s="3">
        <v>215.7</v>
      </c>
      <c r="O1235" s="3"/>
      <c r="P1235" s="3"/>
      <c r="Q1235" s="3">
        <v>0.83</v>
      </c>
      <c r="R1235" s="3">
        <v>0.1</v>
      </c>
      <c r="S1235" s="3">
        <v>1.5</v>
      </c>
      <c r="T1235" s="3">
        <v>7.9</v>
      </c>
      <c r="U1235" s="3">
        <v>66.599999999999994</v>
      </c>
      <c r="V1235" s="3">
        <v>978.9</v>
      </c>
      <c r="W1235" s="3">
        <v>0</v>
      </c>
      <c r="X1235" s="3">
        <v>41.4</v>
      </c>
      <c r="Y1235" s="3">
        <v>40.9</v>
      </c>
      <c r="Z1235" s="3">
        <v>39.200000000000003</v>
      </c>
      <c r="AA1235" s="3">
        <v>36.4</v>
      </c>
      <c r="AB1235" s="3">
        <v>30.8</v>
      </c>
      <c r="AC1235" s="3">
        <v>30.2</v>
      </c>
      <c r="AD1235" s="3">
        <v>34.4</v>
      </c>
      <c r="AE1235" s="3">
        <v>35.4</v>
      </c>
      <c r="AF1235" s="3">
        <v>45.3</v>
      </c>
      <c r="AG1235" s="3">
        <v>37.6</v>
      </c>
      <c r="AH1235" s="3">
        <v>33.200000000000003</v>
      </c>
      <c r="AI1235" s="3">
        <v>34.5</v>
      </c>
      <c r="AJ1235" s="3">
        <v>32.799999999999997</v>
      </c>
      <c r="AK1235" s="3">
        <v>32.4</v>
      </c>
      <c r="AL1235" s="3">
        <v>30.9</v>
      </c>
      <c r="AM1235" s="3">
        <v>31.9</v>
      </c>
      <c r="AN1235" s="3">
        <v>29.6</v>
      </c>
      <c r="AO1235" s="3">
        <v>26.2</v>
      </c>
      <c r="AP1235" s="3">
        <v>24.1</v>
      </c>
      <c r="AQ1235" s="3">
        <v>21.7</v>
      </c>
      <c r="AR1235" s="3">
        <v>18.600000000000001</v>
      </c>
      <c r="AS1235" s="3">
        <v>18.8</v>
      </c>
      <c r="AT1235" s="3">
        <v>30.3</v>
      </c>
      <c r="AU1235" s="3">
        <v>28.6</v>
      </c>
      <c r="AV1235" s="3">
        <v>19.899999999999999</v>
      </c>
      <c r="AW1235" s="3">
        <v>10.199999999999999</v>
      </c>
      <c r="AX1235" s="3">
        <v>9.3000000000000007</v>
      </c>
      <c r="AY1235" s="3">
        <v>9.3000000000000007</v>
      </c>
      <c r="AZ1235" s="3">
        <v>0</v>
      </c>
      <c r="BA1235" s="3">
        <v>0</v>
      </c>
      <c r="BB1235" s="3">
        <v>0</v>
      </c>
      <c r="BC1235" s="3">
        <v>39.331424940906103</v>
      </c>
      <c r="BD1235" s="3">
        <v>41.368575059093885</v>
      </c>
      <c r="BE1235" s="3">
        <v>40.868575059093885</v>
      </c>
      <c r="BF1235" s="3">
        <v>37.928575059093887</v>
      </c>
      <c r="BG1235" s="3">
        <v>35.455241725760558</v>
      </c>
      <c r="BH1235" s="3">
        <v>29.995241725760565</v>
      </c>
      <c r="BI1235" s="3">
        <v>29.808575059093897</v>
      </c>
      <c r="BJ1235" s="3">
        <v>34.801908392427222</v>
      </c>
      <c r="BK1235" s="3">
        <v>35.675241725760557</v>
      </c>
      <c r="BL1235" s="3">
        <v>45.148575059093886</v>
      </c>
      <c r="BM1235" s="3">
        <v>37.581908392427223</v>
      </c>
      <c r="BN1235" s="3">
        <v>33.465241725760563</v>
      </c>
      <c r="BO1235" s="3">
        <v>34.131908392427235</v>
      </c>
      <c r="BP1235" s="3">
        <v>32.148575059093886</v>
      </c>
      <c r="BQ1235" s="3">
        <v>32.165241725760552</v>
      </c>
      <c r="BR1235" s="3">
        <v>30.99190839242722</v>
      </c>
      <c r="BS1235" s="3">
        <v>31.795241725760562</v>
      </c>
      <c r="BT1235" s="3">
        <v>29.691908392427237</v>
      </c>
      <c r="BU1235" s="3">
        <v>26.2585750590939</v>
      </c>
      <c r="BV1235" s="3">
        <v>23.87524172576056</v>
      </c>
      <c r="BW1235" s="3">
        <v>22.0085750590939</v>
      </c>
      <c r="BX1235" s="3">
        <v>18.8285750590939</v>
      </c>
      <c r="BY1235" s="3">
        <v>18.848575059093889</v>
      </c>
      <c r="BZ1235" s="3">
        <v>30.478575059093899</v>
      </c>
      <c r="CA1235" s="3">
        <v>28.87857505909389</v>
      </c>
      <c r="CB1235" s="3">
        <v>19.615241725760555</v>
      </c>
      <c r="CC1235" s="3">
        <v>10.12857505909389</v>
      </c>
      <c r="CD1235" s="3">
        <v>8.5352417257605637</v>
      </c>
      <c r="CE1235" s="3">
        <v>8.7285750590938918</v>
      </c>
      <c r="CF1235" s="3">
        <v>-0.95809160757277567</v>
      </c>
      <c r="CG1235" s="3">
        <v>-1.4914249409061071</v>
      </c>
      <c r="CH1235" s="3">
        <v>-2.5680916075727751</v>
      </c>
      <c r="CI1235" s="13">
        <f>[1]!dbasum(RecData[[#This Row],[20]:[2000]],RecData[[#Headers],[20]:[2000]])</f>
        <v>37.711915686012546</v>
      </c>
      <c r="CJ1235" s="14">
        <v>11001</v>
      </c>
      <c r="CK1235" s="15" t="s">
        <v>249</v>
      </c>
      <c r="CL1235" s="15">
        <f>RecData[[#This Row],[Start Time]]</f>
        <v>43276.194444444453</v>
      </c>
      <c r="CM1235" s="16">
        <f>RecData[[#This Row],[Wind Speed avg]]</f>
        <v>0.83</v>
      </c>
      <c r="CN1235" s="16">
        <f>RecData[[#This Row],[Wind Dir. avg]]</f>
        <v>215.7</v>
      </c>
      <c r="CO1235" s="16">
        <f>RecData[[#This Row],[Amb. Humidity]]</f>
        <v>66.599999999999994</v>
      </c>
      <c r="CP1235" s="16">
        <f>RecData[[#This Row],[Amb. Temperature]]</f>
        <v>7.9</v>
      </c>
      <c r="CQ1235" s="17">
        <f>RecData[[#This Row],[Amb. Rain Gauge]]</f>
        <v>0</v>
      </c>
      <c r="CR1235" s="4" t="s">
        <v>1</v>
      </c>
      <c r="CS1235" s="4" t="s">
        <v>49</v>
      </c>
      <c r="CT1235" s="70">
        <v>1510.0498046875</v>
      </c>
      <c r="CU1235" s="70">
        <v>52.00044631958</v>
      </c>
      <c r="CV1235" s="70">
        <v>9.6320781707763601</v>
      </c>
      <c r="CW1235" s="70">
        <v>15.1574907302856</v>
      </c>
      <c r="CX1235" s="4"/>
      <c r="CY1235" s="69"/>
      <c r="CZ1235" s="2" t="b">
        <f>IF($DP$1="YES",IF(RecData[[#This Row],[Power (kW)]]&gt;=$CR$3, TRUE,FALSE),TRUE)</f>
        <v>1</v>
      </c>
      <c r="DA1235" s="16">
        <f>MIN(MOD(180-ABS(ABS($DA$1-RecData[Yaw Angle (°)])-180),360),MOD(180-ABS(ABS($DB$1-RecData[Yaw Angle (°)])-180),360))</f>
        <v>44.470519541892457</v>
      </c>
      <c r="DB1235" s="2" t="str">
        <f>IF($DP$2="None","None",IF(RecData[[#This Row],[Relative Wind Direction]]&lt;=45,"DW",IF(RecData[[#This Row],[Relative Wind Direction]]&lt;=135,"CW","UW")))</f>
        <v>DW</v>
      </c>
      <c r="DC1235" s="61">
        <f>IF($CL1235-$CL1233&gt;1/24,#REF!,IF(SUM($CQ1233:$CQ1235)&gt;$DS$1,$DS$5,DC1236-1))</f>
        <v>-8</v>
      </c>
      <c r="DD1235" s="61">
        <f>IF($CL1236-$CL1235&gt;1/24,#REF!,IF(SUM($CQ1233:$CQ1235)&gt;$DS$1,$DS$6,DD1234-1))</f>
        <v>-3</v>
      </c>
      <c r="DE1235" s="18" t="b">
        <v>0</v>
      </c>
      <c r="DF1235" s="2" t="b">
        <f>IF(OR(RecData[[#This Row],[WSpd_Avg '[m/s']]]-RecData[[#This Row],[Wind Speed min]]&gt;=$DF$3,RecData[[#This Row],[Wind Speed max]]-RecData[[#This Row],[WSpd_Avg '[m/s']]]&gt;=$DF$2),TRUE,FALSE)</f>
        <v>0</v>
      </c>
      <c r="DG1235" s="2" t="b">
        <f>RecData[[#This Row],[Temperature '[°C']]]&lt;=-20</f>
        <v>0</v>
      </c>
      <c r="DH1235" s="18" t="b">
        <f>NOT(OR(MOD(RecData[[#This Row],[TIMESTAMP]],1)&gt;0.91632,MOD(RecData[[#This Row],[TIMESTAMP]],1)&lt;0.208681))</f>
        <v>0</v>
      </c>
      <c r="DI1235" s="18" t="b">
        <f>RecData[[#This Row],[Overall (dBA)]]-RecData[[#This Row],[L90]]&gt;=$DS$4</f>
        <v>0</v>
      </c>
      <c r="DJ1235" s="18" t="b">
        <f>RecData[[#This Row],[Overall (dBA)]]&gt;$DS$2</f>
        <v>0</v>
      </c>
      <c r="DK1235" s="18" t="b">
        <f>RecData[[#This Row],[Overall (dBA)]]&lt;$DS$3</f>
        <v>0</v>
      </c>
      <c r="DL123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5" s="2">
        <f>IF(AND(RecData[[#This Row],[Turbines ON/OFF]] = "OFF", NOT(OR(RecData[[#This Row],[Junk?]]="YES",RecData[[#This Row],[Gust?]],RecData[[#This Row],[Rain?]:[Min SPL Threshold?]]))),1,0)</f>
        <v>0</v>
      </c>
      <c r="DN1235" s="16">
        <f>RecData[[#This Row],[dBA Sum]]</f>
        <v>37.711915686012546</v>
      </c>
      <c r="DO1235" s="16">
        <f>RecData[[#This Row],[LAF90.0]]</f>
        <v>36.1</v>
      </c>
      <c r="DP1235" s="55">
        <f>IF(AND(RecData[[#This Row],[Useable TON Data?]],RecData[[#This Row],[Turbines ON/OFF]]="ON"),RecData[[#This Row],[dBA Sum]],"")</f>
        <v>37.711915686012546</v>
      </c>
      <c r="DQ1235" s="55" t="str">
        <f>IF(AND(RecData[[#This Row],[Useable Background Data?]],RecData[[#This Row],[Turbines ON/OFF]]="OFF"),RecData[[#This Row],[dBA Sum]],"")</f>
        <v/>
      </c>
      <c r="DR1235" s="3">
        <f>IF(OR(RecData[[#This Row],[Useable TON Data?]],RecData[[#This Row],[Useable Background Data?]]),ROUND(RecData[[#This Row],[WSpd_Avg '[m/s']]],0),"")</f>
        <v>1</v>
      </c>
      <c r="DS1235" s="85">
        <f>(0.00002)^2*(10^(RecData[[#This Row],[Overall (dBA)]]/10))</f>
        <v>2.3618459082755331E-6</v>
      </c>
    </row>
    <row r="1236" spans="1:123" ht="15" x14ac:dyDescent="0.25">
      <c r="A1236" s="3" t="s">
        <v>249</v>
      </c>
      <c r="B1236" s="12">
        <v>43276.195138888892</v>
      </c>
      <c r="C1236" s="3"/>
      <c r="D1236" s="3">
        <v>40.299999999999997</v>
      </c>
      <c r="E1236" s="3"/>
      <c r="F1236" s="3"/>
      <c r="G1236" s="3"/>
      <c r="H1236" s="3"/>
      <c r="I1236" s="3"/>
      <c r="J1236" s="3"/>
      <c r="K1236" s="3">
        <v>35.9</v>
      </c>
      <c r="L1236" s="3"/>
      <c r="M1236" s="3"/>
      <c r="N1236" s="3">
        <v>170.7</v>
      </c>
      <c r="O1236" s="3"/>
      <c r="P1236" s="3"/>
      <c r="Q1236" s="3">
        <v>0.72</v>
      </c>
      <c r="R1236" s="3">
        <v>0</v>
      </c>
      <c r="S1236" s="3">
        <v>1.3</v>
      </c>
      <c r="T1236" s="3">
        <v>7.9</v>
      </c>
      <c r="U1236" s="3">
        <v>66.8</v>
      </c>
      <c r="V1236" s="3">
        <v>979</v>
      </c>
      <c r="W1236" s="3">
        <v>0</v>
      </c>
      <c r="X1236" s="3">
        <v>40.5</v>
      </c>
      <c r="Y1236" s="3">
        <v>40.299999999999997</v>
      </c>
      <c r="Z1236" s="3">
        <v>38.299999999999997</v>
      </c>
      <c r="AA1236" s="3">
        <v>35.4</v>
      </c>
      <c r="AB1236" s="3">
        <v>30.2</v>
      </c>
      <c r="AC1236" s="3">
        <v>29.9</v>
      </c>
      <c r="AD1236" s="3">
        <v>33.5</v>
      </c>
      <c r="AE1236" s="3">
        <v>35.1</v>
      </c>
      <c r="AF1236" s="3">
        <v>44.6</v>
      </c>
      <c r="AG1236" s="3">
        <v>36.200000000000003</v>
      </c>
      <c r="AH1236" s="3">
        <v>32.5</v>
      </c>
      <c r="AI1236" s="3">
        <v>33.9</v>
      </c>
      <c r="AJ1236" s="3">
        <v>32.1</v>
      </c>
      <c r="AK1236" s="3">
        <v>31.5</v>
      </c>
      <c r="AL1236" s="3">
        <v>30.1</v>
      </c>
      <c r="AM1236" s="3">
        <v>31</v>
      </c>
      <c r="AN1236" s="3">
        <v>28.7</v>
      </c>
      <c r="AO1236" s="3">
        <v>25.4</v>
      </c>
      <c r="AP1236" s="3">
        <v>23.8</v>
      </c>
      <c r="AQ1236" s="3">
        <v>21.2</v>
      </c>
      <c r="AR1236" s="3">
        <v>18.8</v>
      </c>
      <c r="AS1236" s="3">
        <v>19.899999999999999</v>
      </c>
      <c r="AT1236" s="3">
        <v>34.799999999999997</v>
      </c>
      <c r="AU1236" s="3">
        <v>30.5</v>
      </c>
      <c r="AV1236" s="3">
        <v>21.9</v>
      </c>
      <c r="AW1236" s="3">
        <v>10.5</v>
      </c>
      <c r="AX1236" s="3">
        <v>9.5</v>
      </c>
      <c r="AY1236" s="3">
        <v>9.4</v>
      </c>
      <c r="AZ1236" s="3">
        <v>0</v>
      </c>
      <c r="BA1236" s="3">
        <v>0</v>
      </c>
      <c r="BB1236" s="3">
        <v>0</v>
      </c>
      <c r="BC1236" s="3">
        <v>40.315036082316055</v>
      </c>
      <c r="BD1236" s="3">
        <v>40.484963917683942</v>
      </c>
      <c r="BE1236" s="3">
        <v>40.284963917683939</v>
      </c>
      <c r="BF1236" s="3">
        <v>37.04496391768393</v>
      </c>
      <c r="BG1236" s="3">
        <v>34.471630584350606</v>
      </c>
      <c r="BH1236" s="3">
        <v>29.411630584350604</v>
      </c>
      <c r="BI1236" s="3">
        <v>29.524963917683948</v>
      </c>
      <c r="BJ1236" s="3">
        <v>33.918297251017265</v>
      </c>
      <c r="BK1236" s="3">
        <v>35.391630584350608</v>
      </c>
      <c r="BL1236" s="3">
        <v>44.464963917683946</v>
      </c>
      <c r="BM1236" s="3">
        <v>36.19829725101728</v>
      </c>
      <c r="BN1236" s="3">
        <v>32.781630584350609</v>
      </c>
      <c r="BO1236" s="3">
        <v>33.548297251017274</v>
      </c>
      <c r="BP1236" s="3">
        <v>31.464963917683946</v>
      </c>
      <c r="BQ1236" s="3">
        <v>31.281630584350594</v>
      </c>
      <c r="BR1236" s="3">
        <v>30.208297251017285</v>
      </c>
      <c r="BS1236" s="3">
        <v>30.911630584350604</v>
      </c>
      <c r="BT1236" s="3">
        <v>28.808297251017279</v>
      </c>
      <c r="BU1236" s="3">
        <v>25.474963917683937</v>
      </c>
      <c r="BV1236" s="3">
        <v>23.591630584350611</v>
      </c>
      <c r="BW1236" s="3">
        <v>21.524963917683948</v>
      </c>
      <c r="BX1236" s="3">
        <v>19.044963917683944</v>
      </c>
      <c r="BY1236" s="3">
        <v>19.964963917683939</v>
      </c>
      <c r="BZ1236" s="3">
        <v>34.994963917683947</v>
      </c>
      <c r="CA1236" s="3">
        <v>30.79496391768393</v>
      </c>
      <c r="CB1236" s="3">
        <v>21.631630584350603</v>
      </c>
      <c r="CC1236" s="3">
        <v>10.444963917683943</v>
      </c>
      <c r="CD1236" s="3">
        <v>8.7516305843506146</v>
      </c>
      <c r="CE1236" s="3">
        <v>8.8449639176839412</v>
      </c>
      <c r="CF1236" s="3">
        <v>-0.94170274898272766</v>
      </c>
      <c r="CG1236" s="3">
        <v>-1.4750360823160591</v>
      </c>
      <c r="CH1236" s="3">
        <v>-2.5517027489827271</v>
      </c>
      <c r="CI1236" s="13">
        <f>[1]!dbasum(RecData[[#This Row],[20]:[2000]],RecData[[#Headers],[20]:[2000]])</f>
        <v>36.957437941771445</v>
      </c>
      <c r="CJ1236" s="14">
        <v>11002</v>
      </c>
      <c r="CK1236" s="15" t="s">
        <v>249</v>
      </c>
      <c r="CL1236" s="15">
        <f>RecData[[#This Row],[Start Time]]</f>
        <v>43276.195138888892</v>
      </c>
      <c r="CM1236" s="16">
        <f>RecData[[#This Row],[Wind Speed avg]]</f>
        <v>0.72</v>
      </c>
      <c r="CN1236" s="16">
        <f>RecData[[#This Row],[Wind Dir. avg]]</f>
        <v>170.7</v>
      </c>
      <c r="CO1236" s="16">
        <f>RecData[[#This Row],[Amb. Humidity]]</f>
        <v>66.8</v>
      </c>
      <c r="CP1236" s="16">
        <f>RecData[[#This Row],[Amb. Temperature]]</f>
        <v>7.9</v>
      </c>
      <c r="CQ1236" s="17">
        <f>RecData[[#This Row],[Amb. Rain Gauge]]</f>
        <v>0</v>
      </c>
      <c r="CR1236" s="4" t="s">
        <v>1</v>
      </c>
      <c r="CS1236" s="4" t="s">
        <v>49</v>
      </c>
      <c r="CT1236" s="70">
        <v>1454.38098144531</v>
      </c>
      <c r="CU1236" s="70">
        <v>52.000438690185497</v>
      </c>
      <c r="CV1236" s="70">
        <v>10.2831878662109</v>
      </c>
      <c r="CW1236" s="70">
        <v>15.067201614379799</v>
      </c>
      <c r="CX1236" s="4"/>
      <c r="CY1236" s="69"/>
      <c r="CZ1236" s="2" t="b">
        <f>IF($DP$1="YES",IF(RecData[[#This Row],[Power (kW)]]&gt;=$CR$3, TRUE,FALSE),TRUE)</f>
        <v>1</v>
      </c>
      <c r="DA1236" s="16">
        <f>MIN(MOD(180-ABS(ABS($DA$1-RecData[Yaw Angle (°)])-180),360),MOD(180-ABS(ABS($DB$1-RecData[Yaw Angle (°)])-180),360))</f>
        <v>44.470511912497955</v>
      </c>
      <c r="DB1236" s="2" t="str">
        <f>IF($DP$2="None","None",IF(RecData[[#This Row],[Relative Wind Direction]]&lt;=45,"DW",IF(RecData[[#This Row],[Relative Wind Direction]]&lt;=135,"CW","UW")))</f>
        <v>DW</v>
      </c>
      <c r="DC1236" s="61">
        <f>IF($CL1236-$CL1233&gt;1/24,#REF!,IF(SUM($CQ1233:$CQ1236)&gt;$DS$1,$DS$5,DC1237-1))</f>
        <v>-7</v>
      </c>
      <c r="DD1236" s="61">
        <f>IF($CL1237-$CL1236&gt;1/24,#REF!,IF(SUM($CQ1233:$CQ1236)&gt;$DS$1,$DS$6,DD1235-1))</f>
        <v>-4</v>
      </c>
      <c r="DE1236" s="18" t="b">
        <v>0</v>
      </c>
      <c r="DF1236" s="2" t="b">
        <f>IF(OR(RecData[[#This Row],[WSpd_Avg '[m/s']]]-RecData[[#This Row],[Wind Speed min]]&gt;=$DF$3,RecData[[#This Row],[Wind Speed max]]-RecData[[#This Row],[WSpd_Avg '[m/s']]]&gt;=$DF$2),TRUE,FALSE)</f>
        <v>0</v>
      </c>
      <c r="DG1236" s="2" t="b">
        <f>RecData[[#This Row],[Temperature '[°C']]]&lt;=-20</f>
        <v>0</v>
      </c>
      <c r="DH1236" s="18" t="b">
        <f>NOT(OR(MOD(RecData[[#This Row],[TIMESTAMP]],1)&gt;0.91632,MOD(RecData[[#This Row],[TIMESTAMP]],1)&lt;0.208681))</f>
        <v>0</v>
      </c>
      <c r="DI1236" s="18" t="b">
        <f>RecData[[#This Row],[Overall (dBA)]]-RecData[[#This Row],[L90]]&gt;=$DS$4</f>
        <v>0</v>
      </c>
      <c r="DJ1236" s="18" t="b">
        <f>RecData[[#This Row],[Overall (dBA)]]&gt;$DS$2</f>
        <v>0</v>
      </c>
      <c r="DK1236" s="18" t="b">
        <f>RecData[[#This Row],[Overall (dBA)]]&lt;$DS$3</f>
        <v>0</v>
      </c>
      <c r="DL123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6" s="2">
        <f>IF(AND(RecData[[#This Row],[Turbines ON/OFF]] = "OFF", NOT(OR(RecData[[#This Row],[Junk?]]="YES",RecData[[#This Row],[Gust?]],RecData[[#This Row],[Rain?]:[Min SPL Threshold?]]))),1,0)</f>
        <v>0</v>
      </c>
      <c r="DN1236" s="16">
        <f>RecData[[#This Row],[dBA Sum]]</f>
        <v>36.957437941771445</v>
      </c>
      <c r="DO1236" s="16">
        <f>RecData[[#This Row],[LAF90.0]]</f>
        <v>35.9</v>
      </c>
      <c r="DP1236" s="55">
        <f>IF(AND(RecData[[#This Row],[Useable TON Data?]],RecData[[#This Row],[Turbines ON/OFF]]="ON"),RecData[[#This Row],[dBA Sum]],"")</f>
        <v>36.957437941771445</v>
      </c>
      <c r="DQ1236" s="55" t="str">
        <f>IF(AND(RecData[[#This Row],[Useable Background Data?]],RecData[[#This Row],[Turbines ON/OFF]]="OFF"),RecData[[#This Row],[dBA Sum]],"")</f>
        <v/>
      </c>
      <c r="DR1236" s="3">
        <f>IF(OR(RecData[[#This Row],[Useable TON Data?]],RecData[[#This Row],[Useable Background Data?]]),ROUND(RecData[[#This Row],[WSpd_Avg '[m/s']]],0),"")</f>
        <v>1</v>
      </c>
      <c r="DS1236" s="85">
        <f>(0.00002)^2*(10^(RecData[[#This Row],[Overall (dBA)]]/10))</f>
        <v>1.9851978012137632E-6</v>
      </c>
    </row>
    <row r="1237" spans="1:123" ht="15" x14ac:dyDescent="0.25">
      <c r="A1237" s="3" t="s">
        <v>249</v>
      </c>
      <c r="B1237" s="12">
        <v>43276.195833333339</v>
      </c>
      <c r="C1237" s="3"/>
      <c r="D1237" s="3">
        <v>40.5</v>
      </c>
      <c r="E1237" s="3"/>
      <c r="F1237" s="3"/>
      <c r="G1237" s="3"/>
      <c r="H1237" s="3"/>
      <c r="I1237" s="3"/>
      <c r="J1237" s="3"/>
      <c r="K1237" s="3">
        <v>36.700000000000003</v>
      </c>
      <c r="L1237" s="3"/>
      <c r="M1237" s="3"/>
      <c r="N1237" s="3">
        <v>192.9</v>
      </c>
      <c r="O1237" s="3"/>
      <c r="P1237" s="3"/>
      <c r="Q1237" s="3">
        <v>1.08</v>
      </c>
      <c r="R1237" s="3">
        <v>0.5</v>
      </c>
      <c r="S1237" s="3">
        <v>1.6</v>
      </c>
      <c r="T1237" s="3">
        <v>8</v>
      </c>
      <c r="U1237" s="3">
        <v>65.400000000000006</v>
      </c>
      <c r="V1237" s="3">
        <v>979</v>
      </c>
      <c r="W1237" s="3">
        <v>0</v>
      </c>
      <c r="X1237" s="3">
        <v>41.2</v>
      </c>
      <c r="Y1237" s="3">
        <v>40.1</v>
      </c>
      <c r="Z1237" s="3">
        <v>38.6</v>
      </c>
      <c r="AA1237" s="3">
        <v>35.9</v>
      </c>
      <c r="AB1237" s="3">
        <v>30.1</v>
      </c>
      <c r="AC1237" s="3">
        <v>30.8</v>
      </c>
      <c r="AD1237" s="3">
        <v>33.799999999999997</v>
      </c>
      <c r="AE1237" s="3">
        <v>35.200000000000003</v>
      </c>
      <c r="AF1237" s="3">
        <v>44.9</v>
      </c>
      <c r="AG1237" s="3">
        <v>37.200000000000003</v>
      </c>
      <c r="AH1237" s="3">
        <v>32.9</v>
      </c>
      <c r="AI1237" s="3">
        <v>34.200000000000003</v>
      </c>
      <c r="AJ1237" s="3">
        <v>32.700000000000003</v>
      </c>
      <c r="AK1237" s="3">
        <v>32.1</v>
      </c>
      <c r="AL1237" s="3">
        <v>30.6</v>
      </c>
      <c r="AM1237" s="3">
        <v>31.8</v>
      </c>
      <c r="AN1237" s="3">
        <v>29.3</v>
      </c>
      <c r="AO1237" s="3">
        <v>25.9</v>
      </c>
      <c r="AP1237" s="3">
        <v>23.9</v>
      </c>
      <c r="AQ1237" s="3">
        <v>21.3</v>
      </c>
      <c r="AR1237" s="3">
        <v>18.2</v>
      </c>
      <c r="AS1237" s="3">
        <v>18.8</v>
      </c>
      <c r="AT1237" s="3">
        <v>34</v>
      </c>
      <c r="AU1237" s="3">
        <v>31.7</v>
      </c>
      <c r="AV1237" s="3">
        <v>22.7</v>
      </c>
      <c r="AW1237" s="3">
        <v>10</v>
      </c>
      <c r="AX1237" s="3">
        <v>9.1999999999999993</v>
      </c>
      <c r="AY1237" s="3">
        <v>9.1999999999999993</v>
      </c>
      <c r="AZ1237" s="3">
        <v>0</v>
      </c>
      <c r="BA1237" s="3">
        <v>0</v>
      </c>
      <c r="BB1237" s="3">
        <v>0</v>
      </c>
      <c r="BC1237" s="3">
        <v>40.472550471311322</v>
      </c>
      <c r="BD1237" s="3">
        <v>41.22744952868868</v>
      </c>
      <c r="BE1237" s="3">
        <v>40.127449528688672</v>
      </c>
      <c r="BF1237" s="3">
        <v>37.387449528688677</v>
      </c>
      <c r="BG1237" s="3">
        <v>35.014116195355342</v>
      </c>
      <c r="BH1237" s="3">
        <v>29.354116195355346</v>
      </c>
      <c r="BI1237" s="3">
        <v>30.467449528688675</v>
      </c>
      <c r="BJ1237" s="3">
        <v>34.260782862021998</v>
      </c>
      <c r="BK1237" s="3">
        <v>35.534116195355338</v>
      </c>
      <c r="BL1237" s="3">
        <v>44.807449528688679</v>
      </c>
      <c r="BM1237" s="3">
        <v>37.240782862022016</v>
      </c>
      <c r="BN1237" s="3">
        <v>33.224116195355336</v>
      </c>
      <c r="BO1237" s="3">
        <v>33.890782862022022</v>
      </c>
      <c r="BP1237" s="3">
        <v>32.10744952868869</v>
      </c>
      <c r="BQ1237" s="3">
        <v>31.924116195355339</v>
      </c>
      <c r="BR1237" s="3">
        <v>30.750782862022007</v>
      </c>
      <c r="BS1237" s="3">
        <v>31.754116195355337</v>
      </c>
      <c r="BT1237" s="3">
        <v>29.45078286202201</v>
      </c>
      <c r="BU1237" s="3">
        <v>26.017449528688687</v>
      </c>
      <c r="BV1237" s="3">
        <v>23.734116195355341</v>
      </c>
      <c r="BW1237" s="3">
        <v>21.667449528688678</v>
      </c>
      <c r="BX1237" s="3">
        <v>18.487449528688686</v>
      </c>
      <c r="BY1237" s="3">
        <v>18.907449528688673</v>
      </c>
      <c r="BZ1237" s="3">
        <v>34.237449528688686</v>
      </c>
      <c r="CA1237" s="3">
        <v>32.037449528688668</v>
      </c>
      <c r="CB1237" s="3">
        <v>22.474116195355343</v>
      </c>
      <c r="CC1237" s="3">
        <v>9.9874495286886784</v>
      </c>
      <c r="CD1237" s="3">
        <v>8.4941161953553461</v>
      </c>
      <c r="CE1237" s="3">
        <v>8.6874495286886741</v>
      </c>
      <c r="CF1237" s="3">
        <v>-0.89921713797799185</v>
      </c>
      <c r="CG1237" s="3">
        <v>-1.4325504713113233</v>
      </c>
      <c r="CH1237" s="3">
        <v>-2.5092171379779913</v>
      </c>
      <c r="CI1237" s="13">
        <f>[1]!dbasum(RecData[[#This Row],[20]:[2000]],RecData[[#Headers],[20]:[2000]])</f>
        <v>37.498920870645392</v>
      </c>
      <c r="CJ1237" s="14">
        <v>11003</v>
      </c>
      <c r="CK1237" s="15" t="s">
        <v>249</v>
      </c>
      <c r="CL1237" s="15">
        <f>RecData[[#This Row],[Start Time]]</f>
        <v>43276.195833333339</v>
      </c>
      <c r="CM1237" s="16">
        <f>RecData[[#This Row],[Wind Speed avg]]</f>
        <v>1.08</v>
      </c>
      <c r="CN1237" s="16">
        <f>RecData[[#This Row],[Wind Dir. avg]]</f>
        <v>192.9</v>
      </c>
      <c r="CO1237" s="16">
        <f>RecData[[#This Row],[Amb. Humidity]]</f>
        <v>65.400000000000006</v>
      </c>
      <c r="CP1237" s="16">
        <f>RecData[[#This Row],[Amb. Temperature]]</f>
        <v>8</v>
      </c>
      <c r="CQ1237" s="17">
        <f>RecData[[#This Row],[Amb. Rain Gauge]]</f>
        <v>0</v>
      </c>
      <c r="CR1237" s="4" t="s">
        <v>1</v>
      </c>
      <c r="CS1237" s="4" t="s">
        <v>49</v>
      </c>
      <c r="CT1237" s="70">
        <v>1454.38098144531</v>
      </c>
      <c r="CU1237" s="70">
        <v>52.000438690185497</v>
      </c>
      <c r="CV1237" s="70">
        <v>10.2831878662109</v>
      </c>
      <c r="CW1237" s="70">
        <v>15.067201614379799</v>
      </c>
      <c r="CX1237" s="4"/>
      <c r="CY1237" s="69"/>
      <c r="CZ1237" s="2" t="b">
        <f>IF($DP$1="YES",IF(RecData[[#This Row],[Power (kW)]]&gt;=$CR$3, TRUE,FALSE),TRUE)</f>
        <v>1</v>
      </c>
      <c r="DA1237" s="16">
        <f>MIN(MOD(180-ABS(ABS($DA$1-RecData[Yaw Angle (°)])-180),360),MOD(180-ABS(ABS($DB$1-RecData[Yaw Angle (°)])-180),360))</f>
        <v>44.470511912497955</v>
      </c>
      <c r="DB1237" s="2" t="str">
        <f>IF($DP$2="None","None",IF(RecData[[#This Row],[Relative Wind Direction]]&lt;=45,"DW",IF(RecData[[#This Row],[Relative Wind Direction]]&lt;=135,"CW","UW")))</f>
        <v>DW</v>
      </c>
      <c r="DC1237" s="61">
        <f>IF($CL1237-$CL1233&gt;1/24,#REF!,IF(SUM($CQ1233:$CQ1237)&gt;$DS$1,$DS$5,DC1238-1))</f>
        <v>-6</v>
      </c>
      <c r="DD1237" s="61">
        <f>IF($CL1238-$CL1237&gt;1/24,#REF!,IF(SUM($CQ1233:$CQ1237)&gt;$DS$1,$DS$6,DD1236-1))</f>
        <v>-5</v>
      </c>
      <c r="DE1237" s="18" t="b">
        <v>0</v>
      </c>
      <c r="DF1237" s="2" t="b">
        <f>IF(OR(RecData[[#This Row],[WSpd_Avg '[m/s']]]-RecData[[#This Row],[Wind Speed min]]&gt;=$DF$3,RecData[[#This Row],[Wind Speed max]]-RecData[[#This Row],[WSpd_Avg '[m/s']]]&gt;=$DF$2),TRUE,FALSE)</f>
        <v>0</v>
      </c>
      <c r="DG1237" s="2" t="b">
        <f>RecData[[#This Row],[Temperature '[°C']]]&lt;=-20</f>
        <v>0</v>
      </c>
      <c r="DH1237" s="18" t="b">
        <f>NOT(OR(MOD(RecData[[#This Row],[TIMESTAMP]],1)&gt;0.91632,MOD(RecData[[#This Row],[TIMESTAMP]],1)&lt;0.208681))</f>
        <v>0</v>
      </c>
      <c r="DI1237" s="18" t="b">
        <f>RecData[[#This Row],[Overall (dBA)]]-RecData[[#This Row],[L90]]&gt;=$DS$4</f>
        <v>0</v>
      </c>
      <c r="DJ1237" s="18" t="b">
        <f>RecData[[#This Row],[Overall (dBA)]]&gt;$DS$2</f>
        <v>0</v>
      </c>
      <c r="DK1237" s="18" t="b">
        <f>RecData[[#This Row],[Overall (dBA)]]&lt;$DS$3</f>
        <v>0</v>
      </c>
      <c r="DL123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7" s="2">
        <f>IF(AND(RecData[[#This Row],[Turbines ON/OFF]] = "OFF", NOT(OR(RecData[[#This Row],[Junk?]]="YES",RecData[[#This Row],[Gust?]],RecData[[#This Row],[Rain?]:[Min SPL Threshold?]]))),1,0)</f>
        <v>0</v>
      </c>
      <c r="DN1237" s="16">
        <f>RecData[[#This Row],[dBA Sum]]</f>
        <v>37.498920870645392</v>
      </c>
      <c r="DO1237" s="16">
        <f>RecData[[#This Row],[LAF90.0]]</f>
        <v>36.700000000000003</v>
      </c>
      <c r="DP1237" s="55">
        <f>IF(AND(RecData[[#This Row],[Useable TON Data?]],RecData[[#This Row],[Turbines ON/OFF]]="ON"),RecData[[#This Row],[dBA Sum]],"")</f>
        <v>37.498920870645392</v>
      </c>
      <c r="DQ1237" s="55" t="str">
        <f>IF(AND(RecData[[#This Row],[Useable Background Data?]],RecData[[#This Row],[Turbines ON/OFF]]="OFF"),RecData[[#This Row],[dBA Sum]],"")</f>
        <v/>
      </c>
      <c r="DR1237" s="3">
        <f>IF(OR(RecData[[#This Row],[Useable TON Data?]],RecData[[#This Row],[Useable Background Data?]]),ROUND(RecData[[#This Row],[WSpd_Avg '[m/s']]],0),"")</f>
        <v>1</v>
      </c>
      <c r="DS1237" s="85">
        <f>(0.00002)^2*(10^(RecData[[#This Row],[Overall (dBA)]]/10))</f>
        <v>2.2488064507924877E-6</v>
      </c>
    </row>
    <row r="1238" spans="1:123" ht="15" x14ac:dyDescent="0.25">
      <c r="A1238" s="3" t="s">
        <v>249</v>
      </c>
      <c r="B1238" s="12">
        <v>43276.196527777785</v>
      </c>
      <c r="C1238" s="3"/>
      <c r="D1238" s="3">
        <v>40.6</v>
      </c>
      <c r="E1238" s="3"/>
      <c r="F1238" s="3"/>
      <c r="G1238" s="3"/>
      <c r="H1238" s="3"/>
      <c r="I1238" s="3"/>
      <c r="J1238" s="3"/>
      <c r="K1238" s="3">
        <v>36.6</v>
      </c>
      <c r="L1238" s="3"/>
      <c r="M1238" s="3"/>
      <c r="N1238" s="3">
        <v>210.9</v>
      </c>
      <c r="O1238" s="3"/>
      <c r="P1238" s="3"/>
      <c r="Q1238" s="3">
        <v>0.7</v>
      </c>
      <c r="R1238" s="3">
        <v>0.2</v>
      </c>
      <c r="S1238" s="3">
        <v>1.5</v>
      </c>
      <c r="T1238" s="3">
        <v>8.1</v>
      </c>
      <c r="U1238" s="3">
        <v>65.2</v>
      </c>
      <c r="V1238" s="3">
        <v>979</v>
      </c>
      <c r="W1238" s="3">
        <v>0</v>
      </c>
      <c r="X1238" s="3">
        <v>41.7</v>
      </c>
      <c r="Y1238" s="3">
        <v>40.6</v>
      </c>
      <c r="Z1238" s="3">
        <v>38.6</v>
      </c>
      <c r="AA1238" s="3">
        <v>35.799999999999997</v>
      </c>
      <c r="AB1238" s="3">
        <v>30.8</v>
      </c>
      <c r="AC1238" s="3">
        <v>31.7</v>
      </c>
      <c r="AD1238" s="3">
        <v>34.9</v>
      </c>
      <c r="AE1238" s="3">
        <v>36.200000000000003</v>
      </c>
      <c r="AF1238" s="3">
        <v>45.1</v>
      </c>
      <c r="AG1238" s="3">
        <v>36.9</v>
      </c>
      <c r="AH1238" s="3">
        <v>33.799999999999997</v>
      </c>
      <c r="AI1238" s="3">
        <v>34.6</v>
      </c>
      <c r="AJ1238" s="3">
        <v>33.200000000000003</v>
      </c>
      <c r="AK1238" s="3">
        <v>32.5</v>
      </c>
      <c r="AL1238" s="3">
        <v>31</v>
      </c>
      <c r="AM1238" s="3">
        <v>31.5</v>
      </c>
      <c r="AN1238" s="3">
        <v>29.7</v>
      </c>
      <c r="AO1238" s="3">
        <v>26.2</v>
      </c>
      <c r="AP1238" s="3">
        <v>24.1</v>
      </c>
      <c r="AQ1238" s="3">
        <v>21.4</v>
      </c>
      <c r="AR1238" s="3">
        <v>18.3</v>
      </c>
      <c r="AS1238" s="3">
        <v>20</v>
      </c>
      <c r="AT1238" s="3">
        <v>34.200000000000003</v>
      </c>
      <c r="AU1238" s="3">
        <v>31.2</v>
      </c>
      <c r="AV1238" s="3">
        <v>23.2</v>
      </c>
      <c r="AW1238" s="3">
        <v>9.4</v>
      </c>
      <c r="AX1238" s="3">
        <v>9</v>
      </c>
      <c r="AY1238" s="3">
        <v>9.1</v>
      </c>
      <c r="AZ1238" s="3">
        <v>0</v>
      </c>
      <c r="BA1238" s="3">
        <v>0</v>
      </c>
      <c r="BB1238" s="3">
        <v>0</v>
      </c>
      <c r="BC1238" s="3">
        <v>40.595678350684572</v>
      </c>
      <c r="BD1238" s="3">
        <v>41.704321649315439</v>
      </c>
      <c r="BE1238" s="3">
        <v>40.60432164931543</v>
      </c>
      <c r="BF1238" s="3">
        <v>37.364321649315436</v>
      </c>
      <c r="BG1238" s="3">
        <v>34.890988315982092</v>
      </c>
      <c r="BH1238" s="3">
        <v>30.030988315982093</v>
      </c>
      <c r="BI1238" s="3">
        <v>31.344321649315425</v>
      </c>
      <c r="BJ1238" s="3">
        <v>35.337654982648765</v>
      </c>
      <c r="BK1238" s="3">
        <v>36.510988315982097</v>
      </c>
      <c r="BL1238" s="3">
        <v>44.98432164931544</v>
      </c>
      <c r="BM1238" s="3">
        <v>36.917654982648763</v>
      </c>
      <c r="BN1238" s="3">
        <v>34.100988315982086</v>
      </c>
      <c r="BO1238" s="3">
        <v>34.267654982648772</v>
      </c>
      <c r="BP1238" s="3">
        <v>32.584321649315434</v>
      </c>
      <c r="BQ1238" s="3">
        <v>32.300988315982089</v>
      </c>
      <c r="BR1238" s="3">
        <v>31.127654982648757</v>
      </c>
      <c r="BS1238" s="3">
        <v>31.430988315982098</v>
      </c>
      <c r="BT1238" s="3">
        <v>29.82765498264876</v>
      </c>
      <c r="BU1238" s="3">
        <v>26.294321649315428</v>
      </c>
      <c r="BV1238" s="3">
        <v>23.910988315982102</v>
      </c>
      <c r="BW1238" s="3">
        <v>21.744321649315431</v>
      </c>
      <c r="BX1238" s="3">
        <v>18.564321649315438</v>
      </c>
      <c r="BY1238" s="3">
        <v>20.084321649315427</v>
      </c>
      <c r="BZ1238" s="3">
        <v>34.414321649315433</v>
      </c>
      <c r="CA1238" s="3">
        <v>31.514321649315413</v>
      </c>
      <c r="CB1238" s="3">
        <v>22.950988315982094</v>
      </c>
      <c r="CC1238" s="3">
        <v>9.3643216493154284</v>
      </c>
      <c r="CD1238" s="3">
        <v>8.2709883159821018</v>
      </c>
      <c r="CE1238" s="3">
        <v>8.5643216493154242</v>
      </c>
      <c r="CF1238" s="3">
        <v>-0.92234501735124041</v>
      </c>
      <c r="CG1238" s="3">
        <v>-1.4556783506845719</v>
      </c>
      <c r="CH1238" s="3">
        <v>-2.5323450173512398</v>
      </c>
      <c r="CI1238" s="13">
        <f>[1]!dbasum(RecData[[#This Row],[20]:[2000]],RecData[[#Headers],[20]:[2000]])</f>
        <v>37.706707020180097</v>
      </c>
      <c r="CJ1238" s="14">
        <v>11004</v>
      </c>
      <c r="CK1238" s="15" t="s">
        <v>249</v>
      </c>
      <c r="CL1238" s="15">
        <f>RecData[[#This Row],[Start Time]]</f>
        <v>43276.196527777785</v>
      </c>
      <c r="CM1238" s="16">
        <f>RecData[[#This Row],[Wind Speed avg]]</f>
        <v>0.7</v>
      </c>
      <c r="CN1238" s="16">
        <f>RecData[[#This Row],[Wind Dir. avg]]</f>
        <v>210.9</v>
      </c>
      <c r="CO1238" s="16">
        <f>RecData[[#This Row],[Amb. Humidity]]</f>
        <v>65.2</v>
      </c>
      <c r="CP1238" s="16">
        <f>RecData[[#This Row],[Amb. Temperature]]</f>
        <v>8.1</v>
      </c>
      <c r="CQ1238" s="17">
        <f>RecData[[#This Row],[Amb. Rain Gauge]]</f>
        <v>0</v>
      </c>
      <c r="CR1238" s="4" t="s">
        <v>1</v>
      </c>
      <c r="CS1238" s="4" t="s">
        <v>49</v>
      </c>
      <c r="CT1238" s="70">
        <v>1454.38098144531</v>
      </c>
      <c r="CU1238" s="70">
        <v>52.000438690185497</v>
      </c>
      <c r="CV1238" s="70">
        <v>10.2831878662109</v>
      </c>
      <c r="CW1238" s="70">
        <v>15.067201614379799</v>
      </c>
      <c r="CX1238" s="4"/>
      <c r="CY1238" s="69"/>
      <c r="CZ1238" s="2" t="b">
        <f>IF($DP$1="YES",IF(RecData[[#This Row],[Power (kW)]]&gt;=$CR$3, TRUE,FALSE),TRUE)</f>
        <v>1</v>
      </c>
      <c r="DA1238" s="16">
        <f>MIN(MOD(180-ABS(ABS($DA$1-RecData[Yaw Angle (°)])-180),360),MOD(180-ABS(ABS($DB$1-RecData[Yaw Angle (°)])-180),360))</f>
        <v>44.470511912497955</v>
      </c>
      <c r="DB1238" s="2" t="str">
        <f>IF($DP$2="None","None",IF(RecData[[#This Row],[Relative Wind Direction]]&lt;=45,"DW",IF(RecData[[#This Row],[Relative Wind Direction]]&lt;=135,"CW","UW")))</f>
        <v>DW</v>
      </c>
      <c r="DC1238" s="61">
        <f>IF($CL1238-$CL1234&gt;1/24,#REF!,IF(SUM($CQ1234:$CQ1238)&gt;$DS$1,$DS$5,DC1239-1))</f>
        <v>-5</v>
      </c>
      <c r="DD1238" s="61">
        <f>IF($CL1239-$CL1238&gt;1/24,#REF!,IF(SUM($CQ1234:$CQ1238)&gt;$DS$1,$DS$6,DD1237-1))</f>
        <v>-6</v>
      </c>
      <c r="DE1238" s="18" t="b">
        <v>0</v>
      </c>
      <c r="DF1238" s="2" t="b">
        <f>IF(OR(RecData[[#This Row],[WSpd_Avg '[m/s']]]-RecData[[#This Row],[Wind Speed min]]&gt;=$DF$3,RecData[[#This Row],[Wind Speed max]]-RecData[[#This Row],[WSpd_Avg '[m/s']]]&gt;=$DF$2),TRUE,FALSE)</f>
        <v>0</v>
      </c>
      <c r="DG1238" s="2" t="b">
        <f>RecData[[#This Row],[Temperature '[°C']]]&lt;=-20</f>
        <v>0</v>
      </c>
      <c r="DH1238" s="18" t="b">
        <f>NOT(OR(MOD(RecData[[#This Row],[TIMESTAMP]],1)&gt;0.91632,MOD(RecData[[#This Row],[TIMESTAMP]],1)&lt;0.208681))</f>
        <v>0</v>
      </c>
      <c r="DI1238" s="18" t="b">
        <f>RecData[[#This Row],[Overall (dBA)]]-RecData[[#This Row],[L90]]&gt;=$DS$4</f>
        <v>0</v>
      </c>
      <c r="DJ1238" s="18" t="b">
        <f>RecData[[#This Row],[Overall (dBA)]]&gt;$DS$2</f>
        <v>0</v>
      </c>
      <c r="DK1238" s="18" t="b">
        <f>RecData[[#This Row],[Overall (dBA)]]&lt;$DS$3</f>
        <v>0</v>
      </c>
      <c r="DL123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8" s="2">
        <f>IF(AND(RecData[[#This Row],[Turbines ON/OFF]] = "OFF", NOT(OR(RecData[[#This Row],[Junk?]]="YES",RecData[[#This Row],[Gust?]],RecData[[#This Row],[Rain?]:[Min SPL Threshold?]]))),1,0)</f>
        <v>0</v>
      </c>
      <c r="DN1238" s="16">
        <f>RecData[[#This Row],[dBA Sum]]</f>
        <v>37.706707020180097</v>
      </c>
      <c r="DO1238" s="16">
        <f>RecData[[#This Row],[LAF90.0]]</f>
        <v>36.6</v>
      </c>
      <c r="DP1238" s="55">
        <f>IF(AND(RecData[[#This Row],[Useable TON Data?]],RecData[[#This Row],[Turbines ON/OFF]]="ON"),RecData[[#This Row],[dBA Sum]],"")</f>
        <v>37.706707020180097</v>
      </c>
      <c r="DQ1238" s="55" t="str">
        <f>IF(AND(RecData[[#This Row],[Useable Background Data?]],RecData[[#This Row],[Turbines ON/OFF]]="OFF"),RecData[[#This Row],[dBA Sum]],"")</f>
        <v/>
      </c>
      <c r="DR1238" s="3">
        <f>IF(OR(RecData[[#This Row],[Useable TON Data?]],RecData[[#This Row],[Useable Background Data?]]),ROUND(RecData[[#This Row],[WSpd_Avg '[m/s']]],0),"")</f>
        <v>1</v>
      </c>
      <c r="DS1238" s="85">
        <f>(0.00002)^2*(10^(RecData[[#This Row],[Overall (dBA)]]/10))</f>
        <v>2.3590149508567946E-6</v>
      </c>
    </row>
    <row r="1239" spans="1:123" ht="15" x14ac:dyDescent="0.25">
      <c r="A1239" s="3" t="s">
        <v>249</v>
      </c>
      <c r="B1239" s="12">
        <v>43276.197222222225</v>
      </c>
      <c r="C1239" s="3"/>
      <c r="D1239" s="3">
        <v>40.6</v>
      </c>
      <c r="E1239" s="3"/>
      <c r="F1239" s="3"/>
      <c r="G1239" s="3"/>
      <c r="H1239" s="3"/>
      <c r="I1239" s="3"/>
      <c r="J1239" s="3"/>
      <c r="K1239" s="3">
        <v>36.4</v>
      </c>
      <c r="L1239" s="3"/>
      <c r="M1239" s="3"/>
      <c r="N1239" s="3">
        <v>167.6</v>
      </c>
      <c r="O1239" s="3"/>
      <c r="P1239" s="3"/>
      <c r="Q1239" s="3">
        <v>0.99</v>
      </c>
      <c r="R1239" s="3">
        <v>0.1</v>
      </c>
      <c r="S1239" s="3">
        <v>2</v>
      </c>
      <c r="T1239" s="3">
        <v>8.1</v>
      </c>
      <c r="U1239" s="3">
        <v>64.7</v>
      </c>
      <c r="V1239" s="3">
        <v>979</v>
      </c>
      <c r="W1239" s="3">
        <v>0</v>
      </c>
      <c r="X1239" s="3">
        <v>41.9</v>
      </c>
      <c r="Y1239" s="3">
        <v>41.4</v>
      </c>
      <c r="Z1239" s="3">
        <v>39.700000000000003</v>
      </c>
      <c r="AA1239" s="3">
        <v>36.9</v>
      </c>
      <c r="AB1239" s="3">
        <v>31.6</v>
      </c>
      <c r="AC1239" s="3">
        <v>31.3</v>
      </c>
      <c r="AD1239" s="3">
        <v>34.799999999999997</v>
      </c>
      <c r="AE1239" s="3">
        <v>35.799999999999997</v>
      </c>
      <c r="AF1239" s="3">
        <v>44.8</v>
      </c>
      <c r="AG1239" s="3">
        <v>36.5</v>
      </c>
      <c r="AH1239" s="3">
        <v>33.299999999999997</v>
      </c>
      <c r="AI1239" s="3">
        <v>34.200000000000003</v>
      </c>
      <c r="AJ1239" s="3">
        <v>32.799999999999997</v>
      </c>
      <c r="AK1239" s="3">
        <v>32.200000000000003</v>
      </c>
      <c r="AL1239" s="3">
        <v>30.7</v>
      </c>
      <c r="AM1239" s="3">
        <v>31.3</v>
      </c>
      <c r="AN1239" s="3">
        <v>29.5</v>
      </c>
      <c r="AO1239" s="3">
        <v>26.1</v>
      </c>
      <c r="AP1239" s="3">
        <v>24.3</v>
      </c>
      <c r="AQ1239" s="3">
        <v>22.2</v>
      </c>
      <c r="AR1239" s="3">
        <v>20.9</v>
      </c>
      <c r="AS1239" s="3">
        <v>21.7</v>
      </c>
      <c r="AT1239" s="3">
        <v>33.6</v>
      </c>
      <c r="AU1239" s="3">
        <v>32.5</v>
      </c>
      <c r="AV1239" s="3">
        <v>23.4</v>
      </c>
      <c r="AW1239" s="3">
        <v>16</v>
      </c>
      <c r="AX1239" s="3">
        <v>12.3</v>
      </c>
      <c r="AY1239" s="3">
        <v>10.9</v>
      </c>
      <c r="AZ1239" s="3">
        <v>0</v>
      </c>
      <c r="BA1239" s="3">
        <v>0</v>
      </c>
      <c r="BB1239" s="3">
        <v>0</v>
      </c>
      <c r="BC1239" s="3">
        <v>40.605775539144858</v>
      </c>
      <c r="BD1239" s="3">
        <v>41.894224460855142</v>
      </c>
      <c r="BE1239" s="3">
        <v>41.394224460855142</v>
      </c>
      <c r="BF1239" s="3">
        <v>38.454224460855144</v>
      </c>
      <c r="BG1239" s="3">
        <v>35.980891127521815</v>
      </c>
      <c r="BH1239" s="3">
        <v>30.820891127521818</v>
      </c>
      <c r="BI1239" s="3">
        <v>30.934224460855148</v>
      </c>
      <c r="BJ1239" s="3">
        <v>35.227557794188471</v>
      </c>
      <c r="BK1239" s="3">
        <v>36.100891127521805</v>
      </c>
      <c r="BL1239" s="3">
        <v>44.674224460855143</v>
      </c>
      <c r="BM1239" s="3">
        <v>36.507557794188486</v>
      </c>
      <c r="BN1239" s="3">
        <v>33.5908911275218</v>
      </c>
      <c r="BO1239" s="3">
        <v>33.85755779418848</v>
      </c>
      <c r="BP1239" s="3">
        <v>32.174224460855143</v>
      </c>
      <c r="BQ1239" s="3">
        <v>31.990891127521806</v>
      </c>
      <c r="BR1239" s="3">
        <v>30.817557794188474</v>
      </c>
      <c r="BS1239" s="3">
        <v>31.22089112752181</v>
      </c>
      <c r="BT1239" s="3">
        <v>29.617557794188471</v>
      </c>
      <c r="BU1239" s="3">
        <v>26.184224460855148</v>
      </c>
      <c r="BV1239" s="3">
        <v>24.10089112752182</v>
      </c>
      <c r="BW1239" s="3">
        <v>22.534224460855143</v>
      </c>
      <c r="BX1239" s="3">
        <v>21.154224460855147</v>
      </c>
      <c r="BY1239" s="3">
        <v>21.774224460855137</v>
      </c>
      <c r="BZ1239" s="3">
        <v>33.804224460855139</v>
      </c>
      <c r="CA1239" s="3">
        <v>32.804224460855139</v>
      </c>
      <c r="CB1239" s="3">
        <v>23.140891127521812</v>
      </c>
      <c r="CC1239" s="3">
        <v>15.954224460855144</v>
      </c>
      <c r="CD1239" s="3">
        <v>11.560891127521813</v>
      </c>
      <c r="CE1239" s="3">
        <v>10.354224460855143</v>
      </c>
      <c r="CF1239" s="3">
        <v>-0.93244220581152604</v>
      </c>
      <c r="CG1239" s="3">
        <v>-1.4657755391448575</v>
      </c>
      <c r="CH1239" s="3">
        <v>-2.5424422058115255</v>
      </c>
      <c r="CI1239" s="13">
        <f>[1]!dbasum(RecData[[#This Row],[20]:[2000]],RecData[[#Headers],[20]:[2000]])</f>
        <v>37.546045459233298</v>
      </c>
      <c r="CJ1239" s="14">
        <v>11005</v>
      </c>
      <c r="CK1239" s="15" t="s">
        <v>249</v>
      </c>
      <c r="CL1239" s="15">
        <f>RecData[[#This Row],[Start Time]]</f>
        <v>43276.197222222225</v>
      </c>
      <c r="CM1239" s="16">
        <f>RecData[[#This Row],[Wind Speed avg]]</f>
        <v>0.99</v>
      </c>
      <c r="CN1239" s="16">
        <f>RecData[[#This Row],[Wind Dir. avg]]</f>
        <v>167.6</v>
      </c>
      <c r="CO1239" s="16">
        <f>RecData[[#This Row],[Amb. Humidity]]</f>
        <v>64.7</v>
      </c>
      <c r="CP1239" s="16">
        <f>RecData[[#This Row],[Amb. Temperature]]</f>
        <v>8.1</v>
      </c>
      <c r="CQ1239" s="17">
        <f>RecData[[#This Row],[Amb. Rain Gauge]]</f>
        <v>0</v>
      </c>
      <c r="CR1239" s="4" t="s">
        <v>1</v>
      </c>
      <c r="CS1239" s="4" t="s">
        <v>49</v>
      </c>
      <c r="CT1239" s="70">
        <v>1454.38098144531</v>
      </c>
      <c r="CU1239" s="70">
        <v>52.000438690185497</v>
      </c>
      <c r="CV1239" s="70">
        <v>10.2831878662109</v>
      </c>
      <c r="CW1239" s="70">
        <v>15.067201614379799</v>
      </c>
      <c r="CX1239" s="4"/>
      <c r="CY1239" s="69"/>
      <c r="CZ1239" s="2" t="b">
        <f>IF($DP$1="YES",IF(RecData[[#This Row],[Power (kW)]]&gt;=$CR$3, TRUE,FALSE),TRUE)</f>
        <v>1</v>
      </c>
      <c r="DA1239" s="16">
        <f>MIN(MOD(180-ABS(ABS($DA$1-RecData[Yaw Angle (°)])-180),360),MOD(180-ABS(ABS($DB$1-RecData[Yaw Angle (°)])-180),360))</f>
        <v>44.470511912497955</v>
      </c>
      <c r="DB1239" s="2" t="str">
        <f>IF($DP$2="None","None",IF(RecData[[#This Row],[Relative Wind Direction]]&lt;=45,"DW",IF(RecData[[#This Row],[Relative Wind Direction]]&lt;=135,"CW","UW")))</f>
        <v>DW</v>
      </c>
      <c r="DC1239" s="61">
        <f>IF($CL1239-$CL1235&gt;1/24,#REF!,IF(SUM($CQ1235:$CQ1239)&gt;$DS$1,$DS$5,DC1240-1))</f>
        <v>-4</v>
      </c>
      <c r="DD1239" s="61">
        <f>IF($CL1240-$CL1239&gt;1/24,#REF!,IF(SUM($CQ1235:$CQ1239)&gt;$DS$1,$DS$6,DD1238-1))</f>
        <v>-7</v>
      </c>
      <c r="DE1239" s="18" t="b">
        <v>0</v>
      </c>
      <c r="DF1239" s="2" t="b">
        <f>IF(OR(RecData[[#This Row],[WSpd_Avg '[m/s']]]-RecData[[#This Row],[Wind Speed min]]&gt;=$DF$3,RecData[[#This Row],[Wind Speed max]]-RecData[[#This Row],[WSpd_Avg '[m/s']]]&gt;=$DF$2),TRUE,FALSE)</f>
        <v>0</v>
      </c>
      <c r="DG1239" s="2" t="b">
        <f>RecData[[#This Row],[Temperature '[°C']]]&lt;=-20</f>
        <v>0</v>
      </c>
      <c r="DH1239" s="18" t="b">
        <f>NOT(OR(MOD(RecData[[#This Row],[TIMESTAMP]],1)&gt;0.91632,MOD(RecData[[#This Row],[TIMESTAMP]],1)&lt;0.208681))</f>
        <v>0</v>
      </c>
      <c r="DI1239" s="18" t="b">
        <f>RecData[[#This Row],[Overall (dBA)]]-RecData[[#This Row],[L90]]&gt;=$DS$4</f>
        <v>0</v>
      </c>
      <c r="DJ1239" s="18" t="b">
        <f>RecData[[#This Row],[Overall (dBA)]]&gt;$DS$2</f>
        <v>0</v>
      </c>
      <c r="DK1239" s="18" t="b">
        <f>RecData[[#This Row],[Overall (dBA)]]&lt;$DS$3</f>
        <v>0</v>
      </c>
      <c r="DL123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39" s="2">
        <f>IF(AND(RecData[[#This Row],[Turbines ON/OFF]] = "OFF", NOT(OR(RecData[[#This Row],[Junk?]]="YES",RecData[[#This Row],[Gust?]],RecData[[#This Row],[Rain?]:[Min SPL Threshold?]]))),1,0)</f>
        <v>0</v>
      </c>
      <c r="DN1239" s="16">
        <f>RecData[[#This Row],[dBA Sum]]</f>
        <v>37.546045459233298</v>
      </c>
      <c r="DO1239" s="16">
        <f>RecData[[#This Row],[LAF90.0]]</f>
        <v>36.4</v>
      </c>
      <c r="DP1239" s="55">
        <f>IF(AND(RecData[[#This Row],[Useable TON Data?]],RecData[[#This Row],[Turbines ON/OFF]]="ON"),RecData[[#This Row],[dBA Sum]],"")</f>
        <v>37.546045459233298</v>
      </c>
      <c r="DQ1239" s="55" t="str">
        <f>IF(AND(RecData[[#This Row],[Useable Background Data?]],RecData[[#This Row],[Turbines ON/OFF]]="OFF"),RecData[[#This Row],[dBA Sum]],"")</f>
        <v/>
      </c>
      <c r="DR1239" s="3">
        <f>IF(OR(RecData[[#This Row],[Useable TON Data?]],RecData[[#This Row],[Useable Background Data?]]),ROUND(RecData[[#This Row],[WSpd_Avg '[m/s']]],0),"")</f>
        <v>1</v>
      </c>
      <c r="DS1239" s="85">
        <f>(0.00002)^2*(10^(RecData[[#This Row],[Overall (dBA)]]/10))</f>
        <v>2.2733407523396373E-6</v>
      </c>
    </row>
    <row r="1240" spans="1:123" ht="15" x14ac:dyDescent="0.25">
      <c r="A1240" s="3" t="s">
        <v>249</v>
      </c>
      <c r="B1240" s="12">
        <v>43276.197916666672</v>
      </c>
      <c r="C1240" s="3"/>
      <c r="D1240" s="3">
        <v>41.5</v>
      </c>
      <c r="E1240" s="3"/>
      <c r="F1240" s="3"/>
      <c r="G1240" s="3"/>
      <c r="H1240" s="3"/>
      <c r="I1240" s="3"/>
      <c r="J1240" s="3"/>
      <c r="K1240" s="3">
        <v>37.4</v>
      </c>
      <c r="L1240" s="3"/>
      <c r="M1240" s="3"/>
      <c r="N1240" s="3">
        <v>173.6</v>
      </c>
      <c r="O1240" s="3"/>
      <c r="P1240" s="3"/>
      <c r="Q1240" s="3">
        <v>0.7</v>
      </c>
      <c r="R1240" s="3">
        <v>0.2</v>
      </c>
      <c r="S1240" s="3">
        <v>1.5</v>
      </c>
      <c r="T1240" s="3">
        <v>8.1999999999999993</v>
      </c>
      <c r="U1240" s="3">
        <v>64.8</v>
      </c>
      <c r="V1240" s="3">
        <v>979</v>
      </c>
      <c r="W1240" s="3">
        <v>0</v>
      </c>
      <c r="X1240" s="3">
        <v>41.3</v>
      </c>
      <c r="Y1240" s="3">
        <v>40.700000000000003</v>
      </c>
      <c r="Z1240" s="3">
        <v>38.9</v>
      </c>
      <c r="AA1240" s="3">
        <v>35.9</v>
      </c>
      <c r="AB1240" s="3">
        <v>30.5</v>
      </c>
      <c r="AC1240" s="3">
        <v>30.5</v>
      </c>
      <c r="AD1240" s="3">
        <v>34.799999999999997</v>
      </c>
      <c r="AE1240" s="3">
        <v>36.700000000000003</v>
      </c>
      <c r="AF1240" s="3">
        <v>46.6</v>
      </c>
      <c r="AG1240" s="3">
        <v>37.6</v>
      </c>
      <c r="AH1240" s="3">
        <v>34.299999999999997</v>
      </c>
      <c r="AI1240" s="3">
        <v>34.799999999999997</v>
      </c>
      <c r="AJ1240" s="3">
        <v>33.799999999999997</v>
      </c>
      <c r="AK1240" s="3">
        <v>32.9</v>
      </c>
      <c r="AL1240" s="3">
        <v>31.4</v>
      </c>
      <c r="AM1240" s="3">
        <v>32.1</v>
      </c>
      <c r="AN1240" s="3">
        <v>29.9</v>
      </c>
      <c r="AO1240" s="3">
        <v>26.2</v>
      </c>
      <c r="AP1240" s="3">
        <v>24.2</v>
      </c>
      <c r="AQ1240" s="3">
        <v>21.3</v>
      </c>
      <c r="AR1240" s="3">
        <v>18</v>
      </c>
      <c r="AS1240" s="3">
        <v>19</v>
      </c>
      <c r="AT1240" s="3">
        <v>35.200000000000003</v>
      </c>
      <c r="AU1240" s="3">
        <v>33.4</v>
      </c>
      <c r="AV1240" s="3">
        <v>20.9</v>
      </c>
      <c r="AW1240" s="3">
        <v>9.4</v>
      </c>
      <c r="AX1240" s="3">
        <v>9</v>
      </c>
      <c r="AY1240" s="3">
        <v>9.1</v>
      </c>
      <c r="AZ1240" s="3">
        <v>0</v>
      </c>
      <c r="BA1240" s="3">
        <v>0</v>
      </c>
      <c r="BB1240" s="3">
        <v>0</v>
      </c>
      <c r="BC1240" s="3">
        <v>41.487677884686562</v>
      </c>
      <c r="BD1240" s="3">
        <v>41.312322115313435</v>
      </c>
      <c r="BE1240" s="3">
        <v>40.712322115313441</v>
      </c>
      <c r="BF1240" s="3">
        <v>37.672322115313435</v>
      </c>
      <c r="BG1240" s="3">
        <v>34.998988781980103</v>
      </c>
      <c r="BH1240" s="3">
        <v>29.738988781980112</v>
      </c>
      <c r="BI1240" s="3">
        <v>30.152322115313439</v>
      </c>
      <c r="BJ1240" s="3">
        <v>35.245655448646758</v>
      </c>
      <c r="BK1240" s="3">
        <v>37.018988781980099</v>
      </c>
      <c r="BL1240" s="3">
        <v>46.492322115313442</v>
      </c>
      <c r="BM1240" s="3">
        <v>37.625655448646782</v>
      </c>
      <c r="BN1240" s="3">
        <v>34.608988781980102</v>
      </c>
      <c r="BO1240" s="3">
        <v>34.475655448646776</v>
      </c>
      <c r="BP1240" s="3">
        <v>33.192322115313445</v>
      </c>
      <c r="BQ1240" s="3">
        <v>32.708988781980096</v>
      </c>
      <c r="BR1240" s="3">
        <v>31.535655448646779</v>
      </c>
      <c r="BS1240" s="3">
        <v>32.038988781980109</v>
      </c>
      <c r="BT1240" s="3">
        <v>30.035655448646779</v>
      </c>
      <c r="BU1240" s="3">
        <v>26.302322115313444</v>
      </c>
      <c r="BV1240" s="3">
        <v>24.018988781980099</v>
      </c>
      <c r="BW1240" s="3">
        <v>21.652322115313439</v>
      </c>
      <c r="BX1240" s="3">
        <v>18.272322115313443</v>
      </c>
      <c r="BY1240" s="3">
        <v>19.092322115313436</v>
      </c>
      <c r="BZ1240" s="3">
        <v>35.422322115313435</v>
      </c>
      <c r="CA1240" s="3">
        <v>33.722322115313432</v>
      </c>
      <c r="CB1240" s="3">
        <v>20.658988781980099</v>
      </c>
      <c r="CC1240" s="3">
        <v>9.3723221153134375</v>
      </c>
      <c r="CD1240" s="3">
        <v>8.2789887819801109</v>
      </c>
      <c r="CE1240" s="3">
        <v>8.5723221153134403</v>
      </c>
      <c r="CF1240" s="3">
        <v>-0.91434455135323134</v>
      </c>
      <c r="CG1240" s="3">
        <v>-1.4476778846865628</v>
      </c>
      <c r="CH1240" s="3">
        <v>-2.5243445513532308</v>
      </c>
      <c r="CI1240" s="13">
        <f>[1]!dbasum(RecData[[#This Row],[20]:[2000]],RecData[[#Headers],[20]:[2000]])</f>
        <v>38.227585166775519</v>
      </c>
      <c r="CJ1240" s="14">
        <v>11006</v>
      </c>
      <c r="CK1240" s="15" t="s">
        <v>249</v>
      </c>
      <c r="CL1240" s="15">
        <f>RecData[[#This Row],[Start Time]]</f>
        <v>43276.197916666672</v>
      </c>
      <c r="CM1240" s="16">
        <f>RecData[[#This Row],[Wind Speed avg]]</f>
        <v>0.7</v>
      </c>
      <c r="CN1240" s="16">
        <f>RecData[[#This Row],[Wind Dir. avg]]</f>
        <v>173.6</v>
      </c>
      <c r="CO1240" s="16">
        <f>RecData[[#This Row],[Amb. Humidity]]</f>
        <v>64.8</v>
      </c>
      <c r="CP1240" s="16">
        <f>RecData[[#This Row],[Amb. Temperature]]</f>
        <v>8.1999999999999993</v>
      </c>
      <c r="CQ1240" s="17">
        <f>RecData[[#This Row],[Amb. Rain Gauge]]</f>
        <v>0</v>
      </c>
      <c r="CR1240" s="4" t="s">
        <v>1</v>
      </c>
      <c r="CS1240" s="4" t="s">
        <v>49</v>
      </c>
      <c r="CT1240" s="70">
        <v>1454.38098144531</v>
      </c>
      <c r="CU1240" s="70">
        <v>52.000438690185497</v>
      </c>
      <c r="CV1240" s="70">
        <v>10.2831878662109</v>
      </c>
      <c r="CW1240" s="70">
        <v>15.067201614379799</v>
      </c>
      <c r="CX1240" s="4"/>
      <c r="CY1240" s="69"/>
      <c r="CZ1240" s="2" t="b">
        <f>IF($DP$1="YES",IF(RecData[[#This Row],[Power (kW)]]&gt;=$CR$3, TRUE,FALSE),TRUE)</f>
        <v>1</v>
      </c>
      <c r="DA1240" s="16">
        <f>MIN(MOD(180-ABS(ABS($DA$1-RecData[Yaw Angle (°)])-180),360),MOD(180-ABS(ABS($DB$1-RecData[Yaw Angle (°)])-180),360))</f>
        <v>44.470511912497955</v>
      </c>
      <c r="DB1240" s="2" t="str">
        <f>IF($DP$2="None","None",IF(RecData[[#This Row],[Relative Wind Direction]]&lt;=45,"DW",IF(RecData[[#This Row],[Relative Wind Direction]]&lt;=135,"CW","UW")))</f>
        <v>DW</v>
      </c>
      <c r="DC1240" s="61">
        <f>IF($CL1240-$CL1236&gt;1/24,#REF!,IF(SUM($CQ1236:$CQ1240)&gt;$DS$1,$DS$5,DC1241-1))</f>
        <v>-3</v>
      </c>
      <c r="DD1240" s="61">
        <f>IF($CL1241-$CL1240&gt;1/24,#REF!,IF(SUM($CQ1236:$CQ1240)&gt;$DS$1,$DS$6,DD1239-1))</f>
        <v>-8</v>
      </c>
      <c r="DE1240" s="18" t="b">
        <v>0</v>
      </c>
      <c r="DF1240" s="2" t="b">
        <f>IF(OR(RecData[[#This Row],[WSpd_Avg '[m/s']]]-RecData[[#This Row],[Wind Speed min]]&gt;=$DF$3,RecData[[#This Row],[Wind Speed max]]-RecData[[#This Row],[WSpd_Avg '[m/s']]]&gt;=$DF$2),TRUE,FALSE)</f>
        <v>0</v>
      </c>
      <c r="DG1240" s="2" t="b">
        <f>RecData[[#This Row],[Temperature '[°C']]]&lt;=-20</f>
        <v>0</v>
      </c>
      <c r="DH1240" s="18" t="b">
        <f>NOT(OR(MOD(RecData[[#This Row],[TIMESTAMP]],1)&gt;0.91632,MOD(RecData[[#This Row],[TIMESTAMP]],1)&lt;0.208681))</f>
        <v>0</v>
      </c>
      <c r="DI1240" s="18" t="b">
        <f>RecData[[#This Row],[Overall (dBA)]]-RecData[[#This Row],[L90]]&gt;=$DS$4</f>
        <v>0</v>
      </c>
      <c r="DJ1240" s="18" t="b">
        <f>RecData[[#This Row],[Overall (dBA)]]&gt;$DS$2</f>
        <v>0</v>
      </c>
      <c r="DK1240" s="18" t="b">
        <f>RecData[[#This Row],[Overall (dBA)]]&lt;$DS$3</f>
        <v>0</v>
      </c>
      <c r="DL124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0" s="2">
        <f>IF(AND(RecData[[#This Row],[Turbines ON/OFF]] = "OFF", NOT(OR(RecData[[#This Row],[Junk?]]="YES",RecData[[#This Row],[Gust?]],RecData[[#This Row],[Rain?]:[Min SPL Threshold?]]))),1,0)</f>
        <v>0</v>
      </c>
      <c r="DN1240" s="16">
        <f>RecData[[#This Row],[dBA Sum]]</f>
        <v>38.227585166775519</v>
      </c>
      <c r="DO1240" s="16">
        <f>RecData[[#This Row],[LAF90.0]]</f>
        <v>37.4</v>
      </c>
      <c r="DP1240" s="55">
        <f>IF(AND(RecData[[#This Row],[Useable TON Data?]],RecData[[#This Row],[Turbines ON/OFF]]="ON"),RecData[[#This Row],[dBA Sum]],"")</f>
        <v>38.227585166775519</v>
      </c>
      <c r="DQ1240" s="55" t="str">
        <f>IF(AND(RecData[[#This Row],[Useable Background Data?]],RecData[[#This Row],[Turbines ON/OFF]]="OFF"),RecData[[#This Row],[dBA Sum]],"")</f>
        <v/>
      </c>
      <c r="DR1240" s="3">
        <f>IF(OR(RecData[[#This Row],[Useable TON Data?]],RecData[[#This Row],[Useable Background Data?]]),ROUND(RecData[[#This Row],[WSpd_Avg '[m/s']]],0),"")</f>
        <v>1</v>
      </c>
      <c r="DS1240" s="85">
        <f>(0.00002)^2*(10^(RecData[[#This Row],[Overall (dBA)]]/10))</f>
        <v>2.6596133730750501E-6</v>
      </c>
    </row>
    <row r="1241" spans="1:123" ht="15" x14ac:dyDescent="0.25">
      <c r="A1241" s="3" t="s">
        <v>249</v>
      </c>
      <c r="B1241" s="12">
        <v>43276.198611111118</v>
      </c>
      <c r="C1241" s="3"/>
      <c r="D1241" s="3">
        <v>40.700000000000003</v>
      </c>
      <c r="E1241" s="3"/>
      <c r="F1241" s="3"/>
      <c r="G1241" s="3"/>
      <c r="H1241" s="3"/>
      <c r="I1241" s="3"/>
      <c r="J1241" s="3"/>
      <c r="K1241" s="3">
        <v>37</v>
      </c>
      <c r="L1241" s="3"/>
      <c r="M1241" s="3"/>
      <c r="N1241" s="3">
        <v>196.6</v>
      </c>
      <c r="O1241" s="3"/>
      <c r="P1241" s="3"/>
      <c r="Q1241" s="3">
        <v>0.64</v>
      </c>
      <c r="R1241" s="3">
        <v>0</v>
      </c>
      <c r="S1241" s="3">
        <v>1</v>
      </c>
      <c r="T1241" s="3">
        <v>8.1999999999999993</v>
      </c>
      <c r="U1241" s="3">
        <v>65.2</v>
      </c>
      <c r="V1241" s="3">
        <v>979</v>
      </c>
      <c r="W1241" s="3">
        <v>0</v>
      </c>
      <c r="X1241" s="3">
        <v>42</v>
      </c>
      <c r="Y1241" s="3">
        <v>41.7</v>
      </c>
      <c r="Z1241" s="3">
        <v>39.9</v>
      </c>
      <c r="AA1241" s="3">
        <v>36.799999999999997</v>
      </c>
      <c r="AB1241" s="3">
        <v>31.4</v>
      </c>
      <c r="AC1241" s="3">
        <v>31.8</v>
      </c>
      <c r="AD1241" s="3">
        <v>35.299999999999997</v>
      </c>
      <c r="AE1241" s="3">
        <v>36.5</v>
      </c>
      <c r="AF1241" s="3">
        <v>45</v>
      </c>
      <c r="AG1241" s="3">
        <v>37.200000000000003</v>
      </c>
      <c r="AH1241" s="3">
        <v>34.1</v>
      </c>
      <c r="AI1241" s="3">
        <v>34.9</v>
      </c>
      <c r="AJ1241" s="3">
        <v>33.200000000000003</v>
      </c>
      <c r="AK1241" s="3">
        <v>32.6</v>
      </c>
      <c r="AL1241" s="3">
        <v>31.1</v>
      </c>
      <c r="AM1241" s="3">
        <v>31.9</v>
      </c>
      <c r="AN1241" s="3">
        <v>29.7</v>
      </c>
      <c r="AO1241" s="3">
        <v>26.3</v>
      </c>
      <c r="AP1241" s="3">
        <v>24.5</v>
      </c>
      <c r="AQ1241" s="3">
        <v>21.5</v>
      </c>
      <c r="AR1241" s="3">
        <v>18.2</v>
      </c>
      <c r="AS1241" s="3">
        <v>17.399999999999999</v>
      </c>
      <c r="AT1241" s="3">
        <v>32</v>
      </c>
      <c r="AU1241" s="3">
        <v>34.1</v>
      </c>
      <c r="AV1241" s="3">
        <v>20.2</v>
      </c>
      <c r="AW1241" s="3">
        <v>9.4</v>
      </c>
      <c r="AX1241" s="3">
        <v>8.9</v>
      </c>
      <c r="AY1241" s="3">
        <v>9.1</v>
      </c>
      <c r="AZ1241" s="3">
        <v>0</v>
      </c>
      <c r="BA1241" s="3">
        <v>0</v>
      </c>
      <c r="BB1241" s="3">
        <v>0</v>
      </c>
      <c r="BC1241" s="3">
        <v>40.673914886052025</v>
      </c>
      <c r="BD1241" s="3">
        <v>42.026085113947978</v>
      </c>
      <c r="BE1241" s="3">
        <v>41.726085113947981</v>
      </c>
      <c r="BF1241" s="3">
        <v>38.686085113947975</v>
      </c>
      <c r="BG1241" s="3">
        <v>35.912751780614649</v>
      </c>
      <c r="BH1241" s="3">
        <v>30.652751780614643</v>
      </c>
      <c r="BI1241" s="3">
        <v>31.466085113947976</v>
      </c>
      <c r="BJ1241" s="3">
        <v>35.759418447281313</v>
      </c>
      <c r="BK1241" s="3">
        <v>36.832751780614636</v>
      </c>
      <c r="BL1241" s="3">
        <v>44.906085113947988</v>
      </c>
      <c r="BM1241" s="3">
        <v>37.239418447281317</v>
      </c>
      <c r="BN1241" s="3">
        <v>34.422751780614639</v>
      </c>
      <c r="BO1241" s="3">
        <v>34.589418447281311</v>
      </c>
      <c r="BP1241" s="3">
        <v>32.606085113947977</v>
      </c>
      <c r="BQ1241" s="3">
        <v>32.422751780614639</v>
      </c>
      <c r="BR1241" s="3">
        <v>31.249418447281322</v>
      </c>
      <c r="BS1241" s="3">
        <v>31.852751780614646</v>
      </c>
      <c r="BT1241" s="3">
        <v>29.849418447281316</v>
      </c>
      <c r="BU1241" s="3">
        <v>26.416085113947979</v>
      </c>
      <c r="BV1241" s="3">
        <v>24.33275178061465</v>
      </c>
      <c r="BW1241" s="3">
        <v>21.866085113947982</v>
      </c>
      <c r="BX1241" s="3">
        <v>18.486085113947986</v>
      </c>
      <c r="BY1241" s="3">
        <v>17.506085113947975</v>
      </c>
      <c r="BZ1241" s="3">
        <v>32.236085113947972</v>
      </c>
      <c r="CA1241" s="3">
        <v>34.436085113947975</v>
      </c>
      <c r="CB1241" s="3">
        <v>19.972751780614644</v>
      </c>
      <c r="CC1241" s="3">
        <v>9.3860851139479777</v>
      </c>
      <c r="CD1241" s="3">
        <v>8.1927517806146497</v>
      </c>
      <c r="CE1241" s="3">
        <v>8.5860851139479806</v>
      </c>
      <c r="CF1241" s="3">
        <v>-0.90058155271869111</v>
      </c>
      <c r="CG1241" s="3">
        <v>-1.4339148860520226</v>
      </c>
      <c r="CH1241" s="3">
        <v>-2.5105815527186905</v>
      </c>
      <c r="CI1241" s="13">
        <f>[1]!dbasum(RecData[[#This Row],[20]:[2000]],RecData[[#Headers],[20]:[2000]])</f>
        <v>37.873349754789885</v>
      </c>
      <c r="CJ1241" s="14">
        <v>11007</v>
      </c>
      <c r="CK1241" s="15" t="s">
        <v>249</v>
      </c>
      <c r="CL1241" s="15">
        <f>RecData[[#This Row],[Start Time]]</f>
        <v>43276.198611111118</v>
      </c>
      <c r="CM1241" s="16">
        <f>RecData[[#This Row],[Wind Speed avg]]</f>
        <v>0.64</v>
      </c>
      <c r="CN1241" s="16">
        <f>RecData[[#This Row],[Wind Dir. avg]]</f>
        <v>196.6</v>
      </c>
      <c r="CO1241" s="16">
        <f>RecData[[#This Row],[Amb. Humidity]]</f>
        <v>65.2</v>
      </c>
      <c r="CP1241" s="16">
        <f>RecData[[#This Row],[Amb. Temperature]]</f>
        <v>8.1999999999999993</v>
      </c>
      <c r="CQ1241" s="17">
        <f>RecData[[#This Row],[Amb. Rain Gauge]]</f>
        <v>0</v>
      </c>
      <c r="CR1241" s="4" t="s">
        <v>1</v>
      </c>
      <c r="CS1241" s="4" t="s">
        <v>49</v>
      </c>
      <c r="CT1241" s="70">
        <v>1454.38098144531</v>
      </c>
      <c r="CU1241" s="70">
        <v>52.000438690185497</v>
      </c>
      <c r="CV1241" s="70">
        <v>10.2831878662109</v>
      </c>
      <c r="CW1241" s="70">
        <v>15.067201614379799</v>
      </c>
      <c r="CX1241" s="4"/>
      <c r="CY1241" s="69"/>
      <c r="CZ1241" s="2" t="b">
        <f>IF($DP$1="YES",IF(RecData[[#This Row],[Power (kW)]]&gt;=$CR$3, TRUE,FALSE),TRUE)</f>
        <v>1</v>
      </c>
      <c r="DA1241" s="16">
        <f>MIN(MOD(180-ABS(ABS($DA$1-RecData[Yaw Angle (°)])-180),360),MOD(180-ABS(ABS($DB$1-RecData[Yaw Angle (°)])-180),360))</f>
        <v>44.470511912497955</v>
      </c>
      <c r="DB1241" s="2" t="str">
        <f>IF($DP$2="None","None",IF(RecData[[#This Row],[Relative Wind Direction]]&lt;=45,"DW",IF(RecData[[#This Row],[Relative Wind Direction]]&lt;=135,"CW","UW")))</f>
        <v>DW</v>
      </c>
      <c r="DC1241" s="61">
        <f>IF($CL1241-$CL1237&gt;1/24,#REF!,IF(SUM($CQ1237:$CQ1241)&gt;$DS$1,$DS$5,DC1242-1))</f>
        <v>-2</v>
      </c>
      <c r="DD1241" s="61">
        <f>IF($CL1242-$CL1241&gt;1/24,#REF!,IF(SUM($CQ1237:$CQ1241)&gt;$DS$1,$DS$6,DD1240-1))</f>
        <v>-9</v>
      </c>
      <c r="DE1241" s="18" t="b">
        <v>0</v>
      </c>
      <c r="DF1241" s="2" t="b">
        <f>IF(OR(RecData[[#This Row],[WSpd_Avg '[m/s']]]-RecData[[#This Row],[Wind Speed min]]&gt;=$DF$3,RecData[[#This Row],[Wind Speed max]]-RecData[[#This Row],[WSpd_Avg '[m/s']]]&gt;=$DF$2),TRUE,FALSE)</f>
        <v>0</v>
      </c>
      <c r="DG1241" s="2" t="b">
        <f>RecData[[#This Row],[Temperature '[°C']]]&lt;=-20</f>
        <v>0</v>
      </c>
      <c r="DH1241" s="18" t="b">
        <f>NOT(OR(MOD(RecData[[#This Row],[TIMESTAMP]],1)&gt;0.91632,MOD(RecData[[#This Row],[TIMESTAMP]],1)&lt;0.208681))</f>
        <v>0</v>
      </c>
      <c r="DI1241" s="18" t="b">
        <f>RecData[[#This Row],[Overall (dBA)]]-RecData[[#This Row],[L90]]&gt;=$DS$4</f>
        <v>0</v>
      </c>
      <c r="DJ1241" s="18" t="b">
        <f>RecData[[#This Row],[Overall (dBA)]]&gt;$DS$2</f>
        <v>0</v>
      </c>
      <c r="DK1241" s="18" t="b">
        <f>RecData[[#This Row],[Overall (dBA)]]&lt;$DS$3</f>
        <v>0</v>
      </c>
      <c r="DL124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1" s="2">
        <f>IF(AND(RecData[[#This Row],[Turbines ON/OFF]] = "OFF", NOT(OR(RecData[[#This Row],[Junk?]]="YES",RecData[[#This Row],[Gust?]],RecData[[#This Row],[Rain?]:[Min SPL Threshold?]]))),1,0)</f>
        <v>0</v>
      </c>
      <c r="DN1241" s="16">
        <f>RecData[[#This Row],[dBA Sum]]</f>
        <v>37.873349754789885</v>
      </c>
      <c r="DO1241" s="16">
        <f>RecData[[#This Row],[LAF90.0]]</f>
        <v>37</v>
      </c>
      <c r="DP1241" s="55">
        <f>IF(AND(RecData[[#This Row],[Useable TON Data?]],RecData[[#This Row],[Turbines ON/OFF]]="ON"),RecData[[#This Row],[dBA Sum]],"")</f>
        <v>37.873349754789885</v>
      </c>
      <c r="DQ1241" s="55" t="str">
        <f>IF(AND(RecData[[#This Row],[Useable Background Data?]],RecData[[#This Row],[Turbines ON/OFF]]="OFF"),RecData[[#This Row],[dBA Sum]],"")</f>
        <v/>
      </c>
      <c r="DR1241" s="3">
        <f>IF(OR(RecData[[#This Row],[Useable TON Data?]],RecData[[#This Row],[Useable Background Data?]]),ROUND(RecData[[#This Row],[WSpd_Avg '[m/s']]],0),"")</f>
        <v>1</v>
      </c>
      <c r="DS1241" s="85">
        <f>(0.00002)^2*(10^(RecData[[#This Row],[Overall (dBA)]]/10))</f>
        <v>2.4512915424902154E-6</v>
      </c>
    </row>
    <row r="1242" spans="1:123" ht="15" x14ac:dyDescent="0.25">
      <c r="A1242" s="3" t="s">
        <v>249</v>
      </c>
      <c r="B1242" s="12">
        <v>43276.199305555558</v>
      </c>
      <c r="C1242" s="3"/>
      <c r="D1242" s="3">
        <v>41.4</v>
      </c>
      <c r="E1242" s="3"/>
      <c r="F1242" s="3"/>
      <c r="G1242" s="3"/>
      <c r="H1242" s="3"/>
      <c r="I1242" s="3"/>
      <c r="J1242" s="3"/>
      <c r="K1242" s="3">
        <v>36.799999999999997</v>
      </c>
      <c r="L1242" s="3"/>
      <c r="M1242" s="3"/>
      <c r="N1242" s="3">
        <v>165.8</v>
      </c>
      <c r="O1242" s="3"/>
      <c r="P1242" s="3"/>
      <c r="Q1242" s="3">
        <v>0.75</v>
      </c>
      <c r="R1242" s="3">
        <v>0.1</v>
      </c>
      <c r="S1242" s="3">
        <v>1.3</v>
      </c>
      <c r="T1242" s="3">
        <v>8.1999999999999993</v>
      </c>
      <c r="U1242" s="3">
        <v>65.599999999999994</v>
      </c>
      <c r="V1242" s="3">
        <v>979</v>
      </c>
      <c r="W1242" s="3">
        <v>0</v>
      </c>
      <c r="X1242" s="3">
        <v>42.1</v>
      </c>
      <c r="Y1242" s="3">
        <v>41.2</v>
      </c>
      <c r="Z1242" s="3">
        <v>40.4</v>
      </c>
      <c r="AA1242" s="3">
        <v>37.299999999999997</v>
      </c>
      <c r="AB1242" s="3">
        <v>31.3</v>
      </c>
      <c r="AC1242" s="3">
        <v>31.1</v>
      </c>
      <c r="AD1242" s="3">
        <v>34.299999999999997</v>
      </c>
      <c r="AE1242" s="3">
        <v>35.799999999999997</v>
      </c>
      <c r="AF1242" s="3">
        <v>44.8</v>
      </c>
      <c r="AG1242" s="3">
        <v>36.1</v>
      </c>
      <c r="AH1242" s="3">
        <v>33.200000000000003</v>
      </c>
      <c r="AI1242" s="3">
        <v>34.1</v>
      </c>
      <c r="AJ1242" s="3">
        <v>32.799999999999997</v>
      </c>
      <c r="AK1242" s="3">
        <v>32.299999999999997</v>
      </c>
      <c r="AL1242" s="3">
        <v>30.6</v>
      </c>
      <c r="AM1242" s="3">
        <v>31.4</v>
      </c>
      <c r="AN1242" s="3">
        <v>29.3</v>
      </c>
      <c r="AO1242" s="3">
        <v>25.7</v>
      </c>
      <c r="AP1242" s="3">
        <v>23.9</v>
      </c>
      <c r="AQ1242" s="3">
        <v>20.8</v>
      </c>
      <c r="AR1242" s="3">
        <v>17.8</v>
      </c>
      <c r="AS1242" s="3">
        <v>18.7</v>
      </c>
      <c r="AT1242" s="3">
        <v>34.9</v>
      </c>
      <c r="AU1242" s="3">
        <v>34.9</v>
      </c>
      <c r="AV1242" s="3">
        <v>21.5</v>
      </c>
      <c r="AW1242" s="3">
        <v>9</v>
      </c>
      <c r="AX1242" s="3">
        <v>8.9</v>
      </c>
      <c r="AY1242" s="3">
        <v>9</v>
      </c>
      <c r="AZ1242" s="3">
        <v>0</v>
      </c>
      <c r="BA1242" s="3">
        <v>0</v>
      </c>
      <c r="BB1242" s="3">
        <v>0</v>
      </c>
      <c r="BC1242" s="3">
        <v>41.370679043632556</v>
      </c>
      <c r="BD1242" s="3">
        <v>42.129320956367444</v>
      </c>
      <c r="BE1242" s="3">
        <v>41.229320956367438</v>
      </c>
      <c r="BF1242" s="3">
        <v>39.189320956367446</v>
      </c>
      <c r="BG1242" s="3">
        <v>36.415987623034106</v>
      </c>
      <c r="BH1242" s="3">
        <v>30.55598762303412</v>
      </c>
      <c r="BI1242" s="3">
        <v>30.769320956367444</v>
      </c>
      <c r="BJ1242" s="3">
        <v>34.76265428970077</v>
      </c>
      <c r="BK1242" s="3">
        <v>36.135987623034104</v>
      </c>
      <c r="BL1242" s="3">
        <v>44.709320956367442</v>
      </c>
      <c r="BM1242" s="3">
        <v>36.142654289700779</v>
      </c>
      <c r="BN1242" s="3">
        <v>33.525987623034119</v>
      </c>
      <c r="BO1242" s="3">
        <v>33.792654289700771</v>
      </c>
      <c r="BP1242" s="3">
        <v>32.209320956367442</v>
      </c>
      <c r="BQ1242" s="3">
        <v>32.125987623034099</v>
      </c>
      <c r="BR1242" s="3">
        <v>30.752654289700779</v>
      </c>
      <c r="BS1242" s="3">
        <v>31.355987623034103</v>
      </c>
      <c r="BT1242" s="3">
        <v>29.452654289700781</v>
      </c>
      <c r="BU1242" s="3">
        <v>25.819320956367442</v>
      </c>
      <c r="BV1242" s="3">
        <v>23.735987623034113</v>
      </c>
      <c r="BW1242" s="3">
        <v>21.16932095636745</v>
      </c>
      <c r="BX1242" s="3">
        <v>18.089320956367452</v>
      </c>
      <c r="BY1242" s="3">
        <v>18.809320956367436</v>
      </c>
      <c r="BZ1242" s="3">
        <v>35.139320956367435</v>
      </c>
      <c r="CA1242" s="3">
        <v>35.239320956367429</v>
      </c>
      <c r="CB1242" s="3">
        <v>21.275987623034105</v>
      </c>
      <c r="CC1242" s="3">
        <v>8.9893209563674432</v>
      </c>
      <c r="CD1242" s="3">
        <v>8.1959876230341138</v>
      </c>
      <c r="CE1242" s="3">
        <v>8.4893209563674432</v>
      </c>
      <c r="CF1242" s="3">
        <v>-0.89734571029922705</v>
      </c>
      <c r="CG1242" s="3">
        <v>-1.4306790436325585</v>
      </c>
      <c r="CH1242" s="3">
        <v>-2.5073457102992265</v>
      </c>
      <c r="CI1242" s="13">
        <f>[1]!dbasum(RecData[[#This Row],[20]:[2000]],RecData[[#Headers],[20]:[2000]])</f>
        <v>37.37806892222914</v>
      </c>
      <c r="CJ1242" s="14">
        <v>11008</v>
      </c>
      <c r="CK1242" s="15" t="s">
        <v>249</v>
      </c>
      <c r="CL1242" s="15">
        <f>RecData[[#This Row],[Start Time]]</f>
        <v>43276.199305555558</v>
      </c>
      <c r="CM1242" s="16">
        <f>RecData[[#This Row],[Wind Speed avg]]</f>
        <v>0.75</v>
      </c>
      <c r="CN1242" s="16">
        <f>RecData[[#This Row],[Wind Dir. avg]]</f>
        <v>165.8</v>
      </c>
      <c r="CO1242" s="16">
        <f>RecData[[#This Row],[Amb. Humidity]]</f>
        <v>65.599999999999994</v>
      </c>
      <c r="CP1242" s="16">
        <f>RecData[[#This Row],[Amb. Temperature]]</f>
        <v>8.1999999999999993</v>
      </c>
      <c r="CQ1242" s="17">
        <f>RecData[[#This Row],[Amb. Rain Gauge]]</f>
        <v>0</v>
      </c>
      <c r="CR1242" s="4" t="s">
        <v>1</v>
      </c>
      <c r="CS1242" s="4" t="s">
        <v>49</v>
      </c>
      <c r="CT1242" s="70">
        <v>1454.38098144531</v>
      </c>
      <c r="CU1242" s="70">
        <v>52.000438690185497</v>
      </c>
      <c r="CV1242" s="70">
        <v>10.2831878662109</v>
      </c>
      <c r="CW1242" s="70">
        <v>15.067201614379799</v>
      </c>
      <c r="CX1242" s="4"/>
      <c r="CY1242" s="69"/>
      <c r="CZ1242" s="2" t="b">
        <f>IF($DP$1="YES",IF(RecData[[#This Row],[Power (kW)]]&gt;=$CR$3, TRUE,FALSE),TRUE)</f>
        <v>1</v>
      </c>
      <c r="DA1242" s="16">
        <f>MIN(MOD(180-ABS(ABS($DA$1-RecData[Yaw Angle (°)])-180),360),MOD(180-ABS(ABS($DB$1-RecData[Yaw Angle (°)])-180),360))</f>
        <v>44.470511912497955</v>
      </c>
      <c r="DB1242" s="2" t="str">
        <f>IF($DP$2="None","None",IF(RecData[[#This Row],[Relative Wind Direction]]&lt;=45,"DW",IF(RecData[[#This Row],[Relative Wind Direction]]&lt;=135,"CW","UW")))</f>
        <v>DW</v>
      </c>
      <c r="DC1242" s="61">
        <v>-1</v>
      </c>
      <c r="DD1242" s="61">
        <v>-1</v>
      </c>
      <c r="DE1242" s="18" t="b">
        <v>0</v>
      </c>
      <c r="DF1242" s="2" t="b">
        <f>IF(OR(RecData[[#This Row],[WSpd_Avg '[m/s']]]-RecData[[#This Row],[Wind Speed min]]&gt;=$DF$3,RecData[[#This Row],[Wind Speed max]]-RecData[[#This Row],[WSpd_Avg '[m/s']]]&gt;=$DF$2),TRUE,FALSE)</f>
        <v>0</v>
      </c>
      <c r="DG1242" s="2" t="b">
        <f>RecData[[#This Row],[Temperature '[°C']]]&lt;=-20</f>
        <v>0</v>
      </c>
      <c r="DH1242" s="18" t="b">
        <f>NOT(OR(MOD(RecData[[#This Row],[TIMESTAMP]],1)&gt;0.91632,MOD(RecData[[#This Row],[TIMESTAMP]],1)&lt;0.208681))</f>
        <v>0</v>
      </c>
      <c r="DI1242" s="18" t="b">
        <f>RecData[[#This Row],[Overall (dBA)]]-RecData[[#This Row],[L90]]&gt;=$DS$4</f>
        <v>0</v>
      </c>
      <c r="DJ1242" s="18" t="b">
        <f>RecData[[#This Row],[Overall (dBA)]]&gt;$DS$2</f>
        <v>0</v>
      </c>
      <c r="DK1242" s="18" t="b">
        <f>RecData[[#This Row],[Overall (dBA)]]&lt;$DS$3</f>
        <v>0</v>
      </c>
      <c r="DL124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2" s="2">
        <f>IF(AND(RecData[[#This Row],[Turbines ON/OFF]] = "OFF", NOT(OR(RecData[[#This Row],[Junk?]]="YES",RecData[[#This Row],[Gust?]],RecData[[#This Row],[Rain?]:[Min SPL Threshold?]]))),1,0)</f>
        <v>0</v>
      </c>
      <c r="DN1242" s="16">
        <f>RecData[[#This Row],[dBA Sum]]</f>
        <v>37.37806892222914</v>
      </c>
      <c r="DO1242" s="16">
        <f>RecData[[#This Row],[LAF90.0]]</f>
        <v>36.799999999999997</v>
      </c>
      <c r="DP1242" s="55">
        <f>IF(AND(RecData[[#This Row],[Useable TON Data?]],RecData[[#This Row],[Turbines ON/OFF]]="ON"),RecData[[#This Row],[dBA Sum]],"")</f>
        <v>37.37806892222914</v>
      </c>
      <c r="DQ1242" s="55" t="str">
        <f>IF(AND(RecData[[#This Row],[Useable Background Data?]],RecData[[#This Row],[Turbines ON/OFF]]="OFF"),RecData[[#This Row],[dBA Sum]],"")</f>
        <v/>
      </c>
      <c r="DR1242" s="3">
        <f>IF(OR(RecData[[#This Row],[Useable TON Data?]],RecData[[#This Row],[Useable Background Data?]]),ROUND(RecData[[#This Row],[WSpd_Avg '[m/s']]],0),"")</f>
        <v>1</v>
      </c>
      <c r="DS1242" s="85">
        <f>(0.00002)^2*(10^(RecData[[#This Row],[Overall (dBA)]]/10))</f>
        <v>2.1870911516241735E-6</v>
      </c>
    </row>
    <row r="1243" spans="1:123" ht="15" x14ac:dyDescent="0.25">
      <c r="A1243" s="3" t="s">
        <v>249</v>
      </c>
      <c r="B1243" s="12">
        <v>43276.200000000004</v>
      </c>
      <c r="C1243" s="3"/>
      <c r="D1243" s="3">
        <v>41.6</v>
      </c>
      <c r="E1243" s="3"/>
      <c r="F1243" s="3"/>
      <c r="G1243" s="3"/>
      <c r="H1243" s="3"/>
      <c r="I1243" s="3"/>
      <c r="J1243" s="3"/>
      <c r="K1243" s="3">
        <v>37</v>
      </c>
      <c r="L1243" s="3"/>
      <c r="M1243" s="3"/>
      <c r="N1243" s="3">
        <v>175.5</v>
      </c>
      <c r="O1243" s="3"/>
      <c r="P1243" s="3"/>
      <c r="Q1243" s="3">
        <v>0.84</v>
      </c>
      <c r="R1243" s="3">
        <v>0.4</v>
      </c>
      <c r="S1243" s="3">
        <v>1.4</v>
      </c>
      <c r="T1243" s="3">
        <v>8.1999999999999993</v>
      </c>
      <c r="U1243" s="3">
        <v>64.2</v>
      </c>
      <c r="V1243" s="3">
        <v>979</v>
      </c>
      <c r="W1243" s="3">
        <v>0</v>
      </c>
      <c r="X1243" s="3">
        <v>42.2</v>
      </c>
      <c r="Y1243" s="3">
        <v>42.4</v>
      </c>
      <c r="Z1243" s="3">
        <v>40.6</v>
      </c>
      <c r="AA1243" s="3">
        <v>37.5</v>
      </c>
      <c r="AB1243" s="3">
        <v>31.9</v>
      </c>
      <c r="AC1243" s="3">
        <v>31.7</v>
      </c>
      <c r="AD1243" s="3">
        <v>35.5</v>
      </c>
      <c r="AE1243" s="3">
        <v>36.9</v>
      </c>
      <c r="AF1243" s="3">
        <v>45.1</v>
      </c>
      <c r="AG1243" s="3">
        <v>37.200000000000003</v>
      </c>
      <c r="AH1243" s="3">
        <v>34.6</v>
      </c>
      <c r="AI1243" s="3">
        <v>35.200000000000003</v>
      </c>
      <c r="AJ1243" s="3">
        <v>33.799999999999997</v>
      </c>
      <c r="AK1243" s="3">
        <v>33</v>
      </c>
      <c r="AL1243" s="3">
        <v>31.6</v>
      </c>
      <c r="AM1243" s="3">
        <v>32.200000000000003</v>
      </c>
      <c r="AN1243" s="3">
        <v>30.1</v>
      </c>
      <c r="AO1243" s="3">
        <v>26.6</v>
      </c>
      <c r="AP1243" s="3">
        <v>24.6</v>
      </c>
      <c r="AQ1243" s="3">
        <v>21.5</v>
      </c>
      <c r="AR1243" s="3">
        <v>17.899999999999999</v>
      </c>
      <c r="AS1243" s="3">
        <v>17.8</v>
      </c>
      <c r="AT1243" s="3">
        <v>34.700000000000003</v>
      </c>
      <c r="AU1243" s="3">
        <v>34.6</v>
      </c>
      <c r="AV1243" s="3">
        <v>22.8</v>
      </c>
      <c r="AW1243" s="3">
        <v>9.1999999999999993</v>
      </c>
      <c r="AX1243" s="3">
        <v>8.9</v>
      </c>
      <c r="AY1243" s="3">
        <v>9.1</v>
      </c>
      <c r="AZ1243" s="3">
        <v>0</v>
      </c>
      <c r="BA1243" s="3">
        <v>0</v>
      </c>
      <c r="BB1243" s="3">
        <v>0</v>
      </c>
      <c r="BC1243" s="3">
        <v>41.593422074181198</v>
      </c>
      <c r="BD1243" s="3">
        <v>42.206577925818813</v>
      </c>
      <c r="BE1243" s="3">
        <v>42.406577925818802</v>
      </c>
      <c r="BF1243" s="3">
        <v>39.36657792581881</v>
      </c>
      <c r="BG1243" s="3">
        <v>36.593244592485469</v>
      </c>
      <c r="BH1243" s="3">
        <v>31.133244592485475</v>
      </c>
      <c r="BI1243" s="3">
        <v>31.346577925818799</v>
      </c>
      <c r="BJ1243" s="3">
        <v>35.939911259152133</v>
      </c>
      <c r="BK1243" s="3">
        <v>37.213244592485474</v>
      </c>
      <c r="BL1243" s="3">
        <v>44.986577925818814</v>
      </c>
      <c r="BM1243" s="3">
        <v>37.219911259152134</v>
      </c>
      <c r="BN1243" s="3">
        <v>34.903244592485471</v>
      </c>
      <c r="BO1243" s="3">
        <v>34.86991125915214</v>
      </c>
      <c r="BP1243" s="3">
        <v>33.186577925818803</v>
      </c>
      <c r="BQ1243" s="3">
        <v>32.803244592485463</v>
      </c>
      <c r="BR1243" s="3">
        <v>31.729911259152139</v>
      </c>
      <c r="BS1243" s="3">
        <v>32.133244592485475</v>
      </c>
      <c r="BT1243" s="3">
        <v>30.229911259152139</v>
      </c>
      <c r="BU1243" s="3">
        <v>26.696577925818808</v>
      </c>
      <c r="BV1243" s="3">
        <v>24.413244592485476</v>
      </c>
      <c r="BW1243" s="3">
        <v>21.846577925818806</v>
      </c>
      <c r="BX1243" s="3">
        <v>18.166577925818807</v>
      </c>
      <c r="BY1243" s="3">
        <v>17.886577925818806</v>
      </c>
      <c r="BZ1243" s="3">
        <v>34.916577925818807</v>
      </c>
      <c r="CA1243" s="3">
        <v>34.916577925818792</v>
      </c>
      <c r="CB1243" s="3">
        <v>22.553244592485477</v>
      </c>
      <c r="CC1243" s="3">
        <v>9.1665779258187996</v>
      </c>
      <c r="CD1243" s="3">
        <v>8.1732445924854744</v>
      </c>
      <c r="CE1243" s="3">
        <v>8.5665779258187982</v>
      </c>
      <c r="CF1243" s="3">
        <v>-0.9200887408478664</v>
      </c>
      <c r="CG1243" s="3">
        <v>-1.4534220741811978</v>
      </c>
      <c r="CH1243" s="3">
        <v>-2.5300887408478658</v>
      </c>
      <c r="CI1243" s="13">
        <f>[1]!dbasum(RecData[[#This Row],[20]:[2000]],RecData[[#Headers],[20]:[2000]])</f>
        <v>38.162903426561051</v>
      </c>
      <c r="CJ1243" s="14">
        <v>11009</v>
      </c>
      <c r="CK1243" s="15" t="s">
        <v>249</v>
      </c>
      <c r="CL1243" s="15">
        <f>RecData[[#This Row],[Start Time]]</f>
        <v>43276.200000000004</v>
      </c>
      <c r="CM1243" s="16">
        <f>RecData[[#This Row],[Wind Speed avg]]</f>
        <v>0.84</v>
      </c>
      <c r="CN1243" s="16">
        <f>RecData[[#This Row],[Wind Dir. avg]]</f>
        <v>175.5</v>
      </c>
      <c r="CO1243" s="16">
        <f>RecData[[#This Row],[Amb. Humidity]]</f>
        <v>64.2</v>
      </c>
      <c r="CP1243" s="16">
        <f>RecData[[#This Row],[Amb. Temperature]]</f>
        <v>8.1999999999999993</v>
      </c>
      <c r="CQ1243" s="17">
        <f>RecData[[#This Row],[Amb. Rain Gauge]]</f>
        <v>0</v>
      </c>
      <c r="CR1243" s="4" t="s">
        <v>1</v>
      </c>
      <c r="CS1243" s="4" t="s">
        <v>49</v>
      </c>
      <c r="CT1243" s="70">
        <v>1454.38098144531</v>
      </c>
      <c r="CU1243" s="70">
        <v>52.000438690185497</v>
      </c>
      <c r="CV1243" s="70">
        <v>10.2831878662109</v>
      </c>
      <c r="CW1243" s="70">
        <v>15.067201614379799</v>
      </c>
      <c r="CX1243" s="4"/>
      <c r="CY1243" s="69"/>
      <c r="CZ1243" s="2" t="b">
        <f>IF($DP$1="YES",IF(RecData[[#This Row],[Power (kW)]]&gt;=$CR$3, TRUE,FALSE),TRUE)</f>
        <v>1</v>
      </c>
      <c r="DA1243" s="16">
        <f>MIN(MOD(180-ABS(ABS($DA$1-RecData[Yaw Angle (°)])-180),360),MOD(180-ABS(ABS($DB$1-RecData[Yaw Angle (°)])-180),360))</f>
        <v>44.470511912497955</v>
      </c>
      <c r="DB1243" s="2" t="str">
        <f>IF($DP$2="None","None",IF(RecData[[#This Row],[Relative Wind Direction]]&lt;=45,"DW",IF(RecData[[#This Row],[Relative Wind Direction]]&lt;=135,"CW","UW")))</f>
        <v>DW</v>
      </c>
      <c r="DC1243" s="61">
        <f>IF($CL1243-$CL1242&gt;1/24,#REF!,IF(SUM($CQ1242:$CQ1243)&gt;$DS$1,$DS$5,DC1244-1))</f>
        <v>-9</v>
      </c>
      <c r="DD1243" s="61">
        <f>IF($CL1244-$CL1243&gt;1/24,#REF!,IF(SUM($CQ1242:$CQ1243)&gt;$DS$1,$DS$6,DD1242-1))</f>
        <v>-2</v>
      </c>
      <c r="DE1243" s="18" t="b">
        <v>0</v>
      </c>
      <c r="DF1243" s="2" t="b">
        <f>IF(OR(RecData[[#This Row],[WSpd_Avg '[m/s']]]-RecData[[#This Row],[Wind Speed min]]&gt;=$DF$3,RecData[[#This Row],[Wind Speed max]]-RecData[[#This Row],[WSpd_Avg '[m/s']]]&gt;=$DF$2),TRUE,FALSE)</f>
        <v>0</v>
      </c>
      <c r="DG1243" s="2" t="b">
        <f>RecData[[#This Row],[Temperature '[°C']]]&lt;=-20</f>
        <v>0</v>
      </c>
      <c r="DH1243" s="18" t="b">
        <f>NOT(OR(MOD(RecData[[#This Row],[TIMESTAMP]],1)&gt;0.91632,MOD(RecData[[#This Row],[TIMESTAMP]],1)&lt;0.208681))</f>
        <v>0</v>
      </c>
      <c r="DI1243" s="18" t="b">
        <f>RecData[[#This Row],[Overall (dBA)]]-RecData[[#This Row],[L90]]&gt;=$DS$4</f>
        <v>0</v>
      </c>
      <c r="DJ1243" s="18" t="b">
        <f>RecData[[#This Row],[Overall (dBA)]]&gt;$DS$2</f>
        <v>0</v>
      </c>
      <c r="DK1243" s="18" t="b">
        <f>RecData[[#This Row],[Overall (dBA)]]&lt;$DS$3</f>
        <v>0</v>
      </c>
      <c r="DL124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3" s="2">
        <f>IF(AND(RecData[[#This Row],[Turbines ON/OFF]] = "OFF", NOT(OR(RecData[[#This Row],[Junk?]]="YES",RecData[[#This Row],[Gust?]],RecData[[#This Row],[Rain?]:[Min SPL Threshold?]]))),1,0)</f>
        <v>0</v>
      </c>
      <c r="DN1243" s="16">
        <f>RecData[[#This Row],[dBA Sum]]</f>
        <v>38.162903426561051</v>
      </c>
      <c r="DO1243" s="16">
        <f>RecData[[#This Row],[LAF90.0]]</f>
        <v>37</v>
      </c>
      <c r="DP1243" s="55">
        <f>IF(AND(RecData[[#This Row],[Useable TON Data?]],RecData[[#This Row],[Turbines ON/OFF]]="ON"),RecData[[#This Row],[dBA Sum]],"")</f>
        <v>38.162903426561051</v>
      </c>
      <c r="DQ1243" s="55" t="str">
        <f>IF(AND(RecData[[#This Row],[Useable Background Data?]],RecData[[#This Row],[Turbines ON/OFF]]="OFF"),RecData[[#This Row],[dBA Sum]],"")</f>
        <v/>
      </c>
      <c r="DR1243" s="3">
        <f>IF(OR(RecData[[#This Row],[Useable TON Data?]],RecData[[#This Row],[Useable Background Data?]]),ROUND(RecData[[#This Row],[WSpd_Avg '[m/s']]],0),"")</f>
        <v>1</v>
      </c>
      <c r="DS1243" s="85">
        <f>(0.00002)^2*(10^(RecData[[#This Row],[Overall (dBA)]]/10))</f>
        <v>2.6202958799642023E-6</v>
      </c>
    </row>
    <row r="1244" spans="1:123" ht="15" x14ac:dyDescent="0.25">
      <c r="A1244" s="3" t="s">
        <v>249</v>
      </c>
      <c r="B1244" s="12">
        <v>43276.200694444451</v>
      </c>
      <c r="C1244" s="3"/>
      <c r="D1244" s="3">
        <v>41.8</v>
      </c>
      <c r="E1244" s="3"/>
      <c r="F1244" s="3"/>
      <c r="G1244" s="3"/>
      <c r="H1244" s="3"/>
      <c r="I1244" s="3"/>
      <c r="J1244" s="3"/>
      <c r="K1244" s="3">
        <v>37.9</v>
      </c>
      <c r="L1244" s="3"/>
      <c r="M1244" s="3"/>
      <c r="N1244" s="3">
        <v>185.9</v>
      </c>
      <c r="O1244" s="3"/>
      <c r="P1244" s="3"/>
      <c r="Q1244" s="3">
        <v>0.43</v>
      </c>
      <c r="R1244" s="3">
        <v>0.2</v>
      </c>
      <c r="S1244" s="3">
        <v>0.8</v>
      </c>
      <c r="T1244" s="3">
        <v>8.1999999999999993</v>
      </c>
      <c r="U1244" s="3">
        <v>64.7</v>
      </c>
      <c r="V1244" s="3">
        <v>979</v>
      </c>
      <c r="W1244" s="3">
        <v>0</v>
      </c>
      <c r="X1244" s="3">
        <v>42.1</v>
      </c>
      <c r="Y1244" s="3">
        <v>41.3</v>
      </c>
      <c r="Z1244" s="3">
        <v>40.299999999999997</v>
      </c>
      <c r="AA1244" s="3">
        <v>37.1</v>
      </c>
      <c r="AB1244" s="3">
        <v>31.8</v>
      </c>
      <c r="AC1244" s="3">
        <v>32.4</v>
      </c>
      <c r="AD1244" s="3">
        <v>36.4</v>
      </c>
      <c r="AE1244" s="3">
        <v>38</v>
      </c>
      <c r="AF1244" s="3">
        <v>46.2</v>
      </c>
      <c r="AG1244" s="3">
        <v>37.299999999999997</v>
      </c>
      <c r="AH1244" s="3">
        <v>35.5</v>
      </c>
      <c r="AI1244" s="3">
        <v>35.5</v>
      </c>
      <c r="AJ1244" s="3">
        <v>34.799999999999997</v>
      </c>
      <c r="AK1244" s="3">
        <v>33.5</v>
      </c>
      <c r="AL1244" s="3">
        <v>32.299999999999997</v>
      </c>
      <c r="AM1244" s="3">
        <v>32.799999999999997</v>
      </c>
      <c r="AN1244" s="3">
        <v>30.9</v>
      </c>
      <c r="AO1244" s="3">
        <v>27</v>
      </c>
      <c r="AP1244" s="3">
        <v>24.7</v>
      </c>
      <c r="AQ1244" s="3">
        <v>21.8</v>
      </c>
      <c r="AR1244" s="3">
        <v>18.399999999999999</v>
      </c>
      <c r="AS1244" s="3">
        <v>18.7</v>
      </c>
      <c r="AT1244" s="3">
        <v>35</v>
      </c>
      <c r="AU1244" s="3">
        <v>33.6</v>
      </c>
      <c r="AV1244" s="3">
        <v>21</v>
      </c>
      <c r="AW1244" s="3">
        <v>9.8000000000000007</v>
      </c>
      <c r="AX1244" s="3">
        <v>9.1</v>
      </c>
      <c r="AY1244" s="3">
        <v>9.1999999999999993</v>
      </c>
      <c r="AZ1244" s="3">
        <v>0</v>
      </c>
      <c r="BA1244" s="3">
        <v>0</v>
      </c>
      <c r="BB1244" s="3">
        <v>0</v>
      </c>
      <c r="BC1244" s="3">
        <v>41.759700320674185</v>
      </c>
      <c r="BD1244" s="3">
        <v>42.140299679325821</v>
      </c>
      <c r="BE1244" s="3">
        <v>41.34029967932581</v>
      </c>
      <c r="BF1244" s="3">
        <v>39.100299679325801</v>
      </c>
      <c r="BG1244" s="3">
        <v>36.22696634599248</v>
      </c>
      <c r="BH1244" s="3">
        <v>31.066966345992483</v>
      </c>
      <c r="BI1244" s="3">
        <v>32.080299679325819</v>
      </c>
      <c r="BJ1244" s="3">
        <v>36.873633012659141</v>
      </c>
      <c r="BK1244" s="3">
        <v>38.34696634599247</v>
      </c>
      <c r="BL1244" s="3">
        <v>46.120299679325811</v>
      </c>
      <c r="BM1244" s="3">
        <v>37.353633012659145</v>
      </c>
      <c r="BN1244" s="3">
        <v>35.836966345992479</v>
      </c>
      <c r="BO1244" s="3">
        <v>35.203633012659154</v>
      </c>
      <c r="BP1244" s="3">
        <v>34.220299679325805</v>
      </c>
      <c r="BQ1244" s="3">
        <v>33.336966345992479</v>
      </c>
      <c r="BR1244" s="3">
        <v>32.463633012659145</v>
      </c>
      <c r="BS1244" s="3">
        <v>32.766966345992486</v>
      </c>
      <c r="BT1244" s="3">
        <v>31.063633012659139</v>
      </c>
      <c r="BU1244" s="3">
        <v>27.130299679325816</v>
      </c>
      <c r="BV1244" s="3">
        <v>24.546966345992487</v>
      </c>
      <c r="BW1244" s="3">
        <v>22.180299679325813</v>
      </c>
      <c r="BX1244" s="3">
        <v>18.700299679325816</v>
      </c>
      <c r="BY1244" s="3">
        <v>18.820299679325814</v>
      </c>
      <c r="BZ1244" s="3">
        <v>35.250299679325806</v>
      </c>
      <c r="CA1244" s="3">
        <v>33.950299679325809</v>
      </c>
      <c r="CB1244" s="3">
        <v>20.786966345992482</v>
      </c>
      <c r="CC1244" s="3">
        <v>9.8002996793258106</v>
      </c>
      <c r="CD1244" s="3">
        <v>8.4069663459924868</v>
      </c>
      <c r="CE1244" s="3">
        <v>8.7002996793258092</v>
      </c>
      <c r="CF1244" s="3">
        <v>-0.88636698734085684</v>
      </c>
      <c r="CG1244" s="3">
        <v>-1.4197003206741883</v>
      </c>
      <c r="CH1244" s="3">
        <v>-2.4963669873408563</v>
      </c>
      <c r="CI1244" s="13">
        <f>[1]!dbasum(RecData[[#This Row],[20]:[2000]],RecData[[#Headers],[20]:[2000]])</f>
        <v>38.849989529253143</v>
      </c>
      <c r="CJ1244" s="14">
        <v>11010</v>
      </c>
      <c r="CK1244" s="15" t="s">
        <v>249</v>
      </c>
      <c r="CL1244" s="15">
        <f>RecData[[#This Row],[Start Time]]</f>
        <v>43276.200694444451</v>
      </c>
      <c r="CM1244" s="16">
        <f>RecData[[#This Row],[Wind Speed avg]]</f>
        <v>0.43</v>
      </c>
      <c r="CN1244" s="16">
        <f>RecData[[#This Row],[Wind Dir. avg]]</f>
        <v>185.9</v>
      </c>
      <c r="CO1244" s="16">
        <f>RecData[[#This Row],[Amb. Humidity]]</f>
        <v>64.7</v>
      </c>
      <c r="CP1244" s="16">
        <f>RecData[[#This Row],[Amb. Temperature]]</f>
        <v>8.1999999999999993</v>
      </c>
      <c r="CQ1244" s="17">
        <f>RecData[[#This Row],[Amb. Rain Gauge]]</f>
        <v>0</v>
      </c>
      <c r="CR1244" s="4" t="s">
        <v>1</v>
      </c>
      <c r="CS1244" s="4" t="s">
        <v>49</v>
      </c>
      <c r="CT1244" s="70">
        <v>1454.38098144531</v>
      </c>
      <c r="CU1244" s="70">
        <v>52.000438690185497</v>
      </c>
      <c r="CV1244" s="70">
        <v>10.2831878662109</v>
      </c>
      <c r="CW1244" s="70">
        <v>15.067201614379799</v>
      </c>
      <c r="CX1244" s="4"/>
      <c r="CY1244" s="69"/>
      <c r="CZ1244" s="2" t="b">
        <f>IF($DP$1="YES",IF(RecData[[#This Row],[Power (kW)]]&gt;=$CR$3, TRUE,FALSE),TRUE)</f>
        <v>1</v>
      </c>
      <c r="DA1244" s="16">
        <f>MIN(MOD(180-ABS(ABS($DA$1-RecData[Yaw Angle (°)])-180),360),MOD(180-ABS(ABS($DB$1-RecData[Yaw Angle (°)])-180),360))</f>
        <v>44.470511912497955</v>
      </c>
      <c r="DB1244" s="2" t="str">
        <f>IF($DP$2="None","None",IF(RecData[[#This Row],[Relative Wind Direction]]&lt;=45,"DW",IF(RecData[[#This Row],[Relative Wind Direction]]&lt;=135,"CW","UW")))</f>
        <v>DW</v>
      </c>
      <c r="DC1244" s="61">
        <f>IF($CL1244-$CL1242&gt;1/24,#REF!,IF(SUM($CQ1242:$CQ1244)&gt;$DS$1,$DS$5,DC1245-1))</f>
        <v>-8</v>
      </c>
      <c r="DD1244" s="61">
        <f>IF($CL1245-$CL1244&gt;1/24,#REF!,IF(SUM($CQ1242:$CQ1244)&gt;$DS$1,$DS$6,DD1243-1))</f>
        <v>-3</v>
      </c>
      <c r="DE1244" s="18" t="b">
        <v>0</v>
      </c>
      <c r="DF1244" s="2" t="b">
        <f>IF(OR(RecData[[#This Row],[WSpd_Avg '[m/s']]]-RecData[[#This Row],[Wind Speed min]]&gt;=$DF$3,RecData[[#This Row],[Wind Speed max]]-RecData[[#This Row],[WSpd_Avg '[m/s']]]&gt;=$DF$2),TRUE,FALSE)</f>
        <v>0</v>
      </c>
      <c r="DG1244" s="2" t="b">
        <f>RecData[[#This Row],[Temperature '[°C']]]&lt;=-20</f>
        <v>0</v>
      </c>
      <c r="DH1244" s="18" t="b">
        <f>NOT(OR(MOD(RecData[[#This Row],[TIMESTAMP]],1)&gt;0.91632,MOD(RecData[[#This Row],[TIMESTAMP]],1)&lt;0.208681))</f>
        <v>0</v>
      </c>
      <c r="DI1244" s="18" t="b">
        <f>RecData[[#This Row],[Overall (dBA)]]-RecData[[#This Row],[L90]]&gt;=$DS$4</f>
        <v>0</v>
      </c>
      <c r="DJ1244" s="18" t="b">
        <f>RecData[[#This Row],[Overall (dBA)]]&gt;$DS$2</f>
        <v>0</v>
      </c>
      <c r="DK1244" s="18" t="b">
        <f>RecData[[#This Row],[Overall (dBA)]]&lt;$DS$3</f>
        <v>0</v>
      </c>
      <c r="DL124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4" s="2">
        <f>IF(AND(RecData[[#This Row],[Turbines ON/OFF]] = "OFF", NOT(OR(RecData[[#This Row],[Junk?]]="YES",RecData[[#This Row],[Gust?]],RecData[[#This Row],[Rain?]:[Min SPL Threshold?]]))),1,0)</f>
        <v>0</v>
      </c>
      <c r="DN1244" s="16">
        <f>RecData[[#This Row],[dBA Sum]]</f>
        <v>38.849989529253143</v>
      </c>
      <c r="DO1244" s="16">
        <f>RecData[[#This Row],[LAF90.0]]</f>
        <v>37.9</v>
      </c>
      <c r="DP1244" s="55">
        <f>IF(AND(RecData[[#This Row],[Useable TON Data?]],RecData[[#This Row],[Turbines ON/OFF]]="ON"),RecData[[#This Row],[dBA Sum]],"")</f>
        <v>38.849989529253143</v>
      </c>
      <c r="DQ1244" s="55" t="str">
        <f>IF(AND(RecData[[#This Row],[Useable Background Data?]],RecData[[#This Row],[Turbines ON/OFF]]="OFF"),RecData[[#This Row],[dBA Sum]],"")</f>
        <v/>
      </c>
      <c r="DR1244" s="3">
        <f>IF(OR(RecData[[#This Row],[Useable TON Data?]],RecData[[#This Row],[Useable Background Data?]]),ROUND(RecData[[#This Row],[WSpd_Avg '[m/s']]],0),"")</f>
        <v>0</v>
      </c>
      <c r="DS1244" s="85">
        <f>(0.00002)^2*(10^(RecData[[#This Row],[Overall (dBA)]]/10))</f>
        <v>3.0694385570877981E-6</v>
      </c>
    </row>
    <row r="1245" spans="1:123" ht="15" x14ac:dyDescent="0.25">
      <c r="A1245" s="3" t="s">
        <v>249</v>
      </c>
      <c r="B1245" s="12">
        <v>43276.201388888891</v>
      </c>
      <c r="C1245" s="3"/>
      <c r="D1245" s="3">
        <v>41.6</v>
      </c>
      <c r="E1245" s="3"/>
      <c r="F1245" s="3"/>
      <c r="G1245" s="3"/>
      <c r="H1245" s="3"/>
      <c r="I1245" s="3"/>
      <c r="J1245" s="3"/>
      <c r="K1245" s="3">
        <v>37</v>
      </c>
      <c r="L1245" s="3"/>
      <c r="M1245" s="3"/>
      <c r="N1245" s="3">
        <v>161.19999999999999</v>
      </c>
      <c r="O1245" s="3"/>
      <c r="P1245" s="3"/>
      <c r="Q1245" s="3">
        <v>0.51</v>
      </c>
      <c r="R1245" s="3">
        <v>0.1</v>
      </c>
      <c r="S1245" s="3">
        <v>0.9</v>
      </c>
      <c r="T1245" s="3">
        <v>8.1999999999999993</v>
      </c>
      <c r="U1245" s="3">
        <v>64.3</v>
      </c>
      <c r="V1245" s="3">
        <v>979</v>
      </c>
      <c r="W1245" s="3">
        <v>0</v>
      </c>
      <c r="X1245" s="3">
        <v>41.7</v>
      </c>
      <c r="Y1245" s="3">
        <v>41.3</v>
      </c>
      <c r="Z1245" s="3">
        <v>40.200000000000003</v>
      </c>
      <c r="AA1245" s="3">
        <v>37.299999999999997</v>
      </c>
      <c r="AB1245" s="3">
        <v>31.7</v>
      </c>
      <c r="AC1245" s="3">
        <v>30.7</v>
      </c>
      <c r="AD1245" s="3">
        <v>34.5</v>
      </c>
      <c r="AE1245" s="3">
        <v>37</v>
      </c>
      <c r="AF1245" s="3">
        <v>44.7</v>
      </c>
      <c r="AG1245" s="3">
        <v>36.4</v>
      </c>
      <c r="AH1245" s="3">
        <v>33.9</v>
      </c>
      <c r="AI1245" s="3">
        <v>34.799999999999997</v>
      </c>
      <c r="AJ1245" s="3">
        <v>33.299999999999997</v>
      </c>
      <c r="AK1245" s="3">
        <v>32.799999999999997</v>
      </c>
      <c r="AL1245" s="3">
        <v>31.6</v>
      </c>
      <c r="AM1245" s="3">
        <v>32.1</v>
      </c>
      <c r="AN1245" s="3">
        <v>30.4</v>
      </c>
      <c r="AO1245" s="3">
        <v>26.6</v>
      </c>
      <c r="AP1245" s="3">
        <v>24.4</v>
      </c>
      <c r="AQ1245" s="3">
        <v>21.8</v>
      </c>
      <c r="AR1245" s="3">
        <v>18.7</v>
      </c>
      <c r="AS1245" s="3">
        <v>18</v>
      </c>
      <c r="AT1245" s="3">
        <v>34.200000000000003</v>
      </c>
      <c r="AU1245" s="3">
        <v>35.4</v>
      </c>
      <c r="AV1245" s="3">
        <v>22.4</v>
      </c>
      <c r="AW1245" s="3">
        <v>9.3000000000000007</v>
      </c>
      <c r="AX1245" s="3">
        <v>8.9</v>
      </c>
      <c r="AY1245" s="3">
        <v>9.1</v>
      </c>
      <c r="AZ1245" s="3">
        <v>0</v>
      </c>
      <c r="BA1245" s="3">
        <v>0</v>
      </c>
      <c r="BB1245" s="3">
        <v>0</v>
      </c>
      <c r="BC1245" s="3">
        <v>41.613056805248824</v>
      </c>
      <c r="BD1245" s="3">
        <v>41.686943194751187</v>
      </c>
      <c r="BE1245" s="3">
        <v>41.286943194751181</v>
      </c>
      <c r="BF1245" s="3">
        <v>38.946943194751178</v>
      </c>
      <c r="BG1245" s="3">
        <v>36.37360986141784</v>
      </c>
      <c r="BH1245" s="3">
        <v>30.913609861417847</v>
      </c>
      <c r="BI1245" s="3">
        <v>30.326943194751173</v>
      </c>
      <c r="BJ1245" s="3">
        <v>34.920276528084507</v>
      </c>
      <c r="BK1245" s="3">
        <v>37.293609861417842</v>
      </c>
      <c r="BL1245" s="3">
        <v>44.566943194751182</v>
      </c>
      <c r="BM1245" s="3">
        <v>36.400276528084511</v>
      </c>
      <c r="BN1245" s="3">
        <v>34.183609861417843</v>
      </c>
      <c r="BO1245" s="3">
        <v>34.450276528084508</v>
      </c>
      <c r="BP1245" s="3">
        <v>32.666943194751177</v>
      </c>
      <c r="BQ1245" s="3">
        <v>32.583609861417834</v>
      </c>
      <c r="BR1245" s="3">
        <v>31.710276528084513</v>
      </c>
      <c r="BS1245" s="3">
        <v>32.013609861417841</v>
      </c>
      <c r="BT1245" s="3">
        <v>30.510276528084511</v>
      </c>
      <c r="BU1245" s="3">
        <v>26.676943194751182</v>
      </c>
      <c r="BV1245" s="3">
        <v>24.193609861417848</v>
      </c>
      <c r="BW1245" s="3">
        <v>22.126943194751185</v>
      </c>
      <c r="BX1245" s="3">
        <v>18.946943194751178</v>
      </c>
      <c r="BY1245" s="3">
        <v>18.066943194751175</v>
      </c>
      <c r="BZ1245" s="3">
        <v>34.396943194751181</v>
      </c>
      <c r="CA1245" s="3">
        <v>35.696943194751178</v>
      </c>
      <c r="CB1245" s="3">
        <v>22.133609861417845</v>
      </c>
      <c r="CC1245" s="3">
        <v>9.2469431947511751</v>
      </c>
      <c r="CD1245" s="3">
        <v>8.1536098614178485</v>
      </c>
      <c r="CE1245" s="3">
        <v>8.5469431947511723</v>
      </c>
      <c r="CF1245" s="3">
        <v>-0.93972347191549233</v>
      </c>
      <c r="CG1245" s="3">
        <v>-1.4730568052488238</v>
      </c>
      <c r="CH1245" s="3">
        <v>-2.5497234719154918</v>
      </c>
      <c r="CI1245" s="13">
        <f>[1]!dbasum(RecData[[#This Row],[20]:[2000]],RecData[[#Headers],[20]:[2000]])</f>
        <v>38.00245838497856</v>
      </c>
      <c r="CJ1245" s="14">
        <v>11011</v>
      </c>
      <c r="CK1245" s="15" t="s">
        <v>249</v>
      </c>
      <c r="CL1245" s="15">
        <f>RecData[[#This Row],[Start Time]]</f>
        <v>43276.201388888891</v>
      </c>
      <c r="CM1245" s="16">
        <f>RecData[[#This Row],[Wind Speed avg]]</f>
        <v>0.51</v>
      </c>
      <c r="CN1245" s="16">
        <f>RecData[[#This Row],[Wind Dir. avg]]</f>
        <v>161.19999999999999</v>
      </c>
      <c r="CO1245" s="16">
        <f>RecData[[#This Row],[Amb. Humidity]]</f>
        <v>64.3</v>
      </c>
      <c r="CP1245" s="16">
        <f>RecData[[#This Row],[Amb. Temperature]]</f>
        <v>8.1999999999999993</v>
      </c>
      <c r="CQ1245" s="17">
        <f>RecData[[#This Row],[Amb. Rain Gauge]]</f>
        <v>0</v>
      </c>
      <c r="CR1245" s="4" t="s">
        <v>1</v>
      </c>
      <c r="CS1245" s="4" t="s">
        <v>49</v>
      </c>
      <c r="CT1245" s="70">
        <v>1454.38098144531</v>
      </c>
      <c r="CU1245" s="70">
        <v>52.000438690185497</v>
      </c>
      <c r="CV1245" s="70">
        <v>10.2831878662109</v>
      </c>
      <c r="CW1245" s="70">
        <v>15.067201614379799</v>
      </c>
      <c r="CX1245" s="4"/>
      <c r="CY1245" s="69"/>
      <c r="CZ1245" s="2" t="b">
        <f>IF($DP$1="YES",IF(RecData[[#This Row],[Power (kW)]]&gt;=$CR$3, TRUE,FALSE),TRUE)</f>
        <v>1</v>
      </c>
      <c r="DA1245" s="16">
        <f>MIN(MOD(180-ABS(ABS($DA$1-RecData[Yaw Angle (°)])-180),360),MOD(180-ABS(ABS($DB$1-RecData[Yaw Angle (°)])-180),360))</f>
        <v>44.470511912497955</v>
      </c>
      <c r="DB1245" s="2" t="str">
        <f>IF($DP$2="None","None",IF(RecData[[#This Row],[Relative Wind Direction]]&lt;=45,"DW",IF(RecData[[#This Row],[Relative Wind Direction]]&lt;=135,"CW","UW")))</f>
        <v>DW</v>
      </c>
      <c r="DC1245" s="61">
        <f>IF($CL1245-$CL1242&gt;1/24,#REF!,IF(SUM($CQ1242:$CQ1245)&gt;$DS$1,$DS$5,DC1246-1))</f>
        <v>-7</v>
      </c>
      <c r="DD1245" s="61">
        <f>IF($CL1246-$CL1245&gt;1/24,#REF!,IF(SUM($CQ1242:$CQ1245)&gt;$DS$1,$DS$6,DD1244-1))</f>
        <v>-4</v>
      </c>
      <c r="DE1245" s="18" t="b">
        <v>0</v>
      </c>
      <c r="DF1245" s="2" t="b">
        <f>IF(OR(RecData[[#This Row],[WSpd_Avg '[m/s']]]-RecData[[#This Row],[Wind Speed min]]&gt;=$DF$3,RecData[[#This Row],[Wind Speed max]]-RecData[[#This Row],[WSpd_Avg '[m/s']]]&gt;=$DF$2),TRUE,FALSE)</f>
        <v>0</v>
      </c>
      <c r="DG1245" s="2" t="b">
        <f>RecData[[#This Row],[Temperature '[°C']]]&lt;=-20</f>
        <v>0</v>
      </c>
      <c r="DH1245" s="18" t="b">
        <f>NOT(OR(MOD(RecData[[#This Row],[TIMESTAMP]],1)&gt;0.91632,MOD(RecData[[#This Row],[TIMESTAMP]],1)&lt;0.208681))</f>
        <v>0</v>
      </c>
      <c r="DI1245" s="18" t="b">
        <f>RecData[[#This Row],[Overall (dBA)]]-RecData[[#This Row],[L90]]&gt;=$DS$4</f>
        <v>0</v>
      </c>
      <c r="DJ1245" s="18" t="b">
        <f>RecData[[#This Row],[Overall (dBA)]]&gt;$DS$2</f>
        <v>0</v>
      </c>
      <c r="DK1245" s="18" t="b">
        <f>RecData[[#This Row],[Overall (dBA)]]&lt;$DS$3</f>
        <v>0</v>
      </c>
      <c r="DL124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5" s="2">
        <f>IF(AND(RecData[[#This Row],[Turbines ON/OFF]] = "OFF", NOT(OR(RecData[[#This Row],[Junk?]]="YES",RecData[[#This Row],[Gust?]],RecData[[#This Row],[Rain?]:[Min SPL Threshold?]]))),1,0)</f>
        <v>0</v>
      </c>
      <c r="DN1245" s="16">
        <f>RecData[[#This Row],[dBA Sum]]</f>
        <v>38.00245838497856</v>
      </c>
      <c r="DO1245" s="16">
        <f>RecData[[#This Row],[LAF90.0]]</f>
        <v>37</v>
      </c>
      <c r="DP1245" s="55">
        <f>IF(AND(RecData[[#This Row],[Useable TON Data?]],RecData[[#This Row],[Turbines ON/OFF]]="ON"),RecData[[#This Row],[dBA Sum]],"")</f>
        <v>38.00245838497856</v>
      </c>
      <c r="DQ1245" s="55" t="str">
        <f>IF(AND(RecData[[#This Row],[Useable Background Data?]],RecData[[#This Row],[Turbines ON/OFF]]="OFF"),RecData[[#This Row],[dBA Sum]],"")</f>
        <v/>
      </c>
      <c r="DR1245" s="3">
        <f>IF(OR(RecData[[#This Row],[Useable TON Data?]],RecData[[#This Row],[Useable Background Data?]]),ROUND(RecData[[#This Row],[WSpd_Avg '[m/s']]],0),"")</f>
        <v>1</v>
      </c>
      <c r="DS1245" s="85">
        <f>(0.00002)^2*(10^(RecData[[#This Row],[Overall (dBA)]]/10))</f>
        <v>2.5252584314560809E-6</v>
      </c>
    </row>
    <row r="1246" spans="1:123" ht="15" x14ac:dyDescent="0.25">
      <c r="A1246" s="3" t="s">
        <v>249</v>
      </c>
      <c r="B1246" s="12">
        <v>43276.202083333337</v>
      </c>
      <c r="C1246" s="3"/>
      <c r="D1246" s="3">
        <v>40.700000000000003</v>
      </c>
      <c r="E1246" s="3"/>
      <c r="F1246" s="3"/>
      <c r="G1246" s="3"/>
      <c r="H1246" s="3"/>
      <c r="I1246" s="3"/>
      <c r="J1246" s="3"/>
      <c r="K1246" s="3">
        <v>35.700000000000003</v>
      </c>
      <c r="L1246" s="3"/>
      <c r="M1246" s="3"/>
      <c r="N1246" s="3">
        <v>172.9</v>
      </c>
      <c r="O1246" s="3"/>
      <c r="P1246" s="3"/>
      <c r="Q1246" s="3">
        <v>0.45</v>
      </c>
      <c r="R1246" s="3">
        <v>0.1</v>
      </c>
      <c r="S1246" s="3">
        <v>0.9</v>
      </c>
      <c r="T1246" s="3">
        <v>8.1999999999999993</v>
      </c>
      <c r="U1246" s="3">
        <v>65.400000000000006</v>
      </c>
      <c r="V1246" s="3">
        <v>979</v>
      </c>
      <c r="W1246" s="3">
        <v>0</v>
      </c>
      <c r="X1246" s="3">
        <v>42.3</v>
      </c>
      <c r="Y1246" s="3">
        <v>41.6</v>
      </c>
      <c r="Z1246" s="3">
        <v>39.700000000000003</v>
      </c>
      <c r="AA1246" s="3">
        <v>36.299999999999997</v>
      </c>
      <c r="AB1246" s="3">
        <v>31.6</v>
      </c>
      <c r="AC1246" s="3">
        <v>32.200000000000003</v>
      </c>
      <c r="AD1246" s="3">
        <v>34.5</v>
      </c>
      <c r="AE1246" s="3">
        <v>35.799999999999997</v>
      </c>
      <c r="AF1246" s="3">
        <v>44</v>
      </c>
      <c r="AG1246" s="3">
        <v>36.200000000000003</v>
      </c>
      <c r="AH1246" s="3">
        <v>33.4</v>
      </c>
      <c r="AI1246" s="3">
        <v>34.700000000000003</v>
      </c>
      <c r="AJ1246" s="3">
        <v>33.1</v>
      </c>
      <c r="AK1246" s="3">
        <v>32.299999999999997</v>
      </c>
      <c r="AL1246" s="3">
        <v>30.9</v>
      </c>
      <c r="AM1246" s="3">
        <v>31.5</v>
      </c>
      <c r="AN1246" s="3">
        <v>29.8</v>
      </c>
      <c r="AO1246" s="3">
        <v>26.1</v>
      </c>
      <c r="AP1246" s="3">
        <v>24</v>
      </c>
      <c r="AQ1246" s="3">
        <v>21.2</v>
      </c>
      <c r="AR1246" s="3">
        <v>18</v>
      </c>
      <c r="AS1246" s="3">
        <v>18.899999999999999</v>
      </c>
      <c r="AT1246" s="3">
        <v>33.9</v>
      </c>
      <c r="AU1246" s="3">
        <v>33.6</v>
      </c>
      <c r="AV1246" s="3">
        <v>17</v>
      </c>
      <c r="AW1246" s="3">
        <v>9.1</v>
      </c>
      <c r="AX1246" s="3">
        <v>8.9</v>
      </c>
      <c r="AY1246" s="3">
        <v>9.1</v>
      </c>
      <c r="AZ1246" s="3">
        <v>0</v>
      </c>
      <c r="BA1246" s="3">
        <v>0</v>
      </c>
      <c r="BB1246" s="3">
        <v>0</v>
      </c>
      <c r="BC1246" s="3">
        <v>40.776314550590044</v>
      </c>
      <c r="BD1246" s="3">
        <v>42.223685449409956</v>
      </c>
      <c r="BE1246" s="3">
        <v>41.523685449409967</v>
      </c>
      <c r="BF1246" s="3">
        <v>38.383685449409953</v>
      </c>
      <c r="BG1246" s="3">
        <v>35.310352116076629</v>
      </c>
      <c r="BH1246" s="3">
        <v>30.750352116076627</v>
      </c>
      <c r="BI1246" s="3">
        <v>31.763685449409962</v>
      </c>
      <c r="BJ1246" s="3">
        <v>34.857018782743282</v>
      </c>
      <c r="BK1246" s="3">
        <v>36.030352116076628</v>
      </c>
      <c r="BL1246" s="3">
        <v>43.803685449409969</v>
      </c>
      <c r="BM1246" s="3">
        <v>36.137018782743297</v>
      </c>
      <c r="BN1246" s="3">
        <v>33.620352116076631</v>
      </c>
      <c r="BO1246" s="3">
        <v>34.287018782743289</v>
      </c>
      <c r="BP1246" s="3">
        <v>32.403685449409963</v>
      </c>
      <c r="BQ1246" s="3">
        <v>32.020352116076609</v>
      </c>
      <c r="BR1246" s="3">
        <v>30.947018782743285</v>
      </c>
      <c r="BS1246" s="3">
        <v>31.350352116076621</v>
      </c>
      <c r="BT1246" s="3">
        <v>29.847018782743291</v>
      </c>
      <c r="BU1246" s="3">
        <v>26.113685449409971</v>
      </c>
      <c r="BV1246" s="3">
        <v>23.730352116076631</v>
      </c>
      <c r="BW1246" s="3">
        <v>21.463685449409965</v>
      </c>
      <c r="BX1246" s="3">
        <v>18.183685449409964</v>
      </c>
      <c r="BY1246" s="3">
        <v>18.903685449409956</v>
      </c>
      <c r="BZ1246" s="3">
        <v>34.033685449409958</v>
      </c>
      <c r="CA1246" s="3">
        <v>33.833685449409955</v>
      </c>
      <c r="CB1246" s="3">
        <v>16.670352116076629</v>
      </c>
      <c r="CC1246" s="3">
        <v>8.9836854494099612</v>
      </c>
      <c r="CD1246" s="3">
        <v>8.0903521160766303</v>
      </c>
      <c r="CE1246" s="3">
        <v>8.4836854494099612</v>
      </c>
      <c r="CF1246" s="3">
        <v>-1.0029812172567105</v>
      </c>
      <c r="CG1246" s="3">
        <v>-1.536314550590042</v>
      </c>
      <c r="CH1246" s="3">
        <v>-2.61298121725671</v>
      </c>
      <c r="CI1246" s="13">
        <f>[1]!dbasum(RecData[[#This Row],[20]:[2000]],RecData[[#Headers],[20]:[2000]])</f>
        <v>37.414655370523413</v>
      </c>
      <c r="CJ1246" s="14">
        <v>11012</v>
      </c>
      <c r="CK1246" s="15" t="s">
        <v>249</v>
      </c>
      <c r="CL1246" s="15">
        <f>RecData[[#This Row],[Start Time]]</f>
        <v>43276.202083333337</v>
      </c>
      <c r="CM1246" s="16">
        <f>RecData[[#This Row],[Wind Speed avg]]</f>
        <v>0.45</v>
      </c>
      <c r="CN1246" s="16">
        <f>RecData[[#This Row],[Wind Dir. avg]]</f>
        <v>172.9</v>
      </c>
      <c r="CO1246" s="16">
        <f>RecData[[#This Row],[Amb. Humidity]]</f>
        <v>65.400000000000006</v>
      </c>
      <c r="CP1246" s="16">
        <f>RecData[[#This Row],[Amb. Temperature]]</f>
        <v>8.1999999999999993</v>
      </c>
      <c r="CQ1246" s="17">
        <f>RecData[[#This Row],[Amb. Rain Gauge]]</f>
        <v>0</v>
      </c>
      <c r="CR1246" s="4" t="s">
        <v>1</v>
      </c>
      <c r="CS1246" s="4" t="s">
        <v>49</v>
      </c>
      <c r="CT1246" s="70">
        <v>1509.85375976562</v>
      </c>
      <c r="CU1246" s="70">
        <v>52.000442504882798</v>
      </c>
      <c r="CV1246" s="70">
        <v>11.2534484863281</v>
      </c>
      <c r="CW1246" s="70">
        <v>15.1510915756225</v>
      </c>
      <c r="CX1246" s="4"/>
      <c r="CY1246" s="69"/>
      <c r="CZ1246" s="2" t="b">
        <f>IF($DP$1="YES",IF(RecData[[#This Row],[Power (kW)]]&gt;=$CR$3, TRUE,FALSE),TRUE)</f>
        <v>1</v>
      </c>
      <c r="DA1246" s="16">
        <f>MIN(MOD(180-ABS(ABS($DA$1-RecData[Yaw Angle (°)])-180),360),MOD(180-ABS(ABS($DB$1-RecData[Yaw Angle (°)])-180),360))</f>
        <v>44.470515727195249</v>
      </c>
      <c r="DB1246" s="2" t="str">
        <f>IF($DP$2="None","None",IF(RecData[[#This Row],[Relative Wind Direction]]&lt;=45,"DW",IF(RecData[[#This Row],[Relative Wind Direction]]&lt;=135,"CW","UW")))</f>
        <v>DW</v>
      </c>
      <c r="DC1246" s="61">
        <f>IF($CL1246-$CL1242&gt;1/24,#REF!,IF(SUM($CQ1242:$CQ1246)&gt;$DS$1,$DS$5,DC1247-1))</f>
        <v>-6</v>
      </c>
      <c r="DD1246" s="61">
        <f>IF($CL1247-$CL1246&gt;1/24,#REF!,IF(SUM($CQ1242:$CQ1246)&gt;$DS$1,$DS$6,DD1245-1))</f>
        <v>-5</v>
      </c>
      <c r="DE1246" s="18" t="b">
        <v>0</v>
      </c>
      <c r="DF1246" s="2" t="b">
        <f>IF(OR(RecData[[#This Row],[WSpd_Avg '[m/s']]]-RecData[[#This Row],[Wind Speed min]]&gt;=$DF$3,RecData[[#This Row],[Wind Speed max]]-RecData[[#This Row],[WSpd_Avg '[m/s']]]&gt;=$DF$2),TRUE,FALSE)</f>
        <v>0</v>
      </c>
      <c r="DG1246" s="2" t="b">
        <f>RecData[[#This Row],[Temperature '[°C']]]&lt;=-20</f>
        <v>0</v>
      </c>
      <c r="DH1246" s="18" t="b">
        <f>NOT(OR(MOD(RecData[[#This Row],[TIMESTAMP]],1)&gt;0.91632,MOD(RecData[[#This Row],[TIMESTAMP]],1)&lt;0.208681))</f>
        <v>0</v>
      </c>
      <c r="DI1246" s="18" t="b">
        <f>RecData[[#This Row],[Overall (dBA)]]-RecData[[#This Row],[L90]]&gt;=$DS$4</f>
        <v>0</v>
      </c>
      <c r="DJ1246" s="18" t="b">
        <f>RecData[[#This Row],[Overall (dBA)]]&gt;$DS$2</f>
        <v>0</v>
      </c>
      <c r="DK1246" s="18" t="b">
        <f>RecData[[#This Row],[Overall (dBA)]]&lt;$DS$3</f>
        <v>0</v>
      </c>
      <c r="DL124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6" s="2">
        <f>IF(AND(RecData[[#This Row],[Turbines ON/OFF]] = "OFF", NOT(OR(RecData[[#This Row],[Junk?]]="YES",RecData[[#This Row],[Gust?]],RecData[[#This Row],[Rain?]:[Min SPL Threshold?]]))),1,0)</f>
        <v>0</v>
      </c>
      <c r="DN1246" s="16">
        <f>RecData[[#This Row],[dBA Sum]]</f>
        <v>37.414655370523413</v>
      </c>
      <c r="DO1246" s="16">
        <f>RecData[[#This Row],[LAF90.0]]</f>
        <v>35.700000000000003</v>
      </c>
      <c r="DP1246" s="55">
        <f>IF(AND(RecData[[#This Row],[Useable TON Data?]],RecData[[#This Row],[Turbines ON/OFF]]="ON"),RecData[[#This Row],[dBA Sum]],"")</f>
        <v>37.414655370523413</v>
      </c>
      <c r="DQ1246" s="55" t="str">
        <f>IF(AND(RecData[[#This Row],[Useable Background Data?]],RecData[[#This Row],[Turbines ON/OFF]]="OFF"),RecData[[#This Row],[dBA Sum]],"")</f>
        <v/>
      </c>
      <c r="DR1246" s="3">
        <f>IF(OR(RecData[[#This Row],[Useable TON Data?]],RecData[[#This Row],[Useable Background Data?]]),ROUND(RecData[[#This Row],[WSpd_Avg '[m/s']]],0),"")</f>
        <v>0</v>
      </c>
      <c r="DS1246" s="85">
        <f>(0.00002)^2*(10^(RecData[[#This Row],[Overall (dBA)]]/10))</f>
        <v>2.2055937801813514E-6</v>
      </c>
    </row>
    <row r="1247" spans="1:123" ht="15" x14ac:dyDescent="0.25">
      <c r="A1247" s="3" t="s">
        <v>249</v>
      </c>
      <c r="B1247" s="12">
        <v>43276.202777777784</v>
      </c>
      <c r="C1247" s="3"/>
      <c r="D1247" s="3">
        <v>43.8</v>
      </c>
      <c r="E1247" s="3"/>
      <c r="F1247" s="3"/>
      <c r="G1247" s="3"/>
      <c r="H1247" s="3"/>
      <c r="I1247" s="3"/>
      <c r="J1247" s="3"/>
      <c r="K1247" s="3">
        <v>37</v>
      </c>
      <c r="L1247" s="3"/>
      <c r="M1247" s="3"/>
      <c r="N1247" s="3">
        <v>150.6</v>
      </c>
      <c r="O1247" s="3"/>
      <c r="P1247" s="3"/>
      <c r="Q1247" s="3">
        <v>1</v>
      </c>
      <c r="R1247" s="3">
        <v>0.1</v>
      </c>
      <c r="S1247" s="3">
        <v>1.8</v>
      </c>
      <c r="T1247" s="3">
        <v>8.1</v>
      </c>
      <c r="U1247" s="3">
        <v>64.7</v>
      </c>
      <c r="V1247" s="3">
        <v>979</v>
      </c>
      <c r="W1247" s="3">
        <v>0</v>
      </c>
      <c r="X1247" s="3">
        <v>42.4</v>
      </c>
      <c r="Y1247" s="3">
        <v>41.3</v>
      </c>
      <c r="Z1247" s="3">
        <v>39.5</v>
      </c>
      <c r="AA1247" s="3">
        <v>36.799999999999997</v>
      </c>
      <c r="AB1247" s="3">
        <v>31.6</v>
      </c>
      <c r="AC1247" s="3">
        <v>32.1</v>
      </c>
      <c r="AD1247" s="3">
        <v>34.299999999999997</v>
      </c>
      <c r="AE1247" s="3">
        <v>35.5</v>
      </c>
      <c r="AF1247" s="3">
        <v>44.3</v>
      </c>
      <c r="AG1247" s="3">
        <v>35.799999999999997</v>
      </c>
      <c r="AH1247" s="3">
        <v>33.299999999999997</v>
      </c>
      <c r="AI1247" s="3">
        <v>33.9</v>
      </c>
      <c r="AJ1247" s="3">
        <v>32.700000000000003</v>
      </c>
      <c r="AK1247" s="3">
        <v>31.8</v>
      </c>
      <c r="AL1247" s="3">
        <v>30.6</v>
      </c>
      <c r="AM1247" s="3">
        <v>31.1</v>
      </c>
      <c r="AN1247" s="3">
        <v>29.4</v>
      </c>
      <c r="AO1247" s="3">
        <v>26</v>
      </c>
      <c r="AP1247" s="3">
        <v>24.1</v>
      </c>
      <c r="AQ1247" s="3">
        <v>21.6</v>
      </c>
      <c r="AR1247" s="3">
        <v>21.2</v>
      </c>
      <c r="AS1247" s="3">
        <v>25.6</v>
      </c>
      <c r="AT1247" s="3">
        <v>39.5</v>
      </c>
      <c r="AU1247" s="3">
        <v>36.6</v>
      </c>
      <c r="AV1247" s="3">
        <v>26.9</v>
      </c>
      <c r="AW1247" s="3">
        <v>9.9</v>
      </c>
      <c r="AX1247" s="3">
        <v>9.1</v>
      </c>
      <c r="AY1247" s="3">
        <v>9.1</v>
      </c>
      <c r="AZ1247" s="3">
        <v>0</v>
      </c>
      <c r="BA1247" s="3">
        <v>0</v>
      </c>
      <c r="BB1247" s="3">
        <v>0</v>
      </c>
      <c r="BC1247" s="3">
        <v>43.794556414636141</v>
      </c>
      <c r="BD1247" s="3">
        <v>42.405443585363848</v>
      </c>
      <c r="BE1247" s="3">
        <v>41.305443585363854</v>
      </c>
      <c r="BF1247" s="3">
        <v>38.265443585363862</v>
      </c>
      <c r="BG1247" s="3">
        <v>35.892110252030527</v>
      </c>
      <c r="BH1247" s="3">
        <v>30.832110252030525</v>
      </c>
      <c r="BI1247" s="3">
        <v>31.745443585363851</v>
      </c>
      <c r="BJ1247" s="3">
        <v>34.738776918697191</v>
      </c>
      <c r="BK1247" s="3">
        <v>35.812110252030514</v>
      </c>
      <c r="BL1247" s="3">
        <v>44.185443585363849</v>
      </c>
      <c r="BM1247" s="3">
        <v>35.818776918697189</v>
      </c>
      <c r="BN1247" s="3">
        <v>33.602110252030521</v>
      </c>
      <c r="BO1247" s="3">
        <v>33.568776918697189</v>
      </c>
      <c r="BP1247" s="3">
        <v>32.085443585363855</v>
      </c>
      <c r="BQ1247" s="3">
        <v>31.602110252030506</v>
      </c>
      <c r="BR1247" s="3">
        <v>30.7287769186972</v>
      </c>
      <c r="BS1247" s="3">
        <v>31.032110252030527</v>
      </c>
      <c r="BT1247" s="3">
        <v>29.528776918697183</v>
      </c>
      <c r="BU1247" s="3">
        <v>26.09544358536386</v>
      </c>
      <c r="BV1247" s="3">
        <v>23.912110252030523</v>
      </c>
      <c r="BW1247" s="3">
        <v>21.945443585363869</v>
      </c>
      <c r="BX1247" s="3">
        <v>21.465443585363865</v>
      </c>
      <c r="BY1247" s="3">
        <v>25.685443585363849</v>
      </c>
      <c r="BZ1247" s="3">
        <v>39.71544358536385</v>
      </c>
      <c r="CA1247" s="3">
        <v>36.915443585363853</v>
      </c>
      <c r="CB1247" s="3">
        <v>26.652110252030518</v>
      </c>
      <c r="CC1247" s="3">
        <v>9.865443585363856</v>
      </c>
      <c r="CD1247" s="3">
        <v>8.3721102520305308</v>
      </c>
      <c r="CE1247" s="3">
        <v>8.5654435853638589</v>
      </c>
      <c r="CF1247" s="3">
        <v>-0.92122308130281283</v>
      </c>
      <c r="CG1247" s="3">
        <v>-1.4545564146361443</v>
      </c>
      <c r="CH1247" s="3">
        <v>-2.5312230813028123</v>
      </c>
      <c r="CI1247" s="13">
        <f>[1]!dbasum(RecData[[#This Row],[20]:[2000]],RecData[[#Headers],[20]:[2000]])</f>
        <v>37.323716712377568</v>
      </c>
      <c r="CJ1247" s="14">
        <v>11013</v>
      </c>
      <c r="CK1247" s="15" t="s">
        <v>249</v>
      </c>
      <c r="CL1247" s="15">
        <f>RecData[[#This Row],[Start Time]]</f>
        <v>43276.202777777784</v>
      </c>
      <c r="CM1247" s="16">
        <f>RecData[[#This Row],[Wind Speed avg]]</f>
        <v>1</v>
      </c>
      <c r="CN1247" s="16">
        <f>RecData[[#This Row],[Wind Dir. avg]]</f>
        <v>150.6</v>
      </c>
      <c r="CO1247" s="16">
        <f>RecData[[#This Row],[Amb. Humidity]]</f>
        <v>64.7</v>
      </c>
      <c r="CP1247" s="16">
        <f>RecData[[#This Row],[Amb. Temperature]]</f>
        <v>8.1</v>
      </c>
      <c r="CQ1247" s="17">
        <f>RecData[[#This Row],[Amb. Rain Gauge]]</f>
        <v>0</v>
      </c>
      <c r="CR1247" s="4" t="s">
        <v>1</v>
      </c>
      <c r="CS1247" s="4" t="s">
        <v>49</v>
      </c>
      <c r="CT1247" s="70">
        <v>1509.85375976562</v>
      </c>
      <c r="CU1247" s="70">
        <v>52.000442504882798</v>
      </c>
      <c r="CV1247" s="70">
        <v>11.2534484863281</v>
      </c>
      <c r="CW1247" s="70">
        <v>15.1510915756225</v>
      </c>
      <c r="CX1247" s="4"/>
      <c r="CY1247" s="69"/>
      <c r="CZ1247" s="2" t="b">
        <f>IF($DP$1="YES",IF(RecData[[#This Row],[Power (kW)]]&gt;=$CR$3, TRUE,FALSE),TRUE)</f>
        <v>1</v>
      </c>
      <c r="DA1247" s="16">
        <f>MIN(MOD(180-ABS(ABS($DA$1-RecData[Yaw Angle (°)])-180),360),MOD(180-ABS(ABS($DB$1-RecData[Yaw Angle (°)])-180),360))</f>
        <v>44.470515727195249</v>
      </c>
      <c r="DB1247" s="2" t="str">
        <f>IF($DP$2="None","None",IF(RecData[[#This Row],[Relative Wind Direction]]&lt;=45,"DW",IF(RecData[[#This Row],[Relative Wind Direction]]&lt;=135,"CW","UW")))</f>
        <v>DW</v>
      </c>
      <c r="DC1247" s="61">
        <f>IF($CL1247-$CL1243&gt;1/24,#REF!,IF(SUM($CQ1243:$CQ1247)&gt;$DS$1,$DS$5,DC1248-1))</f>
        <v>-5</v>
      </c>
      <c r="DD1247" s="61">
        <f>IF($CL1248-$CL1247&gt;1/24,#REF!,IF(SUM($CQ1243:$CQ1247)&gt;$DS$1,$DS$6,DD1246-1))</f>
        <v>-6</v>
      </c>
      <c r="DE1247" s="18" t="b">
        <v>0</v>
      </c>
      <c r="DF1247" s="2" t="b">
        <f>IF(OR(RecData[[#This Row],[WSpd_Avg '[m/s']]]-RecData[[#This Row],[Wind Speed min]]&gt;=$DF$3,RecData[[#This Row],[Wind Speed max]]-RecData[[#This Row],[WSpd_Avg '[m/s']]]&gt;=$DF$2),TRUE,FALSE)</f>
        <v>0</v>
      </c>
      <c r="DG1247" s="2" t="b">
        <f>RecData[[#This Row],[Temperature '[°C']]]&lt;=-20</f>
        <v>0</v>
      </c>
      <c r="DH1247" s="18" t="b">
        <f>NOT(OR(MOD(RecData[[#This Row],[TIMESTAMP]],1)&gt;0.91632,MOD(RecData[[#This Row],[TIMESTAMP]],1)&lt;0.208681))</f>
        <v>0</v>
      </c>
      <c r="DI1247" s="18" t="b">
        <f>RecData[[#This Row],[Overall (dBA)]]-RecData[[#This Row],[L90]]&gt;=$DS$4</f>
        <v>0</v>
      </c>
      <c r="DJ1247" s="18" t="b">
        <f>RecData[[#This Row],[Overall (dBA)]]&gt;$DS$2</f>
        <v>0</v>
      </c>
      <c r="DK1247" s="18" t="b">
        <f>RecData[[#This Row],[Overall (dBA)]]&lt;$DS$3</f>
        <v>0</v>
      </c>
      <c r="DL124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7" s="2">
        <f>IF(AND(RecData[[#This Row],[Turbines ON/OFF]] = "OFF", NOT(OR(RecData[[#This Row],[Junk?]]="YES",RecData[[#This Row],[Gust?]],RecData[[#This Row],[Rain?]:[Min SPL Threshold?]]))),1,0)</f>
        <v>0</v>
      </c>
      <c r="DN1247" s="16">
        <f>RecData[[#This Row],[dBA Sum]]</f>
        <v>37.323716712377568</v>
      </c>
      <c r="DO1247" s="16">
        <f>RecData[[#This Row],[LAF90.0]]</f>
        <v>37</v>
      </c>
      <c r="DP1247" s="55">
        <f>IF(AND(RecData[[#This Row],[Useable TON Data?]],RecData[[#This Row],[Turbines ON/OFF]]="ON"),RecData[[#This Row],[dBA Sum]],"")</f>
        <v>37.323716712377568</v>
      </c>
      <c r="DQ1247" s="55" t="str">
        <f>IF(AND(RecData[[#This Row],[Useable Background Data?]],RecData[[#This Row],[Turbines ON/OFF]]="OFF"),RecData[[#This Row],[dBA Sum]],"")</f>
        <v/>
      </c>
      <c r="DR1247" s="3">
        <f>IF(OR(RecData[[#This Row],[Useable TON Data?]],RecData[[#This Row],[Useable Background Data?]]),ROUND(RecData[[#This Row],[WSpd_Avg '[m/s']]],0),"")</f>
        <v>1</v>
      </c>
      <c r="DS1247" s="85">
        <f>(0.00002)^2*(10^(RecData[[#This Row],[Overall (dBA)]]/10))</f>
        <v>2.1598901433641316E-6</v>
      </c>
    </row>
    <row r="1248" spans="1:123" ht="15" x14ac:dyDescent="0.25">
      <c r="A1248" s="3" t="s">
        <v>249</v>
      </c>
      <c r="B1248" s="12">
        <v>43276.203472222231</v>
      </c>
      <c r="C1248" s="3"/>
      <c r="D1248" s="3">
        <v>45.4</v>
      </c>
      <c r="E1248" s="3"/>
      <c r="F1248" s="3"/>
      <c r="G1248" s="3"/>
      <c r="H1248" s="3"/>
      <c r="I1248" s="3"/>
      <c r="J1248" s="3"/>
      <c r="K1248" s="3">
        <v>38.5</v>
      </c>
      <c r="L1248" s="3"/>
      <c r="M1248" s="3"/>
      <c r="N1248" s="3">
        <v>180.2</v>
      </c>
      <c r="O1248" s="3"/>
      <c r="P1248" s="3"/>
      <c r="Q1248" s="3">
        <v>0.72</v>
      </c>
      <c r="R1248" s="3">
        <v>0.1</v>
      </c>
      <c r="S1248" s="3">
        <v>1.4</v>
      </c>
      <c r="T1248" s="3">
        <v>8.1</v>
      </c>
      <c r="U1248" s="3">
        <v>64.3</v>
      </c>
      <c r="V1248" s="3">
        <v>979</v>
      </c>
      <c r="W1248" s="3">
        <v>0</v>
      </c>
      <c r="X1248" s="3">
        <v>42</v>
      </c>
      <c r="Y1248" s="3">
        <v>41.3</v>
      </c>
      <c r="Z1248" s="3">
        <v>39.9</v>
      </c>
      <c r="AA1248" s="3">
        <v>36.4</v>
      </c>
      <c r="AB1248" s="3">
        <v>30.6</v>
      </c>
      <c r="AC1248" s="3">
        <v>30.9</v>
      </c>
      <c r="AD1248" s="3">
        <v>35.1</v>
      </c>
      <c r="AE1248" s="3">
        <v>36.9</v>
      </c>
      <c r="AF1248" s="3">
        <v>45.2</v>
      </c>
      <c r="AG1248" s="3">
        <v>36.5</v>
      </c>
      <c r="AH1248" s="3">
        <v>35</v>
      </c>
      <c r="AI1248" s="3">
        <v>35.200000000000003</v>
      </c>
      <c r="AJ1248" s="3">
        <v>33.9</v>
      </c>
      <c r="AK1248" s="3">
        <v>33.1</v>
      </c>
      <c r="AL1248" s="3">
        <v>31.8</v>
      </c>
      <c r="AM1248" s="3">
        <v>32.299999999999997</v>
      </c>
      <c r="AN1248" s="3">
        <v>30.4</v>
      </c>
      <c r="AO1248" s="3">
        <v>26.9</v>
      </c>
      <c r="AP1248" s="3">
        <v>24.9</v>
      </c>
      <c r="AQ1248" s="3">
        <v>22.5</v>
      </c>
      <c r="AR1248" s="3">
        <v>24.3</v>
      </c>
      <c r="AS1248" s="3">
        <v>29.8</v>
      </c>
      <c r="AT1248" s="3">
        <v>38.9</v>
      </c>
      <c r="AU1248" s="3">
        <v>41.1</v>
      </c>
      <c r="AV1248" s="3">
        <v>25.2</v>
      </c>
      <c r="AW1248" s="3">
        <v>12</v>
      </c>
      <c r="AX1248" s="3">
        <v>10.199999999999999</v>
      </c>
      <c r="AY1248" s="3">
        <v>9.6999999999999993</v>
      </c>
      <c r="AZ1248" s="3">
        <v>0</v>
      </c>
      <c r="BA1248" s="3">
        <v>0</v>
      </c>
      <c r="BB1248" s="3">
        <v>0</v>
      </c>
      <c r="BC1248" s="3">
        <v>45.457090733585908</v>
      </c>
      <c r="BD1248" s="3">
        <v>41.942909266414098</v>
      </c>
      <c r="BE1248" s="3">
        <v>41.242909266414081</v>
      </c>
      <c r="BF1248" s="3">
        <v>38.602909266414095</v>
      </c>
      <c r="BG1248" s="3">
        <v>35.429575933080748</v>
      </c>
      <c r="BH1248" s="3">
        <v>29.769575933080766</v>
      </c>
      <c r="BI1248" s="3">
        <v>30.48290926641409</v>
      </c>
      <c r="BJ1248" s="3">
        <v>35.47624259974743</v>
      </c>
      <c r="BK1248" s="3">
        <v>37.149575933080747</v>
      </c>
      <c r="BL1248" s="3">
        <v>45.022909266414096</v>
      </c>
      <c r="BM1248" s="3">
        <v>36.456242599747419</v>
      </c>
      <c r="BN1248" s="3">
        <v>35.239575933080751</v>
      </c>
      <c r="BO1248" s="3">
        <v>34.806242599747428</v>
      </c>
      <c r="BP1248" s="3">
        <v>33.222909266414099</v>
      </c>
      <c r="BQ1248" s="3">
        <v>32.839575933080745</v>
      </c>
      <c r="BR1248" s="3">
        <v>31.86624259974743</v>
      </c>
      <c r="BS1248" s="3">
        <v>32.169575933080758</v>
      </c>
      <c r="BT1248" s="3">
        <v>30.466242599747424</v>
      </c>
      <c r="BU1248" s="3">
        <v>26.932909266414093</v>
      </c>
      <c r="BV1248" s="3">
        <v>24.649575933080762</v>
      </c>
      <c r="BW1248" s="3">
        <v>22.782909266414102</v>
      </c>
      <c r="BX1248" s="3">
        <v>24.5029092664141</v>
      </c>
      <c r="BY1248" s="3">
        <v>29.822909266414094</v>
      </c>
      <c r="BZ1248" s="3">
        <v>39.052909266414083</v>
      </c>
      <c r="CA1248" s="3">
        <v>41.352909266414095</v>
      </c>
      <c r="CB1248" s="3">
        <v>24.889575933080756</v>
      </c>
      <c r="CC1248" s="3">
        <v>11.902909266414092</v>
      </c>
      <c r="CD1248" s="3">
        <v>9.4095759330807596</v>
      </c>
      <c r="CE1248" s="3">
        <v>9.1029092664140876</v>
      </c>
      <c r="CF1248" s="3">
        <v>-0.98375740025257841</v>
      </c>
      <c r="CG1248" s="3">
        <v>-1.5170907335859098</v>
      </c>
      <c r="CH1248" s="3">
        <v>-2.5937574002525778</v>
      </c>
      <c r="CI1248" s="13">
        <f>[1]!dbasum(RecData[[#This Row],[20]:[2000]],RecData[[#Headers],[20]:[2000]])</f>
        <v>38.445452076752169</v>
      </c>
      <c r="CJ1248" s="14">
        <v>11014</v>
      </c>
      <c r="CK1248" s="15" t="s">
        <v>249</v>
      </c>
      <c r="CL1248" s="15">
        <f>RecData[[#This Row],[Start Time]]</f>
        <v>43276.203472222231</v>
      </c>
      <c r="CM1248" s="16">
        <f>RecData[[#This Row],[Wind Speed avg]]</f>
        <v>0.72</v>
      </c>
      <c r="CN1248" s="16">
        <f>RecData[[#This Row],[Wind Dir. avg]]</f>
        <v>180.2</v>
      </c>
      <c r="CO1248" s="16">
        <f>RecData[[#This Row],[Amb. Humidity]]</f>
        <v>64.3</v>
      </c>
      <c r="CP1248" s="16">
        <f>RecData[[#This Row],[Amb. Temperature]]</f>
        <v>8.1</v>
      </c>
      <c r="CQ1248" s="17">
        <f>RecData[[#This Row],[Amb. Rain Gauge]]</f>
        <v>0</v>
      </c>
      <c r="CR1248" s="4" t="s">
        <v>1</v>
      </c>
      <c r="CS1248" s="4" t="s">
        <v>49</v>
      </c>
      <c r="CT1248" s="70">
        <v>1509.85375976562</v>
      </c>
      <c r="CU1248" s="70">
        <v>52.000442504882798</v>
      </c>
      <c r="CV1248" s="70">
        <v>11.2534484863281</v>
      </c>
      <c r="CW1248" s="70">
        <v>15.1510915756225</v>
      </c>
      <c r="CX1248" s="4"/>
      <c r="CY1248" s="69"/>
      <c r="CZ1248" s="2" t="b">
        <f>IF($DP$1="YES",IF(RecData[[#This Row],[Power (kW)]]&gt;=$CR$3, TRUE,FALSE),TRUE)</f>
        <v>1</v>
      </c>
      <c r="DA1248" s="16">
        <f>MIN(MOD(180-ABS(ABS($DA$1-RecData[Yaw Angle (°)])-180),360),MOD(180-ABS(ABS($DB$1-RecData[Yaw Angle (°)])-180),360))</f>
        <v>44.470515727195249</v>
      </c>
      <c r="DB1248" s="2" t="str">
        <f>IF($DP$2="None","None",IF(RecData[[#This Row],[Relative Wind Direction]]&lt;=45,"DW",IF(RecData[[#This Row],[Relative Wind Direction]]&lt;=135,"CW","UW")))</f>
        <v>DW</v>
      </c>
      <c r="DC1248" s="61">
        <f>IF($CL1248-$CL1244&gt;1/24,#REF!,IF(SUM($CQ1244:$CQ1248)&gt;$DS$1,$DS$5,DC1249-1))</f>
        <v>-4</v>
      </c>
      <c r="DD1248" s="61">
        <f>IF($CL1249-$CL1248&gt;1/24,#REF!,IF(SUM($CQ1244:$CQ1248)&gt;$DS$1,$DS$6,DD1247-1))</f>
        <v>-7</v>
      </c>
      <c r="DE1248" s="18" t="b">
        <v>0</v>
      </c>
      <c r="DF1248" s="2" t="b">
        <f>IF(OR(RecData[[#This Row],[WSpd_Avg '[m/s']]]-RecData[[#This Row],[Wind Speed min]]&gt;=$DF$3,RecData[[#This Row],[Wind Speed max]]-RecData[[#This Row],[WSpd_Avg '[m/s']]]&gt;=$DF$2),TRUE,FALSE)</f>
        <v>0</v>
      </c>
      <c r="DG1248" s="2" t="b">
        <f>RecData[[#This Row],[Temperature '[°C']]]&lt;=-20</f>
        <v>0</v>
      </c>
      <c r="DH1248" s="18" t="b">
        <f>NOT(OR(MOD(RecData[[#This Row],[TIMESTAMP]],1)&gt;0.91632,MOD(RecData[[#This Row],[TIMESTAMP]],1)&lt;0.208681))</f>
        <v>0</v>
      </c>
      <c r="DI1248" s="18" t="b">
        <f>RecData[[#This Row],[Overall (dBA)]]-RecData[[#This Row],[L90]]&gt;=$DS$4</f>
        <v>0</v>
      </c>
      <c r="DJ1248" s="18" t="b">
        <f>RecData[[#This Row],[Overall (dBA)]]&gt;$DS$2</f>
        <v>0</v>
      </c>
      <c r="DK1248" s="18" t="b">
        <f>RecData[[#This Row],[Overall (dBA)]]&lt;$DS$3</f>
        <v>0</v>
      </c>
      <c r="DL124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8" s="2">
        <f>IF(AND(RecData[[#This Row],[Turbines ON/OFF]] = "OFF", NOT(OR(RecData[[#This Row],[Junk?]]="YES",RecData[[#This Row],[Gust?]],RecData[[#This Row],[Rain?]:[Min SPL Threshold?]]))),1,0)</f>
        <v>0</v>
      </c>
      <c r="DN1248" s="16">
        <f>RecData[[#This Row],[dBA Sum]]</f>
        <v>38.445452076752169</v>
      </c>
      <c r="DO1248" s="16">
        <f>RecData[[#This Row],[LAF90.0]]</f>
        <v>38.5</v>
      </c>
      <c r="DP1248" s="55">
        <f>IF(AND(RecData[[#This Row],[Useable TON Data?]],RecData[[#This Row],[Turbines ON/OFF]]="ON"),RecData[[#This Row],[dBA Sum]],"")</f>
        <v>38.445452076752169</v>
      </c>
      <c r="DQ1248" s="55" t="str">
        <f>IF(AND(RecData[[#This Row],[Useable Background Data?]],RecData[[#This Row],[Turbines ON/OFF]]="OFF"),RecData[[#This Row],[dBA Sum]],"")</f>
        <v/>
      </c>
      <c r="DR1248" s="3">
        <f>IF(OR(RecData[[#This Row],[Useable TON Data?]],RecData[[#This Row],[Useable Background Data?]]),ROUND(RecData[[#This Row],[WSpd_Avg '[m/s']]],0),"")</f>
        <v>1</v>
      </c>
      <c r="DS1248" s="85">
        <f>(0.00002)^2*(10^(RecData[[#This Row],[Overall (dBA)]]/10))</f>
        <v>2.7964380257691243E-6</v>
      </c>
    </row>
    <row r="1249" spans="1:123" ht="15" x14ac:dyDescent="0.25">
      <c r="A1249" s="3" t="s">
        <v>249</v>
      </c>
      <c r="B1249" s="12">
        <v>43276.20416666667</v>
      </c>
      <c r="C1249" s="3"/>
      <c r="D1249" s="3">
        <v>50.1</v>
      </c>
      <c r="E1249" s="3"/>
      <c r="F1249" s="3"/>
      <c r="G1249" s="3"/>
      <c r="H1249" s="3"/>
      <c r="I1249" s="3"/>
      <c r="J1249" s="3"/>
      <c r="K1249" s="3">
        <v>37.9</v>
      </c>
      <c r="L1249" s="3"/>
      <c r="M1249" s="3"/>
      <c r="N1249" s="3">
        <v>172.5</v>
      </c>
      <c r="O1249" s="3"/>
      <c r="P1249" s="3"/>
      <c r="Q1249" s="3">
        <v>0.77</v>
      </c>
      <c r="R1249" s="3">
        <v>0</v>
      </c>
      <c r="S1249" s="3">
        <v>2.1</v>
      </c>
      <c r="T1249" s="3">
        <v>8.1999999999999993</v>
      </c>
      <c r="U1249" s="3">
        <v>64</v>
      </c>
      <c r="V1249" s="3">
        <v>979</v>
      </c>
      <c r="W1249" s="3">
        <v>0</v>
      </c>
      <c r="X1249" s="3">
        <v>40.9</v>
      </c>
      <c r="Y1249" s="3">
        <v>40.4</v>
      </c>
      <c r="Z1249" s="3">
        <v>39.299999999999997</v>
      </c>
      <c r="AA1249" s="3">
        <v>36.299999999999997</v>
      </c>
      <c r="AB1249" s="3">
        <v>30.8</v>
      </c>
      <c r="AC1249" s="3">
        <v>30.9</v>
      </c>
      <c r="AD1249" s="3">
        <v>35</v>
      </c>
      <c r="AE1249" s="3">
        <v>36.6</v>
      </c>
      <c r="AF1249" s="3">
        <v>44.6</v>
      </c>
      <c r="AG1249" s="3">
        <v>36.799999999999997</v>
      </c>
      <c r="AH1249" s="3">
        <v>34.1</v>
      </c>
      <c r="AI1249" s="3">
        <v>34.799999999999997</v>
      </c>
      <c r="AJ1249" s="3">
        <v>33.5</v>
      </c>
      <c r="AK1249" s="3">
        <v>32.5</v>
      </c>
      <c r="AL1249" s="3">
        <v>31.4</v>
      </c>
      <c r="AM1249" s="3">
        <v>32.4</v>
      </c>
      <c r="AN1249" s="3">
        <v>30.6</v>
      </c>
      <c r="AO1249" s="3">
        <v>27.1</v>
      </c>
      <c r="AP1249" s="3">
        <v>25.3</v>
      </c>
      <c r="AQ1249" s="3">
        <v>23</v>
      </c>
      <c r="AR1249" s="3">
        <v>24.8</v>
      </c>
      <c r="AS1249" s="3">
        <v>31.5</v>
      </c>
      <c r="AT1249" s="3">
        <v>44.1</v>
      </c>
      <c r="AU1249" s="3">
        <v>46.7</v>
      </c>
      <c r="AV1249" s="3">
        <v>23.5</v>
      </c>
      <c r="AW1249" s="3">
        <v>11.3</v>
      </c>
      <c r="AX1249" s="3">
        <v>9.6999999999999993</v>
      </c>
      <c r="AY1249" s="3">
        <v>9.4</v>
      </c>
      <c r="AZ1249" s="3">
        <v>0</v>
      </c>
      <c r="BA1249" s="3">
        <v>0</v>
      </c>
      <c r="BB1249" s="3">
        <v>0</v>
      </c>
      <c r="BC1249" s="3">
        <v>50.05831739673151</v>
      </c>
      <c r="BD1249" s="3">
        <v>40.94168260326849</v>
      </c>
      <c r="BE1249" s="3">
        <v>40.44168260326849</v>
      </c>
      <c r="BF1249" s="3">
        <v>38.101682603268486</v>
      </c>
      <c r="BG1249" s="3">
        <v>35.428349269935154</v>
      </c>
      <c r="BH1249" s="3">
        <v>30.068349269935155</v>
      </c>
      <c r="BI1249" s="3">
        <v>30.58168260326849</v>
      </c>
      <c r="BJ1249" s="3">
        <v>35.475015936601821</v>
      </c>
      <c r="BK1249" s="3">
        <v>36.94834926993515</v>
      </c>
      <c r="BL1249" s="3">
        <v>44.521682603268502</v>
      </c>
      <c r="BM1249" s="3">
        <v>36.855015936601816</v>
      </c>
      <c r="BN1249" s="3">
        <v>34.438349269935159</v>
      </c>
      <c r="BO1249" s="3">
        <v>34.505015936601822</v>
      </c>
      <c r="BP1249" s="3">
        <v>32.921682603268493</v>
      </c>
      <c r="BQ1249" s="3">
        <v>32.338349269935151</v>
      </c>
      <c r="BR1249" s="3">
        <v>31.565015936601824</v>
      </c>
      <c r="BS1249" s="3">
        <v>32.368349269935166</v>
      </c>
      <c r="BT1249" s="3">
        <v>30.765015936601827</v>
      </c>
      <c r="BU1249" s="3">
        <v>27.231682603268496</v>
      </c>
      <c r="BV1249" s="3">
        <v>25.148349269935167</v>
      </c>
      <c r="BW1249" s="3">
        <v>23.381682603268487</v>
      </c>
      <c r="BX1249" s="3">
        <v>25.1016826032685</v>
      </c>
      <c r="BY1249" s="3">
        <v>31.621682603268496</v>
      </c>
      <c r="BZ1249" s="3">
        <v>44.351682603268486</v>
      </c>
      <c r="CA1249" s="3">
        <v>47.051682603268489</v>
      </c>
      <c r="CB1249" s="3">
        <v>23.288349269935154</v>
      </c>
      <c r="CC1249" s="3">
        <v>11.301682603268489</v>
      </c>
      <c r="CD1249" s="3">
        <v>9.0083492699351595</v>
      </c>
      <c r="CE1249" s="3">
        <v>8.9016826032684904</v>
      </c>
      <c r="CF1249" s="3">
        <v>-0.88498406339817848</v>
      </c>
      <c r="CG1249" s="3">
        <v>-1.4183173967315099</v>
      </c>
      <c r="CH1249" s="3">
        <v>-2.4949840633981779</v>
      </c>
      <c r="CI1249" s="13">
        <f>[1]!dbasum(RecData[[#This Row],[20]:[2000]],RecData[[#Headers],[20]:[2000]])</f>
        <v>38.440936643519578</v>
      </c>
      <c r="CJ1249" s="14">
        <v>11015</v>
      </c>
      <c r="CK1249" s="15" t="s">
        <v>249</v>
      </c>
      <c r="CL1249" s="15">
        <f>RecData[[#This Row],[Start Time]]</f>
        <v>43276.20416666667</v>
      </c>
      <c r="CM1249" s="16">
        <f>RecData[[#This Row],[Wind Speed avg]]</f>
        <v>0.77</v>
      </c>
      <c r="CN1249" s="16">
        <f>RecData[[#This Row],[Wind Dir. avg]]</f>
        <v>172.5</v>
      </c>
      <c r="CO1249" s="16">
        <f>RecData[[#This Row],[Amb. Humidity]]</f>
        <v>64</v>
      </c>
      <c r="CP1249" s="16">
        <f>RecData[[#This Row],[Amb. Temperature]]</f>
        <v>8.1999999999999993</v>
      </c>
      <c r="CQ1249" s="17">
        <f>RecData[[#This Row],[Amb. Rain Gauge]]</f>
        <v>0</v>
      </c>
      <c r="CR1249" s="4" t="s">
        <v>1</v>
      </c>
      <c r="CS1249" s="4" t="s">
        <v>49</v>
      </c>
      <c r="CT1249" s="70">
        <v>1509.85375976562</v>
      </c>
      <c r="CU1249" s="70">
        <v>52.000442504882798</v>
      </c>
      <c r="CV1249" s="70">
        <v>11.2534484863281</v>
      </c>
      <c r="CW1249" s="70">
        <v>15.1510915756225</v>
      </c>
      <c r="CX1249" s="4"/>
      <c r="CY1249" s="69"/>
      <c r="CZ1249" s="2" t="b">
        <f>IF($DP$1="YES",IF(RecData[[#This Row],[Power (kW)]]&gt;=$CR$3, TRUE,FALSE),TRUE)</f>
        <v>1</v>
      </c>
      <c r="DA1249" s="16">
        <f>MIN(MOD(180-ABS(ABS($DA$1-RecData[Yaw Angle (°)])-180),360),MOD(180-ABS(ABS($DB$1-RecData[Yaw Angle (°)])-180),360))</f>
        <v>44.470515727195249</v>
      </c>
      <c r="DB1249" s="2" t="str">
        <f>IF($DP$2="None","None",IF(RecData[[#This Row],[Relative Wind Direction]]&lt;=45,"DW",IF(RecData[[#This Row],[Relative Wind Direction]]&lt;=135,"CW","UW")))</f>
        <v>DW</v>
      </c>
      <c r="DC1249" s="61">
        <f>IF($CL1249-$CL1245&gt;1/24,#REF!,IF(SUM($CQ1245:$CQ1249)&gt;$DS$1,$DS$5,DC1250-1))</f>
        <v>-3</v>
      </c>
      <c r="DD1249" s="61">
        <f>IF($CL1250-$CL1249&gt;1/24,#REF!,IF(SUM($CQ1245:$CQ1249)&gt;$DS$1,$DS$6,DD1248-1))</f>
        <v>-8</v>
      </c>
      <c r="DE1249" s="18" t="b">
        <v>0</v>
      </c>
      <c r="DF1249" s="2" t="b">
        <f>IF(OR(RecData[[#This Row],[WSpd_Avg '[m/s']]]-RecData[[#This Row],[Wind Speed min]]&gt;=$DF$3,RecData[[#This Row],[Wind Speed max]]-RecData[[#This Row],[WSpd_Avg '[m/s']]]&gt;=$DF$2),TRUE,FALSE)</f>
        <v>0</v>
      </c>
      <c r="DG1249" s="2" t="b">
        <f>RecData[[#This Row],[Temperature '[°C']]]&lt;=-20</f>
        <v>0</v>
      </c>
      <c r="DH1249" s="18" t="b">
        <f>NOT(OR(MOD(RecData[[#This Row],[TIMESTAMP]],1)&gt;0.91632,MOD(RecData[[#This Row],[TIMESTAMP]],1)&lt;0.208681))</f>
        <v>0</v>
      </c>
      <c r="DI1249" s="18" t="b">
        <f>RecData[[#This Row],[Overall (dBA)]]-RecData[[#This Row],[L90]]&gt;=$DS$4</f>
        <v>0</v>
      </c>
      <c r="DJ1249" s="18" t="b">
        <f>RecData[[#This Row],[Overall (dBA)]]&gt;$DS$2</f>
        <v>0</v>
      </c>
      <c r="DK1249" s="18" t="b">
        <f>RecData[[#This Row],[Overall (dBA)]]&lt;$DS$3</f>
        <v>0</v>
      </c>
      <c r="DL124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49" s="2">
        <f>IF(AND(RecData[[#This Row],[Turbines ON/OFF]] = "OFF", NOT(OR(RecData[[#This Row],[Junk?]]="YES",RecData[[#This Row],[Gust?]],RecData[[#This Row],[Rain?]:[Min SPL Threshold?]]))),1,0)</f>
        <v>0</v>
      </c>
      <c r="DN1249" s="16">
        <f>RecData[[#This Row],[dBA Sum]]</f>
        <v>38.440936643519578</v>
      </c>
      <c r="DO1249" s="16">
        <f>RecData[[#This Row],[LAF90.0]]</f>
        <v>37.9</v>
      </c>
      <c r="DP1249" s="55">
        <f>IF(AND(RecData[[#This Row],[Useable TON Data?]],RecData[[#This Row],[Turbines ON/OFF]]="ON"),RecData[[#This Row],[dBA Sum]],"")</f>
        <v>38.440936643519578</v>
      </c>
      <c r="DQ1249" s="55" t="str">
        <f>IF(AND(RecData[[#This Row],[Useable Background Data?]],RecData[[#This Row],[Turbines ON/OFF]]="OFF"),RecData[[#This Row],[dBA Sum]],"")</f>
        <v/>
      </c>
      <c r="DR1249" s="3">
        <f>IF(OR(RecData[[#This Row],[Useable TON Data?]],RecData[[#This Row],[Useable Background Data?]]),ROUND(RecData[[#This Row],[WSpd_Avg '[m/s']]],0),"")</f>
        <v>1</v>
      </c>
      <c r="DS1249" s="85">
        <f>(0.00002)^2*(10^(RecData[[#This Row],[Overall (dBA)]]/10))</f>
        <v>2.7935320327909096E-6</v>
      </c>
    </row>
    <row r="1250" spans="1:123" ht="15" x14ac:dyDescent="0.25">
      <c r="A1250" s="3" t="s">
        <v>249</v>
      </c>
      <c r="B1250" s="12">
        <v>43276.204861111117</v>
      </c>
      <c r="C1250" s="3"/>
      <c r="D1250" s="3">
        <v>47.7</v>
      </c>
      <c r="E1250" s="3"/>
      <c r="F1250" s="3"/>
      <c r="G1250" s="3"/>
      <c r="H1250" s="3"/>
      <c r="I1250" s="3"/>
      <c r="J1250" s="3"/>
      <c r="K1250" s="3">
        <v>37.6</v>
      </c>
      <c r="L1250" s="3"/>
      <c r="M1250" s="3"/>
      <c r="N1250" s="3">
        <v>140.69999999999999</v>
      </c>
      <c r="O1250" s="3"/>
      <c r="P1250" s="3"/>
      <c r="Q1250" s="3">
        <v>0.34</v>
      </c>
      <c r="R1250" s="3">
        <v>0</v>
      </c>
      <c r="S1250" s="3">
        <v>1</v>
      </c>
      <c r="T1250" s="3">
        <v>8.1999999999999993</v>
      </c>
      <c r="U1250" s="3">
        <v>64.400000000000006</v>
      </c>
      <c r="V1250" s="3">
        <v>979</v>
      </c>
      <c r="W1250" s="3">
        <v>0</v>
      </c>
      <c r="X1250" s="3">
        <v>41.9</v>
      </c>
      <c r="Y1250" s="3">
        <v>41.1</v>
      </c>
      <c r="Z1250" s="3">
        <v>39.9</v>
      </c>
      <c r="AA1250" s="3">
        <v>36.799999999999997</v>
      </c>
      <c r="AB1250" s="3">
        <v>31.2</v>
      </c>
      <c r="AC1250" s="3">
        <v>31.2</v>
      </c>
      <c r="AD1250" s="3">
        <v>34.799999999999997</v>
      </c>
      <c r="AE1250" s="3">
        <v>36.4</v>
      </c>
      <c r="AF1250" s="3">
        <v>45.4</v>
      </c>
      <c r="AG1250" s="3">
        <v>37.299999999999997</v>
      </c>
      <c r="AH1250" s="3">
        <v>33.700000000000003</v>
      </c>
      <c r="AI1250" s="3">
        <v>34.700000000000003</v>
      </c>
      <c r="AJ1250" s="3">
        <v>33.200000000000003</v>
      </c>
      <c r="AK1250" s="3">
        <v>32.4</v>
      </c>
      <c r="AL1250" s="3">
        <v>31</v>
      </c>
      <c r="AM1250" s="3">
        <v>31.7</v>
      </c>
      <c r="AN1250" s="3">
        <v>30</v>
      </c>
      <c r="AO1250" s="3">
        <v>26.4</v>
      </c>
      <c r="AP1250" s="3">
        <v>24.8</v>
      </c>
      <c r="AQ1250" s="3">
        <v>22.2</v>
      </c>
      <c r="AR1250" s="3">
        <v>28</v>
      </c>
      <c r="AS1250" s="3">
        <v>39.9</v>
      </c>
      <c r="AT1250" s="3">
        <v>40.4</v>
      </c>
      <c r="AU1250" s="3">
        <v>43</v>
      </c>
      <c r="AV1250" s="3">
        <v>20.399999999999999</v>
      </c>
      <c r="AW1250" s="3">
        <v>10.1</v>
      </c>
      <c r="AX1250" s="3">
        <v>9.5</v>
      </c>
      <c r="AY1250" s="3">
        <v>9.6999999999999993</v>
      </c>
      <c r="AZ1250" s="3">
        <v>0</v>
      </c>
      <c r="BA1250" s="3">
        <v>0</v>
      </c>
      <c r="BB1250" s="3">
        <v>0</v>
      </c>
      <c r="BC1250" s="3">
        <v>47.748986023144901</v>
      </c>
      <c r="BD1250" s="3">
        <v>41.851013976855093</v>
      </c>
      <c r="BE1250" s="3">
        <v>41.05101397685511</v>
      </c>
      <c r="BF1250" s="3">
        <v>38.611013976855098</v>
      </c>
      <c r="BG1250" s="3">
        <v>35.837680643521772</v>
      </c>
      <c r="BH1250" s="3">
        <v>30.377680643521764</v>
      </c>
      <c r="BI1250" s="3">
        <v>30.791013976855105</v>
      </c>
      <c r="BJ1250" s="3">
        <v>35.184347310188436</v>
      </c>
      <c r="BK1250" s="3">
        <v>36.657680643521765</v>
      </c>
      <c r="BL1250" s="3">
        <v>45.231013976855102</v>
      </c>
      <c r="BM1250" s="3">
        <v>37.264347310188434</v>
      </c>
      <c r="BN1250" s="3">
        <v>33.947680643521771</v>
      </c>
      <c r="BO1250" s="3">
        <v>34.314347310188431</v>
      </c>
      <c r="BP1250" s="3">
        <v>32.5310139768551</v>
      </c>
      <c r="BQ1250" s="3">
        <v>32.14768064352176</v>
      </c>
      <c r="BR1250" s="3">
        <v>31.074347310188436</v>
      </c>
      <c r="BS1250" s="3">
        <v>31.577680643521767</v>
      </c>
      <c r="BT1250" s="3">
        <v>30.074347310188436</v>
      </c>
      <c r="BU1250" s="3">
        <v>26.441013976855096</v>
      </c>
      <c r="BV1250" s="3">
        <v>24.55768064352177</v>
      </c>
      <c r="BW1250" s="3">
        <v>22.491013976855108</v>
      </c>
      <c r="BX1250" s="3">
        <v>28.211013976855106</v>
      </c>
      <c r="BY1250" s="3">
        <v>39.931013976855105</v>
      </c>
      <c r="BZ1250" s="3">
        <v>40.561013976855101</v>
      </c>
      <c r="CA1250" s="3">
        <v>43.261013976855089</v>
      </c>
      <c r="CB1250" s="3">
        <v>20.097680643521763</v>
      </c>
      <c r="CC1250" s="3">
        <v>10.011013976855104</v>
      </c>
      <c r="CD1250" s="3">
        <v>8.7176806435217742</v>
      </c>
      <c r="CE1250" s="3">
        <v>9.111013976855098</v>
      </c>
      <c r="CF1250" s="3">
        <v>-0.97565268981156805</v>
      </c>
      <c r="CG1250" s="3">
        <v>-1.5089860231448995</v>
      </c>
      <c r="CH1250" s="3">
        <v>-2.5856526898115675</v>
      </c>
      <c r="CI1250" s="13">
        <f>[1]!dbasum(RecData[[#This Row],[20]:[2000]],RecData[[#Headers],[20]:[2000]])</f>
        <v>38.374374360204037</v>
      </c>
      <c r="CJ1250" s="14">
        <v>11016</v>
      </c>
      <c r="CK1250" s="15" t="s">
        <v>249</v>
      </c>
      <c r="CL1250" s="15">
        <f>RecData[[#This Row],[Start Time]]</f>
        <v>43276.204861111117</v>
      </c>
      <c r="CM1250" s="16">
        <f>RecData[[#This Row],[Wind Speed avg]]</f>
        <v>0.34</v>
      </c>
      <c r="CN1250" s="16">
        <f>RecData[[#This Row],[Wind Dir. avg]]</f>
        <v>140.69999999999999</v>
      </c>
      <c r="CO1250" s="16">
        <f>RecData[[#This Row],[Amb. Humidity]]</f>
        <v>64.400000000000006</v>
      </c>
      <c r="CP1250" s="16">
        <f>RecData[[#This Row],[Amb. Temperature]]</f>
        <v>8.1999999999999993</v>
      </c>
      <c r="CQ1250" s="17">
        <f>RecData[[#This Row],[Amb. Rain Gauge]]</f>
        <v>0</v>
      </c>
      <c r="CR1250" s="4" t="s">
        <v>1</v>
      </c>
      <c r="CS1250" s="4" t="s">
        <v>49</v>
      </c>
      <c r="CT1250" s="70">
        <v>1509.85375976562</v>
      </c>
      <c r="CU1250" s="70">
        <v>52.000442504882798</v>
      </c>
      <c r="CV1250" s="70">
        <v>11.2534484863281</v>
      </c>
      <c r="CW1250" s="70">
        <v>15.1510915756225</v>
      </c>
      <c r="CX1250" s="4"/>
      <c r="CY1250" s="69"/>
      <c r="CZ1250" s="2" t="b">
        <f>IF($DP$1="YES",IF(RecData[[#This Row],[Power (kW)]]&gt;=$CR$3, TRUE,FALSE),TRUE)</f>
        <v>1</v>
      </c>
      <c r="DA1250" s="16">
        <f>MIN(MOD(180-ABS(ABS($DA$1-RecData[Yaw Angle (°)])-180),360),MOD(180-ABS(ABS($DB$1-RecData[Yaw Angle (°)])-180),360))</f>
        <v>44.470515727195249</v>
      </c>
      <c r="DB1250" s="2" t="str">
        <f>IF($DP$2="None","None",IF(RecData[[#This Row],[Relative Wind Direction]]&lt;=45,"DW",IF(RecData[[#This Row],[Relative Wind Direction]]&lt;=135,"CW","UW")))</f>
        <v>DW</v>
      </c>
      <c r="DC1250" s="61">
        <f>IF($CL1250-$CL1246&gt;1/24,#REF!,IF(SUM($CQ1246:$CQ1250)&gt;$DS$1,$DS$5,DC1251-1))</f>
        <v>-2</v>
      </c>
      <c r="DD1250" s="61">
        <f>IF($CL1251-$CL1250&gt;1/24,#REF!,IF(SUM($CQ1246:$CQ1250)&gt;$DS$1,$DS$6,DD1249-1))</f>
        <v>-9</v>
      </c>
      <c r="DE1250" s="18" t="b">
        <v>0</v>
      </c>
      <c r="DF1250" s="2" t="b">
        <f>IF(OR(RecData[[#This Row],[WSpd_Avg '[m/s']]]-RecData[[#This Row],[Wind Speed min]]&gt;=$DF$3,RecData[[#This Row],[Wind Speed max]]-RecData[[#This Row],[WSpd_Avg '[m/s']]]&gt;=$DF$2),TRUE,FALSE)</f>
        <v>0</v>
      </c>
      <c r="DG1250" s="2" t="b">
        <f>RecData[[#This Row],[Temperature '[°C']]]&lt;=-20</f>
        <v>0</v>
      </c>
      <c r="DH1250" s="18" t="b">
        <f>NOT(OR(MOD(RecData[[#This Row],[TIMESTAMP]],1)&gt;0.91632,MOD(RecData[[#This Row],[TIMESTAMP]],1)&lt;0.208681))</f>
        <v>0</v>
      </c>
      <c r="DI1250" s="18" t="b">
        <f>RecData[[#This Row],[Overall (dBA)]]-RecData[[#This Row],[L90]]&gt;=$DS$4</f>
        <v>0</v>
      </c>
      <c r="DJ1250" s="18" t="b">
        <f>RecData[[#This Row],[Overall (dBA)]]&gt;$DS$2</f>
        <v>0</v>
      </c>
      <c r="DK1250" s="18" t="b">
        <f>RecData[[#This Row],[Overall (dBA)]]&lt;$DS$3</f>
        <v>0</v>
      </c>
      <c r="DL125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0" s="2">
        <f>IF(AND(RecData[[#This Row],[Turbines ON/OFF]] = "OFF", NOT(OR(RecData[[#This Row],[Junk?]]="YES",RecData[[#This Row],[Gust?]],RecData[[#This Row],[Rain?]:[Min SPL Threshold?]]))),1,0)</f>
        <v>0</v>
      </c>
      <c r="DN1250" s="16">
        <f>RecData[[#This Row],[dBA Sum]]</f>
        <v>38.374374360204037</v>
      </c>
      <c r="DO1250" s="16">
        <f>RecData[[#This Row],[LAF90.0]]</f>
        <v>37.6</v>
      </c>
      <c r="DP1250" s="55">
        <f>IF(AND(RecData[[#This Row],[Useable TON Data?]],RecData[[#This Row],[Turbines ON/OFF]]="ON"),RecData[[#This Row],[dBA Sum]],"")</f>
        <v>38.374374360204037</v>
      </c>
      <c r="DQ1250" s="55" t="str">
        <f>IF(AND(RecData[[#This Row],[Useable Background Data?]],RecData[[#This Row],[Turbines ON/OFF]]="OFF"),RecData[[#This Row],[dBA Sum]],"")</f>
        <v/>
      </c>
      <c r="DR1250" s="3">
        <f>IF(OR(RecData[[#This Row],[Useable TON Data?]],RecData[[#This Row],[Useable Background Data?]]),ROUND(RecData[[#This Row],[WSpd_Avg '[m/s']]],0),"")</f>
        <v>0</v>
      </c>
      <c r="DS1250" s="85">
        <f>(0.00002)^2*(10^(RecData[[#This Row],[Overall (dBA)]]/10))</f>
        <v>2.7510433084512212E-6</v>
      </c>
    </row>
    <row r="1251" spans="1:123" ht="15" x14ac:dyDescent="0.25">
      <c r="A1251" s="3" t="s">
        <v>249</v>
      </c>
      <c r="B1251" s="12">
        <v>43276.205555555563</v>
      </c>
      <c r="C1251" s="3"/>
      <c r="D1251" s="3">
        <v>47.5</v>
      </c>
      <c r="E1251" s="3"/>
      <c r="F1251" s="3"/>
      <c r="G1251" s="3"/>
      <c r="H1251" s="3"/>
      <c r="I1251" s="3"/>
      <c r="J1251" s="3"/>
      <c r="K1251" s="3">
        <v>38.6</v>
      </c>
      <c r="L1251" s="3"/>
      <c r="M1251" s="3"/>
      <c r="N1251" s="3">
        <v>132</v>
      </c>
      <c r="O1251" s="3"/>
      <c r="P1251" s="3"/>
      <c r="Q1251" s="3">
        <v>1.39</v>
      </c>
      <c r="R1251" s="3">
        <v>0.1</v>
      </c>
      <c r="S1251" s="3">
        <v>2.8</v>
      </c>
      <c r="T1251" s="3">
        <v>8.1999999999999993</v>
      </c>
      <c r="U1251" s="3">
        <v>63.8</v>
      </c>
      <c r="V1251" s="3">
        <v>979</v>
      </c>
      <c r="W1251" s="3">
        <v>0</v>
      </c>
      <c r="X1251" s="3">
        <v>42</v>
      </c>
      <c r="Y1251" s="3">
        <v>42</v>
      </c>
      <c r="Z1251" s="3">
        <v>40.200000000000003</v>
      </c>
      <c r="AA1251" s="3">
        <v>36.700000000000003</v>
      </c>
      <c r="AB1251" s="3">
        <v>31.9</v>
      </c>
      <c r="AC1251" s="3">
        <v>32.799999999999997</v>
      </c>
      <c r="AD1251" s="3">
        <v>35.9</v>
      </c>
      <c r="AE1251" s="3">
        <v>37.200000000000003</v>
      </c>
      <c r="AF1251" s="3">
        <v>44.8</v>
      </c>
      <c r="AG1251" s="3">
        <v>37</v>
      </c>
      <c r="AH1251" s="3">
        <v>34.5</v>
      </c>
      <c r="AI1251" s="3">
        <v>34.700000000000003</v>
      </c>
      <c r="AJ1251" s="3">
        <v>33.700000000000003</v>
      </c>
      <c r="AK1251" s="3">
        <v>32.6</v>
      </c>
      <c r="AL1251" s="3">
        <v>31.3</v>
      </c>
      <c r="AM1251" s="3">
        <v>32.200000000000003</v>
      </c>
      <c r="AN1251" s="3">
        <v>30.4</v>
      </c>
      <c r="AO1251" s="3">
        <v>26.8</v>
      </c>
      <c r="AP1251" s="3">
        <v>24.9</v>
      </c>
      <c r="AQ1251" s="3">
        <v>22.9</v>
      </c>
      <c r="AR1251" s="3">
        <v>31.5</v>
      </c>
      <c r="AS1251" s="3">
        <v>42.1</v>
      </c>
      <c r="AT1251" s="3">
        <v>39.9</v>
      </c>
      <c r="AU1251" s="3">
        <v>40.4</v>
      </c>
      <c r="AV1251" s="3">
        <v>20.7</v>
      </c>
      <c r="AW1251" s="3">
        <v>15.3</v>
      </c>
      <c r="AX1251" s="3">
        <v>12.2</v>
      </c>
      <c r="AY1251" s="3">
        <v>11.4</v>
      </c>
      <c r="AZ1251" s="3">
        <v>0</v>
      </c>
      <c r="BA1251" s="3">
        <v>0</v>
      </c>
      <c r="BB1251" s="3">
        <v>0</v>
      </c>
      <c r="BC1251" s="3">
        <v>47.544175211606685</v>
      </c>
      <c r="BD1251" s="3">
        <v>41.955824788393315</v>
      </c>
      <c r="BE1251" s="3">
        <v>41.955824788393315</v>
      </c>
      <c r="BF1251" s="3">
        <v>38.915824788393323</v>
      </c>
      <c r="BG1251" s="3">
        <v>35.742491455059977</v>
      </c>
      <c r="BH1251" s="3">
        <v>31.08249145505998</v>
      </c>
      <c r="BI1251" s="3">
        <v>32.395824788393313</v>
      </c>
      <c r="BJ1251" s="3">
        <v>36.289158121726643</v>
      </c>
      <c r="BK1251" s="3">
        <v>37.462491455059975</v>
      </c>
      <c r="BL1251" s="3">
        <v>44.635824788393322</v>
      </c>
      <c r="BM1251" s="3">
        <v>36.96915812172665</v>
      </c>
      <c r="BN1251" s="3">
        <v>34.752491455059982</v>
      </c>
      <c r="BO1251" s="3">
        <v>34.319158121726659</v>
      </c>
      <c r="BP1251" s="3">
        <v>33.035824788393327</v>
      </c>
      <c r="BQ1251" s="3">
        <v>32.352491455059976</v>
      </c>
      <c r="BR1251" s="3">
        <v>31.379158121726647</v>
      </c>
      <c r="BS1251" s="3">
        <v>32.08249145505998</v>
      </c>
      <c r="BT1251" s="3">
        <v>30.479158121726655</v>
      </c>
      <c r="BU1251" s="3">
        <v>26.845824788393315</v>
      </c>
      <c r="BV1251" s="3">
        <v>24.662491455059978</v>
      </c>
      <c r="BW1251" s="3">
        <v>23.195824788393324</v>
      </c>
      <c r="BX1251" s="3">
        <v>31.71582478839332</v>
      </c>
      <c r="BY1251" s="3">
        <v>42.135824788393322</v>
      </c>
      <c r="BZ1251" s="3">
        <v>40.065824788393314</v>
      </c>
      <c r="CA1251" s="3">
        <v>40.665824788393309</v>
      </c>
      <c r="CB1251" s="3">
        <v>20.402491455059973</v>
      </c>
      <c r="CC1251" s="3">
        <v>15.215824788393313</v>
      </c>
      <c r="CD1251" s="3">
        <v>11.422491455059983</v>
      </c>
      <c r="CE1251" s="3">
        <v>10.815824788393314</v>
      </c>
      <c r="CF1251" s="3">
        <v>-0.97084187827335455</v>
      </c>
      <c r="CG1251" s="3">
        <v>-1.504175211606686</v>
      </c>
      <c r="CH1251" s="3">
        <v>-2.580841878273354</v>
      </c>
      <c r="CI1251" s="13">
        <f>[1]!dbasum(RecData[[#This Row],[20]:[2000]],RecData[[#Headers],[20]:[2000]])</f>
        <v>39.194584831866635</v>
      </c>
      <c r="CJ1251" s="14">
        <v>11017</v>
      </c>
      <c r="CK1251" s="15" t="s">
        <v>249</v>
      </c>
      <c r="CL1251" s="15">
        <f>RecData[[#This Row],[Start Time]]</f>
        <v>43276.205555555563</v>
      </c>
      <c r="CM1251" s="16">
        <f>RecData[[#This Row],[Wind Speed avg]]</f>
        <v>1.39</v>
      </c>
      <c r="CN1251" s="16">
        <f>RecData[[#This Row],[Wind Dir. avg]]</f>
        <v>132</v>
      </c>
      <c r="CO1251" s="16">
        <f>RecData[[#This Row],[Amb. Humidity]]</f>
        <v>63.8</v>
      </c>
      <c r="CP1251" s="16">
        <f>RecData[[#This Row],[Amb. Temperature]]</f>
        <v>8.1999999999999993</v>
      </c>
      <c r="CQ1251" s="17">
        <f>RecData[[#This Row],[Amb. Rain Gauge]]</f>
        <v>0</v>
      </c>
      <c r="CR1251" s="4" t="s">
        <v>1</v>
      </c>
      <c r="CS1251" s="4" t="s">
        <v>49</v>
      </c>
      <c r="CT1251" s="70">
        <v>1509.85375976562</v>
      </c>
      <c r="CU1251" s="70">
        <v>52.000442504882798</v>
      </c>
      <c r="CV1251" s="70">
        <v>11.2534484863281</v>
      </c>
      <c r="CW1251" s="70">
        <v>15.1510915756225</v>
      </c>
      <c r="CX1251" s="4"/>
      <c r="CY1251" s="69"/>
      <c r="CZ1251" s="2" t="b">
        <f>IF($DP$1="YES",IF(RecData[[#This Row],[Power (kW)]]&gt;=$CR$3, TRUE,FALSE),TRUE)</f>
        <v>1</v>
      </c>
      <c r="DA1251" s="16">
        <f>MIN(MOD(180-ABS(ABS($DA$1-RecData[Yaw Angle (°)])-180),360),MOD(180-ABS(ABS($DB$1-RecData[Yaw Angle (°)])-180),360))</f>
        <v>44.470515727195249</v>
      </c>
      <c r="DB1251" s="2" t="str">
        <f>IF($DP$2="None","None",IF(RecData[[#This Row],[Relative Wind Direction]]&lt;=45,"DW",IF(RecData[[#This Row],[Relative Wind Direction]]&lt;=135,"CW","UW")))</f>
        <v>DW</v>
      </c>
      <c r="DC1251" s="61">
        <v>-1</v>
      </c>
      <c r="DD1251" s="61">
        <v>-1</v>
      </c>
      <c r="DE1251" s="18" t="b">
        <v>0</v>
      </c>
      <c r="DF1251" s="2" t="b">
        <f>IF(OR(RecData[[#This Row],[WSpd_Avg '[m/s']]]-RecData[[#This Row],[Wind Speed min]]&gt;=$DF$3,RecData[[#This Row],[Wind Speed max]]-RecData[[#This Row],[WSpd_Avg '[m/s']]]&gt;=$DF$2),TRUE,FALSE)</f>
        <v>0</v>
      </c>
      <c r="DG1251" s="2" t="b">
        <f>RecData[[#This Row],[Temperature '[°C']]]&lt;=-20</f>
        <v>0</v>
      </c>
      <c r="DH1251" s="18" t="b">
        <f>NOT(OR(MOD(RecData[[#This Row],[TIMESTAMP]],1)&gt;0.91632,MOD(RecData[[#This Row],[TIMESTAMP]],1)&lt;0.208681))</f>
        <v>0</v>
      </c>
      <c r="DI1251" s="18" t="b">
        <f>RecData[[#This Row],[Overall (dBA)]]-RecData[[#This Row],[L90]]&gt;=$DS$4</f>
        <v>0</v>
      </c>
      <c r="DJ1251" s="18" t="b">
        <f>RecData[[#This Row],[Overall (dBA)]]&gt;$DS$2</f>
        <v>0</v>
      </c>
      <c r="DK1251" s="18" t="b">
        <f>RecData[[#This Row],[Overall (dBA)]]&lt;$DS$3</f>
        <v>0</v>
      </c>
      <c r="DL125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1" s="2">
        <f>IF(AND(RecData[[#This Row],[Turbines ON/OFF]] = "OFF", NOT(OR(RecData[[#This Row],[Junk?]]="YES",RecData[[#This Row],[Gust?]],RecData[[#This Row],[Rain?]:[Min SPL Threshold?]]))),1,0)</f>
        <v>0</v>
      </c>
      <c r="DN1251" s="16">
        <f>RecData[[#This Row],[dBA Sum]]</f>
        <v>39.194584831866635</v>
      </c>
      <c r="DO1251" s="16">
        <f>RecData[[#This Row],[LAF90.0]]</f>
        <v>38.6</v>
      </c>
      <c r="DP1251" s="55">
        <f>IF(AND(RecData[[#This Row],[Useable TON Data?]],RecData[[#This Row],[Turbines ON/OFF]]="ON"),RecData[[#This Row],[dBA Sum]],"")</f>
        <v>39.194584831866635</v>
      </c>
      <c r="DQ1251" s="55" t="str">
        <f>IF(AND(RecData[[#This Row],[Useable Background Data?]],RecData[[#This Row],[Turbines ON/OFF]]="OFF"),RecData[[#This Row],[dBA Sum]],"")</f>
        <v/>
      </c>
      <c r="DR1251" s="3">
        <f>IF(OR(RecData[[#This Row],[Useable TON Data?]],RecData[[#This Row],[Useable Background Data?]]),ROUND(RecData[[#This Row],[WSpd_Avg '[m/s']]],0),"")</f>
        <v>1</v>
      </c>
      <c r="DS1251" s="85">
        <f>(0.00002)^2*(10^(RecData[[#This Row],[Overall (dBA)]]/10))</f>
        <v>3.3229092028106322E-6</v>
      </c>
    </row>
    <row r="1252" spans="1:123" ht="15" x14ac:dyDescent="0.25">
      <c r="A1252" s="3" t="s">
        <v>249</v>
      </c>
      <c r="B1252" s="12">
        <v>43276.206250000003</v>
      </c>
      <c r="C1252" s="3"/>
      <c r="D1252" s="3">
        <v>49.7</v>
      </c>
      <c r="E1252" s="3"/>
      <c r="F1252" s="3"/>
      <c r="G1252" s="3"/>
      <c r="H1252" s="3"/>
      <c r="I1252" s="3"/>
      <c r="J1252" s="3"/>
      <c r="K1252" s="3">
        <v>39</v>
      </c>
      <c r="L1252" s="3"/>
      <c r="M1252" s="3"/>
      <c r="N1252" s="3">
        <v>171.4</v>
      </c>
      <c r="O1252" s="3"/>
      <c r="P1252" s="3"/>
      <c r="Q1252" s="3">
        <v>1.55</v>
      </c>
      <c r="R1252" s="3">
        <v>0.1</v>
      </c>
      <c r="S1252" s="3">
        <v>2.8</v>
      </c>
      <c r="T1252" s="3">
        <v>8.1999999999999993</v>
      </c>
      <c r="U1252" s="3">
        <v>62</v>
      </c>
      <c r="V1252" s="3">
        <v>979</v>
      </c>
      <c r="W1252" s="3">
        <v>0</v>
      </c>
      <c r="X1252" s="3">
        <v>41.5</v>
      </c>
      <c r="Y1252" s="3">
        <v>41.2</v>
      </c>
      <c r="Z1252" s="3">
        <v>39.5</v>
      </c>
      <c r="AA1252" s="3">
        <v>36</v>
      </c>
      <c r="AB1252" s="3">
        <v>31.5</v>
      </c>
      <c r="AC1252" s="3">
        <v>31.9</v>
      </c>
      <c r="AD1252" s="3">
        <v>35.6</v>
      </c>
      <c r="AE1252" s="3">
        <v>36.6</v>
      </c>
      <c r="AF1252" s="3">
        <v>44.5</v>
      </c>
      <c r="AG1252" s="3">
        <v>37.4</v>
      </c>
      <c r="AH1252" s="3">
        <v>34.1</v>
      </c>
      <c r="AI1252" s="3">
        <v>34.799999999999997</v>
      </c>
      <c r="AJ1252" s="3">
        <v>33.299999999999997</v>
      </c>
      <c r="AK1252" s="3">
        <v>32.700000000000003</v>
      </c>
      <c r="AL1252" s="3">
        <v>31.3</v>
      </c>
      <c r="AM1252" s="3">
        <v>32</v>
      </c>
      <c r="AN1252" s="3">
        <v>30.3</v>
      </c>
      <c r="AO1252" s="3">
        <v>27.1</v>
      </c>
      <c r="AP1252" s="3">
        <v>25.3</v>
      </c>
      <c r="AQ1252" s="3">
        <v>23.9</v>
      </c>
      <c r="AR1252" s="3">
        <v>36.700000000000003</v>
      </c>
      <c r="AS1252" s="3">
        <v>45.3</v>
      </c>
      <c r="AT1252" s="3">
        <v>43.4</v>
      </c>
      <c r="AU1252" s="3">
        <v>36.4</v>
      </c>
      <c r="AV1252" s="3">
        <v>20.100000000000001</v>
      </c>
      <c r="AW1252" s="3">
        <v>16.3</v>
      </c>
      <c r="AX1252" s="3">
        <v>12.8</v>
      </c>
      <c r="AY1252" s="3">
        <v>12.5</v>
      </c>
      <c r="AZ1252" s="3">
        <v>0</v>
      </c>
      <c r="BA1252" s="3">
        <v>0</v>
      </c>
      <c r="BB1252" s="3">
        <v>0</v>
      </c>
      <c r="BC1252" s="3">
        <v>49.659409117519985</v>
      </c>
      <c r="BD1252" s="3">
        <v>41.540590882480018</v>
      </c>
      <c r="BE1252" s="3">
        <v>41.240590882480021</v>
      </c>
      <c r="BF1252" s="3">
        <v>38.300590882480023</v>
      </c>
      <c r="BG1252" s="3">
        <v>35.127257549146677</v>
      </c>
      <c r="BH1252" s="3">
        <v>30.767257549146692</v>
      </c>
      <c r="BI1252" s="3">
        <v>31.580590882480024</v>
      </c>
      <c r="BJ1252" s="3">
        <v>36.073924215813349</v>
      </c>
      <c r="BK1252" s="3">
        <v>36.947257549146684</v>
      </c>
      <c r="BL1252" s="3">
        <v>44.420590882480028</v>
      </c>
      <c r="BM1252" s="3">
        <v>37.453924215813359</v>
      </c>
      <c r="BN1252" s="3">
        <v>34.437257549146679</v>
      </c>
      <c r="BO1252" s="3">
        <v>34.503924215813342</v>
      </c>
      <c r="BP1252" s="3">
        <v>32.72059088248001</v>
      </c>
      <c r="BQ1252" s="3">
        <v>32.537257549146673</v>
      </c>
      <c r="BR1252" s="3">
        <v>31.46392421581335</v>
      </c>
      <c r="BS1252" s="3">
        <v>31.96725754914668</v>
      </c>
      <c r="BT1252" s="3">
        <v>30.46392421581335</v>
      </c>
      <c r="BU1252" s="3">
        <v>27.23059088248003</v>
      </c>
      <c r="BV1252" s="3">
        <v>25.147257549146687</v>
      </c>
      <c r="BW1252" s="3">
        <v>24.280590882480013</v>
      </c>
      <c r="BX1252" s="3">
        <v>37.000590882480026</v>
      </c>
      <c r="BY1252" s="3">
        <v>45.420590882480013</v>
      </c>
      <c r="BZ1252" s="3">
        <v>43.650590882480017</v>
      </c>
      <c r="CA1252" s="3">
        <v>36.750590882480012</v>
      </c>
      <c r="CB1252" s="3">
        <v>19.887257549146682</v>
      </c>
      <c r="CC1252" s="3">
        <v>16.300590882480023</v>
      </c>
      <c r="CD1252" s="3">
        <v>12.107257549146688</v>
      </c>
      <c r="CE1252" s="3">
        <v>12.000590882480019</v>
      </c>
      <c r="CF1252" s="3">
        <v>-0.88607578418665156</v>
      </c>
      <c r="CG1252" s="3">
        <v>-1.419409117519983</v>
      </c>
      <c r="CH1252" s="3">
        <v>-2.496075784186651</v>
      </c>
      <c r="CI1252" s="13">
        <f>[1]!dbasum(RecData[[#This Row],[20]:[2000]],RecData[[#Headers],[20]:[2000]])</f>
        <v>41.16394052144706</v>
      </c>
      <c r="CJ1252" s="14">
        <v>11018</v>
      </c>
      <c r="CK1252" s="15" t="s">
        <v>249</v>
      </c>
      <c r="CL1252" s="15">
        <f>RecData[[#This Row],[Start Time]]</f>
        <v>43276.206250000003</v>
      </c>
      <c r="CM1252" s="16">
        <f>RecData[[#This Row],[Wind Speed avg]]</f>
        <v>1.55</v>
      </c>
      <c r="CN1252" s="16">
        <f>RecData[[#This Row],[Wind Dir. avg]]</f>
        <v>171.4</v>
      </c>
      <c r="CO1252" s="16">
        <f>RecData[[#This Row],[Amb. Humidity]]</f>
        <v>62</v>
      </c>
      <c r="CP1252" s="16">
        <f>RecData[[#This Row],[Amb. Temperature]]</f>
        <v>8.1999999999999993</v>
      </c>
      <c r="CQ1252" s="17">
        <f>RecData[[#This Row],[Amb. Rain Gauge]]</f>
        <v>0</v>
      </c>
      <c r="CR1252" s="4" t="s">
        <v>1</v>
      </c>
      <c r="CS1252" s="4" t="s">
        <v>49</v>
      </c>
      <c r="CT1252" s="70">
        <v>1509.85375976562</v>
      </c>
      <c r="CU1252" s="70">
        <v>52.000442504882798</v>
      </c>
      <c r="CV1252" s="70">
        <v>11.2534484863281</v>
      </c>
      <c r="CW1252" s="70">
        <v>15.1510915756225</v>
      </c>
      <c r="CX1252" s="4"/>
      <c r="CY1252" s="69"/>
      <c r="CZ1252" s="2" t="b">
        <f>IF($DP$1="YES",IF(RecData[[#This Row],[Power (kW)]]&gt;=$CR$3, TRUE,FALSE),TRUE)</f>
        <v>1</v>
      </c>
      <c r="DA1252" s="16">
        <f>MIN(MOD(180-ABS(ABS($DA$1-RecData[Yaw Angle (°)])-180),360),MOD(180-ABS(ABS($DB$1-RecData[Yaw Angle (°)])-180),360))</f>
        <v>44.470515727195249</v>
      </c>
      <c r="DB1252" s="2" t="str">
        <f>IF($DP$2="None","None",IF(RecData[[#This Row],[Relative Wind Direction]]&lt;=45,"DW",IF(RecData[[#This Row],[Relative Wind Direction]]&lt;=135,"CW","UW")))</f>
        <v>DW</v>
      </c>
      <c r="DC1252" s="61" t="e">
        <f>IF($CL1252-$CL1251&gt;1/24,#REF!,IF(SUM($CQ1251:$CQ1252)&gt;$DS$1,$DS$5,DC1253-1))</f>
        <v>#REF!</v>
      </c>
      <c r="DD1252" s="61">
        <f>IF($CL1253-$CL1252&gt;1/24,#REF!,IF(SUM($CQ1251:$CQ1252)&gt;$DS$1,$DS$6,DD1251-1))</f>
        <v>-2</v>
      </c>
      <c r="DE1252" s="18" t="b">
        <v>0</v>
      </c>
      <c r="DF1252" s="2" t="b">
        <f>IF(OR(RecData[[#This Row],[WSpd_Avg '[m/s']]]-RecData[[#This Row],[Wind Speed min]]&gt;=$DF$3,RecData[[#This Row],[Wind Speed max]]-RecData[[#This Row],[WSpd_Avg '[m/s']]]&gt;=$DF$2),TRUE,FALSE)</f>
        <v>0</v>
      </c>
      <c r="DG1252" s="2" t="b">
        <f>RecData[[#This Row],[Temperature '[°C']]]&lt;=-20</f>
        <v>0</v>
      </c>
      <c r="DH1252" s="18" t="b">
        <f>NOT(OR(MOD(RecData[[#This Row],[TIMESTAMP]],1)&gt;0.91632,MOD(RecData[[#This Row],[TIMESTAMP]],1)&lt;0.208681))</f>
        <v>0</v>
      </c>
      <c r="DI1252" s="18" t="b">
        <f>RecData[[#This Row],[Overall (dBA)]]-RecData[[#This Row],[L90]]&gt;=$DS$4</f>
        <v>0</v>
      </c>
      <c r="DJ1252" s="18" t="b">
        <f>RecData[[#This Row],[Overall (dBA)]]&gt;$DS$2</f>
        <v>0</v>
      </c>
      <c r="DK1252" s="18" t="b">
        <f>RecData[[#This Row],[Overall (dBA)]]&lt;$DS$3</f>
        <v>0</v>
      </c>
      <c r="DL125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2" s="2">
        <f>IF(AND(RecData[[#This Row],[Turbines ON/OFF]] = "OFF", NOT(OR(RecData[[#This Row],[Junk?]]="YES",RecData[[#This Row],[Gust?]],RecData[[#This Row],[Rain?]:[Min SPL Threshold?]]))),1,0)</f>
        <v>0</v>
      </c>
      <c r="DN1252" s="16">
        <f>RecData[[#This Row],[dBA Sum]]</f>
        <v>41.16394052144706</v>
      </c>
      <c r="DO1252" s="16">
        <f>RecData[[#This Row],[LAF90.0]]</f>
        <v>39</v>
      </c>
      <c r="DP1252" s="55">
        <f>IF(AND(RecData[[#This Row],[Useable TON Data?]],RecData[[#This Row],[Turbines ON/OFF]]="ON"),RecData[[#This Row],[dBA Sum]],"")</f>
        <v>41.16394052144706</v>
      </c>
      <c r="DQ1252" s="55" t="str">
        <f>IF(AND(RecData[[#This Row],[Useable Background Data?]],RecData[[#This Row],[Turbines ON/OFF]]="OFF"),RecData[[#This Row],[dBA Sum]],"")</f>
        <v/>
      </c>
      <c r="DR1252" s="3">
        <f>IF(OR(RecData[[#This Row],[Useable TON Data?]],RecData[[#This Row],[Useable Background Data?]]),ROUND(RecData[[#This Row],[WSpd_Avg '[m/s']]],0),"")</f>
        <v>2</v>
      </c>
      <c r="DS1252" s="85">
        <f>(0.00002)^2*(10^(RecData[[#This Row],[Overall (dBA)]]/10))</f>
        <v>5.2294262608531691E-6</v>
      </c>
    </row>
    <row r="1253" spans="1:123" ht="15" x14ac:dyDescent="0.25">
      <c r="A1253" s="3" t="s">
        <v>249</v>
      </c>
      <c r="B1253" s="12">
        <v>43276.20694444445</v>
      </c>
      <c r="C1253" s="3"/>
      <c r="D1253" s="3">
        <v>50.5</v>
      </c>
      <c r="E1253" s="3"/>
      <c r="F1253" s="3"/>
      <c r="G1253" s="3"/>
      <c r="H1253" s="3"/>
      <c r="I1253" s="3"/>
      <c r="J1253" s="3"/>
      <c r="K1253" s="3">
        <v>38.799999999999997</v>
      </c>
      <c r="L1253" s="3"/>
      <c r="M1253" s="3"/>
      <c r="N1253" s="3">
        <v>169.9</v>
      </c>
      <c r="O1253" s="3"/>
      <c r="P1253" s="3"/>
      <c r="Q1253" s="3">
        <v>0.35</v>
      </c>
      <c r="R1253" s="3">
        <v>0</v>
      </c>
      <c r="S1253" s="3">
        <v>0.8</v>
      </c>
      <c r="T1253" s="3">
        <v>8.4</v>
      </c>
      <c r="U1253" s="3">
        <v>61.8</v>
      </c>
      <c r="V1253" s="3">
        <v>979</v>
      </c>
      <c r="W1253" s="3">
        <v>0</v>
      </c>
      <c r="X1253" s="3">
        <v>41.4</v>
      </c>
      <c r="Y1253" s="3">
        <v>40.799999999999997</v>
      </c>
      <c r="Z1253" s="3">
        <v>39.200000000000003</v>
      </c>
      <c r="AA1253" s="3">
        <v>36.1</v>
      </c>
      <c r="AB1253" s="3">
        <v>31.6</v>
      </c>
      <c r="AC1253" s="3">
        <v>32.1</v>
      </c>
      <c r="AD1253" s="3">
        <v>34.700000000000003</v>
      </c>
      <c r="AE1253" s="3">
        <v>35.9</v>
      </c>
      <c r="AF1253" s="3">
        <v>45.8</v>
      </c>
      <c r="AG1253" s="3">
        <v>37.9</v>
      </c>
      <c r="AH1253" s="3">
        <v>33.200000000000003</v>
      </c>
      <c r="AI1253" s="3">
        <v>34.799999999999997</v>
      </c>
      <c r="AJ1253" s="3">
        <v>33.1</v>
      </c>
      <c r="AK1253" s="3">
        <v>32.9</v>
      </c>
      <c r="AL1253" s="3">
        <v>31.5</v>
      </c>
      <c r="AM1253" s="3">
        <v>32</v>
      </c>
      <c r="AN1253" s="3">
        <v>30.2</v>
      </c>
      <c r="AO1253" s="3">
        <v>26.7</v>
      </c>
      <c r="AP1253" s="3">
        <v>25.1</v>
      </c>
      <c r="AQ1253" s="3">
        <v>23.4</v>
      </c>
      <c r="AR1253" s="3">
        <v>37.4</v>
      </c>
      <c r="AS1253" s="3">
        <v>46.4</v>
      </c>
      <c r="AT1253" s="3">
        <v>43.8</v>
      </c>
      <c r="AU1253" s="3">
        <v>38.4</v>
      </c>
      <c r="AV1253" s="3">
        <v>17.899999999999999</v>
      </c>
      <c r="AW1253" s="3">
        <v>12.7</v>
      </c>
      <c r="AX1253" s="3">
        <v>10.6</v>
      </c>
      <c r="AY1253" s="3">
        <v>11</v>
      </c>
      <c r="AZ1253" s="3">
        <v>0</v>
      </c>
      <c r="BA1253" s="3">
        <v>0</v>
      </c>
      <c r="BB1253" s="3">
        <v>0</v>
      </c>
      <c r="BC1253" s="3">
        <v>50.516791694977556</v>
      </c>
      <c r="BD1253" s="3">
        <v>41.38320830502245</v>
      </c>
      <c r="BE1253" s="3">
        <v>40.783208305022441</v>
      </c>
      <c r="BF1253" s="3">
        <v>37.943208305022452</v>
      </c>
      <c r="BG1253" s="3">
        <v>35.169874971689111</v>
      </c>
      <c r="BH1253" s="3">
        <v>30.809874971689112</v>
      </c>
      <c r="BI1253" s="3">
        <v>31.723208305022453</v>
      </c>
      <c r="BJ1253" s="3">
        <v>35.11654163835577</v>
      </c>
      <c r="BK1253" s="3">
        <v>36.189874971689107</v>
      </c>
      <c r="BL1253" s="3">
        <v>45.663208305022451</v>
      </c>
      <c r="BM1253" s="3">
        <v>37.896541638355771</v>
      </c>
      <c r="BN1253" s="3">
        <v>33.479874971689114</v>
      </c>
      <c r="BO1253" s="3">
        <v>34.446541638355782</v>
      </c>
      <c r="BP1253" s="3">
        <v>32.463208305022448</v>
      </c>
      <c r="BQ1253" s="3">
        <v>32.679874971689102</v>
      </c>
      <c r="BR1253" s="3">
        <v>31.606541638355779</v>
      </c>
      <c r="BS1253" s="3">
        <v>31.909874971689106</v>
      </c>
      <c r="BT1253" s="3">
        <v>30.306541638355782</v>
      </c>
      <c r="BU1253" s="3">
        <v>26.77320830502245</v>
      </c>
      <c r="BV1253" s="3">
        <v>24.88987497168911</v>
      </c>
      <c r="BW1253" s="3">
        <v>23.723208305022453</v>
      </c>
      <c r="BX1253" s="3">
        <v>37.643208305022441</v>
      </c>
      <c r="BY1253" s="3">
        <v>46.463208305022434</v>
      </c>
      <c r="BZ1253" s="3">
        <v>43.993208305022435</v>
      </c>
      <c r="CA1253" s="3">
        <v>38.693208305022438</v>
      </c>
      <c r="CB1253" s="3">
        <v>17.629874971689105</v>
      </c>
      <c r="CC1253" s="3">
        <v>12.643208305022441</v>
      </c>
      <c r="CD1253" s="3">
        <v>9.8498749716891183</v>
      </c>
      <c r="CE1253" s="3">
        <v>10.443208305022445</v>
      </c>
      <c r="CF1253" s="3">
        <v>-0.94345836164422536</v>
      </c>
      <c r="CG1253" s="3">
        <v>-1.4767916949775568</v>
      </c>
      <c r="CH1253" s="3">
        <v>-2.5534583616442248</v>
      </c>
      <c r="CI1253" s="13">
        <f>[1]!dbasum(RecData[[#This Row],[20]:[2000]],RecData[[#Headers],[20]:[2000]])</f>
        <v>41.513246469996801</v>
      </c>
      <c r="CJ1253" s="14">
        <v>11019</v>
      </c>
      <c r="CK1253" s="15" t="s">
        <v>249</v>
      </c>
      <c r="CL1253" s="15">
        <f>RecData[[#This Row],[Start Time]]</f>
        <v>43276.20694444445</v>
      </c>
      <c r="CM1253" s="16">
        <f>RecData[[#This Row],[Wind Speed avg]]</f>
        <v>0.35</v>
      </c>
      <c r="CN1253" s="16">
        <f>RecData[[#This Row],[Wind Dir. avg]]</f>
        <v>169.9</v>
      </c>
      <c r="CO1253" s="16">
        <f>RecData[[#This Row],[Amb. Humidity]]</f>
        <v>61.8</v>
      </c>
      <c r="CP1253" s="16">
        <f>RecData[[#This Row],[Amb. Temperature]]</f>
        <v>8.4</v>
      </c>
      <c r="CQ1253" s="17">
        <f>RecData[[#This Row],[Amb. Rain Gauge]]</f>
        <v>0</v>
      </c>
      <c r="CR1253" s="4" t="s">
        <v>1</v>
      </c>
      <c r="CS1253" s="4" t="s">
        <v>49</v>
      </c>
      <c r="CT1253" s="70">
        <v>1509.85375976562</v>
      </c>
      <c r="CU1253" s="70">
        <v>52.000442504882798</v>
      </c>
      <c r="CV1253" s="70">
        <v>11.2534484863281</v>
      </c>
      <c r="CW1253" s="70">
        <v>15.1510915756225</v>
      </c>
      <c r="CX1253" s="4"/>
      <c r="CY1253" s="69"/>
      <c r="CZ1253" s="2" t="b">
        <f>IF($DP$1="YES",IF(RecData[[#This Row],[Power (kW)]]&gt;=$CR$3, TRUE,FALSE),TRUE)</f>
        <v>1</v>
      </c>
      <c r="DA1253" s="16">
        <f>MIN(MOD(180-ABS(ABS($DA$1-RecData[Yaw Angle (°)])-180),360),MOD(180-ABS(ABS($DB$1-RecData[Yaw Angle (°)])-180),360))</f>
        <v>44.470515727195249</v>
      </c>
      <c r="DB1253" s="2" t="str">
        <f>IF($DP$2="None","None",IF(RecData[[#This Row],[Relative Wind Direction]]&lt;=45,"DW",IF(RecData[[#This Row],[Relative Wind Direction]]&lt;=135,"CW","UW")))</f>
        <v>DW</v>
      </c>
      <c r="DC1253" s="61" t="e">
        <f>IF($CL1253-$CL1251&gt;1/24,#REF!,IF(SUM($CQ1251:$CQ1253)&gt;$DS$1,$DS$5,DC1254-1))</f>
        <v>#REF!</v>
      </c>
      <c r="DD1253" s="61">
        <f>IF($CL1254-$CL1253&gt;1/24,#REF!,IF(SUM($CQ1251:$CQ1253)&gt;$DS$1,$DS$6,DD1252-1))</f>
        <v>-3</v>
      </c>
      <c r="DE1253" s="18" t="b">
        <v>0</v>
      </c>
      <c r="DF1253" s="2" t="b">
        <f>IF(OR(RecData[[#This Row],[WSpd_Avg '[m/s']]]-RecData[[#This Row],[Wind Speed min]]&gt;=$DF$3,RecData[[#This Row],[Wind Speed max]]-RecData[[#This Row],[WSpd_Avg '[m/s']]]&gt;=$DF$2),TRUE,FALSE)</f>
        <v>0</v>
      </c>
      <c r="DG1253" s="2" t="b">
        <f>RecData[[#This Row],[Temperature '[°C']]]&lt;=-20</f>
        <v>0</v>
      </c>
      <c r="DH1253" s="18" t="b">
        <f>NOT(OR(MOD(RecData[[#This Row],[TIMESTAMP]],1)&gt;0.91632,MOD(RecData[[#This Row],[TIMESTAMP]],1)&lt;0.208681))</f>
        <v>0</v>
      </c>
      <c r="DI1253" s="18" t="b">
        <f>RecData[[#This Row],[Overall (dBA)]]-RecData[[#This Row],[L90]]&gt;=$DS$4</f>
        <v>0</v>
      </c>
      <c r="DJ1253" s="18" t="b">
        <f>RecData[[#This Row],[Overall (dBA)]]&gt;$DS$2</f>
        <v>0</v>
      </c>
      <c r="DK1253" s="18" t="b">
        <f>RecData[[#This Row],[Overall (dBA)]]&lt;$DS$3</f>
        <v>0</v>
      </c>
      <c r="DL125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3" s="2">
        <f>IF(AND(RecData[[#This Row],[Turbines ON/OFF]] = "OFF", NOT(OR(RecData[[#This Row],[Junk?]]="YES",RecData[[#This Row],[Gust?]],RecData[[#This Row],[Rain?]:[Min SPL Threshold?]]))),1,0)</f>
        <v>0</v>
      </c>
      <c r="DN1253" s="16">
        <f>RecData[[#This Row],[dBA Sum]]</f>
        <v>41.513246469996801</v>
      </c>
      <c r="DO1253" s="16">
        <f>RecData[[#This Row],[LAF90.0]]</f>
        <v>38.799999999999997</v>
      </c>
      <c r="DP1253" s="55">
        <f>IF(AND(RecData[[#This Row],[Useable TON Data?]],RecData[[#This Row],[Turbines ON/OFF]]="ON"),RecData[[#This Row],[dBA Sum]],"")</f>
        <v>41.513246469996801</v>
      </c>
      <c r="DQ1253" s="55" t="str">
        <f>IF(AND(RecData[[#This Row],[Useable Background Data?]],RecData[[#This Row],[Turbines ON/OFF]]="OFF"),RecData[[#This Row],[dBA Sum]],"")</f>
        <v/>
      </c>
      <c r="DR1253" s="3">
        <f>IF(OR(RecData[[#This Row],[Useable TON Data?]],RecData[[#This Row],[Useable Background Data?]]),ROUND(RecData[[#This Row],[WSpd_Avg '[m/s']]],0),"")</f>
        <v>0</v>
      </c>
      <c r="DS1253" s="85">
        <f>(0.00002)^2*(10^(RecData[[#This Row],[Overall (dBA)]]/10))</f>
        <v>5.6674100807499844E-6</v>
      </c>
    </row>
    <row r="1254" spans="1:123" ht="15" x14ac:dyDescent="0.25">
      <c r="A1254" s="3" t="s">
        <v>249</v>
      </c>
      <c r="B1254" s="12">
        <v>43276.207638888896</v>
      </c>
      <c r="C1254" s="3"/>
      <c r="D1254" s="3">
        <v>52.7</v>
      </c>
      <c r="E1254" s="3"/>
      <c r="F1254" s="3"/>
      <c r="G1254" s="3"/>
      <c r="H1254" s="3"/>
      <c r="I1254" s="3"/>
      <c r="J1254" s="3"/>
      <c r="K1254" s="3">
        <v>38.299999999999997</v>
      </c>
      <c r="L1254" s="3"/>
      <c r="M1254" s="3"/>
      <c r="N1254" s="3">
        <v>207</v>
      </c>
      <c r="O1254" s="3"/>
      <c r="P1254" s="3"/>
      <c r="Q1254" s="3">
        <v>0.35</v>
      </c>
      <c r="R1254" s="3">
        <v>0.1</v>
      </c>
      <c r="S1254" s="3">
        <v>0.8</v>
      </c>
      <c r="T1254" s="3">
        <v>8.5</v>
      </c>
      <c r="U1254" s="3">
        <v>61.5</v>
      </c>
      <c r="V1254" s="3">
        <v>979</v>
      </c>
      <c r="W1254" s="3">
        <v>0</v>
      </c>
      <c r="X1254" s="3">
        <v>41.6</v>
      </c>
      <c r="Y1254" s="3">
        <v>41.4</v>
      </c>
      <c r="Z1254" s="3">
        <v>39.4</v>
      </c>
      <c r="AA1254" s="3">
        <v>35.9</v>
      </c>
      <c r="AB1254" s="3">
        <v>31.7</v>
      </c>
      <c r="AC1254" s="3">
        <v>32</v>
      </c>
      <c r="AD1254" s="3">
        <v>34.700000000000003</v>
      </c>
      <c r="AE1254" s="3">
        <v>36</v>
      </c>
      <c r="AF1254" s="3">
        <v>44.8</v>
      </c>
      <c r="AG1254" s="3">
        <v>37.200000000000003</v>
      </c>
      <c r="AH1254" s="3">
        <v>33.200000000000003</v>
      </c>
      <c r="AI1254" s="3">
        <v>34.299999999999997</v>
      </c>
      <c r="AJ1254" s="3">
        <v>32.799999999999997</v>
      </c>
      <c r="AK1254" s="3">
        <v>32.200000000000003</v>
      </c>
      <c r="AL1254" s="3">
        <v>30.9</v>
      </c>
      <c r="AM1254" s="3">
        <v>31.8</v>
      </c>
      <c r="AN1254" s="3">
        <v>30</v>
      </c>
      <c r="AO1254" s="3">
        <v>26.8</v>
      </c>
      <c r="AP1254" s="3">
        <v>25.3</v>
      </c>
      <c r="AQ1254" s="3">
        <v>24</v>
      </c>
      <c r="AR1254" s="3">
        <v>40.700000000000003</v>
      </c>
      <c r="AS1254" s="3">
        <v>49.5</v>
      </c>
      <c r="AT1254" s="3">
        <v>43.8</v>
      </c>
      <c r="AU1254" s="3">
        <v>41.4</v>
      </c>
      <c r="AV1254" s="3">
        <v>21</v>
      </c>
      <c r="AW1254" s="3">
        <v>11.8</v>
      </c>
      <c r="AX1254" s="3">
        <v>10.1</v>
      </c>
      <c r="AY1254" s="3">
        <v>11.6</v>
      </c>
      <c r="AZ1254" s="3">
        <v>0</v>
      </c>
      <c r="BA1254" s="3">
        <v>0</v>
      </c>
      <c r="BB1254" s="3">
        <v>0</v>
      </c>
      <c r="BC1254" s="3">
        <v>52.785421417378799</v>
      </c>
      <c r="BD1254" s="3">
        <v>41.514578582621212</v>
      </c>
      <c r="BE1254" s="3">
        <v>41.314578582621195</v>
      </c>
      <c r="BF1254" s="3">
        <v>38.0745785826212</v>
      </c>
      <c r="BG1254" s="3">
        <v>34.901245249287868</v>
      </c>
      <c r="BH1254" s="3">
        <v>30.841245249287866</v>
      </c>
      <c r="BI1254" s="3">
        <v>31.554578582621204</v>
      </c>
      <c r="BJ1254" s="3">
        <v>35.047911915954543</v>
      </c>
      <c r="BK1254" s="3">
        <v>36.221245249287861</v>
      </c>
      <c r="BL1254" s="3">
        <v>44.594578582621196</v>
      </c>
      <c r="BM1254" s="3">
        <v>37.127911915954542</v>
      </c>
      <c r="BN1254" s="3">
        <v>33.411245249287873</v>
      </c>
      <c r="BO1254" s="3">
        <v>33.877911915954527</v>
      </c>
      <c r="BP1254" s="3">
        <v>32.094578582621196</v>
      </c>
      <c r="BQ1254" s="3">
        <v>31.911245249287859</v>
      </c>
      <c r="BR1254" s="3">
        <v>30.93791191595453</v>
      </c>
      <c r="BS1254" s="3">
        <v>31.641245249287877</v>
      </c>
      <c r="BT1254" s="3">
        <v>30.037911915954538</v>
      </c>
      <c r="BU1254" s="3">
        <v>26.804578582621204</v>
      </c>
      <c r="BV1254" s="3">
        <v>25.021245249287873</v>
      </c>
      <c r="BW1254" s="3">
        <v>24.254578582621207</v>
      </c>
      <c r="BX1254" s="3">
        <v>40.874578582621211</v>
      </c>
      <c r="BY1254" s="3">
        <v>49.494578582621202</v>
      </c>
      <c r="BZ1254" s="3">
        <v>43.924578582621209</v>
      </c>
      <c r="CA1254" s="3">
        <v>41.624578582621197</v>
      </c>
      <c r="CB1254" s="3">
        <v>20.661245249287873</v>
      </c>
      <c r="CC1254" s="3">
        <v>11.674578582621209</v>
      </c>
      <c r="CD1254" s="3">
        <v>9.2812452492878776</v>
      </c>
      <c r="CE1254" s="3">
        <v>10.974578582621206</v>
      </c>
      <c r="CF1254" s="3">
        <v>-1.012088084045466</v>
      </c>
      <c r="CG1254" s="3">
        <v>-1.5454214173787975</v>
      </c>
      <c r="CH1254" s="3">
        <v>-2.6220880840454655</v>
      </c>
      <c r="CI1254" s="13">
        <f>[1]!dbasum(RecData[[#This Row],[20]:[2000]],RecData[[#Headers],[20]:[2000]])</f>
        <v>43.433381180018387</v>
      </c>
      <c r="CJ1254" s="14">
        <v>11020</v>
      </c>
      <c r="CK1254" s="15" t="s">
        <v>249</v>
      </c>
      <c r="CL1254" s="15">
        <f>RecData[[#This Row],[Start Time]]</f>
        <v>43276.207638888896</v>
      </c>
      <c r="CM1254" s="16">
        <f>RecData[[#This Row],[Wind Speed avg]]</f>
        <v>0.35</v>
      </c>
      <c r="CN1254" s="16">
        <f>RecData[[#This Row],[Wind Dir. avg]]</f>
        <v>207</v>
      </c>
      <c r="CO1254" s="16">
        <f>RecData[[#This Row],[Amb. Humidity]]</f>
        <v>61.5</v>
      </c>
      <c r="CP1254" s="16">
        <f>RecData[[#This Row],[Amb. Temperature]]</f>
        <v>8.5</v>
      </c>
      <c r="CQ1254" s="17">
        <f>RecData[[#This Row],[Amb. Rain Gauge]]</f>
        <v>0</v>
      </c>
      <c r="CR1254" s="4" t="s">
        <v>1</v>
      </c>
      <c r="CS1254" s="4" t="s">
        <v>49</v>
      </c>
      <c r="CT1254" s="70">
        <v>1509.85375976562</v>
      </c>
      <c r="CU1254" s="70">
        <v>52.000442504882798</v>
      </c>
      <c r="CV1254" s="70">
        <v>11.2534484863281</v>
      </c>
      <c r="CW1254" s="70">
        <v>15.1510915756225</v>
      </c>
      <c r="CX1254" s="4"/>
      <c r="CY1254" s="69"/>
      <c r="CZ1254" s="2" t="b">
        <f>IF($DP$1="YES",IF(RecData[[#This Row],[Power (kW)]]&gt;=$CR$3, TRUE,FALSE),TRUE)</f>
        <v>1</v>
      </c>
      <c r="DA1254" s="16">
        <f>MIN(MOD(180-ABS(ABS($DA$1-RecData[Yaw Angle (°)])-180),360),MOD(180-ABS(ABS($DB$1-RecData[Yaw Angle (°)])-180),360))</f>
        <v>44.470515727195249</v>
      </c>
      <c r="DB1254" s="2" t="str">
        <f>IF($DP$2="None","None",IF(RecData[[#This Row],[Relative Wind Direction]]&lt;=45,"DW",IF(RecData[[#This Row],[Relative Wind Direction]]&lt;=135,"CW","UW")))</f>
        <v>DW</v>
      </c>
      <c r="DC1254" s="61" t="e">
        <f>IF($CL1254-$CL1251&gt;1/24,#REF!,IF(SUM($CQ1251:$CQ1254)&gt;$DS$1,$DS$5,DC1255-1))</f>
        <v>#REF!</v>
      </c>
      <c r="DD1254" s="61">
        <f>IF($CL1255-$CL1254&gt;1/24,#REF!,IF(SUM($CQ1251:$CQ1254)&gt;$DS$1,$DS$6,DD1253-1))</f>
        <v>-4</v>
      </c>
      <c r="DE1254" s="18" t="b">
        <v>0</v>
      </c>
      <c r="DF1254" s="2" t="b">
        <f>IF(OR(RecData[[#This Row],[WSpd_Avg '[m/s']]]-RecData[[#This Row],[Wind Speed min]]&gt;=$DF$3,RecData[[#This Row],[Wind Speed max]]-RecData[[#This Row],[WSpd_Avg '[m/s']]]&gt;=$DF$2),TRUE,FALSE)</f>
        <v>0</v>
      </c>
      <c r="DG1254" s="2" t="b">
        <f>RecData[[#This Row],[Temperature '[°C']]]&lt;=-20</f>
        <v>0</v>
      </c>
      <c r="DH1254" s="18" t="b">
        <f>NOT(OR(MOD(RecData[[#This Row],[TIMESTAMP]],1)&gt;0.91632,MOD(RecData[[#This Row],[TIMESTAMP]],1)&lt;0.208681))</f>
        <v>0</v>
      </c>
      <c r="DI1254" s="18" t="b">
        <f>RecData[[#This Row],[Overall (dBA)]]-RecData[[#This Row],[L90]]&gt;=$DS$4</f>
        <v>0</v>
      </c>
      <c r="DJ1254" s="18" t="b">
        <f>RecData[[#This Row],[Overall (dBA)]]&gt;$DS$2</f>
        <v>0</v>
      </c>
      <c r="DK1254" s="18" t="b">
        <f>RecData[[#This Row],[Overall (dBA)]]&lt;$DS$3</f>
        <v>0</v>
      </c>
      <c r="DL125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4" s="2">
        <f>IF(AND(RecData[[#This Row],[Turbines ON/OFF]] = "OFF", NOT(OR(RecData[[#This Row],[Junk?]]="YES",RecData[[#This Row],[Gust?]],RecData[[#This Row],[Rain?]:[Min SPL Threshold?]]))),1,0)</f>
        <v>0</v>
      </c>
      <c r="DN1254" s="16">
        <f>RecData[[#This Row],[dBA Sum]]</f>
        <v>43.433381180018387</v>
      </c>
      <c r="DO1254" s="16">
        <f>RecData[[#This Row],[LAF90.0]]</f>
        <v>38.299999999999997</v>
      </c>
      <c r="DP1254" s="55">
        <f>IF(AND(RecData[[#This Row],[Useable TON Data?]],RecData[[#This Row],[Turbines ON/OFF]]="ON"),RecData[[#This Row],[dBA Sum]],"")</f>
        <v>43.433381180018387</v>
      </c>
      <c r="DQ1254" s="55" t="str">
        <f>IF(AND(RecData[[#This Row],[Useable Background Data?]],RecData[[#This Row],[Turbines ON/OFF]]="OFF"),RecData[[#This Row],[dBA Sum]],"")</f>
        <v/>
      </c>
      <c r="DR1254" s="3">
        <f>IF(OR(RecData[[#This Row],[Useable TON Data?]],RecData[[#This Row],[Useable Background Data?]]),ROUND(RecData[[#This Row],[WSpd_Avg '[m/s']]],0),"")</f>
        <v>0</v>
      </c>
      <c r="DS1254" s="85">
        <f>(0.00002)^2*(10^(RecData[[#This Row],[Overall (dBA)]]/10))</f>
        <v>8.8185688371205185E-6</v>
      </c>
    </row>
    <row r="1255" spans="1:123" ht="15" x14ac:dyDescent="0.25">
      <c r="A1255" s="3" t="s">
        <v>249</v>
      </c>
      <c r="B1255" s="12">
        <v>43276.208333333336</v>
      </c>
      <c r="C1255" s="3"/>
      <c r="D1255" s="3">
        <v>51</v>
      </c>
      <c r="E1255" s="3"/>
      <c r="F1255" s="3"/>
      <c r="G1255" s="3"/>
      <c r="H1255" s="3"/>
      <c r="I1255" s="3"/>
      <c r="J1255" s="3"/>
      <c r="K1255" s="3">
        <v>37.1</v>
      </c>
      <c r="L1255" s="3"/>
      <c r="M1255" s="3"/>
      <c r="N1255" s="3">
        <v>192.4</v>
      </c>
      <c r="O1255" s="3"/>
      <c r="P1255" s="3"/>
      <c r="Q1255" s="3">
        <v>0.75</v>
      </c>
      <c r="R1255" s="3">
        <v>0.2</v>
      </c>
      <c r="S1255" s="3">
        <v>1.6</v>
      </c>
      <c r="T1255" s="3">
        <v>8.5</v>
      </c>
      <c r="U1255" s="3">
        <v>60.9</v>
      </c>
      <c r="V1255" s="3">
        <v>979</v>
      </c>
      <c r="W1255" s="3">
        <v>0</v>
      </c>
      <c r="X1255" s="3">
        <v>40.200000000000003</v>
      </c>
      <c r="Y1255" s="3">
        <v>40.799999999999997</v>
      </c>
      <c r="Z1255" s="3">
        <v>38.6</v>
      </c>
      <c r="AA1255" s="3">
        <v>35.200000000000003</v>
      </c>
      <c r="AB1255" s="3">
        <v>30.8</v>
      </c>
      <c r="AC1255" s="3">
        <v>30.9</v>
      </c>
      <c r="AD1255" s="3">
        <v>33.799999999999997</v>
      </c>
      <c r="AE1255" s="3">
        <v>34.700000000000003</v>
      </c>
      <c r="AF1255" s="3">
        <v>42.9</v>
      </c>
      <c r="AG1255" s="3">
        <v>35.5</v>
      </c>
      <c r="AH1255" s="3">
        <v>32.200000000000003</v>
      </c>
      <c r="AI1255" s="3">
        <v>33.4</v>
      </c>
      <c r="AJ1255" s="3">
        <v>32</v>
      </c>
      <c r="AK1255" s="3">
        <v>31.3</v>
      </c>
      <c r="AL1255" s="3">
        <v>29.7</v>
      </c>
      <c r="AM1255" s="3">
        <v>30.5</v>
      </c>
      <c r="AN1255" s="3">
        <v>28.7</v>
      </c>
      <c r="AO1255" s="3">
        <v>25.8</v>
      </c>
      <c r="AP1255" s="3">
        <v>24.1</v>
      </c>
      <c r="AQ1255" s="3">
        <v>22.8</v>
      </c>
      <c r="AR1255" s="3">
        <v>36.700000000000003</v>
      </c>
      <c r="AS1255" s="3">
        <v>46.8</v>
      </c>
      <c r="AT1255" s="3">
        <v>43.7</v>
      </c>
      <c r="AU1255" s="3">
        <v>42.1</v>
      </c>
      <c r="AV1255" s="3">
        <v>20.3</v>
      </c>
      <c r="AW1255" s="3">
        <v>12.7</v>
      </c>
      <c r="AX1255" s="3">
        <v>10.5</v>
      </c>
      <c r="AY1255" s="3">
        <v>13.2</v>
      </c>
      <c r="AZ1255" s="3">
        <v>0</v>
      </c>
      <c r="BA1255" s="3">
        <v>0</v>
      </c>
      <c r="BB1255" s="3">
        <v>0</v>
      </c>
      <c r="BC1255" s="3">
        <v>51.007979409756814</v>
      </c>
      <c r="BD1255" s="3">
        <v>40.192020590243189</v>
      </c>
      <c r="BE1255" s="3">
        <v>40.792020590243183</v>
      </c>
      <c r="BF1255" s="3">
        <v>37.352020590243185</v>
      </c>
      <c r="BG1255" s="3">
        <v>34.278687256909848</v>
      </c>
      <c r="BH1255" s="3">
        <v>30.018687256909857</v>
      </c>
      <c r="BI1255" s="3">
        <v>30.532020590243178</v>
      </c>
      <c r="BJ1255" s="3">
        <v>34.225353923576506</v>
      </c>
      <c r="BK1255" s="3">
        <v>34.998687256909847</v>
      </c>
      <c r="BL1255" s="3">
        <v>42.772020590243187</v>
      </c>
      <c r="BM1255" s="3">
        <v>35.505353923576521</v>
      </c>
      <c r="BN1255" s="3">
        <v>32.488687256909856</v>
      </c>
      <c r="BO1255" s="3">
        <v>33.055353923576519</v>
      </c>
      <c r="BP1255" s="3">
        <v>31.372020590243181</v>
      </c>
      <c r="BQ1255" s="3">
        <v>31.08868725690985</v>
      </c>
      <c r="BR1255" s="3">
        <v>29.815353923576524</v>
      </c>
      <c r="BS1255" s="3">
        <v>30.418687256909848</v>
      </c>
      <c r="BT1255" s="3">
        <v>28.815353923576524</v>
      </c>
      <c r="BU1255" s="3">
        <v>25.882020590243187</v>
      </c>
      <c r="BV1255" s="3">
        <v>23.898687256909852</v>
      </c>
      <c r="BW1255" s="3">
        <v>23.132020590243187</v>
      </c>
      <c r="BX1255" s="3">
        <v>36.952020590243194</v>
      </c>
      <c r="BY1255" s="3">
        <v>46.872020590243181</v>
      </c>
      <c r="BZ1255" s="3">
        <v>43.902020590243183</v>
      </c>
      <c r="CA1255" s="3">
        <v>42.402020590243183</v>
      </c>
      <c r="CB1255" s="3">
        <v>20.038687256909853</v>
      </c>
      <c r="CC1255" s="3">
        <v>12.652020590243183</v>
      </c>
      <c r="CD1255" s="3">
        <v>9.7586872569098588</v>
      </c>
      <c r="CE1255" s="3">
        <v>12.652020590243183</v>
      </c>
      <c r="CF1255" s="3">
        <v>-0.93464607642348341</v>
      </c>
      <c r="CG1255" s="3">
        <v>-1.4679794097568148</v>
      </c>
      <c r="CH1255" s="3">
        <v>-2.5446460764234828</v>
      </c>
      <c r="CI1255" s="13">
        <f>[1]!dbasum(RecData[[#This Row],[20]:[2000]],RecData[[#Headers],[20]:[2000]])</f>
        <v>40.444480281742983</v>
      </c>
      <c r="CJ1255" s="14">
        <v>11021</v>
      </c>
      <c r="CK1255" s="15" t="s">
        <v>249</v>
      </c>
      <c r="CL1255" s="15">
        <f>RecData[[#This Row],[Start Time]]</f>
        <v>43276.208333333336</v>
      </c>
      <c r="CM1255" s="16">
        <f>RecData[[#This Row],[Wind Speed avg]]</f>
        <v>0.75</v>
      </c>
      <c r="CN1255" s="16">
        <f>RecData[[#This Row],[Wind Dir. avg]]</f>
        <v>192.4</v>
      </c>
      <c r="CO1255" s="16">
        <f>RecData[[#This Row],[Amb. Humidity]]</f>
        <v>60.9</v>
      </c>
      <c r="CP1255" s="16">
        <f>RecData[[#This Row],[Amb. Temperature]]</f>
        <v>8.5</v>
      </c>
      <c r="CQ1255" s="17">
        <f>RecData[[#This Row],[Amb. Rain Gauge]]</f>
        <v>0</v>
      </c>
      <c r="CR1255" s="4" t="s">
        <v>1</v>
      </c>
      <c r="CS1255" s="4" t="s">
        <v>49</v>
      </c>
      <c r="CT1255" s="70">
        <v>1509.85375976562</v>
      </c>
      <c r="CU1255" s="70">
        <v>52.000442504882798</v>
      </c>
      <c r="CV1255" s="70">
        <v>11.2534484863281</v>
      </c>
      <c r="CW1255" s="70">
        <v>15.1510915756225</v>
      </c>
      <c r="CX1255" s="4"/>
      <c r="CY1255" s="69"/>
      <c r="CZ1255" s="2" t="b">
        <f>IF($DP$1="YES",IF(RecData[[#This Row],[Power (kW)]]&gt;=$CR$3, TRUE,FALSE),TRUE)</f>
        <v>1</v>
      </c>
      <c r="DA1255" s="16">
        <f>MIN(MOD(180-ABS(ABS($DA$1-RecData[Yaw Angle (°)])-180),360),MOD(180-ABS(ABS($DB$1-RecData[Yaw Angle (°)])-180),360))</f>
        <v>44.470515727195249</v>
      </c>
      <c r="DB1255" s="2" t="str">
        <f>IF($DP$2="None","None",IF(RecData[[#This Row],[Relative Wind Direction]]&lt;=45,"DW",IF(RecData[[#This Row],[Relative Wind Direction]]&lt;=135,"CW","UW")))</f>
        <v>DW</v>
      </c>
      <c r="DC1255" s="61" t="e">
        <f>IF($CL1255-$CL1251&gt;1/24,#REF!,IF(SUM($CQ1251:$CQ1255)&gt;$DS$1,$DS$5,#REF!-1))</f>
        <v>#REF!</v>
      </c>
      <c r="DD1255" s="61" t="e">
        <f>IF(#REF!-$CL1255&gt;1/24,#REF!,IF(SUM($CQ1251:$CQ1255)&gt;$DS$1,$DS$6,DD1254-1))</f>
        <v>#REF!</v>
      </c>
      <c r="DE1255" s="18" t="b">
        <v>0</v>
      </c>
      <c r="DF1255" s="2" t="b">
        <f>IF(OR(RecData[[#This Row],[WSpd_Avg '[m/s']]]-RecData[[#This Row],[Wind Speed min]]&gt;=$DF$3,RecData[[#This Row],[Wind Speed max]]-RecData[[#This Row],[WSpd_Avg '[m/s']]]&gt;=$DF$2),TRUE,FALSE)</f>
        <v>0</v>
      </c>
      <c r="DG1255" s="2" t="b">
        <f>RecData[[#This Row],[Temperature '[°C']]]&lt;=-20</f>
        <v>0</v>
      </c>
      <c r="DH1255" s="18" t="b">
        <f>NOT(OR(MOD(RecData[[#This Row],[TIMESTAMP]],1)&gt;0.91632,MOD(RecData[[#This Row],[TIMESTAMP]],1)&lt;0.208681))</f>
        <v>0</v>
      </c>
      <c r="DI1255" s="18" t="b">
        <f>RecData[[#This Row],[Overall (dBA)]]-RecData[[#This Row],[L90]]&gt;=$DS$4</f>
        <v>0</v>
      </c>
      <c r="DJ1255" s="18" t="b">
        <f>RecData[[#This Row],[Overall (dBA)]]&gt;$DS$2</f>
        <v>0</v>
      </c>
      <c r="DK1255" s="18" t="b">
        <f>RecData[[#This Row],[Overall (dBA)]]&lt;$DS$3</f>
        <v>0</v>
      </c>
      <c r="DL125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1</v>
      </c>
      <c r="DM1255" s="2">
        <f>IF(AND(RecData[[#This Row],[Turbines ON/OFF]] = "OFF", NOT(OR(RecData[[#This Row],[Junk?]]="YES",RecData[[#This Row],[Gust?]],RecData[[#This Row],[Rain?]:[Min SPL Threshold?]]))),1,0)</f>
        <v>0</v>
      </c>
      <c r="DN1255" s="16">
        <f>RecData[[#This Row],[dBA Sum]]</f>
        <v>40.444480281742983</v>
      </c>
      <c r="DO1255" s="16">
        <f>RecData[[#This Row],[LAF90.0]]</f>
        <v>37.1</v>
      </c>
      <c r="DP1255" s="55">
        <f>IF(AND(RecData[[#This Row],[Useable TON Data?]],RecData[[#This Row],[Turbines ON/OFF]]="ON"),RecData[[#This Row],[dBA Sum]],"")</f>
        <v>40.444480281742983</v>
      </c>
      <c r="DQ1255" s="55" t="str">
        <f>IF(AND(RecData[[#This Row],[Useable Background Data?]],RecData[[#This Row],[Turbines ON/OFF]]="OFF"),RecData[[#This Row],[dBA Sum]],"")</f>
        <v/>
      </c>
      <c r="DR1255" s="3">
        <f>IF(OR(RecData[[#This Row],[Useable TON Data?]],RecData[[#This Row],[Useable Background Data?]]),ROUND(RecData[[#This Row],[WSpd_Avg '[m/s']]],0),"")</f>
        <v>1</v>
      </c>
      <c r="DS1255" s="85">
        <f>(0.00002)^2*(10^(RecData[[#This Row],[Overall (dBA)]]/10))</f>
        <v>4.4310639663318859E-6</v>
      </c>
    </row>
    <row r="1256" spans="1:123" ht="15" x14ac:dyDescent="0.25">
      <c r="A1256" s="3" t="s">
        <v>249</v>
      </c>
      <c r="B1256" s="12">
        <v>43277.006944444445</v>
      </c>
      <c r="D1256" s="42">
        <v>27.8</v>
      </c>
      <c r="K1256" s="42">
        <v>26.6</v>
      </c>
      <c r="N1256" s="42">
        <v>154.5</v>
      </c>
      <c r="Q1256" s="42">
        <v>0.43</v>
      </c>
      <c r="R1256" s="42">
        <v>0.2</v>
      </c>
      <c r="S1256" s="42">
        <v>0.6</v>
      </c>
      <c r="T1256" s="42">
        <v>8.5</v>
      </c>
      <c r="U1256" s="42">
        <v>85.1</v>
      </c>
      <c r="V1256" s="42">
        <v>978.8</v>
      </c>
      <c r="W1256" s="42">
        <v>0</v>
      </c>
      <c r="X1256" s="42">
        <v>31.8</v>
      </c>
      <c r="Y1256" s="42">
        <v>28.6</v>
      </c>
      <c r="Z1256" s="42">
        <v>29.2</v>
      </c>
      <c r="AA1256" s="42">
        <v>26.9</v>
      </c>
      <c r="AB1256" s="42">
        <v>21.1</v>
      </c>
      <c r="AC1256" s="42">
        <v>21.9</v>
      </c>
      <c r="AD1256" s="42">
        <v>26.5</v>
      </c>
      <c r="AE1256" s="42">
        <v>32</v>
      </c>
      <c r="AF1256" s="42">
        <v>34.1</v>
      </c>
      <c r="AG1256" s="42">
        <v>30.4</v>
      </c>
      <c r="AH1256" s="42">
        <v>27.6</v>
      </c>
      <c r="AI1256" s="42">
        <v>29.1</v>
      </c>
      <c r="AJ1256" s="42">
        <v>24.6</v>
      </c>
      <c r="AK1256" s="42">
        <v>22</v>
      </c>
      <c r="AL1256" s="42">
        <v>17.5</v>
      </c>
      <c r="AM1256" s="42">
        <v>15.5</v>
      </c>
      <c r="AN1256" s="42">
        <v>14.1</v>
      </c>
      <c r="AO1256" s="42">
        <v>10.5</v>
      </c>
      <c r="AP1256" s="42">
        <v>8.6</v>
      </c>
      <c r="AQ1256" s="42">
        <v>8.8000000000000007</v>
      </c>
      <c r="AR1256" s="42">
        <v>7.1</v>
      </c>
      <c r="AS1256" s="42">
        <v>10.8</v>
      </c>
      <c r="AT1256" s="42">
        <v>14.4</v>
      </c>
      <c r="AU1256" s="42">
        <v>7.6</v>
      </c>
      <c r="AV1256" s="42">
        <v>8.3000000000000007</v>
      </c>
      <c r="AW1256" s="42">
        <v>8.8000000000000007</v>
      </c>
      <c r="AX1256" s="42">
        <v>8.9</v>
      </c>
      <c r="AY1256" s="42">
        <v>9.1999999999999993</v>
      </c>
      <c r="AZ1256" s="42">
        <v>0</v>
      </c>
      <c r="BA1256" s="42">
        <v>0</v>
      </c>
      <c r="BB1256" s="42">
        <v>0</v>
      </c>
      <c r="BC1256" s="42">
        <v>27.786824407118043</v>
      </c>
      <c r="BD1256" s="42">
        <v>31.813175592881958</v>
      </c>
      <c r="BE1256" s="42">
        <v>28.613175592881962</v>
      </c>
      <c r="BF1256" s="42">
        <v>27.973175592881962</v>
      </c>
      <c r="BG1256" s="42">
        <v>25.999842259548618</v>
      </c>
      <c r="BH1256" s="42">
        <v>20.339842259548629</v>
      </c>
      <c r="BI1256" s="42">
        <v>21.55317559288196</v>
      </c>
      <c r="BJ1256" s="42">
        <v>26.946508926215291</v>
      </c>
      <c r="BK1256" s="42">
        <v>32.319842259548622</v>
      </c>
      <c r="BL1256" s="42">
        <v>33.993175592881954</v>
      </c>
      <c r="BM1256" s="42">
        <v>30.426508926215295</v>
      </c>
      <c r="BN1256" s="42">
        <v>27.909842259548629</v>
      </c>
      <c r="BO1256" s="42">
        <v>28.776508926215296</v>
      </c>
      <c r="BP1256" s="42">
        <v>23.993175592881958</v>
      </c>
      <c r="BQ1256" s="42">
        <v>21.809842259548613</v>
      </c>
      <c r="BR1256" s="42">
        <v>17.636508926215289</v>
      </c>
      <c r="BS1256" s="42">
        <v>15.439842259548623</v>
      </c>
      <c r="BT1256" s="42">
        <v>14.23650892621529</v>
      </c>
      <c r="BU1256" s="42">
        <v>10.603175592881957</v>
      </c>
      <c r="BV1256" s="42">
        <v>8.41984225954862</v>
      </c>
      <c r="BW1256" s="42">
        <v>9.1531755928819614</v>
      </c>
      <c r="BX1256" s="42">
        <v>7.3731755928819602</v>
      </c>
      <c r="BY1256" s="42">
        <v>10.893175592881956</v>
      </c>
      <c r="BZ1256" s="42">
        <v>14.62317559288196</v>
      </c>
      <c r="CA1256" s="42">
        <v>7.9231755928819503</v>
      </c>
      <c r="CB1256" s="42">
        <v>8.0598422595486205</v>
      </c>
      <c r="CC1256" s="42">
        <v>8.7731755928819588</v>
      </c>
      <c r="CD1256" s="42">
        <v>8.1798422595486251</v>
      </c>
      <c r="CE1256" s="42">
        <v>8.6731755928819574</v>
      </c>
      <c r="CF1256" s="42">
        <v>-0.91349107378470862</v>
      </c>
      <c r="CG1256" s="42">
        <v>-1.4468244071180401</v>
      </c>
      <c r="CH1256" s="42">
        <v>-2.523491073784708</v>
      </c>
      <c r="CI1256" s="13">
        <f>[1]!dbasum(RecData[[#This Row],[20]:[2000]],RecData[[#Headers],[20]:[2000]])</f>
        <v>27.02023795740763</v>
      </c>
      <c r="CJ1256" s="14">
        <v>11155</v>
      </c>
      <c r="CK1256" s="15" t="s">
        <v>249</v>
      </c>
      <c r="CL1256" s="15">
        <f>RecData[[#This Row],[Start Time]]</f>
        <v>43277.006944444445</v>
      </c>
      <c r="CM1256" s="16">
        <f>RecData[[#This Row],[Wind Speed avg]]</f>
        <v>0.43</v>
      </c>
      <c r="CN1256" s="16">
        <f>RecData[[#This Row],[Wind Dir. avg]]</f>
        <v>154.5</v>
      </c>
      <c r="CO1256" s="16">
        <f>RecData[[#This Row],[Amb. Humidity]]</f>
        <v>85.1</v>
      </c>
      <c r="CP1256" s="16">
        <f>RecData[[#This Row],[Amb. Temperature]]</f>
        <v>8.5</v>
      </c>
      <c r="CQ1256" s="17">
        <f>RecData[[#This Row],[Amb. Rain Gauge]]</f>
        <v>0</v>
      </c>
      <c r="CR1256" s="4" t="s">
        <v>257</v>
      </c>
      <c r="CS1256" s="4" t="s">
        <v>49</v>
      </c>
      <c r="CT1256" s="70">
        <v>443.91238403320301</v>
      </c>
      <c r="CU1256" s="70">
        <v>159.001373291015</v>
      </c>
      <c r="CV1256" s="70">
        <v>6.3965115547180096</v>
      </c>
      <c r="CW1256" s="70">
        <v>10.8048181533813</v>
      </c>
      <c r="CX1256" s="4" t="s">
        <v>49</v>
      </c>
      <c r="CY1256" s="69" t="s">
        <v>255</v>
      </c>
      <c r="CZ1256" s="2" t="b">
        <f>IF($DP$1="YES",IF(RecData[[#This Row],[Power (kW)]]&gt;=$CR$3, TRUE,FALSE),TRUE)</f>
        <v>0</v>
      </c>
      <c r="DA1256" s="16">
        <f>MIN(MOD(180-ABS(ABS($DA$1-RecData[Yaw Angle (°)])-180),360),MOD(180-ABS(ABS($DB$1-RecData[Yaw Angle (°)])-180),360))</f>
        <v>151.47144651332746</v>
      </c>
      <c r="DB1256" s="2" t="str">
        <f>IF($DP$2="None","None",IF(RecData[[#This Row],[Relative Wind Direction]]&lt;=45,"DW",IF(RecData[[#This Row],[Relative Wind Direction]]&lt;=135,"CW","UW")))</f>
        <v>UW</v>
      </c>
      <c r="DC1256" s="61" t="e">
        <f>IF($CL1256-#REF!&gt;1/24,#REF!,IF(SUM($CQ1256:$CQ1256)&gt;$DS$1,$DS$5,#REF!-1))</f>
        <v>#REF!</v>
      </c>
      <c r="DD1256" s="61" t="e">
        <f>IF(#REF!-$CL1256&gt;1/24,#REF!,IF(SUM($CQ1256:$CQ1256)&gt;$DS$1,$DS$6,#REF!-1))</f>
        <v>#REF!</v>
      </c>
      <c r="DE1256" s="18" t="b">
        <v>0</v>
      </c>
      <c r="DF1256" s="2" t="b">
        <f>IF(OR(RecData[[#This Row],[WSpd_Avg '[m/s']]]-RecData[[#This Row],[Wind Speed min]]&gt;=$DF$3,RecData[[#This Row],[Wind Speed max]]-RecData[[#This Row],[WSpd_Avg '[m/s']]]&gt;=$DF$2),TRUE,FALSE)</f>
        <v>0</v>
      </c>
      <c r="DG1256" s="2" t="b">
        <f>RecData[[#This Row],[Temperature '[°C']]]&lt;=-20</f>
        <v>0</v>
      </c>
      <c r="DH1256" s="18" t="b">
        <f>NOT(OR(MOD(RecData[[#This Row],[TIMESTAMP]],1)&gt;0.91632,MOD(RecData[[#This Row],[TIMESTAMP]],1)&lt;0.208681))</f>
        <v>0</v>
      </c>
      <c r="DI1256" s="18" t="b">
        <f>RecData[[#This Row],[Overall (dBA)]]-RecData[[#This Row],[L90]]&gt;=$DS$4</f>
        <v>0</v>
      </c>
      <c r="DJ1256" s="18" t="b">
        <f>RecData[[#This Row],[Overall (dBA)]]&gt;$DS$2</f>
        <v>0</v>
      </c>
      <c r="DK1256" s="18" t="b">
        <f>RecData[[#This Row],[Overall (dBA)]]&lt;$DS$3</f>
        <v>0</v>
      </c>
      <c r="DL125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56" s="2">
        <f>IF(AND(RecData[[#This Row],[Turbines ON/OFF]] = "OFF", NOT(OR(RecData[[#This Row],[Junk?]]="YES",RecData[[#This Row],[Gust?]],RecData[[#This Row],[Rain?]:[Min SPL Threshold?]]))),1,0)</f>
        <v>0</v>
      </c>
      <c r="DN1256" s="16">
        <f>RecData[[#This Row],[dBA Sum]]</f>
        <v>27.02023795740763</v>
      </c>
      <c r="DO1256" s="16">
        <f>RecData[[#This Row],[LAF90.0]]</f>
        <v>26.6</v>
      </c>
      <c r="DP1256" s="55" t="str">
        <f>IF(AND(RecData[[#This Row],[Useable TON Data?]],RecData[[#This Row],[Turbines ON/OFF]]="ON"),RecData[[#This Row],[dBA Sum]],"")</f>
        <v/>
      </c>
      <c r="DQ1256" s="55" t="str">
        <f>IF(AND(RecData[[#This Row],[Useable Background Data?]],RecData[[#This Row],[Turbines ON/OFF]]="OFF"),RecData[[#This Row],[dBA Sum]],"")</f>
        <v/>
      </c>
      <c r="DR1256" s="3" t="str">
        <f>IF(OR(RecData[[#This Row],[Useable TON Data?]],RecData[[#This Row],[Useable Background Data?]]),ROUND(RecData[[#This Row],[WSpd_Avg '[m/s']]],0),"")</f>
        <v/>
      </c>
      <c r="DS1256" s="85">
        <f>(0.00002)^2*(10^(RecData[[#This Row],[Overall (dBA)]]/10))</f>
        <v>2.0141127888282208E-7</v>
      </c>
    </row>
    <row r="1257" spans="1:123" ht="15" x14ac:dyDescent="0.25">
      <c r="A1257" s="3" t="s">
        <v>249</v>
      </c>
      <c r="B1257" s="12">
        <v>43277.029861111114</v>
      </c>
      <c r="D1257" s="42">
        <v>27.7</v>
      </c>
      <c r="K1257" s="42">
        <v>26.2</v>
      </c>
      <c r="N1257" s="42">
        <v>138.80000000000001</v>
      </c>
      <c r="Q1257" s="42">
        <v>0.71</v>
      </c>
      <c r="R1257" s="42">
        <v>0.6</v>
      </c>
      <c r="S1257" s="42">
        <v>0.9</v>
      </c>
      <c r="T1257" s="42">
        <v>8.1</v>
      </c>
      <c r="U1257" s="42">
        <v>87.4</v>
      </c>
      <c r="V1257" s="42">
        <v>978.9</v>
      </c>
      <c r="W1257" s="42">
        <v>0</v>
      </c>
      <c r="X1257" s="42">
        <v>33.4</v>
      </c>
      <c r="Y1257" s="42">
        <v>30.4</v>
      </c>
      <c r="Z1257" s="42">
        <v>31.7</v>
      </c>
      <c r="AA1257" s="42">
        <v>29.1</v>
      </c>
      <c r="AB1257" s="42">
        <v>23.4</v>
      </c>
      <c r="AC1257" s="42">
        <v>24.8</v>
      </c>
      <c r="AD1257" s="42">
        <v>30.3</v>
      </c>
      <c r="AE1257" s="42">
        <v>34.799999999999997</v>
      </c>
      <c r="AF1257" s="42">
        <v>36</v>
      </c>
      <c r="AG1257" s="42">
        <v>31.3</v>
      </c>
      <c r="AH1257" s="42">
        <v>27.3</v>
      </c>
      <c r="AI1257" s="42">
        <v>27.8</v>
      </c>
      <c r="AJ1257" s="42">
        <v>23.6</v>
      </c>
      <c r="AK1257" s="42">
        <v>20.3</v>
      </c>
      <c r="AL1257" s="42">
        <v>16.7</v>
      </c>
      <c r="AM1257" s="42">
        <v>14.6</v>
      </c>
      <c r="AN1257" s="42">
        <v>13.4</v>
      </c>
      <c r="AO1257" s="42">
        <v>10.4</v>
      </c>
      <c r="AP1257" s="42">
        <v>8.6999999999999993</v>
      </c>
      <c r="AQ1257" s="42">
        <v>10.199999999999999</v>
      </c>
      <c r="AR1257" s="42">
        <v>7.2</v>
      </c>
      <c r="AS1257" s="42">
        <v>9.6</v>
      </c>
      <c r="AT1257" s="42">
        <v>14.1</v>
      </c>
      <c r="AU1257" s="42">
        <v>7.2</v>
      </c>
      <c r="AV1257" s="42">
        <v>7.9</v>
      </c>
      <c r="AW1257" s="42">
        <v>8.5</v>
      </c>
      <c r="AX1257" s="42">
        <v>8.8000000000000007</v>
      </c>
      <c r="AY1257" s="42">
        <v>9</v>
      </c>
      <c r="AZ1257" s="42">
        <v>0</v>
      </c>
      <c r="BA1257" s="42">
        <v>0</v>
      </c>
      <c r="BB1257" s="42">
        <v>0</v>
      </c>
      <c r="BC1257" s="42">
        <v>27.708622810589453</v>
      </c>
      <c r="BD1257" s="42">
        <v>33.391377189410541</v>
      </c>
      <c r="BE1257" s="42">
        <v>30.391377189410541</v>
      </c>
      <c r="BF1257" s="42">
        <v>30.451377189410543</v>
      </c>
      <c r="BG1257" s="42">
        <v>28.17804385607721</v>
      </c>
      <c r="BH1257" s="42">
        <v>22.618043856077215</v>
      </c>
      <c r="BI1257" s="42">
        <v>24.431377189410547</v>
      </c>
      <c r="BJ1257" s="42">
        <v>30.724710522743884</v>
      </c>
      <c r="BK1257" s="42">
        <v>35.098043856077204</v>
      </c>
      <c r="BL1257" s="42">
        <v>35.871377189410545</v>
      </c>
      <c r="BM1257" s="42">
        <v>31.304710522743882</v>
      </c>
      <c r="BN1257" s="42">
        <v>27.588043856077213</v>
      </c>
      <c r="BO1257" s="42">
        <v>27.454710522743888</v>
      </c>
      <c r="BP1257" s="42">
        <v>22.971377189410546</v>
      </c>
      <c r="BQ1257" s="42">
        <v>20.088043856077199</v>
      </c>
      <c r="BR1257" s="42">
        <v>16.81471052274388</v>
      </c>
      <c r="BS1257" s="42">
        <v>14.518043856077213</v>
      </c>
      <c r="BT1257" s="42">
        <v>13.514710522743883</v>
      </c>
      <c r="BU1257" s="42">
        <v>10.481377189410551</v>
      </c>
      <c r="BV1257" s="42">
        <v>8.49804385607721</v>
      </c>
      <c r="BW1257" s="42">
        <v>10.531377189410549</v>
      </c>
      <c r="BX1257" s="42">
        <v>7.4513771894105503</v>
      </c>
      <c r="BY1257" s="42">
        <v>9.671377189410542</v>
      </c>
      <c r="BZ1257" s="42">
        <v>14.301377189410552</v>
      </c>
      <c r="CA1257" s="42">
        <v>7.5013771894105403</v>
      </c>
      <c r="CB1257" s="42">
        <v>7.6380438560772106</v>
      </c>
      <c r="CC1257" s="42">
        <v>8.4513771894105432</v>
      </c>
      <c r="CD1257" s="42">
        <v>8.0580438560772194</v>
      </c>
      <c r="CE1257" s="42">
        <v>8.4513771894105432</v>
      </c>
      <c r="CF1257" s="42">
        <v>-0.93528947725611999</v>
      </c>
      <c r="CG1257" s="42">
        <v>-1.4686228105894514</v>
      </c>
      <c r="CH1257" s="42">
        <v>-2.5452894772561194</v>
      </c>
      <c r="CI1257" s="13">
        <f>[1]!dbasum(RecData[[#This Row],[20]:[2000]],RecData[[#Headers],[20]:[2000]])</f>
        <v>27.023917318482983</v>
      </c>
      <c r="CJ1257" s="14">
        <v>11188</v>
      </c>
      <c r="CK1257" s="15" t="s">
        <v>249</v>
      </c>
      <c r="CL1257" s="15">
        <f>RecData[[#This Row],[Start Time]]</f>
        <v>43277.029861111114</v>
      </c>
      <c r="CM1257" s="16">
        <f>RecData[[#This Row],[Wind Speed avg]]</f>
        <v>0.71</v>
      </c>
      <c r="CN1257" s="16">
        <f>RecData[[#This Row],[Wind Dir. avg]]</f>
        <v>138.80000000000001</v>
      </c>
      <c r="CO1257" s="16">
        <f>RecData[[#This Row],[Amb. Humidity]]</f>
        <v>87.4</v>
      </c>
      <c r="CP1257" s="16">
        <f>RecData[[#This Row],[Amb. Temperature]]</f>
        <v>8.1</v>
      </c>
      <c r="CQ1257" s="17">
        <f>RecData[[#This Row],[Amb. Rain Gauge]]</f>
        <v>0</v>
      </c>
      <c r="CR1257" s="4" t="s">
        <v>257</v>
      </c>
      <c r="CS1257" s="4" t="s">
        <v>49</v>
      </c>
      <c r="CT1257" s="70">
        <v>455.54904174804602</v>
      </c>
      <c r="CU1257" s="70">
        <v>159.00135803222599</v>
      </c>
      <c r="CV1257" s="70">
        <v>6.2808766365051198</v>
      </c>
      <c r="CW1257" s="70">
        <v>10.862326622009199</v>
      </c>
      <c r="CX1257" s="4" t="s">
        <v>49</v>
      </c>
      <c r="CY1257" s="69" t="s">
        <v>255</v>
      </c>
      <c r="CZ1257" s="2" t="b">
        <f>IF($DP$1="YES",IF(RecData[[#This Row],[Power (kW)]]&gt;=$CR$3, TRUE,FALSE),TRUE)</f>
        <v>0</v>
      </c>
      <c r="DA1257" s="16">
        <f>MIN(MOD(180-ABS(ABS($DA$1-RecData[Yaw Angle (°)])-180),360),MOD(180-ABS(ABS($DB$1-RecData[Yaw Angle (°)])-180),360))</f>
        <v>151.47143125453846</v>
      </c>
      <c r="DB1257" s="2" t="str">
        <f>IF($DP$2="None","None",IF(RecData[[#This Row],[Relative Wind Direction]]&lt;=45,"DW",IF(RecData[[#This Row],[Relative Wind Direction]]&lt;=135,"CW","UW")))</f>
        <v>UW</v>
      </c>
      <c r="DC1257" s="61">
        <v>-1</v>
      </c>
      <c r="DD1257" s="61">
        <v>-1</v>
      </c>
      <c r="DE1257" s="18" t="b">
        <v>0</v>
      </c>
      <c r="DF1257" s="2" t="b">
        <f>IF(OR(RecData[[#This Row],[WSpd_Avg '[m/s']]]-RecData[[#This Row],[Wind Speed min]]&gt;=$DF$3,RecData[[#This Row],[Wind Speed max]]-RecData[[#This Row],[WSpd_Avg '[m/s']]]&gt;=$DF$2),TRUE,FALSE)</f>
        <v>0</v>
      </c>
      <c r="DG1257" s="2" t="b">
        <f>RecData[[#This Row],[Temperature '[°C']]]&lt;=-20</f>
        <v>0</v>
      </c>
      <c r="DH1257" s="18" t="b">
        <f>NOT(OR(MOD(RecData[[#This Row],[TIMESTAMP]],1)&gt;0.91632,MOD(RecData[[#This Row],[TIMESTAMP]],1)&lt;0.208681))</f>
        <v>0</v>
      </c>
      <c r="DI1257" s="18" t="b">
        <f>RecData[[#This Row],[Overall (dBA)]]-RecData[[#This Row],[L90]]&gt;=$DS$4</f>
        <v>0</v>
      </c>
      <c r="DJ1257" s="18" t="b">
        <f>RecData[[#This Row],[Overall (dBA)]]&gt;$DS$2</f>
        <v>0</v>
      </c>
      <c r="DK1257" s="18" t="b">
        <f>RecData[[#This Row],[Overall (dBA)]]&lt;$DS$3</f>
        <v>0</v>
      </c>
      <c r="DL125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57" s="2">
        <f>IF(AND(RecData[[#This Row],[Turbines ON/OFF]] = "OFF", NOT(OR(RecData[[#This Row],[Junk?]]="YES",RecData[[#This Row],[Gust?]],RecData[[#This Row],[Rain?]:[Min SPL Threshold?]]))),1,0)</f>
        <v>0</v>
      </c>
      <c r="DN1257" s="16">
        <f>RecData[[#This Row],[dBA Sum]]</f>
        <v>27.023917318482983</v>
      </c>
      <c r="DO1257" s="16">
        <f>RecData[[#This Row],[LAF90.0]]</f>
        <v>26.2</v>
      </c>
      <c r="DP1257" s="55" t="str">
        <f>IF(AND(RecData[[#This Row],[Useable TON Data?]],RecData[[#This Row],[Turbines ON/OFF]]="ON"),RecData[[#This Row],[dBA Sum]],"")</f>
        <v/>
      </c>
      <c r="DQ1257" s="55" t="str">
        <f>IF(AND(RecData[[#This Row],[Useable Background Data?]],RecData[[#This Row],[Turbines ON/OFF]]="OFF"),RecData[[#This Row],[dBA Sum]],"")</f>
        <v/>
      </c>
      <c r="DR1257" s="3" t="str">
        <f>IF(OR(RecData[[#This Row],[Useable TON Data?]],RecData[[#This Row],[Useable Background Data?]]),ROUND(RecData[[#This Row],[WSpd_Avg '[m/s']]],0),"")</f>
        <v/>
      </c>
      <c r="DS1257" s="85">
        <f>(0.00002)^2*(10^(RecData[[#This Row],[Overall (dBA)]]/10))</f>
        <v>2.0158198766587887E-7</v>
      </c>
    </row>
    <row r="1258" spans="1:123" ht="15" x14ac:dyDescent="0.25">
      <c r="A1258" s="3" t="s">
        <v>249</v>
      </c>
      <c r="B1258" s="12">
        <v>43277.040972222225</v>
      </c>
      <c r="D1258" s="42">
        <v>30.7</v>
      </c>
      <c r="K1258" s="42">
        <v>28.9</v>
      </c>
      <c r="N1258" s="42">
        <v>162.6</v>
      </c>
      <c r="Q1258" s="42">
        <v>0.54</v>
      </c>
      <c r="R1258" s="42">
        <v>0.3</v>
      </c>
      <c r="S1258" s="42">
        <v>0.9</v>
      </c>
      <c r="T1258" s="42">
        <v>8</v>
      </c>
      <c r="U1258" s="42">
        <v>88.7</v>
      </c>
      <c r="V1258" s="42">
        <v>978.8</v>
      </c>
      <c r="W1258" s="42">
        <v>0</v>
      </c>
      <c r="X1258" s="42">
        <v>36.799999999999997</v>
      </c>
      <c r="Y1258" s="42">
        <v>27.6</v>
      </c>
      <c r="Z1258" s="42">
        <v>28.9</v>
      </c>
      <c r="AA1258" s="42">
        <v>27.5</v>
      </c>
      <c r="AB1258" s="42">
        <v>21.8</v>
      </c>
      <c r="AC1258" s="42">
        <v>23.6</v>
      </c>
      <c r="AD1258" s="42">
        <v>28.2</v>
      </c>
      <c r="AE1258" s="42">
        <v>33.799999999999997</v>
      </c>
      <c r="AF1258" s="42">
        <v>36.1</v>
      </c>
      <c r="AG1258" s="42">
        <v>33.4</v>
      </c>
      <c r="AH1258" s="42">
        <v>30.6</v>
      </c>
      <c r="AI1258" s="42">
        <v>32.200000000000003</v>
      </c>
      <c r="AJ1258" s="42">
        <v>28.3</v>
      </c>
      <c r="AK1258" s="42">
        <v>25.8</v>
      </c>
      <c r="AL1258" s="42">
        <v>21.8</v>
      </c>
      <c r="AM1258" s="42">
        <v>19.399999999999999</v>
      </c>
      <c r="AN1258" s="42">
        <v>17.399999999999999</v>
      </c>
      <c r="AO1258" s="42">
        <v>13.4</v>
      </c>
      <c r="AP1258" s="42">
        <v>10.9</v>
      </c>
      <c r="AQ1258" s="42">
        <v>10.8</v>
      </c>
      <c r="AR1258" s="42">
        <v>7.9</v>
      </c>
      <c r="AS1258" s="42">
        <v>14.1</v>
      </c>
      <c r="AT1258" s="42">
        <v>16.600000000000001</v>
      </c>
      <c r="AU1258" s="42">
        <v>7.2</v>
      </c>
      <c r="AV1258" s="42">
        <v>7.9</v>
      </c>
      <c r="AW1258" s="42">
        <v>8.5</v>
      </c>
      <c r="AX1258" s="42">
        <v>8.8000000000000007</v>
      </c>
      <c r="AY1258" s="42">
        <v>9</v>
      </c>
      <c r="AZ1258" s="42">
        <v>0</v>
      </c>
      <c r="BA1258" s="42">
        <v>0</v>
      </c>
      <c r="BB1258" s="42">
        <v>0</v>
      </c>
      <c r="BC1258" s="42">
        <v>30.738593773062046</v>
      </c>
      <c r="BD1258" s="42">
        <v>36.76140622693795</v>
      </c>
      <c r="BE1258" s="42">
        <v>27.561406226937951</v>
      </c>
      <c r="BF1258" s="42">
        <v>27.621406226937953</v>
      </c>
      <c r="BG1258" s="42">
        <v>26.548072893604616</v>
      </c>
      <c r="BH1258" s="42">
        <v>20.988072893604627</v>
      </c>
      <c r="BI1258" s="42">
        <v>23.201406226937952</v>
      </c>
      <c r="BJ1258" s="42">
        <v>28.594739560271282</v>
      </c>
      <c r="BK1258" s="42">
        <v>34.068072893604608</v>
      </c>
      <c r="BL1258" s="42">
        <v>35.941406226937957</v>
      </c>
      <c r="BM1258" s="42">
        <v>33.37473956027128</v>
      </c>
      <c r="BN1258" s="42">
        <v>30.858072893604618</v>
      </c>
      <c r="BO1258" s="42">
        <v>31.824739560271293</v>
      </c>
      <c r="BP1258" s="42">
        <v>27.641406226937949</v>
      </c>
      <c r="BQ1258" s="42">
        <v>25.558072893604606</v>
      </c>
      <c r="BR1258" s="42">
        <v>21.884739560271289</v>
      </c>
      <c r="BS1258" s="42">
        <v>19.288072893604618</v>
      </c>
      <c r="BT1258" s="42">
        <v>17.484739560271283</v>
      </c>
      <c r="BU1258" s="42">
        <v>13.451406226937959</v>
      </c>
      <c r="BV1258" s="42">
        <v>10.66807289360462</v>
      </c>
      <c r="BW1258" s="42">
        <v>11.101406226937957</v>
      </c>
      <c r="BX1258" s="42">
        <v>8.1214062269379603</v>
      </c>
      <c r="BY1258" s="42">
        <v>14.141406226937949</v>
      </c>
      <c r="BZ1258" s="42">
        <v>16.771406226937959</v>
      </c>
      <c r="CA1258" s="42">
        <v>7.4714062269379475</v>
      </c>
      <c r="CB1258" s="42">
        <v>7.6080728936046178</v>
      </c>
      <c r="CC1258" s="42">
        <v>8.4214062269379504</v>
      </c>
      <c r="CD1258" s="42">
        <v>8.0280728936046266</v>
      </c>
      <c r="CE1258" s="42">
        <v>8.4214062269379504</v>
      </c>
      <c r="CF1258" s="42">
        <v>-0.96526043972871278</v>
      </c>
      <c r="CG1258" s="42">
        <v>-1.4985937730620442</v>
      </c>
      <c r="CH1258" s="42">
        <v>-2.5752604397287122</v>
      </c>
      <c r="CI1258" s="13">
        <f>[1]!dbasum(RecData[[#This Row],[20]:[2000]],RecData[[#Headers],[20]:[2000]])</f>
        <v>30.084462173711298</v>
      </c>
      <c r="CJ1258" s="14">
        <v>11204</v>
      </c>
      <c r="CK1258" s="15" t="s">
        <v>249</v>
      </c>
      <c r="CL1258" s="15">
        <f>RecData[[#This Row],[Start Time]]</f>
        <v>43277.040972222225</v>
      </c>
      <c r="CM1258" s="16">
        <f>RecData[[#This Row],[Wind Speed avg]]</f>
        <v>0.54</v>
      </c>
      <c r="CN1258" s="16">
        <f>RecData[[#This Row],[Wind Dir. avg]]</f>
        <v>162.6</v>
      </c>
      <c r="CO1258" s="16">
        <f>RecData[[#This Row],[Amb. Humidity]]</f>
        <v>88.7</v>
      </c>
      <c r="CP1258" s="16">
        <f>RecData[[#This Row],[Amb. Temperature]]</f>
        <v>8</v>
      </c>
      <c r="CQ1258" s="17">
        <f>RecData[[#This Row],[Amb. Rain Gauge]]</f>
        <v>0</v>
      </c>
      <c r="CR1258" s="4" t="s">
        <v>257</v>
      </c>
      <c r="CS1258" s="4" t="s">
        <v>49</v>
      </c>
      <c r="CT1258" s="70">
        <v>645.94805908203102</v>
      </c>
      <c r="CU1258" s="70">
        <v>154.10957336425699</v>
      </c>
      <c r="CV1258" s="70">
        <v>7.5342106819152797</v>
      </c>
      <c r="CW1258" s="70">
        <v>12.162178993225</v>
      </c>
      <c r="CX1258" s="4" t="s">
        <v>49</v>
      </c>
      <c r="CY1258" s="69" t="s">
        <v>255</v>
      </c>
      <c r="CZ1258" s="2" t="b">
        <f>IF($DP$1="YES",IF(RecData[[#This Row],[Power (kW)]]&gt;=$CR$3, TRUE,FALSE),TRUE)</f>
        <v>0</v>
      </c>
      <c r="DA1258" s="16">
        <f>MIN(MOD(180-ABS(ABS($DA$1-RecData[Yaw Angle (°)])-180),360),MOD(180-ABS(ABS($DB$1-RecData[Yaw Angle (°)])-180),360))</f>
        <v>146.57964658656942</v>
      </c>
      <c r="DB1258" s="2" t="str">
        <f>IF($DP$2="None","None",IF(RecData[[#This Row],[Relative Wind Direction]]&lt;=45,"DW",IF(RecData[[#This Row],[Relative Wind Direction]]&lt;=135,"CW","UW")))</f>
        <v>UW</v>
      </c>
      <c r="DC1258" s="61" t="e">
        <f>IF($CL1258-#REF!&gt;1/24,#REF!,IF(SUM($CQ1258:$CQ1258)&gt;$DS$1,$DS$5,#REF!-1))</f>
        <v>#REF!</v>
      </c>
      <c r="DD1258" s="61" t="e">
        <f>IF(#REF!-$CL1258&gt;1/24,#REF!,IF(SUM($CQ1258:$CQ1258)&gt;$DS$1,$DS$6,#REF!-1))</f>
        <v>#REF!</v>
      </c>
      <c r="DE1258" s="18" t="b">
        <v>0</v>
      </c>
      <c r="DF1258" s="2" t="b">
        <f>IF(OR(RecData[[#This Row],[WSpd_Avg '[m/s']]]-RecData[[#This Row],[Wind Speed min]]&gt;=$DF$3,RecData[[#This Row],[Wind Speed max]]-RecData[[#This Row],[WSpd_Avg '[m/s']]]&gt;=$DF$2),TRUE,FALSE)</f>
        <v>0</v>
      </c>
      <c r="DG1258" s="2" t="b">
        <f>RecData[[#This Row],[Temperature '[°C']]]&lt;=-20</f>
        <v>0</v>
      </c>
      <c r="DH1258" s="18" t="b">
        <f>NOT(OR(MOD(RecData[[#This Row],[TIMESTAMP]],1)&gt;0.91632,MOD(RecData[[#This Row],[TIMESTAMP]],1)&lt;0.208681))</f>
        <v>0</v>
      </c>
      <c r="DI1258" s="18" t="b">
        <f>RecData[[#This Row],[Overall (dBA)]]-RecData[[#This Row],[L90]]&gt;=$DS$4</f>
        <v>0</v>
      </c>
      <c r="DJ1258" s="18" t="b">
        <f>RecData[[#This Row],[Overall (dBA)]]&gt;$DS$2</f>
        <v>0</v>
      </c>
      <c r="DK1258" s="18" t="b">
        <f>RecData[[#This Row],[Overall (dBA)]]&lt;$DS$3</f>
        <v>0</v>
      </c>
      <c r="DL125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58" s="2">
        <f>IF(AND(RecData[[#This Row],[Turbines ON/OFF]] = "OFF", NOT(OR(RecData[[#This Row],[Junk?]]="YES",RecData[[#This Row],[Gust?]],RecData[[#This Row],[Rain?]:[Min SPL Threshold?]]))),1,0)</f>
        <v>0</v>
      </c>
      <c r="DN1258" s="16">
        <f>RecData[[#This Row],[dBA Sum]]</f>
        <v>30.084462173711298</v>
      </c>
      <c r="DO1258" s="16">
        <f>RecData[[#This Row],[LAF90.0]]</f>
        <v>28.9</v>
      </c>
      <c r="DP1258" s="55" t="str">
        <f>IF(AND(RecData[[#This Row],[Useable TON Data?]],RecData[[#This Row],[Turbines ON/OFF]]="ON"),RecData[[#This Row],[dBA Sum]],"")</f>
        <v/>
      </c>
      <c r="DQ1258" s="55" t="str">
        <f>IF(AND(RecData[[#This Row],[Useable Background Data?]],RecData[[#This Row],[Turbines ON/OFF]]="OFF"),RecData[[#This Row],[dBA Sum]],"")</f>
        <v/>
      </c>
      <c r="DR1258" s="3" t="str">
        <f>IF(OR(RecData[[#This Row],[Useable TON Data?]],RecData[[#This Row],[Useable Background Data?]]),ROUND(RecData[[#This Row],[WSpd_Avg '[m/s']]],0),"")</f>
        <v/>
      </c>
      <c r="DS1258" s="85">
        <f>(0.00002)^2*(10^(RecData[[#This Row],[Overall (dBA)]]/10))</f>
        <v>4.0785539245392873E-7</v>
      </c>
    </row>
    <row r="1259" spans="1:123" ht="15" x14ac:dyDescent="0.25">
      <c r="A1259" s="3" t="s">
        <v>249</v>
      </c>
      <c r="B1259" s="12">
        <v>43277.05</v>
      </c>
      <c r="D1259" s="42">
        <v>30.2</v>
      </c>
      <c r="K1259" s="42">
        <v>28.4</v>
      </c>
      <c r="N1259" s="42">
        <v>155.19999999999999</v>
      </c>
      <c r="Q1259" s="42">
        <v>0.56999999999999995</v>
      </c>
      <c r="R1259" s="42">
        <v>0.3</v>
      </c>
      <c r="S1259" s="42">
        <v>0.9</v>
      </c>
      <c r="T1259" s="42">
        <v>7.8</v>
      </c>
      <c r="U1259" s="42">
        <v>88.9</v>
      </c>
      <c r="V1259" s="42">
        <v>978.8</v>
      </c>
      <c r="W1259" s="42">
        <v>0</v>
      </c>
      <c r="X1259" s="42">
        <v>35.799999999999997</v>
      </c>
      <c r="Y1259" s="42">
        <v>25.7</v>
      </c>
      <c r="Z1259" s="42">
        <v>26.7</v>
      </c>
      <c r="AA1259" s="42">
        <v>25.6</v>
      </c>
      <c r="AB1259" s="42">
        <v>20.100000000000001</v>
      </c>
      <c r="AC1259" s="42">
        <v>23.2</v>
      </c>
      <c r="AD1259" s="42">
        <v>26.6</v>
      </c>
      <c r="AE1259" s="42">
        <v>32.6</v>
      </c>
      <c r="AF1259" s="42">
        <v>35.6</v>
      </c>
      <c r="AG1259" s="42">
        <v>33.4</v>
      </c>
      <c r="AH1259" s="42">
        <v>29.7</v>
      </c>
      <c r="AI1259" s="42">
        <v>31.9</v>
      </c>
      <c r="AJ1259" s="42">
        <v>27.5</v>
      </c>
      <c r="AK1259" s="42">
        <v>25.6</v>
      </c>
      <c r="AL1259" s="42">
        <v>21.7</v>
      </c>
      <c r="AM1259" s="42">
        <v>19.3</v>
      </c>
      <c r="AN1259" s="42">
        <v>16.8</v>
      </c>
      <c r="AO1259" s="42">
        <v>13.3</v>
      </c>
      <c r="AP1259" s="42">
        <v>10.8</v>
      </c>
      <c r="AQ1259" s="42">
        <v>10.8</v>
      </c>
      <c r="AR1259" s="42">
        <v>8.3000000000000007</v>
      </c>
      <c r="AS1259" s="42">
        <v>11</v>
      </c>
      <c r="AT1259" s="42">
        <v>13</v>
      </c>
      <c r="AU1259" s="42">
        <v>7.3</v>
      </c>
      <c r="AV1259" s="42">
        <v>8</v>
      </c>
      <c r="AW1259" s="42">
        <v>8.5</v>
      </c>
      <c r="AX1259" s="42">
        <v>8.8000000000000007</v>
      </c>
      <c r="AY1259" s="42">
        <v>9</v>
      </c>
      <c r="AZ1259" s="42">
        <v>0</v>
      </c>
      <c r="BA1259" s="42">
        <v>0</v>
      </c>
      <c r="BB1259" s="42">
        <v>0</v>
      </c>
      <c r="BC1259" s="42">
        <v>30.184162587273384</v>
      </c>
      <c r="BD1259" s="42">
        <v>35.815837412726616</v>
      </c>
      <c r="BE1259" s="42">
        <v>25.715837412726614</v>
      </c>
      <c r="BF1259" s="42">
        <v>25.475837412726612</v>
      </c>
      <c r="BG1259" s="42">
        <v>24.702504079393279</v>
      </c>
      <c r="BH1259" s="42">
        <v>19.342504079393287</v>
      </c>
      <c r="BI1259" s="42">
        <v>22.855837412726615</v>
      </c>
      <c r="BJ1259" s="42">
        <v>27.04917074605995</v>
      </c>
      <c r="BK1259" s="42">
        <v>32.922504079393285</v>
      </c>
      <c r="BL1259" s="42">
        <v>35.495837412726623</v>
      </c>
      <c r="BM1259" s="42">
        <v>33.429170746059945</v>
      </c>
      <c r="BN1259" s="42">
        <v>30.012504079393281</v>
      </c>
      <c r="BO1259" s="42">
        <v>31.579170746059951</v>
      </c>
      <c r="BP1259" s="42">
        <v>26.895837412726614</v>
      </c>
      <c r="BQ1259" s="42">
        <v>25.412504079393273</v>
      </c>
      <c r="BR1259" s="42">
        <v>21.839170746059949</v>
      </c>
      <c r="BS1259" s="42">
        <v>19.242504079393278</v>
      </c>
      <c r="BT1259" s="42">
        <v>16.939170746059951</v>
      </c>
      <c r="BU1259" s="42">
        <v>13.405837412726619</v>
      </c>
      <c r="BV1259" s="42">
        <v>10.622504079393281</v>
      </c>
      <c r="BW1259" s="42">
        <v>11.155837412726619</v>
      </c>
      <c r="BX1259" s="42">
        <v>8.5758374127266208</v>
      </c>
      <c r="BY1259" s="42">
        <v>11.095837412726617</v>
      </c>
      <c r="BZ1259" s="42">
        <v>13.225837412726619</v>
      </c>
      <c r="CA1259" s="42">
        <v>7.6258374127266038</v>
      </c>
      <c r="CB1259" s="42">
        <v>7.7625040793932811</v>
      </c>
      <c r="CC1259" s="42">
        <v>8.4758374127266123</v>
      </c>
      <c r="CD1259" s="42">
        <v>8.0825040793932885</v>
      </c>
      <c r="CE1259" s="42">
        <v>8.4758374127266123</v>
      </c>
      <c r="CF1259" s="42">
        <v>-0.91082925394005088</v>
      </c>
      <c r="CG1259" s="42">
        <v>-1.4441625872733823</v>
      </c>
      <c r="CH1259" s="42">
        <v>-2.5208292539400503</v>
      </c>
      <c r="CI1259" s="13">
        <f>[1]!dbasum(RecData[[#This Row],[20]:[2000]],RecData[[#Headers],[20]:[2000]])</f>
        <v>29.750785833550104</v>
      </c>
      <c r="CJ1259" s="14">
        <v>11217</v>
      </c>
      <c r="CK1259" s="15" t="s">
        <v>249</v>
      </c>
      <c r="CL1259" s="15">
        <f>RecData[[#This Row],[Start Time]]</f>
        <v>43277.05</v>
      </c>
      <c r="CM1259" s="16">
        <f>RecData[[#This Row],[Wind Speed avg]]</f>
        <v>0.56999999999999995</v>
      </c>
      <c r="CN1259" s="16">
        <f>RecData[[#This Row],[Wind Dir. avg]]</f>
        <v>155.19999999999999</v>
      </c>
      <c r="CO1259" s="16">
        <f>RecData[[#This Row],[Amb. Humidity]]</f>
        <v>88.9</v>
      </c>
      <c r="CP1259" s="16">
        <f>RecData[[#This Row],[Amb. Temperature]]</f>
        <v>7.8</v>
      </c>
      <c r="CQ1259" s="17">
        <f>RecData[[#This Row],[Amb. Rain Gauge]]</f>
        <v>0</v>
      </c>
      <c r="CR1259" s="4" t="s">
        <v>257</v>
      </c>
      <c r="CS1259" s="4" t="s">
        <v>49</v>
      </c>
      <c r="CT1259" s="70">
        <v>664.86755371093705</v>
      </c>
      <c r="CU1259" s="70">
        <v>153.00129699707</v>
      </c>
      <c r="CV1259" s="70">
        <v>7.3988747596740696</v>
      </c>
      <c r="CW1259" s="70">
        <v>12.293586730956999</v>
      </c>
      <c r="CX1259" s="4" t="s">
        <v>49</v>
      </c>
      <c r="CY1259" s="69" t="s">
        <v>255</v>
      </c>
      <c r="CZ1259" s="2" t="b">
        <f>IF($DP$1="YES",IF(RecData[[#This Row],[Power (kW)]]&gt;=$CR$3, TRUE,FALSE),TRUE)</f>
        <v>0</v>
      </c>
      <c r="DA1259" s="16">
        <f>MIN(MOD(180-ABS(ABS($DA$1-RecData[Yaw Angle (°)])-180),360),MOD(180-ABS(ABS($DB$1-RecData[Yaw Angle (°)])-180),360))</f>
        <v>145.47137021938244</v>
      </c>
      <c r="DB1259" s="2" t="str">
        <f>IF($DP$2="None","None",IF(RecData[[#This Row],[Relative Wind Direction]]&lt;=45,"DW",IF(RecData[[#This Row],[Relative Wind Direction]]&lt;=135,"CW","UW")))</f>
        <v>UW</v>
      </c>
      <c r="DC1259" s="61" t="e">
        <f>IF($CL1259-#REF!&gt;1/24,#REF!,IF(SUM($CQ1259:$CQ1259)&gt;$DS$1,$DS$5,#REF!-1))</f>
        <v>#REF!</v>
      </c>
      <c r="DD1259" s="61" t="e">
        <f>IF(#REF!-$CL1259&gt;1/24,#REF!,IF(SUM($CQ1259:$CQ1259)&gt;$DS$1,$DS$6,#REF!-1))</f>
        <v>#REF!</v>
      </c>
      <c r="DE1259" s="18" t="b">
        <v>0</v>
      </c>
      <c r="DF1259" s="2" t="b">
        <f>IF(OR(RecData[[#This Row],[WSpd_Avg '[m/s']]]-RecData[[#This Row],[Wind Speed min]]&gt;=$DF$3,RecData[[#This Row],[Wind Speed max]]-RecData[[#This Row],[WSpd_Avg '[m/s']]]&gt;=$DF$2),TRUE,FALSE)</f>
        <v>0</v>
      </c>
      <c r="DG1259" s="2" t="b">
        <f>RecData[[#This Row],[Temperature '[°C']]]&lt;=-20</f>
        <v>0</v>
      </c>
      <c r="DH1259" s="18" t="b">
        <f>NOT(OR(MOD(RecData[[#This Row],[TIMESTAMP]],1)&gt;0.91632,MOD(RecData[[#This Row],[TIMESTAMP]],1)&lt;0.208681))</f>
        <v>0</v>
      </c>
      <c r="DI1259" s="18" t="b">
        <f>RecData[[#This Row],[Overall (dBA)]]-RecData[[#This Row],[L90]]&gt;=$DS$4</f>
        <v>0</v>
      </c>
      <c r="DJ1259" s="18" t="b">
        <f>RecData[[#This Row],[Overall (dBA)]]&gt;$DS$2</f>
        <v>0</v>
      </c>
      <c r="DK1259" s="18" t="b">
        <f>RecData[[#This Row],[Overall (dBA)]]&lt;$DS$3</f>
        <v>0</v>
      </c>
      <c r="DL125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59" s="2">
        <f>IF(AND(RecData[[#This Row],[Turbines ON/OFF]] = "OFF", NOT(OR(RecData[[#This Row],[Junk?]]="YES",RecData[[#This Row],[Gust?]],RecData[[#This Row],[Rain?]:[Min SPL Threshold?]]))),1,0)</f>
        <v>0</v>
      </c>
      <c r="DN1259" s="16">
        <f>RecData[[#This Row],[dBA Sum]]</f>
        <v>29.750785833550104</v>
      </c>
      <c r="DO1259" s="16">
        <f>RecData[[#This Row],[LAF90.0]]</f>
        <v>28.4</v>
      </c>
      <c r="DP1259" s="55" t="str">
        <f>IF(AND(RecData[[#This Row],[Useable TON Data?]],RecData[[#This Row],[Turbines ON/OFF]]="ON"),RecData[[#This Row],[dBA Sum]],"")</f>
        <v/>
      </c>
      <c r="DQ1259" s="55" t="str">
        <f>IF(AND(RecData[[#This Row],[Useable Background Data?]],RecData[[#This Row],[Turbines ON/OFF]]="OFF"),RecData[[#This Row],[dBA Sum]],"")</f>
        <v/>
      </c>
      <c r="DR1259" s="3" t="str">
        <f>IF(OR(RecData[[#This Row],[Useable TON Data?]],RecData[[#This Row],[Useable Background Data?]]),ROUND(RecData[[#This Row],[WSpd_Avg '[m/s']]],0),"")</f>
        <v/>
      </c>
      <c r="DS1259" s="85">
        <f>(0.00002)^2*(10^(RecData[[#This Row],[Overall (dBA)]]/10))</f>
        <v>3.7769268588256787E-7</v>
      </c>
    </row>
    <row r="1260" spans="1:123" ht="15" x14ac:dyDescent="0.25">
      <c r="A1260" s="3" t="s">
        <v>249</v>
      </c>
      <c r="B1260" s="12">
        <v>43277.055555555562</v>
      </c>
      <c r="D1260" s="42">
        <v>31.4</v>
      </c>
      <c r="K1260" s="42">
        <v>29.3</v>
      </c>
      <c r="N1260" s="42">
        <v>156.5</v>
      </c>
      <c r="Q1260" s="42">
        <v>0.64</v>
      </c>
      <c r="R1260" s="42">
        <v>0.5</v>
      </c>
      <c r="S1260" s="42">
        <v>1</v>
      </c>
      <c r="T1260" s="42">
        <v>7.7</v>
      </c>
      <c r="U1260" s="42">
        <v>87.7</v>
      </c>
      <c r="V1260" s="42">
        <v>978.7</v>
      </c>
      <c r="W1260" s="42">
        <v>0</v>
      </c>
      <c r="X1260" s="42">
        <v>36.200000000000003</v>
      </c>
      <c r="Y1260" s="42">
        <v>25.9</v>
      </c>
      <c r="Z1260" s="42">
        <v>27</v>
      </c>
      <c r="AA1260" s="42">
        <v>25.6</v>
      </c>
      <c r="AB1260" s="42">
        <v>20.399999999999999</v>
      </c>
      <c r="AC1260" s="42">
        <v>24.1</v>
      </c>
      <c r="AD1260" s="42">
        <v>27.9</v>
      </c>
      <c r="AE1260" s="42">
        <v>33.1</v>
      </c>
      <c r="AF1260" s="42">
        <v>36.200000000000003</v>
      </c>
      <c r="AG1260" s="42">
        <v>33.9</v>
      </c>
      <c r="AH1260" s="42">
        <v>31</v>
      </c>
      <c r="AI1260" s="42">
        <v>33</v>
      </c>
      <c r="AJ1260" s="42">
        <v>29</v>
      </c>
      <c r="AK1260" s="42">
        <v>27</v>
      </c>
      <c r="AL1260" s="42">
        <v>23</v>
      </c>
      <c r="AM1260" s="42">
        <v>20.6</v>
      </c>
      <c r="AN1260" s="42">
        <v>18.3</v>
      </c>
      <c r="AO1260" s="42">
        <v>14.4</v>
      </c>
      <c r="AP1260" s="42">
        <v>11.7</v>
      </c>
      <c r="AQ1260" s="42">
        <v>11.3</v>
      </c>
      <c r="AR1260" s="42">
        <v>8.9</v>
      </c>
      <c r="AS1260" s="42">
        <v>15.5</v>
      </c>
      <c r="AT1260" s="42">
        <v>15.9</v>
      </c>
      <c r="AU1260" s="42">
        <v>7.8</v>
      </c>
      <c r="AV1260" s="42">
        <v>8.6</v>
      </c>
      <c r="AW1260" s="42">
        <v>8.8000000000000007</v>
      </c>
      <c r="AX1260" s="42">
        <v>8.8000000000000007</v>
      </c>
      <c r="AY1260" s="42">
        <v>9</v>
      </c>
      <c r="AZ1260" s="42">
        <v>0</v>
      </c>
      <c r="BA1260" s="42">
        <v>0</v>
      </c>
      <c r="BB1260" s="42">
        <v>0</v>
      </c>
      <c r="BC1260" s="42">
        <v>31.419130621192256</v>
      </c>
      <c r="BD1260" s="42">
        <v>36.180869378807742</v>
      </c>
      <c r="BE1260" s="42">
        <v>25.880869378807741</v>
      </c>
      <c r="BF1260" s="42">
        <v>25.740869378807741</v>
      </c>
      <c r="BG1260" s="42">
        <v>24.667536045474403</v>
      </c>
      <c r="BH1260" s="42">
        <v>19.607536045474415</v>
      </c>
      <c r="BI1260" s="42">
        <v>23.720869378807745</v>
      </c>
      <c r="BJ1260" s="42">
        <v>28.314202712141078</v>
      </c>
      <c r="BK1260" s="42">
        <v>33.38753604547442</v>
      </c>
      <c r="BL1260" s="42">
        <v>36.060869378807752</v>
      </c>
      <c r="BM1260" s="42">
        <v>33.89420271214108</v>
      </c>
      <c r="BN1260" s="42">
        <v>31.27753604547441</v>
      </c>
      <c r="BO1260" s="42">
        <v>32.64420271214108</v>
      </c>
      <c r="BP1260" s="42">
        <v>28.360869378807745</v>
      </c>
      <c r="BQ1260" s="42">
        <v>26.777536045474402</v>
      </c>
      <c r="BR1260" s="42">
        <v>23.104202712141078</v>
      </c>
      <c r="BS1260" s="42">
        <v>20.507536045474406</v>
      </c>
      <c r="BT1260" s="42">
        <v>18.404202712141082</v>
      </c>
      <c r="BU1260" s="42">
        <v>14.470869378807745</v>
      </c>
      <c r="BV1260" s="42">
        <v>11.48753604547441</v>
      </c>
      <c r="BW1260" s="42">
        <v>11.62086937880775</v>
      </c>
      <c r="BX1260" s="42">
        <v>9.1408693788077464</v>
      </c>
      <c r="BY1260" s="42">
        <v>15.560869378807741</v>
      </c>
      <c r="BZ1260" s="42">
        <v>16.090869378807749</v>
      </c>
      <c r="CA1260" s="42">
        <v>8.090869378807735</v>
      </c>
      <c r="CB1260" s="42">
        <v>8.3275360454744067</v>
      </c>
      <c r="CC1260" s="42">
        <v>8.7408693788077407</v>
      </c>
      <c r="CD1260" s="42">
        <v>8.0475360454744127</v>
      </c>
      <c r="CE1260" s="42">
        <v>8.4408693788077436</v>
      </c>
      <c r="CF1260" s="42">
        <v>-0.94579728785892314</v>
      </c>
      <c r="CG1260" s="42">
        <v>-1.4791306211922546</v>
      </c>
      <c r="CH1260" s="42">
        <v>-2.5557972878589226</v>
      </c>
      <c r="CI1260" s="13">
        <f>[1]!dbasum(RecData[[#This Row],[20]:[2000]],RecData[[#Headers],[20]:[2000]])</f>
        <v>30.828833561740467</v>
      </c>
      <c r="CJ1260" s="14">
        <v>11225</v>
      </c>
      <c r="CK1260" s="15" t="s">
        <v>249</v>
      </c>
      <c r="CL1260" s="15">
        <f>RecData[[#This Row],[Start Time]]</f>
        <v>43277.055555555562</v>
      </c>
      <c r="CM1260" s="16">
        <f>RecData[[#This Row],[Wind Speed avg]]</f>
        <v>0.64</v>
      </c>
      <c r="CN1260" s="16">
        <f>RecData[[#This Row],[Wind Dir. avg]]</f>
        <v>156.5</v>
      </c>
      <c r="CO1260" s="16">
        <f>RecData[[#This Row],[Amb. Humidity]]</f>
        <v>87.7</v>
      </c>
      <c r="CP1260" s="16">
        <f>RecData[[#This Row],[Amb. Temperature]]</f>
        <v>7.7</v>
      </c>
      <c r="CQ1260" s="17">
        <f>RecData[[#This Row],[Amb. Rain Gauge]]</f>
        <v>0</v>
      </c>
      <c r="CR1260" s="4" t="s">
        <v>257</v>
      </c>
      <c r="CS1260" s="4" t="s">
        <v>49</v>
      </c>
      <c r="CT1260" s="70">
        <v>664.86755371093705</v>
      </c>
      <c r="CU1260" s="70">
        <v>153.00129699707</v>
      </c>
      <c r="CV1260" s="70">
        <v>7.3988747596740696</v>
      </c>
      <c r="CW1260" s="70">
        <v>12.293586730956999</v>
      </c>
      <c r="CX1260" s="4" t="s">
        <v>49</v>
      </c>
      <c r="CY1260" s="69" t="s">
        <v>255</v>
      </c>
      <c r="CZ1260" s="2" t="b">
        <f>IF($DP$1="YES",IF(RecData[[#This Row],[Power (kW)]]&gt;=$CR$3, TRUE,FALSE),TRUE)</f>
        <v>0</v>
      </c>
      <c r="DA1260" s="16">
        <f>MIN(MOD(180-ABS(ABS($DA$1-RecData[Yaw Angle (°)])-180),360),MOD(180-ABS(ABS($DB$1-RecData[Yaw Angle (°)])-180),360))</f>
        <v>145.47137021938244</v>
      </c>
      <c r="DB1260" s="2" t="str">
        <f>IF($DP$2="None","None",IF(RecData[[#This Row],[Relative Wind Direction]]&lt;=45,"DW",IF(RecData[[#This Row],[Relative Wind Direction]]&lt;=135,"CW","UW")))</f>
        <v>UW</v>
      </c>
      <c r="DC1260" s="61" t="e">
        <f>IF($CL1260-#REF!&gt;1/24,#REF!,IF(SUM($CQ1260:$CQ1260)&gt;$DS$1,$DS$5,#REF!-1))</f>
        <v>#REF!</v>
      </c>
      <c r="DD1260" s="61" t="e">
        <f>IF(#REF!-$CL1260&gt;1/24,#REF!,IF(SUM($CQ1260:$CQ1260)&gt;$DS$1,$DS$6,#REF!-1))</f>
        <v>#REF!</v>
      </c>
      <c r="DE1260" s="18" t="b">
        <v>0</v>
      </c>
      <c r="DF1260" s="2" t="b">
        <f>IF(OR(RecData[[#This Row],[WSpd_Avg '[m/s']]]-RecData[[#This Row],[Wind Speed min]]&gt;=$DF$3,RecData[[#This Row],[Wind Speed max]]-RecData[[#This Row],[WSpd_Avg '[m/s']]]&gt;=$DF$2),TRUE,FALSE)</f>
        <v>0</v>
      </c>
      <c r="DG1260" s="2" t="b">
        <f>RecData[[#This Row],[Temperature '[°C']]]&lt;=-20</f>
        <v>0</v>
      </c>
      <c r="DH1260" s="18" t="b">
        <f>NOT(OR(MOD(RecData[[#This Row],[TIMESTAMP]],1)&gt;0.91632,MOD(RecData[[#This Row],[TIMESTAMP]],1)&lt;0.208681))</f>
        <v>0</v>
      </c>
      <c r="DI1260" s="18" t="b">
        <f>RecData[[#This Row],[Overall (dBA)]]-RecData[[#This Row],[L90]]&gt;=$DS$4</f>
        <v>0</v>
      </c>
      <c r="DJ1260" s="18" t="b">
        <f>RecData[[#This Row],[Overall (dBA)]]&gt;$DS$2</f>
        <v>0</v>
      </c>
      <c r="DK1260" s="18" t="b">
        <f>RecData[[#This Row],[Overall (dBA)]]&lt;$DS$3</f>
        <v>0</v>
      </c>
      <c r="DL126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0" s="2">
        <f>IF(AND(RecData[[#This Row],[Turbines ON/OFF]] = "OFF", NOT(OR(RecData[[#This Row],[Junk?]]="YES",RecData[[#This Row],[Gust?]],RecData[[#This Row],[Rain?]:[Min SPL Threshold?]]))),1,0)</f>
        <v>0</v>
      </c>
      <c r="DN1260" s="16">
        <f>RecData[[#This Row],[dBA Sum]]</f>
        <v>30.828833561740467</v>
      </c>
      <c r="DO1260" s="16">
        <f>RecData[[#This Row],[LAF90.0]]</f>
        <v>29.3</v>
      </c>
      <c r="DP1260" s="55" t="str">
        <f>IF(AND(RecData[[#This Row],[Useable TON Data?]],RecData[[#This Row],[Turbines ON/OFF]]="ON"),RecData[[#This Row],[dBA Sum]],"")</f>
        <v/>
      </c>
      <c r="DQ1260" s="55" t="str">
        <f>IF(AND(RecData[[#This Row],[Useable Background Data?]],RecData[[#This Row],[Turbines ON/OFF]]="OFF"),RecData[[#This Row],[dBA Sum]],"")</f>
        <v/>
      </c>
      <c r="DR1260" s="3" t="str">
        <f>IF(OR(RecData[[#This Row],[Useable TON Data?]],RecData[[#This Row],[Useable Background Data?]]),ROUND(RecData[[#This Row],[WSpd_Avg '[m/s']]],0),"")</f>
        <v/>
      </c>
      <c r="DS1260" s="85">
        <f>(0.00002)^2*(10^(RecData[[#This Row],[Overall (dBA)]]/10))</f>
        <v>4.8410921277498529E-7</v>
      </c>
    </row>
    <row r="1261" spans="1:123" ht="15" x14ac:dyDescent="0.25">
      <c r="A1261" s="3" t="s">
        <v>249</v>
      </c>
      <c r="B1261" s="12">
        <v>43277.059722222228</v>
      </c>
      <c r="D1261" s="42">
        <v>32.6</v>
      </c>
      <c r="K1261" s="42">
        <v>30.3</v>
      </c>
      <c r="N1261" s="42">
        <v>154.6</v>
      </c>
      <c r="Q1261" s="42">
        <v>0.53</v>
      </c>
      <c r="R1261" s="42">
        <v>0.3</v>
      </c>
      <c r="S1261" s="42">
        <v>0.8</v>
      </c>
      <c r="T1261" s="42">
        <v>7.6</v>
      </c>
      <c r="U1261" s="42">
        <v>89</v>
      </c>
      <c r="V1261" s="42">
        <v>978.7</v>
      </c>
      <c r="W1261" s="42">
        <v>0</v>
      </c>
      <c r="X1261" s="42">
        <v>36.200000000000003</v>
      </c>
      <c r="Y1261" s="42">
        <v>26.6</v>
      </c>
      <c r="Z1261" s="42">
        <v>27.5</v>
      </c>
      <c r="AA1261" s="42">
        <v>26</v>
      </c>
      <c r="AB1261" s="42">
        <v>21.4</v>
      </c>
      <c r="AC1261" s="42">
        <v>25.2</v>
      </c>
      <c r="AD1261" s="42">
        <v>28.3</v>
      </c>
      <c r="AE1261" s="42">
        <v>33.200000000000003</v>
      </c>
      <c r="AF1261" s="42">
        <v>37.700000000000003</v>
      </c>
      <c r="AG1261" s="42">
        <v>35</v>
      </c>
      <c r="AH1261" s="42">
        <v>31.3</v>
      </c>
      <c r="AI1261" s="42">
        <v>33.799999999999997</v>
      </c>
      <c r="AJ1261" s="42">
        <v>30</v>
      </c>
      <c r="AK1261" s="42">
        <v>28.2</v>
      </c>
      <c r="AL1261" s="42">
        <v>24.6</v>
      </c>
      <c r="AM1261" s="42">
        <v>22.1</v>
      </c>
      <c r="AN1261" s="42">
        <v>19.7</v>
      </c>
      <c r="AO1261" s="42">
        <v>15.4</v>
      </c>
      <c r="AP1261" s="42">
        <v>12.7</v>
      </c>
      <c r="AQ1261" s="42">
        <v>12.2</v>
      </c>
      <c r="AR1261" s="42">
        <v>9.1999999999999993</v>
      </c>
      <c r="AS1261" s="42">
        <v>16.7</v>
      </c>
      <c r="AT1261" s="42">
        <v>18.8</v>
      </c>
      <c r="AU1261" s="42">
        <v>11.7</v>
      </c>
      <c r="AV1261" s="42">
        <v>11.6</v>
      </c>
      <c r="AW1261" s="42">
        <v>8.9</v>
      </c>
      <c r="AX1261" s="42">
        <v>8.9</v>
      </c>
      <c r="AY1261" s="42">
        <v>9.1</v>
      </c>
      <c r="AZ1261" s="42">
        <v>0</v>
      </c>
      <c r="BA1261" s="42">
        <v>0</v>
      </c>
      <c r="BB1261" s="42">
        <v>0</v>
      </c>
      <c r="BC1261" s="42">
        <v>32.58992947138249</v>
      </c>
      <c r="BD1261" s="42">
        <v>36.210070528617521</v>
      </c>
      <c r="BE1261" s="42">
        <v>26.610070528617513</v>
      </c>
      <c r="BF1261" s="42">
        <v>26.270070528617509</v>
      </c>
      <c r="BG1261" s="42">
        <v>25.096737195284177</v>
      </c>
      <c r="BH1261" s="42">
        <v>20.636737195284184</v>
      </c>
      <c r="BI1261" s="42">
        <v>24.850070528617508</v>
      </c>
      <c r="BJ1261" s="42">
        <v>28.743403861950846</v>
      </c>
      <c r="BK1261" s="42">
        <v>33.516737195284179</v>
      </c>
      <c r="BL1261" s="42">
        <v>37.590070528617517</v>
      </c>
      <c r="BM1261" s="42">
        <v>35.023403861950854</v>
      </c>
      <c r="BN1261" s="42">
        <v>31.606737195284182</v>
      </c>
      <c r="BO1261" s="42">
        <v>33.473403861950842</v>
      </c>
      <c r="BP1261" s="42">
        <v>29.390070528617514</v>
      </c>
      <c r="BQ1261" s="42">
        <v>28.006737195284167</v>
      </c>
      <c r="BR1261" s="42">
        <v>24.733403861950848</v>
      </c>
      <c r="BS1261" s="42">
        <v>22.036737195284175</v>
      </c>
      <c r="BT1261" s="42">
        <v>19.833403861950842</v>
      </c>
      <c r="BU1261" s="42">
        <v>15.500070528617513</v>
      </c>
      <c r="BV1261" s="42">
        <v>12.516737195284179</v>
      </c>
      <c r="BW1261" s="42">
        <v>12.55007052861751</v>
      </c>
      <c r="BX1261" s="42">
        <v>9.4700705286175122</v>
      </c>
      <c r="BY1261" s="42">
        <v>16.790070528617505</v>
      </c>
      <c r="BZ1261" s="42">
        <v>19.020070528617516</v>
      </c>
      <c r="CA1261" s="42">
        <v>12.020070528617502</v>
      </c>
      <c r="CB1261" s="42">
        <v>11.356737195284175</v>
      </c>
      <c r="CC1261" s="42">
        <v>8.8700705286175108</v>
      </c>
      <c r="CD1261" s="42">
        <v>8.1767371952841827</v>
      </c>
      <c r="CE1261" s="42">
        <v>8.5700705286175065</v>
      </c>
      <c r="CF1261" s="42">
        <v>-0.91659613804915452</v>
      </c>
      <c r="CG1261" s="42">
        <v>-1.449929471382486</v>
      </c>
      <c r="CH1261" s="42">
        <v>-2.526596138049154</v>
      </c>
      <c r="CI1261" s="13">
        <f>[1]!dbasum(RecData[[#This Row],[20]:[2000]],RecData[[#Headers],[20]:[2000]])</f>
        <v>31.913539711065987</v>
      </c>
      <c r="CJ1261" s="14">
        <v>11231</v>
      </c>
      <c r="CK1261" s="15" t="s">
        <v>249</v>
      </c>
      <c r="CL1261" s="15">
        <f>RecData[[#This Row],[Start Time]]</f>
        <v>43277.059722222228</v>
      </c>
      <c r="CM1261" s="16">
        <f>RecData[[#This Row],[Wind Speed avg]]</f>
        <v>0.53</v>
      </c>
      <c r="CN1261" s="16">
        <f>RecData[[#This Row],[Wind Dir. avg]]</f>
        <v>154.6</v>
      </c>
      <c r="CO1261" s="16">
        <f>RecData[[#This Row],[Amb. Humidity]]</f>
        <v>89</v>
      </c>
      <c r="CP1261" s="16">
        <f>RecData[[#This Row],[Amb. Temperature]]</f>
        <v>7.6</v>
      </c>
      <c r="CQ1261" s="17">
        <f>RecData[[#This Row],[Amb. Rain Gauge]]</f>
        <v>0</v>
      </c>
      <c r="CR1261" s="4" t="s">
        <v>257</v>
      </c>
      <c r="CS1261" s="4" t="s">
        <v>49</v>
      </c>
      <c r="CT1261" s="70">
        <v>782.24188232421795</v>
      </c>
      <c r="CU1261" s="70">
        <v>153.00129699707</v>
      </c>
      <c r="CV1261" s="70">
        <v>8.0659751892089808</v>
      </c>
      <c r="CW1261" s="70">
        <v>12.9482097625732</v>
      </c>
      <c r="CX1261" s="4" t="s">
        <v>49</v>
      </c>
      <c r="CY1261" s="69" t="s">
        <v>255</v>
      </c>
      <c r="CZ1261" s="2" t="b">
        <f>IF($DP$1="YES",IF(RecData[[#This Row],[Power (kW)]]&gt;=$CR$3, TRUE,FALSE),TRUE)</f>
        <v>0</v>
      </c>
      <c r="DA1261" s="16">
        <f>MIN(MOD(180-ABS(ABS($DA$1-RecData[Yaw Angle (°)])-180),360),MOD(180-ABS(ABS($DB$1-RecData[Yaw Angle (°)])-180),360))</f>
        <v>145.47137021938244</v>
      </c>
      <c r="DB1261" s="2" t="str">
        <f>IF($DP$2="None","None",IF(RecData[[#This Row],[Relative Wind Direction]]&lt;=45,"DW",IF(RecData[[#This Row],[Relative Wind Direction]]&lt;=135,"CW","UW")))</f>
        <v>UW</v>
      </c>
      <c r="DC1261" s="61" t="e">
        <f>IF($CL1261-#REF!&gt;1/24,#REF!,IF(SUM($CQ1261:$CQ1261)&gt;$DS$1,$DS$5,#REF!-1))</f>
        <v>#REF!</v>
      </c>
      <c r="DD1261" s="61" t="e">
        <f>IF(#REF!-$CL1261&gt;1/24,#REF!,IF(SUM($CQ1261:$CQ1261)&gt;$DS$1,$DS$6,#REF!-1))</f>
        <v>#REF!</v>
      </c>
      <c r="DE1261" s="18" t="b">
        <v>0</v>
      </c>
      <c r="DF1261" s="2" t="b">
        <f>IF(OR(RecData[[#This Row],[WSpd_Avg '[m/s']]]-RecData[[#This Row],[Wind Speed min]]&gt;=$DF$3,RecData[[#This Row],[Wind Speed max]]-RecData[[#This Row],[WSpd_Avg '[m/s']]]&gt;=$DF$2),TRUE,FALSE)</f>
        <v>0</v>
      </c>
      <c r="DG1261" s="2" t="b">
        <f>RecData[[#This Row],[Temperature '[°C']]]&lt;=-20</f>
        <v>0</v>
      </c>
      <c r="DH1261" s="18" t="b">
        <f>NOT(OR(MOD(RecData[[#This Row],[TIMESTAMP]],1)&gt;0.91632,MOD(RecData[[#This Row],[TIMESTAMP]],1)&lt;0.208681))</f>
        <v>0</v>
      </c>
      <c r="DI1261" s="18" t="b">
        <f>RecData[[#This Row],[Overall (dBA)]]-RecData[[#This Row],[L90]]&gt;=$DS$4</f>
        <v>0</v>
      </c>
      <c r="DJ1261" s="18" t="b">
        <f>RecData[[#This Row],[Overall (dBA)]]&gt;$DS$2</f>
        <v>0</v>
      </c>
      <c r="DK1261" s="18" t="b">
        <f>RecData[[#This Row],[Overall (dBA)]]&lt;$DS$3</f>
        <v>0</v>
      </c>
      <c r="DL126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1" s="2">
        <f>IF(AND(RecData[[#This Row],[Turbines ON/OFF]] = "OFF", NOT(OR(RecData[[#This Row],[Junk?]]="YES",RecData[[#This Row],[Gust?]],RecData[[#This Row],[Rain?]:[Min SPL Threshold?]]))),1,0)</f>
        <v>0</v>
      </c>
      <c r="DN1261" s="16">
        <f>RecData[[#This Row],[dBA Sum]]</f>
        <v>31.913539711065987</v>
      </c>
      <c r="DO1261" s="16">
        <f>RecData[[#This Row],[LAF90.0]]</f>
        <v>30.3</v>
      </c>
      <c r="DP1261" s="55" t="str">
        <f>IF(AND(RecData[[#This Row],[Useable TON Data?]],RecData[[#This Row],[Turbines ON/OFF]]="ON"),RecData[[#This Row],[dBA Sum]],"")</f>
        <v/>
      </c>
      <c r="DQ1261" s="55" t="str">
        <f>IF(AND(RecData[[#This Row],[Useable Background Data?]],RecData[[#This Row],[Turbines ON/OFF]]="OFF"),RecData[[#This Row],[dBA Sum]],"")</f>
        <v/>
      </c>
      <c r="DR1261" s="3" t="str">
        <f>IF(OR(RecData[[#This Row],[Useable TON Data?]],RecData[[#This Row],[Useable Background Data?]]),ROUND(RecData[[#This Row],[WSpd_Avg '[m/s']]],0),"")</f>
        <v/>
      </c>
      <c r="DS1261" s="85">
        <f>(0.00002)^2*(10^(RecData[[#This Row],[Overall (dBA)]]/10))</f>
        <v>6.2146111863027943E-7</v>
      </c>
    </row>
    <row r="1262" spans="1:123" ht="15" x14ac:dyDescent="0.25">
      <c r="A1262" s="3" t="s">
        <v>249</v>
      </c>
      <c r="B1262" s="12">
        <v>43277.061805555561</v>
      </c>
      <c r="D1262" s="42">
        <v>32.6</v>
      </c>
      <c r="K1262" s="42">
        <v>30.8</v>
      </c>
      <c r="N1262" s="42">
        <v>160.69999999999999</v>
      </c>
      <c r="Q1262" s="42">
        <v>0.8</v>
      </c>
      <c r="R1262" s="42">
        <v>0.6</v>
      </c>
      <c r="S1262" s="42">
        <v>1</v>
      </c>
      <c r="T1262" s="42">
        <v>7.6</v>
      </c>
      <c r="U1262" s="42">
        <v>88.5</v>
      </c>
      <c r="V1262" s="42">
        <v>978.7</v>
      </c>
      <c r="W1262" s="42">
        <v>0</v>
      </c>
      <c r="X1262" s="42">
        <v>36.299999999999997</v>
      </c>
      <c r="Y1262" s="42">
        <v>26.3</v>
      </c>
      <c r="Z1262" s="42">
        <v>27.4</v>
      </c>
      <c r="AA1262" s="42">
        <v>26.8</v>
      </c>
      <c r="AB1262" s="42">
        <v>21.5</v>
      </c>
      <c r="AC1262" s="42">
        <v>25.1</v>
      </c>
      <c r="AD1262" s="42">
        <v>27.9</v>
      </c>
      <c r="AE1262" s="42">
        <v>32.6</v>
      </c>
      <c r="AF1262" s="42">
        <v>37.799999999999997</v>
      </c>
      <c r="AG1262" s="42">
        <v>35</v>
      </c>
      <c r="AH1262" s="42">
        <v>31.1</v>
      </c>
      <c r="AI1262" s="42">
        <v>33.9</v>
      </c>
      <c r="AJ1262" s="42">
        <v>30</v>
      </c>
      <c r="AK1262" s="42">
        <v>28.2</v>
      </c>
      <c r="AL1262" s="42">
        <v>24.5</v>
      </c>
      <c r="AM1262" s="42">
        <v>22.1</v>
      </c>
      <c r="AN1262" s="42">
        <v>19.8</v>
      </c>
      <c r="AO1262" s="42">
        <v>15.9</v>
      </c>
      <c r="AP1262" s="42">
        <v>13.5</v>
      </c>
      <c r="AQ1262" s="42">
        <v>11.9</v>
      </c>
      <c r="AR1262" s="42">
        <v>8.5</v>
      </c>
      <c r="AS1262" s="42">
        <v>17</v>
      </c>
      <c r="AT1262" s="42">
        <v>19.399999999999999</v>
      </c>
      <c r="AU1262" s="42">
        <v>7.3</v>
      </c>
      <c r="AV1262" s="42">
        <v>7.9</v>
      </c>
      <c r="AW1262" s="42">
        <v>8.5</v>
      </c>
      <c r="AX1262" s="42">
        <v>8.8000000000000007</v>
      </c>
      <c r="AY1262" s="42">
        <v>9</v>
      </c>
      <c r="AZ1262" s="42">
        <v>0</v>
      </c>
      <c r="BA1262" s="42">
        <v>0</v>
      </c>
      <c r="BB1262" s="42">
        <v>0</v>
      </c>
      <c r="BC1262" s="42">
        <v>32.598753565914642</v>
      </c>
      <c r="BD1262" s="42">
        <v>36.301246434085364</v>
      </c>
      <c r="BE1262" s="42">
        <v>26.301246434085364</v>
      </c>
      <c r="BF1262" s="42">
        <v>26.161246434085363</v>
      </c>
      <c r="BG1262" s="42">
        <v>25.887913100752023</v>
      </c>
      <c r="BH1262" s="42">
        <v>20.727913100752026</v>
      </c>
      <c r="BI1262" s="42">
        <v>24.741246434085362</v>
      </c>
      <c r="BJ1262" s="42">
        <v>28.334579767418695</v>
      </c>
      <c r="BK1262" s="42">
        <v>32.907913100752019</v>
      </c>
      <c r="BL1262" s="42">
        <v>37.681246434085359</v>
      </c>
      <c r="BM1262" s="42">
        <v>35.014579767418702</v>
      </c>
      <c r="BN1262" s="42">
        <v>31.397913100752028</v>
      </c>
      <c r="BO1262" s="42">
        <v>33.564579767418685</v>
      </c>
      <c r="BP1262" s="42">
        <v>29.381246434085362</v>
      </c>
      <c r="BQ1262" s="42">
        <v>27.997913100752015</v>
      </c>
      <c r="BR1262" s="42">
        <v>24.624579767418695</v>
      </c>
      <c r="BS1262" s="42">
        <v>22.027913100752023</v>
      </c>
      <c r="BT1262" s="42">
        <v>19.924579767418699</v>
      </c>
      <c r="BU1262" s="42">
        <v>15.991246434085362</v>
      </c>
      <c r="BV1262" s="42">
        <v>13.307913100752025</v>
      </c>
      <c r="BW1262" s="42">
        <v>12.241246434085362</v>
      </c>
      <c r="BX1262" s="42">
        <v>8.7612464340853649</v>
      </c>
      <c r="BY1262" s="42">
        <v>17.081246434085358</v>
      </c>
      <c r="BZ1262" s="42">
        <v>19.611246434085366</v>
      </c>
      <c r="CA1262" s="42">
        <v>7.6112464340853521</v>
      </c>
      <c r="CB1262" s="42">
        <v>7.647913100752028</v>
      </c>
      <c r="CC1262" s="42">
        <v>8.4612464340853606</v>
      </c>
      <c r="CD1262" s="42">
        <v>8.0679131007520297</v>
      </c>
      <c r="CE1262" s="42">
        <v>8.4612464340853606</v>
      </c>
      <c r="CF1262" s="42">
        <v>-0.92542023258130612</v>
      </c>
      <c r="CG1262" s="42">
        <v>-1.4587535659146376</v>
      </c>
      <c r="CH1262" s="42">
        <v>-2.5354202325813056</v>
      </c>
      <c r="CI1262" s="13">
        <f>[1]!dbasum(RecData[[#This Row],[20]:[2000]],RecData[[#Headers],[20]:[2000]])</f>
        <v>31.918243964732305</v>
      </c>
      <c r="CJ1262" s="14">
        <v>11234</v>
      </c>
      <c r="CK1262" s="15" t="s">
        <v>249</v>
      </c>
      <c r="CL1262" s="15">
        <f>RecData[[#This Row],[Start Time]]</f>
        <v>43277.061805555561</v>
      </c>
      <c r="CM1262" s="16">
        <f>RecData[[#This Row],[Wind Speed avg]]</f>
        <v>0.8</v>
      </c>
      <c r="CN1262" s="16">
        <f>RecData[[#This Row],[Wind Dir. avg]]</f>
        <v>160.69999999999999</v>
      </c>
      <c r="CO1262" s="16">
        <f>RecData[[#This Row],[Amb. Humidity]]</f>
        <v>88.5</v>
      </c>
      <c r="CP1262" s="16">
        <f>RecData[[#This Row],[Amb. Temperature]]</f>
        <v>7.6</v>
      </c>
      <c r="CQ1262" s="17">
        <f>RecData[[#This Row],[Amb. Rain Gauge]]</f>
        <v>0</v>
      </c>
      <c r="CR1262" s="4" t="s">
        <v>257</v>
      </c>
      <c r="CS1262" s="4" t="s">
        <v>49</v>
      </c>
      <c r="CT1262" s="70">
        <v>782.24188232421795</v>
      </c>
      <c r="CU1262" s="70">
        <v>153.00129699707</v>
      </c>
      <c r="CV1262" s="70">
        <v>8.0659751892089808</v>
      </c>
      <c r="CW1262" s="70">
        <v>12.9482097625732</v>
      </c>
      <c r="CX1262" s="4" t="s">
        <v>49</v>
      </c>
      <c r="CY1262" s="69" t="s">
        <v>255</v>
      </c>
      <c r="CZ1262" s="2" t="b">
        <f>IF($DP$1="YES",IF(RecData[[#This Row],[Power (kW)]]&gt;=$CR$3, TRUE,FALSE),TRUE)</f>
        <v>0</v>
      </c>
      <c r="DA1262" s="16">
        <f>MIN(MOD(180-ABS(ABS($DA$1-RecData[Yaw Angle (°)])-180),360),MOD(180-ABS(ABS($DB$1-RecData[Yaw Angle (°)])-180),360))</f>
        <v>145.47137021938244</v>
      </c>
      <c r="DB1262" s="2" t="str">
        <f>IF($DP$2="None","None",IF(RecData[[#This Row],[Relative Wind Direction]]&lt;=45,"DW",IF(RecData[[#This Row],[Relative Wind Direction]]&lt;=135,"CW","UW")))</f>
        <v>UW</v>
      </c>
      <c r="DC1262" s="61" t="e">
        <f>IF($CL1262-#REF!&gt;1/24,#REF!,IF(SUM($CQ1262:$CQ1262)&gt;$DS$1,$DS$5,#REF!-1))</f>
        <v>#REF!</v>
      </c>
      <c r="DD1262" s="61" t="e">
        <f>IF(#REF!-$CL1262&gt;1/24,#REF!,IF(SUM($CQ1262:$CQ1262)&gt;$DS$1,$DS$6,#REF!-1))</f>
        <v>#REF!</v>
      </c>
      <c r="DE1262" s="18" t="b">
        <v>0</v>
      </c>
      <c r="DF1262" s="2" t="b">
        <f>IF(OR(RecData[[#This Row],[WSpd_Avg '[m/s']]]-RecData[[#This Row],[Wind Speed min]]&gt;=$DF$3,RecData[[#This Row],[Wind Speed max]]-RecData[[#This Row],[WSpd_Avg '[m/s']]]&gt;=$DF$2),TRUE,FALSE)</f>
        <v>0</v>
      </c>
      <c r="DG1262" s="2" t="b">
        <f>RecData[[#This Row],[Temperature '[°C']]]&lt;=-20</f>
        <v>0</v>
      </c>
      <c r="DH1262" s="18" t="b">
        <f>NOT(OR(MOD(RecData[[#This Row],[TIMESTAMP]],1)&gt;0.91632,MOD(RecData[[#This Row],[TIMESTAMP]],1)&lt;0.208681))</f>
        <v>0</v>
      </c>
      <c r="DI1262" s="18" t="b">
        <f>RecData[[#This Row],[Overall (dBA)]]-RecData[[#This Row],[L90]]&gt;=$DS$4</f>
        <v>0</v>
      </c>
      <c r="DJ1262" s="18" t="b">
        <f>RecData[[#This Row],[Overall (dBA)]]&gt;$DS$2</f>
        <v>0</v>
      </c>
      <c r="DK1262" s="18" t="b">
        <f>RecData[[#This Row],[Overall (dBA)]]&lt;$DS$3</f>
        <v>0</v>
      </c>
      <c r="DL126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2" s="2">
        <f>IF(AND(RecData[[#This Row],[Turbines ON/OFF]] = "OFF", NOT(OR(RecData[[#This Row],[Junk?]]="YES",RecData[[#This Row],[Gust?]],RecData[[#This Row],[Rain?]:[Min SPL Threshold?]]))),1,0)</f>
        <v>0</v>
      </c>
      <c r="DN1262" s="16">
        <f>RecData[[#This Row],[dBA Sum]]</f>
        <v>31.918243964732305</v>
      </c>
      <c r="DO1262" s="16">
        <f>RecData[[#This Row],[LAF90.0]]</f>
        <v>30.8</v>
      </c>
      <c r="DP1262" s="55" t="str">
        <f>IF(AND(RecData[[#This Row],[Useable TON Data?]],RecData[[#This Row],[Turbines ON/OFF]]="ON"),RecData[[#This Row],[dBA Sum]],"")</f>
        <v/>
      </c>
      <c r="DQ1262" s="55" t="str">
        <f>IF(AND(RecData[[#This Row],[Useable Background Data?]],RecData[[#This Row],[Turbines ON/OFF]]="OFF"),RecData[[#This Row],[dBA Sum]],"")</f>
        <v/>
      </c>
      <c r="DR1262" s="3" t="str">
        <f>IF(OR(RecData[[#This Row],[Useable TON Data?]],RecData[[#This Row],[Useable Background Data?]]),ROUND(RecData[[#This Row],[WSpd_Avg '[m/s']]],0),"")</f>
        <v/>
      </c>
      <c r="DS1262" s="85">
        <f>(0.00002)^2*(10^(RecData[[#This Row],[Overall (dBA)]]/10))</f>
        <v>6.2213464657153087E-7</v>
      </c>
    </row>
    <row r="1263" spans="1:123" ht="15" x14ac:dyDescent="0.25">
      <c r="A1263" s="3" t="s">
        <v>249</v>
      </c>
      <c r="B1263" s="12">
        <v>43277.075000000004</v>
      </c>
      <c r="D1263" s="42">
        <v>32.299999999999997</v>
      </c>
      <c r="K1263" s="42">
        <v>30.4</v>
      </c>
      <c r="N1263" s="42">
        <v>124.8</v>
      </c>
      <c r="Q1263" s="42">
        <v>0.75</v>
      </c>
      <c r="R1263" s="42">
        <v>0.5</v>
      </c>
      <c r="S1263" s="42">
        <v>1</v>
      </c>
      <c r="T1263" s="42">
        <v>7.6</v>
      </c>
      <c r="U1263" s="42">
        <v>89.9</v>
      </c>
      <c r="V1263" s="42">
        <v>978.6</v>
      </c>
      <c r="W1263" s="42">
        <v>0</v>
      </c>
      <c r="X1263" s="42">
        <v>35.200000000000003</v>
      </c>
      <c r="Y1263" s="42">
        <v>30.6</v>
      </c>
      <c r="Z1263" s="42">
        <v>29.4</v>
      </c>
      <c r="AA1263" s="42">
        <v>27.8</v>
      </c>
      <c r="AB1263" s="42">
        <v>22.8</v>
      </c>
      <c r="AC1263" s="42">
        <v>25.8</v>
      </c>
      <c r="AD1263" s="42">
        <v>28.4</v>
      </c>
      <c r="AE1263" s="42">
        <v>33.299999999999997</v>
      </c>
      <c r="AF1263" s="42">
        <v>38.5</v>
      </c>
      <c r="AG1263" s="42">
        <v>34.6</v>
      </c>
      <c r="AH1263" s="42">
        <v>31.3</v>
      </c>
      <c r="AI1263" s="42">
        <v>33.799999999999997</v>
      </c>
      <c r="AJ1263" s="42">
        <v>29.9</v>
      </c>
      <c r="AK1263" s="42">
        <v>28.2</v>
      </c>
      <c r="AL1263" s="42">
        <v>24.5</v>
      </c>
      <c r="AM1263" s="42">
        <v>21.9</v>
      </c>
      <c r="AN1263" s="42">
        <v>19.399999999999999</v>
      </c>
      <c r="AO1263" s="42">
        <v>15.2</v>
      </c>
      <c r="AP1263" s="42">
        <v>12.4</v>
      </c>
      <c r="AQ1263" s="42">
        <v>11.4</v>
      </c>
      <c r="AR1263" s="42">
        <v>8.4</v>
      </c>
      <c r="AS1263" s="42">
        <v>12.1</v>
      </c>
      <c r="AT1263" s="42">
        <v>15.7</v>
      </c>
      <c r="AU1263" s="42">
        <v>7.2</v>
      </c>
      <c r="AV1263" s="42">
        <v>7.9</v>
      </c>
      <c r="AW1263" s="42">
        <v>8.5</v>
      </c>
      <c r="AX1263" s="42">
        <v>8.8000000000000007</v>
      </c>
      <c r="AY1263" s="42">
        <v>9.1</v>
      </c>
      <c r="AZ1263" s="42">
        <v>0</v>
      </c>
      <c r="BA1263" s="42">
        <v>0</v>
      </c>
      <c r="BB1263" s="42">
        <v>0</v>
      </c>
      <c r="BC1263" s="42">
        <v>32.283094327748486</v>
      </c>
      <c r="BD1263" s="42">
        <v>35.216905672251514</v>
      </c>
      <c r="BE1263" s="42">
        <v>30.616905672251512</v>
      </c>
      <c r="BF1263" s="42">
        <v>28.176905672251507</v>
      </c>
      <c r="BG1263" s="42">
        <v>26.903572338918174</v>
      </c>
      <c r="BH1263" s="42">
        <v>22.043572338918182</v>
      </c>
      <c r="BI1263" s="42">
        <v>25.456905672251509</v>
      </c>
      <c r="BJ1263" s="42">
        <v>28.850239005584839</v>
      </c>
      <c r="BK1263" s="42">
        <v>33.62357233891818</v>
      </c>
      <c r="BL1263" s="42">
        <v>38.396905672251521</v>
      </c>
      <c r="BM1263" s="42">
        <v>34.630239005584841</v>
      </c>
      <c r="BN1263" s="42">
        <v>31.613572338918175</v>
      </c>
      <c r="BO1263" s="42">
        <v>33.480239005584835</v>
      </c>
      <c r="BP1263" s="42">
        <v>29.296905672251512</v>
      </c>
      <c r="BQ1263" s="42">
        <v>28.013572338918166</v>
      </c>
      <c r="BR1263" s="42">
        <v>24.640239005584846</v>
      </c>
      <c r="BS1263" s="42">
        <v>21.843572338918179</v>
      </c>
      <c r="BT1263" s="42">
        <v>19.540239005584844</v>
      </c>
      <c r="BU1263" s="42">
        <v>15.306905672251517</v>
      </c>
      <c r="BV1263" s="42">
        <v>12.223572338918174</v>
      </c>
      <c r="BW1263" s="42">
        <v>11.756905672251513</v>
      </c>
      <c r="BX1263" s="42">
        <v>8.6769056722515145</v>
      </c>
      <c r="BY1263" s="42">
        <v>12.196905672251511</v>
      </c>
      <c r="BZ1263" s="42">
        <v>15.926905672251515</v>
      </c>
      <c r="CA1263" s="42">
        <v>7.5269056722515018</v>
      </c>
      <c r="CB1263" s="42">
        <v>7.6635723389181791</v>
      </c>
      <c r="CC1263" s="42">
        <v>8.4769056722515117</v>
      </c>
      <c r="CD1263" s="42">
        <v>8.0835723389181808</v>
      </c>
      <c r="CE1263" s="42">
        <v>8.5769056722515131</v>
      </c>
      <c r="CF1263" s="42">
        <v>-0.90976099441515501</v>
      </c>
      <c r="CG1263" s="42">
        <v>-1.4430943277484864</v>
      </c>
      <c r="CH1263" s="42">
        <v>-2.5197609944151544</v>
      </c>
      <c r="CI1263" s="13">
        <f>[1]!dbasum(RecData[[#This Row],[20]:[2000]],RecData[[#Headers],[20]:[2000]])</f>
        <v>31.890831086981851</v>
      </c>
      <c r="CJ1263" s="14">
        <v>11253</v>
      </c>
      <c r="CK1263" s="15" t="s">
        <v>249</v>
      </c>
      <c r="CL1263" s="15">
        <f>RecData[[#This Row],[Start Time]]</f>
        <v>43277.075000000004</v>
      </c>
      <c r="CM1263" s="16">
        <f>RecData[[#This Row],[Wind Speed avg]]</f>
        <v>0.75</v>
      </c>
      <c r="CN1263" s="16">
        <f>RecData[[#This Row],[Wind Dir. avg]]</f>
        <v>124.8</v>
      </c>
      <c r="CO1263" s="16">
        <f>RecData[[#This Row],[Amb. Humidity]]</f>
        <v>89.9</v>
      </c>
      <c r="CP1263" s="16">
        <f>RecData[[#This Row],[Amb. Temperature]]</f>
        <v>7.6</v>
      </c>
      <c r="CQ1263" s="17">
        <f>RecData[[#This Row],[Amb. Rain Gauge]]</f>
        <v>0</v>
      </c>
      <c r="CR1263" s="4" t="s">
        <v>1</v>
      </c>
      <c r="CS1263" s="4" t="s">
        <v>49</v>
      </c>
      <c r="CT1263" s="70">
        <v>821.55804443359295</v>
      </c>
      <c r="CU1263" s="70">
        <v>153.00129699707</v>
      </c>
      <c r="CV1263" s="70">
        <v>7.8971538543701101</v>
      </c>
      <c r="CW1263" s="70">
        <v>13.145336151123001</v>
      </c>
      <c r="CX1263" s="4" t="s">
        <v>49</v>
      </c>
      <c r="CY1263" s="69" t="s">
        <v>255</v>
      </c>
      <c r="CZ1263" s="2" t="b">
        <f>IF($DP$1="YES",IF(RecData[[#This Row],[Power (kW)]]&gt;=$CR$3, TRUE,FALSE),TRUE)</f>
        <v>0</v>
      </c>
      <c r="DA1263" s="16">
        <f>MIN(MOD(180-ABS(ABS($DA$1-RecData[Yaw Angle (°)])-180),360),MOD(180-ABS(ABS($DB$1-RecData[Yaw Angle (°)])-180),360))</f>
        <v>145.47137021938244</v>
      </c>
      <c r="DB1263" s="2" t="str">
        <f>IF($DP$2="None","None",IF(RecData[[#This Row],[Relative Wind Direction]]&lt;=45,"DW",IF(RecData[[#This Row],[Relative Wind Direction]]&lt;=135,"CW","UW")))</f>
        <v>UW</v>
      </c>
      <c r="DC1263" s="61" t="e">
        <f>IF($CL1263-#REF!&gt;1/24,#REF!,IF(SUM($CQ1263:$CQ1263)&gt;$DS$1,$DS$5,#REF!-1))</f>
        <v>#REF!</v>
      </c>
      <c r="DD1263" s="61" t="e">
        <f>IF(#REF!-$CL1263&gt;1/24,#REF!,IF(SUM($CQ1263:$CQ1263)&gt;$DS$1,$DS$6,#REF!-1))</f>
        <v>#REF!</v>
      </c>
      <c r="DE1263" s="18" t="b">
        <v>0</v>
      </c>
      <c r="DF1263" s="2" t="b">
        <f>IF(OR(RecData[[#This Row],[WSpd_Avg '[m/s']]]-RecData[[#This Row],[Wind Speed min]]&gt;=$DF$3,RecData[[#This Row],[Wind Speed max]]-RecData[[#This Row],[WSpd_Avg '[m/s']]]&gt;=$DF$2),TRUE,FALSE)</f>
        <v>0</v>
      </c>
      <c r="DG1263" s="2" t="b">
        <f>RecData[[#This Row],[Temperature '[°C']]]&lt;=-20</f>
        <v>0</v>
      </c>
      <c r="DH1263" s="18" t="b">
        <f>NOT(OR(MOD(RecData[[#This Row],[TIMESTAMP]],1)&gt;0.91632,MOD(RecData[[#This Row],[TIMESTAMP]],1)&lt;0.208681))</f>
        <v>0</v>
      </c>
      <c r="DI1263" s="18" t="b">
        <f>RecData[[#This Row],[Overall (dBA)]]-RecData[[#This Row],[L90]]&gt;=$DS$4</f>
        <v>0</v>
      </c>
      <c r="DJ1263" s="18" t="b">
        <f>RecData[[#This Row],[Overall (dBA)]]&gt;$DS$2</f>
        <v>0</v>
      </c>
      <c r="DK1263" s="18" t="b">
        <f>RecData[[#This Row],[Overall (dBA)]]&lt;$DS$3</f>
        <v>0</v>
      </c>
      <c r="DL126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3" s="2">
        <f>IF(AND(RecData[[#This Row],[Turbines ON/OFF]] = "OFF", NOT(OR(RecData[[#This Row],[Junk?]]="YES",RecData[[#This Row],[Gust?]],RecData[[#This Row],[Rain?]:[Min SPL Threshold?]]))),1,0)</f>
        <v>0</v>
      </c>
      <c r="DN1263" s="16">
        <f>RecData[[#This Row],[dBA Sum]]</f>
        <v>31.890831086981851</v>
      </c>
      <c r="DO1263" s="16">
        <f>RecData[[#This Row],[LAF90.0]]</f>
        <v>30.4</v>
      </c>
      <c r="DP1263" s="55" t="str">
        <f>IF(AND(RecData[[#This Row],[Useable TON Data?]],RecData[[#This Row],[Turbines ON/OFF]]="ON"),RecData[[#This Row],[dBA Sum]],"")</f>
        <v/>
      </c>
      <c r="DQ1263" s="55" t="str">
        <f>IF(AND(RecData[[#This Row],[Useable Background Data?]],RecData[[#This Row],[Turbines ON/OFF]]="OFF"),RecData[[#This Row],[dBA Sum]],"")</f>
        <v/>
      </c>
      <c r="DR1263" s="3" t="str">
        <f>IF(OR(RecData[[#This Row],[Useable TON Data?]],RecData[[#This Row],[Useable Background Data?]]),ROUND(RecData[[#This Row],[WSpd_Avg '[m/s']]],0),"")</f>
        <v/>
      </c>
      <c r="DS1263" s="85">
        <f>(0.00002)^2*(10^(RecData[[#This Row],[Overall (dBA)]]/10))</f>
        <v>6.1822007008701668E-7</v>
      </c>
    </row>
    <row r="1264" spans="1:123" ht="15" x14ac:dyDescent="0.25">
      <c r="A1264" s="3" t="s">
        <v>249</v>
      </c>
      <c r="B1264" s="12">
        <v>43277.077777777784</v>
      </c>
      <c r="D1264" s="42">
        <v>30.7</v>
      </c>
      <c r="K1264" s="42">
        <v>29.3</v>
      </c>
      <c r="N1264" s="42">
        <v>107.4</v>
      </c>
      <c r="Q1264" s="42">
        <v>0.41</v>
      </c>
      <c r="R1264" s="42">
        <v>0.2</v>
      </c>
      <c r="S1264" s="42">
        <v>0.8</v>
      </c>
      <c r="T1264" s="42">
        <v>7.6</v>
      </c>
      <c r="U1264" s="42">
        <v>89.7</v>
      </c>
      <c r="V1264" s="42">
        <v>978.5</v>
      </c>
      <c r="W1264" s="42">
        <v>0</v>
      </c>
      <c r="X1264" s="42">
        <v>36.1</v>
      </c>
      <c r="Y1264" s="42">
        <v>27.8</v>
      </c>
      <c r="Z1264" s="42">
        <v>28.4</v>
      </c>
      <c r="AA1264" s="42">
        <v>26.5</v>
      </c>
      <c r="AB1264" s="42">
        <v>21.7</v>
      </c>
      <c r="AC1264" s="42">
        <v>24.4</v>
      </c>
      <c r="AD1264" s="42">
        <v>28.2</v>
      </c>
      <c r="AE1264" s="42">
        <v>33.1</v>
      </c>
      <c r="AF1264" s="42">
        <v>36.4</v>
      </c>
      <c r="AG1264" s="42">
        <v>33.6</v>
      </c>
      <c r="AH1264" s="42">
        <v>30.4</v>
      </c>
      <c r="AI1264" s="42">
        <v>32.299999999999997</v>
      </c>
      <c r="AJ1264" s="42">
        <v>28.2</v>
      </c>
      <c r="AK1264" s="42">
        <v>26</v>
      </c>
      <c r="AL1264" s="42">
        <v>22.1</v>
      </c>
      <c r="AM1264" s="42">
        <v>19.8</v>
      </c>
      <c r="AN1264" s="42">
        <v>17.399999999999999</v>
      </c>
      <c r="AO1264" s="42">
        <v>13.8</v>
      </c>
      <c r="AP1264" s="42">
        <v>11.1</v>
      </c>
      <c r="AQ1264" s="42">
        <v>10.8</v>
      </c>
      <c r="AR1264" s="42">
        <v>8.1</v>
      </c>
      <c r="AS1264" s="42">
        <v>11.3</v>
      </c>
      <c r="AT1264" s="42">
        <v>14.6</v>
      </c>
      <c r="AU1264" s="42">
        <v>7.4</v>
      </c>
      <c r="AV1264" s="42">
        <v>8.1</v>
      </c>
      <c r="AW1264" s="42">
        <v>8.6999999999999993</v>
      </c>
      <c r="AX1264" s="42">
        <v>8.9</v>
      </c>
      <c r="AY1264" s="42">
        <v>9.1</v>
      </c>
      <c r="AZ1264" s="42">
        <v>0</v>
      </c>
      <c r="BA1264" s="42">
        <v>0</v>
      </c>
      <c r="BB1264" s="42">
        <v>0</v>
      </c>
      <c r="BC1264" s="42">
        <v>30.692628511923825</v>
      </c>
      <c r="BD1264" s="42">
        <v>36.107371488076168</v>
      </c>
      <c r="BE1264" s="42">
        <v>27.807371488076175</v>
      </c>
      <c r="BF1264" s="42">
        <v>27.167371488076174</v>
      </c>
      <c r="BG1264" s="42">
        <v>25.594038154742837</v>
      </c>
      <c r="BH1264" s="42">
        <v>20.93403815474284</v>
      </c>
      <c r="BI1264" s="42">
        <v>24.04737148807617</v>
      </c>
      <c r="BJ1264" s="42">
        <v>28.640704821409503</v>
      </c>
      <c r="BK1264" s="42">
        <v>33.41403815474284</v>
      </c>
      <c r="BL1264" s="42">
        <v>36.287371488076175</v>
      </c>
      <c r="BM1264" s="42">
        <v>33.620704821409504</v>
      </c>
      <c r="BN1264" s="42">
        <v>30.704038154742836</v>
      </c>
      <c r="BO1264" s="42">
        <v>31.970704821409509</v>
      </c>
      <c r="BP1264" s="42">
        <v>27.587371488076176</v>
      </c>
      <c r="BQ1264" s="42">
        <v>25.80403815474283</v>
      </c>
      <c r="BR1264" s="42">
        <v>22.230704821409507</v>
      </c>
      <c r="BS1264" s="42">
        <v>19.734038154742837</v>
      </c>
      <c r="BT1264" s="42">
        <v>17.530704821409504</v>
      </c>
      <c r="BU1264" s="42">
        <v>13.897371488076178</v>
      </c>
      <c r="BV1264" s="42">
        <v>10.914038154742844</v>
      </c>
      <c r="BW1264" s="42">
        <v>11.147371488076178</v>
      </c>
      <c r="BX1264" s="42">
        <v>8.3673714880761771</v>
      </c>
      <c r="BY1264" s="42">
        <v>11.387371488076173</v>
      </c>
      <c r="BZ1264" s="42">
        <v>14.81737148807618</v>
      </c>
      <c r="CA1264" s="42">
        <v>7.7173714880761644</v>
      </c>
      <c r="CB1264" s="42">
        <v>7.8540381547428417</v>
      </c>
      <c r="CC1264" s="42">
        <v>8.6673714880761743</v>
      </c>
      <c r="CD1264" s="42">
        <v>8.1740381547428491</v>
      </c>
      <c r="CE1264" s="42">
        <v>8.5673714880761729</v>
      </c>
      <c r="CF1264" s="42">
        <v>-0.9192951785904917</v>
      </c>
      <c r="CG1264" s="42">
        <v>-1.4526285119238231</v>
      </c>
      <c r="CH1264" s="42">
        <v>-2.5292951785904911</v>
      </c>
      <c r="CI1264" s="13">
        <f>[1]!dbasum(RecData[[#This Row],[20]:[2000]],RecData[[#Headers],[20]:[2000]])</f>
        <v>30.230486235110089</v>
      </c>
      <c r="CJ1264" s="14">
        <v>11257</v>
      </c>
      <c r="CK1264" s="15" t="s">
        <v>249</v>
      </c>
      <c r="CL1264" s="15">
        <f>RecData[[#This Row],[Start Time]]</f>
        <v>43277.077777777784</v>
      </c>
      <c r="CM1264" s="16">
        <f>RecData[[#This Row],[Wind Speed avg]]</f>
        <v>0.41</v>
      </c>
      <c r="CN1264" s="16">
        <f>RecData[[#This Row],[Wind Dir. avg]]</f>
        <v>107.4</v>
      </c>
      <c r="CO1264" s="16">
        <f>RecData[[#This Row],[Amb. Humidity]]</f>
        <v>89.7</v>
      </c>
      <c r="CP1264" s="16">
        <f>RecData[[#This Row],[Amb. Temperature]]</f>
        <v>7.6</v>
      </c>
      <c r="CQ1264" s="17">
        <f>RecData[[#This Row],[Amb. Rain Gauge]]</f>
        <v>0</v>
      </c>
      <c r="CR1264" s="4" t="s">
        <v>1</v>
      </c>
      <c r="CS1264" s="4" t="s">
        <v>49</v>
      </c>
      <c r="CT1264" s="70">
        <v>617.35870361328102</v>
      </c>
      <c r="CU1264" s="70">
        <v>152.00636291503901</v>
      </c>
      <c r="CV1264" s="70">
        <v>7.1393861770629803</v>
      </c>
      <c r="CW1264" s="70">
        <v>11.996424674987701</v>
      </c>
      <c r="CX1264" s="4" t="s">
        <v>49</v>
      </c>
      <c r="CY1264" s="69" t="s">
        <v>255</v>
      </c>
      <c r="CZ1264" s="2" t="b">
        <f>IF($DP$1="YES",IF(RecData[[#This Row],[Power (kW)]]&gt;=$CR$3, TRUE,FALSE),TRUE)</f>
        <v>0</v>
      </c>
      <c r="DA1264" s="16">
        <f>MIN(MOD(180-ABS(ABS($DA$1-RecData[Yaw Angle (°)])-180),360),MOD(180-ABS(ABS($DB$1-RecData[Yaw Angle (°)])-180),360))</f>
        <v>144.47643613735147</v>
      </c>
      <c r="DB1264" s="2" t="str">
        <f>IF($DP$2="None","None",IF(RecData[[#This Row],[Relative Wind Direction]]&lt;=45,"DW",IF(RecData[[#This Row],[Relative Wind Direction]]&lt;=135,"CW","UW")))</f>
        <v>UW</v>
      </c>
      <c r="DC1264" s="61" t="e">
        <f>IF($CL1264-$CL1263&gt;1/24,#REF!,IF(SUM($CQ1263:$CQ1264)&gt;$DS$1,$DS$5,#REF!-1))</f>
        <v>#REF!</v>
      </c>
      <c r="DD1264" s="61" t="e">
        <f>IF(#REF!-$CL1264&gt;1/24,#REF!,IF(SUM($CQ1263:$CQ1264)&gt;$DS$1,$DS$6,#REF!-1))</f>
        <v>#REF!</v>
      </c>
      <c r="DE1264" s="18" t="b">
        <v>0</v>
      </c>
      <c r="DF1264" s="2" t="b">
        <f>IF(OR(RecData[[#This Row],[WSpd_Avg '[m/s']]]-RecData[[#This Row],[Wind Speed min]]&gt;=$DF$3,RecData[[#This Row],[Wind Speed max]]-RecData[[#This Row],[WSpd_Avg '[m/s']]]&gt;=$DF$2),TRUE,FALSE)</f>
        <v>0</v>
      </c>
      <c r="DG1264" s="2" t="b">
        <f>RecData[[#This Row],[Temperature '[°C']]]&lt;=-20</f>
        <v>0</v>
      </c>
      <c r="DH1264" s="18" t="b">
        <f>NOT(OR(MOD(RecData[[#This Row],[TIMESTAMP]],1)&gt;0.91632,MOD(RecData[[#This Row],[TIMESTAMP]],1)&lt;0.208681))</f>
        <v>0</v>
      </c>
      <c r="DI1264" s="18" t="b">
        <f>RecData[[#This Row],[Overall (dBA)]]-RecData[[#This Row],[L90]]&gt;=$DS$4</f>
        <v>0</v>
      </c>
      <c r="DJ1264" s="18" t="b">
        <f>RecData[[#This Row],[Overall (dBA)]]&gt;$DS$2</f>
        <v>0</v>
      </c>
      <c r="DK1264" s="18" t="b">
        <f>RecData[[#This Row],[Overall (dBA)]]&lt;$DS$3</f>
        <v>0</v>
      </c>
      <c r="DL126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4" s="2">
        <f>IF(AND(RecData[[#This Row],[Turbines ON/OFF]] = "OFF", NOT(OR(RecData[[#This Row],[Junk?]]="YES",RecData[[#This Row],[Gust?]],RecData[[#This Row],[Rain?]:[Min SPL Threshold?]]))),1,0)</f>
        <v>0</v>
      </c>
      <c r="DN1264" s="16">
        <f>RecData[[#This Row],[dBA Sum]]</f>
        <v>30.230486235110089</v>
      </c>
      <c r="DO1264" s="16">
        <f>RecData[[#This Row],[LAF90.0]]</f>
        <v>29.3</v>
      </c>
      <c r="DP1264" s="55" t="str">
        <f>IF(AND(RecData[[#This Row],[Useable TON Data?]],RecData[[#This Row],[Turbines ON/OFF]]="ON"),RecData[[#This Row],[dBA Sum]],"")</f>
        <v/>
      </c>
      <c r="DQ1264" s="55" t="str">
        <f>IF(AND(RecData[[#This Row],[Useable Background Data?]],RecData[[#This Row],[Turbines ON/OFF]]="OFF"),RecData[[#This Row],[dBA Sum]],"")</f>
        <v/>
      </c>
      <c r="DR1264" s="3" t="str">
        <f>IF(OR(RecData[[#This Row],[Useable TON Data?]],RecData[[#This Row],[Useable Background Data?]]),ROUND(RecData[[#This Row],[WSpd_Avg '[m/s']]],0),"")</f>
        <v/>
      </c>
      <c r="DS1264" s="85">
        <f>(0.00002)^2*(10^(RecData[[#This Row],[Overall (dBA)]]/10))</f>
        <v>4.2180198076639542E-7</v>
      </c>
    </row>
    <row r="1265" spans="1:123" ht="15" x14ac:dyDescent="0.25">
      <c r="A1265" s="3" t="s">
        <v>249</v>
      </c>
      <c r="B1265" s="12">
        <v>43277.080555555563</v>
      </c>
      <c r="D1265" s="42">
        <v>31</v>
      </c>
      <c r="K1265" s="42">
        <v>28.9</v>
      </c>
      <c r="N1265" s="42">
        <v>116.2</v>
      </c>
      <c r="Q1265" s="42">
        <v>0.55000000000000004</v>
      </c>
      <c r="R1265" s="42">
        <v>0.2</v>
      </c>
      <c r="S1265" s="42">
        <v>1</v>
      </c>
      <c r="T1265" s="42">
        <v>7.5</v>
      </c>
      <c r="U1265" s="42">
        <v>89.7</v>
      </c>
      <c r="V1265" s="42">
        <v>978.5</v>
      </c>
      <c r="W1265" s="42">
        <v>0</v>
      </c>
      <c r="X1265" s="42">
        <v>38</v>
      </c>
      <c r="Y1265" s="42">
        <v>28.1</v>
      </c>
      <c r="Z1265" s="42">
        <v>28.4</v>
      </c>
      <c r="AA1265" s="42">
        <v>26.8</v>
      </c>
      <c r="AB1265" s="42">
        <v>22.6</v>
      </c>
      <c r="AC1265" s="42">
        <v>24.2</v>
      </c>
      <c r="AD1265" s="42">
        <v>28.3</v>
      </c>
      <c r="AE1265" s="42">
        <v>33.799999999999997</v>
      </c>
      <c r="AF1265" s="42">
        <v>36.5</v>
      </c>
      <c r="AG1265" s="42">
        <v>34.200000000000003</v>
      </c>
      <c r="AH1265" s="42">
        <v>31.2</v>
      </c>
      <c r="AI1265" s="42">
        <v>32.6</v>
      </c>
      <c r="AJ1265" s="42">
        <v>28.7</v>
      </c>
      <c r="AK1265" s="42">
        <v>25.8</v>
      </c>
      <c r="AL1265" s="42">
        <v>22.1</v>
      </c>
      <c r="AM1265" s="42">
        <v>19.7</v>
      </c>
      <c r="AN1265" s="42">
        <v>17.5</v>
      </c>
      <c r="AO1265" s="42">
        <v>13.7</v>
      </c>
      <c r="AP1265" s="42">
        <v>11.2</v>
      </c>
      <c r="AQ1265" s="42">
        <v>10.9</v>
      </c>
      <c r="AR1265" s="42">
        <v>8.3000000000000007</v>
      </c>
      <c r="AS1265" s="42">
        <v>11.8</v>
      </c>
      <c r="AT1265" s="42">
        <v>15.4</v>
      </c>
      <c r="AU1265" s="42">
        <v>7.3</v>
      </c>
      <c r="AV1265" s="42">
        <v>8.1</v>
      </c>
      <c r="AW1265" s="42">
        <v>8.6999999999999993</v>
      </c>
      <c r="AX1265" s="42">
        <v>8.8000000000000007</v>
      </c>
      <c r="AY1265" s="42">
        <v>9.1</v>
      </c>
      <c r="AZ1265" s="42">
        <v>0</v>
      </c>
      <c r="BA1265" s="42">
        <v>0</v>
      </c>
      <c r="BB1265" s="42">
        <v>0</v>
      </c>
      <c r="BC1265" s="42">
        <v>30.975567107951647</v>
      </c>
      <c r="BD1265" s="42">
        <v>38.024432892048353</v>
      </c>
      <c r="BE1265" s="42">
        <v>28.124432892048354</v>
      </c>
      <c r="BF1265" s="42">
        <v>27.184432892048349</v>
      </c>
      <c r="BG1265" s="42">
        <v>25.911099558715016</v>
      </c>
      <c r="BH1265" s="42">
        <v>21.851099558715021</v>
      </c>
      <c r="BI1265" s="42">
        <v>23.864432892048356</v>
      </c>
      <c r="BJ1265" s="42">
        <v>28.757766225381687</v>
      </c>
      <c r="BK1265" s="42">
        <v>34.131099558715007</v>
      </c>
      <c r="BL1265" s="42">
        <v>36.404432892048348</v>
      </c>
      <c r="BM1265" s="42">
        <v>34.237766225381691</v>
      </c>
      <c r="BN1265" s="42">
        <v>31.521099558715022</v>
      </c>
      <c r="BO1265" s="42">
        <v>32.287766225381688</v>
      </c>
      <c r="BP1265" s="42">
        <v>28.104432892048351</v>
      </c>
      <c r="BQ1265" s="42">
        <v>25.621099558715009</v>
      </c>
      <c r="BR1265" s="42">
        <v>22.247766225381689</v>
      </c>
      <c r="BS1265" s="42">
        <v>19.651099558715018</v>
      </c>
      <c r="BT1265" s="42">
        <v>17.647766225381687</v>
      </c>
      <c r="BU1265" s="42">
        <v>13.814432892048359</v>
      </c>
      <c r="BV1265" s="42">
        <v>11.03109955871502</v>
      </c>
      <c r="BW1265" s="42">
        <v>11.264432892048355</v>
      </c>
      <c r="BX1265" s="42">
        <v>8.5844328920483548</v>
      </c>
      <c r="BY1265" s="42">
        <v>11.904432892048348</v>
      </c>
      <c r="BZ1265" s="42">
        <v>15.634432892048352</v>
      </c>
      <c r="CA1265" s="42">
        <v>7.6344328920483449</v>
      </c>
      <c r="CB1265" s="42">
        <v>7.8710995587150165</v>
      </c>
      <c r="CC1265" s="42">
        <v>8.6844328920483491</v>
      </c>
      <c r="CD1265" s="42">
        <v>8.0910995587150225</v>
      </c>
      <c r="CE1265" s="42">
        <v>8.5844328920483548</v>
      </c>
      <c r="CF1265" s="42">
        <v>-0.90223377461831333</v>
      </c>
      <c r="CG1265" s="42">
        <v>-1.4355671079516448</v>
      </c>
      <c r="CH1265" s="42">
        <v>-2.5122337746183128</v>
      </c>
      <c r="CI1265" s="13">
        <f>[1]!dbasum(RecData[[#This Row],[20]:[2000]],RecData[[#Headers],[20]:[2000]])</f>
        <v>30.5184582452878</v>
      </c>
      <c r="CJ1265" s="14">
        <v>11261</v>
      </c>
      <c r="CK1265" s="15" t="s">
        <v>249</v>
      </c>
      <c r="CL1265" s="15">
        <f>RecData[[#This Row],[Start Time]]</f>
        <v>43277.080555555563</v>
      </c>
      <c r="CM1265" s="16">
        <f>RecData[[#This Row],[Wind Speed avg]]</f>
        <v>0.55000000000000004</v>
      </c>
      <c r="CN1265" s="16">
        <f>RecData[[#This Row],[Wind Dir. avg]]</f>
        <v>116.2</v>
      </c>
      <c r="CO1265" s="16">
        <f>RecData[[#This Row],[Amb. Humidity]]</f>
        <v>89.7</v>
      </c>
      <c r="CP1265" s="16">
        <f>RecData[[#This Row],[Amb. Temperature]]</f>
        <v>7.5</v>
      </c>
      <c r="CQ1265" s="17">
        <f>RecData[[#This Row],[Amb. Rain Gauge]]</f>
        <v>0</v>
      </c>
      <c r="CR1265" s="4" t="s">
        <v>1</v>
      </c>
      <c r="CS1265" s="4" t="s">
        <v>49</v>
      </c>
      <c r="CT1265" s="70">
        <v>617.35870361328102</v>
      </c>
      <c r="CU1265" s="70">
        <v>152.00636291503901</v>
      </c>
      <c r="CV1265" s="70">
        <v>7.1393861770629803</v>
      </c>
      <c r="CW1265" s="70">
        <v>11.996424674987701</v>
      </c>
      <c r="CX1265" s="4" t="s">
        <v>49</v>
      </c>
      <c r="CY1265" s="69" t="s">
        <v>255</v>
      </c>
      <c r="CZ1265" s="2" t="b">
        <f>IF($DP$1="YES",IF(RecData[[#This Row],[Power (kW)]]&gt;=$CR$3, TRUE,FALSE),TRUE)</f>
        <v>0</v>
      </c>
      <c r="DA1265" s="16">
        <f>MIN(MOD(180-ABS(ABS($DA$1-RecData[Yaw Angle (°)])-180),360),MOD(180-ABS(ABS($DB$1-RecData[Yaw Angle (°)])-180),360))</f>
        <v>144.47643613735147</v>
      </c>
      <c r="DB1265" s="2" t="str">
        <f>IF($DP$2="None","None",IF(RecData[[#This Row],[Relative Wind Direction]]&lt;=45,"DW",IF(RecData[[#This Row],[Relative Wind Direction]]&lt;=135,"CW","UW")))</f>
        <v>UW</v>
      </c>
      <c r="DC1265" s="61" t="e">
        <f>IF($CL1265-#REF!&gt;1/24,#REF!,IF(SUM($CQ1265:$CQ1265)&gt;$DS$1,$DS$5,#REF!-1))</f>
        <v>#REF!</v>
      </c>
      <c r="DD1265" s="61" t="e">
        <f>IF(#REF!-$CL1265&gt;1/24,#REF!,IF(SUM($CQ1265:$CQ1265)&gt;$DS$1,$DS$6,#REF!-1))</f>
        <v>#REF!</v>
      </c>
      <c r="DE1265" s="18" t="b">
        <v>0</v>
      </c>
      <c r="DF1265" s="2" t="b">
        <f>IF(OR(RecData[[#This Row],[WSpd_Avg '[m/s']]]-RecData[[#This Row],[Wind Speed min]]&gt;=$DF$3,RecData[[#This Row],[Wind Speed max]]-RecData[[#This Row],[WSpd_Avg '[m/s']]]&gt;=$DF$2),TRUE,FALSE)</f>
        <v>0</v>
      </c>
      <c r="DG1265" s="2" t="b">
        <f>RecData[[#This Row],[Temperature '[°C']]]&lt;=-20</f>
        <v>0</v>
      </c>
      <c r="DH1265" s="18" t="b">
        <f>NOT(OR(MOD(RecData[[#This Row],[TIMESTAMP]],1)&gt;0.91632,MOD(RecData[[#This Row],[TIMESTAMP]],1)&lt;0.208681))</f>
        <v>0</v>
      </c>
      <c r="DI1265" s="18" t="b">
        <f>RecData[[#This Row],[Overall (dBA)]]-RecData[[#This Row],[L90]]&gt;=$DS$4</f>
        <v>0</v>
      </c>
      <c r="DJ1265" s="18" t="b">
        <f>RecData[[#This Row],[Overall (dBA)]]&gt;$DS$2</f>
        <v>0</v>
      </c>
      <c r="DK1265" s="18" t="b">
        <f>RecData[[#This Row],[Overall (dBA)]]&lt;$DS$3</f>
        <v>0</v>
      </c>
      <c r="DL126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5" s="2">
        <f>IF(AND(RecData[[#This Row],[Turbines ON/OFF]] = "OFF", NOT(OR(RecData[[#This Row],[Junk?]]="YES",RecData[[#This Row],[Gust?]],RecData[[#This Row],[Rain?]:[Min SPL Threshold?]]))),1,0)</f>
        <v>0</v>
      </c>
      <c r="DN1265" s="16">
        <f>RecData[[#This Row],[dBA Sum]]</f>
        <v>30.5184582452878</v>
      </c>
      <c r="DO1265" s="16">
        <f>RecData[[#This Row],[LAF90.0]]</f>
        <v>28.9</v>
      </c>
      <c r="DP1265" s="55" t="str">
        <f>IF(AND(RecData[[#This Row],[Useable TON Data?]],RecData[[#This Row],[Turbines ON/OFF]]="ON"),RecData[[#This Row],[dBA Sum]],"")</f>
        <v/>
      </c>
      <c r="DQ1265" s="55" t="str">
        <f>IF(AND(RecData[[#This Row],[Useable Background Data?]],RecData[[#This Row],[Turbines ON/OFF]]="OFF"),RecData[[#This Row],[dBA Sum]],"")</f>
        <v/>
      </c>
      <c r="DR1265" s="3" t="str">
        <f>IF(OR(RecData[[#This Row],[Useable TON Data?]],RecData[[#This Row],[Useable Background Data?]]),ROUND(RecData[[#This Row],[WSpd_Avg '[m/s']]],0),"")</f>
        <v/>
      </c>
      <c r="DS1265" s="85">
        <f>(0.00002)^2*(10^(RecData[[#This Row],[Overall (dBA)]]/10))</f>
        <v>4.5071894787375667E-7</v>
      </c>
    </row>
    <row r="1266" spans="1:123" ht="15" x14ac:dyDescent="0.25">
      <c r="A1266" s="3" t="s">
        <v>249</v>
      </c>
      <c r="B1266" s="12">
        <v>43277.093055555561</v>
      </c>
      <c r="D1266" s="42">
        <v>31.5</v>
      </c>
      <c r="K1266" s="42">
        <v>29.4</v>
      </c>
      <c r="N1266" s="42">
        <v>124.7</v>
      </c>
      <c r="Q1266" s="42">
        <v>0.51</v>
      </c>
      <c r="R1266" s="42">
        <v>0.3</v>
      </c>
      <c r="S1266" s="42">
        <v>0.8</v>
      </c>
      <c r="T1266" s="42">
        <v>7.2</v>
      </c>
      <c r="U1266" s="42">
        <v>90.6</v>
      </c>
      <c r="V1266" s="42">
        <v>978.4</v>
      </c>
      <c r="W1266" s="42">
        <v>0</v>
      </c>
      <c r="X1266" s="42">
        <v>37.5</v>
      </c>
      <c r="Y1266" s="42">
        <v>31.7</v>
      </c>
      <c r="Z1266" s="42">
        <v>30.7</v>
      </c>
      <c r="AA1266" s="42">
        <v>28.3</v>
      </c>
      <c r="AB1266" s="42">
        <v>22.9</v>
      </c>
      <c r="AC1266" s="42">
        <v>24.8</v>
      </c>
      <c r="AD1266" s="42">
        <v>28.5</v>
      </c>
      <c r="AE1266" s="42">
        <v>33.799999999999997</v>
      </c>
      <c r="AF1266" s="42">
        <v>36.700000000000003</v>
      </c>
      <c r="AG1266" s="42">
        <v>34.5</v>
      </c>
      <c r="AH1266" s="42">
        <v>31.3</v>
      </c>
      <c r="AI1266" s="42">
        <v>33.1</v>
      </c>
      <c r="AJ1266" s="42">
        <v>29.4</v>
      </c>
      <c r="AK1266" s="42">
        <v>26.8</v>
      </c>
      <c r="AL1266" s="42">
        <v>23</v>
      </c>
      <c r="AM1266" s="42">
        <v>20.7</v>
      </c>
      <c r="AN1266" s="42">
        <v>18.399999999999999</v>
      </c>
      <c r="AO1266" s="42">
        <v>14.8</v>
      </c>
      <c r="AP1266" s="42">
        <v>12.5</v>
      </c>
      <c r="AQ1266" s="42">
        <v>11.9</v>
      </c>
      <c r="AR1266" s="42">
        <v>8.8000000000000007</v>
      </c>
      <c r="AS1266" s="42">
        <v>12.7</v>
      </c>
      <c r="AT1266" s="42">
        <v>14.3</v>
      </c>
      <c r="AU1266" s="42">
        <v>8.1999999999999993</v>
      </c>
      <c r="AV1266" s="42">
        <v>8.8000000000000007</v>
      </c>
      <c r="AW1266" s="42">
        <v>9.3000000000000007</v>
      </c>
      <c r="AX1266" s="42">
        <v>9.1</v>
      </c>
      <c r="AY1266" s="42">
        <v>9.1999999999999993</v>
      </c>
      <c r="AZ1266" s="42">
        <v>0</v>
      </c>
      <c r="BA1266" s="42">
        <v>0</v>
      </c>
      <c r="BB1266" s="42">
        <v>0</v>
      </c>
      <c r="BC1266" s="42">
        <v>31.521731868446313</v>
      </c>
      <c r="BD1266" s="42">
        <v>37.478268131553691</v>
      </c>
      <c r="BE1266" s="42">
        <v>31.67826813155369</v>
      </c>
      <c r="BF1266" s="42">
        <v>29.438268131553688</v>
      </c>
      <c r="BG1266" s="42">
        <v>27.36493479822035</v>
      </c>
      <c r="BH1266" s="42">
        <v>22.104934798220352</v>
      </c>
      <c r="BI1266" s="42">
        <v>24.418268131553685</v>
      </c>
      <c r="BJ1266" s="42">
        <v>28.911601464887024</v>
      </c>
      <c r="BK1266" s="42">
        <v>34.084934798220345</v>
      </c>
      <c r="BL1266" s="42">
        <v>36.558268131553703</v>
      </c>
      <c r="BM1266" s="42">
        <v>34.491601464887026</v>
      </c>
      <c r="BN1266" s="42">
        <v>31.574934798220351</v>
      </c>
      <c r="BO1266" s="42">
        <v>32.741601464887026</v>
      </c>
      <c r="BP1266" s="42">
        <v>28.758268131553688</v>
      </c>
      <c r="BQ1266" s="42">
        <v>26.574934798220344</v>
      </c>
      <c r="BR1266" s="42">
        <v>23.101601464887022</v>
      </c>
      <c r="BS1266" s="42">
        <v>20.604934798220352</v>
      </c>
      <c r="BT1266" s="42">
        <v>18.50160146488702</v>
      </c>
      <c r="BU1266" s="42">
        <v>14.868268131553688</v>
      </c>
      <c r="BV1266" s="42">
        <v>12.284934798220352</v>
      </c>
      <c r="BW1266" s="42">
        <v>12.218268131553689</v>
      </c>
      <c r="BX1266" s="42">
        <v>9.0382681315536892</v>
      </c>
      <c r="BY1266" s="42">
        <v>12.758268131553688</v>
      </c>
      <c r="BZ1266" s="42">
        <v>14.488268131553692</v>
      </c>
      <c r="CA1266" s="42">
        <v>8.4882681315536779</v>
      </c>
      <c r="CB1266" s="42">
        <v>8.5249347982203538</v>
      </c>
      <c r="CC1266" s="42">
        <v>9.238268131553685</v>
      </c>
      <c r="CD1266" s="42">
        <v>8.3449347982203612</v>
      </c>
      <c r="CE1266" s="42">
        <v>8.6382681315536836</v>
      </c>
      <c r="CF1266" s="42">
        <v>-0.94839853511297889</v>
      </c>
      <c r="CG1266" s="42">
        <v>-1.4817318684463103</v>
      </c>
      <c r="CH1266" s="42">
        <v>-2.5583985351129783</v>
      </c>
      <c r="CI1266" s="13">
        <f>[1]!dbasum(RecData[[#This Row],[20]:[2000]],RecData[[#Headers],[20]:[2000]])</f>
        <v>31.059913303824338</v>
      </c>
      <c r="CJ1266" s="14">
        <v>11279</v>
      </c>
      <c r="CK1266" s="15" t="s">
        <v>249</v>
      </c>
      <c r="CL1266" s="15">
        <f>RecData[[#This Row],[Start Time]]</f>
        <v>43277.093055555561</v>
      </c>
      <c r="CM1266" s="16">
        <f>RecData[[#This Row],[Wind Speed avg]]</f>
        <v>0.51</v>
      </c>
      <c r="CN1266" s="16">
        <f>RecData[[#This Row],[Wind Dir. avg]]</f>
        <v>124.7</v>
      </c>
      <c r="CO1266" s="16">
        <f>RecData[[#This Row],[Amb. Humidity]]</f>
        <v>90.6</v>
      </c>
      <c r="CP1266" s="16">
        <f>RecData[[#This Row],[Amb. Temperature]]</f>
        <v>7.2</v>
      </c>
      <c r="CQ1266" s="17">
        <f>RecData[[#This Row],[Amb. Rain Gauge]]</f>
        <v>0</v>
      </c>
      <c r="CR1266" s="4" t="s">
        <v>1</v>
      </c>
      <c r="CS1266" s="4" t="s">
        <v>49</v>
      </c>
      <c r="CT1266" s="70">
        <v>682.947998046875</v>
      </c>
      <c r="CU1266" s="70">
        <v>143.84425354003901</v>
      </c>
      <c r="CV1266" s="70">
        <v>7.21339654922485</v>
      </c>
      <c r="CW1266" s="70">
        <v>12.374523162841699</v>
      </c>
      <c r="CX1266" s="4" t="s">
        <v>49</v>
      </c>
      <c r="CY1266" s="69" t="s">
        <v>255</v>
      </c>
      <c r="CZ1266" s="2" t="b">
        <f>IF($DP$1="YES",IF(RecData[[#This Row],[Power (kW)]]&gt;=$CR$3, TRUE,FALSE),TRUE)</f>
        <v>0</v>
      </c>
      <c r="DA1266" s="16">
        <f>MIN(MOD(180-ABS(ABS($DA$1-RecData[Yaw Angle (°)])-180),360),MOD(180-ABS(ABS($DB$1-RecData[Yaw Angle (°)])-180),360))</f>
        <v>136.31432676235147</v>
      </c>
      <c r="DB1266" s="2" t="str">
        <f>IF($DP$2="None","None",IF(RecData[[#This Row],[Relative Wind Direction]]&lt;=45,"DW",IF(RecData[[#This Row],[Relative Wind Direction]]&lt;=135,"CW","UW")))</f>
        <v>UW</v>
      </c>
      <c r="DC1266" s="61" t="e">
        <f>IF($CL1266-#REF!&gt;1/24,#REF!,IF(SUM($CQ1266:$CQ1266)&gt;$DS$1,$DS$5,DC1267-1))</f>
        <v>#REF!</v>
      </c>
      <c r="DD1266" s="61" t="e">
        <f>IF($CL1267-$CL1266&gt;1/24,#REF!,IF(SUM($CQ1266:$CQ1266)&gt;$DS$1,$DS$6,#REF!-1))</f>
        <v>#REF!</v>
      </c>
      <c r="DE1266" s="18" t="b">
        <v>0</v>
      </c>
      <c r="DF1266" s="2" t="b">
        <f>IF(OR(RecData[[#This Row],[WSpd_Avg '[m/s']]]-RecData[[#This Row],[Wind Speed min]]&gt;=$DF$3,RecData[[#This Row],[Wind Speed max]]-RecData[[#This Row],[WSpd_Avg '[m/s']]]&gt;=$DF$2),TRUE,FALSE)</f>
        <v>0</v>
      </c>
      <c r="DG1266" s="2" t="b">
        <f>RecData[[#This Row],[Temperature '[°C']]]&lt;=-20</f>
        <v>0</v>
      </c>
      <c r="DH1266" s="18" t="b">
        <f>NOT(OR(MOD(RecData[[#This Row],[TIMESTAMP]],1)&gt;0.91632,MOD(RecData[[#This Row],[TIMESTAMP]],1)&lt;0.208681))</f>
        <v>0</v>
      </c>
      <c r="DI1266" s="18" t="b">
        <f>RecData[[#This Row],[Overall (dBA)]]-RecData[[#This Row],[L90]]&gt;=$DS$4</f>
        <v>0</v>
      </c>
      <c r="DJ1266" s="18" t="b">
        <f>RecData[[#This Row],[Overall (dBA)]]&gt;$DS$2</f>
        <v>0</v>
      </c>
      <c r="DK1266" s="18" t="b">
        <f>RecData[[#This Row],[Overall (dBA)]]&lt;$DS$3</f>
        <v>0</v>
      </c>
      <c r="DL126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6" s="2">
        <f>IF(AND(RecData[[#This Row],[Turbines ON/OFF]] = "OFF", NOT(OR(RecData[[#This Row],[Junk?]]="YES",RecData[[#This Row],[Gust?]],RecData[[#This Row],[Rain?]:[Min SPL Threshold?]]))),1,0)</f>
        <v>0</v>
      </c>
      <c r="DN1266" s="16">
        <f>RecData[[#This Row],[dBA Sum]]</f>
        <v>31.059913303824338</v>
      </c>
      <c r="DO1266" s="16">
        <f>RecData[[#This Row],[LAF90.0]]</f>
        <v>29.4</v>
      </c>
      <c r="DP1266" s="55" t="str">
        <f>IF(AND(RecData[[#This Row],[Useable TON Data?]],RecData[[#This Row],[Turbines ON/OFF]]="ON"),RecData[[#This Row],[dBA Sum]],"")</f>
        <v/>
      </c>
      <c r="DQ1266" s="55" t="str">
        <f>IF(AND(RecData[[#This Row],[Useable Background Data?]],RecData[[#This Row],[Turbines ON/OFF]]="OFF"),RecData[[#This Row],[dBA Sum]],"")</f>
        <v/>
      </c>
      <c r="DR1266" s="3" t="str">
        <f>IF(OR(RecData[[#This Row],[Useable TON Data?]],RecData[[#This Row],[Useable Background Data?]]),ROUND(RecData[[#This Row],[WSpd_Avg '[m/s']]],0),"")</f>
        <v/>
      </c>
      <c r="DS1266" s="85">
        <f>(0.00002)^2*(10^(RecData[[#This Row],[Overall (dBA)]]/10))</f>
        <v>5.1056533124595661E-7</v>
      </c>
    </row>
    <row r="1267" spans="1:123" ht="15" x14ac:dyDescent="0.25">
      <c r="A1267" s="3" t="s">
        <v>249</v>
      </c>
      <c r="B1267" s="12">
        <v>43277.09375</v>
      </c>
      <c r="D1267" s="42">
        <v>30.8</v>
      </c>
      <c r="K1267" s="42">
        <v>28.8</v>
      </c>
      <c r="N1267" s="42">
        <v>146.9</v>
      </c>
      <c r="Q1267" s="42">
        <v>0.61</v>
      </c>
      <c r="R1267" s="42">
        <v>0.3</v>
      </c>
      <c r="S1267" s="42">
        <v>0.9</v>
      </c>
      <c r="T1267" s="42">
        <v>7.2</v>
      </c>
      <c r="U1267" s="42">
        <v>90.5</v>
      </c>
      <c r="V1267" s="42">
        <v>978.4</v>
      </c>
      <c r="W1267" s="42">
        <v>0</v>
      </c>
      <c r="X1267" s="42">
        <v>36.299999999999997</v>
      </c>
      <c r="Y1267" s="42">
        <v>31.2</v>
      </c>
      <c r="Z1267" s="42">
        <v>31.2</v>
      </c>
      <c r="AA1267" s="42">
        <v>28.5</v>
      </c>
      <c r="AB1267" s="42">
        <v>22.8</v>
      </c>
      <c r="AC1267" s="42">
        <v>24.7</v>
      </c>
      <c r="AD1267" s="42">
        <v>27.5</v>
      </c>
      <c r="AE1267" s="42">
        <v>32.799999999999997</v>
      </c>
      <c r="AF1267" s="42">
        <v>36.200000000000003</v>
      </c>
      <c r="AG1267" s="42">
        <v>33.5</v>
      </c>
      <c r="AH1267" s="42">
        <v>29.8</v>
      </c>
      <c r="AI1267" s="42">
        <v>32.200000000000003</v>
      </c>
      <c r="AJ1267" s="42">
        <v>27.9</v>
      </c>
      <c r="AK1267" s="42">
        <v>26.1</v>
      </c>
      <c r="AL1267" s="42">
        <v>22.2</v>
      </c>
      <c r="AM1267" s="42">
        <v>20</v>
      </c>
      <c r="AN1267" s="42">
        <v>17.8</v>
      </c>
      <c r="AO1267" s="42">
        <v>14.6</v>
      </c>
      <c r="AP1267" s="42">
        <v>12.5</v>
      </c>
      <c r="AQ1267" s="42">
        <v>11.3</v>
      </c>
      <c r="AR1267" s="42">
        <v>8.8000000000000007</v>
      </c>
      <c r="AS1267" s="42">
        <v>13.4</v>
      </c>
      <c r="AT1267" s="42">
        <v>17.600000000000001</v>
      </c>
      <c r="AU1267" s="42">
        <v>7.4</v>
      </c>
      <c r="AV1267" s="42">
        <v>8</v>
      </c>
      <c r="AW1267" s="42">
        <v>8.6</v>
      </c>
      <c r="AX1267" s="42">
        <v>8.8000000000000007</v>
      </c>
      <c r="AY1267" s="42">
        <v>9</v>
      </c>
      <c r="AZ1267" s="42">
        <v>0</v>
      </c>
      <c r="BA1267" s="42">
        <v>0</v>
      </c>
      <c r="BB1267" s="42">
        <v>0</v>
      </c>
      <c r="BC1267" s="42">
        <v>30.834243785151962</v>
      </c>
      <c r="BD1267" s="42">
        <v>36.265756214848032</v>
      </c>
      <c r="BE1267" s="42">
        <v>31.165756214848038</v>
      </c>
      <c r="BF1267" s="42">
        <v>29.925756214848043</v>
      </c>
      <c r="BG1267" s="42">
        <v>27.552422881514701</v>
      </c>
      <c r="BH1267" s="42">
        <v>21.992422881514706</v>
      </c>
      <c r="BI1267" s="42">
        <v>24.305756214848039</v>
      </c>
      <c r="BJ1267" s="42">
        <v>27.899089548181372</v>
      </c>
      <c r="BK1267" s="42">
        <v>33.072422881514704</v>
      </c>
      <c r="BL1267" s="42">
        <v>36.045756214848048</v>
      </c>
      <c r="BM1267" s="42">
        <v>33.479089548181371</v>
      </c>
      <c r="BN1267" s="42">
        <v>30.062422881514706</v>
      </c>
      <c r="BO1267" s="42">
        <v>31.829089548181379</v>
      </c>
      <c r="BP1267" s="42">
        <v>27.245756214848036</v>
      </c>
      <c r="BQ1267" s="42">
        <v>25.862422881514696</v>
      </c>
      <c r="BR1267" s="42">
        <v>22.289089548181373</v>
      </c>
      <c r="BS1267" s="42">
        <v>19.892422881514705</v>
      </c>
      <c r="BT1267" s="42">
        <v>17.889089548181374</v>
      </c>
      <c r="BU1267" s="42">
        <v>14.65575621484804</v>
      </c>
      <c r="BV1267" s="42">
        <v>12.272422881514707</v>
      </c>
      <c r="BW1267" s="42">
        <v>11.605756214848043</v>
      </c>
      <c r="BX1267" s="42">
        <v>9.0257562148480446</v>
      </c>
      <c r="BY1267" s="42">
        <v>13.445756214848039</v>
      </c>
      <c r="BZ1267" s="42">
        <v>17.775756214848045</v>
      </c>
      <c r="CA1267" s="42">
        <v>7.6757562148480289</v>
      </c>
      <c r="CB1267" s="42">
        <v>7.7124228815147049</v>
      </c>
      <c r="CC1267" s="42">
        <v>8.5257562148480375</v>
      </c>
      <c r="CD1267" s="42">
        <v>8.0324228815147123</v>
      </c>
      <c r="CE1267" s="42">
        <v>8.4257562148480361</v>
      </c>
      <c r="CF1267" s="42">
        <v>-0.96091045181862711</v>
      </c>
      <c r="CG1267" s="42">
        <v>-1.4942437851519585</v>
      </c>
      <c r="CH1267" s="42">
        <v>-2.5709104518186265</v>
      </c>
      <c r="CI1267" s="13">
        <f>[1]!dbasum(RecData[[#This Row],[20]:[2000]],RecData[[#Headers],[20]:[2000]])</f>
        <v>30.152508878781571</v>
      </c>
      <c r="CJ1267" s="14">
        <v>11280</v>
      </c>
      <c r="CK1267" s="15" t="s">
        <v>249</v>
      </c>
      <c r="CL1267" s="15">
        <f>RecData[[#This Row],[Start Time]]</f>
        <v>43277.09375</v>
      </c>
      <c r="CM1267" s="16">
        <f>RecData[[#This Row],[Wind Speed avg]]</f>
        <v>0.61</v>
      </c>
      <c r="CN1267" s="16">
        <f>RecData[[#This Row],[Wind Dir. avg]]</f>
        <v>146.9</v>
      </c>
      <c r="CO1267" s="16">
        <f>RecData[[#This Row],[Amb. Humidity]]</f>
        <v>90.5</v>
      </c>
      <c r="CP1267" s="16">
        <f>RecData[[#This Row],[Amb. Temperature]]</f>
        <v>7.2</v>
      </c>
      <c r="CQ1267" s="17">
        <f>RecData[[#This Row],[Amb. Rain Gauge]]</f>
        <v>0</v>
      </c>
      <c r="CR1267" s="4" t="s">
        <v>1</v>
      </c>
      <c r="CS1267" s="4" t="s">
        <v>49</v>
      </c>
      <c r="CT1267" s="70">
        <v>682.947998046875</v>
      </c>
      <c r="CU1267" s="70">
        <v>143.84425354003901</v>
      </c>
      <c r="CV1267" s="70">
        <v>7.21339654922485</v>
      </c>
      <c r="CW1267" s="70">
        <v>12.374523162841699</v>
      </c>
      <c r="CX1267" s="4" t="s">
        <v>49</v>
      </c>
      <c r="CY1267" s="69" t="s">
        <v>255</v>
      </c>
      <c r="CZ1267" s="2" t="b">
        <f>IF($DP$1="YES",IF(RecData[[#This Row],[Power (kW)]]&gt;=$CR$3, TRUE,FALSE),TRUE)</f>
        <v>0</v>
      </c>
      <c r="DA1267" s="16">
        <f>MIN(MOD(180-ABS(ABS($DA$1-RecData[Yaw Angle (°)])-180),360),MOD(180-ABS(ABS($DB$1-RecData[Yaw Angle (°)])-180),360))</f>
        <v>136.31432676235147</v>
      </c>
      <c r="DB1267" s="2" t="str">
        <f>IF($DP$2="None","None",IF(RecData[[#This Row],[Relative Wind Direction]]&lt;=45,"DW",IF(RecData[[#This Row],[Relative Wind Direction]]&lt;=135,"CW","UW")))</f>
        <v>UW</v>
      </c>
      <c r="DC1267" s="61" t="e">
        <f>IF($CL1267-#REF!&gt;1/24,#REF!,IF(SUM($CQ1266:$CQ1267)&gt;$DS$1,$DS$5,DC1268-1))</f>
        <v>#REF!</v>
      </c>
      <c r="DD1267" s="61" t="e">
        <f>IF($CL1268-$CL1267&gt;1/24,#REF!,IF(SUM($CQ1266:$CQ1267)&gt;$DS$1,$DS$6,DD1266-1))</f>
        <v>#REF!</v>
      </c>
      <c r="DE1267" s="18" t="b">
        <v>0</v>
      </c>
      <c r="DF1267" s="2" t="b">
        <f>IF(OR(RecData[[#This Row],[WSpd_Avg '[m/s']]]-RecData[[#This Row],[Wind Speed min]]&gt;=$DF$3,RecData[[#This Row],[Wind Speed max]]-RecData[[#This Row],[WSpd_Avg '[m/s']]]&gt;=$DF$2),TRUE,FALSE)</f>
        <v>0</v>
      </c>
      <c r="DG1267" s="2" t="b">
        <f>RecData[[#This Row],[Temperature '[°C']]]&lt;=-20</f>
        <v>0</v>
      </c>
      <c r="DH1267" s="18" t="b">
        <f>NOT(OR(MOD(RecData[[#This Row],[TIMESTAMP]],1)&gt;0.91632,MOD(RecData[[#This Row],[TIMESTAMP]],1)&lt;0.208681))</f>
        <v>0</v>
      </c>
      <c r="DI1267" s="18" t="b">
        <f>RecData[[#This Row],[Overall (dBA)]]-RecData[[#This Row],[L90]]&gt;=$DS$4</f>
        <v>0</v>
      </c>
      <c r="DJ1267" s="18" t="b">
        <f>RecData[[#This Row],[Overall (dBA)]]&gt;$DS$2</f>
        <v>0</v>
      </c>
      <c r="DK1267" s="18" t="b">
        <f>RecData[[#This Row],[Overall (dBA)]]&lt;$DS$3</f>
        <v>0</v>
      </c>
      <c r="DL126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7" s="2">
        <f>IF(AND(RecData[[#This Row],[Turbines ON/OFF]] = "OFF", NOT(OR(RecData[[#This Row],[Junk?]]="YES",RecData[[#This Row],[Gust?]],RecData[[#This Row],[Rain?]:[Min SPL Threshold?]]))),1,0)</f>
        <v>0</v>
      </c>
      <c r="DN1267" s="16">
        <f>RecData[[#This Row],[dBA Sum]]</f>
        <v>30.152508878781571</v>
      </c>
      <c r="DO1267" s="16">
        <f>RecData[[#This Row],[LAF90.0]]</f>
        <v>28.8</v>
      </c>
      <c r="DP1267" s="55" t="str">
        <f>IF(AND(RecData[[#This Row],[Useable TON Data?]],RecData[[#This Row],[Turbines ON/OFF]]="ON"),RecData[[#This Row],[dBA Sum]],"")</f>
        <v/>
      </c>
      <c r="DQ1267" s="55" t="str">
        <f>IF(AND(RecData[[#This Row],[Useable Background Data?]],RecData[[#This Row],[Turbines ON/OFF]]="OFF"),RecData[[#This Row],[dBA Sum]],"")</f>
        <v/>
      </c>
      <c r="DR1267" s="3" t="str">
        <f>IF(OR(RecData[[#This Row],[Useable TON Data?]],RecData[[#This Row],[Useable Background Data?]]),ROUND(RecData[[#This Row],[WSpd_Avg '[m/s']]],0),"")</f>
        <v/>
      </c>
      <c r="DS1267" s="85">
        <f>(0.00002)^2*(10^(RecData[[#This Row],[Overall (dBA)]]/10))</f>
        <v>4.142961325722104E-7</v>
      </c>
    </row>
    <row r="1268" spans="1:123" ht="15" x14ac:dyDescent="0.25">
      <c r="A1268" s="3" t="s">
        <v>249</v>
      </c>
      <c r="B1268" s="12">
        <v>43277.094444444447</v>
      </c>
      <c r="D1268" s="42">
        <v>31.7</v>
      </c>
      <c r="K1268" s="42">
        <v>29.4</v>
      </c>
      <c r="N1268" s="42">
        <v>166.3</v>
      </c>
      <c r="Q1268" s="42">
        <v>0.48</v>
      </c>
      <c r="R1268" s="42">
        <v>0.1</v>
      </c>
      <c r="S1268" s="42">
        <v>1</v>
      </c>
      <c r="T1268" s="42">
        <v>7.2</v>
      </c>
      <c r="U1268" s="42">
        <v>90.7</v>
      </c>
      <c r="V1268" s="42">
        <v>978.4</v>
      </c>
      <c r="W1268" s="42">
        <v>0</v>
      </c>
      <c r="X1268" s="42">
        <v>36.299999999999997</v>
      </c>
      <c r="Y1268" s="42">
        <v>31.1</v>
      </c>
      <c r="Z1268" s="42">
        <v>31.2</v>
      </c>
      <c r="AA1268" s="42">
        <v>28.9</v>
      </c>
      <c r="AB1268" s="42">
        <v>23.2</v>
      </c>
      <c r="AC1268" s="42">
        <v>25.1</v>
      </c>
      <c r="AD1268" s="42">
        <v>27.7</v>
      </c>
      <c r="AE1268" s="42">
        <v>32.299999999999997</v>
      </c>
      <c r="AF1268" s="42">
        <v>36.299999999999997</v>
      </c>
      <c r="AG1268" s="42">
        <v>34</v>
      </c>
      <c r="AH1268" s="42">
        <v>29.7</v>
      </c>
      <c r="AI1268" s="42">
        <v>32.6</v>
      </c>
      <c r="AJ1268" s="42">
        <v>28.6</v>
      </c>
      <c r="AK1268" s="42">
        <v>26.2</v>
      </c>
      <c r="AL1268" s="42">
        <v>22.5</v>
      </c>
      <c r="AM1268" s="42">
        <v>20</v>
      </c>
      <c r="AN1268" s="42">
        <v>18</v>
      </c>
      <c r="AO1268" s="42">
        <v>14.3</v>
      </c>
      <c r="AP1268" s="42">
        <v>11.7</v>
      </c>
      <c r="AQ1268" s="42">
        <v>11.5</v>
      </c>
      <c r="AR1268" s="42">
        <v>8.8000000000000007</v>
      </c>
      <c r="AS1268" s="42">
        <v>17.5</v>
      </c>
      <c r="AT1268" s="42">
        <v>22.1</v>
      </c>
      <c r="AU1268" s="42">
        <v>7.3</v>
      </c>
      <c r="AV1268" s="42">
        <v>7.9</v>
      </c>
      <c r="AW1268" s="42">
        <v>8.5</v>
      </c>
      <c r="AX1268" s="42">
        <v>8.8000000000000007</v>
      </c>
      <c r="AY1268" s="42">
        <v>9</v>
      </c>
      <c r="AZ1268" s="42">
        <v>0</v>
      </c>
      <c r="BA1268" s="42">
        <v>0</v>
      </c>
      <c r="BB1268" s="42">
        <v>0</v>
      </c>
      <c r="BC1268" s="42">
        <v>31.637585242086367</v>
      </c>
      <c r="BD1268" s="42">
        <v>36.362414757913633</v>
      </c>
      <c r="BE1268" s="42">
        <v>31.162414757913631</v>
      </c>
      <c r="BF1268" s="42">
        <v>30.02241475791363</v>
      </c>
      <c r="BG1268" s="42">
        <v>28.049081424580294</v>
      </c>
      <c r="BH1268" s="42">
        <v>22.489081424580299</v>
      </c>
      <c r="BI1268" s="42">
        <v>24.802414757913631</v>
      </c>
      <c r="BJ1268" s="42">
        <v>28.195748091246962</v>
      </c>
      <c r="BK1268" s="42">
        <v>32.669081424580291</v>
      </c>
      <c r="BL1268" s="42">
        <v>36.242414757913629</v>
      </c>
      <c r="BM1268" s="42">
        <v>34.075748091246972</v>
      </c>
      <c r="BN1268" s="42">
        <v>30.059081424580299</v>
      </c>
      <c r="BO1268" s="42">
        <v>32.325748091246972</v>
      </c>
      <c r="BP1268" s="42">
        <v>28.042414757913633</v>
      </c>
      <c r="BQ1268" s="42">
        <v>26.059081424580292</v>
      </c>
      <c r="BR1268" s="42">
        <v>22.685748091246971</v>
      </c>
      <c r="BS1268" s="42">
        <v>19.989081424580299</v>
      </c>
      <c r="BT1268" s="42">
        <v>18.185748091246971</v>
      </c>
      <c r="BU1268" s="42">
        <v>14.452414757913637</v>
      </c>
      <c r="BV1268" s="42">
        <v>11.569081424580297</v>
      </c>
      <c r="BW1268" s="42">
        <v>11.90241475791364</v>
      </c>
      <c r="BX1268" s="42">
        <v>9.1224147579136385</v>
      </c>
      <c r="BY1268" s="42">
        <v>17.642414757913635</v>
      </c>
      <c r="BZ1268" s="42">
        <v>22.372414757913639</v>
      </c>
      <c r="CA1268" s="42">
        <v>7.6724147579136215</v>
      </c>
      <c r="CB1268" s="42">
        <v>7.7090814245802974</v>
      </c>
      <c r="CC1268" s="42">
        <v>8.52241475791363</v>
      </c>
      <c r="CD1268" s="42">
        <v>8.1290814245803062</v>
      </c>
      <c r="CE1268" s="42">
        <v>8.52241475791363</v>
      </c>
      <c r="CF1268" s="42">
        <v>-0.86425190875303315</v>
      </c>
      <c r="CG1268" s="42">
        <v>-1.3975852420863646</v>
      </c>
      <c r="CH1268" s="42">
        <v>-2.4742519087530326</v>
      </c>
      <c r="CI1268" s="13">
        <f>[1]!dbasum(RecData[[#This Row],[20]:[2000]],RecData[[#Headers],[20]:[2000]])</f>
        <v>30.484188369888376</v>
      </c>
      <c r="CJ1268" s="14">
        <v>11281</v>
      </c>
      <c r="CK1268" s="15" t="s">
        <v>249</v>
      </c>
      <c r="CL1268" s="15">
        <f>RecData[[#This Row],[Start Time]]</f>
        <v>43277.094444444447</v>
      </c>
      <c r="CM1268" s="16">
        <f>RecData[[#This Row],[Wind Speed avg]]</f>
        <v>0.48</v>
      </c>
      <c r="CN1268" s="16">
        <f>RecData[[#This Row],[Wind Dir. avg]]</f>
        <v>166.3</v>
      </c>
      <c r="CO1268" s="16">
        <f>RecData[[#This Row],[Amb. Humidity]]</f>
        <v>90.7</v>
      </c>
      <c r="CP1268" s="16">
        <f>RecData[[#This Row],[Amb. Temperature]]</f>
        <v>7.2</v>
      </c>
      <c r="CQ1268" s="17">
        <f>RecData[[#This Row],[Amb. Rain Gauge]]</f>
        <v>0</v>
      </c>
      <c r="CR1268" s="4" t="s">
        <v>1</v>
      </c>
      <c r="CS1268" s="4" t="s">
        <v>49</v>
      </c>
      <c r="CT1268" s="70">
        <v>682.947998046875</v>
      </c>
      <c r="CU1268" s="70">
        <v>143.84425354003901</v>
      </c>
      <c r="CV1268" s="70">
        <v>7.21339654922485</v>
      </c>
      <c r="CW1268" s="70">
        <v>12.374523162841699</v>
      </c>
      <c r="CX1268" s="4" t="s">
        <v>49</v>
      </c>
      <c r="CY1268" s="69" t="s">
        <v>255</v>
      </c>
      <c r="CZ1268" s="2" t="b">
        <f>IF($DP$1="YES",IF(RecData[[#This Row],[Power (kW)]]&gt;=$CR$3, TRUE,FALSE),TRUE)</f>
        <v>0</v>
      </c>
      <c r="DA1268" s="16">
        <f>MIN(MOD(180-ABS(ABS($DA$1-RecData[Yaw Angle (°)])-180),360),MOD(180-ABS(ABS($DB$1-RecData[Yaw Angle (°)])-180),360))</f>
        <v>136.31432676235147</v>
      </c>
      <c r="DB1268" s="2" t="str">
        <f>IF($DP$2="None","None",IF(RecData[[#This Row],[Relative Wind Direction]]&lt;=45,"DW",IF(RecData[[#This Row],[Relative Wind Direction]]&lt;=135,"CW","UW")))</f>
        <v>UW</v>
      </c>
      <c r="DC1268" s="61" t="e">
        <f>IF($CL1268-#REF!&gt;1/24,#REF!,IF(SUM($CQ1266:$CQ1268)&gt;$DS$1,$DS$5,DC1269-1))</f>
        <v>#REF!</v>
      </c>
      <c r="DD1268" s="61" t="e">
        <f>IF($CL1269-$CL1268&gt;1/24,#REF!,IF(SUM($CQ1266:$CQ1268)&gt;$DS$1,$DS$6,DD1267-1))</f>
        <v>#REF!</v>
      </c>
      <c r="DE1268" s="18" t="b">
        <v>0</v>
      </c>
      <c r="DF1268" s="2" t="b">
        <f>IF(OR(RecData[[#This Row],[WSpd_Avg '[m/s']]]-RecData[[#This Row],[Wind Speed min]]&gt;=$DF$3,RecData[[#This Row],[Wind Speed max]]-RecData[[#This Row],[WSpd_Avg '[m/s']]]&gt;=$DF$2),TRUE,FALSE)</f>
        <v>0</v>
      </c>
      <c r="DG1268" s="2" t="b">
        <f>RecData[[#This Row],[Temperature '[°C']]]&lt;=-20</f>
        <v>0</v>
      </c>
      <c r="DH1268" s="18" t="b">
        <f>NOT(OR(MOD(RecData[[#This Row],[TIMESTAMP]],1)&gt;0.91632,MOD(RecData[[#This Row],[TIMESTAMP]],1)&lt;0.208681))</f>
        <v>0</v>
      </c>
      <c r="DI1268" s="18" t="b">
        <f>RecData[[#This Row],[Overall (dBA)]]-RecData[[#This Row],[L90]]&gt;=$DS$4</f>
        <v>0</v>
      </c>
      <c r="DJ1268" s="18" t="b">
        <f>RecData[[#This Row],[Overall (dBA)]]&gt;$DS$2</f>
        <v>0</v>
      </c>
      <c r="DK1268" s="18" t="b">
        <f>RecData[[#This Row],[Overall (dBA)]]&lt;$DS$3</f>
        <v>0</v>
      </c>
      <c r="DL126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8" s="2">
        <f>IF(AND(RecData[[#This Row],[Turbines ON/OFF]] = "OFF", NOT(OR(RecData[[#This Row],[Junk?]]="YES",RecData[[#This Row],[Gust?]],RecData[[#This Row],[Rain?]:[Min SPL Threshold?]]))),1,0)</f>
        <v>0</v>
      </c>
      <c r="DN1268" s="16">
        <f>RecData[[#This Row],[dBA Sum]]</f>
        <v>30.484188369888376</v>
      </c>
      <c r="DO1268" s="16">
        <f>RecData[[#This Row],[LAF90.0]]</f>
        <v>29.4</v>
      </c>
      <c r="DP1268" s="55" t="str">
        <f>IF(AND(RecData[[#This Row],[Useable TON Data?]],RecData[[#This Row],[Turbines ON/OFF]]="ON"),RecData[[#This Row],[dBA Sum]],"")</f>
        <v/>
      </c>
      <c r="DQ1268" s="55" t="str">
        <f>IF(AND(RecData[[#This Row],[Useable Background Data?]],RecData[[#This Row],[Turbines ON/OFF]]="OFF"),RecData[[#This Row],[dBA Sum]],"")</f>
        <v/>
      </c>
      <c r="DR1268" s="3" t="str">
        <f>IF(OR(RecData[[#This Row],[Useable TON Data?]],RecData[[#This Row],[Useable Background Data?]]),ROUND(RecData[[#This Row],[WSpd_Avg '[m/s']]],0),"")</f>
        <v/>
      </c>
      <c r="DS1268" s="85">
        <f>(0.00002)^2*(10^(RecData[[#This Row],[Overall (dBA)]]/10))</f>
        <v>4.4717635158815782E-7</v>
      </c>
    </row>
    <row r="1269" spans="1:123" ht="15" x14ac:dyDescent="0.25">
      <c r="A1269" s="3" t="s">
        <v>249</v>
      </c>
      <c r="B1269" s="12">
        <v>43277.095138888893</v>
      </c>
      <c r="D1269" s="42">
        <v>30.7</v>
      </c>
      <c r="K1269" s="42">
        <v>28.7</v>
      </c>
      <c r="N1269" s="42">
        <v>142.9</v>
      </c>
      <c r="Q1269" s="42">
        <v>0.54</v>
      </c>
      <c r="R1269" s="42">
        <v>0.3</v>
      </c>
      <c r="S1269" s="42">
        <v>0.9</v>
      </c>
      <c r="T1269" s="42">
        <v>7.2</v>
      </c>
      <c r="U1269" s="42">
        <v>90.9</v>
      </c>
      <c r="V1269" s="42">
        <v>978.4</v>
      </c>
      <c r="W1269" s="42">
        <v>0</v>
      </c>
      <c r="X1269" s="42">
        <v>38.5</v>
      </c>
      <c r="Y1269" s="42">
        <v>32.200000000000003</v>
      </c>
      <c r="Z1269" s="42">
        <v>31.7</v>
      </c>
      <c r="AA1269" s="42">
        <v>29.3</v>
      </c>
      <c r="AB1269" s="42">
        <v>23.8</v>
      </c>
      <c r="AC1269" s="42">
        <v>25</v>
      </c>
      <c r="AD1269" s="42">
        <v>27.6</v>
      </c>
      <c r="AE1269" s="42">
        <v>32.5</v>
      </c>
      <c r="AF1269" s="42">
        <v>35.6</v>
      </c>
      <c r="AG1269" s="42">
        <v>33.700000000000003</v>
      </c>
      <c r="AH1269" s="42">
        <v>29.6</v>
      </c>
      <c r="AI1269" s="42">
        <v>32.1</v>
      </c>
      <c r="AJ1269" s="42">
        <v>27.9</v>
      </c>
      <c r="AK1269" s="42">
        <v>25.7</v>
      </c>
      <c r="AL1269" s="42">
        <v>22.1</v>
      </c>
      <c r="AM1269" s="42">
        <v>19.600000000000001</v>
      </c>
      <c r="AN1269" s="42">
        <v>17.5</v>
      </c>
      <c r="AO1269" s="42">
        <v>13.9</v>
      </c>
      <c r="AP1269" s="42">
        <v>11.4</v>
      </c>
      <c r="AQ1269" s="42">
        <v>11.6</v>
      </c>
      <c r="AR1269" s="42">
        <v>8.8000000000000007</v>
      </c>
      <c r="AS1269" s="42">
        <v>14.5</v>
      </c>
      <c r="AT1269" s="42">
        <v>17.7</v>
      </c>
      <c r="AU1269" s="42">
        <v>7.3</v>
      </c>
      <c r="AV1269" s="42">
        <v>8</v>
      </c>
      <c r="AW1269" s="42">
        <v>8.5</v>
      </c>
      <c r="AX1269" s="42">
        <v>8.8000000000000007</v>
      </c>
      <c r="AY1269" s="42">
        <v>9</v>
      </c>
      <c r="AZ1269" s="42">
        <v>0</v>
      </c>
      <c r="BA1269" s="42">
        <v>0</v>
      </c>
      <c r="BB1269" s="42">
        <v>0</v>
      </c>
      <c r="BC1269" s="42">
        <v>30.694756442813574</v>
      </c>
      <c r="BD1269" s="42">
        <v>38.505243557186432</v>
      </c>
      <c r="BE1269" s="42">
        <v>32.205243557186435</v>
      </c>
      <c r="BF1269" s="42">
        <v>30.465243557186422</v>
      </c>
      <c r="BG1269" s="42">
        <v>28.391910223853085</v>
      </c>
      <c r="BH1269" s="42">
        <v>23.031910223853099</v>
      </c>
      <c r="BI1269" s="42">
        <v>24.645243557186429</v>
      </c>
      <c r="BJ1269" s="42">
        <v>28.03857689051976</v>
      </c>
      <c r="BK1269" s="42">
        <v>32.81191022385309</v>
      </c>
      <c r="BL1269" s="42">
        <v>35.485243557186436</v>
      </c>
      <c r="BM1269" s="42">
        <v>33.71857689051977</v>
      </c>
      <c r="BN1269" s="42">
        <v>29.90191022385309</v>
      </c>
      <c r="BO1269" s="42">
        <v>31.768576890519764</v>
      </c>
      <c r="BP1269" s="42">
        <v>27.285243557186423</v>
      </c>
      <c r="BQ1269" s="42">
        <v>25.501910223853084</v>
      </c>
      <c r="BR1269" s="42">
        <v>22.228576890519758</v>
      </c>
      <c r="BS1269" s="42">
        <v>19.531910223853092</v>
      </c>
      <c r="BT1269" s="42">
        <v>17.628576890519764</v>
      </c>
      <c r="BU1269" s="42">
        <v>13.995243557186431</v>
      </c>
      <c r="BV1269" s="42">
        <v>11.211910223853092</v>
      </c>
      <c r="BW1269" s="42">
        <v>11.945243557186426</v>
      </c>
      <c r="BX1269" s="42">
        <v>9.0652435571864309</v>
      </c>
      <c r="BY1269" s="42">
        <v>14.585243557186427</v>
      </c>
      <c r="BZ1269" s="42">
        <v>17.915243557186425</v>
      </c>
      <c r="CA1269" s="42">
        <v>7.6152435571864139</v>
      </c>
      <c r="CB1269" s="42">
        <v>7.7519102238530913</v>
      </c>
      <c r="CC1269" s="42">
        <v>8.4652435571864224</v>
      </c>
      <c r="CD1269" s="42">
        <v>8.0719102238530986</v>
      </c>
      <c r="CE1269" s="42">
        <v>8.4652435571864224</v>
      </c>
      <c r="CF1269" s="42">
        <v>-0.92142310948024075</v>
      </c>
      <c r="CG1269" s="42">
        <v>-1.4547564428135722</v>
      </c>
      <c r="CH1269" s="42">
        <v>-2.5314231094802402</v>
      </c>
      <c r="CI1269" s="13">
        <f>[1]!dbasum(RecData[[#This Row],[20]:[2000]],RecData[[#Headers],[20]:[2000]])</f>
        <v>29.991383817018328</v>
      </c>
      <c r="CJ1269" s="14">
        <v>11282</v>
      </c>
      <c r="CK1269" s="15" t="s">
        <v>249</v>
      </c>
      <c r="CL1269" s="15">
        <f>RecData[[#This Row],[Start Time]]</f>
        <v>43277.095138888893</v>
      </c>
      <c r="CM1269" s="16">
        <f>RecData[[#This Row],[Wind Speed avg]]</f>
        <v>0.54</v>
      </c>
      <c r="CN1269" s="16">
        <f>RecData[[#This Row],[Wind Dir. avg]]</f>
        <v>142.9</v>
      </c>
      <c r="CO1269" s="16">
        <f>RecData[[#This Row],[Amb. Humidity]]</f>
        <v>90.9</v>
      </c>
      <c r="CP1269" s="16">
        <f>RecData[[#This Row],[Amb. Temperature]]</f>
        <v>7.2</v>
      </c>
      <c r="CQ1269" s="17">
        <f>RecData[[#This Row],[Amb. Rain Gauge]]</f>
        <v>0</v>
      </c>
      <c r="CR1269" s="4" t="s">
        <v>1</v>
      </c>
      <c r="CS1269" s="4" t="s">
        <v>49</v>
      </c>
      <c r="CT1269" s="70">
        <v>682.947998046875</v>
      </c>
      <c r="CU1269" s="70">
        <v>143.84425354003901</v>
      </c>
      <c r="CV1269" s="70">
        <v>7.21339654922485</v>
      </c>
      <c r="CW1269" s="70">
        <v>12.374523162841699</v>
      </c>
      <c r="CX1269" s="4" t="s">
        <v>49</v>
      </c>
      <c r="CY1269" s="69" t="s">
        <v>255</v>
      </c>
      <c r="CZ1269" s="2" t="b">
        <f>IF($DP$1="YES",IF(RecData[[#This Row],[Power (kW)]]&gt;=$CR$3, TRUE,FALSE),TRUE)</f>
        <v>0</v>
      </c>
      <c r="DA1269" s="16">
        <f>MIN(MOD(180-ABS(ABS($DA$1-RecData[Yaw Angle (°)])-180),360),MOD(180-ABS(ABS($DB$1-RecData[Yaw Angle (°)])-180),360))</f>
        <v>136.31432676235147</v>
      </c>
      <c r="DB1269" s="2" t="str">
        <f>IF($DP$2="None","None",IF(RecData[[#This Row],[Relative Wind Direction]]&lt;=45,"DW",IF(RecData[[#This Row],[Relative Wind Direction]]&lt;=135,"CW","UW")))</f>
        <v>UW</v>
      </c>
      <c r="DC1269" s="61" t="e">
        <f>IF($CL1269-#REF!&gt;1/24,#REF!,IF(SUM($CQ1266:$CQ1269)&gt;$DS$1,$DS$5,#REF!-1))</f>
        <v>#REF!</v>
      </c>
      <c r="DD1269" s="61" t="e">
        <f>IF(#REF!-$CL1269&gt;1/24,#REF!,IF(SUM($CQ1266:$CQ1269)&gt;$DS$1,$DS$6,DD1268-1))</f>
        <v>#REF!</v>
      </c>
      <c r="DE1269" s="18" t="b">
        <v>0</v>
      </c>
      <c r="DF1269" s="2" t="b">
        <f>IF(OR(RecData[[#This Row],[WSpd_Avg '[m/s']]]-RecData[[#This Row],[Wind Speed min]]&gt;=$DF$3,RecData[[#This Row],[Wind Speed max]]-RecData[[#This Row],[WSpd_Avg '[m/s']]]&gt;=$DF$2),TRUE,FALSE)</f>
        <v>0</v>
      </c>
      <c r="DG1269" s="2" t="b">
        <f>RecData[[#This Row],[Temperature '[°C']]]&lt;=-20</f>
        <v>0</v>
      </c>
      <c r="DH1269" s="18" t="b">
        <f>NOT(OR(MOD(RecData[[#This Row],[TIMESTAMP]],1)&gt;0.91632,MOD(RecData[[#This Row],[TIMESTAMP]],1)&lt;0.208681))</f>
        <v>0</v>
      </c>
      <c r="DI1269" s="18" t="b">
        <f>RecData[[#This Row],[Overall (dBA)]]-RecData[[#This Row],[L90]]&gt;=$DS$4</f>
        <v>0</v>
      </c>
      <c r="DJ1269" s="18" t="b">
        <f>RecData[[#This Row],[Overall (dBA)]]&gt;$DS$2</f>
        <v>0</v>
      </c>
      <c r="DK1269" s="18" t="b">
        <f>RecData[[#This Row],[Overall (dBA)]]&lt;$DS$3</f>
        <v>0</v>
      </c>
      <c r="DL126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69" s="2">
        <f>IF(AND(RecData[[#This Row],[Turbines ON/OFF]] = "OFF", NOT(OR(RecData[[#This Row],[Junk?]]="YES",RecData[[#This Row],[Gust?]],RecData[[#This Row],[Rain?]:[Min SPL Threshold?]]))),1,0)</f>
        <v>0</v>
      </c>
      <c r="DN1269" s="16">
        <f>RecData[[#This Row],[dBA Sum]]</f>
        <v>29.991383817018328</v>
      </c>
      <c r="DO1269" s="16">
        <f>RecData[[#This Row],[LAF90.0]]</f>
        <v>28.7</v>
      </c>
      <c r="DP1269" s="55" t="str">
        <f>IF(AND(RecData[[#This Row],[Useable TON Data?]],RecData[[#This Row],[Turbines ON/OFF]]="ON"),RecData[[#This Row],[dBA Sum]],"")</f>
        <v/>
      </c>
      <c r="DQ1269" s="55" t="str">
        <f>IF(AND(RecData[[#This Row],[Useable Background Data?]],RecData[[#This Row],[Turbines ON/OFF]]="OFF"),RecData[[#This Row],[dBA Sum]],"")</f>
        <v/>
      </c>
      <c r="DR1269" s="3" t="str">
        <f>IF(OR(RecData[[#This Row],[Useable TON Data?]],RecData[[#This Row],[Useable Background Data?]]),ROUND(RecData[[#This Row],[WSpd_Avg '[m/s']]],0),"")</f>
        <v/>
      </c>
      <c r="DS1269" s="85">
        <f>(0.00002)^2*(10^(RecData[[#This Row],[Overall (dBA)]]/10))</f>
        <v>3.9920720691106182E-7</v>
      </c>
    </row>
    <row r="1270" spans="1:123" ht="15" x14ac:dyDescent="0.25">
      <c r="A1270" s="3" t="s">
        <v>249</v>
      </c>
      <c r="B1270" s="12">
        <v>43277.09652777778</v>
      </c>
      <c r="D1270" s="42">
        <v>31.6</v>
      </c>
      <c r="K1270" s="42">
        <v>28.9</v>
      </c>
      <c r="N1270" s="42">
        <v>96</v>
      </c>
      <c r="Q1270" s="42">
        <v>0.44</v>
      </c>
      <c r="R1270" s="42">
        <v>0.2</v>
      </c>
      <c r="S1270" s="42">
        <v>0.8</v>
      </c>
      <c r="T1270" s="42">
        <v>7.2</v>
      </c>
      <c r="U1270" s="42">
        <v>90.8</v>
      </c>
      <c r="V1270" s="42">
        <v>978.3</v>
      </c>
      <c r="W1270" s="42">
        <v>0</v>
      </c>
      <c r="X1270" s="42">
        <v>39.200000000000003</v>
      </c>
      <c r="Y1270" s="42">
        <v>32.299999999999997</v>
      </c>
      <c r="Z1270" s="42">
        <v>31.3</v>
      </c>
      <c r="AA1270" s="42">
        <v>29.5</v>
      </c>
      <c r="AB1270" s="42">
        <v>24.7</v>
      </c>
      <c r="AC1270" s="42">
        <v>25.2</v>
      </c>
      <c r="AD1270" s="42">
        <v>28.7</v>
      </c>
      <c r="AE1270" s="42">
        <v>33.5</v>
      </c>
      <c r="AF1270" s="42">
        <v>35.9</v>
      </c>
      <c r="AG1270" s="42">
        <v>34.5</v>
      </c>
      <c r="AH1270" s="42">
        <v>31.1</v>
      </c>
      <c r="AI1270" s="42">
        <v>32.4</v>
      </c>
      <c r="AJ1270" s="42">
        <v>30.2</v>
      </c>
      <c r="AK1270" s="42">
        <v>26.2</v>
      </c>
      <c r="AL1270" s="42">
        <v>23</v>
      </c>
      <c r="AM1270" s="42">
        <v>20.6</v>
      </c>
      <c r="AN1270" s="42">
        <v>18.5</v>
      </c>
      <c r="AO1270" s="42">
        <v>14.7</v>
      </c>
      <c r="AP1270" s="42">
        <v>11.9</v>
      </c>
      <c r="AQ1270" s="42">
        <v>12.2</v>
      </c>
      <c r="AR1270" s="42">
        <v>9.3000000000000007</v>
      </c>
      <c r="AS1270" s="42">
        <v>16.2</v>
      </c>
      <c r="AT1270" s="42">
        <v>17.8</v>
      </c>
      <c r="AU1270" s="42">
        <v>7.3</v>
      </c>
      <c r="AV1270" s="42">
        <v>8</v>
      </c>
      <c r="AW1270" s="42">
        <v>8.5</v>
      </c>
      <c r="AX1270" s="42">
        <v>8.8000000000000007</v>
      </c>
      <c r="AY1270" s="42">
        <v>9</v>
      </c>
      <c r="AZ1270" s="42">
        <v>0</v>
      </c>
      <c r="BA1270" s="42">
        <v>0</v>
      </c>
      <c r="BB1270" s="42">
        <v>0</v>
      </c>
      <c r="BC1270" s="42">
        <v>31.581663371974361</v>
      </c>
      <c r="BD1270" s="42">
        <v>39.218336628025654</v>
      </c>
      <c r="BE1270" s="42">
        <v>32.318336628025634</v>
      </c>
      <c r="BF1270" s="42">
        <v>30.078336628025642</v>
      </c>
      <c r="BG1270" s="42">
        <v>28.605003294692306</v>
      </c>
      <c r="BH1270" s="42">
        <v>23.945003294692309</v>
      </c>
      <c r="BI1270" s="42">
        <v>24.858336628025636</v>
      </c>
      <c r="BJ1270" s="42">
        <v>29.151669961358973</v>
      </c>
      <c r="BK1270" s="42">
        <v>33.825003294692308</v>
      </c>
      <c r="BL1270" s="42">
        <v>35.798336628025638</v>
      </c>
      <c r="BM1270" s="42">
        <v>34.531669961358986</v>
      </c>
      <c r="BN1270" s="42">
        <v>31.415003294692308</v>
      </c>
      <c r="BO1270" s="42">
        <v>32.081669961358969</v>
      </c>
      <c r="BP1270" s="42">
        <v>29.598336628025638</v>
      </c>
      <c r="BQ1270" s="42">
        <v>26.015003294692296</v>
      </c>
      <c r="BR1270" s="42">
        <v>23.141669961358975</v>
      </c>
      <c r="BS1270" s="42">
        <v>20.545003294692304</v>
      </c>
      <c r="BT1270" s="42">
        <v>18.641669961358975</v>
      </c>
      <c r="BU1270" s="42">
        <v>14.808336628025639</v>
      </c>
      <c r="BV1270" s="42">
        <v>11.725003294692311</v>
      </c>
      <c r="BW1270" s="42">
        <v>12.558336628025639</v>
      </c>
      <c r="BX1270" s="42">
        <v>9.5783366280256494</v>
      </c>
      <c r="BY1270" s="42">
        <v>16.298336628025634</v>
      </c>
      <c r="BZ1270" s="42">
        <v>18.028336628025645</v>
      </c>
      <c r="CA1270" s="42">
        <v>7.6283366280256324</v>
      </c>
      <c r="CB1270" s="42">
        <v>7.7650032946923027</v>
      </c>
      <c r="CC1270" s="42">
        <v>8.4783366280256409</v>
      </c>
      <c r="CD1270" s="42">
        <v>8.08500329469231</v>
      </c>
      <c r="CE1270" s="42">
        <v>8.4783366280256409</v>
      </c>
      <c r="CF1270" s="42">
        <v>-0.90833003864102579</v>
      </c>
      <c r="CG1270" s="42">
        <v>-1.4416633719743572</v>
      </c>
      <c r="CH1270" s="42">
        <v>-2.5183300386410252</v>
      </c>
      <c r="CI1270" s="13">
        <f>[1]!dbasum(RecData[[#This Row],[20]:[2000]],RecData[[#Headers],[20]:[2000]])</f>
        <v>30.924607770526915</v>
      </c>
      <c r="CJ1270" s="14">
        <v>11284</v>
      </c>
      <c r="CK1270" s="15" t="s">
        <v>249</v>
      </c>
      <c r="CL1270" s="15">
        <f>RecData[[#This Row],[Start Time]]</f>
        <v>43277.09652777778</v>
      </c>
      <c r="CM1270" s="16">
        <f>RecData[[#This Row],[Wind Speed avg]]</f>
        <v>0.44</v>
      </c>
      <c r="CN1270" s="16">
        <f>RecData[[#This Row],[Wind Dir. avg]]</f>
        <v>96</v>
      </c>
      <c r="CO1270" s="16">
        <f>RecData[[#This Row],[Amb. Humidity]]</f>
        <v>90.8</v>
      </c>
      <c r="CP1270" s="16">
        <f>RecData[[#This Row],[Amb. Temperature]]</f>
        <v>7.2</v>
      </c>
      <c r="CQ1270" s="17">
        <f>RecData[[#This Row],[Amb. Rain Gauge]]</f>
        <v>0</v>
      </c>
      <c r="CR1270" s="4" t="s">
        <v>1</v>
      </c>
      <c r="CS1270" s="4" t="s">
        <v>49</v>
      </c>
      <c r="CT1270" s="70">
        <v>682.947998046875</v>
      </c>
      <c r="CU1270" s="70">
        <v>143.84425354003901</v>
      </c>
      <c r="CV1270" s="70">
        <v>7.21339654922485</v>
      </c>
      <c r="CW1270" s="70">
        <v>12.374523162841699</v>
      </c>
      <c r="CX1270" s="4" t="s">
        <v>49</v>
      </c>
      <c r="CY1270" s="69" t="s">
        <v>255</v>
      </c>
      <c r="CZ1270" s="2" t="b">
        <f>IF($DP$1="YES",IF(RecData[[#This Row],[Power (kW)]]&gt;=$CR$3, TRUE,FALSE),TRUE)</f>
        <v>0</v>
      </c>
      <c r="DA1270" s="16">
        <f>MIN(MOD(180-ABS(ABS($DA$1-RecData[Yaw Angle (°)])-180),360),MOD(180-ABS(ABS($DB$1-RecData[Yaw Angle (°)])-180),360))</f>
        <v>136.31432676235147</v>
      </c>
      <c r="DB1270" s="2" t="str">
        <f>IF($DP$2="None","None",IF(RecData[[#This Row],[Relative Wind Direction]]&lt;=45,"DW",IF(RecData[[#This Row],[Relative Wind Direction]]&lt;=135,"CW","UW")))</f>
        <v>UW</v>
      </c>
      <c r="DC1270" s="61" t="e">
        <f>IF($CL1270-$CL1267&gt;1/24,#REF!,IF(SUM($CQ1267:$CQ1270)&gt;$DS$1,$DS$5,#REF!-1))</f>
        <v>#REF!</v>
      </c>
      <c r="DD1270" s="61" t="e">
        <f>IF(#REF!-$CL1270&gt;1/24,#REF!,IF(SUM($CQ1267:$CQ1270)&gt;$DS$1,$DS$6,#REF!-1))</f>
        <v>#REF!</v>
      </c>
      <c r="DE1270" s="18" t="b">
        <v>0</v>
      </c>
      <c r="DF1270" s="2" t="b">
        <f>IF(OR(RecData[[#This Row],[WSpd_Avg '[m/s']]]-RecData[[#This Row],[Wind Speed min]]&gt;=$DF$3,RecData[[#This Row],[Wind Speed max]]-RecData[[#This Row],[WSpd_Avg '[m/s']]]&gt;=$DF$2),TRUE,FALSE)</f>
        <v>0</v>
      </c>
      <c r="DG1270" s="2" t="b">
        <f>RecData[[#This Row],[Temperature '[°C']]]&lt;=-20</f>
        <v>0</v>
      </c>
      <c r="DH1270" s="18" t="b">
        <f>NOT(OR(MOD(RecData[[#This Row],[TIMESTAMP]],1)&gt;0.91632,MOD(RecData[[#This Row],[TIMESTAMP]],1)&lt;0.208681))</f>
        <v>0</v>
      </c>
      <c r="DI1270" s="18" t="b">
        <f>RecData[[#This Row],[Overall (dBA)]]-RecData[[#This Row],[L90]]&gt;=$DS$4</f>
        <v>0</v>
      </c>
      <c r="DJ1270" s="18" t="b">
        <f>RecData[[#This Row],[Overall (dBA)]]&gt;$DS$2</f>
        <v>0</v>
      </c>
      <c r="DK1270" s="18" t="b">
        <f>RecData[[#This Row],[Overall (dBA)]]&lt;$DS$3</f>
        <v>0</v>
      </c>
      <c r="DL127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0" s="2">
        <f>IF(AND(RecData[[#This Row],[Turbines ON/OFF]] = "OFF", NOT(OR(RecData[[#This Row],[Junk?]]="YES",RecData[[#This Row],[Gust?]],RecData[[#This Row],[Rain?]:[Min SPL Threshold?]]))),1,0)</f>
        <v>0</v>
      </c>
      <c r="DN1270" s="16">
        <f>RecData[[#This Row],[dBA Sum]]</f>
        <v>30.924607770526915</v>
      </c>
      <c r="DO1270" s="16">
        <f>RecData[[#This Row],[LAF90.0]]</f>
        <v>28.9</v>
      </c>
      <c r="DP1270" s="55" t="str">
        <f>IF(AND(RecData[[#This Row],[Useable TON Data?]],RecData[[#This Row],[Turbines ON/OFF]]="ON"),RecData[[#This Row],[dBA Sum]],"")</f>
        <v/>
      </c>
      <c r="DQ1270" s="55" t="str">
        <f>IF(AND(RecData[[#This Row],[Useable Background Data?]],RecData[[#This Row],[Turbines ON/OFF]]="OFF"),RecData[[#This Row],[dBA Sum]],"")</f>
        <v/>
      </c>
      <c r="DR1270" s="3" t="str">
        <f>IF(OR(RecData[[#This Row],[Useable TON Data?]],RecData[[#This Row],[Useable Background Data?]]),ROUND(RecData[[#This Row],[WSpd_Avg '[m/s']]],0),"")</f>
        <v/>
      </c>
      <c r="DS1270" s="85">
        <f>(0.00002)^2*(10^(RecData[[#This Row],[Overall (dBA)]]/10))</f>
        <v>4.9490377712997208E-7</v>
      </c>
    </row>
    <row r="1271" spans="1:123" ht="15" x14ac:dyDescent="0.25">
      <c r="A1271" s="3" t="s">
        <v>249</v>
      </c>
      <c r="B1271" s="12">
        <v>43277.100694444445</v>
      </c>
      <c r="D1271" s="42">
        <v>32.4</v>
      </c>
      <c r="K1271" s="42">
        <v>30.5</v>
      </c>
      <c r="N1271" s="42">
        <v>134.69999999999999</v>
      </c>
      <c r="Q1271" s="42">
        <v>0.87</v>
      </c>
      <c r="R1271" s="42">
        <v>0.2</v>
      </c>
      <c r="S1271" s="42">
        <v>1.2</v>
      </c>
      <c r="T1271" s="42">
        <v>7.1</v>
      </c>
      <c r="U1271" s="42">
        <v>90.9</v>
      </c>
      <c r="V1271" s="42">
        <v>978.2</v>
      </c>
      <c r="W1271" s="42">
        <v>0</v>
      </c>
      <c r="X1271" s="42">
        <v>36.299999999999997</v>
      </c>
      <c r="Y1271" s="42">
        <v>32</v>
      </c>
      <c r="Z1271" s="42">
        <v>30.3</v>
      </c>
      <c r="AA1271" s="42">
        <v>28.3</v>
      </c>
      <c r="AB1271" s="42">
        <v>23.9</v>
      </c>
      <c r="AC1271" s="42">
        <v>24.6</v>
      </c>
      <c r="AD1271" s="42">
        <v>27.4</v>
      </c>
      <c r="AE1271" s="42">
        <v>32.700000000000003</v>
      </c>
      <c r="AF1271" s="42">
        <v>38.4</v>
      </c>
      <c r="AG1271" s="42">
        <v>35.1</v>
      </c>
      <c r="AH1271" s="42">
        <v>31.2</v>
      </c>
      <c r="AI1271" s="42">
        <v>34.299999999999997</v>
      </c>
      <c r="AJ1271" s="42">
        <v>29.9</v>
      </c>
      <c r="AK1271" s="42">
        <v>28.4</v>
      </c>
      <c r="AL1271" s="42">
        <v>24.3</v>
      </c>
      <c r="AM1271" s="42">
        <v>21.7</v>
      </c>
      <c r="AN1271" s="42">
        <v>19.2</v>
      </c>
      <c r="AO1271" s="42">
        <v>15</v>
      </c>
      <c r="AP1271" s="42">
        <v>12.5</v>
      </c>
      <c r="AQ1271" s="42">
        <v>12.1</v>
      </c>
      <c r="AR1271" s="42">
        <v>9.5</v>
      </c>
      <c r="AS1271" s="42">
        <v>13.5</v>
      </c>
      <c r="AT1271" s="42">
        <v>15.8</v>
      </c>
      <c r="AU1271" s="42">
        <v>7.5</v>
      </c>
      <c r="AV1271" s="42">
        <v>8</v>
      </c>
      <c r="AW1271" s="42">
        <v>8.5</v>
      </c>
      <c r="AX1271" s="42">
        <v>8.8000000000000007</v>
      </c>
      <c r="AY1271" s="42">
        <v>9</v>
      </c>
      <c r="AZ1271" s="42">
        <v>0</v>
      </c>
      <c r="BA1271" s="42">
        <v>0</v>
      </c>
      <c r="BB1271" s="42">
        <v>0</v>
      </c>
      <c r="BC1271" s="42">
        <v>32.426612768066533</v>
      </c>
      <c r="BD1271" s="42">
        <v>36.273387231933455</v>
      </c>
      <c r="BE1271" s="42">
        <v>31.973387231933472</v>
      </c>
      <c r="BF1271" s="42">
        <v>29.033387231933467</v>
      </c>
      <c r="BG1271" s="42">
        <v>27.360053898600128</v>
      </c>
      <c r="BH1271" s="42">
        <v>23.100053898600137</v>
      </c>
      <c r="BI1271" s="42">
        <v>24.213387231933467</v>
      </c>
      <c r="BJ1271" s="42">
        <v>27.806720565266801</v>
      </c>
      <c r="BK1271" s="42">
        <v>32.980053898600133</v>
      </c>
      <c r="BL1271" s="42">
        <v>38.253387231933473</v>
      </c>
      <c r="BM1271" s="42">
        <v>35.086720565266802</v>
      </c>
      <c r="BN1271" s="42">
        <v>31.470053898600128</v>
      </c>
      <c r="BO1271" s="42">
        <v>33.936720565266796</v>
      </c>
      <c r="BP1271" s="42">
        <v>29.253387231933459</v>
      </c>
      <c r="BQ1271" s="42">
        <v>28.170053898600116</v>
      </c>
      <c r="BR1271" s="42">
        <v>24.396720565266804</v>
      </c>
      <c r="BS1271" s="42">
        <v>21.60005389860013</v>
      </c>
      <c r="BT1271" s="42">
        <v>19.296720565266796</v>
      </c>
      <c r="BU1271" s="42">
        <v>15.063387231933469</v>
      </c>
      <c r="BV1271" s="42">
        <v>12.28005389860013</v>
      </c>
      <c r="BW1271" s="42">
        <v>12.41338723193347</v>
      </c>
      <c r="BX1271" s="42">
        <v>9.7333872319334702</v>
      </c>
      <c r="BY1271" s="42">
        <v>13.553387231933463</v>
      </c>
      <c r="BZ1271" s="42">
        <v>15.98338723193347</v>
      </c>
      <c r="CA1271" s="42">
        <v>7.7833872319334603</v>
      </c>
      <c r="CB1271" s="42">
        <v>7.7200538986001277</v>
      </c>
      <c r="CC1271" s="42">
        <v>8.433387231933466</v>
      </c>
      <c r="CD1271" s="42">
        <v>8.0400538986001351</v>
      </c>
      <c r="CE1271" s="42">
        <v>8.433387231933466</v>
      </c>
      <c r="CF1271" s="42">
        <v>-0.95327943473320076</v>
      </c>
      <c r="CG1271" s="42">
        <v>-1.4866127680665322</v>
      </c>
      <c r="CH1271" s="42">
        <v>-2.5632794347332002</v>
      </c>
      <c r="CI1271" s="13">
        <f>[1]!dbasum(RecData[[#This Row],[20]:[2000]],RecData[[#Headers],[20]:[2000]])</f>
        <v>31.967742142187792</v>
      </c>
      <c r="CJ1271" s="14">
        <v>11290</v>
      </c>
      <c r="CK1271" s="15" t="s">
        <v>249</v>
      </c>
      <c r="CL1271" s="15">
        <f>RecData[[#This Row],[Start Time]]</f>
        <v>43277.100694444445</v>
      </c>
      <c r="CM1271" s="16">
        <f>RecData[[#This Row],[Wind Speed avg]]</f>
        <v>0.87</v>
      </c>
      <c r="CN1271" s="16">
        <f>RecData[[#This Row],[Wind Dir. avg]]</f>
        <v>134.69999999999999</v>
      </c>
      <c r="CO1271" s="16">
        <f>RecData[[#This Row],[Amb. Humidity]]</f>
        <v>90.9</v>
      </c>
      <c r="CP1271" s="16">
        <f>RecData[[#This Row],[Amb. Temperature]]</f>
        <v>7.1</v>
      </c>
      <c r="CQ1271" s="17">
        <f>RecData[[#This Row],[Amb. Rain Gauge]]</f>
        <v>0</v>
      </c>
      <c r="CR1271" s="4" t="s">
        <v>1</v>
      </c>
      <c r="CS1271" s="4" t="s">
        <v>49</v>
      </c>
      <c r="CT1271" s="70">
        <v>849.352294921875</v>
      </c>
      <c r="CU1271" s="70">
        <v>141.00119018554599</v>
      </c>
      <c r="CV1271" s="70">
        <v>7.8470144271850497</v>
      </c>
      <c r="CW1271" s="70">
        <v>13.275677680969199</v>
      </c>
      <c r="CX1271" s="4" t="s">
        <v>49</v>
      </c>
      <c r="CY1271" s="69" t="s">
        <v>255</v>
      </c>
      <c r="CZ1271" s="2" t="b">
        <f>IF($DP$1="YES",IF(RecData[[#This Row],[Power (kW)]]&gt;=$CR$3, TRUE,FALSE),TRUE)</f>
        <v>0</v>
      </c>
      <c r="DA1271" s="16">
        <f>MIN(MOD(180-ABS(ABS($DA$1-RecData[Yaw Angle (°)])-180),360),MOD(180-ABS(ABS($DB$1-RecData[Yaw Angle (°)])-180),360))</f>
        <v>133.47126340785843</v>
      </c>
      <c r="DB1271" s="2" t="str">
        <f>IF($DP$2="None","None",IF(RecData[[#This Row],[Relative Wind Direction]]&lt;=45,"DW",IF(RecData[[#This Row],[Relative Wind Direction]]&lt;=135,"CW","UW")))</f>
        <v>CW</v>
      </c>
      <c r="DC1271" s="61" t="e">
        <f>IF($CL1271-#REF!&gt;1/24,#REF!,IF(SUM($CQ1271:$CQ1271)&gt;$DS$1,$DS$5,DC1272-1))</f>
        <v>#REF!</v>
      </c>
      <c r="DD1271" s="61" t="e">
        <f>IF($CL1272-$CL1271&gt;1/24,#REF!,IF(SUM($CQ1271:$CQ1271)&gt;$DS$1,$DS$6,#REF!-1))</f>
        <v>#REF!</v>
      </c>
      <c r="DE1271" s="18" t="b">
        <v>0</v>
      </c>
      <c r="DF1271" s="2" t="b">
        <f>IF(OR(RecData[[#This Row],[WSpd_Avg '[m/s']]]-RecData[[#This Row],[Wind Speed min]]&gt;=$DF$3,RecData[[#This Row],[Wind Speed max]]-RecData[[#This Row],[WSpd_Avg '[m/s']]]&gt;=$DF$2),TRUE,FALSE)</f>
        <v>0</v>
      </c>
      <c r="DG1271" s="2" t="b">
        <f>RecData[[#This Row],[Temperature '[°C']]]&lt;=-20</f>
        <v>0</v>
      </c>
      <c r="DH1271" s="18" t="b">
        <f>NOT(OR(MOD(RecData[[#This Row],[TIMESTAMP]],1)&gt;0.91632,MOD(RecData[[#This Row],[TIMESTAMP]],1)&lt;0.208681))</f>
        <v>0</v>
      </c>
      <c r="DI1271" s="18" t="b">
        <f>RecData[[#This Row],[Overall (dBA)]]-RecData[[#This Row],[L90]]&gt;=$DS$4</f>
        <v>0</v>
      </c>
      <c r="DJ1271" s="18" t="b">
        <f>RecData[[#This Row],[Overall (dBA)]]&gt;$DS$2</f>
        <v>0</v>
      </c>
      <c r="DK1271" s="18" t="b">
        <f>RecData[[#This Row],[Overall (dBA)]]&lt;$DS$3</f>
        <v>0</v>
      </c>
      <c r="DL127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1" s="2">
        <f>IF(AND(RecData[[#This Row],[Turbines ON/OFF]] = "OFF", NOT(OR(RecData[[#This Row],[Junk?]]="YES",RecData[[#This Row],[Gust?]],RecData[[#This Row],[Rain?]:[Min SPL Threshold?]]))),1,0)</f>
        <v>0</v>
      </c>
      <c r="DN1271" s="16">
        <f>RecData[[#This Row],[dBA Sum]]</f>
        <v>31.967742142187792</v>
      </c>
      <c r="DO1271" s="16">
        <f>RecData[[#This Row],[LAF90.0]]</f>
        <v>30.5</v>
      </c>
      <c r="DP1271" s="55" t="str">
        <f>IF(AND(RecData[[#This Row],[Useable TON Data?]],RecData[[#This Row],[Turbines ON/OFF]]="ON"),RecData[[#This Row],[dBA Sum]],"")</f>
        <v/>
      </c>
      <c r="DQ1271" s="55" t="str">
        <f>IF(AND(RecData[[#This Row],[Useable Background Data?]],RecData[[#This Row],[Turbines ON/OFF]]="OFF"),RecData[[#This Row],[dBA Sum]],"")</f>
        <v/>
      </c>
      <c r="DR1271" s="3" t="str">
        <f>IF(OR(RecData[[#This Row],[Useable TON Data?]],RecData[[#This Row],[Useable Background Data?]]),ROUND(RecData[[#This Row],[WSpd_Avg '[m/s']]],0),"")</f>
        <v/>
      </c>
      <c r="DS1271" s="85">
        <f>(0.00002)^2*(10^(RecData[[#This Row],[Overall (dBA)]]/10))</f>
        <v>6.2926591106323065E-7</v>
      </c>
    </row>
    <row r="1272" spans="1:123" ht="15" x14ac:dyDescent="0.25">
      <c r="A1272" s="3" t="s">
        <v>249</v>
      </c>
      <c r="B1272" s="12">
        <v>43277.101388888892</v>
      </c>
      <c r="D1272" s="42">
        <v>32.5</v>
      </c>
      <c r="K1272" s="42">
        <v>30.2</v>
      </c>
      <c r="N1272" s="42">
        <v>134.1</v>
      </c>
      <c r="Q1272" s="42">
        <v>0.76</v>
      </c>
      <c r="R1272" s="42">
        <v>0.5</v>
      </c>
      <c r="S1272" s="42">
        <v>1.1000000000000001</v>
      </c>
      <c r="T1272" s="42">
        <v>7.1</v>
      </c>
      <c r="U1272" s="42">
        <v>91</v>
      </c>
      <c r="V1272" s="42">
        <v>978.2</v>
      </c>
      <c r="W1272" s="42">
        <v>0</v>
      </c>
      <c r="X1272" s="42">
        <v>38.799999999999997</v>
      </c>
      <c r="Y1272" s="42">
        <v>32.299999999999997</v>
      </c>
      <c r="Z1272" s="42">
        <v>31.7</v>
      </c>
      <c r="AA1272" s="42">
        <v>29.6</v>
      </c>
      <c r="AB1272" s="42">
        <v>24.7</v>
      </c>
      <c r="AC1272" s="42">
        <v>26.1</v>
      </c>
      <c r="AD1272" s="42">
        <v>28.9</v>
      </c>
      <c r="AE1272" s="42">
        <v>33.1</v>
      </c>
      <c r="AF1272" s="42">
        <v>39.6</v>
      </c>
      <c r="AG1272" s="42">
        <v>34.200000000000003</v>
      </c>
      <c r="AH1272" s="42">
        <v>31.1</v>
      </c>
      <c r="AI1272" s="42">
        <v>33.799999999999997</v>
      </c>
      <c r="AJ1272" s="42">
        <v>29.6</v>
      </c>
      <c r="AK1272" s="42">
        <v>28.2</v>
      </c>
      <c r="AL1272" s="42">
        <v>24.5</v>
      </c>
      <c r="AM1272" s="42">
        <v>22.1</v>
      </c>
      <c r="AN1272" s="42">
        <v>19.8</v>
      </c>
      <c r="AO1272" s="42">
        <v>15.7</v>
      </c>
      <c r="AP1272" s="42">
        <v>13.1</v>
      </c>
      <c r="AQ1272" s="42">
        <v>12.8</v>
      </c>
      <c r="AR1272" s="42">
        <v>10.199999999999999</v>
      </c>
      <c r="AS1272" s="42">
        <v>14.4</v>
      </c>
      <c r="AT1272" s="42">
        <v>16.600000000000001</v>
      </c>
      <c r="AU1272" s="42">
        <v>7.5</v>
      </c>
      <c r="AV1272" s="42">
        <v>8.1</v>
      </c>
      <c r="AW1272" s="42">
        <v>8.6</v>
      </c>
      <c r="AX1272" s="42">
        <v>8.8000000000000007</v>
      </c>
      <c r="AY1272" s="42">
        <v>9</v>
      </c>
      <c r="AZ1272" s="42">
        <v>0</v>
      </c>
      <c r="BA1272" s="42">
        <v>0</v>
      </c>
      <c r="BB1272" s="42">
        <v>0</v>
      </c>
      <c r="BC1272" s="42">
        <v>32.472407256359581</v>
      </c>
      <c r="BD1272" s="42">
        <v>38.827592743640416</v>
      </c>
      <c r="BE1272" s="42">
        <v>32.327592743640416</v>
      </c>
      <c r="BF1272" s="42">
        <v>30.48759274364042</v>
      </c>
      <c r="BG1272" s="42">
        <v>28.714259410307086</v>
      </c>
      <c r="BH1272" s="42">
        <v>23.954259410307088</v>
      </c>
      <c r="BI1272" s="42">
        <v>25.767592743640421</v>
      </c>
      <c r="BJ1272" s="42">
        <v>29.360926076973747</v>
      </c>
      <c r="BK1272" s="42">
        <v>33.434259410307085</v>
      </c>
      <c r="BL1272" s="42">
        <v>39.507592743640423</v>
      </c>
      <c r="BM1272" s="42">
        <v>34.240926076973757</v>
      </c>
      <c r="BN1272" s="42">
        <v>31.424259410307087</v>
      </c>
      <c r="BO1272" s="42">
        <v>33.490926076973757</v>
      </c>
      <c r="BP1272" s="42">
        <v>29.007592743640423</v>
      </c>
      <c r="BQ1272" s="42">
        <v>28.024259410307074</v>
      </c>
      <c r="BR1272" s="42">
        <v>24.650926076973754</v>
      </c>
      <c r="BS1272" s="42">
        <v>22.05425941030709</v>
      </c>
      <c r="BT1272" s="42">
        <v>19.950926076973751</v>
      </c>
      <c r="BU1272" s="42">
        <v>15.817592743640425</v>
      </c>
      <c r="BV1272" s="42">
        <v>12.934259410307085</v>
      </c>
      <c r="BW1272" s="42">
        <v>13.167592743640419</v>
      </c>
      <c r="BX1272" s="42">
        <v>10.487592743640427</v>
      </c>
      <c r="BY1272" s="42">
        <v>14.507592743640416</v>
      </c>
      <c r="BZ1272" s="42">
        <v>16.837592743640421</v>
      </c>
      <c r="CA1272" s="42">
        <v>7.837592743640414</v>
      </c>
      <c r="CB1272" s="42">
        <v>7.8742594103070829</v>
      </c>
      <c r="CC1272" s="42">
        <v>8.5875927436404211</v>
      </c>
      <c r="CD1272" s="42">
        <v>8.0942594103070888</v>
      </c>
      <c r="CE1272" s="42">
        <v>8.4875927436404197</v>
      </c>
      <c r="CF1272" s="42">
        <v>-0.899073923026247</v>
      </c>
      <c r="CG1272" s="42">
        <v>-1.4324072563595784</v>
      </c>
      <c r="CH1272" s="42">
        <v>-2.5090739230262464</v>
      </c>
      <c r="CI1272" s="13">
        <f>[1]!dbasum(RecData[[#This Row],[20]:[2000]],RecData[[#Headers],[20]:[2000]])</f>
        <v>32.037659575381298</v>
      </c>
      <c r="CJ1272" s="14">
        <v>11291</v>
      </c>
      <c r="CK1272" s="15" t="s">
        <v>249</v>
      </c>
      <c r="CL1272" s="15">
        <f>RecData[[#This Row],[Start Time]]</f>
        <v>43277.101388888892</v>
      </c>
      <c r="CM1272" s="16">
        <f>RecData[[#This Row],[Wind Speed avg]]</f>
        <v>0.76</v>
      </c>
      <c r="CN1272" s="16">
        <f>RecData[[#This Row],[Wind Dir. avg]]</f>
        <v>134.1</v>
      </c>
      <c r="CO1272" s="16">
        <f>RecData[[#This Row],[Amb. Humidity]]</f>
        <v>91</v>
      </c>
      <c r="CP1272" s="16">
        <f>RecData[[#This Row],[Amb. Temperature]]</f>
        <v>7.1</v>
      </c>
      <c r="CQ1272" s="17">
        <f>RecData[[#This Row],[Amb. Rain Gauge]]</f>
        <v>0</v>
      </c>
      <c r="CR1272" s="4" t="s">
        <v>1</v>
      </c>
      <c r="CS1272" s="4" t="s">
        <v>49</v>
      </c>
      <c r="CT1272" s="70">
        <v>849.352294921875</v>
      </c>
      <c r="CU1272" s="70">
        <v>141.00119018554599</v>
      </c>
      <c r="CV1272" s="70">
        <v>7.8470144271850497</v>
      </c>
      <c r="CW1272" s="70">
        <v>13.275677680969199</v>
      </c>
      <c r="CX1272" s="4" t="s">
        <v>49</v>
      </c>
      <c r="CY1272" s="69" t="s">
        <v>255</v>
      </c>
      <c r="CZ1272" s="2" t="b">
        <f>IF($DP$1="YES",IF(RecData[[#This Row],[Power (kW)]]&gt;=$CR$3, TRUE,FALSE),TRUE)</f>
        <v>0</v>
      </c>
      <c r="DA1272" s="16">
        <f>MIN(MOD(180-ABS(ABS($DA$1-RecData[Yaw Angle (°)])-180),360),MOD(180-ABS(ABS($DB$1-RecData[Yaw Angle (°)])-180),360))</f>
        <v>133.47126340785843</v>
      </c>
      <c r="DB1272" s="2" t="str">
        <f>IF($DP$2="None","None",IF(RecData[[#This Row],[Relative Wind Direction]]&lt;=45,"DW",IF(RecData[[#This Row],[Relative Wind Direction]]&lt;=135,"CW","UW")))</f>
        <v>CW</v>
      </c>
      <c r="DC1272" s="61" t="e">
        <f>IF($CL1272-#REF!&gt;1/24,#REF!,IF(SUM($CQ1271:$CQ1272)&gt;$DS$1,$DS$5,#REF!-1))</f>
        <v>#REF!</v>
      </c>
      <c r="DD1272" s="61" t="e">
        <f>IF(#REF!-$CL1272&gt;1/24,#REF!,IF(SUM($CQ1271:$CQ1272)&gt;$DS$1,$DS$6,DD1271-1))</f>
        <v>#REF!</v>
      </c>
      <c r="DE1272" s="18" t="b">
        <v>0</v>
      </c>
      <c r="DF1272" s="2" t="b">
        <f>IF(OR(RecData[[#This Row],[WSpd_Avg '[m/s']]]-RecData[[#This Row],[Wind Speed min]]&gt;=$DF$3,RecData[[#This Row],[Wind Speed max]]-RecData[[#This Row],[WSpd_Avg '[m/s']]]&gt;=$DF$2),TRUE,FALSE)</f>
        <v>0</v>
      </c>
      <c r="DG1272" s="2" t="b">
        <f>RecData[[#This Row],[Temperature '[°C']]]&lt;=-20</f>
        <v>0</v>
      </c>
      <c r="DH1272" s="18" t="b">
        <f>NOT(OR(MOD(RecData[[#This Row],[TIMESTAMP]],1)&gt;0.91632,MOD(RecData[[#This Row],[TIMESTAMP]],1)&lt;0.208681))</f>
        <v>0</v>
      </c>
      <c r="DI1272" s="18" t="b">
        <f>RecData[[#This Row],[Overall (dBA)]]-RecData[[#This Row],[L90]]&gt;=$DS$4</f>
        <v>0</v>
      </c>
      <c r="DJ1272" s="18" t="b">
        <f>RecData[[#This Row],[Overall (dBA)]]&gt;$DS$2</f>
        <v>0</v>
      </c>
      <c r="DK1272" s="18" t="b">
        <f>RecData[[#This Row],[Overall (dBA)]]&lt;$DS$3</f>
        <v>0</v>
      </c>
      <c r="DL127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2" s="2">
        <f>IF(AND(RecData[[#This Row],[Turbines ON/OFF]] = "OFF", NOT(OR(RecData[[#This Row],[Junk?]]="YES",RecData[[#This Row],[Gust?]],RecData[[#This Row],[Rain?]:[Min SPL Threshold?]]))),1,0)</f>
        <v>0</v>
      </c>
      <c r="DN1272" s="16">
        <f>RecData[[#This Row],[dBA Sum]]</f>
        <v>32.037659575381298</v>
      </c>
      <c r="DO1272" s="16">
        <f>RecData[[#This Row],[LAF90.0]]</f>
        <v>30.2</v>
      </c>
      <c r="DP1272" s="55" t="str">
        <f>IF(AND(RecData[[#This Row],[Useable TON Data?]],RecData[[#This Row],[Turbines ON/OFF]]="ON"),RecData[[#This Row],[dBA Sum]],"")</f>
        <v/>
      </c>
      <c r="DQ1272" s="55" t="str">
        <f>IF(AND(RecData[[#This Row],[Useable Background Data?]],RecData[[#This Row],[Turbines ON/OFF]]="OFF"),RecData[[#This Row],[dBA Sum]],"")</f>
        <v/>
      </c>
      <c r="DR1272" s="3" t="str">
        <f>IF(OR(RecData[[#This Row],[Useable TON Data?]],RecData[[#This Row],[Useable Background Data?]]),ROUND(RecData[[#This Row],[WSpd_Avg '[m/s']]],0),"")</f>
        <v/>
      </c>
      <c r="DS1272" s="85">
        <f>(0.00002)^2*(10^(RecData[[#This Row],[Overall (dBA)]]/10))</f>
        <v>6.3947850189083802E-7</v>
      </c>
    </row>
    <row r="1273" spans="1:123" ht="15" x14ac:dyDescent="0.25">
      <c r="A1273" s="3" t="s">
        <v>249</v>
      </c>
      <c r="B1273" s="12">
        <v>43277.102777777778</v>
      </c>
      <c r="D1273" s="42">
        <v>33</v>
      </c>
      <c r="K1273" s="42">
        <v>30.7</v>
      </c>
      <c r="N1273" s="42">
        <v>127.2</v>
      </c>
      <c r="Q1273" s="42">
        <v>0.73</v>
      </c>
      <c r="R1273" s="42">
        <v>0.1</v>
      </c>
      <c r="S1273" s="42">
        <v>1.1000000000000001</v>
      </c>
      <c r="T1273" s="42">
        <v>7.2</v>
      </c>
      <c r="U1273" s="42">
        <v>91.2</v>
      </c>
      <c r="V1273" s="42">
        <v>978.2</v>
      </c>
      <c r="W1273" s="42">
        <v>0</v>
      </c>
      <c r="X1273" s="42">
        <v>38.299999999999997</v>
      </c>
      <c r="Y1273" s="42">
        <v>31.8</v>
      </c>
      <c r="Z1273" s="42">
        <v>31.5</v>
      </c>
      <c r="AA1273" s="42">
        <v>29.5</v>
      </c>
      <c r="AB1273" s="42">
        <v>24.8</v>
      </c>
      <c r="AC1273" s="42">
        <v>26.2</v>
      </c>
      <c r="AD1273" s="42">
        <v>28.8</v>
      </c>
      <c r="AE1273" s="42">
        <v>33.200000000000003</v>
      </c>
      <c r="AF1273" s="42">
        <v>38.9</v>
      </c>
      <c r="AG1273" s="42">
        <v>35.1</v>
      </c>
      <c r="AH1273" s="42">
        <v>31.3</v>
      </c>
      <c r="AI1273" s="42">
        <v>34.1</v>
      </c>
      <c r="AJ1273" s="42">
        <v>30.8</v>
      </c>
      <c r="AK1273" s="42">
        <v>28.8</v>
      </c>
      <c r="AL1273" s="42">
        <v>25.3</v>
      </c>
      <c r="AM1273" s="42">
        <v>23.2</v>
      </c>
      <c r="AN1273" s="42">
        <v>20.7</v>
      </c>
      <c r="AO1273" s="42">
        <v>16.600000000000001</v>
      </c>
      <c r="AP1273" s="42">
        <v>13.7</v>
      </c>
      <c r="AQ1273" s="42">
        <v>13.4</v>
      </c>
      <c r="AR1273" s="42">
        <v>10.1</v>
      </c>
      <c r="AS1273" s="42">
        <v>13.1</v>
      </c>
      <c r="AT1273" s="42">
        <v>17.399999999999999</v>
      </c>
      <c r="AU1273" s="42">
        <v>7.5</v>
      </c>
      <c r="AV1273" s="42">
        <v>8</v>
      </c>
      <c r="AW1273" s="42">
        <v>8.5</v>
      </c>
      <c r="AX1273" s="42">
        <v>8.8000000000000007</v>
      </c>
      <c r="AY1273" s="42">
        <v>9</v>
      </c>
      <c r="AZ1273" s="42">
        <v>0</v>
      </c>
      <c r="BA1273" s="42">
        <v>0</v>
      </c>
      <c r="BB1273" s="42">
        <v>0</v>
      </c>
      <c r="BC1273" s="42">
        <v>32.966784852751154</v>
      </c>
      <c r="BD1273" s="42">
        <v>38.333215147248843</v>
      </c>
      <c r="BE1273" s="42">
        <v>31.833215147248843</v>
      </c>
      <c r="BF1273" s="42">
        <v>30.293215147248851</v>
      </c>
      <c r="BG1273" s="42">
        <v>28.619881813915505</v>
      </c>
      <c r="BH1273" s="42">
        <v>24.059881813915517</v>
      </c>
      <c r="BI1273" s="42">
        <v>25.87321514724885</v>
      </c>
      <c r="BJ1273" s="42">
        <v>29.266548480582181</v>
      </c>
      <c r="BK1273" s="42">
        <v>33.539881813915507</v>
      </c>
      <c r="BL1273" s="42">
        <v>38.813215147248847</v>
      </c>
      <c r="BM1273" s="42">
        <v>35.14654848058219</v>
      </c>
      <c r="BN1273" s="42">
        <v>31.62988181391551</v>
      </c>
      <c r="BO1273" s="42">
        <v>33.796548480582182</v>
      </c>
      <c r="BP1273" s="42">
        <v>30.213215147248846</v>
      </c>
      <c r="BQ1273" s="42">
        <v>28.629881813915503</v>
      </c>
      <c r="BR1273" s="42">
        <v>25.456548480582178</v>
      </c>
      <c r="BS1273" s="42">
        <v>23.159881813915511</v>
      </c>
      <c r="BT1273" s="42">
        <v>20.856548480582184</v>
      </c>
      <c r="BU1273" s="42">
        <v>16.723215147248851</v>
      </c>
      <c r="BV1273" s="42">
        <v>13.539881813915514</v>
      </c>
      <c r="BW1273" s="42">
        <v>13.773215147248848</v>
      </c>
      <c r="BX1273" s="42">
        <v>10.393215147248853</v>
      </c>
      <c r="BY1273" s="42">
        <v>13.213215147248846</v>
      </c>
      <c r="BZ1273" s="42">
        <v>17.643215147248846</v>
      </c>
      <c r="CA1273" s="42">
        <v>7.8432151472488414</v>
      </c>
      <c r="CB1273" s="42">
        <v>7.7798818139155088</v>
      </c>
      <c r="CC1273" s="42">
        <v>8.4932151472488471</v>
      </c>
      <c r="CD1273" s="42">
        <v>8.0998818139155162</v>
      </c>
      <c r="CE1273" s="42">
        <v>8.4932151472488471</v>
      </c>
      <c r="CF1273" s="42">
        <v>-0.89345151941782319</v>
      </c>
      <c r="CG1273" s="42">
        <v>-1.4267848527511511</v>
      </c>
      <c r="CH1273" s="42">
        <v>-2.5034515194178191</v>
      </c>
      <c r="CI1273" s="13">
        <f>[1]!dbasum(RecData[[#This Row],[20]:[2000]],RecData[[#Headers],[20]:[2000]])</f>
        <v>32.562181259545746</v>
      </c>
      <c r="CJ1273" s="14">
        <v>11293</v>
      </c>
      <c r="CK1273" s="15" t="s">
        <v>249</v>
      </c>
      <c r="CL1273" s="15">
        <f>RecData[[#This Row],[Start Time]]</f>
        <v>43277.102777777778</v>
      </c>
      <c r="CM1273" s="16">
        <f>RecData[[#This Row],[Wind Speed avg]]</f>
        <v>0.73</v>
      </c>
      <c r="CN1273" s="16">
        <f>RecData[[#This Row],[Wind Dir. avg]]</f>
        <v>127.2</v>
      </c>
      <c r="CO1273" s="16">
        <f>RecData[[#This Row],[Amb. Humidity]]</f>
        <v>91.2</v>
      </c>
      <c r="CP1273" s="16">
        <f>RecData[[#This Row],[Amb. Temperature]]</f>
        <v>7.2</v>
      </c>
      <c r="CQ1273" s="17">
        <f>RecData[[#This Row],[Amb. Rain Gauge]]</f>
        <v>0</v>
      </c>
      <c r="CR1273" s="4" t="s">
        <v>1</v>
      </c>
      <c r="CS1273" s="4" t="s">
        <v>49</v>
      </c>
      <c r="CT1273" s="70">
        <v>849.352294921875</v>
      </c>
      <c r="CU1273" s="70">
        <v>141.00119018554599</v>
      </c>
      <c r="CV1273" s="70">
        <v>7.8470144271850497</v>
      </c>
      <c r="CW1273" s="70">
        <v>13.275677680969199</v>
      </c>
      <c r="CX1273" s="4" t="s">
        <v>49</v>
      </c>
      <c r="CY1273" s="69" t="s">
        <v>255</v>
      </c>
      <c r="CZ1273" s="2" t="b">
        <f>IF($DP$1="YES",IF(RecData[[#This Row],[Power (kW)]]&gt;=$CR$3, TRUE,FALSE),TRUE)</f>
        <v>0</v>
      </c>
      <c r="DA1273" s="16">
        <f>MIN(MOD(180-ABS(ABS($DA$1-RecData[Yaw Angle (°)])-180),360),MOD(180-ABS(ABS($DB$1-RecData[Yaw Angle (°)])-180),360))</f>
        <v>133.47126340785843</v>
      </c>
      <c r="DB1273" s="2" t="str">
        <f>IF($DP$2="None","None",IF(RecData[[#This Row],[Relative Wind Direction]]&lt;=45,"DW",IF(RecData[[#This Row],[Relative Wind Direction]]&lt;=135,"CW","UW")))</f>
        <v>CW</v>
      </c>
      <c r="DC1273" s="61" t="e">
        <f>IF($CL1273-#REF!&gt;1/24,#REF!,IF(SUM($CQ1271:$CQ1273)&gt;$DS$1,$DS$5,#REF!-1))</f>
        <v>#REF!</v>
      </c>
      <c r="DD1273" s="61" t="e">
        <f>IF(#REF!-$CL1273&gt;1/24,#REF!,IF(SUM($CQ1271:$CQ1273)&gt;$DS$1,$DS$6,#REF!-1))</f>
        <v>#REF!</v>
      </c>
      <c r="DE1273" s="18" t="b">
        <v>0</v>
      </c>
      <c r="DF1273" s="2" t="b">
        <f>IF(OR(RecData[[#This Row],[WSpd_Avg '[m/s']]]-RecData[[#This Row],[Wind Speed min]]&gt;=$DF$3,RecData[[#This Row],[Wind Speed max]]-RecData[[#This Row],[WSpd_Avg '[m/s']]]&gt;=$DF$2),TRUE,FALSE)</f>
        <v>0</v>
      </c>
      <c r="DG1273" s="2" t="b">
        <f>RecData[[#This Row],[Temperature '[°C']]]&lt;=-20</f>
        <v>0</v>
      </c>
      <c r="DH1273" s="18" t="b">
        <f>NOT(OR(MOD(RecData[[#This Row],[TIMESTAMP]],1)&gt;0.91632,MOD(RecData[[#This Row],[TIMESTAMP]],1)&lt;0.208681))</f>
        <v>0</v>
      </c>
      <c r="DI1273" s="18" t="b">
        <f>RecData[[#This Row],[Overall (dBA)]]-RecData[[#This Row],[L90]]&gt;=$DS$4</f>
        <v>0</v>
      </c>
      <c r="DJ1273" s="18" t="b">
        <f>RecData[[#This Row],[Overall (dBA)]]&gt;$DS$2</f>
        <v>0</v>
      </c>
      <c r="DK1273" s="18" t="b">
        <f>RecData[[#This Row],[Overall (dBA)]]&lt;$DS$3</f>
        <v>0</v>
      </c>
      <c r="DL127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3" s="2">
        <f>IF(AND(RecData[[#This Row],[Turbines ON/OFF]] = "OFF", NOT(OR(RecData[[#This Row],[Junk?]]="YES",RecData[[#This Row],[Gust?]],RecData[[#This Row],[Rain?]:[Min SPL Threshold?]]))),1,0)</f>
        <v>0</v>
      </c>
      <c r="DN1273" s="16">
        <f>RecData[[#This Row],[dBA Sum]]</f>
        <v>32.562181259545746</v>
      </c>
      <c r="DO1273" s="16">
        <f>RecData[[#This Row],[LAF90.0]]</f>
        <v>30.7</v>
      </c>
      <c r="DP1273" s="55" t="str">
        <f>IF(AND(RecData[[#This Row],[Useable TON Data?]],RecData[[#This Row],[Turbines ON/OFF]]="ON"),RecData[[#This Row],[dBA Sum]],"")</f>
        <v/>
      </c>
      <c r="DQ1273" s="55" t="str">
        <f>IF(AND(RecData[[#This Row],[Useable Background Data?]],RecData[[#This Row],[Turbines ON/OFF]]="OFF"),RecData[[#This Row],[dBA Sum]],"")</f>
        <v/>
      </c>
      <c r="DR1273" s="3" t="str">
        <f>IF(OR(RecData[[#This Row],[Useable TON Data?]],RecData[[#This Row],[Useable Background Data?]]),ROUND(RecData[[#This Row],[WSpd_Avg '[m/s']]],0),"")</f>
        <v/>
      </c>
      <c r="DS1273" s="85">
        <f>(0.00002)^2*(10^(RecData[[#This Row],[Overall (dBA)]]/10))</f>
        <v>7.2156941616427963E-7</v>
      </c>
    </row>
    <row r="1274" spans="1:123" ht="15" x14ac:dyDescent="0.25">
      <c r="A1274" s="3" t="s">
        <v>249</v>
      </c>
      <c r="B1274" s="12">
        <v>43277.115277777782</v>
      </c>
      <c r="D1274" s="42">
        <v>33.6</v>
      </c>
      <c r="K1274" s="42">
        <v>31.5</v>
      </c>
      <c r="N1274" s="42">
        <v>120.4</v>
      </c>
      <c r="Q1274" s="42">
        <v>0.21</v>
      </c>
      <c r="R1274" s="42">
        <v>0</v>
      </c>
      <c r="S1274" s="42">
        <v>0.4</v>
      </c>
      <c r="T1274" s="42">
        <v>7</v>
      </c>
      <c r="U1274" s="42">
        <v>91.5</v>
      </c>
      <c r="V1274" s="42">
        <v>977.9</v>
      </c>
      <c r="W1274" s="42">
        <v>0</v>
      </c>
      <c r="X1274" s="42">
        <v>39.5</v>
      </c>
      <c r="Y1274" s="42">
        <v>34</v>
      </c>
      <c r="Z1274" s="42">
        <v>32.6</v>
      </c>
      <c r="AA1274" s="42">
        <v>30.7</v>
      </c>
      <c r="AB1274" s="42">
        <v>26.7</v>
      </c>
      <c r="AC1274" s="42">
        <v>25.9</v>
      </c>
      <c r="AD1274" s="42">
        <v>29</v>
      </c>
      <c r="AE1274" s="42">
        <v>33.4</v>
      </c>
      <c r="AF1274" s="42">
        <v>39</v>
      </c>
      <c r="AG1274" s="42">
        <v>34.9</v>
      </c>
      <c r="AH1274" s="42">
        <v>31.8</v>
      </c>
      <c r="AI1274" s="42">
        <v>34.799999999999997</v>
      </c>
      <c r="AJ1274" s="42">
        <v>30.7</v>
      </c>
      <c r="AK1274" s="42">
        <v>29.5</v>
      </c>
      <c r="AL1274" s="42">
        <v>26</v>
      </c>
      <c r="AM1274" s="42">
        <v>24.1</v>
      </c>
      <c r="AN1274" s="42">
        <v>21.3</v>
      </c>
      <c r="AO1274" s="42">
        <v>17</v>
      </c>
      <c r="AP1274" s="42">
        <v>14.4</v>
      </c>
      <c r="AQ1274" s="42">
        <v>13.7</v>
      </c>
      <c r="AR1274" s="42">
        <v>10.199999999999999</v>
      </c>
      <c r="AS1274" s="42">
        <v>19.2</v>
      </c>
      <c r="AT1274" s="42">
        <v>18.5</v>
      </c>
      <c r="AU1274" s="42">
        <v>7.2</v>
      </c>
      <c r="AV1274" s="42">
        <v>7.9</v>
      </c>
      <c r="AW1274" s="42">
        <v>8.5</v>
      </c>
      <c r="AX1274" s="42">
        <v>8.8000000000000007</v>
      </c>
      <c r="AY1274" s="42">
        <v>9.1</v>
      </c>
      <c r="AZ1274" s="42">
        <v>0</v>
      </c>
      <c r="BA1274" s="42">
        <v>0</v>
      </c>
      <c r="BB1274" s="42">
        <v>0</v>
      </c>
      <c r="BC1274" s="42">
        <v>33.581436338864449</v>
      </c>
      <c r="BD1274" s="42">
        <v>39.518563661135545</v>
      </c>
      <c r="BE1274" s="42">
        <v>34.018563661135545</v>
      </c>
      <c r="BF1274" s="42">
        <v>31.378563661135559</v>
      </c>
      <c r="BG1274" s="42">
        <v>29.805230327802214</v>
      </c>
      <c r="BH1274" s="42">
        <v>25.945230327802221</v>
      </c>
      <c r="BI1274" s="42">
        <v>25.558563661135551</v>
      </c>
      <c r="BJ1274" s="42">
        <v>29.451896994468882</v>
      </c>
      <c r="BK1274" s="42">
        <v>33.725230327802223</v>
      </c>
      <c r="BL1274" s="42">
        <v>38.898563661135555</v>
      </c>
      <c r="BM1274" s="42">
        <v>34.931896994468886</v>
      </c>
      <c r="BN1274" s="42">
        <v>32.115230327802209</v>
      </c>
      <c r="BO1274" s="42">
        <v>34.481896994468883</v>
      </c>
      <c r="BP1274" s="42">
        <v>30.09856366113555</v>
      </c>
      <c r="BQ1274" s="42">
        <v>29.315230327802212</v>
      </c>
      <c r="BR1274" s="42">
        <v>26.141896994468887</v>
      </c>
      <c r="BS1274" s="42">
        <v>24.045230327802216</v>
      </c>
      <c r="BT1274" s="42">
        <v>21.441896994468891</v>
      </c>
      <c r="BU1274" s="42">
        <v>17.108563661135555</v>
      </c>
      <c r="BV1274" s="42">
        <v>14.225230327802223</v>
      </c>
      <c r="BW1274" s="42">
        <v>14.058563661135551</v>
      </c>
      <c r="BX1274" s="42">
        <v>10.478563661135553</v>
      </c>
      <c r="BY1274" s="42">
        <v>19.298563661135546</v>
      </c>
      <c r="BZ1274" s="42">
        <v>18.728563661135553</v>
      </c>
      <c r="CA1274" s="42">
        <v>7.5285636611355429</v>
      </c>
      <c r="CB1274" s="42">
        <v>7.6652303278022202</v>
      </c>
      <c r="CC1274" s="42">
        <v>8.4785636611355528</v>
      </c>
      <c r="CD1274" s="42">
        <v>8.085230327802222</v>
      </c>
      <c r="CE1274" s="42">
        <v>8.5785636611355471</v>
      </c>
      <c r="CF1274" s="42">
        <v>-0.90810300553111745</v>
      </c>
      <c r="CG1274" s="42">
        <v>-1.4414363388644489</v>
      </c>
      <c r="CH1274" s="42">
        <v>-2.5181030055311133</v>
      </c>
      <c r="CI1274" s="13">
        <f>[1]!dbasum(RecData[[#This Row],[20]:[2000]],RecData[[#Headers],[20]:[2000]])</f>
        <v>32.991195095903926</v>
      </c>
      <c r="CJ1274" s="14">
        <v>11311</v>
      </c>
      <c r="CK1274" s="15" t="s">
        <v>249</v>
      </c>
      <c r="CL1274" s="15">
        <f>RecData[[#This Row],[Start Time]]</f>
        <v>43277.115277777782</v>
      </c>
      <c r="CM1274" s="16">
        <f>RecData[[#This Row],[Wind Speed avg]]</f>
        <v>0.21</v>
      </c>
      <c r="CN1274" s="16">
        <f>RecData[[#This Row],[Wind Dir. avg]]</f>
        <v>120.4</v>
      </c>
      <c r="CO1274" s="16">
        <f>RecData[[#This Row],[Amb. Humidity]]</f>
        <v>91.5</v>
      </c>
      <c r="CP1274" s="16">
        <f>RecData[[#This Row],[Amb. Temperature]]</f>
        <v>7</v>
      </c>
      <c r="CQ1274" s="17">
        <f>RecData[[#This Row],[Amb. Rain Gauge]]</f>
        <v>0</v>
      </c>
      <c r="CR1274" s="4" t="s">
        <v>1</v>
      </c>
      <c r="CS1274" s="4" t="s">
        <v>49</v>
      </c>
      <c r="CT1274" s="70">
        <v>870.99609375</v>
      </c>
      <c r="CU1274" s="70">
        <v>141.001205444335</v>
      </c>
      <c r="CV1274" s="70">
        <v>7.9735474586486799</v>
      </c>
      <c r="CW1274" s="70">
        <v>13.344221115112299</v>
      </c>
      <c r="CX1274" s="4" t="s">
        <v>49</v>
      </c>
      <c r="CY1274" s="69" t="s">
        <v>255</v>
      </c>
      <c r="CZ1274" s="2" t="b">
        <f>IF($DP$1="YES",IF(RecData[[#This Row],[Power (kW)]]&gt;=$CR$3, TRUE,FALSE),TRUE)</f>
        <v>0</v>
      </c>
      <c r="DA1274" s="16">
        <f>MIN(MOD(180-ABS(ABS($DA$1-RecData[Yaw Angle (°)])-180),360),MOD(180-ABS(ABS($DB$1-RecData[Yaw Angle (°)])-180),360))</f>
        <v>133.47127866664744</v>
      </c>
      <c r="DB1274" s="2" t="str">
        <f>IF($DP$2="None","None",IF(RecData[[#This Row],[Relative Wind Direction]]&lt;=45,"DW",IF(RecData[[#This Row],[Relative Wind Direction]]&lt;=135,"CW","UW")))</f>
        <v>CW</v>
      </c>
      <c r="DC1274" s="61" t="e">
        <f>IF($CL1274-#REF!&gt;1/24,#REF!,IF(SUM($CQ1274:$CQ1274)&gt;$DS$1,$DS$5,#REF!-1))</f>
        <v>#REF!</v>
      </c>
      <c r="DD1274" s="61" t="e">
        <f>IF(#REF!-$CL1274&gt;1/24,#REF!,IF(SUM($CQ1274:$CQ1274)&gt;$DS$1,$DS$6,#REF!-1))</f>
        <v>#REF!</v>
      </c>
      <c r="DE1274" s="18" t="b">
        <v>0</v>
      </c>
      <c r="DF1274" s="2" t="b">
        <f>IF(OR(RecData[[#This Row],[WSpd_Avg '[m/s']]]-RecData[[#This Row],[Wind Speed min]]&gt;=$DF$3,RecData[[#This Row],[Wind Speed max]]-RecData[[#This Row],[WSpd_Avg '[m/s']]]&gt;=$DF$2),TRUE,FALSE)</f>
        <v>0</v>
      </c>
      <c r="DG1274" s="2" t="b">
        <f>RecData[[#This Row],[Temperature '[°C']]]&lt;=-20</f>
        <v>0</v>
      </c>
      <c r="DH1274" s="18" t="b">
        <f>NOT(OR(MOD(RecData[[#This Row],[TIMESTAMP]],1)&gt;0.91632,MOD(RecData[[#This Row],[TIMESTAMP]],1)&lt;0.208681))</f>
        <v>0</v>
      </c>
      <c r="DI1274" s="18" t="b">
        <f>RecData[[#This Row],[Overall (dBA)]]-RecData[[#This Row],[L90]]&gt;=$DS$4</f>
        <v>0</v>
      </c>
      <c r="DJ1274" s="18" t="b">
        <f>RecData[[#This Row],[Overall (dBA)]]&gt;$DS$2</f>
        <v>0</v>
      </c>
      <c r="DK1274" s="18" t="b">
        <f>RecData[[#This Row],[Overall (dBA)]]&lt;$DS$3</f>
        <v>0</v>
      </c>
      <c r="DL127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4" s="2">
        <f>IF(AND(RecData[[#This Row],[Turbines ON/OFF]] = "OFF", NOT(OR(RecData[[#This Row],[Junk?]]="YES",RecData[[#This Row],[Gust?]],RecData[[#This Row],[Rain?]:[Min SPL Threshold?]]))),1,0)</f>
        <v>0</v>
      </c>
      <c r="DN1274" s="16">
        <f>RecData[[#This Row],[dBA Sum]]</f>
        <v>32.991195095903926</v>
      </c>
      <c r="DO1274" s="16">
        <f>RecData[[#This Row],[LAF90.0]]</f>
        <v>31.5</v>
      </c>
      <c r="DP1274" s="55" t="str">
        <f>IF(AND(RecData[[#This Row],[Useable TON Data?]],RecData[[#This Row],[Turbines ON/OFF]]="ON"),RecData[[#This Row],[dBA Sum]],"")</f>
        <v/>
      </c>
      <c r="DQ1274" s="55" t="str">
        <f>IF(AND(RecData[[#This Row],[Useable Background Data?]],RecData[[#This Row],[Turbines ON/OFF]]="OFF"),RecData[[#This Row],[dBA Sum]],"")</f>
        <v/>
      </c>
      <c r="DR1274" s="3" t="str">
        <f>IF(OR(RecData[[#This Row],[Useable TON Data?]],RecData[[#This Row],[Useable Background Data?]]),ROUND(RecData[[#This Row],[WSpd_Avg '[m/s']]],0),"")</f>
        <v/>
      </c>
      <c r="DS1274" s="85">
        <f>(0.00002)^2*(10^(RecData[[#This Row],[Overall (dBA)]]/10))</f>
        <v>7.9648848393930296E-7</v>
      </c>
    </row>
    <row r="1275" spans="1:123" ht="15" x14ac:dyDescent="0.25">
      <c r="A1275" s="3" t="s">
        <v>249</v>
      </c>
      <c r="B1275" s="12">
        <v>43277.120833333334</v>
      </c>
      <c r="D1275" s="42">
        <v>32.1</v>
      </c>
      <c r="K1275" s="42">
        <v>30</v>
      </c>
      <c r="N1275" s="42">
        <v>103.3</v>
      </c>
      <c r="Q1275" s="42">
        <v>0.47</v>
      </c>
      <c r="R1275" s="42">
        <v>0.2</v>
      </c>
      <c r="S1275" s="42">
        <v>0.7</v>
      </c>
      <c r="T1275" s="42">
        <v>6.9</v>
      </c>
      <c r="U1275" s="42">
        <v>91.7</v>
      </c>
      <c r="V1275" s="42">
        <v>977.8</v>
      </c>
      <c r="W1275" s="42">
        <v>0</v>
      </c>
      <c r="X1275" s="42">
        <v>38.5</v>
      </c>
      <c r="Y1275" s="42">
        <v>33.4</v>
      </c>
      <c r="Z1275" s="42">
        <v>32.9</v>
      </c>
      <c r="AA1275" s="42">
        <v>31.1</v>
      </c>
      <c r="AB1275" s="42">
        <v>25.6</v>
      </c>
      <c r="AC1275" s="42">
        <v>25.7</v>
      </c>
      <c r="AD1275" s="42">
        <v>28</v>
      </c>
      <c r="AE1275" s="42">
        <v>31.9</v>
      </c>
      <c r="AF1275" s="42">
        <v>37</v>
      </c>
      <c r="AG1275" s="42">
        <v>34.1</v>
      </c>
      <c r="AH1275" s="42">
        <v>29.8</v>
      </c>
      <c r="AI1275" s="42">
        <v>33.200000000000003</v>
      </c>
      <c r="AJ1275" s="42">
        <v>29.9</v>
      </c>
      <c r="AK1275" s="42">
        <v>27.9</v>
      </c>
      <c r="AL1275" s="42">
        <v>24.3</v>
      </c>
      <c r="AM1275" s="42">
        <v>22</v>
      </c>
      <c r="AN1275" s="42">
        <v>19.7</v>
      </c>
      <c r="AO1275" s="42">
        <v>15.6</v>
      </c>
      <c r="AP1275" s="42">
        <v>12.9</v>
      </c>
      <c r="AQ1275" s="42">
        <v>13.7</v>
      </c>
      <c r="AR1275" s="42">
        <v>12</v>
      </c>
      <c r="AS1275" s="42">
        <v>15</v>
      </c>
      <c r="AT1275" s="42">
        <v>17.600000000000001</v>
      </c>
      <c r="AU1275" s="42">
        <v>7.3</v>
      </c>
      <c r="AV1275" s="42">
        <v>7.9</v>
      </c>
      <c r="AW1275" s="42">
        <v>8.5</v>
      </c>
      <c r="AX1275" s="42">
        <v>8.8000000000000007</v>
      </c>
      <c r="AY1275" s="42">
        <v>9</v>
      </c>
      <c r="AZ1275" s="42">
        <v>0</v>
      </c>
      <c r="BA1275" s="42">
        <v>0</v>
      </c>
      <c r="BB1275" s="42">
        <v>0</v>
      </c>
      <c r="BC1275" s="42">
        <v>32.067442121696473</v>
      </c>
      <c r="BD1275" s="42">
        <v>38.532557878303521</v>
      </c>
      <c r="BE1275" s="42">
        <v>33.432557878303527</v>
      </c>
      <c r="BF1275" s="42">
        <v>31.692557878303532</v>
      </c>
      <c r="BG1275" s="42">
        <v>30.219224544970189</v>
      </c>
      <c r="BH1275" s="42">
        <v>24.859224544970203</v>
      </c>
      <c r="BI1275" s="42">
        <v>25.372557878303525</v>
      </c>
      <c r="BJ1275" s="42">
        <v>28.465891211636858</v>
      </c>
      <c r="BK1275" s="42">
        <v>32.239224544970199</v>
      </c>
      <c r="BL1275" s="42">
        <v>36.912557878303531</v>
      </c>
      <c r="BM1275" s="42">
        <v>34.145891211636865</v>
      </c>
      <c r="BN1275" s="42">
        <v>30.129224544970199</v>
      </c>
      <c r="BO1275" s="42">
        <v>32.895891211636865</v>
      </c>
      <c r="BP1275" s="42">
        <v>29.312557878303522</v>
      </c>
      <c r="BQ1275" s="42">
        <v>27.72922454497018</v>
      </c>
      <c r="BR1275" s="42">
        <v>24.455891211636867</v>
      </c>
      <c r="BS1275" s="42">
        <v>21.959224544970198</v>
      </c>
      <c r="BT1275" s="42">
        <v>19.855891211636859</v>
      </c>
      <c r="BU1275" s="42">
        <v>15.722557878303533</v>
      </c>
      <c r="BV1275" s="42">
        <v>12.739224544970199</v>
      </c>
      <c r="BW1275" s="42">
        <v>14.072557878303527</v>
      </c>
      <c r="BX1275" s="42">
        <v>12.292557878303533</v>
      </c>
      <c r="BY1275" s="42">
        <v>15.112557878303527</v>
      </c>
      <c r="BZ1275" s="42">
        <v>17.842557878303538</v>
      </c>
      <c r="CA1275" s="42">
        <v>7.6425578783035206</v>
      </c>
      <c r="CB1275" s="42">
        <v>7.6792245449701966</v>
      </c>
      <c r="CC1275" s="42">
        <v>8.4925578783035292</v>
      </c>
      <c r="CD1275" s="42">
        <v>8.0992245449701983</v>
      </c>
      <c r="CE1275" s="42">
        <v>8.4925578783035292</v>
      </c>
      <c r="CF1275" s="42">
        <v>-0.89410878836313756</v>
      </c>
      <c r="CG1275" s="42">
        <v>-1.427442121696469</v>
      </c>
      <c r="CH1275" s="42">
        <v>-2.504108788363137</v>
      </c>
      <c r="CI1275" s="13">
        <f>[1]!dbasum(RecData[[#This Row],[20]:[2000]],RecData[[#Headers],[20]:[2000]])</f>
        <v>31.536529336506579</v>
      </c>
      <c r="CJ1275" s="14">
        <v>11319</v>
      </c>
      <c r="CK1275" s="15" t="s">
        <v>249</v>
      </c>
      <c r="CL1275" s="15">
        <f>RecData[[#This Row],[Start Time]]</f>
        <v>43277.120833333334</v>
      </c>
      <c r="CM1275" s="16">
        <f>RecData[[#This Row],[Wind Speed avg]]</f>
        <v>0.47</v>
      </c>
      <c r="CN1275" s="16">
        <f>RecData[[#This Row],[Wind Dir. avg]]</f>
        <v>103.3</v>
      </c>
      <c r="CO1275" s="16">
        <f>RecData[[#This Row],[Amb. Humidity]]</f>
        <v>91.7</v>
      </c>
      <c r="CP1275" s="16">
        <f>RecData[[#This Row],[Amb. Temperature]]</f>
        <v>6.9</v>
      </c>
      <c r="CQ1275" s="17">
        <f>RecData[[#This Row],[Amb. Rain Gauge]]</f>
        <v>0</v>
      </c>
      <c r="CR1275" s="4" t="s">
        <v>1</v>
      </c>
      <c r="CS1275" s="4" t="s">
        <v>49</v>
      </c>
      <c r="CT1275" s="70">
        <v>800.80181884765602</v>
      </c>
      <c r="CU1275" s="70">
        <v>141.00119018554599</v>
      </c>
      <c r="CV1275" s="70">
        <v>7.6118264198303196</v>
      </c>
      <c r="CW1275" s="70">
        <v>13.0043621063232</v>
      </c>
      <c r="CX1275" s="4" t="s">
        <v>49</v>
      </c>
      <c r="CY1275" s="69" t="s">
        <v>255</v>
      </c>
      <c r="CZ1275" s="2" t="b">
        <f>IF($DP$1="YES",IF(RecData[[#This Row],[Power (kW)]]&gt;=$CR$3, TRUE,FALSE),TRUE)</f>
        <v>0</v>
      </c>
      <c r="DA1275" s="16">
        <f>MIN(MOD(180-ABS(ABS($DA$1-RecData[Yaw Angle (°)])-180),360),MOD(180-ABS(ABS($DB$1-RecData[Yaw Angle (°)])-180),360))</f>
        <v>133.47126340785843</v>
      </c>
      <c r="DB1275" s="2" t="str">
        <f>IF($DP$2="None","None",IF(RecData[[#This Row],[Relative Wind Direction]]&lt;=45,"DW",IF(RecData[[#This Row],[Relative Wind Direction]]&lt;=135,"CW","UW")))</f>
        <v>CW</v>
      </c>
      <c r="DC1275" s="61" t="e">
        <f>IF($CL1275-#REF!&gt;1/24,#REF!,IF(SUM($CQ1275:$CQ1275)&gt;$DS$1,$DS$5,#REF!-1))</f>
        <v>#REF!</v>
      </c>
      <c r="DD1275" s="61" t="e">
        <f>IF(#REF!-$CL1275&gt;1/24,#REF!,IF(SUM($CQ1275:$CQ1275)&gt;$DS$1,$DS$6,#REF!-1))</f>
        <v>#REF!</v>
      </c>
      <c r="DE1275" s="18" t="b">
        <v>0</v>
      </c>
      <c r="DF1275" s="2" t="b">
        <f>IF(OR(RecData[[#This Row],[WSpd_Avg '[m/s']]]-RecData[[#This Row],[Wind Speed min]]&gt;=$DF$3,RecData[[#This Row],[Wind Speed max]]-RecData[[#This Row],[WSpd_Avg '[m/s']]]&gt;=$DF$2),TRUE,FALSE)</f>
        <v>0</v>
      </c>
      <c r="DG1275" s="2" t="b">
        <f>RecData[[#This Row],[Temperature '[°C']]]&lt;=-20</f>
        <v>0</v>
      </c>
      <c r="DH1275" s="18" t="b">
        <f>NOT(OR(MOD(RecData[[#This Row],[TIMESTAMP]],1)&gt;0.91632,MOD(RecData[[#This Row],[TIMESTAMP]],1)&lt;0.208681))</f>
        <v>0</v>
      </c>
      <c r="DI1275" s="18" t="b">
        <f>RecData[[#This Row],[Overall (dBA)]]-RecData[[#This Row],[L90]]&gt;=$DS$4</f>
        <v>0</v>
      </c>
      <c r="DJ1275" s="18" t="b">
        <f>RecData[[#This Row],[Overall (dBA)]]&gt;$DS$2</f>
        <v>0</v>
      </c>
      <c r="DK1275" s="18" t="b">
        <f>RecData[[#This Row],[Overall (dBA)]]&lt;$DS$3</f>
        <v>0</v>
      </c>
      <c r="DL127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5" s="2">
        <f>IF(AND(RecData[[#This Row],[Turbines ON/OFF]] = "OFF", NOT(OR(RecData[[#This Row],[Junk?]]="YES",RecData[[#This Row],[Gust?]],RecData[[#This Row],[Rain?]:[Min SPL Threshold?]]))),1,0)</f>
        <v>0</v>
      </c>
      <c r="DN1275" s="16">
        <f>RecData[[#This Row],[dBA Sum]]</f>
        <v>31.536529336506579</v>
      </c>
      <c r="DO1275" s="16">
        <f>RecData[[#This Row],[LAF90.0]]</f>
        <v>30</v>
      </c>
      <c r="DP1275" s="55" t="str">
        <f>IF(AND(RecData[[#This Row],[Useable TON Data?]],RecData[[#This Row],[Turbines ON/OFF]]="ON"),RecData[[#This Row],[dBA Sum]],"")</f>
        <v/>
      </c>
      <c r="DQ1275" s="55" t="str">
        <f>IF(AND(RecData[[#This Row],[Useable Background Data?]],RecData[[#This Row],[Turbines ON/OFF]]="OFF"),RecData[[#This Row],[dBA Sum]],"")</f>
        <v/>
      </c>
      <c r="DR1275" s="3" t="str">
        <f>IF(OR(RecData[[#This Row],[Useable TON Data?]],RecData[[#This Row],[Useable Background Data?]]),ROUND(RecData[[#This Row],[WSpd_Avg '[m/s']]],0),"")</f>
        <v/>
      </c>
      <c r="DS1275" s="85">
        <f>(0.00002)^2*(10^(RecData[[#This Row],[Overall (dBA)]]/10))</f>
        <v>5.6978750987188292E-7</v>
      </c>
    </row>
    <row r="1276" spans="1:123" ht="15" x14ac:dyDescent="0.25">
      <c r="A1276" s="3" t="s">
        <v>249</v>
      </c>
      <c r="B1276" s="12">
        <v>43277.128472222219</v>
      </c>
      <c r="D1276" s="42">
        <v>33.9</v>
      </c>
      <c r="K1276" s="42">
        <v>32</v>
      </c>
      <c r="N1276" s="42">
        <v>145.19999999999999</v>
      </c>
      <c r="Q1276" s="42">
        <v>0.69</v>
      </c>
      <c r="R1276" s="42">
        <v>0.6</v>
      </c>
      <c r="S1276" s="42">
        <v>0.9</v>
      </c>
      <c r="T1276" s="42">
        <v>6.9</v>
      </c>
      <c r="U1276" s="42">
        <v>92.4</v>
      </c>
      <c r="V1276" s="42">
        <v>977.8</v>
      </c>
      <c r="W1276" s="42">
        <v>0</v>
      </c>
      <c r="X1276" s="42">
        <v>38.299999999999997</v>
      </c>
      <c r="Y1276" s="42">
        <v>33.1</v>
      </c>
      <c r="Z1276" s="42">
        <v>31.2</v>
      </c>
      <c r="AA1276" s="42">
        <v>29.7</v>
      </c>
      <c r="AB1276" s="42">
        <v>23.9</v>
      </c>
      <c r="AC1276" s="42">
        <v>25.7</v>
      </c>
      <c r="AD1276" s="42">
        <v>29</v>
      </c>
      <c r="AE1276" s="42">
        <v>33.9</v>
      </c>
      <c r="AF1276" s="42">
        <v>39.700000000000003</v>
      </c>
      <c r="AG1276" s="42">
        <v>35.799999999999997</v>
      </c>
      <c r="AH1276" s="42">
        <v>32.4</v>
      </c>
      <c r="AI1276" s="42">
        <v>35</v>
      </c>
      <c r="AJ1276" s="42">
        <v>32.1</v>
      </c>
      <c r="AK1276" s="42">
        <v>29.7</v>
      </c>
      <c r="AL1276" s="42">
        <v>26.5</v>
      </c>
      <c r="AM1276" s="42">
        <v>24.3</v>
      </c>
      <c r="AN1276" s="42">
        <v>21.8</v>
      </c>
      <c r="AO1276" s="42">
        <v>17.5</v>
      </c>
      <c r="AP1276" s="42">
        <v>14.5</v>
      </c>
      <c r="AQ1276" s="42">
        <v>14.2</v>
      </c>
      <c r="AR1276" s="42">
        <v>10.5</v>
      </c>
      <c r="AS1276" s="42">
        <v>16.899999999999999</v>
      </c>
      <c r="AT1276" s="42">
        <v>16.399999999999999</v>
      </c>
      <c r="AU1276" s="42">
        <v>7.2</v>
      </c>
      <c r="AV1276" s="42">
        <v>7.9</v>
      </c>
      <c r="AW1276" s="42">
        <v>8.4</v>
      </c>
      <c r="AX1276" s="42">
        <v>8.6999999999999993</v>
      </c>
      <c r="AY1276" s="42">
        <v>9</v>
      </c>
      <c r="AZ1276" s="42">
        <v>0</v>
      </c>
      <c r="BA1276" s="42">
        <v>0</v>
      </c>
      <c r="BB1276" s="42">
        <v>0</v>
      </c>
      <c r="BC1276" s="42">
        <v>33.932790390121596</v>
      </c>
      <c r="BD1276" s="42">
        <v>38.267209609878392</v>
      </c>
      <c r="BE1276" s="42">
        <v>33.067209609878404</v>
      </c>
      <c r="BF1276" s="42">
        <v>29.927209609878403</v>
      </c>
      <c r="BG1276" s="42">
        <v>28.753876276545064</v>
      </c>
      <c r="BH1276" s="42">
        <v>23.093876276545075</v>
      </c>
      <c r="BI1276" s="42">
        <v>25.307209609878399</v>
      </c>
      <c r="BJ1276" s="42">
        <v>29.400542943211732</v>
      </c>
      <c r="BK1276" s="42">
        <v>34.173876276545059</v>
      </c>
      <c r="BL1276" s="42">
        <v>39.547209609878408</v>
      </c>
      <c r="BM1276" s="42">
        <v>35.780542943211742</v>
      </c>
      <c r="BN1276" s="42">
        <v>32.663876276545068</v>
      </c>
      <c r="BO1276" s="42">
        <v>34.630542943211736</v>
      </c>
      <c r="BP1276" s="42">
        <v>31.447209609878399</v>
      </c>
      <c r="BQ1276" s="42">
        <v>29.463876276545058</v>
      </c>
      <c r="BR1276" s="42">
        <v>26.590542943211737</v>
      </c>
      <c r="BS1276" s="42">
        <v>24.193876276545069</v>
      </c>
      <c r="BT1276" s="42">
        <v>21.890542943211742</v>
      </c>
      <c r="BU1276" s="42">
        <v>17.557209609878406</v>
      </c>
      <c r="BV1276" s="42">
        <v>14.273876276545067</v>
      </c>
      <c r="BW1276" s="42">
        <v>14.507209609878402</v>
      </c>
      <c r="BX1276" s="42">
        <v>10.727209609878408</v>
      </c>
      <c r="BY1276" s="42">
        <v>16.947209609878399</v>
      </c>
      <c r="BZ1276" s="42">
        <v>16.577209609878409</v>
      </c>
      <c r="CA1276" s="42">
        <v>7.4772096098783933</v>
      </c>
      <c r="CB1276" s="42">
        <v>7.6138762765450707</v>
      </c>
      <c r="CC1276" s="42">
        <v>8.3272096098784019</v>
      </c>
      <c r="CD1276" s="42">
        <v>7.933876276545071</v>
      </c>
      <c r="CE1276" s="42">
        <v>8.4272096098784033</v>
      </c>
      <c r="CF1276" s="42">
        <v>-0.95945705678826698</v>
      </c>
      <c r="CG1276" s="42">
        <v>-1.4927903901215984</v>
      </c>
      <c r="CH1276" s="42">
        <v>-2.5694570567882629</v>
      </c>
      <c r="CI1276" s="13">
        <f>[1]!dbasum(RecData[[#This Row],[20]:[2000]],RecData[[#Headers],[20]:[2000]])</f>
        <v>33.477663429050438</v>
      </c>
      <c r="CJ1276" s="14">
        <v>11330</v>
      </c>
      <c r="CK1276" s="15" t="s">
        <v>249</v>
      </c>
      <c r="CL1276" s="15">
        <f>RecData[[#This Row],[Start Time]]</f>
        <v>43277.128472222219</v>
      </c>
      <c r="CM1276" s="16">
        <f>RecData[[#This Row],[Wind Speed avg]]</f>
        <v>0.69</v>
      </c>
      <c r="CN1276" s="16">
        <f>RecData[[#This Row],[Wind Dir. avg]]</f>
        <v>145.19999999999999</v>
      </c>
      <c r="CO1276" s="16">
        <f>RecData[[#This Row],[Amb. Humidity]]</f>
        <v>92.4</v>
      </c>
      <c r="CP1276" s="16">
        <f>RecData[[#This Row],[Amb. Temperature]]</f>
        <v>6.9</v>
      </c>
      <c r="CQ1276" s="17">
        <f>RecData[[#This Row],[Amb. Rain Gauge]]</f>
        <v>0</v>
      </c>
      <c r="CR1276" s="4" t="s">
        <v>1</v>
      </c>
      <c r="CS1276" s="4" t="s">
        <v>49</v>
      </c>
      <c r="CT1276" s="70">
        <v>973.92962646484295</v>
      </c>
      <c r="CU1276" s="70">
        <v>141.00119018554599</v>
      </c>
      <c r="CV1276" s="70">
        <v>8.2450704574584908</v>
      </c>
      <c r="CW1276" s="70">
        <v>13.842769622802701</v>
      </c>
      <c r="CX1276" s="4" t="s">
        <v>49</v>
      </c>
      <c r="CY1276" s="69" t="s">
        <v>255</v>
      </c>
      <c r="CZ1276" s="2" t="b">
        <f>IF($DP$1="YES",IF(RecData[[#This Row],[Power (kW)]]&gt;=$CR$3, TRUE,FALSE),TRUE)</f>
        <v>0</v>
      </c>
      <c r="DA1276" s="16">
        <f>MIN(MOD(180-ABS(ABS($DA$1-RecData[Yaw Angle (°)])-180),360),MOD(180-ABS(ABS($DB$1-RecData[Yaw Angle (°)])-180),360))</f>
        <v>133.47126340785843</v>
      </c>
      <c r="DB1276" s="2" t="str">
        <f>IF($DP$2="None","None",IF(RecData[[#This Row],[Relative Wind Direction]]&lt;=45,"DW",IF(RecData[[#This Row],[Relative Wind Direction]]&lt;=135,"CW","UW")))</f>
        <v>CW</v>
      </c>
      <c r="DC1276" s="61" t="e">
        <f>IF($CL1276-#REF!&gt;1/24,#REF!,IF(SUM($CQ1276:$CQ1276)&gt;$DS$1,$DS$5,DC1277-1))</f>
        <v>#REF!</v>
      </c>
      <c r="DD1276" s="61" t="e">
        <f>IF($CL1277-$CL1276&gt;1/24,#REF!,IF(SUM($CQ1276:$CQ1276)&gt;$DS$1,$DS$6,#REF!-1))</f>
        <v>#REF!</v>
      </c>
      <c r="DE1276" s="18" t="b">
        <v>0</v>
      </c>
      <c r="DF1276" s="2" t="b">
        <f>IF(OR(RecData[[#This Row],[WSpd_Avg '[m/s']]]-RecData[[#This Row],[Wind Speed min]]&gt;=$DF$3,RecData[[#This Row],[Wind Speed max]]-RecData[[#This Row],[WSpd_Avg '[m/s']]]&gt;=$DF$2),TRUE,FALSE)</f>
        <v>0</v>
      </c>
      <c r="DG1276" s="2" t="b">
        <f>RecData[[#This Row],[Temperature '[°C']]]&lt;=-20</f>
        <v>0</v>
      </c>
      <c r="DH1276" s="18" t="b">
        <f>NOT(OR(MOD(RecData[[#This Row],[TIMESTAMP]],1)&gt;0.91632,MOD(RecData[[#This Row],[TIMESTAMP]],1)&lt;0.208681))</f>
        <v>0</v>
      </c>
      <c r="DI1276" s="18" t="b">
        <f>RecData[[#This Row],[Overall (dBA)]]-RecData[[#This Row],[L90]]&gt;=$DS$4</f>
        <v>0</v>
      </c>
      <c r="DJ1276" s="18" t="b">
        <f>RecData[[#This Row],[Overall (dBA)]]&gt;$DS$2</f>
        <v>0</v>
      </c>
      <c r="DK1276" s="18" t="b">
        <f>RecData[[#This Row],[Overall (dBA)]]&lt;$DS$3</f>
        <v>0</v>
      </c>
      <c r="DL127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6" s="2">
        <f>IF(AND(RecData[[#This Row],[Turbines ON/OFF]] = "OFF", NOT(OR(RecData[[#This Row],[Junk?]]="YES",RecData[[#This Row],[Gust?]],RecData[[#This Row],[Rain?]:[Min SPL Threshold?]]))),1,0)</f>
        <v>0</v>
      </c>
      <c r="DN1276" s="16">
        <f>RecData[[#This Row],[dBA Sum]]</f>
        <v>33.477663429050438</v>
      </c>
      <c r="DO1276" s="16">
        <f>RecData[[#This Row],[LAF90.0]]</f>
        <v>32</v>
      </c>
      <c r="DP1276" s="55" t="str">
        <f>IF(AND(RecData[[#This Row],[Useable TON Data?]],RecData[[#This Row],[Turbines ON/OFF]]="ON"),RecData[[#This Row],[dBA Sum]],"")</f>
        <v/>
      </c>
      <c r="DQ1276" s="55" t="str">
        <f>IF(AND(RecData[[#This Row],[Useable Background Data?]],RecData[[#This Row],[Turbines ON/OFF]]="OFF"),RecData[[#This Row],[dBA Sum]],"")</f>
        <v/>
      </c>
      <c r="DR1276" s="3" t="str">
        <f>IF(OR(RecData[[#This Row],[Useable TON Data?]],RecData[[#This Row],[Useable Background Data?]]),ROUND(RecData[[#This Row],[WSpd_Avg '[m/s']]],0),"")</f>
        <v/>
      </c>
      <c r="DS1276" s="85">
        <f>(0.00002)^2*(10^(RecData[[#This Row],[Overall (dBA)]]/10))</f>
        <v>8.9089461577266861E-7</v>
      </c>
    </row>
    <row r="1277" spans="1:123" ht="15" x14ac:dyDescent="0.25">
      <c r="A1277" s="3" t="s">
        <v>249</v>
      </c>
      <c r="B1277" s="12">
        <v>43277.129166666666</v>
      </c>
      <c r="D1277" s="42">
        <v>34.299999999999997</v>
      </c>
      <c r="K1277" s="42">
        <v>32.200000000000003</v>
      </c>
      <c r="N1277" s="42">
        <v>157.5</v>
      </c>
      <c r="Q1277" s="42">
        <v>0.79</v>
      </c>
      <c r="R1277" s="42">
        <v>0.5</v>
      </c>
      <c r="S1277" s="42">
        <v>1</v>
      </c>
      <c r="T1277" s="42">
        <v>6.9</v>
      </c>
      <c r="U1277" s="42">
        <v>92.5</v>
      </c>
      <c r="V1277" s="42">
        <v>977.8</v>
      </c>
      <c r="W1277" s="42">
        <v>0</v>
      </c>
      <c r="X1277" s="42">
        <v>39.1</v>
      </c>
      <c r="Y1277" s="42">
        <v>33.5</v>
      </c>
      <c r="Z1277" s="42">
        <v>31.5</v>
      </c>
      <c r="AA1277" s="42">
        <v>29.7</v>
      </c>
      <c r="AB1277" s="42">
        <v>24.4</v>
      </c>
      <c r="AC1277" s="42">
        <v>26.3</v>
      </c>
      <c r="AD1277" s="42">
        <v>29.6</v>
      </c>
      <c r="AE1277" s="42">
        <v>34.1</v>
      </c>
      <c r="AF1277" s="42">
        <v>40.200000000000003</v>
      </c>
      <c r="AG1277" s="42">
        <v>36.5</v>
      </c>
      <c r="AH1277" s="42">
        <v>33</v>
      </c>
      <c r="AI1277" s="42">
        <v>35.4</v>
      </c>
      <c r="AJ1277" s="42">
        <v>32.200000000000003</v>
      </c>
      <c r="AK1277" s="42">
        <v>30.3</v>
      </c>
      <c r="AL1277" s="42">
        <v>26.9</v>
      </c>
      <c r="AM1277" s="42">
        <v>24.8</v>
      </c>
      <c r="AN1277" s="42">
        <v>22.3</v>
      </c>
      <c r="AO1277" s="42">
        <v>18</v>
      </c>
      <c r="AP1277" s="42">
        <v>14.9</v>
      </c>
      <c r="AQ1277" s="42">
        <v>14.4</v>
      </c>
      <c r="AR1277" s="42">
        <v>10.6</v>
      </c>
      <c r="AS1277" s="42">
        <v>15.4</v>
      </c>
      <c r="AT1277" s="42">
        <v>16.399999999999999</v>
      </c>
      <c r="AU1277" s="42">
        <v>7.2</v>
      </c>
      <c r="AV1277" s="42">
        <v>7.9</v>
      </c>
      <c r="AW1277" s="42">
        <v>8.4</v>
      </c>
      <c r="AX1277" s="42">
        <v>8.6999999999999993</v>
      </c>
      <c r="AY1277" s="42">
        <v>9</v>
      </c>
      <c r="AZ1277" s="42">
        <v>0</v>
      </c>
      <c r="BA1277" s="42">
        <v>0</v>
      </c>
      <c r="BB1277" s="42">
        <v>0</v>
      </c>
      <c r="BC1277" s="42">
        <v>34.314777429760383</v>
      </c>
      <c r="BD1277" s="42">
        <v>39.085222570239623</v>
      </c>
      <c r="BE1277" s="42">
        <v>33.485222570239614</v>
      </c>
      <c r="BF1277" s="42">
        <v>30.245222570239619</v>
      </c>
      <c r="BG1277" s="42">
        <v>28.771889236906276</v>
      </c>
      <c r="BH1277" s="42">
        <v>23.611889236906279</v>
      </c>
      <c r="BI1277" s="42">
        <v>25.925222570239612</v>
      </c>
      <c r="BJ1277" s="42">
        <v>30.018555903572945</v>
      </c>
      <c r="BK1277" s="42">
        <v>34.39188923690628</v>
      </c>
      <c r="BL1277" s="42">
        <v>40.065222570239612</v>
      </c>
      <c r="BM1277" s="42">
        <v>36.498555903572949</v>
      </c>
      <c r="BN1277" s="42">
        <v>33.281889236906281</v>
      </c>
      <c r="BO1277" s="42">
        <v>35.048555903572947</v>
      </c>
      <c r="BP1277" s="42">
        <v>31.565222570239612</v>
      </c>
      <c r="BQ1277" s="42">
        <v>30.081889236906264</v>
      </c>
      <c r="BR1277" s="42">
        <v>27.008555903572947</v>
      </c>
      <c r="BS1277" s="42">
        <v>24.711889236906281</v>
      </c>
      <c r="BT1277" s="42">
        <v>22.408555903572946</v>
      </c>
      <c r="BU1277" s="42">
        <v>18.075222570239617</v>
      </c>
      <c r="BV1277" s="42">
        <v>14.691889236906277</v>
      </c>
      <c r="BW1277" s="42">
        <v>14.725222570239616</v>
      </c>
      <c r="BX1277" s="42">
        <v>10.845222570239621</v>
      </c>
      <c r="BY1277" s="42">
        <v>15.465222570239611</v>
      </c>
      <c r="BZ1277" s="42">
        <v>16.595222570239613</v>
      </c>
      <c r="CA1277" s="42">
        <v>7.4952225702396049</v>
      </c>
      <c r="CB1277" s="42">
        <v>7.6318892369062823</v>
      </c>
      <c r="CC1277" s="42">
        <v>8.3452225702396134</v>
      </c>
      <c r="CD1277" s="42">
        <v>7.9518892369062826</v>
      </c>
      <c r="CE1277" s="42">
        <v>8.4452225702396149</v>
      </c>
      <c r="CF1277" s="42">
        <v>-0.9414440964270554</v>
      </c>
      <c r="CG1277" s="42">
        <v>-1.4747774297603868</v>
      </c>
      <c r="CH1277" s="42">
        <v>-2.5514440964270513</v>
      </c>
      <c r="CI1277" s="13">
        <f>[1]!dbasum(RecData[[#This Row],[20]:[2000]],RecData[[#Headers],[20]:[2000]])</f>
        <v>33.940619856423531</v>
      </c>
      <c r="CJ1277" s="14">
        <v>11331</v>
      </c>
      <c r="CK1277" s="15" t="s">
        <v>249</v>
      </c>
      <c r="CL1277" s="15">
        <f>RecData[[#This Row],[Start Time]]</f>
        <v>43277.129166666666</v>
      </c>
      <c r="CM1277" s="16">
        <f>RecData[[#This Row],[Wind Speed avg]]</f>
        <v>0.79</v>
      </c>
      <c r="CN1277" s="16">
        <f>RecData[[#This Row],[Wind Dir. avg]]</f>
        <v>157.5</v>
      </c>
      <c r="CO1277" s="16">
        <f>RecData[[#This Row],[Amb. Humidity]]</f>
        <v>92.5</v>
      </c>
      <c r="CP1277" s="16">
        <f>RecData[[#This Row],[Amb. Temperature]]</f>
        <v>6.9</v>
      </c>
      <c r="CQ1277" s="17">
        <f>RecData[[#This Row],[Amb. Rain Gauge]]</f>
        <v>0</v>
      </c>
      <c r="CR1277" s="4" t="s">
        <v>1</v>
      </c>
      <c r="CS1277" s="4" t="s">
        <v>49</v>
      </c>
      <c r="CT1277" s="70">
        <v>973.92962646484295</v>
      </c>
      <c r="CU1277" s="70">
        <v>141.00119018554599</v>
      </c>
      <c r="CV1277" s="70">
        <v>8.2450704574584908</v>
      </c>
      <c r="CW1277" s="70">
        <v>13.842769622802701</v>
      </c>
      <c r="CX1277" s="4" t="s">
        <v>49</v>
      </c>
      <c r="CY1277" s="69" t="s">
        <v>255</v>
      </c>
      <c r="CZ1277" s="2" t="b">
        <f>IF($DP$1="YES",IF(RecData[[#This Row],[Power (kW)]]&gt;=$CR$3, TRUE,FALSE),TRUE)</f>
        <v>0</v>
      </c>
      <c r="DA1277" s="16">
        <f>MIN(MOD(180-ABS(ABS($DA$1-RecData[Yaw Angle (°)])-180),360),MOD(180-ABS(ABS($DB$1-RecData[Yaw Angle (°)])-180),360))</f>
        <v>133.47126340785843</v>
      </c>
      <c r="DB1277" s="2" t="str">
        <f>IF($DP$2="None","None",IF(RecData[[#This Row],[Relative Wind Direction]]&lt;=45,"DW",IF(RecData[[#This Row],[Relative Wind Direction]]&lt;=135,"CW","UW")))</f>
        <v>CW</v>
      </c>
      <c r="DC1277" s="61" t="e">
        <f>IF($CL1277-#REF!&gt;1/24,#REF!,IF(SUM($CQ1276:$CQ1277)&gt;$DS$1,$DS$5,DC1278-1))</f>
        <v>#REF!</v>
      </c>
      <c r="DD1277" s="61" t="e">
        <f>IF($CL1278-$CL1277&gt;1/24,#REF!,IF(SUM($CQ1276:$CQ1277)&gt;$DS$1,$DS$6,DD1276-1))</f>
        <v>#REF!</v>
      </c>
      <c r="DE1277" s="18" t="b">
        <v>0</v>
      </c>
      <c r="DF1277" s="2" t="b">
        <f>IF(OR(RecData[[#This Row],[WSpd_Avg '[m/s']]]-RecData[[#This Row],[Wind Speed min]]&gt;=$DF$3,RecData[[#This Row],[Wind Speed max]]-RecData[[#This Row],[WSpd_Avg '[m/s']]]&gt;=$DF$2),TRUE,FALSE)</f>
        <v>0</v>
      </c>
      <c r="DG1277" s="2" t="b">
        <f>RecData[[#This Row],[Temperature '[°C']]]&lt;=-20</f>
        <v>0</v>
      </c>
      <c r="DH1277" s="18" t="b">
        <f>NOT(OR(MOD(RecData[[#This Row],[TIMESTAMP]],1)&gt;0.91632,MOD(RecData[[#This Row],[TIMESTAMP]],1)&lt;0.208681))</f>
        <v>0</v>
      </c>
      <c r="DI1277" s="18" t="b">
        <f>RecData[[#This Row],[Overall (dBA)]]-RecData[[#This Row],[L90]]&gt;=$DS$4</f>
        <v>0</v>
      </c>
      <c r="DJ1277" s="18" t="b">
        <f>RecData[[#This Row],[Overall (dBA)]]&gt;$DS$2</f>
        <v>0</v>
      </c>
      <c r="DK1277" s="18" t="b">
        <f>RecData[[#This Row],[Overall (dBA)]]&lt;$DS$3</f>
        <v>0</v>
      </c>
      <c r="DL127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7" s="2">
        <f>IF(AND(RecData[[#This Row],[Turbines ON/OFF]] = "OFF", NOT(OR(RecData[[#This Row],[Junk?]]="YES",RecData[[#This Row],[Gust?]],RecData[[#This Row],[Rain?]:[Min SPL Threshold?]]))),1,0)</f>
        <v>0</v>
      </c>
      <c r="DN1277" s="16">
        <f>RecData[[#This Row],[dBA Sum]]</f>
        <v>33.940619856423531</v>
      </c>
      <c r="DO1277" s="16">
        <f>RecData[[#This Row],[LAF90.0]]</f>
        <v>32.200000000000003</v>
      </c>
      <c r="DP1277" s="55" t="str">
        <f>IF(AND(RecData[[#This Row],[Useable TON Data?]],RecData[[#This Row],[Turbines ON/OFF]]="ON"),RecData[[#This Row],[dBA Sum]],"")</f>
        <v/>
      </c>
      <c r="DQ1277" s="55" t="str">
        <f>IF(AND(RecData[[#This Row],[Useable Background Data?]],RecData[[#This Row],[Turbines ON/OFF]]="OFF"),RecData[[#This Row],[dBA Sum]],"")</f>
        <v/>
      </c>
      <c r="DR1277" s="3" t="str">
        <f>IF(OR(RecData[[#This Row],[Useable TON Data?]],RecData[[#This Row],[Useable Background Data?]]),ROUND(RecData[[#This Row],[WSpd_Avg '[m/s']]],0),"")</f>
        <v/>
      </c>
      <c r="DS1277" s="85">
        <f>(0.00002)^2*(10^(RecData[[#This Row],[Overall (dBA)]]/10))</f>
        <v>9.9111027136865628E-7</v>
      </c>
    </row>
    <row r="1278" spans="1:123" ht="15" x14ac:dyDescent="0.25">
      <c r="A1278" s="3" t="s">
        <v>249</v>
      </c>
      <c r="B1278" s="12">
        <v>43277.129861111112</v>
      </c>
      <c r="D1278" s="42">
        <v>33.9</v>
      </c>
      <c r="K1278" s="42">
        <v>31.5</v>
      </c>
      <c r="N1278" s="42">
        <v>150.6</v>
      </c>
      <c r="Q1278" s="42">
        <v>0.78</v>
      </c>
      <c r="R1278" s="42">
        <v>0.6</v>
      </c>
      <c r="S1278" s="42">
        <v>1</v>
      </c>
      <c r="T1278" s="42">
        <v>7</v>
      </c>
      <c r="U1278" s="42">
        <v>92.6</v>
      </c>
      <c r="V1278" s="42">
        <v>977.7</v>
      </c>
      <c r="W1278" s="42">
        <v>0</v>
      </c>
      <c r="X1278" s="42">
        <v>39.1</v>
      </c>
      <c r="Y1278" s="42">
        <v>34</v>
      </c>
      <c r="Z1278" s="42">
        <v>31.6</v>
      </c>
      <c r="AA1278" s="42">
        <v>29.7</v>
      </c>
      <c r="AB1278" s="42">
        <v>24.9</v>
      </c>
      <c r="AC1278" s="42">
        <v>26.2</v>
      </c>
      <c r="AD1278" s="42">
        <v>29.1</v>
      </c>
      <c r="AE1278" s="42">
        <v>33.5</v>
      </c>
      <c r="AF1278" s="42">
        <v>39.4</v>
      </c>
      <c r="AG1278" s="42">
        <v>36.5</v>
      </c>
      <c r="AH1278" s="42">
        <v>32.4</v>
      </c>
      <c r="AI1278" s="42">
        <v>34.9</v>
      </c>
      <c r="AJ1278" s="42">
        <v>32.200000000000003</v>
      </c>
      <c r="AK1278" s="42">
        <v>29.8</v>
      </c>
      <c r="AL1278" s="42">
        <v>26.5</v>
      </c>
      <c r="AM1278" s="42">
        <v>24.2</v>
      </c>
      <c r="AN1278" s="42">
        <v>21.8</v>
      </c>
      <c r="AO1278" s="42">
        <v>17.399999999999999</v>
      </c>
      <c r="AP1278" s="42">
        <v>14.3</v>
      </c>
      <c r="AQ1278" s="42">
        <v>14</v>
      </c>
      <c r="AR1278" s="42">
        <v>10.4</v>
      </c>
      <c r="AS1278" s="42">
        <v>16.399999999999999</v>
      </c>
      <c r="AT1278" s="42">
        <v>14.3</v>
      </c>
      <c r="AU1278" s="42">
        <v>7.2</v>
      </c>
      <c r="AV1278" s="42">
        <v>7.9</v>
      </c>
      <c r="AW1278" s="42">
        <v>8.5</v>
      </c>
      <c r="AX1278" s="42">
        <v>8.8000000000000007</v>
      </c>
      <c r="AY1278" s="42">
        <v>9</v>
      </c>
      <c r="AZ1278" s="42">
        <v>0</v>
      </c>
      <c r="BA1278" s="42">
        <v>0</v>
      </c>
      <c r="BB1278" s="42">
        <v>0</v>
      </c>
      <c r="BC1278" s="42">
        <v>33.901888532408954</v>
      </c>
      <c r="BD1278" s="42">
        <v>39.098111467591046</v>
      </c>
      <c r="BE1278" s="42">
        <v>33.998111467591052</v>
      </c>
      <c r="BF1278" s="42">
        <v>30.358111467591051</v>
      </c>
      <c r="BG1278" s="42">
        <v>28.784778134257706</v>
      </c>
      <c r="BH1278" s="42">
        <v>24.124778134257717</v>
      </c>
      <c r="BI1278" s="42">
        <v>25.838111467591041</v>
      </c>
      <c r="BJ1278" s="42">
        <v>29.531444800924383</v>
      </c>
      <c r="BK1278" s="42">
        <v>33.80477813425771</v>
      </c>
      <c r="BL1278" s="42">
        <v>39.278111467591053</v>
      </c>
      <c r="BM1278" s="42">
        <v>36.511444800924373</v>
      </c>
      <c r="BN1278" s="42">
        <v>32.69477813425771</v>
      </c>
      <c r="BO1278" s="42">
        <v>34.561444800924384</v>
      </c>
      <c r="BP1278" s="42">
        <v>31.57811146759105</v>
      </c>
      <c r="BQ1278" s="42">
        <v>29.594778134257702</v>
      </c>
      <c r="BR1278" s="42">
        <v>26.62144480092438</v>
      </c>
      <c r="BS1278" s="42">
        <v>24.12477813425771</v>
      </c>
      <c r="BT1278" s="42">
        <v>21.921444800924384</v>
      </c>
      <c r="BU1278" s="42">
        <v>17.488111467591047</v>
      </c>
      <c r="BV1278" s="42">
        <v>14.104778134257714</v>
      </c>
      <c r="BW1278" s="42">
        <v>14.338111467591048</v>
      </c>
      <c r="BX1278" s="42">
        <v>10.658111467591048</v>
      </c>
      <c r="BY1278" s="42">
        <v>16.478111467591042</v>
      </c>
      <c r="BZ1278" s="42">
        <v>14.50811146759105</v>
      </c>
      <c r="CA1278" s="42">
        <v>7.5081114675910356</v>
      </c>
      <c r="CB1278" s="42">
        <v>7.644778134257713</v>
      </c>
      <c r="CC1278" s="42">
        <v>8.4581114675910456</v>
      </c>
      <c r="CD1278" s="42">
        <v>8.0647781342577147</v>
      </c>
      <c r="CE1278" s="42">
        <v>8.4581114675910456</v>
      </c>
      <c r="CF1278" s="42">
        <v>-0.92855519907562467</v>
      </c>
      <c r="CG1278" s="42">
        <v>-1.4618885324089561</v>
      </c>
      <c r="CH1278" s="42">
        <v>-2.5385551990756205</v>
      </c>
      <c r="CI1278" s="13">
        <f>[1]!dbasum(RecData[[#This Row],[20]:[2000]],RecData[[#Headers],[20]:[2000]])</f>
        <v>33.529660309052751</v>
      </c>
      <c r="CJ1278" s="14">
        <v>11332</v>
      </c>
      <c r="CK1278" s="15" t="s">
        <v>249</v>
      </c>
      <c r="CL1278" s="15">
        <f>RecData[[#This Row],[Start Time]]</f>
        <v>43277.129861111112</v>
      </c>
      <c r="CM1278" s="16">
        <f>RecData[[#This Row],[Wind Speed avg]]</f>
        <v>0.78</v>
      </c>
      <c r="CN1278" s="16">
        <f>RecData[[#This Row],[Wind Dir. avg]]</f>
        <v>150.6</v>
      </c>
      <c r="CO1278" s="16">
        <f>RecData[[#This Row],[Amb. Humidity]]</f>
        <v>92.6</v>
      </c>
      <c r="CP1278" s="16">
        <f>RecData[[#This Row],[Amb. Temperature]]</f>
        <v>7</v>
      </c>
      <c r="CQ1278" s="17">
        <f>RecData[[#This Row],[Amb. Rain Gauge]]</f>
        <v>0</v>
      </c>
      <c r="CR1278" s="4" t="s">
        <v>1</v>
      </c>
      <c r="CS1278" s="4" t="s">
        <v>49</v>
      </c>
      <c r="CT1278" s="70">
        <v>973.92962646484295</v>
      </c>
      <c r="CU1278" s="70">
        <v>141.00119018554599</v>
      </c>
      <c r="CV1278" s="70">
        <v>8.2450704574584908</v>
      </c>
      <c r="CW1278" s="70">
        <v>13.842769622802701</v>
      </c>
      <c r="CX1278" s="4" t="s">
        <v>49</v>
      </c>
      <c r="CY1278" s="69" t="s">
        <v>255</v>
      </c>
      <c r="CZ1278" s="2" t="b">
        <f>IF($DP$1="YES",IF(RecData[[#This Row],[Power (kW)]]&gt;=$CR$3, TRUE,FALSE),TRUE)</f>
        <v>0</v>
      </c>
      <c r="DA1278" s="16">
        <f>MIN(MOD(180-ABS(ABS($DA$1-RecData[Yaw Angle (°)])-180),360),MOD(180-ABS(ABS($DB$1-RecData[Yaw Angle (°)])-180),360))</f>
        <v>133.47126340785843</v>
      </c>
      <c r="DB1278" s="2" t="str">
        <f>IF($DP$2="None","None",IF(RecData[[#This Row],[Relative Wind Direction]]&lt;=45,"DW",IF(RecData[[#This Row],[Relative Wind Direction]]&lt;=135,"CW","UW")))</f>
        <v>CW</v>
      </c>
      <c r="DC1278" s="61">
        <v>-1</v>
      </c>
      <c r="DD1278" s="61">
        <v>-1</v>
      </c>
      <c r="DE1278" s="18" t="b">
        <v>0</v>
      </c>
      <c r="DF1278" s="2" t="b">
        <f>IF(OR(RecData[[#This Row],[WSpd_Avg '[m/s']]]-RecData[[#This Row],[Wind Speed min]]&gt;=$DF$3,RecData[[#This Row],[Wind Speed max]]-RecData[[#This Row],[WSpd_Avg '[m/s']]]&gt;=$DF$2),TRUE,FALSE)</f>
        <v>0</v>
      </c>
      <c r="DG1278" s="2" t="b">
        <f>RecData[[#This Row],[Temperature '[°C']]]&lt;=-20</f>
        <v>0</v>
      </c>
      <c r="DH1278" s="18" t="b">
        <f>NOT(OR(MOD(RecData[[#This Row],[TIMESTAMP]],1)&gt;0.91632,MOD(RecData[[#This Row],[TIMESTAMP]],1)&lt;0.208681))</f>
        <v>0</v>
      </c>
      <c r="DI1278" s="18" t="b">
        <f>RecData[[#This Row],[Overall (dBA)]]-RecData[[#This Row],[L90]]&gt;=$DS$4</f>
        <v>0</v>
      </c>
      <c r="DJ1278" s="18" t="b">
        <f>RecData[[#This Row],[Overall (dBA)]]&gt;$DS$2</f>
        <v>0</v>
      </c>
      <c r="DK1278" s="18" t="b">
        <f>RecData[[#This Row],[Overall (dBA)]]&lt;$DS$3</f>
        <v>0</v>
      </c>
      <c r="DL127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8" s="2">
        <f>IF(AND(RecData[[#This Row],[Turbines ON/OFF]] = "OFF", NOT(OR(RecData[[#This Row],[Junk?]]="YES",RecData[[#This Row],[Gust?]],RecData[[#This Row],[Rain?]:[Min SPL Threshold?]]))),1,0)</f>
        <v>0</v>
      </c>
      <c r="DN1278" s="16">
        <f>RecData[[#This Row],[dBA Sum]]</f>
        <v>33.529660309052751</v>
      </c>
      <c r="DO1278" s="16">
        <f>RecData[[#This Row],[LAF90.0]]</f>
        <v>31.5</v>
      </c>
      <c r="DP1278" s="55" t="str">
        <f>IF(AND(RecData[[#This Row],[Useable TON Data?]],RecData[[#This Row],[Turbines ON/OFF]]="ON"),RecData[[#This Row],[dBA Sum]],"")</f>
        <v/>
      </c>
      <c r="DQ1278" s="55" t="str">
        <f>IF(AND(RecData[[#This Row],[Useable Background Data?]],RecData[[#This Row],[Turbines ON/OFF]]="OFF"),RecData[[#This Row],[dBA Sum]],"")</f>
        <v/>
      </c>
      <c r="DR1278" s="3" t="str">
        <f>IF(OR(RecData[[#This Row],[Useable TON Data?]],RecData[[#This Row],[Useable Background Data?]]),ROUND(RecData[[#This Row],[WSpd_Avg '[m/s']]],0),"")</f>
        <v/>
      </c>
      <c r="DS1278" s="85">
        <f>(0.00002)^2*(10^(RecData[[#This Row],[Overall (dBA)]]/10))</f>
        <v>9.0162515993017397E-7</v>
      </c>
    </row>
    <row r="1279" spans="1:123" ht="15" x14ac:dyDescent="0.25">
      <c r="A1279" s="3" t="s">
        <v>249</v>
      </c>
      <c r="B1279" s="12">
        <v>43277.131944444445</v>
      </c>
      <c r="D1279" s="42">
        <v>35.4</v>
      </c>
      <c r="K1279" s="42">
        <v>33.1</v>
      </c>
      <c r="N1279" s="42">
        <v>132.19999999999999</v>
      </c>
      <c r="Q1279" s="42">
        <v>0.83</v>
      </c>
      <c r="R1279" s="42">
        <v>0.7</v>
      </c>
      <c r="S1279" s="42">
        <v>1</v>
      </c>
      <c r="T1279" s="42">
        <v>7</v>
      </c>
      <c r="U1279" s="42">
        <v>92.4</v>
      </c>
      <c r="V1279" s="42">
        <v>977.7</v>
      </c>
      <c r="W1279" s="42">
        <v>0</v>
      </c>
      <c r="X1279" s="42">
        <v>40</v>
      </c>
      <c r="Y1279" s="42">
        <v>35.9</v>
      </c>
      <c r="Z1279" s="42">
        <v>36.299999999999997</v>
      </c>
      <c r="AA1279" s="42">
        <v>32.799999999999997</v>
      </c>
      <c r="AB1279" s="42">
        <v>27.7</v>
      </c>
      <c r="AC1279" s="42">
        <v>27.5</v>
      </c>
      <c r="AD1279" s="42">
        <v>30.5</v>
      </c>
      <c r="AE1279" s="42">
        <v>34.4</v>
      </c>
      <c r="AF1279" s="42">
        <v>40.5</v>
      </c>
      <c r="AG1279" s="42">
        <v>37.4</v>
      </c>
      <c r="AH1279" s="42">
        <v>33.299999999999997</v>
      </c>
      <c r="AI1279" s="42">
        <v>36.1</v>
      </c>
      <c r="AJ1279" s="42">
        <v>33.200000000000003</v>
      </c>
      <c r="AK1279" s="42">
        <v>31.4</v>
      </c>
      <c r="AL1279" s="42">
        <v>28.2</v>
      </c>
      <c r="AM1279" s="42">
        <v>26.5</v>
      </c>
      <c r="AN1279" s="42">
        <v>23.6</v>
      </c>
      <c r="AO1279" s="42">
        <v>19.2</v>
      </c>
      <c r="AP1279" s="42">
        <v>17.100000000000001</v>
      </c>
      <c r="AQ1279" s="42">
        <v>14.9</v>
      </c>
      <c r="AR1279" s="42">
        <v>11</v>
      </c>
      <c r="AS1279" s="42">
        <v>19.600000000000001</v>
      </c>
      <c r="AT1279" s="42">
        <v>18.399999999999999</v>
      </c>
      <c r="AU1279" s="42">
        <v>7.2</v>
      </c>
      <c r="AV1279" s="42">
        <v>7.9</v>
      </c>
      <c r="AW1279" s="42">
        <v>8.5</v>
      </c>
      <c r="AX1279" s="42">
        <v>8.8000000000000007</v>
      </c>
      <c r="AY1279" s="42">
        <v>9</v>
      </c>
      <c r="AZ1279" s="42">
        <v>0</v>
      </c>
      <c r="BA1279" s="42">
        <v>0</v>
      </c>
      <c r="BB1279" s="42">
        <v>0</v>
      </c>
      <c r="BC1279" s="42">
        <v>35.37029247807007</v>
      </c>
      <c r="BD1279" s="42">
        <v>40.029707521929936</v>
      </c>
      <c r="BE1279" s="42">
        <v>35.929707521929927</v>
      </c>
      <c r="BF1279" s="42">
        <v>35.089707521929924</v>
      </c>
      <c r="BG1279" s="42">
        <v>31.916374188596592</v>
      </c>
      <c r="BH1279" s="42">
        <v>26.956374188596598</v>
      </c>
      <c r="BI1279" s="42">
        <v>27.169707521929929</v>
      </c>
      <c r="BJ1279" s="42">
        <v>30.963040855263259</v>
      </c>
      <c r="BK1279" s="42">
        <v>34.736374188596585</v>
      </c>
      <c r="BL1279" s="42">
        <v>40.409707521929931</v>
      </c>
      <c r="BM1279" s="42">
        <v>37.443040855263263</v>
      </c>
      <c r="BN1279" s="42">
        <v>33.6263741885966</v>
      </c>
      <c r="BO1279" s="42">
        <v>35.793040855263257</v>
      </c>
      <c r="BP1279" s="42">
        <v>32.609707521929934</v>
      </c>
      <c r="BQ1279" s="42">
        <v>31.22637418859658</v>
      </c>
      <c r="BR1279" s="42">
        <v>28.353040855263259</v>
      </c>
      <c r="BS1279" s="42">
        <v>26.456374188596598</v>
      </c>
      <c r="BT1279" s="42">
        <v>23.753040855263265</v>
      </c>
      <c r="BU1279" s="42">
        <v>19.319707521929928</v>
      </c>
      <c r="BV1279" s="42">
        <v>16.936374188596602</v>
      </c>
      <c r="BW1279" s="42">
        <v>15.269707521929931</v>
      </c>
      <c r="BX1279" s="42">
        <v>11.289707521929934</v>
      </c>
      <c r="BY1279" s="42">
        <v>19.709707521929928</v>
      </c>
      <c r="BZ1279" s="42">
        <v>18.639707521929935</v>
      </c>
      <c r="CA1279" s="42">
        <v>7.5397075219299197</v>
      </c>
      <c r="CB1279" s="42">
        <v>7.676374188596597</v>
      </c>
      <c r="CC1279" s="42">
        <v>8.4897075219299296</v>
      </c>
      <c r="CD1279" s="42">
        <v>8.0963741885965987</v>
      </c>
      <c r="CE1279" s="42">
        <v>8.4897075219299296</v>
      </c>
      <c r="CF1279" s="42">
        <v>-0.89695914473674065</v>
      </c>
      <c r="CG1279" s="42">
        <v>-1.4302924780700721</v>
      </c>
      <c r="CH1279" s="42">
        <v>-2.5069591447367401</v>
      </c>
      <c r="CI1279" s="13">
        <f>[1]!dbasum(RecData[[#This Row],[20]:[2000]],RecData[[#Headers],[20]:[2000]])</f>
        <v>34.941967132949102</v>
      </c>
      <c r="CJ1279" s="14">
        <v>11335</v>
      </c>
      <c r="CK1279" s="15" t="s">
        <v>249</v>
      </c>
      <c r="CL1279" s="15">
        <f>RecData[[#This Row],[Start Time]]</f>
        <v>43277.131944444445</v>
      </c>
      <c r="CM1279" s="16">
        <f>RecData[[#This Row],[Wind Speed avg]]</f>
        <v>0.83</v>
      </c>
      <c r="CN1279" s="16">
        <f>RecData[[#This Row],[Wind Dir. avg]]</f>
        <v>132.19999999999999</v>
      </c>
      <c r="CO1279" s="16">
        <f>RecData[[#This Row],[Amb. Humidity]]</f>
        <v>92.4</v>
      </c>
      <c r="CP1279" s="16">
        <f>RecData[[#This Row],[Amb. Temperature]]</f>
        <v>7</v>
      </c>
      <c r="CQ1279" s="17">
        <f>RecData[[#This Row],[Amb. Rain Gauge]]</f>
        <v>0</v>
      </c>
      <c r="CR1279" s="4" t="s">
        <v>1</v>
      </c>
      <c r="CS1279" s="4" t="s">
        <v>49</v>
      </c>
      <c r="CT1279" s="70">
        <v>973.92962646484295</v>
      </c>
      <c r="CU1279" s="70">
        <v>141.00119018554599</v>
      </c>
      <c r="CV1279" s="70">
        <v>8.2450704574584908</v>
      </c>
      <c r="CW1279" s="70">
        <v>13.842769622802701</v>
      </c>
      <c r="CX1279" s="4" t="s">
        <v>49</v>
      </c>
      <c r="CY1279" s="69" t="s">
        <v>255</v>
      </c>
      <c r="CZ1279" s="2" t="b">
        <f>IF($DP$1="YES",IF(RecData[[#This Row],[Power (kW)]]&gt;=$CR$3, TRUE,FALSE),TRUE)</f>
        <v>0</v>
      </c>
      <c r="DA1279" s="16">
        <f>MIN(MOD(180-ABS(ABS($DA$1-RecData[Yaw Angle (°)])-180),360),MOD(180-ABS(ABS($DB$1-RecData[Yaw Angle (°)])-180),360))</f>
        <v>133.47126340785843</v>
      </c>
      <c r="DB1279" s="2" t="str">
        <f>IF($DP$2="None","None",IF(RecData[[#This Row],[Relative Wind Direction]]&lt;=45,"DW",IF(RecData[[#This Row],[Relative Wind Direction]]&lt;=135,"CW","UW")))</f>
        <v>CW</v>
      </c>
      <c r="DC1279" s="61" t="e">
        <f>IF($CL1279-$CL1278&gt;1/24,#REF!,IF(SUM($CQ1278:$CQ1279)&gt;$DS$1,$DS$5,#REF!-1))</f>
        <v>#REF!</v>
      </c>
      <c r="DD1279" s="61" t="e">
        <f>IF(#REF!-$CL1279&gt;1/24,#REF!,IF(SUM($CQ1278:$CQ1279)&gt;$DS$1,$DS$6,#REF!-1))</f>
        <v>#REF!</v>
      </c>
      <c r="DE1279" s="18" t="b">
        <v>0</v>
      </c>
      <c r="DF1279" s="2" t="b">
        <f>IF(OR(RecData[[#This Row],[WSpd_Avg '[m/s']]]-RecData[[#This Row],[Wind Speed min]]&gt;=$DF$3,RecData[[#This Row],[Wind Speed max]]-RecData[[#This Row],[WSpd_Avg '[m/s']]]&gt;=$DF$2),TRUE,FALSE)</f>
        <v>0</v>
      </c>
      <c r="DG1279" s="2" t="b">
        <f>RecData[[#This Row],[Temperature '[°C']]]&lt;=-20</f>
        <v>0</v>
      </c>
      <c r="DH1279" s="18" t="b">
        <f>NOT(OR(MOD(RecData[[#This Row],[TIMESTAMP]],1)&gt;0.91632,MOD(RecData[[#This Row],[TIMESTAMP]],1)&lt;0.208681))</f>
        <v>0</v>
      </c>
      <c r="DI1279" s="18" t="b">
        <f>RecData[[#This Row],[Overall (dBA)]]-RecData[[#This Row],[L90]]&gt;=$DS$4</f>
        <v>0</v>
      </c>
      <c r="DJ1279" s="18" t="b">
        <f>RecData[[#This Row],[Overall (dBA)]]&gt;$DS$2</f>
        <v>0</v>
      </c>
      <c r="DK1279" s="18" t="b">
        <f>RecData[[#This Row],[Overall (dBA)]]&lt;$DS$3</f>
        <v>0</v>
      </c>
      <c r="DL127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79" s="2">
        <f>IF(AND(RecData[[#This Row],[Turbines ON/OFF]] = "OFF", NOT(OR(RecData[[#This Row],[Junk?]]="YES",RecData[[#This Row],[Gust?]],RecData[[#This Row],[Rain?]:[Min SPL Threshold?]]))),1,0)</f>
        <v>0</v>
      </c>
      <c r="DN1279" s="16">
        <f>RecData[[#This Row],[dBA Sum]]</f>
        <v>34.941967132949102</v>
      </c>
      <c r="DO1279" s="16">
        <f>RecData[[#This Row],[LAF90.0]]</f>
        <v>33.1</v>
      </c>
      <c r="DP1279" s="55" t="str">
        <f>IF(AND(RecData[[#This Row],[Useable TON Data?]],RecData[[#This Row],[Turbines ON/OFF]]="ON"),RecData[[#This Row],[dBA Sum]],"")</f>
        <v/>
      </c>
      <c r="DQ1279" s="55" t="str">
        <f>IF(AND(RecData[[#This Row],[Useable Background Data?]],RecData[[#This Row],[Turbines ON/OFF]]="OFF"),RecData[[#This Row],[dBA Sum]],"")</f>
        <v/>
      </c>
      <c r="DR1279" s="3" t="str">
        <f>IF(OR(RecData[[#This Row],[Useable TON Data?]],RecData[[#This Row],[Useable Background Data?]]),ROUND(RecData[[#This Row],[WSpd_Avg '[m/s']]],0),"")</f>
        <v/>
      </c>
      <c r="DS1279" s="85">
        <f>(0.00002)^2*(10^(RecData[[#This Row],[Overall (dBA)]]/10))</f>
        <v>1.2481210409255925E-6</v>
      </c>
    </row>
    <row r="1280" spans="1:123" ht="15" x14ac:dyDescent="0.25">
      <c r="A1280" s="3" t="s">
        <v>249</v>
      </c>
      <c r="B1280" s="12">
        <v>43277.134027777778</v>
      </c>
      <c r="D1280" s="42">
        <v>35.799999999999997</v>
      </c>
      <c r="K1280" s="42">
        <v>33.5</v>
      </c>
      <c r="N1280" s="42">
        <v>127.9</v>
      </c>
      <c r="Q1280" s="42">
        <v>0.76</v>
      </c>
      <c r="R1280" s="42">
        <v>0.7</v>
      </c>
      <c r="S1280" s="42">
        <v>0.9</v>
      </c>
      <c r="T1280" s="42">
        <v>7</v>
      </c>
      <c r="U1280" s="42">
        <v>92.2</v>
      </c>
      <c r="V1280" s="42">
        <v>977.7</v>
      </c>
      <c r="W1280" s="42">
        <v>0</v>
      </c>
      <c r="X1280" s="42">
        <v>39.799999999999997</v>
      </c>
      <c r="Y1280" s="42">
        <v>34.4</v>
      </c>
      <c r="Z1280" s="42">
        <v>34.200000000000003</v>
      </c>
      <c r="AA1280" s="42">
        <v>32.1</v>
      </c>
      <c r="AB1280" s="42">
        <v>27.7</v>
      </c>
      <c r="AC1280" s="42">
        <v>27.3</v>
      </c>
      <c r="AD1280" s="42">
        <v>30.7</v>
      </c>
      <c r="AE1280" s="42">
        <v>34.200000000000003</v>
      </c>
      <c r="AF1280" s="42">
        <v>40.5</v>
      </c>
      <c r="AG1280" s="42">
        <v>37.5</v>
      </c>
      <c r="AH1280" s="42">
        <v>33.5</v>
      </c>
      <c r="AI1280" s="42">
        <v>36.4</v>
      </c>
      <c r="AJ1280" s="42">
        <v>34</v>
      </c>
      <c r="AK1280" s="42">
        <v>31.6</v>
      </c>
      <c r="AL1280" s="42">
        <v>28.8</v>
      </c>
      <c r="AM1280" s="42">
        <v>27</v>
      </c>
      <c r="AN1280" s="42">
        <v>24.1</v>
      </c>
      <c r="AO1280" s="42">
        <v>19.7</v>
      </c>
      <c r="AP1280" s="42">
        <v>17.5</v>
      </c>
      <c r="AQ1280" s="42">
        <v>15.3</v>
      </c>
      <c r="AR1280" s="42">
        <v>11.1</v>
      </c>
      <c r="AS1280" s="42">
        <v>21</v>
      </c>
      <c r="AT1280" s="42">
        <v>17.7</v>
      </c>
      <c r="AU1280" s="42">
        <v>7.2</v>
      </c>
      <c r="AV1280" s="42">
        <v>7.9</v>
      </c>
      <c r="AW1280" s="42">
        <v>8.5</v>
      </c>
      <c r="AX1280" s="42">
        <v>8.8000000000000007</v>
      </c>
      <c r="AY1280" s="42">
        <v>9</v>
      </c>
      <c r="AZ1280" s="42">
        <v>0</v>
      </c>
      <c r="BA1280" s="42">
        <v>0</v>
      </c>
      <c r="BB1280" s="42">
        <v>0</v>
      </c>
      <c r="BC1280" s="42">
        <v>35.759355910353378</v>
      </c>
      <c r="BD1280" s="42">
        <v>39.840644089646617</v>
      </c>
      <c r="BE1280" s="42">
        <v>34.440644089646611</v>
      </c>
      <c r="BF1280" s="42">
        <v>33.000644089646613</v>
      </c>
      <c r="BG1280" s="42">
        <v>31.227310756313287</v>
      </c>
      <c r="BH1280" s="42">
        <v>26.967310756313289</v>
      </c>
      <c r="BI1280" s="42">
        <v>26.980644089646617</v>
      </c>
      <c r="BJ1280" s="42">
        <v>31.173977422979959</v>
      </c>
      <c r="BK1280" s="42">
        <v>34.547310756313294</v>
      </c>
      <c r="BL1280" s="42">
        <v>40.420644089646629</v>
      </c>
      <c r="BM1280" s="42">
        <v>37.553977422979955</v>
      </c>
      <c r="BN1280" s="42">
        <v>33.837310756313286</v>
      </c>
      <c r="BO1280" s="42">
        <v>36.103977422979952</v>
      </c>
      <c r="BP1280" s="42">
        <v>33.420644089646629</v>
      </c>
      <c r="BQ1280" s="42">
        <v>31.437310756313281</v>
      </c>
      <c r="BR1280" s="42">
        <v>28.963977422979951</v>
      </c>
      <c r="BS1280" s="42">
        <v>26.967310756313282</v>
      </c>
      <c r="BT1280" s="42">
        <v>24.263977422979956</v>
      </c>
      <c r="BU1280" s="42">
        <v>19.830644089646626</v>
      </c>
      <c r="BV1280" s="42">
        <v>17.347310756313291</v>
      </c>
      <c r="BW1280" s="42">
        <v>15.68064408964662</v>
      </c>
      <c r="BX1280" s="42">
        <v>11.400644089646626</v>
      </c>
      <c r="BY1280" s="42">
        <v>21.120644089646618</v>
      </c>
      <c r="BZ1280" s="42">
        <v>17.950644089646623</v>
      </c>
      <c r="CA1280" s="42">
        <v>7.5506440896466103</v>
      </c>
      <c r="CB1280" s="42">
        <v>7.6873107563132876</v>
      </c>
      <c r="CC1280" s="42">
        <v>8.5006440896466202</v>
      </c>
      <c r="CD1280" s="42">
        <v>8.1073107563132893</v>
      </c>
      <c r="CE1280" s="42">
        <v>8.5006440896466202</v>
      </c>
      <c r="CF1280" s="42">
        <v>-0.88602257702005005</v>
      </c>
      <c r="CG1280" s="42">
        <v>-1.4193559103533815</v>
      </c>
      <c r="CH1280" s="42">
        <v>-2.4960225770200495</v>
      </c>
      <c r="CI1280" s="13">
        <f>[1]!dbasum(RecData[[#This Row],[20]:[2000]],RecData[[#Headers],[20]:[2000]])</f>
        <v>35.323525526661953</v>
      </c>
      <c r="CJ1280" s="14">
        <v>11338</v>
      </c>
      <c r="CK1280" s="15" t="s">
        <v>249</v>
      </c>
      <c r="CL1280" s="15">
        <f>RecData[[#This Row],[Start Time]]</f>
        <v>43277.134027777778</v>
      </c>
      <c r="CM1280" s="16">
        <f>RecData[[#This Row],[Wind Speed avg]]</f>
        <v>0.76</v>
      </c>
      <c r="CN1280" s="16">
        <f>RecData[[#This Row],[Wind Dir. avg]]</f>
        <v>127.9</v>
      </c>
      <c r="CO1280" s="16">
        <f>RecData[[#This Row],[Amb. Humidity]]</f>
        <v>92.2</v>
      </c>
      <c r="CP1280" s="16">
        <f>RecData[[#This Row],[Amb. Temperature]]</f>
        <v>7</v>
      </c>
      <c r="CQ1280" s="17">
        <f>RecData[[#This Row],[Amb. Rain Gauge]]</f>
        <v>0</v>
      </c>
      <c r="CR1280" s="4" t="s">
        <v>1</v>
      </c>
      <c r="CS1280" s="4" t="s">
        <v>49</v>
      </c>
      <c r="CT1280" s="70">
        <v>1087.6826171875</v>
      </c>
      <c r="CU1280" s="70">
        <v>141.00119018554599</v>
      </c>
      <c r="CV1280" s="70">
        <v>8.5090656280517507</v>
      </c>
      <c r="CW1280" s="70">
        <v>14.3714141845703</v>
      </c>
      <c r="CX1280" s="4" t="s">
        <v>49</v>
      </c>
      <c r="CY1280" s="69" t="s">
        <v>255</v>
      </c>
      <c r="CZ1280" s="2" t="b">
        <f>IF($DP$1="YES",IF(RecData[[#This Row],[Power (kW)]]&gt;=$CR$3, TRUE,FALSE),TRUE)</f>
        <v>0</v>
      </c>
      <c r="DA1280" s="16">
        <f>MIN(MOD(180-ABS(ABS($DA$1-RecData[Yaw Angle (°)])-180),360),MOD(180-ABS(ABS($DB$1-RecData[Yaw Angle (°)])-180),360))</f>
        <v>133.47126340785843</v>
      </c>
      <c r="DB1280" s="2" t="str">
        <f>IF($DP$2="None","None",IF(RecData[[#This Row],[Relative Wind Direction]]&lt;=45,"DW",IF(RecData[[#This Row],[Relative Wind Direction]]&lt;=135,"CW","UW")))</f>
        <v>CW</v>
      </c>
      <c r="DC1280" s="61" t="e">
        <f>IF($CL1280-#REF!&gt;1/24,#REF!,IF(SUM($CQ1279:$CQ1280)&gt;$DS$1,$DS$5,#REF!-1))</f>
        <v>#REF!</v>
      </c>
      <c r="DD1280" s="61" t="e">
        <f>IF(#REF!-$CL1280&gt;1/24,#REF!,IF(SUM($CQ1279:$CQ1280)&gt;$DS$1,$DS$6,#REF!-1))</f>
        <v>#REF!</v>
      </c>
      <c r="DE1280" s="18" t="b">
        <v>0</v>
      </c>
      <c r="DF1280" s="2" t="b">
        <f>IF(OR(RecData[[#This Row],[WSpd_Avg '[m/s']]]-RecData[[#This Row],[Wind Speed min]]&gt;=$DF$3,RecData[[#This Row],[Wind Speed max]]-RecData[[#This Row],[WSpd_Avg '[m/s']]]&gt;=$DF$2),TRUE,FALSE)</f>
        <v>0</v>
      </c>
      <c r="DG1280" s="2" t="b">
        <f>RecData[[#This Row],[Temperature '[°C']]]&lt;=-20</f>
        <v>0</v>
      </c>
      <c r="DH1280" s="18" t="b">
        <f>NOT(OR(MOD(RecData[[#This Row],[TIMESTAMP]],1)&gt;0.91632,MOD(RecData[[#This Row],[TIMESTAMP]],1)&lt;0.208681))</f>
        <v>0</v>
      </c>
      <c r="DI1280" s="18" t="b">
        <f>RecData[[#This Row],[Overall (dBA)]]-RecData[[#This Row],[L90]]&gt;=$DS$4</f>
        <v>0</v>
      </c>
      <c r="DJ1280" s="18" t="b">
        <f>RecData[[#This Row],[Overall (dBA)]]&gt;$DS$2</f>
        <v>0</v>
      </c>
      <c r="DK1280" s="18" t="b">
        <f>RecData[[#This Row],[Overall (dBA)]]&lt;$DS$3</f>
        <v>0</v>
      </c>
      <c r="DL128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0" s="2">
        <f>IF(AND(RecData[[#This Row],[Turbines ON/OFF]] = "OFF", NOT(OR(RecData[[#This Row],[Junk?]]="YES",RecData[[#This Row],[Gust?]],RecData[[#This Row],[Rain?]:[Min SPL Threshold?]]))),1,0)</f>
        <v>0</v>
      </c>
      <c r="DN1280" s="16">
        <f>RecData[[#This Row],[dBA Sum]]</f>
        <v>35.323525526661953</v>
      </c>
      <c r="DO1280" s="16">
        <f>RecData[[#This Row],[LAF90.0]]</f>
        <v>33.5</v>
      </c>
      <c r="DP1280" s="55" t="str">
        <f>IF(AND(RecData[[#This Row],[Useable TON Data?]],RecData[[#This Row],[Turbines ON/OFF]]="ON"),RecData[[#This Row],[dBA Sum]],"")</f>
        <v/>
      </c>
      <c r="DQ1280" s="55" t="str">
        <f>IF(AND(RecData[[#This Row],[Useable Background Data?]],RecData[[#This Row],[Turbines ON/OFF]]="OFF"),RecData[[#This Row],[dBA Sum]],"")</f>
        <v/>
      </c>
      <c r="DR1280" s="3" t="str">
        <f>IF(OR(RecData[[#This Row],[Useable TON Data?]],RecData[[#This Row],[Useable Background Data?]]),ROUND(RecData[[#This Row],[WSpd_Avg '[m/s']]],0),"")</f>
        <v/>
      </c>
      <c r="DS1280" s="85">
        <f>(0.00002)^2*(10^(RecData[[#This Row],[Overall (dBA)]]/10))</f>
        <v>1.3627385572408423E-6</v>
      </c>
    </row>
    <row r="1281" spans="1:123" ht="15" x14ac:dyDescent="0.25">
      <c r="A1281" s="3" t="s">
        <v>249</v>
      </c>
      <c r="B1281" s="12">
        <v>43277.140277777777</v>
      </c>
      <c r="D1281" s="42">
        <v>33.9</v>
      </c>
      <c r="K1281" s="42">
        <v>30.8</v>
      </c>
      <c r="N1281" s="42">
        <v>133.30000000000001</v>
      </c>
      <c r="Q1281" s="42">
        <v>0.76</v>
      </c>
      <c r="R1281" s="42">
        <v>0.2</v>
      </c>
      <c r="S1281" s="42">
        <v>1.1000000000000001</v>
      </c>
      <c r="T1281" s="42">
        <v>6.9</v>
      </c>
      <c r="U1281" s="42">
        <v>91.8</v>
      </c>
      <c r="V1281" s="42">
        <v>977.6</v>
      </c>
      <c r="W1281" s="42">
        <v>0</v>
      </c>
      <c r="X1281" s="42">
        <v>39.299999999999997</v>
      </c>
      <c r="Y1281" s="42">
        <v>34.6</v>
      </c>
      <c r="Z1281" s="42">
        <v>34</v>
      </c>
      <c r="AA1281" s="42">
        <v>32</v>
      </c>
      <c r="AB1281" s="42">
        <v>26.6</v>
      </c>
      <c r="AC1281" s="42">
        <v>26.6</v>
      </c>
      <c r="AD1281" s="42">
        <v>29.2</v>
      </c>
      <c r="AE1281" s="42">
        <v>33.200000000000003</v>
      </c>
      <c r="AF1281" s="42">
        <v>38.9</v>
      </c>
      <c r="AG1281" s="42">
        <v>36.5</v>
      </c>
      <c r="AH1281" s="42">
        <v>32.299999999999997</v>
      </c>
      <c r="AI1281" s="42">
        <v>34.9</v>
      </c>
      <c r="AJ1281" s="42">
        <v>31.9</v>
      </c>
      <c r="AK1281" s="42">
        <v>29.8</v>
      </c>
      <c r="AL1281" s="42">
        <v>26.8</v>
      </c>
      <c r="AM1281" s="42">
        <v>24.8</v>
      </c>
      <c r="AN1281" s="42">
        <v>22.1</v>
      </c>
      <c r="AO1281" s="42">
        <v>17.8</v>
      </c>
      <c r="AP1281" s="42">
        <v>14.9</v>
      </c>
      <c r="AQ1281" s="42">
        <v>13.4</v>
      </c>
      <c r="AR1281" s="42">
        <v>9.9</v>
      </c>
      <c r="AS1281" s="42">
        <v>15.3</v>
      </c>
      <c r="AT1281" s="42">
        <v>13.9</v>
      </c>
      <c r="AU1281" s="42">
        <v>7.3</v>
      </c>
      <c r="AV1281" s="42">
        <v>7.9</v>
      </c>
      <c r="AW1281" s="42">
        <v>8.5</v>
      </c>
      <c r="AX1281" s="42">
        <v>8.8000000000000007</v>
      </c>
      <c r="AY1281" s="42">
        <v>9</v>
      </c>
      <c r="AZ1281" s="42">
        <v>0</v>
      </c>
      <c r="BA1281" s="42">
        <v>0</v>
      </c>
      <c r="BB1281" s="42">
        <v>0</v>
      </c>
      <c r="BC1281" s="42">
        <v>33.877557738020926</v>
      </c>
      <c r="BD1281" s="42">
        <v>39.322442261979063</v>
      </c>
      <c r="BE1281" s="42">
        <v>34.622442261979074</v>
      </c>
      <c r="BF1281" s="42">
        <v>32.782442261979071</v>
      </c>
      <c r="BG1281" s="42">
        <v>31.109108928645739</v>
      </c>
      <c r="BH1281" s="42">
        <v>25.849108928645748</v>
      </c>
      <c r="BI1281" s="42">
        <v>26.262442261979075</v>
      </c>
      <c r="BJ1281" s="42">
        <v>29.655775595312406</v>
      </c>
      <c r="BK1281" s="42">
        <v>33.529108928645741</v>
      </c>
      <c r="BL1281" s="42">
        <v>38.802442261979081</v>
      </c>
      <c r="BM1281" s="42">
        <v>36.535775595312401</v>
      </c>
      <c r="BN1281" s="42">
        <v>32.619108928645744</v>
      </c>
      <c r="BO1281" s="42">
        <v>34.585775595312413</v>
      </c>
      <c r="BP1281" s="42">
        <v>31.302442261979067</v>
      </c>
      <c r="BQ1281" s="42">
        <v>29.61910892864573</v>
      </c>
      <c r="BR1281" s="42">
        <v>26.945775595312412</v>
      </c>
      <c r="BS1281" s="42">
        <v>24.74910892864574</v>
      </c>
      <c r="BT1281" s="42">
        <v>22.245775595312409</v>
      </c>
      <c r="BU1281" s="42">
        <v>17.912442261979081</v>
      </c>
      <c r="BV1281" s="42">
        <v>14.729108928645744</v>
      </c>
      <c r="BW1281" s="42">
        <v>13.762442261979075</v>
      </c>
      <c r="BX1281" s="42">
        <v>10.182442261979077</v>
      </c>
      <c r="BY1281" s="42">
        <v>15.402442261979076</v>
      </c>
      <c r="BZ1281" s="42">
        <v>14.132442261979079</v>
      </c>
      <c r="CA1281" s="42">
        <v>7.6324422619790653</v>
      </c>
      <c r="CB1281" s="42">
        <v>7.6691089286457412</v>
      </c>
      <c r="CC1281" s="42">
        <v>8.4824422619790738</v>
      </c>
      <c r="CD1281" s="42">
        <v>8.0891089286457429</v>
      </c>
      <c r="CE1281" s="42">
        <v>8.4824422619790738</v>
      </c>
      <c r="CF1281" s="42">
        <v>-0.90422440468759646</v>
      </c>
      <c r="CG1281" s="42">
        <v>-1.4375577380209279</v>
      </c>
      <c r="CH1281" s="42">
        <v>-2.5142244046875923</v>
      </c>
      <c r="CI1281" s="13">
        <f>[1]!dbasum(RecData[[#This Row],[20]:[2000]],RecData[[#Headers],[20]:[2000]])</f>
        <v>33.564448701801751</v>
      </c>
      <c r="CJ1281" s="14">
        <v>11347</v>
      </c>
      <c r="CK1281" s="15" t="s">
        <v>249</v>
      </c>
      <c r="CL1281" s="15">
        <f>RecData[[#This Row],[Start Time]]</f>
        <v>43277.140277777777</v>
      </c>
      <c r="CM1281" s="16">
        <f>RecData[[#This Row],[Wind Speed avg]]</f>
        <v>0.76</v>
      </c>
      <c r="CN1281" s="16">
        <f>RecData[[#This Row],[Wind Dir. avg]]</f>
        <v>133.30000000000001</v>
      </c>
      <c r="CO1281" s="16">
        <f>RecData[[#This Row],[Amb. Humidity]]</f>
        <v>91.8</v>
      </c>
      <c r="CP1281" s="16">
        <f>RecData[[#This Row],[Amb. Temperature]]</f>
        <v>6.9</v>
      </c>
      <c r="CQ1281" s="17">
        <f>RecData[[#This Row],[Amb. Rain Gauge]]</f>
        <v>0</v>
      </c>
      <c r="CR1281" s="4" t="s">
        <v>1</v>
      </c>
      <c r="CS1281" s="4" t="s">
        <v>49</v>
      </c>
      <c r="CT1281" s="70">
        <v>1143.68627929687</v>
      </c>
      <c r="CU1281" s="70">
        <v>141.001205444335</v>
      </c>
      <c r="CV1281" s="70">
        <v>8.6716690063476491</v>
      </c>
      <c r="CW1281" s="70">
        <v>14.582706451416</v>
      </c>
      <c r="CX1281" s="4" t="s">
        <v>49</v>
      </c>
      <c r="CY1281" s="69" t="s">
        <v>255</v>
      </c>
      <c r="CZ1281" s="2" t="b">
        <f>IF($DP$1="YES",IF(RecData[[#This Row],[Power (kW)]]&gt;=$CR$3, TRUE,FALSE),TRUE)</f>
        <v>0</v>
      </c>
      <c r="DA1281" s="16">
        <f>MIN(MOD(180-ABS(ABS($DA$1-RecData[Yaw Angle (°)])-180),360),MOD(180-ABS(ABS($DB$1-RecData[Yaw Angle (°)])-180),360))</f>
        <v>133.47127866664744</v>
      </c>
      <c r="DB1281" s="2" t="str">
        <f>IF($DP$2="None","None",IF(RecData[[#This Row],[Relative Wind Direction]]&lt;=45,"DW",IF(RecData[[#This Row],[Relative Wind Direction]]&lt;=135,"CW","UW")))</f>
        <v>CW</v>
      </c>
      <c r="DC1281" s="61" t="e">
        <f>IF($CL1281-#REF!&gt;1/24,#REF!,IF(SUM($CQ1281:$CQ1281)&gt;$DS$1,$DS$5,#REF!-1))</f>
        <v>#REF!</v>
      </c>
      <c r="DD1281" s="61" t="e">
        <f>IF(#REF!-$CL1281&gt;1/24,#REF!,IF(SUM($CQ1281:$CQ1281)&gt;$DS$1,$DS$6,#REF!-1))</f>
        <v>#REF!</v>
      </c>
      <c r="DE1281" s="18" t="b">
        <v>0</v>
      </c>
      <c r="DF1281" s="2" t="b">
        <f>IF(OR(RecData[[#This Row],[WSpd_Avg '[m/s']]]-RecData[[#This Row],[Wind Speed min]]&gt;=$DF$3,RecData[[#This Row],[Wind Speed max]]-RecData[[#This Row],[WSpd_Avg '[m/s']]]&gt;=$DF$2),TRUE,FALSE)</f>
        <v>0</v>
      </c>
      <c r="DG1281" s="2" t="b">
        <f>RecData[[#This Row],[Temperature '[°C']]]&lt;=-20</f>
        <v>0</v>
      </c>
      <c r="DH1281" s="18" t="b">
        <f>NOT(OR(MOD(RecData[[#This Row],[TIMESTAMP]],1)&gt;0.91632,MOD(RecData[[#This Row],[TIMESTAMP]],1)&lt;0.208681))</f>
        <v>0</v>
      </c>
      <c r="DI1281" s="18" t="b">
        <f>RecData[[#This Row],[Overall (dBA)]]-RecData[[#This Row],[L90]]&gt;=$DS$4</f>
        <v>0</v>
      </c>
      <c r="DJ1281" s="18" t="b">
        <f>RecData[[#This Row],[Overall (dBA)]]&gt;$DS$2</f>
        <v>0</v>
      </c>
      <c r="DK1281" s="18" t="b">
        <f>RecData[[#This Row],[Overall (dBA)]]&lt;$DS$3</f>
        <v>0</v>
      </c>
      <c r="DL128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1" s="2">
        <f>IF(AND(RecData[[#This Row],[Turbines ON/OFF]] = "OFF", NOT(OR(RecData[[#This Row],[Junk?]]="YES",RecData[[#This Row],[Gust?]],RecData[[#This Row],[Rain?]:[Min SPL Threshold?]]))),1,0)</f>
        <v>0</v>
      </c>
      <c r="DN1281" s="16">
        <f>RecData[[#This Row],[dBA Sum]]</f>
        <v>33.564448701801751</v>
      </c>
      <c r="DO1281" s="16">
        <f>RecData[[#This Row],[LAF90.0]]</f>
        <v>30.8</v>
      </c>
      <c r="DP1281" s="55" t="str">
        <f>IF(AND(RecData[[#This Row],[Useable TON Data?]],RecData[[#This Row],[Turbines ON/OFF]]="ON"),RecData[[#This Row],[dBA Sum]],"")</f>
        <v/>
      </c>
      <c r="DQ1281" s="55" t="str">
        <f>IF(AND(RecData[[#This Row],[Useable Background Data?]],RecData[[#This Row],[Turbines ON/OFF]]="OFF"),RecData[[#This Row],[dBA Sum]],"")</f>
        <v/>
      </c>
      <c r="DR1281" s="3" t="str">
        <f>IF(OR(RecData[[#This Row],[Useable TON Data?]],RecData[[#This Row],[Useable Background Data?]]),ROUND(RecData[[#This Row],[WSpd_Avg '[m/s']]],0),"")</f>
        <v/>
      </c>
      <c r="DS1281" s="85">
        <f>(0.00002)^2*(10^(RecData[[#This Row],[Overall (dBA)]]/10))</f>
        <v>9.0887647300475565E-7</v>
      </c>
    </row>
    <row r="1282" spans="1:123" ht="15" x14ac:dyDescent="0.25">
      <c r="A1282" s="3" t="s">
        <v>249</v>
      </c>
      <c r="B1282" s="12">
        <v>43277.142361111109</v>
      </c>
      <c r="D1282" s="42">
        <v>35.4</v>
      </c>
      <c r="K1282" s="42">
        <v>33.5</v>
      </c>
      <c r="N1282" s="42">
        <v>138.19999999999999</v>
      </c>
      <c r="Q1282" s="42">
        <v>0.8</v>
      </c>
      <c r="R1282" s="42">
        <v>0.6</v>
      </c>
      <c r="S1282" s="42">
        <v>1</v>
      </c>
      <c r="T1282" s="42">
        <v>6.9</v>
      </c>
      <c r="U1282" s="42">
        <v>92.1</v>
      </c>
      <c r="V1282" s="42">
        <v>977.7</v>
      </c>
      <c r="W1282" s="42">
        <v>0</v>
      </c>
      <c r="X1282" s="42">
        <v>40</v>
      </c>
      <c r="Y1282" s="42">
        <v>34.9</v>
      </c>
      <c r="Z1282" s="42">
        <v>34.1</v>
      </c>
      <c r="AA1282" s="42">
        <v>32.5</v>
      </c>
      <c r="AB1282" s="42">
        <v>28.5</v>
      </c>
      <c r="AC1282" s="42">
        <v>26.7</v>
      </c>
      <c r="AD1282" s="42">
        <v>31.3</v>
      </c>
      <c r="AE1282" s="42">
        <v>34.700000000000003</v>
      </c>
      <c r="AF1282" s="42">
        <v>39.9</v>
      </c>
      <c r="AG1282" s="42">
        <v>37.1</v>
      </c>
      <c r="AH1282" s="42">
        <v>34.4</v>
      </c>
      <c r="AI1282" s="42">
        <v>36.1</v>
      </c>
      <c r="AJ1282" s="42">
        <v>34.200000000000003</v>
      </c>
      <c r="AK1282" s="42">
        <v>31.5</v>
      </c>
      <c r="AL1282" s="42">
        <v>28.4</v>
      </c>
      <c r="AM1282" s="42">
        <v>26.3</v>
      </c>
      <c r="AN1282" s="42">
        <v>23.7</v>
      </c>
      <c r="AO1282" s="42">
        <v>19.3</v>
      </c>
      <c r="AP1282" s="42">
        <v>16.7</v>
      </c>
      <c r="AQ1282" s="42">
        <v>14.8</v>
      </c>
      <c r="AR1282" s="42">
        <v>10.6</v>
      </c>
      <c r="AS1282" s="42">
        <v>13.5</v>
      </c>
      <c r="AT1282" s="42">
        <v>15</v>
      </c>
      <c r="AU1282" s="42">
        <v>7.3</v>
      </c>
      <c r="AV1282" s="42">
        <v>7.9</v>
      </c>
      <c r="AW1282" s="42">
        <v>8.5</v>
      </c>
      <c r="AX1282" s="42">
        <v>8.8000000000000007</v>
      </c>
      <c r="AY1282" s="42">
        <v>9</v>
      </c>
      <c r="AZ1282" s="42">
        <v>0</v>
      </c>
      <c r="BA1282" s="42">
        <v>0</v>
      </c>
      <c r="BB1282" s="42">
        <v>0</v>
      </c>
      <c r="BC1282" s="42">
        <v>35.356147981082394</v>
      </c>
      <c r="BD1282" s="42">
        <v>40.043852018917612</v>
      </c>
      <c r="BE1282" s="42">
        <v>34.943852018917603</v>
      </c>
      <c r="BF1282" s="42">
        <v>32.903852018917597</v>
      </c>
      <c r="BG1282" s="42">
        <v>31.630518685584271</v>
      </c>
      <c r="BH1282" s="42">
        <v>27.770518685584271</v>
      </c>
      <c r="BI1282" s="42">
        <v>26.383852018917601</v>
      </c>
      <c r="BJ1282" s="42">
        <v>31.777185352250932</v>
      </c>
      <c r="BK1282" s="42">
        <v>35.050518685584272</v>
      </c>
      <c r="BL1282" s="42">
        <v>39.823852018917613</v>
      </c>
      <c r="BM1282" s="42">
        <v>37.157185352250941</v>
      </c>
      <c r="BN1282" s="42">
        <v>34.74051868558427</v>
      </c>
      <c r="BO1282" s="42">
        <v>35.807185352250933</v>
      </c>
      <c r="BP1282" s="42">
        <v>33.62385201891761</v>
      </c>
      <c r="BQ1282" s="42">
        <v>31.340518685584264</v>
      </c>
      <c r="BR1282" s="42">
        <v>28.567185352250938</v>
      </c>
      <c r="BS1282" s="42">
        <v>26.270518685584271</v>
      </c>
      <c r="BT1282" s="42">
        <v>23.867185352250935</v>
      </c>
      <c r="BU1282" s="42">
        <v>19.433852018917612</v>
      </c>
      <c r="BV1282" s="42">
        <v>16.550518685584272</v>
      </c>
      <c r="BW1282" s="42">
        <v>15.183852018917612</v>
      </c>
      <c r="BX1282" s="42">
        <v>10.903852018917611</v>
      </c>
      <c r="BY1282" s="42">
        <v>13.623852018917603</v>
      </c>
      <c r="BZ1282" s="42">
        <v>15.253852018917605</v>
      </c>
      <c r="CA1282" s="42">
        <v>7.6538520189175969</v>
      </c>
      <c r="CB1282" s="42">
        <v>7.6905186855842729</v>
      </c>
      <c r="CC1282" s="42">
        <v>8.5038520189176054</v>
      </c>
      <c r="CD1282" s="42">
        <v>8.1105186855842746</v>
      </c>
      <c r="CE1282" s="42">
        <v>8.5038520189176054</v>
      </c>
      <c r="CF1282" s="42">
        <v>-0.88281464774906482</v>
      </c>
      <c r="CG1282" s="42">
        <v>-1.4161479810823963</v>
      </c>
      <c r="CH1282" s="42">
        <v>-2.4928146477490642</v>
      </c>
      <c r="CI1282" s="13">
        <f>[1]!dbasum(RecData[[#This Row],[20]:[2000]],RecData[[#Headers],[20]:[2000]])</f>
        <v>35.120986082497062</v>
      </c>
      <c r="CJ1282" s="14">
        <v>11350</v>
      </c>
      <c r="CK1282" s="15" t="s">
        <v>249</v>
      </c>
      <c r="CL1282" s="15">
        <f>RecData[[#This Row],[Start Time]]</f>
        <v>43277.142361111109</v>
      </c>
      <c r="CM1282" s="16">
        <f>RecData[[#This Row],[Wind Speed avg]]</f>
        <v>0.8</v>
      </c>
      <c r="CN1282" s="16">
        <f>RecData[[#This Row],[Wind Dir. avg]]</f>
        <v>138.19999999999999</v>
      </c>
      <c r="CO1282" s="16">
        <f>RecData[[#This Row],[Amb. Humidity]]</f>
        <v>92.1</v>
      </c>
      <c r="CP1282" s="16">
        <f>RecData[[#This Row],[Amb. Temperature]]</f>
        <v>6.9</v>
      </c>
      <c r="CQ1282" s="17">
        <f>RecData[[#This Row],[Amb. Rain Gauge]]</f>
        <v>0</v>
      </c>
      <c r="CR1282" s="4" t="s">
        <v>1</v>
      </c>
      <c r="CS1282" s="4" t="s">
        <v>49</v>
      </c>
      <c r="CT1282" s="70">
        <v>1143.68627929687</v>
      </c>
      <c r="CU1282" s="70">
        <v>141.001205444335</v>
      </c>
      <c r="CV1282" s="70">
        <v>8.6716690063476491</v>
      </c>
      <c r="CW1282" s="70">
        <v>14.582706451416</v>
      </c>
      <c r="CX1282" s="4" t="s">
        <v>49</v>
      </c>
      <c r="CY1282" s="69" t="s">
        <v>255</v>
      </c>
      <c r="CZ1282" s="2" t="b">
        <f>IF($DP$1="YES",IF(RecData[[#This Row],[Power (kW)]]&gt;=$CR$3, TRUE,FALSE),TRUE)</f>
        <v>0</v>
      </c>
      <c r="DA1282" s="16">
        <f>MIN(MOD(180-ABS(ABS($DA$1-RecData[Yaw Angle (°)])-180),360),MOD(180-ABS(ABS($DB$1-RecData[Yaw Angle (°)])-180),360))</f>
        <v>133.47127866664744</v>
      </c>
      <c r="DB1282" s="2" t="str">
        <f>IF($DP$2="None","None",IF(RecData[[#This Row],[Relative Wind Direction]]&lt;=45,"DW",IF(RecData[[#This Row],[Relative Wind Direction]]&lt;=135,"CW","UW")))</f>
        <v>CW</v>
      </c>
      <c r="DC1282" s="61">
        <v>-1</v>
      </c>
      <c r="DD1282" s="61">
        <v>-1</v>
      </c>
      <c r="DE1282" s="18" t="b">
        <v>0</v>
      </c>
      <c r="DF1282" s="2" t="b">
        <f>IF(OR(RecData[[#This Row],[WSpd_Avg '[m/s']]]-RecData[[#This Row],[Wind Speed min]]&gt;=$DF$3,RecData[[#This Row],[Wind Speed max]]-RecData[[#This Row],[WSpd_Avg '[m/s']]]&gt;=$DF$2),TRUE,FALSE)</f>
        <v>0</v>
      </c>
      <c r="DG1282" s="2" t="b">
        <f>RecData[[#This Row],[Temperature '[°C']]]&lt;=-20</f>
        <v>0</v>
      </c>
      <c r="DH1282" s="18" t="b">
        <f>NOT(OR(MOD(RecData[[#This Row],[TIMESTAMP]],1)&gt;0.91632,MOD(RecData[[#This Row],[TIMESTAMP]],1)&lt;0.208681))</f>
        <v>0</v>
      </c>
      <c r="DI1282" s="18" t="b">
        <f>RecData[[#This Row],[Overall (dBA)]]-RecData[[#This Row],[L90]]&gt;=$DS$4</f>
        <v>0</v>
      </c>
      <c r="DJ1282" s="18" t="b">
        <f>RecData[[#This Row],[Overall (dBA)]]&gt;$DS$2</f>
        <v>0</v>
      </c>
      <c r="DK1282" s="18" t="b">
        <f>RecData[[#This Row],[Overall (dBA)]]&lt;$DS$3</f>
        <v>0</v>
      </c>
      <c r="DL128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2" s="2">
        <f>IF(AND(RecData[[#This Row],[Turbines ON/OFF]] = "OFF", NOT(OR(RecData[[#This Row],[Junk?]]="YES",RecData[[#This Row],[Gust?]],RecData[[#This Row],[Rain?]:[Min SPL Threshold?]]))),1,0)</f>
        <v>0</v>
      </c>
      <c r="DN1282" s="16">
        <f>RecData[[#This Row],[dBA Sum]]</f>
        <v>35.120986082497062</v>
      </c>
      <c r="DO1282" s="16">
        <f>RecData[[#This Row],[LAF90.0]]</f>
        <v>33.5</v>
      </c>
      <c r="DP1282" s="55" t="str">
        <f>IF(AND(RecData[[#This Row],[Useable TON Data?]],RecData[[#This Row],[Turbines ON/OFF]]="ON"),RecData[[#This Row],[dBA Sum]],"")</f>
        <v/>
      </c>
      <c r="DQ1282" s="55" t="str">
        <f>IF(AND(RecData[[#This Row],[Useable Background Data?]],RecData[[#This Row],[Turbines ON/OFF]]="OFF"),RecData[[#This Row],[dBA Sum]],"")</f>
        <v/>
      </c>
      <c r="DR1282" s="3" t="str">
        <f>IF(OR(RecData[[#This Row],[Useable TON Data?]],RecData[[#This Row],[Useable Background Data?]]),ROUND(RecData[[#This Row],[WSpd_Avg '[m/s']]],0),"")</f>
        <v/>
      </c>
      <c r="DS1282" s="85">
        <f>(0.00002)^2*(10^(RecData[[#This Row],[Overall (dBA)]]/10))</f>
        <v>1.3006444723994386E-6</v>
      </c>
    </row>
    <row r="1283" spans="1:123" ht="15" x14ac:dyDescent="0.25">
      <c r="A1283" s="3" t="s">
        <v>249</v>
      </c>
      <c r="B1283" s="12">
        <v>43277.143750000003</v>
      </c>
      <c r="D1283" s="42">
        <v>35.5</v>
      </c>
      <c r="K1283" s="42">
        <v>33.299999999999997</v>
      </c>
      <c r="N1283" s="42">
        <v>122.8</v>
      </c>
      <c r="Q1283" s="42">
        <v>0.79</v>
      </c>
      <c r="R1283" s="42">
        <v>0.4</v>
      </c>
      <c r="S1283" s="42">
        <v>1</v>
      </c>
      <c r="T1283" s="42">
        <v>6.9</v>
      </c>
      <c r="U1283" s="42">
        <v>92.1</v>
      </c>
      <c r="V1283" s="42">
        <v>977.7</v>
      </c>
      <c r="W1283" s="42">
        <v>0</v>
      </c>
      <c r="X1283" s="42">
        <v>40.299999999999997</v>
      </c>
      <c r="Y1283" s="42">
        <v>34.799999999999997</v>
      </c>
      <c r="Z1283" s="42">
        <v>34.200000000000003</v>
      </c>
      <c r="AA1283" s="42">
        <v>32.200000000000003</v>
      </c>
      <c r="AB1283" s="42">
        <v>28.2</v>
      </c>
      <c r="AC1283" s="42">
        <v>25.5</v>
      </c>
      <c r="AD1283" s="42">
        <v>30.2</v>
      </c>
      <c r="AE1283" s="42">
        <v>34</v>
      </c>
      <c r="AF1283" s="42">
        <v>40.700000000000003</v>
      </c>
      <c r="AG1283" s="42">
        <v>37</v>
      </c>
      <c r="AH1283" s="42">
        <v>33.5</v>
      </c>
      <c r="AI1283" s="42">
        <v>36.799999999999997</v>
      </c>
      <c r="AJ1283" s="42">
        <v>32.700000000000003</v>
      </c>
      <c r="AK1283" s="42">
        <v>31.8</v>
      </c>
      <c r="AL1283" s="42">
        <v>28.6</v>
      </c>
      <c r="AM1283" s="42">
        <v>27.1</v>
      </c>
      <c r="AN1283" s="42">
        <v>24.1</v>
      </c>
      <c r="AO1283" s="42">
        <v>19.7</v>
      </c>
      <c r="AP1283" s="42">
        <v>17.5</v>
      </c>
      <c r="AQ1283" s="42">
        <v>14.6</v>
      </c>
      <c r="AR1283" s="42">
        <v>10.3</v>
      </c>
      <c r="AS1283" s="42">
        <v>16.7</v>
      </c>
      <c r="AT1283" s="42">
        <v>15.4</v>
      </c>
      <c r="AU1283" s="42">
        <v>7.4</v>
      </c>
      <c r="AV1283" s="42">
        <v>8</v>
      </c>
      <c r="AW1283" s="42">
        <v>8.5</v>
      </c>
      <c r="AX1283" s="42">
        <v>8.8000000000000007</v>
      </c>
      <c r="AY1283" s="42">
        <v>9</v>
      </c>
      <c r="AZ1283" s="42">
        <v>0</v>
      </c>
      <c r="BA1283" s="42">
        <v>0</v>
      </c>
      <c r="BB1283" s="42">
        <v>0</v>
      </c>
      <c r="BC1283" s="42">
        <v>35.479867426388331</v>
      </c>
      <c r="BD1283" s="42">
        <v>40.320132573611666</v>
      </c>
      <c r="BE1283" s="42">
        <v>34.820132573611666</v>
      </c>
      <c r="BF1283" s="42">
        <v>32.980132573611677</v>
      </c>
      <c r="BG1283" s="42">
        <v>31.30679924027833</v>
      </c>
      <c r="BH1283" s="42">
        <v>27.446799240278338</v>
      </c>
      <c r="BI1283" s="42">
        <v>25.160132573611669</v>
      </c>
      <c r="BJ1283" s="42">
        <v>30.653465906944994</v>
      </c>
      <c r="BK1283" s="42">
        <v>34.326799240278341</v>
      </c>
      <c r="BL1283" s="42">
        <v>40.600132573611681</v>
      </c>
      <c r="BM1283" s="42">
        <v>37.033465906945004</v>
      </c>
      <c r="BN1283" s="42">
        <v>33.816799240278336</v>
      </c>
      <c r="BO1283" s="42">
        <v>36.483465906945007</v>
      </c>
      <c r="BP1283" s="42">
        <v>32.100132573611681</v>
      </c>
      <c r="BQ1283" s="42">
        <v>31.616799240278333</v>
      </c>
      <c r="BR1283" s="42">
        <v>28.743465906944998</v>
      </c>
      <c r="BS1283" s="42">
        <v>27.046799240278339</v>
      </c>
      <c r="BT1283" s="42">
        <v>24.243465906945005</v>
      </c>
      <c r="BU1283" s="42">
        <v>19.810132573611675</v>
      </c>
      <c r="BV1283" s="42">
        <v>17.326799240278341</v>
      </c>
      <c r="BW1283" s="42">
        <v>14.960132573611673</v>
      </c>
      <c r="BX1283" s="42">
        <v>10.580132573611671</v>
      </c>
      <c r="BY1283" s="42">
        <v>16.80013257361167</v>
      </c>
      <c r="BZ1283" s="42">
        <v>15.630132573611668</v>
      </c>
      <c r="CA1283" s="42">
        <v>7.7301325736116624</v>
      </c>
      <c r="CB1283" s="42">
        <v>7.7667992402783312</v>
      </c>
      <c r="CC1283" s="42">
        <v>8.4801325736116695</v>
      </c>
      <c r="CD1283" s="42">
        <v>8.0867992402783386</v>
      </c>
      <c r="CE1283" s="42">
        <v>8.4801325736116695</v>
      </c>
      <c r="CF1283" s="42">
        <v>-0.90653409305500077</v>
      </c>
      <c r="CG1283" s="42">
        <v>-1.4398674263883322</v>
      </c>
      <c r="CH1283" s="42">
        <v>-2.5165340930550002</v>
      </c>
      <c r="CI1283" s="13">
        <f>[1]!dbasum(RecData[[#This Row],[20]:[2000]],RecData[[#Headers],[20]:[2000]])</f>
        <v>35.191076505082329</v>
      </c>
      <c r="CJ1283" s="14">
        <v>11352</v>
      </c>
      <c r="CK1283" s="15" t="s">
        <v>249</v>
      </c>
      <c r="CL1283" s="15">
        <f>RecData[[#This Row],[Start Time]]</f>
        <v>43277.143750000003</v>
      </c>
      <c r="CM1283" s="16">
        <f>RecData[[#This Row],[Wind Speed avg]]</f>
        <v>0.79</v>
      </c>
      <c r="CN1283" s="16">
        <f>RecData[[#This Row],[Wind Dir. avg]]</f>
        <v>122.8</v>
      </c>
      <c r="CO1283" s="16">
        <f>RecData[[#This Row],[Amb. Humidity]]</f>
        <v>92.1</v>
      </c>
      <c r="CP1283" s="16">
        <f>RecData[[#This Row],[Amb. Temperature]]</f>
        <v>6.9</v>
      </c>
      <c r="CQ1283" s="17">
        <f>RecData[[#This Row],[Amb. Rain Gauge]]</f>
        <v>0</v>
      </c>
      <c r="CR1283" s="4" t="s">
        <v>1</v>
      </c>
      <c r="CS1283" s="4" t="s">
        <v>49</v>
      </c>
      <c r="CT1283" s="70">
        <v>1143.68627929687</v>
      </c>
      <c r="CU1283" s="70">
        <v>141.001205444335</v>
      </c>
      <c r="CV1283" s="70">
        <v>8.6716690063476491</v>
      </c>
      <c r="CW1283" s="70">
        <v>14.582706451416</v>
      </c>
      <c r="CX1283" s="4" t="s">
        <v>49</v>
      </c>
      <c r="CY1283" s="69" t="s">
        <v>255</v>
      </c>
      <c r="CZ1283" s="2" t="b">
        <f>IF($DP$1="YES",IF(RecData[[#This Row],[Power (kW)]]&gt;=$CR$3, TRUE,FALSE),TRUE)</f>
        <v>0</v>
      </c>
      <c r="DA1283" s="16">
        <f>MIN(MOD(180-ABS(ABS($DA$1-RecData[Yaw Angle (°)])-180),360),MOD(180-ABS(ABS($DB$1-RecData[Yaw Angle (°)])-180),360))</f>
        <v>133.47127866664744</v>
      </c>
      <c r="DB1283" s="2" t="str">
        <f>IF($DP$2="None","None",IF(RecData[[#This Row],[Relative Wind Direction]]&lt;=45,"DW",IF(RecData[[#This Row],[Relative Wind Direction]]&lt;=135,"CW","UW")))</f>
        <v>CW</v>
      </c>
      <c r="DC1283" s="61" t="e">
        <f>IF($CL1283-$CL1282&gt;1/24,#REF!,IF(SUM($CQ1282:$CQ1283)&gt;$DS$1,$DS$5,#REF!-1))</f>
        <v>#REF!</v>
      </c>
      <c r="DD1283" s="61" t="e">
        <f>IF(#REF!-$CL1283&gt;1/24,#REF!,IF(SUM($CQ1282:$CQ1283)&gt;$DS$1,$DS$6,#REF!-1))</f>
        <v>#REF!</v>
      </c>
      <c r="DE1283" s="18" t="b">
        <v>0</v>
      </c>
      <c r="DF1283" s="2" t="b">
        <f>IF(OR(RecData[[#This Row],[WSpd_Avg '[m/s']]]-RecData[[#This Row],[Wind Speed min]]&gt;=$DF$3,RecData[[#This Row],[Wind Speed max]]-RecData[[#This Row],[WSpd_Avg '[m/s']]]&gt;=$DF$2),TRUE,FALSE)</f>
        <v>0</v>
      </c>
      <c r="DG1283" s="2" t="b">
        <f>RecData[[#This Row],[Temperature '[°C']]]&lt;=-20</f>
        <v>0</v>
      </c>
      <c r="DH1283" s="18" t="b">
        <f>NOT(OR(MOD(RecData[[#This Row],[TIMESTAMP]],1)&gt;0.91632,MOD(RecData[[#This Row],[TIMESTAMP]],1)&lt;0.208681))</f>
        <v>0</v>
      </c>
      <c r="DI1283" s="18" t="b">
        <f>RecData[[#This Row],[Overall (dBA)]]-RecData[[#This Row],[L90]]&gt;=$DS$4</f>
        <v>0</v>
      </c>
      <c r="DJ1283" s="18" t="b">
        <f>RecData[[#This Row],[Overall (dBA)]]&gt;$DS$2</f>
        <v>0</v>
      </c>
      <c r="DK1283" s="18" t="b">
        <f>RecData[[#This Row],[Overall (dBA)]]&lt;$DS$3</f>
        <v>0</v>
      </c>
      <c r="DL128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3" s="2">
        <f>IF(AND(RecData[[#This Row],[Turbines ON/OFF]] = "OFF", NOT(OR(RecData[[#This Row],[Junk?]]="YES",RecData[[#This Row],[Gust?]],RecData[[#This Row],[Rain?]:[Min SPL Threshold?]]))),1,0)</f>
        <v>0</v>
      </c>
      <c r="DN1283" s="16">
        <f>RecData[[#This Row],[dBA Sum]]</f>
        <v>35.191076505082329</v>
      </c>
      <c r="DO1283" s="16">
        <f>RecData[[#This Row],[LAF90.0]]</f>
        <v>33.299999999999997</v>
      </c>
      <c r="DP1283" s="55" t="str">
        <f>IF(AND(RecData[[#This Row],[Useable TON Data?]],RecData[[#This Row],[Turbines ON/OFF]]="ON"),RecData[[#This Row],[dBA Sum]],"")</f>
        <v/>
      </c>
      <c r="DQ1283" s="55" t="str">
        <f>IF(AND(RecData[[#This Row],[Useable Background Data?]],RecData[[#This Row],[Turbines ON/OFF]]="OFF"),RecData[[#This Row],[dBA Sum]],"")</f>
        <v/>
      </c>
      <c r="DR1283" s="3" t="str">
        <f>IF(OR(RecData[[#This Row],[Useable TON Data?]],RecData[[#This Row],[Useable Background Data?]]),ROUND(RecData[[#This Row],[WSpd_Avg '[m/s']]],0),"")</f>
        <v/>
      </c>
      <c r="DS1283" s="85">
        <f>(0.00002)^2*(10^(RecData[[#This Row],[Overall (dBA)]]/10))</f>
        <v>1.3218057654279853E-6</v>
      </c>
    </row>
    <row r="1284" spans="1:123" ht="15" x14ac:dyDescent="0.25">
      <c r="A1284" s="3" t="s">
        <v>249</v>
      </c>
      <c r="B1284" s="12">
        <v>43277.147916666669</v>
      </c>
      <c r="D1284" s="42">
        <v>34.299999999999997</v>
      </c>
      <c r="K1284" s="42">
        <v>32.4</v>
      </c>
      <c r="N1284" s="42">
        <v>112.8</v>
      </c>
      <c r="Q1284" s="42">
        <v>0.46</v>
      </c>
      <c r="R1284" s="42">
        <v>0.1</v>
      </c>
      <c r="S1284" s="42">
        <v>0.9</v>
      </c>
      <c r="T1284" s="42">
        <v>6.7</v>
      </c>
      <c r="U1284" s="42">
        <v>91.5</v>
      </c>
      <c r="V1284" s="42">
        <v>977.7</v>
      </c>
      <c r="W1284" s="42">
        <v>0</v>
      </c>
      <c r="X1284" s="42">
        <v>39.799999999999997</v>
      </c>
      <c r="Y1284" s="42">
        <v>35.799999999999997</v>
      </c>
      <c r="Z1284" s="42">
        <v>34</v>
      </c>
      <c r="AA1284" s="42">
        <v>31.4</v>
      </c>
      <c r="AB1284" s="42">
        <v>26.2</v>
      </c>
      <c r="AC1284" s="42">
        <v>26</v>
      </c>
      <c r="AD1284" s="42">
        <v>29.5</v>
      </c>
      <c r="AE1284" s="42">
        <v>34.1</v>
      </c>
      <c r="AF1284" s="42">
        <v>39.5</v>
      </c>
      <c r="AG1284" s="42">
        <v>35.700000000000003</v>
      </c>
      <c r="AH1284" s="42">
        <v>32.6</v>
      </c>
      <c r="AI1284" s="42">
        <v>35.6</v>
      </c>
      <c r="AJ1284" s="42">
        <v>31.3</v>
      </c>
      <c r="AK1284" s="42">
        <v>30.7</v>
      </c>
      <c r="AL1284" s="42">
        <v>27.4</v>
      </c>
      <c r="AM1284" s="42">
        <v>25.7</v>
      </c>
      <c r="AN1284" s="42">
        <v>23</v>
      </c>
      <c r="AO1284" s="42">
        <v>18.399999999999999</v>
      </c>
      <c r="AP1284" s="42">
        <v>16.2</v>
      </c>
      <c r="AQ1284" s="42">
        <v>13.4</v>
      </c>
      <c r="AR1284" s="42">
        <v>9.6999999999999993</v>
      </c>
      <c r="AS1284" s="42">
        <v>15.3</v>
      </c>
      <c r="AT1284" s="42">
        <v>15.9</v>
      </c>
      <c r="AU1284" s="42">
        <v>7.3</v>
      </c>
      <c r="AV1284" s="42">
        <v>7.9</v>
      </c>
      <c r="AW1284" s="42">
        <v>8.5</v>
      </c>
      <c r="AX1284" s="42">
        <v>8.8000000000000007</v>
      </c>
      <c r="AY1284" s="42">
        <v>9</v>
      </c>
      <c r="AZ1284" s="42">
        <v>0</v>
      </c>
      <c r="BA1284" s="42">
        <v>0</v>
      </c>
      <c r="BB1284" s="42">
        <v>0</v>
      </c>
      <c r="BC1284" s="42">
        <v>34.317192802118811</v>
      </c>
      <c r="BD1284" s="42">
        <v>39.782807197881183</v>
      </c>
      <c r="BE1284" s="42">
        <v>35.782807197881183</v>
      </c>
      <c r="BF1284" s="42">
        <v>32.742807197881191</v>
      </c>
      <c r="BG1284" s="42">
        <v>30.469473864547851</v>
      </c>
      <c r="BH1284" s="42">
        <v>25.409473864547856</v>
      </c>
      <c r="BI1284" s="42">
        <v>25.622807197881187</v>
      </c>
      <c r="BJ1284" s="42">
        <v>29.916140531214523</v>
      </c>
      <c r="BK1284" s="42">
        <v>34.389473864547853</v>
      </c>
      <c r="BL1284" s="42">
        <v>39.362807197881196</v>
      </c>
      <c r="BM1284" s="42">
        <v>35.696140531214525</v>
      </c>
      <c r="BN1284" s="42">
        <v>32.879473864547847</v>
      </c>
      <c r="BO1284" s="42">
        <v>35.246140531214522</v>
      </c>
      <c r="BP1284" s="42">
        <v>30.662807197881179</v>
      </c>
      <c r="BQ1284" s="42">
        <v>30.479473864547842</v>
      </c>
      <c r="BR1284" s="42">
        <v>27.50614053121452</v>
      </c>
      <c r="BS1284" s="42">
        <v>25.609473864547851</v>
      </c>
      <c r="BT1284" s="42">
        <v>23.106140531214521</v>
      </c>
      <c r="BU1284" s="42">
        <v>18.472807197881188</v>
      </c>
      <c r="BV1284" s="42">
        <v>15.989473864547854</v>
      </c>
      <c r="BW1284" s="42">
        <v>13.722807197881188</v>
      </c>
      <c r="BX1284" s="42">
        <v>9.9428071978811943</v>
      </c>
      <c r="BY1284" s="42">
        <v>15.362807197881182</v>
      </c>
      <c r="BZ1284" s="42">
        <v>16.092807197881186</v>
      </c>
      <c r="CA1284" s="42">
        <v>7.5928071978811786</v>
      </c>
      <c r="CB1284" s="42">
        <v>7.6294738645478546</v>
      </c>
      <c r="CC1284" s="42">
        <v>8.4428071978811872</v>
      </c>
      <c r="CD1284" s="42">
        <v>8.0494738645478563</v>
      </c>
      <c r="CE1284" s="42">
        <v>8.4428071978811872</v>
      </c>
      <c r="CF1284" s="42">
        <v>-0.9438594687854831</v>
      </c>
      <c r="CG1284" s="42">
        <v>-1.4771928021188145</v>
      </c>
      <c r="CH1284" s="42">
        <v>-2.553859468785479</v>
      </c>
      <c r="CI1284" s="13">
        <f>[1]!dbasum(RecData[[#This Row],[20]:[2000]],RecData[[#Headers],[20]:[2000]])</f>
        <v>33.961727873407504</v>
      </c>
      <c r="CJ1284" s="14">
        <v>11358</v>
      </c>
      <c r="CK1284" s="15" t="s">
        <v>249</v>
      </c>
      <c r="CL1284" s="15">
        <f>RecData[[#This Row],[Start Time]]</f>
        <v>43277.147916666669</v>
      </c>
      <c r="CM1284" s="16">
        <f>RecData[[#This Row],[Wind Speed avg]]</f>
        <v>0.46</v>
      </c>
      <c r="CN1284" s="16">
        <f>RecData[[#This Row],[Wind Dir. avg]]</f>
        <v>112.8</v>
      </c>
      <c r="CO1284" s="16">
        <f>RecData[[#This Row],[Amb. Humidity]]</f>
        <v>91.5</v>
      </c>
      <c r="CP1284" s="16">
        <f>RecData[[#This Row],[Amb. Temperature]]</f>
        <v>6.7</v>
      </c>
      <c r="CQ1284" s="17">
        <f>RecData[[#This Row],[Amb. Rain Gauge]]</f>
        <v>0</v>
      </c>
      <c r="CR1284" s="4" t="s">
        <v>1</v>
      </c>
      <c r="CS1284" s="4" t="s">
        <v>49</v>
      </c>
      <c r="CT1284" s="70">
        <v>1120.63720703125</v>
      </c>
      <c r="CU1284" s="70">
        <v>141.001205444335</v>
      </c>
      <c r="CV1284" s="70">
        <v>8.5894517898559499</v>
      </c>
      <c r="CW1284" s="70">
        <v>14.5015115737915</v>
      </c>
      <c r="CX1284" s="4" t="s">
        <v>49</v>
      </c>
      <c r="CY1284" s="69" t="s">
        <v>258</v>
      </c>
      <c r="CZ1284" s="2" t="b">
        <f>IF($DP$1="YES",IF(RecData[[#This Row],[Power (kW)]]&gt;=$CR$3, TRUE,FALSE),TRUE)</f>
        <v>0</v>
      </c>
      <c r="DA1284" s="16">
        <f>MIN(MOD(180-ABS(ABS($DA$1-RecData[Yaw Angle (°)])-180),360),MOD(180-ABS(ABS($DB$1-RecData[Yaw Angle (°)])-180),360))</f>
        <v>133.47127866664744</v>
      </c>
      <c r="DB1284" s="2" t="str">
        <f>IF($DP$2="None","None",IF(RecData[[#This Row],[Relative Wind Direction]]&lt;=45,"DW",IF(RecData[[#This Row],[Relative Wind Direction]]&lt;=135,"CW","UW")))</f>
        <v>CW</v>
      </c>
      <c r="DC1284" s="61" t="e">
        <f>IF($CL1284-#REF!&gt;1/24,#REF!,IF(SUM($CQ1284:$CQ1284)&gt;$DS$1,$DS$5,#REF!-1))</f>
        <v>#REF!</v>
      </c>
      <c r="DD1284" s="61" t="e">
        <f>IF(#REF!-$CL1284&gt;1/24,#REF!,IF(SUM($CQ1284:$CQ1284)&gt;$DS$1,$DS$6,#REF!-1))</f>
        <v>#REF!</v>
      </c>
      <c r="DE1284" s="18" t="b">
        <v>0</v>
      </c>
      <c r="DF1284" s="2" t="b">
        <f>IF(OR(RecData[[#This Row],[WSpd_Avg '[m/s']]]-RecData[[#This Row],[Wind Speed min]]&gt;=$DF$3,RecData[[#This Row],[Wind Speed max]]-RecData[[#This Row],[WSpd_Avg '[m/s']]]&gt;=$DF$2),TRUE,FALSE)</f>
        <v>0</v>
      </c>
      <c r="DG1284" s="2" t="b">
        <f>RecData[[#This Row],[Temperature '[°C']]]&lt;=-20</f>
        <v>0</v>
      </c>
      <c r="DH1284" s="18" t="b">
        <f>NOT(OR(MOD(RecData[[#This Row],[TIMESTAMP]],1)&gt;0.91632,MOD(RecData[[#This Row],[TIMESTAMP]],1)&lt;0.208681))</f>
        <v>0</v>
      </c>
      <c r="DI1284" s="18" t="b">
        <f>RecData[[#This Row],[Overall (dBA)]]-RecData[[#This Row],[L90]]&gt;=$DS$4</f>
        <v>0</v>
      </c>
      <c r="DJ1284" s="18" t="b">
        <f>RecData[[#This Row],[Overall (dBA)]]&gt;$DS$2</f>
        <v>0</v>
      </c>
      <c r="DK1284" s="18" t="b">
        <f>RecData[[#This Row],[Overall (dBA)]]&lt;$DS$3</f>
        <v>0</v>
      </c>
      <c r="DL128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4" s="2">
        <f>IF(AND(RecData[[#This Row],[Turbines ON/OFF]] = "OFF", NOT(OR(RecData[[#This Row],[Junk?]]="YES",RecData[[#This Row],[Gust?]],RecData[[#This Row],[Rain?]:[Min SPL Threshold?]]))),1,0)</f>
        <v>0</v>
      </c>
      <c r="DN1284" s="16">
        <f>RecData[[#This Row],[dBA Sum]]</f>
        <v>33.961727873407504</v>
      </c>
      <c r="DO1284" s="16">
        <f>RecData[[#This Row],[LAF90.0]]</f>
        <v>32.4</v>
      </c>
      <c r="DP1284" s="55" t="str">
        <f>IF(AND(RecData[[#This Row],[Useable TON Data?]],RecData[[#This Row],[Turbines ON/OFF]]="ON"),RecData[[#This Row],[dBA Sum]],"")</f>
        <v/>
      </c>
      <c r="DQ1284" s="55" t="str">
        <f>IF(AND(RecData[[#This Row],[Useable Background Data?]],RecData[[#This Row],[Turbines ON/OFF]]="OFF"),RecData[[#This Row],[dBA Sum]],"")</f>
        <v/>
      </c>
      <c r="DR1284" s="3" t="str">
        <f>IF(OR(RecData[[#This Row],[Useable TON Data?]],RecData[[#This Row],[Useable Background Data?]]),ROUND(RecData[[#This Row],[WSpd_Avg '[m/s']]],0),"")</f>
        <v/>
      </c>
      <c r="DS1284" s="85">
        <f>(0.00002)^2*(10^(RecData[[#This Row],[Overall (dBA)]]/10))</f>
        <v>9.9593909039099569E-7</v>
      </c>
    </row>
    <row r="1285" spans="1:123" ht="15" x14ac:dyDescent="0.25">
      <c r="A1285" s="3" t="s">
        <v>249</v>
      </c>
      <c r="B1285" s="12">
        <v>43277.15</v>
      </c>
      <c r="D1285" s="42">
        <v>34.9</v>
      </c>
      <c r="K1285" s="42">
        <v>32.6</v>
      </c>
      <c r="N1285" s="42">
        <v>140</v>
      </c>
      <c r="Q1285" s="42">
        <v>0.79</v>
      </c>
      <c r="R1285" s="42">
        <v>0.6</v>
      </c>
      <c r="S1285" s="42">
        <v>1.1000000000000001</v>
      </c>
      <c r="T1285" s="42">
        <v>6.7</v>
      </c>
      <c r="U1285" s="42">
        <v>91.8</v>
      </c>
      <c r="V1285" s="42">
        <v>977.7</v>
      </c>
      <c r="W1285" s="42">
        <v>0</v>
      </c>
      <c r="X1285" s="42">
        <v>40.200000000000003</v>
      </c>
      <c r="Y1285" s="42">
        <v>36.4</v>
      </c>
      <c r="Z1285" s="42">
        <v>35.6</v>
      </c>
      <c r="AA1285" s="42">
        <v>33.4</v>
      </c>
      <c r="AB1285" s="42">
        <v>27.6</v>
      </c>
      <c r="AC1285" s="42">
        <v>27.5</v>
      </c>
      <c r="AD1285" s="42">
        <v>30.5</v>
      </c>
      <c r="AE1285" s="42">
        <v>34.6</v>
      </c>
      <c r="AF1285" s="42">
        <v>39.700000000000003</v>
      </c>
      <c r="AG1285" s="42">
        <v>36.799999999999997</v>
      </c>
      <c r="AH1285" s="42">
        <v>33.200000000000003</v>
      </c>
      <c r="AI1285" s="42">
        <v>36.1</v>
      </c>
      <c r="AJ1285" s="42">
        <v>32.4</v>
      </c>
      <c r="AK1285" s="42">
        <v>31.1</v>
      </c>
      <c r="AL1285" s="42">
        <v>27.9</v>
      </c>
      <c r="AM1285" s="42">
        <v>26.1</v>
      </c>
      <c r="AN1285" s="42">
        <v>23.5</v>
      </c>
      <c r="AO1285" s="42">
        <v>19</v>
      </c>
      <c r="AP1285" s="42">
        <v>16.7</v>
      </c>
      <c r="AQ1285" s="42">
        <v>14.1</v>
      </c>
      <c r="AR1285" s="42">
        <v>10.6</v>
      </c>
      <c r="AS1285" s="42">
        <v>13.5</v>
      </c>
      <c r="AT1285" s="42">
        <v>15.8</v>
      </c>
      <c r="AU1285" s="42">
        <v>7.3</v>
      </c>
      <c r="AV1285" s="42">
        <v>7.9</v>
      </c>
      <c r="AW1285" s="42">
        <v>8.5</v>
      </c>
      <c r="AX1285" s="42">
        <v>8.6999999999999993</v>
      </c>
      <c r="AY1285" s="42">
        <v>9</v>
      </c>
      <c r="AZ1285" s="42">
        <v>0</v>
      </c>
      <c r="BA1285" s="42">
        <v>0</v>
      </c>
      <c r="BB1285" s="42">
        <v>0</v>
      </c>
      <c r="BC1285" s="42">
        <v>34.850390286072198</v>
      </c>
      <c r="BD1285" s="42">
        <v>40.249609713927796</v>
      </c>
      <c r="BE1285" s="42">
        <v>36.449609713927799</v>
      </c>
      <c r="BF1285" s="42">
        <v>34.409609713927793</v>
      </c>
      <c r="BG1285" s="42">
        <v>32.536276380594458</v>
      </c>
      <c r="BH1285" s="42">
        <v>26.876276380594476</v>
      </c>
      <c r="BI1285" s="42">
        <v>27.189609713927801</v>
      </c>
      <c r="BJ1285" s="42">
        <v>30.982943047261131</v>
      </c>
      <c r="BK1285" s="42">
        <v>34.956276380594474</v>
      </c>
      <c r="BL1285" s="42">
        <v>39.629609713927806</v>
      </c>
      <c r="BM1285" s="42">
        <v>36.86294304726114</v>
      </c>
      <c r="BN1285" s="42">
        <v>33.546276380594477</v>
      </c>
      <c r="BO1285" s="42">
        <v>35.812943047261129</v>
      </c>
      <c r="BP1285" s="42">
        <v>31.829609713927795</v>
      </c>
      <c r="BQ1285" s="42">
        <v>30.946276380594455</v>
      </c>
      <c r="BR1285" s="42">
        <v>28.072943047261134</v>
      </c>
      <c r="BS1285" s="42">
        <v>26.076276380594464</v>
      </c>
      <c r="BT1285" s="42">
        <v>23.672943047261136</v>
      </c>
      <c r="BU1285" s="42">
        <v>19.139609713927804</v>
      </c>
      <c r="BV1285" s="42">
        <v>16.556276380594468</v>
      </c>
      <c r="BW1285" s="42">
        <v>14.489609713927806</v>
      </c>
      <c r="BX1285" s="42">
        <v>10.909609713927807</v>
      </c>
      <c r="BY1285" s="42">
        <v>13.629609713927799</v>
      </c>
      <c r="BZ1285" s="42">
        <v>16.059609713927806</v>
      </c>
      <c r="CA1285" s="42">
        <v>7.659609713927793</v>
      </c>
      <c r="CB1285" s="42">
        <v>7.6962763805944689</v>
      </c>
      <c r="CC1285" s="42">
        <v>8.5096097139278015</v>
      </c>
      <c r="CD1285" s="42">
        <v>8.0162763805944692</v>
      </c>
      <c r="CE1285" s="42">
        <v>8.5096097139278015</v>
      </c>
      <c r="CF1285" s="42">
        <v>-0.87705695273886874</v>
      </c>
      <c r="CG1285" s="42">
        <v>-1.4103902860722002</v>
      </c>
      <c r="CH1285" s="42">
        <v>-2.4870569527388682</v>
      </c>
      <c r="CI1285" s="13">
        <f>[1]!dbasum(RecData[[#This Row],[20]:[2000]],RecData[[#Headers],[20]:[2000]])</f>
        <v>34.606228099062818</v>
      </c>
      <c r="CJ1285" s="14">
        <v>11361</v>
      </c>
      <c r="CK1285" s="15" t="s">
        <v>249</v>
      </c>
      <c r="CL1285" s="15">
        <f>RecData[[#This Row],[Start Time]]</f>
        <v>43277.15</v>
      </c>
      <c r="CM1285" s="16">
        <f>RecData[[#This Row],[Wind Speed avg]]</f>
        <v>0.79</v>
      </c>
      <c r="CN1285" s="16">
        <f>RecData[[#This Row],[Wind Dir. avg]]</f>
        <v>140</v>
      </c>
      <c r="CO1285" s="16">
        <f>RecData[[#This Row],[Amb. Humidity]]</f>
        <v>91.8</v>
      </c>
      <c r="CP1285" s="16">
        <f>RecData[[#This Row],[Amb. Temperature]]</f>
        <v>6.7</v>
      </c>
      <c r="CQ1285" s="17">
        <f>RecData[[#This Row],[Amb. Rain Gauge]]</f>
        <v>0</v>
      </c>
      <c r="CR1285" s="4" t="s">
        <v>1</v>
      </c>
      <c r="CS1285" s="4" t="s">
        <v>49</v>
      </c>
      <c r="CT1285" s="70">
        <v>1120.63720703125</v>
      </c>
      <c r="CU1285" s="70">
        <v>141.001205444335</v>
      </c>
      <c r="CV1285" s="70">
        <v>8.5894517898559499</v>
      </c>
      <c r="CW1285" s="70">
        <v>14.5015115737915</v>
      </c>
      <c r="CX1285" s="4" t="s">
        <v>49</v>
      </c>
      <c r="CY1285" s="69" t="s">
        <v>255</v>
      </c>
      <c r="CZ1285" s="2" t="b">
        <f>IF($DP$1="YES",IF(RecData[[#This Row],[Power (kW)]]&gt;=$CR$3, TRUE,FALSE),TRUE)</f>
        <v>0</v>
      </c>
      <c r="DA1285" s="16">
        <f>MIN(MOD(180-ABS(ABS($DA$1-RecData[Yaw Angle (°)])-180),360),MOD(180-ABS(ABS($DB$1-RecData[Yaw Angle (°)])-180),360))</f>
        <v>133.47127866664744</v>
      </c>
      <c r="DB1285" s="2" t="str">
        <f>IF($DP$2="None","None",IF(RecData[[#This Row],[Relative Wind Direction]]&lt;=45,"DW",IF(RecData[[#This Row],[Relative Wind Direction]]&lt;=135,"CW","UW")))</f>
        <v>CW</v>
      </c>
      <c r="DC1285" s="61" t="e">
        <f>IF($CL1285-#REF!&gt;1/24,#REF!,IF(SUM($CQ1285:$CQ1285)&gt;$DS$1,$DS$5,DC1286-1))</f>
        <v>#REF!</v>
      </c>
      <c r="DD1285" s="61" t="e">
        <f>IF($CL1286-$CL1285&gt;1/24,#REF!,IF(SUM($CQ1285:$CQ1285)&gt;$DS$1,$DS$6,#REF!-1))</f>
        <v>#REF!</v>
      </c>
      <c r="DE1285" s="18" t="b">
        <v>0</v>
      </c>
      <c r="DF1285" s="2" t="b">
        <f>IF(OR(RecData[[#This Row],[WSpd_Avg '[m/s']]]-RecData[[#This Row],[Wind Speed min]]&gt;=$DF$3,RecData[[#This Row],[Wind Speed max]]-RecData[[#This Row],[WSpd_Avg '[m/s']]]&gt;=$DF$2),TRUE,FALSE)</f>
        <v>0</v>
      </c>
      <c r="DG1285" s="2" t="b">
        <f>RecData[[#This Row],[Temperature '[°C']]]&lt;=-20</f>
        <v>0</v>
      </c>
      <c r="DH1285" s="18" t="b">
        <f>NOT(OR(MOD(RecData[[#This Row],[TIMESTAMP]],1)&gt;0.91632,MOD(RecData[[#This Row],[TIMESTAMP]],1)&lt;0.208681))</f>
        <v>0</v>
      </c>
      <c r="DI1285" s="18" t="b">
        <f>RecData[[#This Row],[Overall (dBA)]]-RecData[[#This Row],[L90]]&gt;=$DS$4</f>
        <v>0</v>
      </c>
      <c r="DJ1285" s="18" t="b">
        <f>RecData[[#This Row],[Overall (dBA)]]&gt;$DS$2</f>
        <v>0</v>
      </c>
      <c r="DK1285" s="18" t="b">
        <f>RecData[[#This Row],[Overall (dBA)]]&lt;$DS$3</f>
        <v>0</v>
      </c>
      <c r="DL128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5" s="2">
        <f>IF(AND(RecData[[#This Row],[Turbines ON/OFF]] = "OFF", NOT(OR(RecData[[#This Row],[Junk?]]="YES",RecData[[#This Row],[Gust?]],RecData[[#This Row],[Rain?]:[Min SPL Threshold?]]))),1,0)</f>
        <v>0</v>
      </c>
      <c r="DN1285" s="16">
        <f>RecData[[#This Row],[dBA Sum]]</f>
        <v>34.606228099062818</v>
      </c>
      <c r="DO1285" s="16">
        <f>RecData[[#This Row],[LAF90.0]]</f>
        <v>32.6</v>
      </c>
      <c r="DP1285" s="55" t="str">
        <f>IF(AND(RecData[[#This Row],[Useable TON Data?]],RecData[[#This Row],[Turbines ON/OFF]]="ON"),RecData[[#This Row],[dBA Sum]],"")</f>
        <v/>
      </c>
      <c r="DQ1285" s="55" t="str">
        <f>IF(AND(RecData[[#This Row],[Useable Background Data?]],RecData[[#This Row],[Turbines ON/OFF]]="OFF"),RecData[[#This Row],[dBA Sum]],"")</f>
        <v/>
      </c>
      <c r="DR1285" s="3" t="str">
        <f>IF(OR(RecData[[#This Row],[Useable TON Data?]],RecData[[#This Row],[Useable Background Data?]]),ROUND(RecData[[#This Row],[WSpd_Avg '[m/s']]],0),"")</f>
        <v/>
      </c>
      <c r="DS1285" s="85">
        <f>(0.00002)^2*(10^(RecData[[#This Row],[Overall (dBA)]]/10))</f>
        <v>1.1552681525175213E-6</v>
      </c>
    </row>
    <row r="1286" spans="1:123" ht="15" x14ac:dyDescent="0.25">
      <c r="A1286" s="3" t="s">
        <v>249</v>
      </c>
      <c r="B1286" s="12">
        <v>43277.150694444441</v>
      </c>
      <c r="D1286" s="42">
        <v>34.200000000000003</v>
      </c>
      <c r="K1286" s="42">
        <v>32.299999999999997</v>
      </c>
      <c r="N1286" s="42">
        <v>140.1</v>
      </c>
      <c r="Q1286" s="42">
        <v>0.86</v>
      </c>
      <c r="R1286" s="42">
        <v>0.7</v>
      </c>
      <c r="S1286" s="42">
        <v>1</v>
      </c>
      <c r="T1286" s="42">
        <v>6.7</v>
      </c>
      <c r="U1286" s="42">
        <v>92.1</v>
      </c>
      <c r="V1286" s="42">
        <v>977.7</v>
      </c>
      <c r="W1286" s="42">
        <v>0</v>
      </c>
      <c r="X1286" s="42">
        <v>40.299999999999997</v>
      </c>
      <c r="Y1286" s="42">
        <v>35.6</v>
      </c>
      <c r="Z1286" s="42">
        <v>35.5</v>
      </c>
      <c r="AA1286" s="42">
        <v>32.9</v>
      </c>
      <c r="AB1286" s="42">
        <v>26.9</v>
      </c>
      <c r="AC1286" s="42">
        <v>26.9</v>
      </c>
      <c r="AD1286" s="42">
        <v>30.1</v>
      </c>
      <c r="AE1286" s="42">
        <v>33.9</v>
      </c>
      <c r="AF1286" s="42">
        <v>39.200000000000003</v>
      </c>
      <c r="AG1286" s="42">
        <v>36.200000000000003</v>
      </c>
      <c r="AH1286" s="42">
        <v>32.6</v>
      </c>
      <c r="AI1286" s="42">
        <v>35.4</v>
      </c>
      <c r="AJ1286" s="42">
        <v>31.6</v>
      </c>
      <c r="AK1286" s="42">
        <v>30.4</v>
      </c>
      <c r="AL1286" s="42">
        <v>26.9</v>
      </c>
      <c r="AM1286" s="42">
        <v>25.1</v>
      </c>
      <c r="AN1286" s="42">
        <v>22.6</v>
      </c>
      <c r="AO1286" s="42">
        <v>17.899999999999999</v>
      </c>
      <c r="AP1286" s="42">
        <v>15.1</v>
      </c>
      <c r="AQ1286" s="42">
        <v>13.6</v>
      </c>
      <c r="AR1286" s="42">
        <v>11</v>
      </c>
      <c r="AS1286" s="42">
        <v>14.5</v>
      </c>
      <c r="AT1286" s="42">
        <v>17</v>
      </c>
      <c r="AU1286" s="42">
        <v>7.3</v>
      </c>
      <c r="AV1286" s="42">
        <v>7.9</v>
      </c>
      <c r="AW1286" s="42">
        <v>8.5</v>
      </c>
      <c r="AX1286" s="42">
        <v>8.8000000000000007</v>
      </c>
      <c r="AY1286" s="42">
        <v>9</v>
      </c>
      <c r="AZ1286" s="42">
        <v>0</v>
      </c>
      <c r="BA1286" s="42">
        <v>0</v>
      </c>
      <c r="BB1286" s="42">
        <v>0</v>
      </c>
      <c r="BC1286" s="42">
        <v>34.154417999666236</v>
      </c>
      <c r="BD1286" s="42">
        <v>40.345582000333764</v>
      </c>
      <c r="BE1286" s="42">
        <v>35.645582000333775</v>
      </c>
      <c r="BF1286" s="42">
        <v>34.305582000333771</v>
      </c>
      <c r="BG1286" s="42">
        <v>32.032248667000431</v>
      </c>
      <c r="BH1286" s="42">
        <v>26.172248667000432</v>
      </c>
      <c r="BI1286" s="42">
        <v>26.585582000333766</v>
      </c>
      <c r="BJ1286" s="42">
        <v>30.578915333667098</v>
      </c>
      <c r="BK1286" s="42">
        <v>34.25224866700043</v>
      </c>
      <c r="BL1286" s="42">
        <v>39.125582000333765</v>
      </c>
      <c r="BM1286" s="42">
        <v>36.258915333667105</v>
      </c>
      <c r="BN1286" s="42">
        <v>32.942248667000428</v>
      </c>
      <c r="BO1286" s="42">
        <v>35.108915333667099</v>
      </c>
      <c r="BP1286" s="42">
        <v>31.02558200033377</v>
      </c>
      <c r="BQ1286" s="42">
        <v>30.242248667000425</v>
      </c>
      <c r="BR1286" s="42">
        <v>27.0689153336671</v>
      </c>
      <c r="BS1286" s="42">
        <v>25.072248667000437</v>
      </c>
      <c r="BT1286" s="42">
        <v>22.768915333667103</v>
      </c>
      <c r="BU1286" s="42">
        <v>18.035582000333768</v>
      </c>
      <c r="BV1286" s="42">
        <v>14.952248667000433</v>
      </c>
      <c r="BW1286" s="42">
        <v>13.985582000333771</v>
      </c>
      <c r="BX1286" s="42">
        <v>11.305582000333771</v>
      </c>
      <c r="BY1286" s="42">
        <v>14.625582000333765</v>
      </c>
      <c r="BZ1286" s="42">
        <v>17.255582000333774</v>
      </c>
      <c r="CA1286" s="42">
        <v>7.6555820003337587</v>
      </c>
      <c r="CB1286" s="42">
        <v>7.6922486670004346</v>
      </c>
      <c r="CC1286" s="42">
        <v>8.5055820003337672</v>
      </c>
      <c r="CD1286" s="42">
        <v>8.1122486670004363</v>
      </c>
      <c r="CE1286" s="42">
        <v>8.5055820003337672</v>
      </c>
      <c r="CF1286" s="42">
        <v>-0.88108466633290305</v>
      </c>
      <c r="CG1286" s="42">
        <v>-1.4144179996662345</v>
      </c>
      <c r="CH1286" s="42">
        <v>-2.4910846663328989</v>
      </c>
      <c r="CI1286" s="13">
        <f>[1]!dbasum(RecData[[#This Row],[20]:[2000]],RecData[[#Headers],[20]:[2000]])</f>
        <v>33.835987451488663</v>
      </c>
      <c r="CJ1286" s="14">
        <v>11362</v>
      </c>
      <c r="CK1286" s="15" t="s">
        <v>249</v>
      </c>
      <c r="CL1286" s="15">
        <f>RecData[[#This Row],[Start Time]]</f>
        <v>43277.150694444441</v>
      </c>
      <c r="CM1286" s="16">
        <f>RecData[[#This Row],[Wind Speed avg]]</f>
        <v>0.86</v>
      </c>
      <c r="CN1286" s="16">
        <f>RecData[[#This Row],[Wind Dir. avg]]</f>
        <v>140.1</v>
      </c>
      <c r="CO1286" s="16">
        <f>RecData[[#This Row],[Amb. Humidity]]</f>
        <v>92.1</v>
      </c>
      <c r="CP1286" s="16">
        <f>RecData[[#This Row],[Amb. Temperature]]</f>
        <v>6.7</v>
      </c>
      <c r="CQ1286" s="17">
        <f>RecData[[#This Row],[Amb. Rain Gauge]]</f>
        <v>0</v>
      </c>
      <c r="CR1286" s="4" t="s">
        <v>1</v>
      </c>
      <c r="CS1286" s="4" t="s">
        <v>49</v>
      </c>
      <c r="CT1286" s="70">
        <v>1120.63720703125</v>
      </c>
      <c r="CU1286" s="70">
        <v>141.001205444335</v>
      </c>
      <c r="CV1286" s="70">
        <v>8.5894517898559499</v>
      </c>
      <c r="CW1286" s="70">
        <v>14.5015115737915</v>
      </c>
      <c r="CX1286" s="4" t="s">
        <v>49</v>
      </c>
      <c r="CY1286" s="69" t="s">
        <v>255</v>
      </c>
      <c r="CZ1286" s="2" t="b">
        <f>IF($DP$1="YES",IF(RecData[[#This Row],[Power (kW)]]&gt;=$CR$3, TRUE,FALSE),TRUE)</f>
        <v>0</v>
      </c>
      <c r="DA1286" s="16">
        <f>MIN(MOD(180-ABS(ABS($DA$1-RecData[Yaw Angle (°)])-180),360),MOD(180-ABS(ABS($DB$1-RecData[Yaw Angle (°)])-180),360))</f>
        <v>133.47127866664744</v>
      </c>
      <c r="DB1286" s="2" t="str">
        <f>IF($DP$2="None","None",IF(RecData[[#This Row],[Relative Wind Direction]]&lt;=45,"DW",IF(RecData[[#This Row],[Relative Wind Direction]]&lt;=135,"CW","UW")))</f>
        <v>CW</v>
      </c>
      <c r="DC1286" s="61" t="e">
        <f>IF($CL1286-#REF!&gt;1/24,#REF!,IF(SUM($CQ1285:$CQ1286)&gt;$DS$1,$DS$5,#REF!-1))</f>
        <v>#REF!</v>
      </c>
      <c r="DD1286" s="61" t="e">
        <f>IF(#REF!-$CL1286&gt;1/24,#REF!,IF(SUM($CQ1285:$CQ1286)&gt;$DS$1,$DS$6,DD1285-1))</f>
        <v>#REF!</v>
      </c>
      <c r="DE1286" s="18" t="b">
        <v>0</v>
      </c>
      <c r="DF1286" s="2" t="b">
        <f>IF(OR(RecData[[#This Row],[WSpd_Avg '[m/s']]]-RecData[[#This Row],[Wind Speed min]]&gt;=$DF$3,RecData[[#This Row],[Wind Speed max]]-RecData[[#This Row],[WSpd_Avg '[m/s']]]&gt;=$DF$2),TRUE,FALSE)</f>
        <v>0</v>
      </c>
      <c r="DG1286" s="2" t="b">
        <f>RecData[[#This Row],[Temperature '[°C']]]&lt;=-20</f>
        <v>0</v>
      </c>
      <c r="DH1286" s="18" t="b">
        <f>NOT(OR(MOD(RecData[[#This Row],[TIMESTAMP]],1)&gt;0.91632,MOD(RecData[[#This Row],[TIMESTAMP]],1)&lt;0.208681))</f>
        <v>0</v>
      </c>
      <c r="DI1286" s="18" t="b">
        <f>RecData[[#This Row],[Overall (dBA)]]-RecData[[#This Row],[L90]]&gt;=$DS$4</f>
        <v>0</v>
      </c>
      <c r="DJ1286" s="18" t="b">
        <f>RecData[[#This Row],[Overall (dBA)]]&gt;$DS$2</f>
        <v>0</v>
      </c>
      <c r="DK1286" s="18" t="b">
        <f>RecData[[#This Row],[Overall (dBA)]]&lt;$DS$3</f>
        <v>0</v>
      </c>
      <c r="DL128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6" s="2">
        <f>IF(AND(RecData[[#This Row],[Turbines ON/OFF]] = "OFF", NOT(OR(RecData[[#This Row],[Junk?]]="YES",RecData[[#This Row],[Gust?]],RecData[[#This Row],[Rain?]:[Min SPL Threshold?]]))),1,0)</f>
        <v>0</v>
      </c>
      <c r="DN1286" s="16">
        <f>RecData[[#This Row],[dBA Sum]]</f>
        <v>33.835987451488663</v>
      </c>
      <c r="DO1286" s="16">
        <f>RecData[[#This Row],[LAF90.0]]</f>
        <v>32.299999999999997</v>
      </c>
      <c r="DP1286" s="55" t="str">
        <f>IF(AND(RecData[[#This Row],[Useable TON Data?]],RecData[[#This Row],[Turbines ON/OFF]]="ON"),RecData[[#This Row],[dBA Sum]],"")</f>
        <v/>
      </c>
      <c r="DQ1286" s="55" t="str">
        <f>IF(AND(RecData[[#This Row],[Useable Background Data?]],RecData[[#This Row],[Turbines ON/OFF]]="OFF"),RecData[[#This Row],[dBA Sum]],"")</f>
        <v/>
      </c>
      <c r="DR1286" s="3" t="str">
        <f>IF(OR(RecData[[#This Row],[Useable TON Data?]],RecData[[#This Row],[Useable Background Data?]]),ROUND(RecData[[#This Row],[WSpd_Avg '[m/s']]],0),"")</f>
        <v/>
      </c>
      <c r="DS1286" s="85">
        <f>(0.00002)^2*(10^(RecData[[#This Row],[Overall (dBA)]]/10))</f>
        <v>9.6751729370916563E-7</v>
      </c>
    </row>
    <row r="1287" spans="1:123" ht="15" x14ac:dyDescent="0.25">
      <c r="A1287" s="3" t="s">
        <v>249</v>
      </c>
      <c r="B1287" s="12">
        <v>43277.152083333334</v>
      </c>
      <c r="D1287" s="42">
        <v>34.9</v>
      </c>
      <c r="K1287" s="42">
        <v>32.5</v>
      </c>
      <c r="N1287" s="42">
        <v>133.6</v>
      </c>
      <c r="Q1287" s="42">
        <v>0.67</v>
      </c>
      <c r="R1287" s="42">
        <v>0.2</v>
      </c>
      <c r="S1287" s="42">
        <v>1</v>
      </c>
      <c r="T1287" s="42">
        <v>6.7</v>
      </c>
      <c r="U1287" s="42">
        <v>92.3</v>
      </c>
      <c r="V1287" s="42">
        <v>977.7</v>
      </c>
      <c r="W1287" s="42">
        <v>0</v>
      </c>
      <c r="X1287" s="42">
        <v>40.700000000000003</v>
      </c>
      <c r="Y1287" s="42">
        <v>36</v>
      </c>
      <c r="Z1287" s="42">
        <v>34.4</v>
      </c>
      <c r="AA1287" s="42">
        <v>33.299999999999997</v>
      </c>
      <c r="AB1287" s="42">
        <v>28</v>
      </c>
      <c r="AC1287" s="42">
        <v>26.6</v>
      </c>
      <c r="AD1287" s="42">
        <v>30.1</v>
      </c>
      <c r="AE1287" s="42">
        <v>34.5</v>
      </c>
      <c r="AF1287" s="42">
        <v>39.6</v>
      </c>
      <c r="AG1287" s="42">
        <v>37</v>
      </c>
      <c r="AH1287" s="42">
        <v>33.9</v>
      </c>
      <c r="AI1287" s="42">
        <v>35.799999999999997</v>
      </c>
      <c r="AJ1287" s="42">
        <v>33.299999999999997</v>
      </c>
      <c r="AK1287" s="42">
        <v>30.8</v>
      </c>
      <c r="AL1287" s="42">
        <v>27.5</v>
      </c>
      <c r="AM1287" s="42">
        <v>25.8</v>
      </c>
      <c r="AN1287" s="42">
        <v>23.1</v>
      </c>
      <c r="AO1287" s="42">
        <v>18.600000000000001</v>
      </c>
      <c r="AP1287" s="42">
        <v>15.8</v>
      </c>
      <c r="AQ1287" s="42">
        <v>14.5</v>
      </c>
      <c r="AR1287" s="42">
        <v>12.7</v>
      </c>
      <c r="AS1287" s="42">
        <v>16.7</v>
      </c>
      <c r="AT1287" s="42">
        <v>14.7</v>
      </c>
      <c r="AU1287" s="42">
        <v>7.2</v>
      </c>
      <c r="AV1287" s="42">
        <v>7.9</v>
      </c>
      <c r="AW1287" s="42">
        <v>8.4</v>
      </c>
      <c r="AX1287" s="42">
        <v>8.8000000000000007</v>
      </c>
      <c r="AY1287" s="42">
        <v>9</v>
      </c>
      <c r="AZ1287" s="42">
        <v>0</v>
      </c>
      <c r="BA1287" s="42">
        <v>0</v>
      </c>
      <c r="BB1287" s="42">
        <v>0</v>
      </c>
      <c r="BC1287" s="42">
        <v>34.867839777375721</v>
      </c>
      <c r="BD1287" s="42">
        <v>40.732160222624273</v>
      </c>
      <c r="BE1287" s="42">
        <v>36.032160222624285</v>
      </c>
      <c r="BF1287" s="42">
        <v>33.192160222624281</v>
      </c>
      <c r="BG1287" s="42">
        <v>32.418826889290941</v>
      </c>
      <c r="BH1287" s="42">
        <v>27.258826889290944</v>
      </c>
      <c r="BI1287" s="42">
        <v>26.272160222624279</v>
      </c>
      <c r="BJ1287" s="42">
        <v>30.565493555957616</v>
      </c>
      <c r="BK1287" s="42">
        <v>34.838826889290942</v>
      </c>
      <c r="BL1287" s="42">
        <v>39.512160222624274</v>
      </c>
      <c r="BM1287" s="42">
        <v>37.045493555957606</v>
      </c>
      <c r="BN1287" s="42">
        <v>34.228826889290943</v>
      </c>
      <c r="BO1287" s="42">
        <v>35.495493555957609</v>
      </c>
      <c r="BP1287" s="42">
        <v>32.712160222624277</v>
      </c>
      <c r="BQ1287" s="42">
        <v>30.628826889290934</v>
      </c>
      <c r="BR1287" s="42">
        <v>27.655493555957612</v>
      </c>
      <c r="BS1287" s="42">
        <v>25.758826889290944</v>
      </c>
      <c r="BT1287" s="42">
        <v>23.255493555957614</v>
      </c>
      <c r="BU1287" s="42">
        <v>18.722160222624282</v>
      </c>
      <c r="BV1287" s="42">
        <v>15.638826889290947</v>
      </c>
      <c r="BW1287" s="42">
        <v>14.872160222624281</v>
      </c>
      <c r="BX1287" s="42">
        <v>12.992160222624278</v>
      </c>
      <c r="BY1287" s="42">
        <v>16.812160222624271</v>
      </c>
      <c r="BZ1287" s="42">
        <v>14.942160222624281</v>
      </c>
      <c r="CA1287" s="42">
        <v>7.5421602226242683</v>
      </c>
      <c r="CB1287" s="42">
        <v>7.6788268892909457</v>
      </c>
      <c r="CC1287" s="42">
        <v>8.3921602226242769</v>
      </c>
      <c r="CD1287" s="42">
        <v>8.0988268892909474</v>
      </c>
      <c r="CE1287" s="42">
        <v>8.4921602226242783</v>
      </c>
      <c r="CF1287" s="42">
        <v>-0.89450644404239199</v>
      </c>
      <c r="CG1287" s="42">
        <v>-1.4278397773757234</v>
      </c>
      <c r="CH1287" s="42">
        <v>-2.5045064440423914</v>
      </c>
      <c r="CI1287" s="13">
        <f>[1]!dbasum(RecData[[#This Row],[20]:[2000]],RecData[[#Headers],[20]:[2000]])</f>
        <v>34.567430555116324</v>
      </c>
      <c r="CJ1287" s="14">
        <v>11364</v>
      </c>
      <c r="CK1287" s="15" t="s">
        <v>249</v>
      </c>
      <c r="CL1287" s="15">
        <f>RecData[[#This Row],[Start Time]]</f>
        <v>43277.152083333334</v>
      </c>
      <c r="CM1287" s="16">
        <f>RecData[[#This Row],[Wind Speed avg]]</f>
        <v>0.67</v>
      </c>
      <c r="CN1287" s="16">
        <f>RecData[[#This Row],[Wind Dir. avg]]</f>
        <v>133.6</v>
      </c>
      <c r="CO1287" s="16">
        <f>RecData[[#This Row],[Amb. Humidity]]</f>
        <v>92.3</v>
      </c>
      <c r="CP1287" s="16">
        <f>RecData[[#This Row],[Amb. Temperature]]</f>
        <v>6.7</v>
      </c>
      <c r="CQ1287" s="17">
        <f>RecData[[#This Row],[Amb. Rain Gauge]]</f>
        <v>0</v>
      </c>
      <c r="CR1287" s="4" t="s">
        <v>1</v>
      </c>
      <c r="CS1287" s="4" t="s">
        <v>49</v>
      </c>
      <c r="CT1287" s="70">
        <v>1120.63720703125</v>
      </c>
      <c r="CU1287" s="70">
        <v>141.001205444335</v>
      </c>
      <c r="CV1287" s="70">
        <v>8.5894517898559499</v>
      </c>
      <c r="CW1287" s="70">
        <v>14.5015115737915</v>
      </c>
      <c r="CX1287" s="4" t="s">
        <v>49</v>
      </c>
      <c r="CY1287" s="69" t="s">
        <v>255</v>
      </c>
      <c r="CZ1287" s="2" t="b">
        <f>IF($DP$1="YES",IF(RecData[[#This Row],[Power (kW)]]&gt;=$CR$3, TRUE,FALSE),TRUE)</f>
        <v>0</v>
      </c>
      <c r="DA1287" s="16">
        <f>MIN(MOD(180-ABS(ABS($DA$1-RecData[Yaw Angle (°)])-180),360),MOD(180-ABS(ABS($DB$1-RecData[Yaw Angle (°)])-180),360))</f>
        <v>133.47127866664744</v>
      </c>
      <c r="DB1287" s="2" t="str">
        <f>IF($DP$2="None","None",IF(RecData[[#This Row],[Relative Wind Direction]]&lt;=45,"DW",IF(RecData[[#This Row],[Relative Wind Direction]]&lt;=135,"CW","UW")))</f>
        <v>CW</v>
      </c>
      <c r="DC1287" s="61" t="e">
        <f>IF($CL1287-#REF!&gt;1/24,#REF!,IF(SUM($CQ1285:$CQ1287)&gt;$DS$1,$DS$5,DC1288-1))</f>
        <v>#REF!</v>
      </c>
      <c r="DD1287" s="61" t="e">
        <f>IF($CL1288-$CL1287&gt;1/24,#REF!,IF(SUM($CQ1285:$CQ1287)&gt;$DS$1,$DS$6,#REF!-1))</f>
        <v>#REF!</v>
      </c>
      <c r="DE1287" s="18" t="b">
        <v>0</v>
      </c>
      <c r="DF1287" s="2" t="b">
        <f>IF(OR(RecData[[#This Row],[WSpd_Avg '[m/s']]]-RecData[[#This Row],[Wind Speed min]]&gt;=$DF$3,RecData[[#This Row],[Wind Speed max]]-RecData[[#This Row],[WSpd_Avg '[m/s']]]&gt;=$DF$2),TRUE,FALSE)</f>
        <v>0</v>
      </c>
      <c r="DG1287" s="2" t="b">
        <f>RecData[[#This Row],[Temperature '[°C']]]&lt;=-20</f>
        <v>0</v>
      </c>
      <c r="DH1287" s="18" t="b">
        <f>NOT(OR(MOD(RecData[[#This Row],[TIMESTAMP]],1)&gt;0.91632,MOD(RecData[[#This Row],[TIMESTAMP]],1)&lt;0.208681))</f>
        <v>0</v>
      </c>
      <c r="DI1287" s="18" t="b">
        <f>RecData[[#This Row],[Overall (dBA)]]-RecData[[#This Row],[L90]]&gt;=$DS$4</f>
        <v>0</v>
      </c>
      <c r="DJ1287" s="18" t="b">
        <f>RecData[[#This Row],[Overall (dBA)]]&gt;$DS$2</f>
        <v>0</v>
      </c>
      <c r="DK1287" s="18" t="b">
        <f>RecData[[#This Row],[Overall (dBA)]]&lt;$DS$3</f>
        <v>0</v>
      </c>
      <c r="DL128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7" s="2">
        <f>IF(AND(RecData[[#This Row],[Turbines ON/OFF]] = "OFF", NOT(OR(RecData[[#This Row],[Junk?]]="YES",RecData[[#This Row],[Gust?]],RecData[[#This Row],[Rain?]:[Min SPL Threshold?]]))),1,0)</f>
        <v>0</v>
      </c>
      <c r="DN1287" s="16">
        <f>RecData[[#This Row],[dBA Sum]]</f>
        <v>34.567430555116324</v>
      </c>
      <c r="DO1287" s="16">
        <f>RecData[[#This Row],[LAF90.0]]</f>
        <v>32.5</v>
      </c>
      <c r="DP1287" s="55" t="str">
        <f>IF(AND(RecData[[#This Row],[Useable TON Data?]],RecData[[#This Row],[Turbines ON/OFF]]="ON"),RecData[[#This Row],[dBA Sum]],"")</f>
        <v/>
      </c>
      <c r="DQ1287" s="55" t="str">
        <f>IF(AND(RecData[[#This Row],[Useable Background Data?]],RecData[[#This Row],[Turbines ON/OFF]]="OFF"),RecData[[#This Row],[dBA Sum]],"")</f>
        <v/>
      </c>
      <c r="DR1287" s="3" t="str">
        <f>IF(OR(RecData[[#This Row],[Useable TON Data?]],RecData[[#This Row],[Useable Background Data?]]),ROUND(RecData[[#This Row],[WSpd_Avg '[m/s']]],0),"")</f>
        <v/>
      </c>
      <c r="DS1287" s="85">
        <f>(0.00002)^2*(10^(RecData[[#This Row],[Overall (dBA)]]/10))</f>
        <v>1.1449935674873943E-6</v>
      </c>
    </row>
    <row r="1288" spans="1:123" ht="15" x14ac:dyDescent="0.25">
      <c r="A1288" s="3" t="s">
        <v>249</v>
      </c>
      <c r="B1288" s="12">
        <v>43277.152777777781</v>
      </c>
      <c r="D1288" s="42">
        <v>34.4</v>
      </c>
      <c r="K1288" s="42">
        <v>32.1</v>
      </c>
      <c r="N1288" s="42">
        <v>127</v>
      </c>
      <c r="Q1288" s="42">
        <v>0.74</v>
      </c>
      <c r="R1288" s="42">
        <v>0.5</v>
      </c>
      <c r="S1288" s="42">
        <v>1</v>
      </c>
      <c r="T1288" s="42">
        <v>6.7</v>
      </c>
      <c r="U1288" s="42">
        <v>92.2</v>
      </c>
      <c r="V1288" s="42">
        <v>977.7</v>
      </c>
      <c r="W1288" s="42">
        <v>0</v>
      </c>
      <c r="X1288" s="42">
        <v>39.6</v>
      </c>
      <c r="Y1288" s="42">
        <v>34.9</v>
      </c>
      <c r="Z1288" s="42">
        <v>34.200000000000003</v>
      </c>
      <c r="AA1288" s="42">
        <v>31.6</v>
      </c>
      <c r="AB1288" s="42">
        <v>26</v>
      </c>
      <c r="AC1288" s="42">
        <v>25.8</v>
      </c>
      <c r="AD1288" s="42">
        <v>28.8</v>
      </c>
      <c r="AE1288" s="42">
        <v>33</v>
      </c>
      <c r="AF1288" s="42">
        <v>38.5</v>
      </c>
      <c r="AG1288" s="42">
        <v>36</v>
      </c>
      <c r="AH1288" s="42">
        <v>31.9</v>
      </c>
      <c r="AI1288" s="42">
        <v>35.799999999999997</v>
      </c>
      <c r="AJ1288" s="42">
        <v>31.6</v>
      </c>
      <c r="AK1288" s="42">
        <v>30.7</v>
      </c>
      <c r="AL1288" s="42">
        <v>27.3</v>
      </c>
      <c r="AM1288" s="42">
        <v>26</v>
      </c>
      <c r="AN1288" s="42">
        <v>23.2</v>
      </c>
      <c r="AO1288" s="42">
        <v>18.899999999999999</v>
      </c>
      <c r="AP1288" s="42">
        <v>16.600000000000001</v>
      </c>
      <c r="AQ1288" s="42">
        <v>14.6</v>
      </c>
      <c r="AR1288" s="42">
        <v>11.5</v>
      </c>
      <c r="AS1288" s="42">
        <v>17.399999999999999</v>
      </c>
      <c r="AT1288" s="42">
        <v>16.600000000000001</v>
      </c>
      <c r="AU1288" s="42">
        <v>7.3</v>
      </c>
      <c r="AV1288" s="42">
        <v>7.9</v>
      </c>
      <c r="AW1288" s="42">
        <v>8.5</v>
      </c>
      <c r="AX1288" s="42">
        <v>8.6999999999999993</v>
      </c>
      <c r="AY1288" s="42">
        <v>9</v>
      </c>
      <c r="AZ1288" s="42">
        <v>0</v>
      </c>
      <c r="BA1288" s="42">
        <v>0</v>
      </c>
      <c r="BB1288" s="42">
        <v>0</v>
      </c>
      <c r="BC1288" s="42">
        <v>34.423037463307786</v>
      </c>
      <c r="BD1288" s="42">
        <v>39.576962536692214</v>
      </c>
      <c r="BE1288" s="42">
        <v>34.876962536692211</v>
      </c>
      <c r="BF1288" s="42">
        <v>32.936962536692214</v>
      </c>
      <c r="BG1288" s="42">
        <v>30.663629203358873</v>
      </c>
      <c r="BH1288" s="42">
        <v>25.203629203358879</v>
      </c>
      <c r="BI1288" s="42">
        <v>25.416962536692218</v>
      </c>
      <c r="BJ1288" s="42">
        <v>29.210295870025547</v>
      </c>
      <c r="BK1288" s="42">
        <v>33.283629203358878</v>
      </c>
      <c r="BL1288" s="42">
        <v>38.356962536692215</v>
      </c>
      <c r="BM1288" s="42">
        <v>35.990295870025541</v>
      </c>
      <c r="BN1288" s="42">
        <v>32.173629203358878</v>
      </c>
      <c r="BO1288" s="42">
        <v>35.440295870025544</v>
      </c>
      <c r="BP1288" s="42">
        <v>30.95696253669221</v>
      </c>
      <c r="BQ1288" s="42">
        <v>30.473629203358861</v>
      </c>
      <c r="BR1288" s="42">
        <v>27.400295870025552</v>
      </c>
      <c r="BS1288" s="42">
        <v>25.903629203358882</v>
      </c>
      <c r="BT1288" s="42">
        <v>23.300295870025543</v>
      </c>
      <c r="BU1288" s="42">
        <v>18.966962536692215</v>
      </c>
      <c r="BV1288" s="42">
        <v>16.383629203358886</v>
      </c>
      <c r="BW1288" s="42">
        <v>14.916962536692218</v>
      </c>
      <c r="BX1288" s="42">
        <v>11.736962536692218</v>
      </c>
      <c r="BY1288" s="42">
        <v>17.45696253669221</v>
      </c>
      <c r="BZ1288" s="42">
        <v>16.786962536692222</v>
      </c>
      <c r="CA1288" s="42">
        <v>7.5869625366922051</v>
      </c>
      <c r="CB1288" s="42">
        <v>7.6236292033588811</v>
      </c>
      <c r="CC1288" s="42">
        <v>8.4369625366922136</v>
      </c>
      <c r="CD1288" s="42">
        <v>7.9436292033588813</v>
      </c>
      <c r="CE1288" s="42">
        <v>8.4369625366922136</v>
      </c>
      <c r="CF1288" s="42">
        <v>-0.94970412997445663</v>
      </c>
      <c r="CG1288" s="42">
        <v>-1.4830374633077881</v>
      </c>
      <c r="CH1288" s="42">
        <v>-2.5597041299744525</v>
      </c>
      <c r="CI1288" s="13">
        <f>[1]!dbasum(RecData[[#This Row],[20]:[2000]],RecData[[#Headers],[20]:[2000]])</f>
        <v>33.999168358371683</v>
      </c>
      <c r="CJ1288" s="14">
        <v>11365</v>
      </c>
      <c r="CK1288" s="15" t="s">
        <v>249</v>
      </c>
      <c r="CL1288" s="15">
        <f>RecData[[#This Row],[Start Time]]</f>
        <v>43277.152777777781</v>
      </c>
      <c r="CM1288" s="16">
        <f>RecData[[#This Row],[Wind Speed avg]]</f>
        <v>0.74</v>
      </c>
      <c r="CN1288" s="16">
        <f>RecData[[#This Row],[Wind Dir. avg]]</f>
        <v>127</v>
      </c>
      <c r="CO1288" s="16">
        <f>RecData[[#This Row],[Amb. Humidity]]</f>
        <v>92.2</v>
      </c>
      <c r="CP1288" s="16">
        <f>RecData[[#This Row],[Amb. Temperature]]</f>
        <v>6.7</v>
      </c>
      <c r="CQ1288" s="17">
        <f>RecData[[#This Row],[Amb. Rain Gauge]]</f>
        <v>0</v>
      </c>
      <c r="CR1288" s="4" t="s">
        <v>1</v>
      </c>
      <c r="CS1288" s="4" t="s">
        <v>49</v>
      </c>
      <c r="CT1288" s="70">
        <v>1120.63720703125</v>
      </c>
      <c r="CU1288" s="70">
        <v>141.001205444335</v>
      </c>
      <c r="CV1288" s="70">
        <v>8.5894517898559499</v>
      </c>
      <c r="CW1288" s="70">
        <v>14.5015115737915</v>
      </c>
      <c r="CX1288" s="4" t="s">
        <v>49</v>
      </c>
      <c r="CY1288" s="69" t="s">
        <v>255</v>
      </c>
      <c r="CZ1288" s="2" t="b">
        <f>IF($DP$1="YES",IF(RecData[[#This Row],[Power (kW)]]&gt;=$CR$3, TRUE,FALSE),TRUE)</f>
        <v>0</v>
      </c>
      <c r="DA1288" s="16">
        <f>MIN(MOD(180-ABS(ABS($DA$1-RecData[Yaw Angle (°)])-180),360),MOD(180-ABS(ABS($DB$1-RecData[Yaw Angle (°)])-180),360))</f>
        <v>133.47127866664744</v>
      </c>
      <c r="DB1288" s="2" t="str">
        <f>IF($DP$2="None","None",IF(RecData[[#This Row],[Relative Wind Direction]]&lt;=45,"DW",IF(RecData[[#This Row],[Relative Wind Direction]]&lt;=135,"CW","UW")))</f>
        <v>CW</v>
      </c>
      <c r="DC1288" s="61" t="e">
        <f>IF($CL1288-$CL1285&gt;1/24,#REF!,IF(SUM($CQ1285:$CQ1288)&gt;$DS$1,$DS$5,#REF!-1))</f>
        <v>#REF!</v>
      </c>
      <c r="DD1288" s="61" t="e">
        <f>IF(#REF!-$CL1288&gt;1/24,#REF!,IF(SUM($CQ1285:$CQ1288)&gt;$DS$1,$DS$6,DD1287-1))</f>
        <v>#REF!</v>
      </c>
      <c r="DE1288" s="18" t="b">
        <v>0</v>
      </c>
      <c r="DF1288" s="2" t="b">
        <f>IF(OR(RecData[[#This Row],[WSpd_Avg '[m/s']]]-RecData[[#This Row],[Wind Speed min]]&gt;=$DF$3,RecData[[#This Row],[Wind Speed max]]-RecData[[#This Row],[WSpd_Avg '[m/s']]]&gt;=$DF$2),TRUE,FALSE)</f>
        <v>0</v>
      </c>
      <c r="DG1288" s="2" t="b">
        <f>RecData[[#This Row],[Temperature '[°C']]]&lt;=-20</f>
        <v>0</v>
      </c>
      <c r="DH1288" s="18" t="b">
        <f>NOT(OR(MOD(RecData[[#This Row],[TIMESTAMP]],1)&gt;0.91632,MOD(RecData[[#This Row],[TIMESTAMP]],1)&lt;0.208681))</f>
        <v>0</v>
      </c>
      <c r="DI1288" s="18" t="b">
        <f>RecData[[#This Row],[Overall (dBA)]]-RecData[[#This Row],[L90]]&gt;=$DS$4</f>
        <v>0</v>
      </c>
      <c r="DJ1288" s="18" t="b">
        <f>RecData[[#This Row],[Overall (dBA)]]&gt;$DS$2</f>
        <v>0</v>
      </c>
      <c r="DK1288" s="18" t="b">
        <f>RecData[[#This Row],[Overall (dBA)]]&lt;$DS$3</f>
        <v>0</v>
      </c>
      <c r="DL128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8" s="2">
        <f>IF(AND(RecData[[#This Row],[Turbines ON/OFF]] = "OFF", NOT(OR(RecData[[#This Row],[Junk?]]="YES",RecData[[#This Row],[Gust?]],RecData[[#This Row],[Rain?]:[Min SPL Threshold?]]))),1,0)</f>
        <v>0</v>
      </c>
      <c r="DN1288" s="16">
        <f>RecData[[#This Row],[dBA Sum]]</f>
        <v>33.999168358371683</v>
      </c>
      <c r="DO1288" s="16">
        <f>RecData[[#This Row],[LAF90.0]]</f>
        <v>32.1</v>
      </c>
      <c r="DP1288" s="55" t="str">
        <f>IF(AND(RecData[[#This Row],[Useable TON Data?]],RecData[[#This Row],[Turbines ON/OFF]]="ON"),RecData[[#This Row],[dBA Sum]],"")</f>
        <v/>
      </c>
      <c r="DQ1288" s="55" t="str">
        <f>IF(AND(RecData[[#This Row],[Useable Background Data?]],RecData[[#This Row],[Turbines ON/OFF]]="OFF"),RecData[[#This Row],[dBA Sum]],"")</f>
        <v/>
      </c>
      <c r="DR1288" s="3" t="str">
        <f>IF(OR(RecData[[#This Row],[Useable TON Data?]],RecData[[#This Row],[Useable Background Data?]]),ROUND(RecData[[#This Row],[WSpd_Avg '[m/s']]],0),"")</f>
        <v/>
      </c>
      <c r="DS1288" s="85">
        <f>(0.00002)^2*(10^(RecData[[#This Row],[Overall (dBA)]]/10))</f>
        <v>1.0045621879976371E-6</v>
      </c>
    </row>
    <row r="1289" spans="1:123" ht="15" x14ac:dyDescent="0.25">
      <c r="A1289" s="3" t="s">
        <v>249</v>
      </c>
      <c r="B1289" s="12">
        <v>43277.154861111114</v>
      </c>
      <c r="D1289" s="42">
        <v>33.9</v>
      </c>
      <c r="K1289" s="42">
        <v>31.6</v>
      </c>
      <c r="N1289" s="42">
        <v>122.5</v>
      </c>
      <c r="Q1289" s="42">
        <v>0.51</v>
      </c>
      <c r="R1289" s="42">
        <v>0.1</v>
      </c>
      <c r="S1289" s="42">
        <v>1.1000000000000001</v>
      </c>
      <c r="T1289" s="42">
        <v>6.7</v>
      </c>
      <c r="U1289" s="42">
        <v>92</v>
      </c>
      <c r="V1289" s="42">
        <v>977.7</v>
      </c>
      <c r="W1289" s="42">
        <v>0</v>
      </c>
      <c r="X1289" s="42">
        <v>39.6</v>
      </c>
      <c r="Y1289" s="42">
        <v>34.200000000000003</v>
      </c>
      <c r="Z1289" s="42">
        <v>33.4</v>
      </c>
      <c r="AA1289" s="42">
        <v>31.2</v>
      </c>
      <c r="AB1289" s="42">
        <v>26</v>
      </c>
      <c r="AC1289" s="42">
        <v>26.6</v>
      </c>
      <c r="AD1289" s="42">
        <v>29.5</v>
      </c>
      <c r="AE1289" s="42">
        <v>33.799999999999997</v>
      </c>
      <c r="AF1289" s="42">
        <v>39.9</v>
      </c>
      <c r="AG1289" s="42">
        <v>35.9</v>
      </c>
      <c r="AH1289" s="42">
        <v>32.299999999999997</v>
      </c>
      <c r="AI1289" s="42">
        <v>34.5</v>
      </c>
      <c r="AJ1289" s="42">
        <v>31.2</v>
      </c>
      <c r="AK1289" s="42">
        <v>29.5</v>
      </c>
      <c r="AL1289" s="42">
        <v>26.1</v>
      </c>
      <c r="AM1289" s="42">
        <v>24.1</v>
      </c>
      <c r="AN1289" s="42">
        <v>21.6</v>
      </c>
      <c r="AO1289" s="42">
        <v>17.2</v>
      </c>
      <c r="AP1289" s="42">
        <v>14.4</v>
      </c>
      <c r="AQ1289" s="42">
        <v>13.3</v>
      </c>
      <c r="AR1289" s="42">
        <v>10</v>
      </c>
      <c r="AS1289" s="42">
        <v>18.600000000000001</v>
      </c>
      <c r="AT1289" s="42">
        <v>20.399999999999999</v>
      </c>
      <c r="AU1289" s="42">
        <v>7.4</v>
      </c>
      <c r="AV1289" s="42">
        <v>7.8</v>
      </c>
      <c r="AW1289" s="42">
        <v>8.5</v>
      </c>
      <c r="AX1289" s="42">
        <v>8.6999999999999993</v>
      </c>
      <c r="AY1289" s="42">
        <v>9</v>
      </c>
      <c r="AZ1289" s="42">
        <v>0</v>
      </c>
      <c r="BA1289" s="42">
        <v>0</v>
      </c>
      <c r="BB1289" s="42">
        <v>0</v>
      </c>
      <c r="BC1289" s="42">
        <v>33.862125282042982</v>
      </c>
      <c r="BD1289" s="42">
        <v>39.637874717957018</v>
      </c>
      <c r="BE1289" s="42">
        <v>34.237874717957013</v>
      </c>
      <c r="BF1289" s="42">
        <v>32.197874717957021</v>
      </c>
      <c r="BG1289" s="42">
        <v>30.324541384623686</v>
      </c>
      <c r="BH1289" s="42">
        <v>25.264541384623683</v>
      </c>
      <c r="BI1289" s="42">
        <v>26.277874717957019</v>
      </c>
      <c r="BJ1289" s="42">
        <v>29.971208051290347</v>
      </c>
      <c r="BK1289" s="42">
        <v>34.144541384623679</v>
      </c>
      <c r="BL1289" s="42">
        <v>39.817874717957025</v>
      </c>
      <c r="BM1289" s="42">
        <v>35.951208051290351</v>
      </c>
      <c r="BN1289" s="42">
        <v>32.634541384623688</v>
      </c>
      <c r="BO1289" s="42">
        <v>34.201208051290351</v>
      </c>
      <c r="BP1289" s="42">
        <v>30.617874717957008</v>
      </c>
      <c r="BQ1289" s="42">
        <v>29.334541384623677</v>
      </c>
      <c r="BR1289" s="42">
        <v>26.261208051290353</v>
      </c>
      <c r="BS1289" s="42">
        <v>24.064541384623681</v>
      </c>
      <c r="BT1289" s="42">
        <v>21.761208051290353</v>
      </c>
      <c r="BU1289" s="42">
        <v>17.327874717957016</v>
      </c>
      <c r="BV1289" s="42">
        <v>14.244541384623687</v>
      </c>
      <c r="BW1289" s="42">
        <v>13.677874717957025</v>
      </c>
      <c r="BX1289" s="42">
        <v>10.297874717957022</v>
      </c>
      <c r="BY1289" s="42">
        <v>18.717874717957017</v>
      </c>
      <c r="BZ1289" s="42">
        <v>20.647874717957023</v>
      </c>
      <c r="CA1289" s="42">
        <v>7.7478747179570107</v>
      </c>
      <c r="CB1289" s="42">
        <v>7.5845413846236838</v>
      </c>
      <c r="CC1289" s="42">
        <v>8.4978747179570178</v>
      </c>
      <c r="CD1289" s="42">
        <v>8.0045413846236855</v>
      </c>
      <c r="CE1289" s="42">
        <v>8.4978747179570178</v>
      </c>
      <c r="CF1289" s="42">
        <v>-0.8887919487096525</v>
      </c>
      <c r="CG1289" s="42">
        <v>-1.4221252820429839</v>
      </c>
      <c r="CH1289" s="42">
        <v>-2.4987919487096484</v>
      </c>
      <c r="CI1289" s="13">
        <f>[1]!dbasum(RecData[[#This Row],[20]:[2000]],RecData[[#Headers],[20]:[2000]])</f>
        <v>33.252984200509395</v>
      </c>
      <c r="CJ1289" s="14">
        <v>11368</v>
      </c>
      <c r="CK1289" s="15" t="s">
        <v>249</v>
      </c>
      <c r="CL1289" s="15">
        <f>RecData[[#This Row],[Start Time]]</f>
        <v>43277.154861111114</v>
      </c>
      <c r="CM1289" s="16">
        <f>RecData[[#This Row],[Wind Speed avg]]</f>
        <v>0.51</v>
      </c>
      <c r="CN1289" s="16">
        <f>RecData[[#This Row],[Wind Dir. avg]]</f>
        <v>122.5</v>
      </c>
      <c r="CO1289" s="16">
        <f>RecData[[#This Row],[Amb. Humidity]]</f>
        <v>92</v>
      </c>
      <c r="CP1289" s="16">
        <f>RecData[[#This Row],[Amb. Temperature]]</f>
        <v>6.7</v>
      </c>
      <c r="CQ1289" s="17">
        <f>RecData[[#This Row],[Amb. Rain Gauge]]</f>
        <v>0</v>
      </c>
      <c r="CR1289" s="4" t="s">
        <v>1</v>
      </c>
      <c r="CS1289" s="4" t="s">
        <v>49</v>
      </c>
      <c r="CT1289" s="70">
        <v>1047.55102539062</v>
      </c>
      <c r="CU1289" s="70">
        <v>141.00119018554599</v>
      </c>
      <c r="CV1289" s="70">
        <v>8.5056495666503906</v>
      </c>
      <c r="CW1289" s="70">
        <v>14.172955513000399</v>
      </c>
      <c r="CX1289" s="4" t="s">
        <v>49</v>
      </c>
      <c r="CY1289" s="69" t="s">
        <v>258</v>
      </c>
      <c r="CZ1289" s="2" t="b">
        <f>IF($DP$1="YES",IF(RecData[[#This Row],[Power (kW)]]&gt;=$CR$3, TRUE,FALSE),TRUE)</f>
        <v>0</v>
      </c>
      <c r="DA1289" s="16">
        <f>MIN(MOD(180-ABS(ABS($DA$1-RecData[Yaw Angle (°)])-180),360),MOD(180-ABS(ABS($DB$1-RecData[Yaw Angle (°)])-180),360))</f>
        <v>133.47126340785843</v>
      </c>
      <c r="DB1289" s="2" t="str">
        <f>IF($DP$2="None","None",IF(RecData[[#This Row],[Relative Wind Direction]]&lt;=45,"DW",IF(RecData[[#This Row],[Relative Wind Direction]]&lt;=135,"CW","UW")))</f>
        <v>CW</v>
      </c>
      <c r="DC1289" s="61">
        <v>-1</v>
      </c>
      <c r="DD1289" s="61">
        <v>-1</v>
      </c>
      <c r="DE1289" s="18" t="b">
        <v>0</v>
      </c>
      <c r="DF1289" s="2" t="b">
        <f>IF(OR(RecData[[#This Row],[WSpd_Avg '[m/s']]]-RecData[[#This Row],[Wind Speed min]]&gt;=$DF$3,RecData[[#This Row],[Wind Speed max]]-RecData[[#This Row],[WSpd_Avg '[m/s']]]&gt;=$DF$2),TRUE,FALSE)</f>
        <v>0</v>
      </c>
      <c r="DG1289" s="2" t="b">
        <f>RecData[[#This Row],[Temperature '[°C']]]&lt;=-20</f>
        <v>0</v>
      </c>
      <c r="DH1289" s="18" t="b">
        <f>NOT(OR(MOD(RecData[[#This Row],[TIMESTAMP]],1)&gt;0.91632,MOD(RecData[[#This Row],[TIMESTAMP]],1)&lt;0.208681))</f>
        <v>0</v>
      </c>
      <c r="DI1289" s="18" t="b">
        <f>RecData[[#This Row],[Overall (dBA)]]-RecData[[#This Row],[L90]]&gt;=$DS$4</f>
        <v>0</v>
      </c>
      <c r="DJ1289" s="18" t="b">
        <f>RecData[[#This Row],[Overall (dBA)]]&gt;$DS$2</f>
        <v>0</v>
      </c>
      <c r="DK1289" s="18" t="b">
        <f>RecData[[#This Row],[Overall (dBA)]]&lt;$DS$3</f>
        <v>0</v>
      </c>
      <c r="DL128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89" s="2">
        <f>IF(AND(RecData[[#This Row],[Turbines ON/OFF]] = "OFF", NOT(OR(RecData[[#This Row],[Junk?]]="YES",RecData[[#This Row],[Gust?]],RecData[[#This Row],[Rain?]:[Min SPL Threshold?]]))),1,0)</f>
        <v>0</v>
      </c>
      <c r="DN1289" s="16">
        <f>RecData[[#This Row],[dBA Sum]]</f>
        <v>33.252984200509395</v>
      </c>
      <c r="DO1289" s="16">
        <f>RecData[[#This Row],[LAF90.0]]</f>
        <v>31.6</v>
      </c>
      <c r="DP1289" s="55" t="str">
        <f>IF(AND(RecData[[#This Row],[Useable TON Data?]],RecData[[#This Row],[Turbines ON/OFF]]="ON"),RecData[[#This Row],[dBA Sum]],"")</f>
        <v/>
      </c>
      <c r="DQ1289" s="55" t="str">
        <f>IF(AND(RecData[[#This Row],[Useable Background Data?]],RecData[[#This Row],[Turbines ON/OFF]]="OFF"),RecData[[#This Row],[dBA Sum]],"")</f>
        <v/>
      </c>
      <c r="DR1289" s="3" t="str">
        <f>IF(OR(RecData[[#This Row],[Useable TON Data?]],RecData[[#This Row],[Useable Background Data?]]),ROUND(RecData[[#This Row],[WSpd_Avg '[m/s']]],0),"")</f>
        <v/>
      </c>
      <c r="DS1289" s="85">
        <f>(0.00002)^2*(10^(RecData[[#This Row],[Overall (dBA)]]/10))</f>
        <v>8.4597671864194029E-7</v>
      </c>
    </row>
    <row r="1290" spans="1:123" ht="15" x14ac:dyDescent="0.25">
      <c r="A1290" s="3" t="s">
        <v>249</v>
      </c>
      <c r="B1290" s="12">
        <v>43277.155555555553</v>
      </c>
      <c r="D1290" s="42">
        <v>34.4</v>
      </c>
      <c r="K1290" s="42">
        <v>32</v>
      </c>
      <c r="N1290" s="42">
        <v>144.6</v>
      </c>
      <c r="Q1290" s="42">
        <v>0.85</v>
      </c>
      <c r="R1290" s="42">
        <v>0.7</v>
      </c>
      <c r="S1290" s="42">
        <v>1.1000000000000001</v>
      </c>
      <c r="T1290" s="42">
        <v>6.7</v>
      </c>
      <c r="U1290" s="42">
        <v>92.1</v>
      </c>
      <c r="V1290" s="42">
        <v>977.7</v>
      </c>
      <c r="W1290" s="42">
        <v>0</v>
      </c>
      <c r="X1290" s="42">
        <v>39.299999999999997</v>
      </c>
      <c r="Y1290" s="42">
        <v>34.5</v>
      </c>
      <c r="Z1290" s="42">
        <v>33.200000000000003</v>
      </c>
      <c r="AA1290" s="42">
        <v>31.2</v>
      </c>
      <c r="AB1290" s="42">
        <v>25.8</v>
      </c>
      <c r="AC1290" s="42">
        <v>25.9</v>
      </c>
      <c r="AD1290" s="42">
        <v>29.3</v>
      </c>
      <c r="AE1290" s="42">
        <v>33.4</v>
      </c>
      <c r="AF1290" s="42">
        <v>39.4</v>
      </c>
      <c r="AG1290" s="42">
        <v>36.1</v>
      </c>
      <c r="AH1290" s="42">
        <v>32.5</v>
      </c>
      <c r="AI1290" s="42">
        <v>35.5</v>
      </c>
      <c r="AJ1290" s="42">
        <v>32.1</v>
      </c>
      <c r="AK1290" s="42">
        <v>30.3</v>
      </c>
      <c r="AL1290" s="42">
        <v>27.2</v>
      </c>
      <c r="AM1290" s="42">
        <v>25.6</v>
      </c>
      <c r="AN1290" s="42">
        <v>22.6</v>
      </c>
      <c r="AO1290" s="42">
        <v>18.100000000000001</v>
      </c>
      <c r="AP1290" s="42">
        <v>15.3</v>
      </c>
      <c r="AQ1290" s="42">
        <v>13.9</v>
      </c>
      <c r="AR1290" s="42">
        <v>10.3</v>
      </c>
      <c r="AS1290" s="42">
        <v>18.600000000000001</v>
      </c>
      <c r="AT1290" s="42">
        <v>16.899999999999999</v>
      </c>
      <c r="AU1290" s="42">
        <v>7.4</v>
      </c>
      <c r="AV1290" s="42">
        <v>8</v>
      </c>
      <c r="AW1290" s="42">
        <v>8.5</v>
      </c>
      <c r="AX1290" s="42">
        <v>8.8000000000000007</v>
      </c>
      <c r="AY1290" s="42">
        <v>9.1</v>
      </c>
      <c r="AZ1290" s="42">
        <v>0</v>
      </c>
      <c r="BA1290" s="42">
        <v>0</v>
      </c>
      <c r="BB1290" s="42">
        <v>0</v>
      </c>
      <c r="BC1290" s="42">
        <v>34.384637116294861</v>
      </c>
      <c r="BD1290" s="42">
        <v>39.315362883705127</v>
      </c>
      <c r="BE1290" s="42">
        <v>34.515362883705144</v>
      </c>
      <c r="BF1290" s="42">
        <v>31.975362883705138</v>
      </c>
      <c r="BG1290" s="42">
        <v>30.302029550371806</v>
      </c>
      <c r="BH1290" s="42">
        <v>25.042029550371808</v>
      </c>
      <c r="BI1290" s="42">
        <v>25.555362883705136</v>
      </c>
      <c r="BJ1290" s="42">
        <v>29.748696217038464</v>
      </c>
      <c r="BK1290" s="42">
        <v>33.722029550371794</v>
      </c>
      <c r="BL1290" s="42">
        <v>39.295362883705145</v>
      </c>
      <c r="BM1290" s="42">
        <v>36.128696217038474</v>
      </c>
      <c r="BN1290" s="42">
        <v>32.812029550371797</v>
      </c>
      <c r="BO1290" s="42">
        <v>35.178696217038471</v>
      </c>
      <c r="BP1290" s="42">
        <v>31.495362883705134</v>
      </c>
      <c r="BQ1290" s="42">
        <v>30.112029550371794</v>
      </c>
      <c r="BR1290" s="42">
        <v>27.338696217038468</v>
      </c>
      <c r="BS1290" s="42">
        <v>25.542029550371801</v>
      </c>
      <c r="BT1290" s="42">
        <v>22.738696217038473</v>
      </c>
      <c r="BU1290" s="42">
        <v>18.205362883705142</v>
      </c>
      <c r="BV1290" s="42">
        <v>15.122029550371806</v>
      </c>
      <c r="BW1290" s="42">
        <v>14.255362883705139</v>
      </c>
      <c r="BX1290" s="42">
        <v>10.575362883705147</v>
      </c>
      <c r="BY1290" s="42">
        <v>18.695362883705137</v>
      </c>
      <c r="BZ1290" s="42">
        <v>17.125362883705144</v>
      </c>
      <c r="CA1290" s="42">
        <v>7.7253628837051309</v>
      </c>
      <c r="CB1290" s="42">
        <v>7.7620295503717998</v>
      </c>
      <c r="CC1290" s="42">
        <v>8.475362883705138</v>
      </c>
      <c r="CD1290" s="42">
        <v>8.0820295503718071</v>
      </c>
      <c r="CE1290" s="42">
        <v>8.5753628837051323</v>
      </c>
      <c r="CF1290" s="42">
        <v>-0.91130378296153225</v>
      </c>
      <c r="CG1290" s="42">
        <v>-1.4446371162948637</v>
      </c>
      <c r="CH1290" s="42">
        <v>-2.5213037829615281</v>
      </c>
      <c r="CI1290" s="13">
        <f>[1]!dbasum(RecData[[#This Row],[20]:[2000]],RecData[[#Headers],[20]:[2000]])</f>
        <v>33.943859200351461</v>
      </c>
      <c r="CJ1290" s="14">
        <v>11369</v>
      </c>
      <c r="CK1290" s="15" t="s">
        <v>249</v>
      </c>
      <c r="CL1290" s="15">
        <f>RecData[[#This Row],[Start Time]]</f>
        <v>43277.155555555553</v>
      </c>
      <c r="CM1290" s="16">
        <f>RecData[[#This Row],[Wind Speed avg]]</f>
        <v>0.85</v>
      </c>
      <c r="CN1290" s="16">
        <f>RecData[[#This Row],[Wind Dir. avg]]</f>
        <v>144.6</v>
      </c>
      <c r="CO1290" s="16">
        <f>RecData[[#This Row],[Amb. Humidity]]</f>
        <v>92.1</v>
      </c>
      <c r="CP1290" s="16">
        <f>RecData[[#This Row],[Amb. Temperature]]</f>
        <v>6.7</v>
      </c>
      <c r="CQ1290" s="17">
        <f>RecData[[#This Row],[Amb. Rain Gauge]]</f>
        <v>0</v>
      </c>
      <c r="CR1290" s="4" t="s">
        <v>1</v>
      </c>
      <c r="CS1290" s="4" t="s">
        <v>49</v>
      </c>
      <c r="CT1290" s="70">
        <v>1047.55102539062</v>
      </c>
      <c r="CU1290" s="70">
        <v>141.00119018554599</v>
      </c>
      <c r="CV1290" s="70">
        <v>8.5056495666503906</v>
      </c>
      <c r="CW1290" s="70">
        <v>14.172955513000399</v>
      </c>
      <c r="CX1290" s="4" t="s">
        <v>49</v>
      </c>
      <c r="CY1290" s="69" t="s">
        <v>255</v>
      </c>
      <c r="CZ1290" s="2" t="b">
        <f>IF($DP$1="YES",IF(RecData[[#This Row],[Power (kW)]]&gt;=$CR$3, TRUE,FALSE),TRUE)</f>
        <v>0</v>
      </c>
      <c r="DA1290" s="16">
        <f>MIN(MOD(180-ABS(ABS($DA$1-RecData[Yaw Angle (°)])-180),360),MOD(180-ABS(ABS($DB$1-RecData[Yaw Angle (°)])-180),360))</f>
        <v>133.47126340785843</v>
      </c>
      <c r="DB1290" s="2" t="str">
        <f>IF($DP$2="None","None",IF(RecData[[#This Row],[Relative Wind Direction]]&lt;=45,"DW",IF(RecData[[#This Row],[Relative Wind Direction]]&lt;=135,"CW","UW")))</f>
        <v>CW</v>
      </c>
      <c r="DC1290" s="61" t="e">
        <f>IF($CL1290-$CL1289&gt;1/24,#REF!,IF(SUM($CQ1289:$CQ1290)&gt;$DS$1,$DS$5,DC1291-1))</f>
        <v>#REF!</v>
      </c>
      <c r="DD1290" s="61">
        <f>IF($CL1291-$CL1290&gt;1/24,#REF!,IF(SUM($CQ1289:$CQ1290)&gt;$DS$1,$DS$6,DD1289-1))</f>
        <v>-2</v>
      </c>
      <c r="DE1290" s="18" t="b">
        <v>0</v>
      </c>
      <c r="DF1290" s="2" t="b">
        <f>IF(OR(RecData[[#This Row],[WSpd_Avg '[m/s']]]-RecData[[#This Row],[Wind Speed min]]&gt;=$DF$3,RecData[[#This Row],[Wind Speed max]]-RecData[[#This Row],[WSpd_Avg '[m/s']]]&gt;=$DF$2),TRUE,FALSE)</f>
        <v>0</v>
      </c>
      <c r="DG1290" s="2" t="b">
        <f>RecData[[#This Row],[Temperature '[°C']]]&lt;=-20</f>
        <v>0</v>
      </c>
      <c r="DH1290" s="18" t="b">
        <f>NOT(OR(MOD(RecData[[#This Row],[TIMESTAMP]],1)&gt;0.91632,MOD(RecData[[#This Row],[TIMESTAMP]],1)&lt;0.208681))</f>
        <v>0</v>
      </c>
      <c r="DI1290" s="18" t="b">
        <f>RecData[[#This Row],[Overall (dBA)]]-RecData[[#This Row],[L90]]&gt;=$DS$4</f>
        <v>0</v>
      </c>
      <c r="DJ1290" s="18" t="b">
        <f>RecData[[#This Row],[Overall (dBA)]]&gt;$DS$2</f>
        <v>0</v>
      </c>
      <c r="DK1290" s="18" t="b">
        <f>RecData[[#This Row],[Overall (dBA)]]&lt;$DS$3</f>
        <v>0</v>
      </c>
      <c r="DL129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0" s="2">
        <f>IF(AND(RecData[[#This Row],[Turbines ON/OFF]] = "OFF", NOT(OR(RecData[[#This Row],[Junk?]]="YES",RecData[[#This Row],[Gust?]],RecData[[#This Row],[Rain?]:[Min SPL Threshold?]]))),1,0)</f>
        <v>0</v>
      </c>
      <c r="DN1290" s="16">
        <f>RecData[[#This Row],[dBA Sum]]</f>
        <v>33.943859200351461</v>
      </c>
      <c r="DO1290" s="16">
        <f>RecData[[#This Row],[LAF90.0]]</f>
        <v>32</v>
      </c>
      <c r="DP1290" s="55" t="str">
        <f>IF(AND(RecData[[#This Row],[Useable TON Data?]],RecData[[#This Row],[Turbines ON/OFF]]="ON"),RecData[[#This Row],[dBA Sum]],"")</f>
        <v/>
      </c>
      <c r="DQ1290" s="55" t="str">
        <f>IF(AND(RecData[[#This Row],[Useable Background Data?]],RecData[[#This Row],[Turbines ON/OFF]]="OFF"),RecData[[#This Row],[dBA Sum]],"")</f>
        <v/>
      </c>
      <c r="DR1290" s="3" t="str">
        <f>IF(OR(RecData[[#This Row],[Useable TON Data?]],RecData[[#This Row],[Useable Background Data?]]),ROUND(RecData[[#This Row],[WSpd_Avg '[m/s']]],0),"")</f>
        <v/>
      </c>
      <c r="DS1290" s="85">
        <f>(0.00002)^2*(10^(RecData[[#This Row],[Overall (dBA)]]/10))</f>
        <v>9.9184980291301152E-7</v>
      </c>
    </row>
    <row r="1291" spans="1:123" ht="15" x14ac:dyDescent="0.25">
      <c r="A1291" s="3" t="s">
        <v>249</v>
      </c>
      <c r="B1291" s="12">
        <v>43277.15625</v>
      </c>
      <c r="D1291" s="42">
        <v>34</v>
      </c>
      <c r="K1291" s="42">
        <v>31.8</v>
      </c>
      <c r="N1291" s="42">
        <v>129.19999999999999</v>
      </c>
      <c r="Q1291" s="42">
        <v>0.81</v>
      </c>
      <c r="R1291" s="42">
        <v>0.5</v>
      </c>
      <c r="S1291" s="42">
        <v>1</v>
      </c>
      <c r="T1291" s="42">
        <v>6.7</v>
      </c>
      <c r="U1291" s="42">
        <v>92.3</v>
      </c>
      <c r="V1291" s="42">
        <v>977.7</v>
      </c>
      <c r="W1291" s="42">
        <v>0</v>
      </c>
      <c r="X1291" s="42">
        <v>40.1</v>
      </c>
      <c r="Y1291" s="42">
        <v>34.5</v>
      </c>
      <c r="Z1291" s="42">
        <v>33.5</v>
      </c>
      <c r="AA1291" s="42">
        <v>31.4</v>
      </c>
      <c r="AB1291" s="42">
        <v>26.3</v>
      </c>
      <c r="AC1291" s="42">
        <v>26.2</v>
      </c>
      <c r="AD1291" s="42">
        <v>29.5</v>
      </c>
      <c r="AE1291" s="42">
        <v>33.700000000000003</v>
      </c>
      <c r="AF1291" s="42">
        <v>39.1</v>
      </c>
      <c r="AG1291" s="42">
        <v>35.9</v>
      </c>
      <c r="AH1291" s="42">
        <v>32.299999999999997</v>
      </c>
      <c r="AI1291" s="42">
        <v>35.1</v>
      </c>
      <c r="AJ1291" s="42">
        <v>31.2</v>
      </c>
      <c r="AK1291" s="42">
        <v>29.9</v>
      </c>
      <c r="AL1291" s="42">
        <v>26.6</v>
      </c>
      <c r="AM1291" s="42">
        <v>24.7</v>
      </c>
      <c r="AN1291" s="42">
        <v>22.1</v>
      </c>
      <c r="AO1291" s="42">
        <v>17.8</v>
      </c>
      <c r="AP1291" s="42">
        <v>15.4</v>
      </c>
      <c r="AQ1291" s="42">
        <v>13.8</v>
      </c>
      <c r="AR1291" s="42">
        <v>10.4</v>
      </c>
      <c r="AS1291" s="42">
        <v>18.3</v>
      </c>
      <c r="AT1291" s="42">
        <v>18.100000000000001</v>
      </c>
      <c r="AU1291" s="42">
        <v>7.3</v>
      </c>
      <c r="AV1291" s="42">
        <v>7.9</v>
      </c>
      <c r="AW1291" s="42">
        <v>8.5</v>
      </c>
      <c r="AX1291" s="42">
        <v>8.8000000000000007</v>
      </c>
      <c r="AY1291" s="42">
        <v>9</v>
      </c>
      <c r="AZ1291" s="42">
        <v>0</v>
      </c>
      <c r="BA1291" s="42">
        <v>0</v>
      </c>
      <c r="BB1291" s="42">
        <v>0</v>
      </c>
      <c r="BC1291" s="42">
        <v>33.972160182501391</v>
      </c>
      <c r="BD1291" s="42">
        <v>40.127839817498604</v>
      </c>
      <c r="BE1291" s="42">
        <v>34.527839817498609</v>
      </c>
      <c r="BF1291" s="42">
        <v>32.2878398174986</v>
      </c>
      <c r="BG1291" s="42">
        <v>30.514506484165274</v>
      </c>
      <c r="BH1291" s="42">
        <v>25.55450648416528</v>
      </c>
      <c r="BI1291" s="42">
        <v>25.867839817498613</v>
      </c>
      <c r="BJ1291" s="42">
        <v>29.961173150831947</v>
      </c>
      <c r="BK1291" s="42">
        <v>34.03450648416527</v>
      </c>
      <c r="BL1291" s="42">
        <v>39.007839817498613</v>
      </c>
      <c r="BM1291" s="42">
        <v>35.941173150831936</v>
      </c>
      <c r="BN1291" s="42">
        <v>32.624506484165273</v>
      </c>
      <c r="BO1291" s="42">
        <v>34.791173150831945</v>
      </c>
      <c r="BP1291" s="42">
        <v>30.607839817498608</v>
      </c>
      <c r="BQ1291" s="42">
        <v>29.724506484165268</v>
      </c>
      <c r="BR1291" s="42">
        <v>26.751173150831946</v>
      </c>
      <c r="BS1291" s="42">
        <v>24.654506484165275</v>
      </c>
      <c r="BT1291" s="42">
        <v>22.251173150831946</v>
      </c>
      <c r="BU1291" s="42">
        <v>17.91783981749861</v>
      </c>
      <c r="BV1291" s="42">
        <v>15.234506484165273</v>
      </c>
      <c r="BW1291" s="42">
        <v>14.16783981749861</v>
      </c>
      <c r="BX1291" s="42">
        <v>10.687839817498613</v>
      </c>
      <c r="BY1291" s="42">
        <v>18.407839817498605</v>
      </c>
      <c r="BZ1291" s="42">
        <v>18.337839817498612</v>
      </c>
      <c r="CA1291" s="42">
        <v>7.6378398174986017</v>
      </c>
      <c r="CB1291" s="42">
        <v>7.6745064841652777</v>
      </c>
      <c r="CC1291" s="42">
        <v>8.4878398174986103</v>
      </c>
      <c r="CD1291" s="42">
        <v>8.0945064841652794</v>
      </c>
      <c r="CE1291" s="42">
        <v>8.4878398174986103</v>
      </c>
      <c r="CF1291" s="42">
        <v>-0.89882684916805999</v>
      </c>
      <c r="CG1291" s="42">
        <v>-1.4321601825013914</v>
      </c>
      <c r="CH1291" s="42">
        <v>-2.5088268491680559</v>
      </c>
      <c r="CI1291" s="13">
        <f>[1]!dbasum(RecData[[#This Row],[20]:[2000]],RecData[[#Headers],[20]:[2000]])</f>
        <v>33.493503790712253</v>
      </c>
      <c r="CJ1291" s="14">
        <v>11370</v>
      </c>
      <c r="CK1291" s="15" t="s">
        <v>249</v>
      </c>
      <c r="CL1291" s="15">
        <f>RecData[[#This Row],[Start Time]]</f>
        <v>43277.15625</v>
      </c>
      <c r="CM1291" s="16">
        <f>RecData[[#This Row],[Wind Speed avg]]</f>
        <v>0.81</v>
      </c>
      <c r="CN1291" s="16">
        <f>RecData[[#This Row],[Wind Dir. avg]]</f>
        <v>129.19999999999999</v>
      </c>
      <c r="CO1291" s="16">
        <f>RecData[[#This Row],[Amb. Humidity]]</f>
        <v>92.3</v>
      </c>
      <c r="CP1291" s="16">
        <f>RecData[[#This Row],[Amb. Temperature]]</f>
        <v>6.7</v>
      </c>
      <c r="CQ1291" s="17">
        <f>RecData[[#This Row],[Amb. Rain Gauge]]</f>
        <v>0</v>
      </c>
      <c r="CR1291" s="4" t="s">
        <v>1</v>
      </c>
      <c r="CS1291" s="4" t="s">
        <v>49</v>
      </c>
      <c r="CT1291" s="70">
        <v>1047.55102539062</v>
      </c>
      <c r="CU1291" s="70">
        <v>141.00119018554599</v>
      </c>
      <c r="CV1291" s="70">
        <v>8.5056495666503906</v>
      </c>
      <c r="CW1291" s="70">
        <v>14.172955513000399</v>
      </c>
      <c r="CX1291" s="4" t="s">
        <v>49</v>
      </c>
      <c r="CY1291" s="69" t="s">
        <v>255</v>
      </c>
      <c r="CZ1291" s="2" t="b">
        <f>IF($DP$1="YES",IF(RecData[[#This Row],[Power (kW)]]&gt;=$CR$3, TRUE,FALSE),TRUE)</f>
        <v>0</v>
      </c>
      <c r="DA1291" s="16">
        <f>MIN(MOD(180-ABS(ABS($DA$1-RecData[Yaw Angle (°)])-180),360),MOD(180-ABS(ABS($DB$1-RecData[Yaw Angle (°)])-180),360))</f>
        <v>133.47126340785843</v>
      </c>
      <c r="DB1291" s="2" t="str">
        <f>IF($DP$2="None","None",IF(RecData[[#This Row],[Relative Wind Direction]]&lt;=45,"DW",IF(RecData[[#This Row],[Relative Wind Direction]]&lt;=135,"CW","UW")))</f>
        <v>CW</v>
      </c>
      <c r="DC1291" s="61" t="e">
        <f>IF($CL1291-$CL1289&gt;1/24,#REF!,IF(SUM($CQ1289:$CQ1291)&gt;$DS$1,$DS$5,#REF!-1))</f>
        <v>#REF!</v>
      </c>
      <c r="DD1291" s="61" t="e">
        <f>IF(#REF!-$CL1291&gt;1/24,#REF!,IF(SUM($CQ1289:$CQ1291)&gt;$DS$1,$DS$6,DD1290-1))</f>
        <v>#REF!</v>
      </c>
      <c r="DE1291" s="18" t="b">
        <v>0</v>
      </c>
      <c r="DF1291" s="2" t="b">
        <f>IF(OR(RecData[[#This Row],[WSpd_Avg '[m/s']]]-RecData[[#This Row],[Wind Speed min]]&gt;=$DF$3,RecData[[#This Row],[Wind Speed max]]-RecData[[#This Row],[WSpd_Avg '[m/s']]]&gt;=$DF$2),TRUE,FALSE)</f>
        <v>0</v>
      </c>
      <c r="DG1291" s="2" t="b">
        <f>RecData[[#This Row],[Temperature '[°C']]]&lt;=-20</f>
        <v>0</v>
      </c>
      <c r="DH1291" s="18" t="b">
        <f>NOT(OR(MOD(RecData[[#This Row],[TIMESTAMP]],1)&gt;0.91632,MOD(RecData[[#This Row],[TIMESTAMP]],1)&lt;0.208681))</f>
        <v>0</v>
      </c>
      <c r="DI1291" s="18" t="b">
        <f>RecData[[#This Row],[Overall (dBA)]]-RecData[[#This Row],[L90]]&gt;=$DS$4</f>
        <v>0</v>
      </c>
      <c r="DJ1291" s="18" t="b">
        <f>RecData[[#This Row],[Overall (dBA)]]&gt;$DS$2</f>
        <v>0</v>
      </c>
      <c r="DK1291" s="18" t="b">
        <f>RecData[[#This Row],[Overall (dBA)]]&lt;$DS$3</f>
        <v>0</v>
      </c>
      <c r="DL129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1" s="2">
        <f>IF(AND(RecData[[#This Row],[Turbines ON/OFF]] = "OFF", NOT(OR(RecData[[#This Row],[Junk?]]="YES",RecData[[#This Row],[Gust?]],RecData[[#This Row],[Rain?]:[Min SPL Threshold?]]))),1,0)</f>
        <v>0</v>
      </c>
      <c r="DN1291" s="16">
        <f>RecData[[#This Row],[dBA Sum]]</f>
        <v>33.493503790712253</v>
      </c>
      <c r="DO1291" s="16">
        <f>RecData[[#This Row],[LAF90.0]]</f>
        <v>31.8</v>
      </c>
      <c r="DP1291" s="55" t="str">
        <f>IF(AND(RecData[[#This Row],[Useable TON Data?]],RecData[[#This Row],[Turbines ON/OFF]]="ON"),RecData[[#This Row],[dBA Sum]],"")</f>
        <v/>
      </c>
      <c r="DQ1291" s="55" t="str">
        <f>IF(AND(RecData[[#This Row],[Useable Background Data?]],RecData[[#This Row],[Turbines ON/OFF]]="OFF"),RecData[[#This Row],[dBA Sum]],"")</f>
        <v/>
      </c>
      <c r="DR1291" s="3" t="str">
        <f>IF(OR(RecData[[#This Row],[Useable TON Data?]],RecData[[#This Row],[Useable Background Data?]]),ROUND(RecData[[#This Row],[WSpd_Avg '[m/s']]],0),"")</f>
        <v/>
      </c>
      <c r="DS1291" s="85">
        <f>(0.00002)^2*(10^(RecData[[#This Row],[Overall (dBA)]]/10))</f>
        <v>8.9414997841089163E-7</v>
      </c>
    </row>
    <row r="1292" spans="1:123" ht="15" x14ac:dyDescent="0.25">
      <c r="A1292" s="3" t="s">
        <v>249</v>
      </c>
      <c r="B1292" s="12">
        <v>43277.157638888886</v>
      </c>
      <c r="D1292" s="42">
        <v>34.9</v>
      </c>
      <c r="K1292" s="42">
        <v>32.6</v>
      </c>
      <c r="N1292" s="42">
        <v>128.69999999999999</v>
      </c>
      <c r="Q1292" s="42">
        <v>0.93</v>
      </c>
      <c r="R1292" s="42">
        <v>0.7</v>
      </c>
      <c r="S1292" s="42">
        <v>1.2</v>
      </c>
      <c r="T1292" s="42">
        <v>6.7</v>
      </c>
      <c r="U1292" s="42">
        <v>92</v>
      </c>
      <c r="V1292" s="42">
        <v>977.6</v>
      </c>
      <c r="W1292" s="42">
        <v>0</v>
      </c>
      <c r="X1292" s="42">
        <v>39.5</v>
      </c>
      <c r="Y1292" s="42">
        <v>35</v>
      </c>
      <c r="Z1292" s="42">
        <v>34.200000000000003</v>
      </c>
      <c r="AA1292" s="42">
        <v>31.8</v>
      </c>
      <c r="AB1292" s="42">
        <v>26.4</v>
      </c>
      <c r="AC1292" s="42">
        <v>26.7</v>
      </c>
      <c r="AD1292" s="42">
        <v>30.1</v>
      </c>
      <c r="AE1292" s="42">
        <v>34.200000000000003</v>
      </c>
      <c r="AF1292" s="42">
        <v>40.5</v>
      </c>
      <c r="AG1292" s="42">
        <v>37.200000000000003</v>
      </c>
      <c r="AH1292" s="42">
        <v>33</v>
      </c>
      <c r="AI1292" s="42">
        <v>35.9</v>
      </c>
      <c r="AJ1292" s="42">
        <v>32.700000000000003</v>
      </c>
      <c r="AK1292" s="42">
        <v>30.9</v>
      </c>
      <c r="AL1292" s="42">
        <v>27.7</v>
      </c>
      <c r="AM1292" s="42">
        <v>25.8</v>
      </c>
      <c r="AN1292" s="42">
        <v>23.2</v>
      </c>
      <c r="AO1292" s="42">
        <v>18.7</v>
      </c>
      <c r="AP1292" s="42">
        <v>16.399999999999999</v>
      </c>
      <c r="AQ1292" s="42">
        <v>14.3</v>
      </c>
      <c r="AR1292" s="42">
        <v>10.6</v>
      </c>
      <c r="AS1292" s="42">
        <v>16.399999999999999</v>
      </c>
      <c r="AT1292" s="42">
        <v>14.8</v>
      </c>
      <c r="AU1292" s="42">
        <v>7.4</v>
      </c>
      <c r="AV1292" s="42">
        <v>8</v>
      </c>
      <c r="AW1292" s="42">
        <v>8.6</v>
      </c>
      <c r="AX1292" s="42">
        <v>8.8000000000000007</v>
      </c>
      <c r="AY1292" s="42">
        <v>9.1</v>
      </c>
      <c r="AZ1292" s="42">
        <v>0</v>
      </c>
      <c r="BA1292" s="42">
        <v>0</v>
      </c>
      <c r="BB1292" s="42">
        <v>0</v>
      </c>
      <c r="BC1292" s="42">
        <v>34.859315392088689</v>
      </c>
      <c r="BD1292" s="42">
        <v>39.540684607911317</v>
      </c>
      <c r="BE1292" s="42">
        <v>35.040684607911317</v>
      </c>
      <c r="BF1292" s="42">
        <v>33.00068460791131</v>
      </c>
      <c r="BG1292" s="42">
        <v>30.927351274577973</v>
      </c>
      <c r="BH1292" s="42">
        <v>25.667351274577982</v>
      </c>
      <c r="BI1292" s="42">
        <v>26.380684607911306</v>
      </c>
      <c r="BJ1292" s="42">
        <v>30.574017941244648</v>
      </c>
      <c r="BK1292" s="42">
        <v>34.547351274577977</v>
      </c>
      <c r="BL1292" s="42">
        <v>40.420684607911312</v>
      </c>
      <c r="BM1292" s="42">
        <v>37.254017941244655</v>
      </c>
      <c r="BN1292" s="42">
        <v>33.337351274577969</v>
      </c>
      <c r="BO1292" s="42">
        <v>35.604017941244649</v>
      </c>
      <c r="BP1292" s="42">
        <v>32.120684607911315</v>
      </c>
      <c r="BQ1292" s="42">
        <v>30.737351274577961</v>
      </c>
      <c r="BR1292" s="42">
        <v>27.86401794124464</v>
      </c>
      <c r="BS1292" s="42">
        <v>25.767351274577976</v>
      </c>
      <c r="BT1292" s="42">
        <v>23.36401794124464</v>
      </c>
      <c r="BU1292" s="42">
        <v>18.830684607911309</v>
      </c>
      <c r="BV1292" s="42">
        <v>16.24735127457798</v>
      </c>
      <c r="BW1292" s="42">
        <v>14.680684607911317</v>
      </c>
      <c r="BX1292" s="42">
        <v>10.900684607911316</v>
      </c>
      <c r="BY1292" s="42">
        <v>16.520684607911306</v>
      </c>
      <c r="BZ1292" s="42">
        <v>15.050684607911315</v>
      </c>
      <c r="CA1292" s="42">
        <v>7.7506846079113032</v>
      </c>
      <c r="CB1292" s="42">
        <v>7.787351274577972</v>
      </c>
      <c r="CC1292" s="42">
        <v>8.6006846079113046</v>
      </c>
      <c r="CD1292" s="42">
        <v>8.1073512745779794</v>
      </c>
      <c r="CE1292" s="42">
        <v>8.6006846079113046</v>
      </c>
      <c r="CF1292" s="42">
        <v>-0.88598205875535996</v>
      </c>
      <c r="CG1292" s="42">
        <v>-1.4193153920886914</v>
      </c>
      <c r="CH1292" s="42">
        <v>-2.4959820587553594</v>
      </c>
      <c r="CI1292" s="13">
        <f>[1]!dbasum(RecData[[#This Row],[20]:[2000]],RecData[[#Headers],[20]:[2000]])</f>
        <v>34.573509348422512</v>
      </c>
      <c r="CJ1292" s="14">
        <v>11372</v>
      </c>
      <c r="CK1292" s="15" t="s">
        <v>249</v>
      </c>
      <c r="CL1292" s="15">
        <f>RecData[[#This Row],[Start Time]]</f>
        <v>43277.157638888886</v>
      </c>
      <c r="CM1292" s="16">
        <f>RecData[[#This Row],[Wind Speed avg]]</f>
        <v>0.93</v>
      </c>
      <c r="CN1292" s="16">
        <f>RecData[[#This Row],[Wind Dir. avg]]</f>
        <v>128.69999999999999</v>
      </c>
      <c r="CO1292" s="16">
        <f>RecData[[#This Row],[Amb. Humidity]]</f>
        <v>92</v>
      </c>
      <c r="CP1292" s="16">
        <f>RecData[[#This Row],[Amb. Temperature]]</f>
        <v>6.7</v>
      </c>
      <c r="CQ1292" s="17">
        <f>RecData[[#This Row],[Amb. Rain Gauge]]</f>
        <v>0</v>
      </c>
      <c r="CR1292" s="4" t="s">
        <v>1</v>
      </c>
      <c r="CS1292" s="4" t="s">
        <v>49</v>
      </c>
      <c r="CT1292" s="70">
        <v>1047.55102539062</v>
      </c>
      <c r="CU1292" s="70">
        <v>141.00119018554599</v>
      </c>
      <c r="CV1292" s="70">
        <v>8.5056495666503906</v>
      </c>
      <c r="CW1292" s="70">
        <v>14.172955513000399</v>
      </c>
      <c r="CX1292" s="4" t="s">
        <v>49</v>
      </c>
      <c r="CY1292" s="69" t="s">
        <v>255</v>
      </c>
      <c r="CZ1292" s="2" t="b">
        <f>IF($DP$1="YES",IF(RecData[[#This Row],[Power (kW)]]&gt;=$CR$3, TRUE,FALSE),TRUE)</f>
        <v>0</v>
      </c>
      <c r="DA1292" s="16">
        <f>MIN(MOD(180-ABS(ABS($DA$1-RecData[Yaw Angle (°)])-180),360),MOD(180-ABS(ABS($DB$1-RecData[Yaw Angle (°)])-180),360))</f>
        <v>133.47126340785843</v>
      </c>
      <c r="DB1292" s="2" t="str">
        <f>IF($DP$2="None","None",IF(RecData[[#This Row],[Relative Wind Direction]]&lt;=45,"DW",IF(RecData[[#This Row],[Relative Wind Direction]]&lt;=135,"CW","UW")))</f>
        <v>CW</v>
      </c>
      <c r="DC1292" s="61" t="e">
        <f>IF($CL1292-$CL1289&gt;1/24,#REF!,IF(SUM($CQ1289:$CQ1292)&gt;$DS$1,$DS$5,#REF!-1))</f>
        <v>#REF!</v>
      </c>
      <c r="DD1292" s="61" t="e">
        <f>IF(#REF!-$CL1292&gt;1/24,#REF!,IF(SUM($CQ1289:$CQ1292)&gt;$DS$1,$DS$6,#REF!-1))</f>
        <v>#REF!</v>
      </c>
      <c r="DE1292" s="18" t="b">
        <v>0</v>
      </c>
      <c r="DF1292" s="2" t="b">
        <f>IF(OR(RecData[[#This Row],[WSpd_Avg '[m/s']]]-RecData[[#This Row],[Wind Speed min]]&gt;=$DF$3,RecData[[#This Row],[Wind Speed max]]-RecData[[#This Row],[WSpd_Avg '[m/s']]]&gt;=$DF$2),TRUE,FALSE)</f>
        <v>0</v>
      </c>
      <c r="DG1292" s="2" t="b">
        <f>RecData[[#This Row],[Temperature '[°C']]]&lt;=-20</f>
        <v>0</v>
      </c>
      <c r="DH1292" s="18" t="b">
        <f>NOT(OR(MOD(RecData[[#This Row],[TIMESTAMP]],1)&gt;0.91632,MOD(RecData[[#This Row],[TIMESTAMP]],1)&lt;0.208681))</f>
        <v>0</v>
      </c>
      <c r="DI1292" s="18" t="b">
        <f>RecData[[#This Row],[Overall (dBA)]]-RecData[[#This Row],[L90]]&gt;=$DS$4</f>
        <v>0</v>
      </c>
      <c r="DJ1292" s="18" t="b">
        <f>RecData[[#This Row],[Overall (dBA)]]&gt;$DS$2</f>
        <v>0</v>
      </c>
      <c r="DK1292" s="18" t="b">
        <f>RecData[[#This Row],[Overall (dBA)]]&lt;$DS$3</f>
        <v>0</v>
      </c>
      <c r="DL129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2" s="2">
        <f>IF(AND(RecData[[#This Row],[Turbines ON/OFF]] = "OFF", NOT(OR(RecData[[#This Row],[Junk?]]="YES",RecData[[#This Row],[Gust?]],RecData[[#This Row],[Rain?]:[Min SPL Threshold?]]))),1,0)</f>
        <v>0</v>
      </c>
      <c r="DN1292" s="16">
        <f>RecData[[#This Row],[dBA Sum]]</f>
        <v>34.573509348422512</v>
      </c>
      <c r="DO1292" s="16">
        <f>RecData[[#This Row],[LAF90.0]]</f>
        <v>32.6</v>
      </c>
      <c r="DP1292" s="55" t="str">
        <f>IF(AND(RecData[[#This Row],[Useable TON Data?]],RecData[[#This Row],[Turbines ON/OFF]]="ON"),RecData[[#This Row],[dBA Sum]],"")</f>
        <v/>
      </c>
      <c r="DQ1292" s="55" t="str">
        <f>IF(AND(RecData[[#This Row],[Useable Background Data?]],RecData[[#This Row],[Turbines ON/OFF]]="OFF"),RecData[[#This Row],[dBA Sum]],"")</f>
        <v/>
      </c>
      <c r="DR1292" s="3" t="str">
        <f>IF(OR(RecData[[#This Row],[Useable TON Data?]],RecData[[#This Row],[Useable Background Data?]]),ROUND(RecData[[#This Row],[WSpd_Avg '[m/s']]],0),"")</f>
        <v/>
      </c>
      <c r="DS1292" s="85">
        <f>(0.00002)^2*(10^(RecData[[#This Row],[Overall (dBA)]]/10))</f>
        <v>1.1465973301087292E-6</v>
      </c>
    </row>
    <row r="1293" spans="1:123" ht="15" x14ac:dyDescent="0.25">
      <c r="A1293" s="3" t="s">
        <v>249</v>
      </c>
      <c r="B1293" s="12">
        <v>43277.163888888892</v>
      </c>
      <c r="D1293" s="42">
        <v>34.299999999999997</v>
      </c>
      <c r="K1293" s="42">
        <v>32.4</v>
      </c>
      <c r="N1293" s="42">
        <v>160.4</v>
      </c>
      <c r="Q1293" s="42">
        <v>1.07</v>
      </c>
      <c r="R1293" s="42">
        <v>0.8</v>
      </c>
      <c r="S1293" s="42">
        <v>1.6</v>
      </c>
      <c r="T1293" s="42">
        <v>6.8</v>
      </c>
      <c r="U1293" s="42">
        <v>92.3</v>
      </c>
      <c r="V1293" s="42">
        <v>977.6</v>
      </c>
      <c r="W1293" s="42">
        <v>0</v>
      </c>
      <c r="X1293" s="42">
        <v>38.6</v>
      </c>
      <c r="Y1293" s="42">
        <v>35.299999999999997</v>
      </c>
      <c r="Z1293" s="42">
        <v>34.1</v>
      </c>
      <c r="AA1293" s="42">
        <v>31</v>
      </c>
      <c r="AB1293" s="42">
        <v>25.4</v>
      </c>
      <c r="AC1293" s="42">
        <v>26.1</v>
      </c>
      <c r="AD1293" s="42">
        <v>29.1</v>
      </c>
      <c r="AE1293" s="42">
        <v>33.200000000000003</v>
      </c>
      <c r="AF1293" s="42">
        <v>38.9</v>
      </c>
      <c r="AG1293" s="42">
        <v>35</v>
      </c>
      <c r="AH1293" s="42">
        <v>32.1</v>
      </c>
      <c r="AI1293" s="42">
        <v>35.200000000000003</v>
      </c>
      <c r="AJ1293" s="42">
        <v>31</v>
      </c>
      <c r="AK1293" s="42">
        <v>30.4</v>
      </c>
      <c r="AL1293" s="42">
        <v>27.3</v>
      </c>
      <c r="AM1293" s="42">
        <v>25.5</v>
      </c>
      <c r="AN1293" s="42">
        <v>22.9</v>
      </c>
      <c r="AO1293" s="42">
        <v>18.399999999999999</v>
      </c>
      <c r="AP1293" s="42">
        <v>16</v>
      </c>
      <c r="AQ1293" s="42">
        <v>13.7</v>
      </c>
      <c r="AR1293" s="42">
        <v>10.4</v>
      </c>
      <c r="AS1293" s="42">
        <v>19.399999999999999</v>
      </c>
      <c r="AT1293" s="42">
        <v>20.3</v>
      </c>
      <c r="AU1293" s="42">
        <v>7.9</v>
      </c>
      <c r="AV1293" s="42">
        <v>8.1999999999999993</v>
      </c>
      <c r="AW1293" s="42">
        <v>8.6999999999999993</v>
      </c>
      <c r="AX1293" s="42">
        <v>8.8000000000000007</v>
      </c>
      <c r="AY1293" s="42">
        <v>9</v>
      </c>
      <c r="AZ1293" s="42">
        <v>0</v>
      </c>
      <c r="BA1293" s="42">
        <v>0</v>
      </c>
      <c r="BB1293" s="42">
        <v>0</v>
      </c>
      <c r="BC1293" s="42">
        <v>34.283507851379973</v>
      </c>
      <c r="BD1293" s="42">
        <v>38.616492148620033</v>
      </c>
      <c r="BE1293" s="42">
        <v>35.316492148620021</v>
      </c>
      <c r="BF1293" s="42">
        <v>32.876492148620024</v>
      </c>
      <c r="BG1293" s="42">
        <v>30.103158815286683</v>
      </c>
      <c r="BH1293" s="42">
        <v>24.643158815286689</v>
      </c>
      <c r="BI1293" s="42">
        <v>25.756492148620026</v>
      </c>
      <c r="BJ1293" s="42">
        <v>29.549825481953356</v>
      </c>
      <c r="BK1293" s="42">
        <v>33.523158815286699</v>
      </c>
      <c r="BL1293" s="42">
        <v>38.796492148620025</v>
      </c>
      <c r="BM1293" s="42">
        <v>35.02982548195336</v>
      </c>
      <c r="BN1293" s="42">
        <v>32.413158815286685</v>
      </c>
      <c r="BO1293" s="42">
        <v>34.879825481953354</v>
      </c>
      <c r="BP1293" s="42">
        <v>30.39649214862002</v>
      </c>
      <c r="BQ1293" s="42">
        <v>30.213158815286683</v>
      </c>
      <c r="BR1293" s="42">
        <v>27.439825481953356</v>
      </c>
      <c r="BS1293" s="42">
        <v>25.443158815286687</v>
      </c>
      <c r="BT1293" s="42">
        <v>23.039825481953358</v>
      </c>
      <c r="BU1293" s="42">
        <v>18.506492148620026</v>
      </c>
      <c r="BV1293" s="42">
        <v>15.823158815286689</v>
      </c>
      <c r="BW1293" s="42">
        <v>14.05649214862003</v>
      </c>
      <c r="BX1293" s="42">
        <v>10.676492148620028</v>
      </c>
      <c r="BY1293" s="42">
        <v>19.496492148620021</v>
      </c>
      <c r="BZ1293" s="42">
        <v>20.526492148620029</v>
      </c>
      <c r="CA1293" s="42">
        <v>8.226492148620018</v>
      </c>
      <c r="CB1293" s="42">
        <v>7.9631588152866897</v>
      </c>
      <c r="CC1293" s="42">
        <v>8.6764921486200208</v>
      </c>
      <c r="CD1293" s="42">
        <v>8.0831588152866942</v>
      </c>
      <c r="CE1293" s="42">
        <v>8.4764921486200251</v>
      </c>
      <c r="CF1293" s="42">
        <v>-0.91017451804664518</v>
      </c>
      <c r="CG1293" s="42">
        <v>-1.4435078513799766</v>
      </c>
      <c r="CH1293" s="42">
        <v>-2.5201745180466411</v>
      </c>
      <c r="CI1293" s="13">
        <f>[1]!dbasum(RecData[[#This Row],[20]:[2000]],RecData[[#Headers],[20]:[2000]])</f>
        <v>33.675561572537426</v>
      </c>
      <c r="CJ1293" s="14">
        <v>11381</v>
      </c>
      <c r="CK1293" s="15" t="s">
        <v>249</v>
      </c>
      <c r="CL1293" s="15">
        <f>RecData[[#This Row],[Start Time]]</f>
        <v>43277.163888888892</v>
      </c>
      <c r="CM1293" s="16">
        <f>RecData[[#This Row],[Wind Speed avg]]</f>
        <v>1.07</v>
      </c>
      <c r="CN1293" s="16">
        <f>RecData[[#This Row],[Wind Dir. avg]]</f>
        <v>160.4</v>
      </c>
      <c r="CO1293" s="16">
        <f>RecData[[#This Row],[Amb. Humidity]]</f>
        <v>92.3</v>
      </c>
      <c r="CP1293" s="16">
        <f>RecData[[#This Row],[Amb. Temperature]]</f>
        <v>6.8</v>
      </c>
      <c r="CQ1293" s="17">
        <f>RecData[[#This Row],[Amb. Rain Gauge]]</f>
        <v>0</v>
      </c>
      <c r="CR1293" s="4" t="s">
        <v>1</v>
      </c>
      <c r="CS1293" s="4" t="s">
        <v>49</v>
      </c>
      <c r="CT1293" s="70">
        <v>1168.71447753906</v>
      </c>
      <c r="CU1293" s="70">
        <v>141.001205444335</v>
      </c>
      <c r="CV1293" s="70">
        <v>8.7869234085083008</v>
      </c>
      <c r="CW1293" s="70">
        <v>14.6942090988159</v>
      </c>
      <c r="CX1293" s="4" t="s">
        <v>49</v>
      </c>
      <c r="CY1293" s="69" t="s">
        <v>255</v>
      </c>
      <c r="CZ1293" s="2" t="b">
        <f>IF($DP$1="YES",IF(RecData[[#This Row],[Power (kW)]]&gt;=$CR$3, TRUE,FALSE),TRUE)</f>
        <v>0</v>
      </c>
      <c r="DA1293" s="16">
        <f>MIN(MOD(180-ABS(ABS($DA$1-RecData[Yaw Angle (°)])-180),360),MOD(180-ABS(ABS($DB$1-RecData[Yaw Angle (°)])-180),360))</f>
        <v>133.47127866664744</v>
      </c>
      <c r="DB1293" s="2" t="str">
        <f>IF($DP$2="None","None",IF(RecData[[#This Row],[Relative Wind Direction]]&lt;=45,"DW",IF(RecData[[#This Row],[Relative Wind Direction]]&lt;=135,"CW","UW")))</f>
        <v>CW</v>
      </c>
      <c r="DC1293" s="61" t="e">
        <f>IF($CL1293-#REF!&gt;1/24,#REF!,IF(SUM($CQ1293:$CQ1293)&gt;$DS$1,$DS$5,DC1294-1))</f>
        <v>#REF!</v>
      </c>
      <c r="DD1293" s="61" t="e">
        <f>IF($CL1294-$CL1293&gt;1/24,#REF!,IF(SUM($CQ1293:$CQ1293)&gt;$DS$1,$DS$6,#REF!-1))</f>
        <v>#REF!</v>
      </c>
      <c r="DE1293" s="18" t="b">
        <v>0</v>
      </c>
      <c r="DF1293" s="2" t="b">
        <f>IF(OR(RecData[[#This Row],[WSpd_Avg '[m/s']]]-RecData[[#This Row],[Wind Speed min]]&gt;=$DF$3,RecData[[#This Row],[Wind Speed max]]-RecData[[#This Row],[WSpd_Avg '[m/s']]]&gt;=$DF$2),TRUE,FALSE)</f>
        <v>0</v>
      </c>
      <c r="DG1293" s="2" t="b">
        <f>RecData[[#This Row],[Temperature '[°C']]]&lt;=-20</f>
        <v>0</v>
      </c>
      <c r="DH1293" s="18" t="b">
        <f>NOT(OR(MOD(RecData[[#This Row],[TIMESTAMP]],1)&gt;0.91632,MOD(RecData[[#This Row],[TIMESTAMP]],1)&lt;0.208681))</f>
        <v>0</v>
      </c>
      <c r="DI1293" s="18" t="b">
        <f>RecData[[#This Row],[Overall (dBA)]]-RecData[[#This Row],[L90]]&gt;=$DS$4</f>
        <v>0</v>
      </c>
      <c r="DJ1293" s="18" t="b">
        <f>RecData[[#This Row],[Overall (dBA)]]&gt;$DS$2</f>
        <v>0</v>
      </c>
      <c r="DK1293" s="18" t="b">
        <f>RecData[[#This Row],[Overall (dBA)]]&lt;$DS$3</f>
        <v>0</v>
      </c>
      <c r="DL129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3" s="2">
        <f>IF(AND(RecData[[#This Row],[Turbines ON/OFF]] = "OFF", NOT(OR(RecData[[#This Row],[Junk?]]="YES",RecData[[#This Row],[Gust?]],RecData[[#This Row],[Rain?]:[Min SPL Threshold?]]))),1,0)</f>
        <v>0</v>
      </c>
      <c r="DN1293" s="16">
        <f>RecData[[#This Row],[dBA Sum]]</f>
        <v>33.675561572537426</v>
      </c>
      <c r="DO1293" s="16">
        <f>RecData[[#This Row],[LAF90.0]]</f>
        <v>32.4</v>
      </c>
      <c r="DP1293" s="55" t="str">
        <f>IF(AND(RecData[[#This Row],[Useable TON Data?]],RecData[[#This Row],[Turbines ON/OFF]]="ON"),RecData[[#This Row],[dBA Sum]],"")</f>
        <v/>
      </c>
      <c r="DQ1293" s="55" t="str">
        <f>IF(AND(RecData[[#This Row],[Useable Background Data?]],RecData[[#This Row],[Turbines ON/OFF]]="OFF"),RecData[[#This Row],[dBA Sum]],"")</f>
        <v/>
      </c>
      <c r="DR1293" s="3" t="str">
        <f>IF(OR(RecData[[#This Row],[Useable TON Data?]],RecData[[#This Row],[Useable Background Data?]]),ROUND(RecData[[#This Row],[WSpd_Avg '[m/s']]],0),"")</f>
        <v/>
      </c>
      <c r="DS1293" s="85">
        <f>(0.00002)^2*(10^(RecData[[#This Row],[Overall (dBA)]]/10))</f>
        <v>9.3242980788443039E-7</v>
      </c>
    </row>
    <row r="1294" spans="1:123" ht="15" x14ac:dyDescent="0.25">
      <c r="A1294" s="3" t="s">
        <v>249</v>
      </c>
      <c r="B1294" s="12">
        <v>43277.164583333331</v>
      </c>
      <c r="D1294" s="42">
        <v>35.299999999999997</v>
      </c>
      <c r="K1294" s="42">
        <v>33.299999999999997</v>
      </c>
      <c r="N1294" s="42">
        <v>142.19999999999999</v>
      </c>
      <c r="Q1294" s="42">
        <v>1.05</v>
      </c>
      <c r="R1294" s="42">
        <v>0.9</v>
      </c>
      <c r="S1294" s="42">
        <v>1.2</v>
      </c>
      <c r="T1294" s="42">
        <v>6.8</v>
      </c>
      <c r="U1294" s="42">
        <v>92</v>
      </c>
      <c r="V1294" s="42">
        <v>977.6</v>
      </c>
      <c r="W1294" s="42">
        <v>0</v>
      </c>
      <c r="X1294" s="42">
        <v>39</v>
      </c>
      <c r="Y1294" s="42">
        <v>35.200000000000003</v>
      </c>
      <c r="Z1294" s="42">
        <v>35.4</v>
      </c>
      <c r="AA1294" s="42">
        <v>32.200000000000003</v>
      </c>
      <c r="AB1294" s="42">
        <v>26.9</v>
      </c>
      <c r="AC1294" s="42">
        <v>26.9</v>
      </c>
      <c r="AD1294" s="42">
        <v>30.5</v>
      </c>
      <c r="AE1294" s="42">
        <v>34.6</v>
      </c>
      <c r="AF1294" s="42">
        <v>40.5</v>
      </c>
      <c r="AG1294" s="42">
        <v>36.4</v>
      </c>
      <c r="AH1294" s="42">
        <v>33.299999999999997</v>
      </c>
      <c r="AI1294" s="42">
        <v>36.4</v>
      </c>
      <c r="AJ1294" s="42">
        <v>32.4</v>
      </c>
      <c r="AK1294" s="42">
        <v>31.7</v>
      </c>
      <c r="AL1294" s="42">
        <v>28.3</v>
      </c>
      <c r="AM1294" s="42">
        <v>26.8</v>
      </c>
      <c r="AN1294" s="42">
        <v>23.9</v>
      </c>
      <c r="AO1294" s="42">
        <v>19.399999999999999</v>
      </c>
      <c r="AP1294" s="42">
        <v>17.7</v>
      </c>
      <c r="AQ1294" s="42">
        <v>14.8</v>
      </c>
      <c r="AR1294" s="42">
        <v>11.1</v>
      </c>
      <c r="AS1294" s="42">
        <v>16.5</v>
      </c>
      <c r="AT1294" s="42">
        <v>17.100000000000001</v>
      </c>
      <c r="AU1294" s="42">
        <v>7.5</v>
      </c>
      <c r="AV1294" s="42">
        <v>8</v>
      </c>
      <c r="AW1294" s="42">
        <v>8.6</v>
      </c>
      <c r="AX1294" s="42">
        <v>8.8000000000000007</v>
      </c>
      <c r="AY1294" s="42">
        <v>9</v>
      </c>
      <c r="AZ1294" s="42">
        <v>0</v>
      </c>
      <c r="BA1294" s="42">
        <v>0</v>
      </c>
      <c r="BB1294" s="42">
        <v>0</v>
      </c>
      <c r="BC1294" s="42">
        <v>35.258363962819274</v>
      </c>
      <c r="BD1294" s="42">
        <v>39.041636037180723</v>
      </c>
      <c r="BE1294" s="42">
        <v>35.241636037180726</v>
      </c>
      <c r="BF1294" s="42">
        <v>34.20163603718072</v>
      </c>
      <c r="BG1294" s="42">
        <v>31.328302703847385</v>
      </c>
      <c r="BH1294" s="42">
        <v>26.168302703847388</v>
      </c>
      <c r="BI1294" s="42">
        <v>26.581636037180722</v>
      </c>
      <c r="BJ1294" s="42">
        <v>30.97496937051406</v>
      </c>
      <c r="BK1294" s="42">
        <v>34.948302703847389</v>
      </c>
      <c r="BL1294" s="42">
        <v>40.421636037180733</v>
      </c>
      <c r="BM1294" s="42">
        <v>36.454969370514064</v>
      </c>
      <c r="BN1294" s="42">
        <v>33.638302703847387</v>
      </c>
      <c r="BO1294" s="42">
        <v>36.104969370514056</v>
      </c>
      <c r="BP1294" s="42">
        <v>31.821636037180724</v>
      </c>
      <c r="BQ1294" s="42">
        <v>31.538302703847378</v>
      </c>
      <c r="BR1294" s="42">
        <v>28.464969370514055</v>
      </c>
      <c r="BS1294" s="42">
        <v>26.76830270384739</v>
      </c>
      <c r="BT1294" s="42">
        <v>24.064969370514056</v>
      </c>
      <c r="BU1294" s="42">
        <v>19.531636037180725</v>
      </c>
      <c r="BV1294" s="42">
        <v>17.548302703847391</v>
      </c>
      <c r="BW1294" s="42">
        <v>15.181636037180724</v>
      </c>
      <c r="BX1294" s="42">
        <v>11.401636037180729</v>
      </c>
      <c r="BY1294" s="42">
        <v>16.621636037180721</v>
      </c>
      <c r="BZ1294" s="42">
        <v>17.351636037180725</v>
      </c>
      <c r="CA1294" s="42">
        <v>7.8516360371807181</v>
      </c>
      <c r="CB1294" s="42">
        <v>7.7883027038473855</v>
      </c>
      <c r="CC1294" s="42">
        <v>8.6016360371807252</v>
      </c>
      <c r="CD1294" s="42">
        <v>8.1083027038473929</v>
      </c>
      <c r="CE1294" s="42">
        <v>8.5016360371807238</v>
      </c>
      <c r="CF1294" s="42">
        <v>-0.88503062948594646</v>
      </c>
      <c r="CG1294" s="42">
        <v>-1.4183639628192779</v>
      </c>
      <c r="CH1294" s="42">
        <v>-2.4950306294859459</v>
      </c>
      <c r="CI1294" s="13">
        <f>[1]!dbasum(RecData[[#This Row],[20]:[2000]],RecData[[#Headers],[20]:[2000]])</f>
        <v>34.958188527720047</v>
      </c>
      <c r="CJ1294" s="14">
        <v>11382</v>
      </c>
      <c r="CK1294" s="15" t="s">
        <v>249</v>
      </c>
      <c r="CL1294" s="15">
        <f>RecData[[#This Row],[Start Time]]</f>
        <v>43277.164583333331</v>
      </c>
      <c r="CM1294" s="16">
        <f>RecData[[#This Row],[Wind Speed avg]]</f>
        <v>1.05</v>
      </c>
      <c r="CN1294" s="16">
        <f>RecData[[#This Row],[Wind Dir. avg]]</f>
        <v>142.19999999999999</v>
      </c>
      <c r="CO1294" s="16">
        <f>RecData[[#This Row],[Amb. Humidity]]</f>
        <v>92</v>
      </c>
      <c r="CP1294" s="16">
        <f>RecData[[#This Row],[Amb. Temperature]]</f>
        <v>6.8</v>
      </c>
      <c r="CQ1294" s="17">
        <f>RecData[[#This Row],[Amb. Rain Gauge]]</f>
        <v>0</v>
      </c>
      <c r="CR1294" s="4" t="s">
        <v>1</v>
      </c>
      <c r="CS1294" s="4" t="s">
        <v>49</v>
      </c>
      <c r="CT1294" s="70">
        <v>1168.71447753906</v>
      </c>
      <c r="CU1294" s="70">
        <v>141.001205444335</v>
      </c>
      <c r="CV1294" s="70">
        <v>8.7869234085083008</v>
      </c>
      <c r="CW1294" s="70">
        <v>14.6942090988159</v>
      </c>
      <c r="CX1294" s="4" t="s">
        <v>49</v>
      </c>
      <c r="CY1294" s="69" t="s">
        <v>255</v>
      </c>
      <c r="CZ1294" s="2" t="b">
        <f>IF($DP$1="YES",IF(RecData[[#This Row],[Power (kW)]]&gt;=$CR$3, TRUE,FALSE),TRUE)</f>
        <v>0</v>
      </c>
      <c r="DA1294" s="16">
        <f>MIN(MOD(180-ABS(ABS($DA$1-RecData[Yaw Angle (°)])-180),360),MOD(180-ABS(ABS($DB$1-RecData[Yaw Angle (°)])-180),360))</f>
        <v>133.47127866664744</v>
      </c>
      <c r="DB1294" s="2" t="str">
        <f>IF($DP$2="None","None",IF(RecData[[#This Row],[Relative Wind Direction]]&lt;=45,"DW",IF(RecData[[#This Row],[Relative Wind Direction]]&lt;=135,"CW","UW")))</f>
        <v>CW</v>
      </c>
      <c r="DC1294" s="61" t="e">
        <f>IF($CL1294-#REF!&gt;1/24,#REF!,IF(SUM($CQ1293:$CQ1294)&gt;$DS$1,$DS$5,DC1295-1))</f>
        <v>#REF!</v>
      </c>
      <c r="DD1294" s="61" t="e">
        <f>IF($CL1295-$CL1294&gt;1/24,#REF!,IF(SUM($CQ1293:$CQ1294)&gt;$DS$1,$DS$6,DD1293-1))</f>
        <v>#REF!</v>
      </c>
      <c r="DE1294" s="18" t="b">
        <v>0</v>
      </c>
      <c r="DF1294" s="2" t="b">
        <f>IF(OR(RecData[[#This Row],[WSpd_Avg '[m/s']]]-RecData[[#This Row],[Wind Speed min]]&gt;=$DF$3,RecData[[#This Row],[Wind Speed max]]-RecData[[#This Row],[WSpd_Avg '[m/s']]]&gt;=$DF$2),TRUE,FALSE)</f>
        <v>0</v>
      </c>
      <c r="DG1294" s="2" t="b">
        <f>RecData[[#This Row],[Temperature '[°C']]]&lt;=-20</f>
        <v>0</v>
      </c>
      <c r="DH1294" s="18" t="b">
        <f>NOT(OR(MOD(RecData[[#This Row],[TIMESTAMP]],1)&gt;0.91632,MOD(RecData[[#This Row],[TIMESTAMP]],1)&lt;0.208681))</f>
        <v>0</v>
      </c>
      <c r="DI1294" s="18" t="b">
        <f>RecData[[#This Row],[Overall (dBA)]]-RecData[[#This Row],[L90]]&gt;=$DS$4</f>
        <v>0</v>
      </c>
      <c r="DJ1294" s="18" t="b">
        <f>RecData[[#This Row],[Overall (dBA)]]&gt;$DS$2</f>
        <v>0</v>
      </c>
      <c r="DK1294" s="18" t="b">
        <f>RecData[[#This Row],[Overall (dBA)]]&lt;$DS$3</f>
        <v>0</v>
      </c>
      <c r="DL129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4" s="2">
        <f>IF(AND(RecData[[#This Row],[Turbines ON/OFF]] = "OFF", NOT(OR(RecData[[#This Row],[Junk?]]="YES",RecData[[#This Row],[Gust?]],RecData[[#This Row],[Rain?]:[Min SPL Threshold?]]))),1,0)</f>
        <v>0</v>
      </c>
      <c r="DN1294" s="16">
        <f>RecData[[#This Row],[dBA Sum]]</f>
        <v>34.958188527720047</v>
      </c>
      <c r="DO1294" s="16">
        <f>RecData[[#This Row],[LAF90.0]]</f>
        <v>33.299999999999997</v>
      </c>
      <c r="DP1294" s="55" t="str">
        <f>IF(AND(RecData[[#This Row],[Useable TON Data?]],RecData[[#This Row],[Turbines ON/OFF]]="ON"),RecData[[#This Row],[dBA Sum]],"")</f>
        <v/>
      </c>
      <c r="DQ1294" s="55" t="str">
        <f>IF(AND(RecData[[#This Row],[Useable Background Data?]],RecData[[#This Row],[Turbines ON/OFF]]="OFF"),RecData[[#This Row],[dBA Sum]],"")</f>
        <v/>
      </c>
      <c r="DR1294" s="3" t="str">
        <f>IF(OR(RecData[[#This Row],[Useable TON Data?]],RecData[[#This Row],[Useable Background Data?]]),ROUND(RecData[[#This Row],[WSpd_Avg '[m/s']]],0),"")</f>
        <v/>
      </c>
      <c r="DS1294" s="85">
        <f>(0.00002)^2*(10^(RecData[[#This Row],[Overall (dBA)]]/10))</f>
        <v>1.2527916326890846E-6</v>
      </c>
    </row>
    <row r="1295" spans="1:123" ht="15" x14ac:dyDescent="0.25">
      <c r="A1295" s="3" t="s">
        <v>249</v>
      </c>
      <c r="B1295" s="12">
        <v>43277.165277777778</v>
      </c>
      <c r="D1295" s="42">
        <v>33.799999999999997</v>
      </c>
      <c r="K1295" s="42">
        <v>31.3</v>
      </c>
      <c r="N1295" s="42">
        <v>140.9</v>
      </c>
      <c r="Q1295" s="42">
        <v>0.83</v>
      </c>
      <c r="R1295" s="42">
        <v>0.5</v>
      </c>
      <c r="S1295" s="42">
        <v>1.3</v>
      </c>
      <c r="T1295" s="42">
        <v>6.9</v>
      </c>
      <c r="U1295" s="42">
        <v>91.2</v>
      </c>
      <c r="V1295" s="42">
        <v>977.6</v>
      </c>
      <c r="W1295" s="42">
        <v>0</v>
      </c>
      <c r="X1295" s="42">
        <v>39.799999999999997</v>
      </c>
      <c r="Y1295" s="42">
        <v>35.299999999999997</v>
      </c>
      <c r="Z1295" s="42">
        <v>34.5</v>
      </c>
      <c r="AA1295" s="42">
        <v>31.8</v>
      </c>
      <c r="AB1295" s="42">
        <v>26.5</v>
      </c>
      <c r="AC1295" s="42">
        <v>26.3</v>
      </c>
      <c r="AD1295" s="42">
        <v>29.7</v>
      </c>
      <c r="AE1295" s="42">
        <v>33.700000000000003</v>
      </c>
      <c r="AF1295" s="42">
        <v>38.9</v>
      </c>
      <c r="AG1295" s="42">
        <v>34.6</v>
      </c>
      <c r="AH1295" s="42">
        <v>32.1</v>
      </c>
      <c r="AI1295" s="42">
        <v>35.1</v>
      </c>
      <c r="AJ1295" s="42">
        <v>30.6</v>
      </c>
      <c r="AK1295" s="42">
        <v>30</v>
      </c>
      <c r="AL1295" s="42">
        <v>26.6</v>
      </c>
      <c r="AM1295" s="42">
        <v>25.1</v>
      </c>
      <c r="AN1295" s="42">
        <v>22.3</v>
      </c>
      <c r="AO1295" s="42">
        <v>17.899999999999999</v>
      </c>
      <c r="AP1295" s="42">
        <v>15.5</v>
      </c>
      <c r="AQ1295" s="42">
        <v>13.5</v>
      </c>
      <c r="AR1295" s="42">
        <v>10.7</v>
      </c>
      <c r="AS1295" s="42">
        <v>18</v>
      </c>
      <c r="AT1295" s="42">
        <v>15.8</v>
      </c>
      <c r="AU1295" s="42">
        <v>7.4</v>
      </c>
      <c r="AV1295" s="42">
        <v>8</v>
      </c>
      <c r="AW1295" s="42">
        <v>8.5</v>
      </c>
      <c r="AX1295" s="42">
        <v>8.8000000000000007</v>
      </c>
      <c r="AY1295" s="42">
        <v>9</v>
      </c>
      <c r="AZ1295" s="42">
        <v>0</v>
      </c>
      <c r="BA1295" s="42">
        <v>0</v>
      </c>
      <c r="BB1295" s="42">
        <v>0</v>
      </c>
      <c r="BC1295" s="42">
        <v>33.783339318574875</v>
      </c>
      <c r="BD1295" s="42">
        <v>39.81666068142512</v>
      </c>
      <c r="BE1295" s="42">
        <v>35.31666068142512</v>
      </c>
      <c r="BF1295" s="42">
        <v>33.276660681425128</v>
      </c>
      <c r="BG1295" s="42">
        <v>30.903327348091793</v>
      </c>
      <c r="BH1295" s="42">
        <v>25.743327348091796</v>
      </c>
      <c r="BI1295" s="42">
        <v>25.95666068142512</v>
      </c>
      <c r="BJ1295" s="42">
        <v>30.149994014758455</v>
      </c>
      <c r="BK1295" s="42">
        <v>34.023327348091797</v>
      </c>
      <c r="BL1295" s="42">
        <v>38.796660681425124</v>
      </c>
      <c r="BM1295" s="42">
        <v>34.629994014758452</v>
      </c>
      <c r="BN1295" s="42">
        <v>32.413327348091784</v>
      </c>
      <c r="BO1295" s="42">
        <v>34.779994014758458</v>
      </c>
      <c r="BP1295" s="42">
        <v>29.996660681425126</v>
      </c>
      <c r="BQ1295" s="42">
        <v>29.813327348091775</v>
      </c>
      <c r="BR1295" s="42">
        <v>26.739994014758459</v>
      </c>
      <c r="BS1295" s="42">
        <v>25.043327348091793</v>
      </c>
      <c r="BT1295" s="42">
        <v>22.439994014758454</v>
      </c>
      <c r="BU1295" s="42">
        <v>18.006660681425124</v>
      </c>
      <c r="BV1295" s="42">
        <v>15.323327348091787</v>
      </c>
      <c r="BW1295" s="42">
        <v>13.856660681425126</v>
      </c>
      <c r="BX1295" s="42">
        <v>10.97666068142513</v>
      </c>
      <c r="BY1295" s="42">
        <v>18.096660681425121</v>
      </c>
      <c r="BZ1295" s="42">
        <v>16.026660681425128</v>
      </c>
      <c r="CA1295" s="42">
        <v>7.7266606814251162</v>
      </c>
      <c r="CB1295" s="42">
        <v>7.763327348091785</v>
      </c>
      <c r="CC1295" s="42">
        <v>8.4766606814251233</v>
      </c>
      <c r="CD1295" s="42">
        <v>8.0833273480917924</v>
      </c>
      <c r="CE1295" s="42">
        <v>8.4766606814251233</v>
      </c>
      <c r="CF1295" s="42">
        <v>-0.91000598524154697</v>
      </c>
      <c r="CG1295" s="42">
        <v>-1.4433393185748784</v>
      </c>
      <c r="CH1295" s="42">
        <v>-2.5200059852415428</v>
      </c>
      <c r="CI1295" s="13">
        <f>[1]!dbasum(RecData[[#This Row],[20]:[2000]],RecData[[#Headers],[20]:[2000]])</f>
        <v>33.36031498539743</v>
      </c>
      <c r="CJ1295" s="14">
        <v>11383</v>
      </c>
      <c r="CK1295" s="15" t="s">
        <v>249</v>
      </c>
      <c r="CL1295" s="15">
        <f>RecData[[#This Row],[Start Time]]</f>
        <v>43277.165277777778</v>
      </c>
      <c r="CM1295" s="16">
        <f>RecData[[#This Row],[Wind Speed avg]]</f>
        <v>0.83</v>
      </c>
      <c r="CN1295" s="16">
        <f>RecData[[#This Row],[Wind Dir. avg]]</f>
        <v>140.9</v>
      </c>
      <c r="CO1295" s="16">
        <f>RecData[[#This Row],[Amb. Humidity]]</f>
        <v>91.2</v>
      </c>
      <c r="CP1295" s="16">
        <f>RecData[[#This Row],[Amb. Temperature]]</f>
        <v>6.9</v>
      </c>
      <c r="CQ1295" s="17">
        <f>RecData[[#This Row],[Amb. Rain Gauge]]</f>
        <v>0</v>
      </c>
      <c r="CR1295" s="4" t="s">
        <v>1</v>
      </c>
      <c r="CS1295" s="4" t="s">
        <v>49</v>
      </c>
      <c r="CT1295" s="70">
        <v>1168.71447753906</v>
      </c>
      <c r="CU1295" s="70">
        <v>141.001205444335</v>
      </c>
      <c r="CV1295" s="70">
        <v>8.7869234085083008</v>
      </c>
      <c r="CW1295" s="70">
        <v>14.6942090988159</v>
      </c>
      <c r="CX1295" s="4" t="s">
        <v>49</v>
      </c>
      <c r="CY1295" s="69" t="s">
        <v>255</v>
      </c>
      <c r="CZ1295" s="2" t="b">
        <f>IF($DP$1="YES",IF(RecData[[#This Row],[Power (kW)]]&gt;=$CR$3, TRUE,FALSE),TRUE)</f>
        <v>0</v>
      </c>
      <c r="DA1295" s="16">
        <f>MIN(MOD(180-ABS(ABS($DA$1-RecData[Yaw Angle (°)])-180),360),MOD(180-ABS(ABS($DB$1-RecData[Yaw Angle (°)])-180),360))</f>
        <v>133.47127866664744</v>
      </c>
      <c r="DB1295" s="2" t="str">
        <f>IF($DP$2="None","None",IF(RecData[[#This Row],[Relative Wind Direction]]&lt;=45,"DW",IF(RecData[[#This Row],[Relative Wind Direction]]&lt;=135,"CW","UW")))</f>
        <v>CW</v>
      </c>
      <c r="DC1295" s="61" t="e">
        <f>IF($CL1295-#REF!&gt;1/24,#REF!,IF(SUM($CQ1293:$CQ1295)&gt;$DS$1,$DS$5,#REF!-1))</f>
        <v>#REF!</v>
      </c>
      <c r="DD1295" s="61" t="e">
        <f>IF(#REF!-$CL1295&gt;1/24,#REF!,IF(SUM($CQ1293:$CQ1295)&gt;$DS$1,$DS$6,DD1294-1))</f>
        <v>#REF!</v>
      </c>
      <c r="DE1295" s="18" t="b">
        <v>0</v>
      </c>
      <c r="DF1295" s="2" t="b">
        <f>IF(OR(RecData[[#This Row],[WSpd_Avg '[m/s']]]-RecData[[#This Row],[Wind Speed min]]&gt;=$DF$3,RecData[[#This Row],[Wind Speed max]]-RecData[[#This Row],[WSpd_Avg '[m/s']]]&gt;=$DF$2),TRUE,FALSE)</f>
        <v>0</v>
      </c>
      <c r="DG1295" s="2" t="b">
        <f>RecData[[#This Row],[Temperature '[°C']]]&lt;=-20</f>
        <v>0</v>
      </c>
      <c r="DH1295" s="18" t="b">
        <f>NOT(OR(MOD(RecData[[#This Row],[TIMESTAMP]],1)&gt;0.91632,MOD(RecData[[#This Row],[TIMESTAMP]],1)&lt;0.208681))</f>
        <v>0</v>
      </c>
      <c r="DI1295" s="18" t="b">
        <f>RecData[[#This Row],[Overall (dBA)]]-RecData[[#This Row],[L90]]&gt;=$DS$4</f>
        <v>0</v>
      </c>
      <c r="DJ1295" s="18" t="b">
        <f>RecData[[#This Row],[Overall (dBA)]]&gt;$DS$2</f>
        <v>0</v>
      </c>
      <c r="DK1295" s="18" t="b">
        <f>RecData[[#This Row],[Overall (dBA)]]&lt;$DS$3</f>
        <v>0</v>
      </c>
      <c r="DL129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5" s="2">
        <f>IF(AND(RecData[[#This Row],[Turbines ON/OFF]] = "OFF", NOT(OR(RecData[[#This Row],[Junk?]]="YES",RecData[[#This Row],[Gust?]],RecData[[#This Row],[Rain?]:[Min SPL Threshold?]]))),1,0)</f>
        <v>0</v>
      </c>
      <c r="DN1295" s="16">
        <f>RecData[[#This Row],[dBA Sum]]</f>
        <v>33.36031498539743</v>
      </c>
      <c r="DO1295" s="16">
        <f>RecData[[#This Row],[LAF90.0]]</f>
        <v>31.3</v>
      </c>
      <c r="DP1295" s="55" t="str">
        <f>IF(AND(RecData[[#This Row],[Useable TON Data?]],RecData[[#This Row],[Turbines ON/OFF]]="ON"),RecData[[#This Row],[dBA Sum]],"")</f>
        <v/>
      </c>
      <c r="DQ1295" s="55" t="str">
        <f>IF(AND(RecData[[#This Row],[Useable Background Data?]],RecData[[#This Row],[Turbines ON/OFF]]="OFF"),RecData[[#This Row],[dBA Sum]],"")</f>
        <v/>
      </c>
      <c r="DR1295" s="3" t="str">
        <f>IF(OR(RecData[[#This Row],[Useable TON Data?]],RecData[[#This Row],[Useable Background Data?]]),ROUND(RecData[[#This Row],[WSpd_Avg '[m/s']]],0),"")</f>
        <v/>
      </c>
      <c r="DS1295" s="85">
        <f>(0.00002)^2*(10^(RecData[[#This Row],[Overall (dBA)]]/10))</f>
        <v>8.6714453196483987E-7</v>
      </c>
    </row>
    <row r="1296" spans="1:123" ht="15" x14ac:dyDescent="0.25">
      <c r="A1296" s="3" t="s">
        <v>249</v>
      </c>
      <c r="B1296" s="12">
        <v>43277.167361111118</v>
      </c>
      <c r="D1296" s="42">
        <v>34.9</v>
      </c>
      <c r="K1296" s="42">
        <v>32.4</v>
      </c>
      <c r="N1296" s="42">
        <v>127.9</v>
      </c>
      <c r="Q1296" s="42">
        <v>0.56999999999999995</v>
      </c>
      <c r="R1296" s="42">
        <v>0.4</v>
      </c>
      <c r="S1296" s="42">
        <v>0.8</v>
      </c>
      <c r="T1296" s="42">
        <v>7</v>
      </c>
      <c r="U1296" s="42">
        <v>90.2</v>
      </c>
      <c r="V1296" s="42">
        <v>977.6</v>
      </c>
      <c r="W1296" s="42">
        <v>0</v>
      </c>
      <c r="X1296" s="42">
        <v>38.799999999999997</v>
      </c>
      <c r="Y1296" s="42">
        <v>35.299999999999997</v>
      </c>
      <c r="Z1296" s="42">
        <v>34.299999999999997</v>
      </c>
      <c r="AA1296" s="42">
        <v>32.200000000000003</v>
      </c>
      <c r="AB1296" s="42">
        <v>26.6</v>
      </c>
      <c r="AC1296" s="42">
        <v>27</v>
      </c>
      <c r="AD1296" s="42">
        <v>30.3</v>
      </c>
      <c r="AE1296" s="42">
        <v>34.299999999999997</v>
      </c>
      <c r="AF1296" s="42">
        <v>39.700000000000003</v>
      </c>
      <c r="AG1296" s="42">
        <v>36.5</v>
      </c>
      <c r="AH1296" s="42">
        <v>33</v>
      </c>
      <c r="AI1296" s="42">
        <v>36.299999999999997</v>
      </c>
      <c r="AJ1296" s="42">
        <v>32.4</v>
      </c>
      <c r="AK1296" s="42">
        <v>31.2</v>
      </c>
      <c r="AL1296" s="42">
        <v>27.8</v>
      </c>
      <c r="AM1296" s="42">
        <v>26</v>
      </c>
      <c r="AN1296" s="42">
        <v>23.3</v>
      </c>
      <c r="AO1296" s="42">
        <v>18.899999999999999</v>
      </c>
      <c r="AP1296" s="42">
        <v>16.399999999999999</v>
      </c>
      <c r="AQ1296" s="42">
        <v>15</v>
      </c>
      <c r="AR1296" s="42">
        <v>11.7</v>
      </c>
      <c r="AS1296" s="42">
        <v>18.2</v>
      </c>
      <c r="AT1296" s="42">
        <v>15.2</v>
      </c>
      <c r="AU1296" s="42">
        <v>7.2</v>
      </c>
      <c r="AV1296" s="42">
        <v>7.9</v>
      </c>
      <c r="AW1296" s="42">
        <v>8.5</v>
      </c>
      <c r="AX1296" s="42">
        <v>8.8000000000000007</v>
      </c>
      <c r="AY1296" s="42">
        <v>9</v>
      </c>
      <c r="AZ1296" s="42">
        <v>0</v>
      </c>
      <c r="BA1296" s="42">
        <v>0</v>
      </c>
      <c r="BB1296" s="42">
        <v>0</v>
      </c>
      <c r="BC1296" s="42">
        <v>34.917185621146146</v>
      </c>
      <c r="BD1296" s="42">
        <v>38.782814378853843</v>
      </c>
      <c r="BE1296" s="42">
        <v>35.282814378853843</v>
      </c>
      <c r="BF1296" s="42">
        <v>33.042814378853848</v>
      </c>
      <c r="BG1296" s="42">
        <v>31.269481045520521</v>
      </c>
      <c r="BH1296" s="42">
        <v>25.809481045520528</v>
      </c>
      <c r="BI1296" s="42">
        <v>26.622814378853853</v>
      </c>
      <c r="BJ1296" s="42">
        <v>30.71614771218718</v>
      </c>
      <c r="BK1296" s="42">
        <v>34.589481045520515</v>
      </c>
      <c r="BL1296" s="42">
        <v>39.562814378853858</v>
      </c>
      <c r="BM1296" s="42">
        <v>36.496147712187181</v>
      </c>
      <c r="BN1296" s="42">
        <v>33.279481045520512</v>
      </c>
      <c r="BO1296" s="42">
        <v>35.946147712187184</v>
      </c>
      <c r="BP1296" s="42">
        <v>31.762814378853847</v>
      </c>
      <c r="BQ1296" s="42">
        <v>30.979481045520501</v>
      </c>
      <c r="BR1296" s="42">
        <v>27.906147712187192</v>
      </c>
      <c r="BS1296" s="42">
        <v>25.909481045520522</v>
      </c>
      <c r="BT1296" s="42">
        <v>23.406147712187192</v>
      </c>
      <c r="BU1296" s="42">
        <v>18.972814378853855</v>
      </c>
      <c r="BV1296" s="42">
        <v>16.189481045520523</v>
      </c>
      <c r="BW1296" s="42">
        <v>15.322814378853856</v>
      </c>
      <c r="BX1296" s="42">
        <v>11.942814378853853</v>
      </c>
      <c r="BY1296" s="42">
        <v>18.262814378853847</v>
      </c>
      <c r="BZ1296" s="42">
        <v>15.392814378853856</v>
      </c>
      <c r="CA1296" s="42">
        <v>7.4928143788538435</v>
      </c>
      <c r="CB1296" s="42">
        <v>7.6294810455205209</v>
      </c>
      <c r="CC1296" s="42">
        <v>8.4428143788538534</v>
      </c>
      <c r="CD1296" s="42">
        <v>8.0494810455205226</v>
      </c>
      <c r="CE1296" s="42">
        <v>8.4428143788538534</v>
      </c>
      <c r="CF1296" s="42">
        <v>-0.94385228781281683</v>
      </c>
      <c r="CG1296" s="42">
        <v>-1.4771856211461483</v>
      </c>
      <c r="CH1296" s="42">
        <v>-2.5538522878128163</v>
      </c>
      <c r="CI1296" s="13">
        <f>[1]!dbasum(RecData[[#This Row],[20]:[2000]],RecData[[#Headers],[20]:[2000]])</f>
        <v>34.528643151763362</v>
      </c>
      <c r="CJ1296" s="14">
        <v>11386</v>
      </c>
      <c r="CK1296" s="15" t="s">
        <v>249</v>
      </c>
      <c r="CL1296" s="15">
        <f>RecData[[#This Row],[Start Time]]</f>
        <v>43277.167361111118</v>
      </c>
      <c r="CM1296" s="16">
        <f>RecData[[#This Row],[Wind Speed avg]]</f>
        <v>0.56999999999999995</v>
      </c>
      <c r="CN1296" s="16">
        <f>RecData[[#This Row],[Wind Dir. avg]]</f>
        <v>127.9</v>
      </c>
      <c r="CO1296" s="16">
        <f>RecData[[#This Row],[Amb. Humidity]]</f>
        <v>90.2</v>
      </c>
      <c r="CP1296" s="16">
        <f>RecData[[#This Row],[Amb. Temperature]]</f>
        <v>7</v>
      </c>
      <c r="CQ1296" s="17">
        <f>RecData[[#This Row],[Amb. Rain Gauge]]</f>
        <v>0</v>
      </c>
      <c r="CR1296" s="4" t="s">
        <v>1</v>
      </c>
      <c r="CS1296" s="4" t="s">
        <v>49</v>
      </c>
      <c r="CT1296" s="70">
        <v>1138.16638183593</v>
      </c>
      <c r="CU1296" s="70">
        <v>141.001205444335</v>
      </c>
      <c r="CV1296" s="70">
        <v>8.7383956909179599</v>
      </c>
      <c r="CW1296" s="70">
        <v>14.561221122741699</v>
      </c>
      <c r="CX1296" s="4" t="s">
        <v>49</v>
      </c>
      <c r="CY1296" s="69" t="s">
        <v>255</v>
      </c>
      <c r="CZ1296" s="2" t="b">
        <f>IF($DP$1="YES",IF(RecData[[#This Row],[Power (kW)]]&gt;=$CR$3, TRUE,FALSE),TRUE)</f>
        <v>0</v>
      </c>
      <c r="DA1296" s="16">
        <f>MIN(MOD(180-ABS(ABS($DA$1-RecData[Yaw Angle (°)])-180),360),MOD(180-ABS(ABS($DB$1-RecData[Yaw Angle (°)])-180),360))</f>
        <v>133.47127866664744</v>
      </c>
      <c r="DB1296" s="2" t="str">
        <f>IF($DP$2="None","None",IF(RecData[[#This Row],[Relative Wind Direction]]&lt;=45,"DW",IF(RecData[[#This Row],[Relative Wind Direction]]&lt;=135,"CW","UW")))</f>
        <v>CW</v>
      </c>
      <c r="DC1296" s="61">
        <v>-1</v>
      </c>
      <c r="DD1296" s="61">
        <v>-1</v>
      </c>
      <c r="DE1296" s="18" t="b">
        <v>0</v>
      </c>
      <c r="DF1296" s="2" t="b">
        <f>IF(OR(RecData[[#This Row],[WSpd_Avg '[m/s']]]-RecData[[#This Row],[Wind Speed min]]&gt;=$DF$3,RecData[[#This Row],[Wind Speed max]]-RecData[[#This Row],[WSpd_Avg '[m/s']]]&gt;=$DF$2),TRUE,FALSE)</f>
        <v>0</v>
      </c>
      <c r="DG1296" s="2" t="b">
        <f>RecData[[#This Row],[Temperature '[°C']]]&lt;=-20</f>
        <v>0</v>
      </c>
      <c r="DH1296" s="18" t="b">
        <f>NOT(OR(MOD(RecData[[#This Row],[TIMESTAMP]],1)&gt;0.91632,MOD(RecData[[#This Row],[TIMESTAMP]],1)&lt;0.208681))</f>
        <v>0</v>
      </c>
      <c r="DI1296" s="18" t="b">
        <f>RecData[[#This Row],[Overall (dBA)]]-RecData[[#This Row],[L90]]&gt;=$DS$4</f>
        <v>0</v>
      </c>
      <c r="DJ1296" s="18" t="b">
        <f>RecData[[#This Row],[Overall (dBA)]]&gt;$DS$2</f>
        <v>0</v>
      </c>
      <c r="DK1296" s="18" t="b">
        <f>RecData[[#This Row],[Overall (dBA)]]&lt;$DS$3</f>
        <v>0</v>
      </c>
      <c r="DL129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6" s="2">
        <f>IF(AND(RecData[[#This Row],[Turbines ON/OFF]] = "OFF", NOT(OR(RecData[[#This Row],[Junk?]]="YES",RecData[[#This Row],[Gust?]],RecData[[#This Row],[Rain?]:[Min SPL Threshold?]]))),1,0)</f>
        <v>0</v>
      </c>
      <c r="DN1296" s="16">
        <f>RecData[[#This Row],[dBA Sum]]</f>
        <v>34.528643151763362</v>
      </c>
      <c r="DO1296" s="16">
        <f>RecData[[#This Row],[LAF90.0]]</f>
        <v>32.4</v>
      </c>
      <c r="DP1296" s="55" t="str">
        <f>IF(AND(RecData[[#This Row],[Useable TON Data?]],RecData[[#This Row],[Turbines ON/OFF]]="ON"),RecData[[#This Row],[dBA Sum]],"")</f>
        <v/>
      </c>
      <c r="DQ1296" s="55" t="str">
        <f>IF(AND(RecData[[#This Row],[Useable Background Data?]],RecData[[#This Row],[Turbines ON/OFF]]="OFF"),RecData[[#This Row],[dBA Sum]],"")</f>
        <v/>
      </c>
      <c r="DR1296" s="3" t="str">
        <f>IF(OR(RecData[[#This Row],[Useable TON Data?]],RecData[[#This Row],[Useable Background Data?]]),ROUND(RecData[[#This Row],[WSpd_Avg '[m/s']]],0),"")</f>
        <v/>
      </c>
      <c r="DS1296" s="85">
        <f>(0.00002)^2*(10^(RecData[[#This Row],[Overall (dBA)]]/10))</f>
        <v>1.1348130110641566E-6</v>
      </c>
    </row>
    <row r="1297" spans="1:123" ht="15" x14ac:dyDescent="0.25">
      <c r="A1297" s="3" t="s">
        <v>249</v>
      </c>
      <c r="B1297" s="12">
        <v>43277.168055555558</v>
      </c>
      <c r="D1297" s="42">
        <v>34.299999999999997</v>
      </c>
      <c r="K1297" s="42">
        <v>32.200000000000003</v>
      </c>
      <c r="N1297" s="42">
        <v>138.9</v>
      </c>
      <c r="Q1297" s="42">
        <v>0.99</v>
      </c>
      <c r="R1297" s="42">
        <v>0.6</v>
      </c>
      <c r="S1297" s="42">
        <v>1.2</v>
      </c>
      <c r="T1297" s="42">
        <v>7</v>
      </c>
      <c r="U1297" s="42">
        <v>89.9</v>
      </c>
      <c r="V1297" s="42">
        <v>977.6</v>
      </c>
      <c r="W1297" s="42">
        <v>0</v>
      </c>
      <c r="X1297" s="42">
        <v>39.5</v>
      </c>
      <c r="Y1297" s="42">
        <v>34.700000000000003</v>
      </c>
      <c r="Z1297" s="42">
        <v>33</v>
      </c>
      <c r="AA1297" s="42">
        <v>30.7</v>
      </c>
      <c r="AB1297" s="42">
        <v>25.8</v>
      </c>
      <c r="AC1297" s="42">
        <v>25.8</v>
      </c>
      <c r="AD1297" s="42">
        <v>29.3</v>
      </c>
      <c r="AE1297" s="42">
        <v>33.5</v>
      </c>
      <c r="AF1297" s="42">
        <v>38.9</v>
      </c>
      <c r="AG1297" s="42">
        <v>35.700000000000003</v>
      </c>
      <c r="AH1297" s="42">
        <v>32.5</v>
      </c>
      <c r="AI1297" s="42">
        <v>35.5</v>
      </c>
      <c r="AJ1297" s="42">
        <v>31.8</v>
      </c>
      <c r="AK1297" s="42">
        <v>30.6</v>
      </c>
      <c r="AL1297" s="42">
        <v>27.3</v>
      </c>
      <c r="AM1297" s="42">
        <v>25.5</v>
      </c>
      <c r="AN1297" s="42">
        <v>22.9</v>
      </c>
      <c r="AO1297" s="42">
        <v>18.5</v>
      </c>
      <c r="AP1297" s="42">
        <v>16</v>
      </c>
      <c r="AQ1297" s="42">
        <v>14.8</v>
      </c>
      <c r="AR1297" s="42">
        <v>12.2</v>
      </c>
      <c r="AS1297" s="42">
        <v>18.399999999999999</v>
      </c>
      <c r="AT1297" s="42">
        <v>15.1</v>
      </c>
      <c r="AU1297" s="42">
        <v>7.3</v>
      </c>
      <c r="AV1297" s="42">
        <v>8</v>
      </c>
      <c r="AW1297" s="42">
        <v>8.5</v>
      </c>
      <c r="AX1297" s="42">
        <v>8.8000000000000007</v>
      </c>
      <c r="AY1297" s="42">
        <v>9</v>
      </c>
      <c r="AZ1297" s="42">
        <v>0</v>
      </c>
      <c r="BA1297" s="42">
        <v>0</v>
      </c>
      <c r="BB1297" s="42">
        <v>0</v>
      </c>
      <c r="BC1297" s="42">
        <v>34.345706387632561</v>
      </c>
      <c r="BD1297" s="42">
        <v>39.454293612367437</v>
      </c>
      <c r="BE1297" s="42">
        <v>34.654293612367439</v>
      </c>
      <c r="BF1297" s="42">
        <v>31.714293612367442</v>
      </c>
      <c r="BG1297" s="42">
        <v>29.740960279034098</v>
      </c>
      <c r="BH1297" s="42">
        <v>24.980960279034107</v>
      </c>
      <c r="BI1297" s="42">
        <v>25.394293612367434</v>
      </c>
      <c r="BJ1297" s="42">
        <v>29.687626945700771</v>
      </c>
      <c r="BK1297" s="42">
        <v>33.760960279034094</v>
      </c>
      <c r="BL1297" s="42">
        <v>38.734293612367438</v>
      </c>
      <c r="BM1297" s="42">
        <v>35.667626945700775</v>
      </c>
      <c r="BN1297" s="42">
        <v>32.750960279034103</v>
      </c>
      <c r="BO1297" s="42">
        <v>35.117626945700778</v>
      </c>
      <c r="BP1297" s="42">
        <v>31.134293612367429</v>
      </c>
      <c r="BQ1297" s="42">
        <v>30.350960279034098</v>
      </c>
      <c r="BR1297" s="42">
        <v>27.377626945700769</v>
      </c>
      <c r="BS1297" s="42">
        <v>25.380960279034099</v>
      </c>
      <c r="BT1297" s="42">
        <v>22.97762694570077</v>
      </c>
      <c r="BU1297" s="42">
        <v>18.54429361236744</v>
      </c>
      <c r="BV1297" s="42">
        <v>15.760960279034101</v>
      </c>
      <c r="BW1297" s="42">
        <v>15.094293612367437</v>
      </c>
      <c r="BX1297" s="42">
        <v>12.414293612367445</v>
      </c>
      <c r="BY1297" s="42">
        <v>18.434293612367433</v>
      </c>
      <c r="BZ1297" s="42">
        <v>15.264293612367439</v>
      </c>
      <c r="CA1297" s="42">
        <v>7.5642936123674289</v>
      </c>
      <c r="CB1297" s="42">
        <v>7.7009602790340992</v>
      </c>
      <c r="CC1297" s="42">
        <v>8.4142936123674374</v>
      </c>
      <c r="CD1297" s="42">
        <v>8.0209602790341066</v>
      </c>
      <c r="CE1297" s="42">
        <v>8.4142936123674374</v>
      </c>
      <c r="CF1297" s="42">
        <v>-0.97237305429923282</v>
      </c>
      <c r="CG1297" s="42">
        <v>-1.5057063876325643</v>
      </c>
      <c r="CH1297" s="42">
        <v>-2.5823730542992287</v>
      </c>
      <c r="CI1297" s="13">
        <f>[1]!dbasum(RecData[[#This Row],[20]:[2000]],RecData[[#Headers],[20]:[2000]])</f>
        <v>33.893435736306316</v>
      </c>
      <c r="CJ1297" s="14">
        <v>11387</v>
      </c>
      <c r="CK1297" s="15" t="s">
        <v>249</v>
      </c>
      <c r="CL1297" s="15">
        <f>RecData[[#This Row],[Start Time]]</f>
        <v>43277.168055555558</v>
      </c>
      <c r="CM1297" s="16">
        <f>RecData[[#This Row],[Wind Speed avg]]</f>
        <v>0.99</v>
      </c>
      <c r="CN1297" s="16">
        <f>RecData[[#This Row],[Wind Dir. avg]]</f>
        <v>138.9</v>
      </c>
      <c r="CO1297" s="16">
        <f>RecData[[#This Row],[Amb. Humidity]]</f>
        <v>89.9</v>
      </c>
      <c r="CP1297" s="16">
        <f>RecData[[#This Row],[Amb. Temperature]]</f>
        <v>7</v>
      </c>
      <c r="CQ1297" s="17">
        <f>RecData[[#This Row],[Amb. Rain Gauge]]</f>
        <v>0</v>
      </c>
      <c r="CR1297" s="4" t="s">
        <v>1</v>
      </c>
      <c r="CS1297" s="4" t="s">
        <v>49</v>
      </c>
      <c r="CT1297" s="70">
        <v>1138.16638183593</v>
      </c>
      <c r="CU1297" s="70">
        <v>141.001205444335</v>
      </c>
      <c r="CV1297" s="70">
        <v>8.7383956909179599</v>
      </c>
      <c r="CW1297" s="70">
        <v>14.561221122741699</v>
      </c>
      <c r="CX1297" s="4" t="s">
        <v>49</v>
      </c>
      <c r="CY1297" s="69" t="s">
        <v>255</v>
      </c>
      <c r="CZ1297" s="2" t="b">
        <f>IF($DP$1="YES",IF(RecData[[#This Row],[Power (kW)]]&gt;=$CR$3, TRUE,FALSE),TRUE)</f>
        <v>0</v>
      </c>
      <c r="DA1297" s="16">
        <f>MIN(MOD(180-ABS(ABS($DA$1-RecData[Yaw Angle (°)])-180),360),MOD(180-ABS(ABS($DB$1-RecData[Yaw Angle (°)])-180),360))</f>
        <v>133.47127866664744</v>
      </c>
      <c r="DB1297" s="2" t="str">
        <f>IF($DP$2="None","None",IF(RecData[[#This Row],[Relative Wind Direction]]&lt;=45,"DW",IF(RecData[[#This Row],[Relative Wind Direction]]&lt;=135,"CW","UW")))</f>
        <v>CW</v>
      </c>
      <c r="DC1297" s="61" t="e">
        <f>IF($CL1297-$CL1296&gt;1/24,#REF!,IF(SUM($CQ1296:$CQ1297)&gt;$DS$1,$DS$5,#REF!-1))</f>
        <v>#REF!</v>
      </c>
      <c r="DD1297" s="61" t="e">
        <f>IF(#REF!-$CL1297&gt;1/24,#REF!,IF(SUM($CQ1296:$CQ1297)&gt;$DS$1,$DS$6,DD1296-1))</f>
        <v>#REF!</v>
      </c>
      <c r="DE1297" s="18" t="b">
        <v>0</v>
      </c>
      <c r="DF1297" s="2" t="b">
        <f>IF(OR(RecData[[#This Row],[WSpd_Avg '[m/s']]]-RecData[[#This Row],[Wind Speed min]]&gt;=$DF$3,RecData[[#This Row],[Wind Speed max]]-RecData[[#This Row],[WSpd_Avg '[m/s']]]&gt;=$DF$2),TRUE,FALSE)</f>
        <v>0</v>
      </c>
      <c r="DG1297" s="2" t="b">
        <f>RecData[[#This Row],[Temperature '[°C']]]&lt;=-20</f>
        <v>0</v>
      </c>
      <c r="DH1297" s="18" t="b">
        <f>NOT(OR(MOD(RecData[[#This Row],[TIMESTAMP]],1)&gt;0.91632,MOD(RecData[[#This Row],[TIMESTAMP]],1)&lt;0.208681))</f>
        <v>0</v>
      </c>
      <c r="DI1297" s="18" t="b">
        <f>RecData[[#This Row],[Overall (dBA)]]-RecData[[#This Row],[L90]]&gt;=$DS$4</f>
        <v>0</v>
      </c>
      <c r="DJ1297" s="18" t="b">
        <f>RecData[[#This Row],[Overall (dBA)]]&gt;$DS$2</f>
        <v>0</v>
      </c>
      <c r="DK1297" s="18" t="b">
        <f>RecData[[#This Row],[Overall (dBA)]]&lt;$DS$3</f>
        <v>0</v>
      </c>
      <c r="DL129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7" s="2">
        <f>IF(AND(RecData[[#This Row],[Turbines ON/OFF]] = "OFF", NOT(OR(RecData[[#This Row],[Junk?]]="YES",RecData[[#This Row],[Gust?]],RecData[[#This Row],[Rain?]:[Min SPL Threshold?]]))),1,0)</f>
        <v>0</v>
      </c>
      <c r="DN1297" s="16">
        <f>RecData[[#This Row],[dBA Sum]]</f>
        <v>33.893435736306316</v>
      </c>
      <c r="DO1297" s="16">
        <f>RecData[[#This Row],[LAF90.0]]</f>
        <v>32.200000000000003</v>
      </c>
      <c r="DP1297" s="55" t="str">
        <f>IF(AND(RecData[[#This Row],[Useable TON Data?]],RecData[[#This Row],[Turbines ON/OFF]]="ON"),RecData[[#This Row],[dBA Sum]],"")</f>
        <v/>
      </c>
      <c r="DQ1297" s="55" t="str">
        <f>IF(AND(RecData[[#This Row],[Useable Background Data?]],RecData[[#This Row],[Turbines ON/OFF]]="OFF"),RecData[[#This Row],[dBA Sum]],"")</f>
        <v/>
      </c>
      <c r="DR1297" s="3" t="str">
        <f>IF(OR(RecData[[#This Row],[Useable TON Data?]],RecData[[#This Row],[Useable Background Data?]]),ROUND(RecData[[#This Row],[WSpd_Avg '[m/s']]],0),"")</f>
        <v/>
      </c>
      <c r="DS1297" s="85">
        <f>(0.00002)^2*(10^(RecData[[#This Row],[Overall (dBA)]]/10))</f>
        <v>9.8040059230780711E-7</v>
      </c>
    </row>
    <row r="1298" spans="1:123" ht="15" x14ac:dyDescent="0.25">
      <c r="A1298" s="3" t="s">
        <v>249</v>
      </c>
      <c r="B1298" s="12">
        <v>43277.169444444451</v>
      </c>
      <c r="D1298" s="42">
        <v>33.9</v>
      </c>
      <c r="K1298" s="42">
        <v>31.3</v>
      </c>
      <c r="N1298" s="42">
        <v>120</v>
      </c>
      <c r="Q1298" s="42">
        <v>1.05</v>
      </c>
      <c r="R1298" s="42">
        <v>0.9</v>
      </c>
      <c r="S1298" s="42">
        <v>1.2</v>
      </c>
      <c r="T1298" s="42">
        <v>7</v>
      </c>
      <c r="U1298" s="42">
        <v>89.3</v>
      </c>
      <c r="V1298" s="42">
        <v>977.6</v>
      </c>
      <c r="W1298" s="42">
        <v>0</v>
      </c>
      <c r="X1298" s="42">
        <v>39.4</v>
      </c>
      <c r="Y1298" s="42">
        <v>35.6</v>
      </c>
      <c r="Z1298" s="42">
        <v>34.1</v>
      </c>
      <c r="AA1298" s="42">
        <v>31.7</v>
      </c>
      <c r="AB1298" s="42">
        <v>25.3</v>
      </c>
      <c r="AC1298" s="42">
        <v>27.2</v>
      </c>
      <c r="AD1298" s="42">
        <v>30</v>
      </c>
      <c r="AE1298" s="42">
        <v>33.200000000000003</v>
      </c>
      <c r="AF1298" s="42">
        <v>39.1</v>
      </c>
      <c r="AG1298" s="42">
        <v>35.9</v>
      </c>
      <c r="AH1298" s="42">
        <v>31.6</v>
      </c>
      <c r="AI1298" s="42">
        <v>34.799999999999997</v>
      </c>
      <c r="AJ1298" s="42">
        <v>31.5</v>
      </c>
      <c r="AK1298" s="42">
        <v>30.1</v>
      </c>
      <c r="AL1298" s="42">
        <v>26.7</v>
      </c>
      <c r="AM1298" s="42">
        <v>24.7</v>
      </c>
      <c r="AN1298" s="42">
        <v>22.2</v>
      </c>
      <c r="AO1298" s="42">
        <v>17.899999999999999</v>
      </c>
      <c r="AP1298" s="42">
        <v>15.1</v>
      </c>
      <c r="AQ1298" s="42">
        <v>14.7</v>
      </c>
      <c r="AR1298" s="42">
        <v>12.8</v>
      </c>
      <c r="AS1298" s="42">
        <v>17.5</v>
      </c>
      <c r="AT1298" s="42">
        <v>15.2</v>
      </c>
      <c r="AU1298" s="42">
        <v>7.4</v>
      </c>
      <c r="AV1298" s="42">
        <v>8</v>
      </c>
      <c r="AW1298" s="42">
        <v>8.5</v>
      </c>
      <c r="AX1298" s="42">
        <v>8.8000000000000007</v>
      </c>
      <c r="AY1298" s="42">
        <v>9</v>
      </c>
      <c r="AZ1298" s="42">
        <v>0</v>
      </c>
      <c r="BA1298" s="42">
        <v>0</v>
      </c>
      <c r="BB1298" s="42">
        <v>0</v>
      </c>
      <c r="BC1298" s="42">
        <v>33.887188889440964</v>
      </c>
      <c r="BD1298" s="42">
        <v>39.412811110559034</v>
      </c>
      <c r="BE1298" s="42">
        <v>35.612811110559036</v>
      </c>
      <c r="BF1298" s="42">
        <v>32.872811110559027</v>
      </c>
      <c r="BG1298" s="42">
        <v>30.799477777225704</v>
      </c>
      <c r="BH1298" s="42">
        <v>24.539477777225706</v>
      </c>
      <c r="BI1298" s="42">
        <v>26.852811110559031</v>
      </c>
      <c r="BJ1298" s="42">
        <v>30.446144443892365</v>
      </c>
      <c r="BK1298" s="42">
        <v>33.519477777225703</v>
      </c>
      <c r="BL1298" s="42">
        <v>38.992811110559032</v>
      </c>
      <c r="BM1298" s="42">
        <v>35.926144443892369</v>
      </c>
      <c r="BN1298" s="42">
        <v>31.909477777225703</v>
      </c>
      <c r="BO1298" s="42">
        <v>34.476144443892366</v>
      </c>
      <c r="BP1298" s="42">
        <v>30.892811110559038</v>
      </c>
      <c r="BQ1298" s="42">
        <v>29.909477777225689</v>
      </c>
      <c r="BR1298" s="42">
        <v>26.836144443892366</v>
      </c>
      <c r="BS1298" s="42">
        <v>24.6394777772257</v>
      </c>
      <c r="BT1298" s="42">
        <v>22.336144443892366</v>
      </c>
      <c r="BU1298" s="42">
        <v>18.002811110559037</v>
      </c>
      <c r="BV1298" s="42">
        <v>14.919477777225701</v>
      </c>
      <c r="BW1298" s="42">
        <v>15.052811110559034</v>
      </c>
      <c r="BX1298" s="42">
        <v>13.072811110559044</v>
      </c>
      <c r="BY1298" s="42">
        <v>17.592811110559033</v>
      </c>
      <c r="BZ1298" s="42">
        <v>15.422811110559039</v>
      </c>
      <c r="CA1298" s="42">
        <v>7.7228111105590287</v>
      </c>
      <c r="CB1298" s="42">
        <v>7.7594777772256975</v>
      </c>
      <c r="CC1298" s="42">
        <v>8.4728111105590358</v>
      </c>
      <c r="CD1298" s="42">
        <v>8.0794777772257049</v>
      </c>
      <c r="CE1298" s="42">
        <v>8.4728111105590358</v>
      </c>
      <c r="CF1298" s="42">
        <v>-0.91385555610763447</v>
      </c>
      <c r="CG1298" s="42">
        <v>-1.4471888894409659</v>
      </c>
      <c r="CH1298" s="42">
        <v>-2.5238555561076303</v>
      </c>
      <c r="CI1298" s="13">
        <f>[1]!dbasum(RecData[[#This Row],[20]:[2000]],RecData[[#Headers],[20]:[2000]])</f>
        <v>33.491570848733325</v>
      </c>
      <c r="CJ1298" s="14">
        <v>11389</v>
      </c>
      <c r="CK1298" s="15" t="s">
        <v>249</v>
      </c>
      <c r="CL1298" s="15">
        <f>RecData[[#This Row],[Start Time]]</f>
        <v>43277.169444444451</v>
      </c>
      <c r="CM1298" s="16">
        <f>RecData[[#This Row],[Wind Speed avg]]</f>
        <v>1.05</v>
      </c>
      <c r="CN1298" s="16">
        <f>RecData[[#This Row],[Wind Dir. avg]]</f>
        <v>120</v>
      </c>
      <c r="CO1298" s="16">
        <f>RecData[[#This Row],[Amb. Humidity]]</f>
        <v>89.3</v>
      </c>
      <c r="CP1298" s="16">
        <f>RecData[[#This Row],[Amb. Temperature]]</f>
        <v>7</v>
      </c>
      <c r="CQ1298" s="17">
        <f>RecData[[#This Row],[Amb. Rain Gauge]]</f>
        <v>0</v>
      </c>
      <c r="CR1298" s="4" t="s">
        <v>1</v>
      </c>
      <c r="CS1298" s="4" t="s">
        <v>49</v>
      </c>
      <c r="CT1298" s="70">
        <v>1138.16638183593</v>
      </c>
      <c r="CU1298" s="70">
        <v>141.001205444335</v>
      </c>
      <c r="CV1298" s="70">
        <v>8.7383956909179599</v>
      </c>
      <c r="CW1298" s="70">
        <v>14.561221122741699</v>
      </c>
      <c r="CX1298" s="4" t="s">
        <v>49</v>
      </c>
      <c r="CY1298" s="69" t="s">
        <v>255</v>
      </c>
      <c r="CZ1298" s="2" t="b">
        <f>IF($DP$1="YES",IF(RecData[[#This Row],[Power (kW)]]&gt;=$CR$3, TRUE,FALSE),TRUE)</f>
        <v>0</v>
      </c>
      <c r="DA1298" s="16">
        <f>MIN(MOD(180-ABS(ABS($DA$1-RecData[Yaw Angle (°)])-180),360),MOD(180-ABS(ABS($DB$1-RecData[Yaw Angle (°)])-180),360))</f>
        <v>133.47127866664744</v>
      </c>
      <c r="DB1298" s="2" t="str">
        <f>IF($DP$2="None","None",IF(RecData[[#This Row],[Relative Wind Direction]]&lt;=45,"DW",IF(RecData[[#This Row],[Relative Wind Direction]]&lt;=135,"CW","UW")))</f>
        <v>CW</v>
      </c>
      <c r="DC1298" s="61" t="e">
        <f>IF($CL1298-$CL1296&gt;1/24,#REF!,IF(SUM($CQ1296:$CQ1298)&gt;$DS$1,$DS$5,DC1299-1))</f>
        <v>#REF!</v>
      </c>
      <c r="DD1298" s="61" t="e">
        <f>IF($CL1299-$CL1298&gt;1/24,#REF!,IF(SUM($CQ1296:$CQ1298)&gt;$DS$1,$DS$6,#REF!-1))</f>
        <v>#REF!</v>
      </c>
      <c r="DE1298" s="18" t="b">
        <v>0</v>
      </c>
      <c r="DF1298" s="2" t="b">
        <f>IF(OR(RecData[[#This Row],[WSpd_Avg '[m/s']]]-RecData[[#This Row],[Wind Speed min]]&gt;=$DF$3,RecData[[#This Row],[Wind Speed max]]-RecData[[#This Row],[WSpd_Avg '[m/s']]]&gt;=$DF$2),TRUE,FALSE)</f>
        <v>0</v>
      </c>
      <c r="DG1298" s="2" t="b">
        <f>RecData[[#This Row],[Temperature '[°C']]]&lt;=-20</f>
        <v>0</v>
      </c>
      <c r="DH1298" s="18" t="b">
        <f>NOT(OR(MOD(RecData[[#This Row],[TIMESTAMP]],1)&gt;0.91632,MOD(RecData[[#This Row],[TIMESTAMP]],1)&lt;0.208681))</f>
        <v>0</v>
      </c>
      <c r="DI1298" s="18" t="b">
        <f>RecData[[#This Row],[Overall (dBA)]]-RecData[[#This Row],[L90]]&gt;=$DS$4</f>
        <v>0</v>
      </c>
      <c r="DJ1298" s="18" t="b">
        <f>RecData[[#This Row],[Overall (dBA)]]&gt;$DS$2</f>
        <v>0</v>
      </c>
      <c r="DK1298" s="18" t="b">
        <f>RecData[[#This Row],[Overall (dBA)]]&lt;$DS$3</f>
        <v>0</v>
      </c>
      <c r="DL129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8" s="2">
        <f>IF(AND(RecData[[#This Row],[Turbines ON/OFF]] = "OFF", NOT(OR(RecData[[#This Row],[Junk?]]="YES",RecData[[#This Row],[Gust?]],RecData[[#This Row],[Rain?]:[Min SPL Threshold?]]))),1,0)</f>
        <v>0</v>
      </c>
      <c r="DN1298" s="16">
        <f>RecData[[#This Row],[dBA Sum]]</f>
        <v>33.491570848733325</v>
      </c>
      <c r="DO1298" s="16">
        <f>RecData[[#This Row],[LAF90.0]]</f>
        <v>31.3</v>
      </c>
      <c r="DP1298" s="55" t="str">
        <f>IF(AND(RecData[[#This Row],[Useable TON Data?]],RecData[[#This Row],[Turbines ON/OFF]]="ON"),RecData[[#This Row],[dBA Sum]],"")</f>
        <v/>
      </c>
      <c r="DQ1298" s="55" t="str">
        <f>IF(AND(RecData[[#This Row],[Useable Background Data?]],RecData[[#This Row],[Turbines ON/OFF]]="OFF"),RecData[[#This Row],[dBA Sum]],"")</f>
        <v/>
      </c>
      <c r="DR1298" s="3" t="str">
        <f>IF(OR(RecData[[#This Row],[Useable TON Data?]],RecData[[#This Row],[Useable Background Data?]]),ROUND(RecData[[#This Row],[WSpd_Avg '[m/s']]],0),"")</f>
        <v/>
      </c>
      <c r="DS1298" s="85">
        <f>(0.00002)^2*(10^(RecData[[#This Row],[Overall (dBA)]]/10))</f>
        <v>8.9375210196157861E-7</v>
      </c>
    </row>
    <row r="1299" spans="1:123" ht="15" x14ac:dyDescent="0.25">
      <c r="A1299" s="3" t="s">
        <v>249</v>
      </c>
      <c r="B1299" s="12">
        <v>43277.170138888891</v>
      </c>
      <c r="D1299" s="42">
        <v>34.4</v>
      </c>
      <c r="K1299" s="42">
        <v>32.4</v>
      </c>
      <c r="N1299" s="42">
        <v>142.6</v>
      </c>
      <c r="Q1299" s="42">
        <v>0.99</v>
      </c>
      <c r="R1299" s="42">
        <v>0.8</v>
      </c>
      <c r="S1299" s="42">
        <v>1.1000000000000001</v>
      </c>
      <c r="T1299" s="42">
        <v>6.9</v>
      </c>
      <c r="U1299" s="42">
        <v>89.1</v>
      </c>
      <c r="V1299" s="42">
        <v>977.6</v>
      </c>
      <c r="W1299" s="42">
        <v>0</v>
      </c>
      <c r="X1299" s="42">
        <v>39.200000000000003</v>
      </c>
      <c r="Y1299" s="42">
        <v>34.700000000000003</v>
      </c>
      <c r="Z1299" s="42">
        <v>33</v>
      </c>
      <c r="AA1299" s="42">
        <v>30.6</v>
      </c>
      <c r="AB1299" s="42">
        <v>25.3</v>
      </c>
      <c r="AC1299" s="42">
        <v>26.2</v>
      </c>
      <c r="AD1299" s="42">
        <v>29.2</v>
      </c>
      <c r="AE1299" s="42">
        <v>32.700000000000003</v>
      </c>
      <c r="AF1299" s="42">
        <v>39.299999999999997</v>
      </c>
      <c r="AG1299" s="42">
        <v>36.299999999999997</v>
      </c>
      <c r="AH1299" s="42">
        <v>31.9</v>
      </c>
      <c r="AI1299" s="42">
        <v>35.1</v>
      </c>
      <c r="AJ1299" s="42">
        <v>32.1</v>
      </c>
      <c r="AK1299" s="42">
        <v>30.5</v>
      </c>
      <c r="AL1299" s="42">
        <v>27.3</v>
      </c>
      <c r="AM1299" s="42">
        <v>26</v>
      </c>
      <c r="AN1299" s="42">
        <v>23.1</v>
      </c>
      <c r="AO1299" s="42">
        <v>18.600000000000001</v>
      </c>
      <c r="AP1299" s="42">
        <v>16.899999999999999</v>
      </c>
      <c r="AQ1299" s="42">
        <v>16</v>
      </c>
      <c r="AR1299" s="42">
        <v>14</v>
      </c>
      <c r="AS1299" s="42">
        <v>18.5</v>
      </c>
      <c r="AT1299" s="42">
        <v>14.6</v>
      </c>
      <c r="AU1299" s="42">
        <v>7.4</v>
      </c>
      <c r="AV1299" s="42">
        <v>8.1</v>
      </c>
      <c r="AW1299" s="42">
        <v>8.6</v>
      </c>
      <c r="AX1299" s="42">
        <v>8.8000000000000007</v>
      </c>
      <c r="AY1299" s="42">
        <v>9</v>
      </c>
      <c r="AZ1299" s="42">
        <v>0</v>
      </c>
      <c r="BA1299" s="42">
        <v>0</v>
      </c>
      <c r="BB1299" s="42">
        <v>0</v>
      </c>
      <c r="BC1299" s="42">
        <v>34.443356893095249</v>
      </c>
      <c r="BD1299" s="42">
        <v>39.156643106904745</v>
      </c>
      <c r="BE1299" s="42">
        <v>34.656643106904745</v>
      </c>
      <c r="BF1299" s="42">
        <v>31.716643106904748</v>
      </c>
      <c r="BG1299" s="42">
        <v>29.64330977357141</v>
      </c>
      <c r="BH1299" s="42">
        <v>24.48330977357142</v>
      </c>
      <c r="BI1299" s="42">
        <v>25.796643106904746</v>
      </c>
      <c r="BJ1299" s="42">
        <v>29.589976440238082</v>
      </c>
      <c r="BK1299" s="42">
        <v>32.963309773571417</v>
      </c>
      <c r="BL1299" s="42">
        <v>39.136643106904749</v>
      </c>
      <c r="BM1299" s="42">
        <v>36.269976440238089</v>
      </c>
      <c r="BN1299" s="42">
        <v>32.153309773571415</v>
      </c>
      <c r="BO1299" s="42">
        <v>34.719976440238078</v>
      </c>
      <c r="BP1299" s="42">
        <v>31.436643106904747</v>
      </c>
      <c r="BQ1299" s="42">
        <v>30.253309773571409</v>
      </c>
      <c r="BR1299" s="42">
        <v>27.379976440238089</v>
      </c>
      <c r="BS1299" s="42">
        <v>25.883309773571419</v>
      </c>
      <c r="BT1299" s="42">
        <v>23.179976440238086</v>
      </c>
      <c r="BU1299" s="42">
        <v>18.646643106904754</v>
      </c>
      <c r="BV1299" s="42">
        <v>16.66330977357142</v>
      </c>
      <c r="BW1299" s="42">
        <v>16.296643106904753</v>
      </c>
      <c r="BX1299" s="42">
        <v>14.216643106904755</v>
      </c>
      <c r="BY1299" s="42">
        <v>18.536643106904748</v>
      </c>
      <c r="BZ1299" s="42">
        <v>14.766643106904752</v>
      </c>
      <c r="CA1299" s="42">
        <v>7.6666431069047434</v>
      </c>
      <c r="CB1299" s="42">
        <v>7.8033097735714136</v>
      </c>
      <c r="CC1299" s="42">
        <v>8.5166431069047448</v>
      </c>
      <c r="CD1299" s="42">
        <v>8.0233097735714196</v>
      </c>
      <c r="CE1299" s="42">
        <v>8.4166431069047505</v>
      </c>
      <c r="CF1299" s="42">
        <v>-0.97002355976191978</v>
      </c>
      <c r="CG1299" s="42">
        <v>-1.5033568930952512</v>
      </c>
      <c r="CH1299" s="42">
        <v>-2.5800235597619157</v>
      </c>
      <c r="CI1299" s="13">
        <f>[1]!dbasum(RecData[[#This Row],[20]:[2000]],RecData[[#Headers],[20]:[2000]])</f>
        <v>34.005215657322601</v>
      </c>
      <c r="CJ1299" s="14">
        <v>11390</v>
      </c>
      <c r="CK1299" s="15" t="s">
        <v>249</v>
      </c>
      <c r="CL1299" s="15">
        <f>RecData[[#This Row],[Start Time]]</f>
        <v>43277.170138888891</v>
      </c>
      <c r="CM1299" s="16">
        <f>RecData[[#This Row],[Wind Speed avg]]</f>
        <v>0.99</v>
      </c>
      <c r="CN1299" s="16">
        <f>RecData[[#This Row],[Wind Dir. avg]]</f>
        <v>142.6</v>
      </c>
      <c r="CO1299" s="16">
        <f>RecData[[#This Row],[Amb. Humidity]]</f>
        <v>89.1</v>
      </c>
      <c r="CP1299" s="16">
        <f>RecData[[#This Row],[Amb. Temperature]]</f>
        <v>6.9</v>
      </c>
      <c r="CQ1299" s="17">
        <f>RecData[[#This Row],[Amb. Rain Gauge]]</f>
        <v>0</v>
      </c>
      <c r="CR1299" s="4" t="s">
        <v>1</v>
      </c>
      <c r="CS1299" s="4" t="s">
        <v>49</v>
      </c>
      <c r="CT1299" s="70">
        <v>1138.16638183593</v>
      </c>
      <c r="CU1299" s="70">
        <v>141.001205444335</v>
      </c>
      <c r="CV1299" s="70">
        <v>8.7383956909179599</v>
      </c>
      <c r="CW1299" s="70">
        <v>14.561221122741699</v>
      </c>
      <c r="CX1299" s="4" t="s">
        <v>49</v>
      </c>
      <c r="CY1299" s="69" t="s">
        <v>255</v>
      </c>
      <c r="CZ1299" s="2" t="b">
        <f>IF($DP$1="YES",IF(RecData[[#This Row],[Power (kW)]]&gt;=$CR$3, TRUE,FALSE),TRUE)</f>
        <v>0</v>
      </c>
      <c r="DA1299" s="16">
        <f>MIN(MOD(180-ABS(ABS($DA$1-RecData[Yaw Angle (°)])-180),360),MOD(180-ABS(ABS($DB$1-RecData[Yaw Angle (°)])-180),360))</f>
        <v>133.47127866664744</v>
      </c>
      <c r="DB1299" s="2" t="str">
        <f>IF($DP$2="None","None",IF(RecData[[#This Row],[Relative Wind Direction]]&lt;=45,"DW",IF(RecData[[#This Row],[Relative Wind Direction]]&lt;=135,"CW","UW")))</f>
        <v>CW</v>
      </c>
      <c r="DC1299" s="61" t="e">
        <f>IF($CL1299-$CL1296&gt;1/24,#REF!,IF(SUM($CQ1296:$CQ1299)&gt;$DS$1,$DS$5,#REF!-1))</f>
        <v>#REF!</v>
      </c>
      <c r="DD1299" s="61" t="e">
        <f>IF(#REF!-$CL1299&gt;1/24,#REF!,IF(SUM($CQ1296:$CQ1299)&gt;$DS$1,$DS$6,DD1298-1))</f>
        <v>#REF!</v>
      </c>
      <c r="DE1299" s="18" t="b">
        <v>0</v>
      </c>
      <c r="DF1299" s="2" t="b">
        <f>IF(OR(RecData[[#This Row],[WSpd_Avg '[m/s']]]-RecData[[#This Row],[Wind Speed min]]&gt;=$DF$3,RecData[[#This Row],[Wind Speed max]]-RecData[[#This Row],[WSpd_Avg '[m/s']]]&gt;=$DF$2),TRUE,FALSE)</f>
        <v>0</v>
      </c>
      <c r="DG1299" s="2" t="b">
        <f>RecData[[#This Row],[Temperature '[°C']]]&lt;=-20</f>
        <v>0</v>
      </c>
      <c r="DH1299" s="18" t="b">
        <f>NOT(OR(MOD(RecData[[#This Row],[TIMESTAMP]],1)&gt;0.91632,MOD(RecData[[#This Row],[TIMESTAMP]],1)&lt;0.208681))</f>
        <v>0</v>
      </c>
      <c r="DI1299" s="18" t="b">
        <f>RecData[[#This Row],[Overall (dBA)]]-RecData[[#This Row],[L90]]&gt;=$DS$4</f>
        <v>0</v>
      </c>
      <c r="DJ1299" s="18" t="b">
        <f>RecData[[#This Row],[Overall (dBA)]]&gt;$DS$2</f>
        <v>0</v>
      </c>
      <c r="DK1299" s="18" t="b">
        <f>RecData[[#This Row],[Overall (dBA)]]&lt;$DS$3</f>
        <v>0</v>
      </c>
      <c r="DL129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299" s="2">
        <f>IF(AND(RecData[[#This Row],[Turbines ON/OFF]] = "OFF", NOT(OR(RecData[[#This Row],[Junk?]]="YES",RecData[[#This Row],[Gust?]],RecData[[#This Row],[Rain?]:[Min SPL Threshold?]]))),1,0)</f>
        <v>0</v>
      </c>
      <c r="DN1299" s="16">
        <f>RecData[[#This Row],[dBA Sum]]</f>
        <v>34.005215657322601</v>
      </c>
      <c r="DO1299" s="16">
        <f>RecData[[#This Row],[LAF90.0]]</f>
        <v>32.4</v>
      </c>
      <c r="DP1299" s="55" t="str">
        <f>IF(AND(RecData[[#This Row],[Useable TON Data?]],RecData[[#This Row],[Turbines ON/OFF]]="ON"),RecData[[#This Row],[dBA Sum]],"")</f>
        <v/>
      </c>
      <c r="DQ1299" s="55" t="str">
        <f>IF(AND(RecData[[#This Row],[Useable Background Data?]],RecData[[#This Row],[Turbines ON/OFF]]="OFF"),RecData[[#This Row],[dBA Sum]],"")</f>
        <v/>
      </c>
      <c r="DR1299" s="3" t="str">
        <f>IF(OR(RecData[[#This Row],[Useable TON Data?]],RecData[[#This Row],[Useable Background Data?]]),ROUND(RecData[[#This Row],[WSpd_Avg '[m/s']]],0),"")</f>
        <v/>
      </c>
      <c r="DS1299" s="85">
        <f>(0.00002)^2*(10^(RecData[[#This Row],[Overall (dBA)]]/10))</f>
        <v>1.0059619569441311E-6</v>
      </c>
    </row>
    <row r="1300" spans="1:123" ht="15" x14ac:dyDescent="0.25">
      <c r="A1300" s="3" t="s">
        <v>249</v>
      </c>
      <c r="B1300" s="12">
        <v>43277.174305555563</v>
      </c>
      <c r="D1300" s="42">
        <v>35.299999999999997</v>
      </c>
      <c r="K1300" s="42">
        <v>32.9</v>
      </c>
      <c r="N1300" s="42">
        <v>122.8</v>
      </c>
      <c r="Q1300" s="42">
        <v>1.0900000000000001</v>
      </c>
      <c r="R1300" s="42">
        <v>0.2</v>
      </c>
      <c r="S1300" s="42">
        <v>1.7</v>
      </c>
      <c r="T1300" s="42">
        <v>6.9</v>
      </c>
      <c r="U1300" s="42">
        <v>89.3</v>
      </c>
      <c r="V1300" s="42">
        <v>977.5</v>
      </c>
      <c r="W1300" s="42">
        <v>0</v>
      </c>
      <c r="X1300" s="42">
        <v>38.5</v>
      </c>
      <c r="Y1300" s="42">
        <v>34.200000000000003</v>
      </c>
      <c r="Z1300" s="42">
        <v>32.9</v>
      </c>
      <c r="AA1300" s="42">
        <v>30.6</v>
      </c>
      <c r="AB1300" s="42">
        <v>25.7</v>
      </c>
      <c r="AC1300" s="42">
        <v>26.4</v>
      </c>
      <c r="AD1300" s="42">
        <v>29.7</v>
      </c>
      <c r="AE1300" s="42">
        <v>33.799999999999997</v>
      </c>
      <c r="AF1300" s="42">
        <v>41</v>
      </c>
      <c r="AG1300" s="42">
        <v>36.6</v>
      </c>
      <c r="AH1300" s="42">
        <v>32.700000000000003</v>
      </c>
      <c r="AI1300" s="42">
        <v>36.200000000000003</v>
      </c>
      <c r="AJ1300" s="42">
        <v>33</v>
      </c>
      <c r="AK1300" s="42">
        <v>31.3</v>
      </c>
      <c r="AL1300" s="42">
        <v>28.3</v>
      </c>
      <c r="AM1300" s="42">
        <v>27.1</v>
      </c>
      <c r="AN1300" s="42">
        <v>24</v>
      </c>
      <c r="AO1300" s="42">
        <v>19.399999999999999</v>
      </c>
      <c r="AP1300" s="42">
        <v>18.399999999999999</v>
      </c>
      <c r="AQ1300" s="42">
        <v>15</v>
      </c>
      <c r="AR1300" s="42">
        <v>12</v>
      </c>
      <c r="AS1300" s="42">
        <v>15.2</v>
      </c>
      <c r="AT1300" s="42">
        <v>16</v>
      </c>
      <c r="AU1300" s="42">
        <v>8.4</v>
      </c>
      <c r="AV1300" s="42">
        <v>8.6999999999999993</v>
      </c>
      <c r="AW1300" s="42">
        <v>8.9</v>
      </c>
      <c r="AX1300" s="42">
        <v>8.9</v>
      </c>
      <c r="AY1300" s="42">
        <v>9.1</v>
      </c>
      <c r="AZ1300" s="42">
        <v>0</v>
      </c>
      <c r="BA1300" s="42">
        <v>0</v>
      </c>
      <c r="BB1300" s="42">
        <v>0</v>
      </c>
      <c r="BC1300" s="42">
        <v>35.278206310168365</v>
      </c>
      <c r="BD1300" s="42">
        <v>38.521793689831632</v>
      </c>
      <c r="BE1300" s="42">
        <v>34.221793689831635</v>
      </c>
      <c r="BF1300" s="42">
        <v>31.681793689831629</v>
      </c>
      <c r="BG1300" s="42">
        <v>29.7084603564983</v>
      </c>
      <c r="BH1300" s="42">
        <v>24.948460356498302</v>
      </c>
      <c r="BI1300" s="42">
        <v>26.061793689831632</v>
      </c>
      <c r="BJ1300" s="42">
        <v>30.155127023164972</v>
      </c>
      <c r="BK1300" s="42">
        <v>34.128460356498302</v>
      </c>
      <c r="BL1300" s="42">
        <v>40.901793689831642</v>
      </c>
      <c r="BM1300" s="42">
        <v>36.635127023164962</v>
      </c>
      <c r="BN1300" s="42">
        <v>33.018460356498302</v>
      </c>
      <c r="BO1300" s="42">
        <v>35.885127023164962</v>
      </c>
      <c r="BP1300" s="42">
        <v>32.401793689831642</v>
      </c>
      <c r="BQ1300" s="42">
        <v>31.118460356498282</v>
      </c>
      <c r="BR1300" s="42">
        <v>28.445127023164964</v>
      </c>
      <c r="BS1300" s="42">
        <v>27.048460356498303</v>
      </c>
      <c r="BT1300" s="42">
        <v>24.145127023164967</v>
      </c>
      <c r="BU1300" s="42">
        <v>19.511793689831634</v>
      </c>
      <c r="BV1300" s="42">
        <v>18.228460356498296</v>
      </c>
      <c r="BW1300" s="42">
        <v>15.361793689831636</v>
      </c>
      <c r="BX1300" s="42">
        <v>12.281793689831638</v>
      </c>
      <c r="BY1300" s="42">
        <v>15.301793689831634</v>
      </c>
      <c r="BZ1300" s="42">
        <v>16.23179368983164</v>
      </c>
      <c r="CA1300" s="42">
        <v>8.7317936898316262</v>
      </c>
      <c r="CB1300" s="42">
        <v>8.4684603564982979</v>
      </c>
      <c r="CC1300" s="42">
        <v>8.8817936898316319</v>
      </c>
      <c r="CD1300" s="42">
        <v>8.1884603564983038</v>
      </c>
      <c r="CE1300" s="42">
        <v>8.5817936898316347</v>
      </c>
      <c r="CF1300" s="42">
        <v>-0.90487297683503698</v>
      </c>
      <c r="CG1300" s="42">
        <v>-1.4382063101683684</v>
      </c>
      <c r="CH1300" s="42">
        <v>-2.5148729768350364</v>
      </c>
      <c r="CI1300" s="13">
        <f>[1]!dbasum(RecData[[#This Row],[20]:[2000]],RecData[[#Headers],[20]:[2000]])</f>
        <v>34.98794907447914</v>
      </c>
      <c r="CJ1300" s="14">
        <v>11396</v>
      </c>
      <c r="CK1300" s="15" t="s">
        <v>249</v>
      </c>
      <c r="CL1300" s="15">
        <f>RecData[[#This Row],[Start Time]]</f>
        <v>43277.174305555563</v>
      </c>
      <c r="CM1300" s="16">
        <f>RecData[[#This Row],[Wind Speed avg]]</f>
        <v>1.0900000000000001</v>
      </c>
      <c r="CN1300" s="16">
        <f>RecData[[#This Row],[Wind Dir. avg]]</f>
        <v>122.8</v>
      </c>
      <c r="CO1300" s="16">
        <f>RecData[[#This Row],[Amb. Humidity]]</f>
        <v>89.3</v>
      </c>
      <c r="CP1300" s="16">
        <f>RecData[[#This Row],[Amb. Temperature]]</f>
        <v>6.9</v>
      </c>
      <c r="CQ1300" s="17">
        <f>RecData[[#This Row],[Amb. Rain Gauge]]</f>
        <v>0</v>
      </c>
      <c r="CR1300" s="4" t="s">
        <v>1</v>
      </c>
      <c r="CS1300" s="4" t="s">
        <v>49</v>
      </c>
      <c r="CT1300" s="70">
        <v>1299.18359375</v>
      </c>
      <c r="CU1300" s="70">
        <v>141.001205444335</v>
      </c>
      <c r="CV1300" s="70">
        <v>9.0695600509643501</v>
      </c>
      <c r="CW1300" s="70">
        <v>15.1427764892578</v>
      </c>
      <c r="CX1300" s="4" t="s">
        <v>49</v>
      </c>
      <c r="CY1300" s="69" t="s">
        <v>255</v>
      </c>
      <c r="CZ1300" s="2" t="b">
        <f>IF($DP$1="YES",IF(RecData[[#This Row],[Power (kW)]]&gt;=$CR$3, TRUE,FALSE),TRUE)</f>
        <v>0</v>
      </c>
      <c r="DA1300" s="16">
        <f>MIN(MOD(180-ABS(ABS($DA$1-RecData[Yaw Angle (°)])-180),360),MOD(180-ABS(ABS($DB$1-RecData[Yaw Angle (°)])-180),360))</f>
        <v>133.47127866664744</v>
      </c>
      <c r="DB1300" s="2" t="str">
        <f>IF($DP$2="None","None",IF(RecData[[#This Row],[Relative Wind Direction]]&lt;=45,"DW",IF(RecData[[#This Row],[Relative Wind Direction]]&lt;=135,"CW","UW")))</f>
        <v>CW</v>
      </c>
      <c r="DC1300" s="61" t="e">
        <f>IF($CL1300-#REF!&gt;1/24,#REF!,IF(SUM($CQ1300:$CQ1300)&gt;$DS$1,$DS$5,#REF!-1))</f>
        <v>#REF!</v>
      </c>
      <c r="DD1300" s="61" t="e">
        <f>IF(#REF!-$CL1300&gt;1/24,#REF!,IF(SUM($CQ1300:$CQ1300)&gt;$DS$1,$DS$6,#REF!-1))</f>
        <v>#REF!</v>
      </c>
      <c r="DE1300" s="18" t="b">
        <v>0</v>
      </c>
      <c r="DF1300" s="2" t="b">
        <f>IF(OR(RecData[[#This Row],[WSpd_Avg '[m/s']]]-RecData[[#This Row],[Wind Speed min]]&gt;=$DF$3,RecData[[#This Row],[Wind Speed max]]-RecData[[#This Row],[WSpd_Avg '[m/s']]]&gt;=$DF$2),TRUE,FALSE)</f>
        <v>0</v>
      </c>
      <c r="DG1300" s="2" t="b">
        <f>RecData[[#This Row],[Temperature '[°C']]]&lt;=-20</f>
        <v>0</v>
      </c>
      <c r="DH1300" s="18" t="b">
        <f>NOT(OR(MOD(RecData[[#This Row],[TIMESTAMP]],1)&gt;0.91632,MOD(RecData[[#This Row],[TIMESTAMP]],1)&lt;0.208681))</f>
        <v>0</v>
      </c>
      <c r="DI1300" s="18" t="b">
        <f>RecData[[#This Row],[Overall (dBA)]]-RecData[[#This Row],[L90]]&gt;=$DS$4</f>
        <v>0</v>
      </c>
      <c r="DJ1300" s="18" t="b">
        <f>RecData[[#This Row],[Overall (dBA)]]&gt;$DS$2</f>
        <v>0</v>
      </c>
      <c r="DK1300" s="18" t="b">
        <f>RecData[[#This Row],[Overall (dBA)]]&lt;$DS$3</f>
        <v>0</v>
      </c>
      <c r="DL1300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0" s="2">
        <f>IF(AND(RecData[[#This Row],[Turbines ON/OFF]] = "OFF", NOT(OR(RecData[[#This Row],[Junk?]]="YES",RecData[[#This Row],[Gust?]],RecData[[#This Row],[Rain?]:[Min SPL Threshold?]]))),1,0)</f>
        <v>0</v>
      </c>
      <c r="DN1300" s="16">
        <f>RecData[[#This Row],[dBA Sum]]</f>
        <v>34.98794907447914</v>
      </c>
      <c r="DO1300" s="16">
        <f>RecData[[#This Row],[LAF90.0]]</f>
        <v>32.9</v>
      </c>
      <c r="DP1300" s="55" t="str">
        <f>IF(AND(RecData[[#This Row],[Useable TON Data?]],RecData[[#This Row],[Turbines ON/OFF]]="ON"),RecData[[#This Row],[dBA Sum]],"")</f>
        <v/>
      </c>
      <c r="DQ1300" s="55" t="str">
        <f>IF(AND(RecData[[#This Row],[Useable Background Data?]],RecData[[#This Row],[Turbines ON/OFF]]="OFF"),RecData[[#This Row],[dBA Sum]],"")</f>
        <v/>
      </c>
      <c r="DR1300" s="3" t="str">
        <f>IF(OR(RecData[[#This Row],[Useable TON Data?]],RecData[[#This Row],[Useable Background Data?]]),ROUND(RecData[[#This Row],[WSpd_Avg '[m/s']]],0),"")</f>
        <v/>
      </c>
      <c r="DS1300" s="85">
        <f>(0.00002)^2*(10^(RecData[[#This Row],[Overall (dBA)]]/10))</f>
        <v>1.2614060184430521E-6</v>
      </c>
    </row>
    <row r="1301" spans="1:123" ht="15" x14ac:dyDescent="0.25">
      <c r="A1301" s="3" t="s">
        <v>249</v>
      </c>
      <c r="B1301" s="12">
        <v>43277.184722222228</v>
      </c>
      <c r="D1301" s="42">
        <v>34.5</v>
      </c>
      <c r="K1301" s="42">
        <v>32.299999999999997</v>
      </c>
      <c r="N1301" s="42">
        <v>166.2</v>
      </c>
      <c r="Q1301" s="42">
        <v>0.75</v>
      </c>
      <c r="R1301" s="42">
        <v>0.5</v>
      </c>
      <c r="S1301" s="42">
        <v>1</v>
      </c>
      <c r="T1301" s="42">
        <v>6.8</v>
      </c>
      <c r="U1301" s="42">
        <v>89.4</v>
      </c>
      <c r="V1301" s="42">
        <v>977.5</v>
      </c>
      <c r="W1301" s="42">
        <v>0</v>
      </c>
      <c r="X1301" s="42">
        <v>37.6</v>
      </c>
      <c r="Y1301" s="42">
        <v>33.799999999999997</v>
      </c>
      <c r="Z1301" s="42">
        <v>31.6</v>
      </c>
      <c r="AA1301" s="42">
        <v>29</v>
      </c>
      <c r="AB1301" s="42">
        <v>24.1</v>
      </c>
      <c r="AC1301" s="42">
        <v>25.3</v>
      </c>
      <c r="AD1301" s="42">
        <v>28.8</v>
      </c>
      <c r="AE1301" s="42">
        <v>33.4</v>
      </c>
      <c r="AF1301" s="42">
        <v>39.4</v>
      </c>
      <c r="AG1301" s="42">
        <v>36.1</v>
      </c>
      <c r="AH1301" s="42">
        <v>32.4</v>
      </c>
      <c r="AI1301" s="42">
        <v>36</v>
      </c>
      <c r="AJ1301" s="42">
        <v>31.9</v>
      </c>
      <c r="AK1301" s="42">
        <v>31</v>
      </c>
      <c r="AL1301" s="42">
        <v>27.4</v>
      </c>
      <c r="AM1301" s="42">
        <v>25.5</v>
      </c>
      <c r="AN1301" s="42">
        <v>22.7</v>
      </c>
      <c r="AO1301" s="42">
        <v>18.100000000000001</v>
      </c>
      <c r="AP1301" s="42">
        <v>15.4</v>
      </c>
      <c r="AQ1301" s="42">
        <v>13.8</v>
      </c>
      <c r="AR1301" s="42">
        <v>10.8</v>
      </c>
      <c r="AS1301" s="42">
        <v>16</v>
      </c>
      <c r="AT1301" s="42">
        <v>17.7</v>
      </c>
      <c r="AU1301" s="42">
        <v>7.2</v>
      </c>
      <c r="AV1301" s="42">
        <v>7.9</v>
      </c>
      <c r="AW1301" s="42">
        <v>8.5</v>
      </c>
      <c r="AX1301" s="42">
        <v>8.8000000000000007</v>
      </c>
      <c r="AY1301" s="42">
        <v>9</v>
      </c>
      <c r="AZ1301" s="42">
        <v>0</v>
      </c>
      <c r="BA1301" s="42">
        <v>0</v>
      </c>
      <c r="BB1301" s="42">
        <v>0</v>
      </c>
      <c r="BC1301" s="42">
        <v>34.511696009009462</v>
      </c>
      <c r="BD1301" s="42">
        <v>37.588303990990532</v>
      </c>
      <c r="BE1301" s="42">
        <v>33.788303990990535</v>
      </c>
      <c r="BF1301" s="42">
        <v>30.348303990990537</v>
      </c>
      <c r="BG1301" s="42">
        <v>28.074970657657197</v>
      </c>
      <c r="BH1301" s="42">
        <v>23.314970657657206</v>
      </c>
      <c r="BI1301" s="42">
        <v>24.928303990990536</v>
      </c>
      <c r="BJ1301" s="42">
        <v>29.221637324323872</v>
      </c>
      <c r="BK1301" s="42">
        <v>33.694970657657201</v>
      </c>
      <c r="BL1301" s="42">
        <v>39.268303990990539</v>
      </c>
      <c r="BM1301" s="42">
        <v>36.101637324323882</v>
      </c>
      <c r="BN1301" s="42">
        <v>32.684970657657196</v>
      </c>
      <c r="BO1301" s="42">
        <v>35.651637324323865</v>
      </c>
      <c r="BP1301" s="42">
        <v>31.268303990990539</v>
      </c>
      <c r="BQ1301" s="42">
        <v>30.78497065765719</v>
      </c>
      <c r="BR1301" s="42">
        <v>27.511637324323871</v>
      </c>
      <c r="BS1301" s="42">
        <v>25.4149706576572</v>
      </c>
      <c r="BT1301" s="42">
        <v>22.811637324323875</v>
      </c>
      <c r="BU1301" s="42">
        <v>18.178303990990543</v>
      </c>
      <c r="BV1301" s="42">
        <v>15.194970657657201</v>
      </c>
      <c r="BW1301" s="42">
        <v>14.128303990990538</v>
      </c>
      <c r="BX1301" s="42">
        <v>11.04830399099054</v>
      </c>
      <c r="BY1301" s="42">
        <v>16.068303990990536</v>
      </c>
      <c r="BZ1301" s="42">
        <v>17.898303990990541</v>
      </c>
      <c r="CA1301" s="42">
        <v>7.4983039909905287</v>
      </c>
      <c r="CB1301" s="42">
        <v>7.6349706576572061</v>
      </c>
      <c r="CC1301" s="42">
        <v>8.4483039909905386</v>
      </c>
      <c r="CD1301" s="42">
        <v>8.0549706576572078</v>
      </c>
      <c r="CE1301" s="42">
        <v>8.4483039909905386</v>
      </c>
      <c r="CF1301" s="42">
        <v>-0.93836267567613163</v>
      </c>
      <c r="CG1301" s="42">
        <v>-1.4716960090094631</v>
      </c>
      <c r="CH1301" s="42">
        <v>-2.5483626756761275</v>
      </c>
      <c r="CI1301" s="13">
        <f>[1]!dbasum(RecData[[#This Row],[20]:[2000]],RecData[[#Headers],[20]:[2000]])</f>
        <v>34.102409471491256</v>
      </c>
      <c r="CJ1301" s="14">
        <v>11411</v>
      </c>
      <c r="CK1301" s="15" t="s">
        <v>249</v>
      </c>
      <c r="CL1301" s="15">
        <f>RecData[[#This Row],[Start Time]]</f>
        <v>43277.184722222228</v>
      </c>
      <c r="CM1301" s="16">
        <f>RecData[[#This Row],[Wind Speed avg]]</f>
        <v>0.75</v>
      </c>
      <c r="CN1301" s="16">
        <f>RecData[[#This Row],[Wind Dir. avg]]</f>
        <v>166.2</v>
      </c>
      <c r="CO1301" s="16">
        <f>RecData[[#This Row],[Amb. Humidity]]</f>
        <v>89.4</v>
      </c>
      <c r="CP1301" s="16">
        <f>RecData[[#This Row],[Amb. Temperature]]</f>
        <v>6.8</v>
      </c>
      <c r="CQ1301" s="17">
        <f>RecData[[#This Row],[Amb. Rain Gauge]]</f>
        <v>0</v>
      </c>
      <c r="CR1301" s="4" t="s">
        <v>1</v>
      </c>
      <c r="CS1301" s="4" t="s">
        <v>49</v>
      </c>
      <c r="CT1301" s="70">
        <v>1191.24145507812</v>
      </c>
      <c r="CU1301" s="70">
        <v>141.00119018554599</v>
      </c>
      <c r="CV1301" s="70">
        <v>8.5982341766357404</v>
      </c>
      <c r="CW1301" s="70">
        <v>14.7909841537475</v>
      </c>
      <c r="CX1301" s="4" t="s">
        <v>49</v>
      </c>
      <c r="CY1301" s="69" t="s">
        <v>255</v>
      </c>
      <c r="CZ1301" s="2" t="b">
        <f>IF($DP$1="YES",IF(RecData[[#This Row],[Power (kW)]]&gt;=$CR$3, TRUE,FALSE),TRUE)</f>
        <v>0</v>
      </c>
      <c r="DA1301" s="16">
        <f>MIN(MOD(180-ABS(ABS($DA$1-RecData[Yaw Angle (°)])-180),360),MOD(180-ABS(ABS($DB$1-RecData[Yaw Angle (°)])-180),360))</f>
        <v>133.47126340785843</v>
      </c>
      <c r="DB1301" s="2" t="str">
        <f>IF($DP$2="None","None",IF(RecData[[#This Row],[Relative Wind Direction]]&lt;=45,"DW",IF(RecData[[#This Row],[Relative Wind Direction]]&lt;=135,"CW","UW")))</f>
        <v>CW</v>
      </c>
      <c r="DC1301" s="61" t="e">
        <f>IF($CL1301-#REF!&gt;1/24,#REF!,IF(SUM($CQ1301:$CQ1301)&gt;$DS$1,$DS$5,#REF!-1))</f>
        <v>#REF!</v>
      </c>
      <c r="DD1301" s="61" t="e">
        <f>IF(#REF!-$CL1301&gt;1/24,#REF!,IF(SUM($CQ1301:$CQ1301)&gt;$DS$1,$DS$6,#REF!-1))</f>
        <v>#REF!</v>
      </c>
      <c r="DE1301" s="18" t="b">
        <v>0</v>
      </c>
      <c r="DF1301" s="2" t="b">
        <f>IF(OR(RecData[[#This Row],[WSpd_Avg '[m/s']]]-RecData[[#This Row],[Wind Speed min]]&gt;=$DF$3,RecData[[#This Row],[Wind Speed max]]-RecData[[#This Row],[WSpd_Avg '[m/s']]]&gt;=$DF$2),TRUE,FALSE)</f>
        <v>0</v>
      </c>
      <c r="DG1301" s="2" t="b">
        <f>RecData[[#This Row],[Temperature '[°C']]]&lt;=-20</f>
        <v>0</v>
      </c>
      <c r="DH1301" s="18" t="b">
        <f>NOT(OR(MOD(RecData[[#This Row],[TIMESTAMP]],1)&gt;0.91632,MOD(RecData[[#This Row],[TIMESTAMP]],1)&lt;0.208681))</f>
        <v>0</v>
      </c>
      <c r="DI1301" s="18" t="b">
        <f>RecData[[#This Row],[Overall (dBA)]]-RecData[[#This Row],[L90]]&gt;=$DS$4</f>
        <v>0</v>
      </c>
      <c r="DJ1301" s="18" t="b">
        <f>RecData[[#This Row],[Overall (dBA)]]&gt;$DS$2</f>
        <v>0</v>
      </c>
      <c r="DK1301" s="18" t="b">
        <f>RecData[[#This Row],[Overall (dBA)]]&lt;$DS$3</f>
        <v>0</v>
      </c>
      <c r="DL1301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1" s="2">
        <f>IF(AND(RecData[[#This Row],[Turbines ON/OFF]] = "OFF", NOT(OR(RecData[[#This Row],[Junk?]]="YES",RecData[[#This Row],[Gust?]],RecData[[#This Row],[Rain?]:[Min SPL Threshold?]]))),1,0)</f>
        <v>0</v>
      </c>
      <c r="DN1301" s="16">
        <f>RecData[[#This Row],[dBA Sum]]</f>
        <v>34.102409471491256</v>
      </c>
      <c r="DO1301" s="16">
        <f>RecData[[#This Row],[LAF90.0]]</f>
        <v>32.299999999999997</v>
      </c>
      <c r="DP1301" s="55" t="str">
        <f>IF(AND(RecData[[#This Row],[Useable TON Data?]],RecData[[#This Row],[Turbines ON/OFF]]="ON"),RecData[[#This Row],[dBA Sum]],"")</f>
        <v/>
      </c>
      <c r="DQ1301" s="55" t="str">
        <f>IF(AND(RecData[[#This Row],[Useable Background Data?]],RecData[[#This Row],[Turbines ON/OFF]]="OFF"),RecData[[#This Row],[dBA Sum]],"")</f>
        <v/>
      </c>
      <c r="DR1301" s="3" t="str">
        <f>IF(OR(RecData[[#This Row],[Useable TON Data?]],RecData[[#This Row],[Useable Background Data?]]),ROUND(RecData[[#This Row],[WSpd_Avg '[m/s']]],0),"")</f>
        <v/>
      </c>
      <c r="DS1301" s="85">
        <f>(0.00002)^2*(10^(RecData[[#This Row],[Overall (dBA)]]/10))</f>
        <v>1.0287288949555719E-6</v>
      </c>
    </row>
    <row r="1302" spans="1:123" ht="15" x14ac:dyDescent="0.25">
      <c r="A1302" s="3" t="s">
        <v>249</v>
      </c>
      <c r="B1302" s="12">
        <v>43277.186805555561</v>
      </c>
      <c r="D1302" s="42">
        <v>34.1</v>
      </c>
      <c r="K1302" s="42">
        <v>31.6</v>
      </c>
      <c r="N1302" s="42">
        <v>126.3</v>
      </c>
      <c r="Q1302" s="42">
        <v>0.46</v>
      </c>
      <c r="R1302" s="42">
        <v>0</v>
      </c>
      <c r="S1302" s="42">
        <v>1.2</v>
      </c>
      <c r="T1302" s="42">
        <v>6.8</v>
      </c>
      <c r="U1302" s="42">
        <v>89.5</v>
      </c>
      <c r="V1302" s="42">
        <v>977.4</v>
      </c>
      <c r="W1302" s="42">
        <v>0</v>
      </c>
      <c r="X1302" s="42">
        <v>37.9</v>
      </c>
      <c r="Y1302" s="42">
        <v>34.700000000000003</v>
      </c>
      <c r="Z1302" s="42">
        <v>33</v>
      </c>
      <c r="AA1302" s="42">
        <v>29.8</v>
      </c>
      <c r="AB1302" s="42">
        <v>25.2</v>
      </c>
      <c r="AC1302" s="42">
        <v>26.2</v>
      </c>
      <c r="AD1302" s="42">
        <v>28.4</v>
      </c>
      <c r="AE1302" s="42">
        <v>32.799999999999997</v>
      </c>
      <c r="AF1302" s="42">
        <v>39.1</v>
      </c>
      <c r="AG1302" s="42">
        <v>35.9</v>
      </c>
      <c r="AH1302" s="42">
        <v>31.6</v>
      </c>
      <c r="AI1302" s="42">
        <v>35.200000000000003</v>
      </c>
      <c r="AJ1302" s="42">
        <v>31.3</v>
      </c>
      <c r="AK1302" s="42">
        <v>30.4</v>
      </c>
      <c r="AL1302" s="42">
        <v>26.9</v>
      </c>
      <c r="AM1302" s="42">
        <v>25.5</v>
      </c>
      <c r="AN1302" s="42">
        <v>22.5</v>
      </c>
      <c r="AO1302" s="42">
        <v>18</v>
      </c>
      <c r="AP1302" s="42">
        <v>16.2</v>
      </c>
      <c r="AQ1302" s="42">
        <v>13.5</v>
      </c>
      <c r="AR1302" s="42">
        <v>10.3</v>
      </c>
      <c r="AS1302" s="42">
        <v>16.7</v>
      </c>
      <c r="AT1302" s="42">
        <v>16.600000000000001</v>
      </c>
      <c r="AU1302" s="42">
        <v>7.3</v>
      </c>
      <c r="AV1302" s="42">
        <v>7.9</v>
      </c>
      <c r="AW1302" s="42">
        <v>8.5</v>
      </c>
      <c r="AX1302" s="42">
        <v>8.8000000000000007</v>
      </c>
      <c r="AY1302" s="42">
        <v>9</v>
      </c>
      <c r="AZ1302" s="42">
        <v>0</v>
      </c>
      <c r="BA1302" s="42">
        <v>0</v>
      </c>
      <c r="BB1302" s="42">
        <v>0</v>
      </c>
      <c r="BC1302" s="42">
        <v>34.061112375451962</v>
      </c>
      <c r="BD1302" s="42">
        <v>37.938887624548038</v>
      </c>
      <c r="BE1302" s="42">
        <v>34.738887624548049</v>
      </c>
      <c r="BF1302" s="42">
        <v>31.798887624548037</v>
      </c>
      <c r="BG1302" s="42">
        <v>28.925554291214702</v>
      </c>
      <c r="BH1302" s="42">
        <v>24.465554291214708</v>
      </c>
      <c r="BI1302" s="42">
        <v>25.878887624548035</v>
      </c>
      <c r="BJ1302" s="42">
        <v>28.872220957881375</v>
      </c>
      <c r="BK1302" s="42">
        <v>33.145554291214701</v>
      </c>
      <c r="BL1302" s="42">
        <v>39.01888762454805</v>
      </c>
      <c r="BM1302" s="42">
        <v>35.952220957881373</v>
      </c>
      <c r="BN1302" s="42">
        <v>31.935554291214707</v>
      </c>
      <c r="BO1302" s="42">
        <v>34.902220957881376</v>
      </c>
      <c r="BP1302" s="42">
        <v>30.718887624548039</v>
      </c>
      <c r="BQ1302" s="42">
        <v>30.23555429121469</v>
      </c>
      <c r="BR1302" s="42">
        <v>27.062220957881372</v>
      </c>
      <c r="BS1302" s="42">
        <v>25.465554291214708</v>
      </c>
      <c r="BT1302" s="42">
        <v>22.662220957881374</v>
      </c>
      <c r="BU1302" s="42">
        <v>18.128887624548042</v>
      </c>
      <c r="BV1302" s="42">
        <v>16.045554291214707</v>
      </c>
      <c r="BW1302" s="42">
        <v>13.878887624548042</v>
      </c>
      <c r="BX1302" s="42">
        <v>10.598887624548048</v>
      </c>
      <c r="BY1302" s="42">
        <v>16.818887624548033</v>
      </c>
      <c r="BZ1302" s="42">
        <v>16.848887624548048</v>
      </c>
      <c r="CA1302" s="42">
        <v>7.6488876245480313</v>
      </c>
      <c r="CB1302" s="42">
        <v>7.6855542912147072</v>
      </c>
      <c r="CC1302" s="42">
        <v>8.4988876245480398</v>
      </c>
      <c r="CD1302" s="42">
        <v>8.1055542912147089</v>
      </c>
      <c r="CE1302" s="42">
        <v>8.4988876245480398</v>
      </c>
      <c r="CF1302" s="42">
        <v>-0.88777904211863046</v>
      </c>
      <c r="CG1302" s="42">
        <v>-1.4211123754519619</v>
      </c>
      <c r="CH1302" s="42">
        <v>-2.4977790421186263</v>
      </c>
      <c r="CI1302" s="13">
        <f>[1]!dbasum(RecData[[#This Row],[20]:[2000]],RecData[[#Headers],[20]:[2000]])</f>
        <v>33.69336834842079</v>
      </c>
      <c r="CJ1302" s="14">
        <v>11414</v>
      </c>
      <c r="CK1302" s="15" t="s">
        <v>249</v>
      </c>
      <c r="CL1302" s="15">
        <f>RecData[[#This Row],[Start Time]]</f>
        <v>43277.186805555561</v>
      </c>
      <c r="CM1302" s="16">
        <f>RecData[[#This Row],[Wind Speed avg]]</f>
        <v>0.46</v>
      </c>
      <c r="CN1302" s="16">
        <f>RecData[[#This Row],[Wind Dir. avg]]</f>
        <v>126.3</v>
      </c>
      <c r="CO1302" s="16">
        <f>RecData[[#This Row],[Amb. Humidity]]</f>
        <v>89.5</v>
      </c>
      <c r="CP1302" s="16">
        <f>RecData[[#This Row],[Amb. Temperature]]</f>
        <v>6.8</v>
      </c>
      <c r="CQ1302" s="17">
        <f>RecData[[#This Row],[Amb. Rain Gauge]]</f>
        <v>0</v>
      </c>
      <c r="CR1302" s="4" t="s">
        <v>1</v>
      </c>
      <c r="CS1302" s="4" t="s">
        <v>49</v>
      </c>
      <c r="CT1302" s="70">
        <v>1191.24145507812</v>
      </c>
      <c r="CU1302" s="70">
        <v>141.00119018554599</v>
      </c>
      <c r="CV1302" s="70">
        <v>8.5982341766357404</v>
      </c>
      <c r="CW1302" s="70">
        <v>14.7909841537475</v>
      </c>
      <c r="CX1302" s="4" t="s">
        <v>49</v>
      </c>
      <c r="CY1302" s="69" t="s">
        <v>255</v>
      </c>
      <c r="CZ1302" s="2" t="b">
        <f>IF($DP$1="YES",IF(RecData[[#This Row],[Power (kW)]]&gt;=$CR$3, TRUE,FALSE),TRUE)</f>
        <v>0</v>
      </c>
      <c r="DA1302" s="16">
        <f>MIN(MOD(180-ABS(ABS($DA$1-RecData[Yaw Angle (°)])-180),360),MOD(180-ABS(ABS($DB$1-RecData[Yaw Angle (°)])-180),360))</f>
        <v>133.47126340785843</v>
      </c>
      <c r="DB1302" s="2" t="str">
        <f>IF($DP$2="None","None",IF(RecData[[#This Row],[Relative Wind Direction]]&lt;=45,"DW",IF(RecData[[#This Row],[Relative Wind Direction]]&lt;=135,"CW","UW")))</f>
        <v>CW</v>
      </c>
      <c r="DC1302" s="61" t="e">
        <f>IF($CL1302-#REF!&gt;1/24,#REF!,IF(SUM($CQ1302:$CQ1302)&gt;$DS$1,$DS$5,#REF!-1))</f>
        <v>#REF!</v>
      </c>
      <c r="DD1302" s="61" t="e">
        <f>IF(#REF!-$CL1302&gt;1/24,#REF!,IF(SUM($CQ1302:$CQ1302)&gt;$DS$1,$DS$6,#REF!-1))</f>
        <v>#REF!</v>
      </c>
      <c r="DE1302" s="18" t="b">
        <v>0</v>
      </c>
      <c r="DF1302" s="2" t="b">
        <f>IF(OR(RecData[[#This Row],[WSpd_Avg '[m/s']]]-RecData[[#This Row],[Wind Speed min]]&gt;=$DF$3,RecData[[#This Row],[Wind Speed max]]-RecData[[#This Row],[WSpd_Avg '[m/s']]]&gt;=$DF$2),TRUE,FALSE)</f>
        <v>0</v>
      </c>
      <c r="DG1302" s="2" t="b">
        <f>RecData[[#This Row],[Temperature '[°C']]]&lt;=-20</f>
        <v>0</v>
      </c>
      <c r="DH1302" s="18" t="b">
        <f>NOT(OR(MOD(RecData[[#This Row],[TIMESTAMP]],1)&gt;0.91632,MOD(RecData[[#This Row],[TIMESTAMP]],1)&lt;0.208681))</f>
        <v>0</v>
      </c>
      <c r="DI1302" s="18" t="b">
        <f>RecData[[#This Row],[Overall (dBA)]]-RecData[[#This Row],[L90]]&gt;=$DS$4</f>
        <v>0</v>
      </c>
      <c r="DJ1302" s="18" t="b">
        <f>RecData[[#This Row],[Overall (dBA)]]&gt;$DS$2</f>
        <v>0</v>
      </c>
      <c r="DK1302" s="18" t="b">
        <f>RecData[[#This Row],[Overall (dBA)]]&lt;$DS$3</f>
        <v>0</v>
      </c>
      <c r="DL1302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2" s="2">
        <f>IF(AND(RecData[[#This Row],[Turbines ON/OFF]] = "OFF", NOT(OR(RecData[[#This Row],[Junk?]]="YES",RecData[[#This Row],[Gust?]],RecData[[#This Row],[Rain?]:[Min SPL Threshold?]]))),1,0)</f>
        <v>0</v>
      </c>
      <c r="DN1302" s="16">
        <f>RecData[[#This Row],[dBA Sum]]</f>
        <v>33.69336834842079</v>
      </c>
      <c r="DO1302" s="16">
        <f>RecData[[#This Row],[LAF90.0]]</f>
        <v>31.6</v>
      </c>
      <c r="DP1302" s="55" t="str">
        <f>IF(AND(RecData[[#This Row],[Useable TON Data?]],RecData[[#This Row],[Turbines ON/OFF]]="ON"),RecData[[#This Row],[dBA Sum]],"")</f>
        <v/>
      </c>
      <c r="DQ1302" s="55" t="str">
        <f>IF(AND(RecData[[#This Row],[Useable Background Data?]],RecData[[#This Row],[Turbines ON/OFF]]="OFF"),RecData[[#This Row],[dBA Sum]],"")</f>
        <v/>
      </c>
      <c r="DR1302" s="3" t="str">
        <f>IF(OR(RecData[[#This Row],[Useable TON Data?]],RecData[[#This Row],[Useable Background Data?]]),ROUND(RecData[[#This Row],[WSpd_Avg '[m/s']]],0),"")</f>
        <v/>
      </c>
      <c r="DS1302" s="85">
        <f>(0.00002)^2*(10^(RecData[[#This Row],[Overall (dBA)]]/10))</f>
        <v>9.3626076925652269E-7</v>
      </c>
    </row>
    <row r="1303" spans="1:123" ht="15" x14ac:dyDescent="0.25">
      <c r="A1303" s="3" t="s">
        <v>249</v>
      </c>
      <c r="B1303" s="12">
        <v>43277.188888888893</v>
      </c>
      <c r="D1303" s="42">
        <v>34.299999999999997</v>
      </c>
      <c r="K1303" s="42">
        <v>32.700000000000003</v>
      </c>
      <c r="N1303" s="42">
        <v>147</v>
      </c>
      <c r="Q1303" s="42">
        <v>0.94</v>
      </c>
      <c r="R1303" s="42">
        <v>0.7</v>
      </c>
      <c r="S1303" s="42">
        <v>1.1000000000000001</v>
      </c>
      <c r="T1303" s="42">
        <v>6.7</v>
      </c>
      <c r="U1303" s="42">
        <v>89.1</v>
      </c>
      <c r="V1303" s="42">
        <v>977.4</v>
      </c>
      <c r="W1303" s="42">
        <v>0</v>
      </c>
      <c r="X1303" s="42">
        <v>38.5</v>
      </c>
      <c r="Y1303" s="42">
        <v>34.4</v>
      </c>
      <c r="Z1303" s="42">
        <v>32.6</v>
      </c>
      <c r="AA1303" s="42">
        <v>29.8</v>
      </c>
      <c r="AB1303" s="42">
        <v>25.3</v>
      </c>
      <c r="AC1303" s="42">
        <v>25.6</v>
      </c>
      <c r="AD1303" s="42">
        <v>29</v>
      </c>
      <c r="AE1303" s="42">
        <v>33</v>
      </c>
      <c r="AF1303" s="42">
        <v>39.1</v>
      </c>
      <c r="AG1303" s="42">
        <v>35.200000000000003</v>
      </c>
      <c r="AH1303" s="42">
        <v>32.299999999999997</v>
      </c>
      <c r="AI1303" s="42">
        <v>35.200000000000003</v>
      </c>
      <c r="AJ1303" s="42">
        <v>31.5</v>
      </c>
      <c r="AK1303" s="42">
        <v>30.5</v>
      </c>
      <c r="AL1303" s="42">
        <v>27</v>
      </c>
      <c r="AM1303" s="42">
        <v>25.1</v>
      </c>
      <c r="AN1303" s="42">
        <v>22.3</v>
      </c>
      <c r="AO1303" s="42">
        <v>18</v>
      </c>
      <c r="AP1303" s="42">
        <v>16.399999999999999</v>
      </c>
      <c r="AQ1303" s="42">
        <v>14</v>
      </c>
      <c r="AR1303" s="42">
        <v>11.2</v>
      </c>
      <c r="AS1303" s="42">
        <v>17.600000000000001</v>
      </c>
      <c r="AT1303" s="42">
        <v>20.8</v>
      </c>
      <c r="AU1303" s="42">
        <v>7.7</v>
      </c>
      <c r="AV1303" s="42">
        <v>8.1</v>
      </c>
      <c r="AW1303" s="42">
        <v>8.6</v>
      </c>
      <c r="AX1303" s="42">
        <v>8.8000000000000007</v>
      </c>
      <c r="AY1303" s="42">
        <v>9</v>
      </c>
      <c r="AZ1303" s="42">
        <v>0</v>
      </c>
      <c r="BA1303" s="42">
        <v>0</v>
      </c>
      <c r="BB1303" s="42">
        <v>0</v>
      </c>
      <c r="BC1303" s="42">
        <v>34.258512291325374</v>
      </c>
      <c r="BD1303" s="42">
        <v>38.541487708674623</v>
      </c>
      <c r="BE1303" s="42">
        <v>34.441487708674615</v>
      </c>
      <c r="BF1303" s="42">
        <v>31.401487708674622</v>
      </c>
      <c r="BG1303" s="42">
        <v>28.928154375341286</v>
      </c>
      <c r="BH1303" s="42">
        <v>24.568154375341294</v>
      </c>
      <c r="BI1303" s="42">
        <v>25.281487708674625</v>
      </c>
      <c r="BJ1303" s="42">
        <v>29.47482104200796</v>
      </c>
      <c r="BK1303" s="42">
        <v>33.348154375341281</v>
      </c>
      <c r="BL1303" s="42">
        <v>39.021487708674627</v>
      </c>
      <c r="BM1303" s="42">
        <v>35.254821042007961</v>
      </c>
      <c r="BN1303" s="42">
        <v>32.638154375341287</v>
      </c>
      <c r="BO1303" s="42">
        <v>34.904821042007953</v>
      </c>
      <c r="BP1303" s="42">
        <v>30.921487708674618</v>
      </c>
      <c r="BQ1303" s="42">
        <v>30.338154375341276</v>
      </c>
      <c r="BR1303" s="42">
        <v>27.164821042007958</v>
      </c>
      <c r="BS1303" s="42">
        <v>25.068154375341294</v>
      </c>
      <c r="BT1303" s="42">
        <v>22.464821042007955</v>
      </c>
      <c r="BU1303" s="42">
        <v>18.131487708674626</v>
      </c>
      <c r="BV1303" s="42">
        <v>16.248154375341286</v>
      </c>
      <c r="BW1303" s="42">
        <v>14.381487708674626</v>
      </c>
      <c r="BX1303" s="42">
        <v>11.501487708674631</v>
      </c>
      <c r="BY1303" s="42">
        <v>17.721487708674623</v>
      </c>
      <c r="BZ1303" s="42">
        <v>21.051487708674628</v>
      </c>
      <c r="CA1303" s="42">
        <v>8.0514877086746139</v>
      </c>
      <c r="CB1303" s="42">
        <v>7.8881543753412871</v>
      </c>
      <c r="CC1303" s="42">
        <v>8.6014877086746253</v>
      </c>
      <c r="CD1303" s="42">
        <v>8.108154375341293</v>
      </c>
      <c r="CE1303" s="42">
        <v>8.5014877086746239</v>
      </c>
      <c r="CF1303" s="42">
        <v>-0.88517895799204638</v>
      </c>
      <c r="CG1303" s="42">
        <v>-1.4185122913253778</v>
      </c>
      <c r="CH1303" s="42">
        <v>-2.4951789579920423</v>
      </c>
      <c r="CI1303" s="13">
        <f>[1]!dbasum(RecData[[#This Row],[20]:[2000]],RecData[[#Headers],[20]:[2000]])</f>
        <v>33.704819356842719</v>
      </c>
      <c r="CJ1303" s="14">
        <v>11417</v>
      </c>
      <c r="CK1303" s="15" t="s">
        <v>249</v>
      </c>
      <c r="CL1303" s="15">
        <f>RecData[[#This Row],[Start Time]]</f>
        <v>43277.188888888893</v>
      </c>
      <c r="CM1303" s="16">
        <f>RecData[[#This Row],[Wind Speed avg]]</f>
        <v>0.94</v>
      </c>
      <c r="CN1303" s="16">
        <f>RecData[[#This Row],[Wind Dir. avg]]</f>
        <v>147</v>
      </c>
      <c r="CO1303" s="16">
        <f>RecData[[#This Row],[Amb. Humidity]]</f>
        <v>89.1</v>
      </c>
      <c r="CP1303" s="16">
        <f>RecData[[#This Row],[Amb. Temperature]]</f>
        <v>6.7</v>
      </c>
      <c r="CQ1303" s="17">
        <f>RecData[[#This Row],[Amb. Rain Gauge]]</f>
        <v>0</v>
      </c>
      <c r="CR1303" s="4" t="s">
        <v>1</v>
      </c>
      <c r="CS1303" s="4" t="s">
        <v>49</v>
      </c>
      <c r="CT1303" s="70">
        <v>1210.25830078125</v>
      </c>
      <c r="CU1303" s="70">
        <v>141.00119018554599</v>
      </c>
      <c r="CV1303" s="70">
        <v>8.6275758743286097</v>
      </c>
      <c r="CW1303" s="70">
        <v>14.861254692077599</v>
      </c>
      <c r="CX1303" s="4" t="s">
        <v>49</v>
      </c>
      <c r="CY1303" s="69" t="s">
        <v>256</v>
      </c>
      <c r="CZ1303" s="2" t="b">
        <f>IF($DP$1="YES",IF(RecData[[#This Row],[Power (kW)]]&gt;=$CR$3, TRUE,FALSE),TRUE)</f>
        <v>0</v>
      </c>
      <c r="DA1303" s="16">
        <f>MIN(MOD(180-ABS(ABS($DA$1-RecData[Yaw Angle (°)])-180),360),MOD(180-ABS(ABS($DB$1-RecData[Yaw Angle (°)])-180),360))</f>
        <v>133.47126340785843</v>
      </c>
      <c r="DB1303" s="2" t="str">
        <f>IF($DP$2="None","None",IF(RecData[[#This Row],[Relative Wind Direction]]&lt;=45,"DW",IF(RecData[[#This Row],[Relative Wind Direction]]&lt;=135,"CW","UW")))</f>
        <v>CW</v>
      </c>
      <c r="DC1303" s="61" t="e">
        <f>IF($CL1303-#REF!&gt;1/24,#REF!,IF(SUM($CQ1302:$CQ1303)&gt;$DS$1,$DS$5,#REF!-1))</f>
        <v>#REF!</v>
      </c>
      <c r="DD1303" s="61" t="e">
        <f>IF(#REF!-$CL1303&gt;1/24,#REF!,IF(SUM($CQ1302:$CQ1303)&gt;$DS$1,$DS$6,#REF!-1))</f>
        <v>#REF!</v>
      </c>
      <c r="DE1303" s="18" t="b">
        <v>0</v>
      </c>
      <c r="DF1303" s="2" t="b">
        <f>IF(OR(RecData[[#This Row],[WSpd_Avg '[m/s']]]-RecData[[#This Row],[Wind Speed min]]&gt;=$DF$3,RecData[[#This Row],[Wind Speed max]]-RecData[[#This Row],[WSpd_Avg '[m/s']]]&gt;=$DF$2),TRUE,FALSE)</f>
        <v>0</v>
      </c>
      <c r="DG1303" s="2" t="b">
        <f>RecData[[#This Row],[Temperature '[°C']]]&lt;=-20</f>
        <v>0</v>
      </c>
      <c r="DH1303" s="18" t="b">
        <f>NOT(OR(MOD(RecData[[#This Row],[TIMESTAMP]],1)&gt;0.91632,MOD(RecData[[#This Row],[TIMESTAMP]],1)&lt;0.208681))</f>
        <v>0</v>
      </c>
      <c r="DI1303" s="18" t="b">
        <f>RecData[[#This Row],[Overall (dBA)]]-RecData[[#This Row],[L90]]&gt;=$DS$4</f>
        <v>0</v>
      </c>
      <c r="DJ1303" s="18" t="b">
        <f>RecData[[#This Row],[Overall (dBA)]]&gt;$DS$2</f>
        <v>0</v>
      </c>
      <c r="DK1303" s="18" t="b">
        <f>RecData[[#This Row],[Overall (dBA)]]&lt;$DS$3</f>
        <v>0</v>
      </c>
      <c r="DL1303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3" s="2">
        <f>IF(AND(RecData[[#This Row],[Turbines ON/OFF]] = "OFF", NOT(OR(RecData[[#This Row],[Junk?]]="YES",RecData[[#This Row],[Gust?]],RecData[[#This Row],[Rain?]:[Min SPL Threshold?]]))),1,0)</f>
        <v>0</v>
      </c>
      <c r="DN1303" s="16">
        <f>RecData[[#This Row],[dBA Sum]]</f>
        <v>33.704819356842719</v>
      </c>
      <c r="DO1303" s="16">
        <f>RecData[[#This Row],[LAF90.0]]</f>
        <v>32.700000000000003</v>
      </c>
      <c r="DP1303" s="55" t="str">
        <f>IF(AND(RecData[[#This Row],[Useable TON Data?]],RecData[[#This Row],[Turbines ON/OFF]]="ON"),RecData[[#This Row],[dBA Sum]],"")</f>
        <v/>
      </c>
      <c r="DQ1303" s="55" t="str">
        <f>IF(AND(RecData[[#This Row],[Useable Background Data?]],RecData[[#This Row],[Turbines ON/OFF]]="OFF"),RecData[[#This Row],[dBA Sum]],"")</f>
        <v/>
      </c>
      <c r="DR1303" s="3" t="str">
        <f>IF(OR(RecData[[#This Row],[Useable TON Data?]],RecData[[#This Row],[Useable Background Data?]]),ROUND(RecData[[#This Row],[WSpd_Avg '[m/s']]],0),"")</f>
        <v/>
      </c>
      <c r="DS1303" s="85">
        <f>(0.00002)^2*(10^(RecData[[#This Row],[Overall (dBA)]]/10))</f>
        <v>9.387326580304683E-7</v>
      </c>
    </row>
    <row r="1304" spans="1:123" ht="15" x14ac:dyDescent="0.25">
      <c r="A1304" s="3" t="s">
        <v>249</v>
      </c>
      <c r="B1304" s="12">
        <v>43278.018750000003</v>
      </c>
      <c r="D1304" s="42">
        <v>30</v>
      </c>
      <c r="K1304" s="42">
        <v>27.2</v>
      </c>
      <c r="N1304" s="42">
        <v>122.8</v>
      </c>
      <c r="Q1304" s="42">
        <v>0.7</v>
      </c>
      <c r="R1304" s="42">
        <v>0.2</v>
      </c>
      <c r="S1304" s="42">
        <v>1</v>
      </c>
      <c r="T1304" s="42">
        <v>10.1</v>
      </c>
      <c r="U1304" s="42">
        <v>76.099999999999994</v>
      </c>
      <c r="V1304" s="42">
        <v>970.1</v>
      </c>
      <c r="W1304" s="42">
        <v>0</v>
      </c>
      <c r="X1304" s="42">
        <v>35.200000000000003</v>
      </c>
      <c r="Y1304" s="42">
        <v>30.9</v>
      </c>
      <c r="Z1304" s="42">
        <v>28.6</v>
      </c>
      <c r="AA1304" s="42">
        <v>26.3</v>
      </c>
      <c r="AB1304" s="42">
        <v>20.9</v>
      </c>
      <c r="AC1304" s="42">
        <v>20.5</v>
      </c>
      <c r="AD1304" s="42">
        <v>24.9</v>
      </c>
      <c r="AE1304" s="42">
        <v>30</v>
      </c>
      <c r="AF1304" s="42">
        <v>32.4</v>
      </c>
      <c r="AG1304" s="42">
        <v>30.2</v>
      </c>
      <c r="AH1304" s="42">
        <v>27.2</v>
      </c>
      <c r="AI1304" s="42">
        <v>31</v>
      </c>
      <c r="AJ1304" s="42">
        <v>27.3</v>
      </c>
      <c r="AK1304" s="42">
        <v>26.3</v>
      </c>
      <c r="AL1304" s="42">
        <v>23.2</v>
      </c>
      <c r="AM1304" s="42">
        <v>20.8</v>
      </c>
      <c r="AN1304" s="42">
        <v>18.7</v>
      </c>
      <c r="AO1304" s="42">
        <v>15.4</v>
      </c>
      <c r="AP1304" s="42">
        <v>12</v>
      </c>
      <c r="AQ1304" s="42">
        <v>11.4</v>
      </c>
      <c r="AR1304" s="42">
        <v>9.1999999999999993</v>
      </c>
      <c r="AS1304" s="42">
        <v>12</v>
      </c>
      <c r="AT1304" s="42">
        <v>14.5</v>
      </c>
      <c r="AU1304" s="42">
        <v>7.7</v>
      </c>
      <c r="AV1304" s="42">
        <v>8.1999999999999993</v>
      </c>
      <c r="AW1304" s="42">
        <v>8.6999999999999993</v>
      </c>
      <c r="AX1304" s="42">
        <v>8.9</v>
      </c>
      <c r="AY1304" s="42">
        <v>9.1999999999999993</v>
      </c>
      <c r="AZ1304" s="42">
        <v>0</v>
      </c>
      <c r="BA1304" s="42">
        <v>0</v>
      </c>
      <c r="BB1304" s="42">
        <v>0</v>
      </c>
      <c r="BC1304" s="42">
        <v>29.946708889117041</v>
      </c>
      <c r="BD1304" s="42">
        <v>35.253291110882962</v>
      </c>
      <c r="BE1304" s="42">
        <v>30.953291110882958</v>
      </c>
      <c r="BF1304" s="42">
        <v>27.413291110882959</v>
      </c>
      <c r="BG1304" s="42">
        <v>25.439957777549623</v>
      </c>
      <c r="BH1304" s="42">
        <v>20.179957777549625</v>
      </c>
      <c r="BI1304" s="42">
        <v>20.19329111088296</v>
      </c>
      <c r="BJ1304" s="42">
        <v>25.386624444216288</v>
      </c>
      <c r="BK1304" s="42">
        <v>30.359957777549617</v>
      </c>
      <c r="BL1304" s="42">
        <v>32.333291110882961</v>
      </c>
      <c r="BM1304" s="42">
        <v>30.266624444216298</v>
      </c>
      <c r="BN1304" s="42">
        <v>27.549957777549629</v>
      </c>
      <c r="BO1304" s="42">
        <v>30.716624444216301</v>
      </c>
      <c r="BP1304" s="42">
        <v>26.733291110882959</v>
      </c>
      <c r="BQ1304" s="42">
        <v>26.149957777549616</v>
      </c>
      <c r="BR1304" s="42">
        <v>23.376624444216297</v>
      </c>
      <c r="BS1304" s="42">
        <v>20.779957777549626</v>
      </c>
      <c r="BT1304" s="42">
        <v>18.876624444216297</v>
      </c>
      <c r="BU1304" s="42">
        <v>15.543291110882961</v>
      </c>
      <c r="BV1304" s="42">
        <v>11.859957777549624</v>
      </c>
      <c r="BW1304" s="42">
        <v>11.793291110882961</v>
      </c>
      <c r="BX1304" s="42">
        <v>9.5132911108829674</v>
      </c>
      <c r="BY1304" s="42">
        <v>12.133291110882958</v>
      </c>
      <c r="BZ1304" s="42">
        <v>14.76329111088296</v>
      </c>
      <c r="CA1304" s="42">
        <v>8.0632911108829504</v>
      </c>
      <c r="CB1304" s="42">
        <v>7.9999577775496249</v>
      </c>
      <c r="CC1304" s="42">
        <v>8.713291110882956</v>
      </c>
      <c r="CD1304" s="42">
        <v>8.2199577775496309</v>
      </c>
      <c r="CE1304" s="42">
        <v>8.713291110882956</v>
      </c>
      <c r="CF1304" s="42">
        <v>-0.8733755557837064</v>
      </c>
      <c r="CG1304" s="42">
        <v>-1.4067088891170378</v>
      </c>
      <c r="CH1304" s="42">
        <v>-2.4833755557837058</v>
      </c>
      <c r="CI1304" s="13">
        <f>[1]!dbasum(RecData[[#This Row],[20]:[2000]],RecData[[#Headers],[20]:[2000]])</f>
        <v>29.45085309879094</v>
      </c>
      <c r="CJ1304" s="14">
        <v>11596</v>
      </c>
      <c r="CK1304" s="15" t="s">
        <v>249</v>
      </c>
      <c r="CL1304" s="15">
        <f>RecData[[#This Row],[Start Time]]</f>
        <v>43278.018750000003</v>
      </c>
      <c r="CM1304" s="16">
        <f>RecData[[#This Row],[Wind Speed avg]]</f>
        <v>0.7</v>
      </c>
      <c r="CN1304" s="16">
        <f>RecData[[#This Row],[Wind Dir. avg]]</f>
        <v>122.8</v>
      </c>
      <c r="CO1304" s="16">
        <f>RecData[[#This Row],[Amb. Humidity]]</f>
        <v>76.099999999999994</v>
      </c>
      <c r="CP1304" s="16">
        <f>RecData[[#This Row],[Amb. Temperature]]</f>
        <v>10.1</v>
      </c>
      <c r="CQ1304" s="17">
        <f>RecData[[#This Row],[Amb. Rain Gauge]]</f>
        <v>0</v>
      </c>
      <c r="CR1304" s="4" t="s">
        <v>1</v>
      </c>
      <c r="CS1304" s="4" t="s">
        <v>49</v>
      </c>
      <c r="CT1304" s="70">
        <v>703.666259765625</v>
      </c>
      <c r="CU1304" s="70">
        <v>107.000915527343</v>
      </c>
      <c r="CV1304" s="70">
        <v>7.4437885284423801</v>
      </c>
      <c r="CW1304" s="70">
        <v>12.511365890502899</v>
      </c>
      <c r="CX1304" s="4" t="s">
        <v>49</v>
      </c>
      <c r="CY1304" s="69" t="s">
        <v>255</v>
      </c>
      <c r="CZ1304" s="2" t="b">
        <f>IF($DP$1="YES",IF(RecData[[#This Row],[Power (kW)]]&gt;=$CR$3, TRUE,FALSE),TRUE)</f>
        <v>0</v>
      </c>
      <c r="DA1304" s="16">
        <f>MIN(MOD(180-ABS(ABS($DA$1-RecData[Yaw Angle (°)])-180),360),MOD(180-ABS(ABS($DB$1-RecData[Yaw Angle (°)])-180),360))</f>
        <v>99.470988749655447</v>
      </c>
      <c r="DB1304" s="2" t="str">
        <f>IF($DP$2="None","None",IF(RecData[[#This Row],[Relative Wind Direction]]&lt;=45,"DW",IF(RecData[[#This Row],[Relative Wind Direction]]&lt;=135,"CW","UW")))</f>
        <v>CW</v>
      </c>
      <c r="DC1304" s="61" t="e">
        <f>IF($CL1304-#REF!&gt;1/24,#REF!,IF(SUM($CQ1304:$CQ1304)&gt;$DS$1,$DS$5,#REF!-1))</f>
        <v>#REF!</v>
      </c>
      <c r="DD1304" s="61" t="e">
        <f>IF(#REF!-$CL1304&gt;1/24,#REF!,IF(SUM($CQ1304:$CQ1304)&gt;$DS$1,$DS$6,#REF!-1))</f>
        <v>#REF!</v>
      </c>
      <c r="DE1304" s="18" t="b">
        <v>0</v>
      </c>
      <c r="DF1304" s="2" t="b">
        <f>IF(OR(RecData[[#This Row],[WSpd_Avg '[m/s']]]-RecData[[#This Row],[Wind Speed min]]&gt;=$DF$3,RecData[[#This Row],[Wind Speed max]]-RecData[[#This Row],[WSpd_Avg '[m/s']]]&gt;=$DF$2),TRUE,FALSE)</f>
        <v>0</v>
      </c>
      <c r="DG1304" s="2" t="b">
        <f>RecData[[#This Row],[Temperature '[°C']]]&lt;=-20</f>
        <v>0</v>
      </c>
      <c r="DH1304" s="18" t="b">
        <f>NOT(OR(MOD(RecData[[#This Row],[TIMESTAMP]],1)&gt;0.91632,MOD(RecData[[#This Row],[TIMESTAMP]],1)&lt;0.208681))</f>
        <v>0</v>
      </c>
      <c r="DI1304" s="18" t="b">
        <f>RecData[[#This Row],[Overall (dBA)]]-RecData[[#This Row],[L90]]&gt;=$DS$4</f>
        <v>0</v>
      </c>
      <c r="DJ1304" s="18" t="b">
        <f>RecData[[#This Row],[Overall (dBA)]]&gt;$DS$2</f>
        <v>0</v>
      </c>
      <c r="DK1304" s="18" t="b">
        <f>RecData[[#This Row],[Overall (dBA)]]&lt;$DS$3</f>
        <v>0</v>
      </c>
      <c r="DL1304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4" s="2">
        <f>IF(AND(RecData[[#This Row],[Turbines ON/OFF]] = "OFF", NOT(OR(RecData[[#This Row],[Junk?]]="YES",RecData[[#This Row],[Gust?]],RecData[[#This Row],[Rain?]:[Min SPL Threshold?]]))),1,0)</f>
        <v>0</v>
      </c>
      <c r="DN1304" s="16">
        <f>RecData[[#This Row],[dBA Sum]]</f>
        <v>29.45085309879094</v>
      </c>
      <c r="DO1304" s="16">
        <f>RecData[[#This Row],[LAF90.0]]</f>
        <v>27.2</v>
      </c>
      <c r="DP1304" s="55" t="str">
        <f>IF(AND(RecData[[#This Row],[Useable TON Data?]],RecData[[#This Row],[Turbines ON/OFF]]="ON"),RecData[[#This Row],[dBA Sum]],"")</f>
        <v/>
      </c>
      <c r="DQ1304" s="55" t="str">
        <f>IF(AND(RecData[[#This Row],[Useable Background Data?]],RecData[[#This Row],[Turbines ON/OFF]]="OFF"),RecData[[#This Row],[dBA Sum]],"")</f>
        <v/>
      </c>
      <c r="DR1304" s="3" t="str">
        <f>IF(OR(RecData[[#This Row],[Useable TON Data?]],RecData[[#This Row],[Useable Background Data?]]),ROUND(RecData[[#This Row],[WSpd_Avg '[m/s']]],0),"")</f>
        <v/>
      </c>
      <c r="DS1304" s="85">
        <f>(0.00002)^2*(10^(RecData[[#This Row],[Overall (dBA)]]/10))</f>
        <v>3.5248878292237418E-7</v>
      </c>
    </row>
    <row r="1305" spans="1:123" ht="15" x14ac:dyDescent="0.25">
      <c r="A1305" s="3" t="s">
        <v>249</v>
      </c>
      <c r="B1305" s="12">
        <v>43278.188194444447</v>
      </c>
      <c r="D1305" s="42">
        <v>28.4</v>
      </c>
      <c r="K1305" s="42">
        <v>26.8</v>
      </c>
      <c r="N1305" s="42">
        <v>151.30000000000001</v>
      </c>
      <c r="Q1305" s="42">
        <v>1.1299999999999999</v>
      </c>
      <c r="R1305" s="42">
        <v>0.7</v>
      </c>
      <c r="S1305" s="42">
        <v>1.5</v>
      </c>
      <c r="T1305" s="42">
        <v>10.7</v>
      </c>
      <c r="U1305" s="42">
        <v>72.5</v>
      </c>
      <c r="V1305" s="42">
        <v>968.2</v>
      </c>
      <c r="W1305" s="42">
        <v>0</v>
      </c>
      <c r="X1305" s="42">
        <v>30.9</v>
      </c>
      <c r="Y1305" s="42">
        <v>29.1</v>
      </c>
      <c r="Z1305" s="42">
        <v>28.1</v>
      </c>
      <c r="AA1305" s="42">
        <v>25.7</v>
      </c>
      <c r="AB1305" s="42">
        <v>21.5</v>
      </c>
      <c r="AC1305" s="42">
        <v>21.5</v>
      </c>
      <c r="AD1305" s="42">
        <v>24.1</v>
      </c>
      <c r="AE1305" s="42">
        <v>27.6</v>
      </c>
      <c r="AF1305" s="42">
        <v>29.7</v>
      </c>
      <c r="AG1305" s="42">
        <v>26.7</v>
      </c>
      <c r="AH1305" s="42">
        <v>24.5</v>
      </c>
      <c r="AI1305" s="42">
        <v>26.3</v>
      </c>
      <c r="AJ1305" s="42">
        <v>24.3</v>
      </c>
      <c r="AK1305" s="42">
        <v>22</v>
      </c>
      <c r="AL1305" s="42">
        <v>19.5</v>
      </c>
      <c r="AM1305" s="42">
        <v>18.3</v>
      </c>
      <c r="AN1305" s="42">
        <v>17.2</v>
      </c>
      <c r="AO1305" s="42">
        <v>15.5</v>
      </c>
      <c r="AP1305" s="42">
        <v>14.4</v>
      </c>
      <c r="AQ1305" s="42">
        <v>16.100000000000001</v>
      </c>
      <c r="AR1305" s="42">
        <v>15.7</v>
      </c>
      <c r="AS1305" s="42">
        <v>14.2</v>
      </c>
      <c r="AT1305" s="42">
        <v>16.8</v>
      </c>
      <c r="AU1305" s="42">
        <v>10</v>
      </c>
      <c r="AV1305" s="42">
        <v>9.4</v>
      </c>
      <c r="AW1305" s="42">
        <v>9.4</v>
      </c>
      <c r="AX1305" s="42">
        <v>9</v>
      </c>
      <c r="AY1305" s="42">
        <v>9.1</v>
      </c>
      <c r="AZ1305" s="42">
        <v>0</v>
      </c>
      <c r="BA1305" s="42">
        <v>0</v>
      </c>
      <c r="BB1305" s="42">
        <v>0</v>
      </c>
      <c r="BC1305" s="42">
        <v>28.336568231800854</v>
      </c>
      <c r="BD1305" s="42">
        <v>30.963431768199143</v>
      </c>
      <c r="BE1305" s="42">
        <v>29.163431768199146</v>
      </c>
      <c r="BF1305" s="42">
        <v>26.923431768199151</v>
      </c>
      <c r="BG1305" s="42">
        <v>24.850098434865806</v>
      </c>
      <c r="BH1305" s="42">
        <v>20.790098434865811</v>
      </c>
      <c r="BI1305" s="42">
        <v>21.203431768199145</v>
      </c>
      <c r="BJ1305" s="42">
        <v>24.596765101532483</v>
      </c>
      <c r="BK1305" s="42">
        <v>27.970098434865804</v>
      </c>
      <c r="BL1305" s="42">
        <v>29.643431768199143</v>
      </c>
      <c r="BM1305" s="42">
        <v>26.776765101532476</v>
      </c>
      <c r="BN1305" s="42">
        <v>24.860098434865812</v>
      </c>
      <c r="BO1305" s="42">
        <v>26.026765101532483</v>
      </c>
      <c r="BP1305" s="42">
        <v>23.743431768199144</v>
      </c>
      <c r="BQ1305" s="42">
        <v>21.860098434865805</v>
      </c>
      <c r="BR1305" s="42">
        <v>19.68676510153248</v>
      </c>
      <c r="BS1305" s="42">
        <v>18.290098434865811</v>
      </c>
      <c r="BT1305" s="42">
        <v>17.386765101532475</v>
      </c>
      <c r="BU1305" s="42">
        <v>15.653431768199148</v>
      </c>
      <c r="BV1305" s="42">
        <v>14.270098434865815</v>
      </c>
      <c r="BW1305" s="42">
        <v>16.50343176819915</v>
      </c>
      <c r="BX1305" s="42">
        <v>16.023431768199146</v>
      </c>
      <c r="BY1305" s="42">
        <v>14.343431768199139</v>
      </c>
      <c r="BZ1305" s="42">
        <v>17.07343176819915</v>
      </c>
      <c r="CA1305" s="42">
        <v>10.37343176819914</v>
      </c>
      <c r="CB1305" s="42">
        <v>9.210098434865813</v>
      </c>
      <c r="CC1305" s="42">
        <v>9.4234317681991442</v>
      </c>
      <c r="CD1305" s="42">
        <v>8.3300984348658176</v>
      </c>
      <c r="CE1305" s="42">
        <v>8.6234317681991399</v>
      </c>
      <c r="CF1305" s="42">
        <v>-0.86323489846752111</v>
      </c>
      <c r="CG1305" s="42">
        <v>-1.3965682318008525</v>
      </c>
      <c r="CH1305" s="42">
        <v>-2.4732348984675205</v>
      </c>
      <c r="CI1305" s="13">
        <f>[1]!dbasum(RecData[[#This Row],[20]:[2000]],RecData[[#Headers],[20]:[2000]])</f>
        <v>27.367330846940181</v>
      </c>
      <c r="CJ1305" s="14">
        <v>11840</v>
      </c>
      <c r="CK1305" s="15" t="s">
        <v>249</v>
      </c>
      <c r="CL1305" s="15">
        <f>RecData[[#This Row],[Start Time]]</f>
        <v>43278.188194444447</v>
      </c>
      <c r="CM1305" s="16">
        <f>RecData[[#This Row],[Wind Speed avg]]</f>
        <v>1.1299999999999999</v>
      </c>
      <c r="CN1305" s="16">
        <f>RecData[[#This Row],[Wind Dir. avg]]</f>
        <v>151.30000000000001</v>
      </c>
      <c r="CO1305" s="16">
        <f>RecData[[#This Row],[Amb. Humidity]]</f>
        <v>72.5</v>
      </c>
      <c r="CP1305" s="16">
        <f>RecData[[#This Row],[Amb. Temperature]]</f>
        <v>10.7</v>
      </c>
      <c r="CQ1305" s="17">
        <f>RecData[[#This Row],[Amb. Rain Gauge]]</f>
        <v>0</v>
      </c>
      <c r="CR1305" s="4" t="s">
        <v>1</v>
      </c>
      <c r="CS1305" s="4" t="s">
        <v>49</v>
      </c>
      <c r="CT1305" s="70">
        <v>417.60772705078102</v>
      </c>
      <c r="CU1305" s="70">
        <v>98.000831604003906</v>
      </c>
      <c r="CV1305" s="70">
        <v>6.4476456642150799</v>
      </c>
      <c r="CW1305" s="70">
        <v>10.597954750061</v>
      </c>
      <c r="CX1305" s="4" t="s">
        <v>49</v>
      </c>
      <c r="CY1305" s="69" t="s">
        <v>256</v>
      </c>
      <c r="CZ1305" s="2" t="b">
        <f>IF($DP$1="YES",IF(RecData[[#This Row],[Power (kW)]]&gt;=$CR$3, TRUE,FALSE),TRUE)</f>
        <v>0</v>
      </c>
      <c r="DA1305" s="16">
        <f>MIN(MOD(180-ABS(ABS($DA$1-RecData[Yaw Angle (°)])-180),360),MOD(180-ABS(ABS($DB$1-RecData[Yaw Angle (°)])-180),360))</f>
        <v>90.470904826316357</v>
      </c>
      <c r="DB1305" s="2" t="str">
        <f>IF($DP$2="None","None",IF(RecData[[#This Row],[Relative Wind Direction]]&lt;=45,"DW",IF(RecData[[#This Row],[Relative Wind Direction]]&lt;=135,"CW","UW")))</f>
        <v>CW</v>
      </c>
      <c r="DC1305" s="61" t="e">
        <f>IF($CL1305-#REF!&gt;1/24,#REF!,IF(SUM($CQ1305:$CQ1305)&gt;$DS$1,$DS$5,DC1306-1))</f>
        <v>#REF!</v>
      </c>
      <c r="DD1305" s="61" t="e">
        <f>IF($CL1306-$CL1305&gt;1/24,#REF!,IF(SUM($CQ1305:$CQ1305)&gt;$DS$1,$DS$6,#REF!-1))</f>
        <v>#REF!</v>
      </c>
      <c r="DE1305" s="18" t="b">
        <v>0</v>
      </c>
      <c r="DF1305" s="2" t="b">
        <f>IF(OR(RecData[[#This Row],[WSpd_Avg '[m/s']]]-RecData[[#This Row],[Wind Speed min]]&gt;=$DF$3,RecData[[#This Row],[Wind Speed max]]-RecData[[#This Row],[WSpd_Avg '[m/s']]]&gt;=$DF$2),TRUE,FALSE)</f>
        <v>0</v>
      </c>
      <c r="DG1305" s="2" t="b">
        <f>RecData[[#This Row],[Temperature '[°C']]]&lt;=-20</f>
        <v>0</v>
      </c>
      <c r="DH1305" s="18" t="b">
        <f>NOT(OR(MOD(RecData[[#This Row],[TIMESTAMP]],1)&gt;0.91632,MOD(RecData[[#This Row],[TIMESTAMP]],1)&lt;0.208681))</f>
        <v>0</v>
      </c>
      <c r="DI1305" s="18" t="b">
        <f>RecData[[#This Row],[Overall (dBA)]]-RecData[[#This Row],[L90]]&gt;=$DS$4</f>
        <v>0</v>
      </c>
      <c r="DJ1305" s="18" t="b">
        <f>RecData[[#This Row],[Overall (dBA)]]&gt;$DS$2</f>
        <v>0</v>
      </c>
      <c r="DK1305" s="18" t="b">
        <f>RecData[[#This Row],[Overall (dBA)]]&lt;$DS$3</f>
        <v>0</v>
      </c>
      <c r="DL1305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5" s="2">
        <f>IF(AND(RecData[[#This Row],[Turbines ON/OFF]] = "OFF", NOT(OR(RecData[[#This Row],[Junk?]]="YES",RecData[[#This Row],[Gust?]],RecData[[#This Row],[Rain?]:[Min SPL Threshold?]]))),1,0)</f>
        <v>0</v>
      </c>
      <c r="DN1305" s="16">
        <f>RecData[[#This Row],[dBA Sum]]</f>
        <v>27.367330846940181</v>
      </c>
      <c r="DO1305" s="16">
        <f>RecData[[#This Row],[LAF90.0]]</f>
        <v>26.8</v>
      </c>
      <c r="DP1305" s="55" t="str">
        <f>IF(AND(RecData[[#This Row],[Useable TON Data?]],RecData[[#This Row],[Turbines ON/OFF]]="ON"),RecData[[#This Row],[dBA Sum]],"")</f>
        <v/>
      </c>
      <c r="DQ1305" s="55" t="str">
        <f>IF(AND(RecData[[#This Row],[Useable Background Data?]],RecData[[#This Row],[Turbines ON/OFF]]="OFF"),RecData[[#This Row],[dBA Sum]],"")</f>
        <v/>
      </c>
      <c r="DR1305" s="3" t="str">
        <f>IF(OR(RecData[[#This Row],[Useable TON Data?]],RecData[[#This Row],[Useable Background Data?]]),ROUND(RecData[[#This Row],[WSpd_Avg '[m/s']]],0),"")</f>
        <v/>
      </c>
      <c r="DS1305" s="85">
        <f>(0.00002)^2*(10^(RecData[[#This Row],[Overall (dBA)]]/10))</f>
        <v>2.1816901759185851E-7</v>
      </c>
    </row>
    <row r="1306" spans="1:123" ht="15" x14ac:dyDescent="0.25">
      <c r="A1306" s="3" t="s">
        <v>249</v>
      </c>
      <c r="B1306" s="12">
        <v>43278.188888888893</v>
      </c>
      <c r="D1306" s="42">
        <v>28.7</v>
      </c>
      <c r="K1306" s="42">
        <v>27.1</v>
      </c>
      <c r="N1306" s="42">
        <v>153</v>
      </c>
      <c r="Q1306" s="42">
        <v>1.21</v>
      </c>
      <c r="R1306" s="42">
        <v>0.9</v>
      </c>
      <c r="S1306" s="42">
        <v>1.4</v>
      </c>
      <c r="T1306" s="42">
        <v>10.6</v>
      </c>
      <c r="U1306" s="42">
        <v>72.8</v>
      </c>
      <c r="V1306" s="42">
        <v>968.2</v>
      </c>
      <c r="W1306" s="42">
        <v>0</v>
      </c>
      <c r="X1306" s="42">
        <v>31.8</v>
      </c>
      <c r="Y1306" s="42">
        <v>28</v>
      </c>
      <c r="Z1306" s="42">
        <v>26.5</v>
      </c>
      <c r="AA1306" s="42">
        <v>23.2</v>
      </c>
      <c r="AB1306" s="42">
        <v>19.5</v>
      </c>
      <c r="AC1306" s="42">
        <v>20</v>
      </c>
      <c r="AD1306" s="42">
        <v>25.4</v>
      </c>
      <c r="AE1306" s="42">
        <v>27.7</v>
      </c>
      <c r="AF1306" s="42">
        <v>30.1</v>
      </c>
      <c r="AG1306" s="42">
        <v>28.5</v>
      </c>
      <c r="AH1306" s="42">
        <v>25.4</v>
      </c>
      <c r="AI1306" s="42">
        <v>27</v>
      </c>
      <c r="AJ1306" s="42">
        <v>25.1</v>
      </c>
      <c r="AK1306" s="42">
        <v>22.1</v>
      </c>
      <c r="AL1306" s="42">
        <v>19.7</v>
      </c>
      <c r="AM1306" s="42">
        <v>18.600000000000001</v>
      </c>
      <c r="AN1306" s="42">
        <v>17.399999999999999</v>
      </c>
      <c r="AO1306" s="42">
        <v>15.7</v>
      </c>
      <c r="AP1306" s="42">
        <v>14.6</v>
      </c>
      <c r="AQ1306" s="42">
        <v>16</v>
      </c>
      <c r="AR1306" s="42">
        <v>15.9</v>
      </c>
      <c r="AS1306" s="42">
        <v>14.1</v>
      </c>
      <c r="AT1306" s="42">
        <v>16.7</v>
      </c>
      <c r="AU1306" s="42">
        <v>11.1</v>
      </c>
      <c r="AV1306" s="42">
        <v>10.3</v>
      </c>
      <c r="AW1306" s="42">
        <v>9.9</v>
      </c>
      <c r="AX1306" s="42">
        <v>9.1</v>
      </c>
      <c r="AY1306" s="42">
        <v>9.1999999999999993</v>
      </c>
      <c r="AZ1306" s="42">
        <v>0</v>
      </c>
      <c r="BA1306" s="42">
        <v>0</v>
      </c>
      <c r="BB1306" s="42">
        <v>0</v>
      </c>
      <c r="BC1306" s="42">
        <v>28.695861959594634</v>
      </c>
      <c r="BD1306" s="42">
        <v>31.804138040405366</v>
      </c>
      <c r="BE1306" s="42">
        <v>28.004138040405369</v>
      </c>
      <c r="BF1306" s="42">
        <v>25.264138040405367</v>
      </c>
      <c r="BG1306" s="42">
        <v>22.290804707072031</v>
      </c>
      <c r="BH1306" s="42">
        <v>18.730804707072036</v>
      </c>
      <c r="BI1306" s="42">
        <v>19.64413804040537</v>
      </c>
      <c r="BJ1306" s="42">
        <v>25.837471373738698</v>
      </c>
      <c r="BK1306" s="42">
        <v>28.01080470707203</v>
      </c>
      <c r="BL1306" s="42">
        <v>29.984138040405366</v>
      </c>
      <c r="BM1306" s="42">
        <v>28.517471373738704</v>
      </c>
      <c r="BN1306" s="42">
        <v>25.700804707072027</v>
      </c>
      <c r="BO1306" s="42">
        <v>26.667471373738703</v>
      </c>
      <c r="BP1306" s="42">
        <v>24.484138040405366</v>
      </c>
      <c r="BQ1306" s="42">
        <v>21.900804707072023</v>
      </c>
      <c r="BR1306" s="42">
        <v>19.8274713737387</v>
      </c>
      <c r="BS1306" s="42">
        <v>18.530804707072033</v>
      </c>
      <c r="BT1306" s="42">
        <v>17.527471373738695</v>
      </c>
      <c r="BU1306" s="42">
        <v>15.794138040405368</v>
      </c>
      <c r="BV1306" s="42">
        <v>14.410804707072035</v>
      </c>
      <c r="BW1306" s="42">
        <v>16.344138040405372</v>
      </c>
      <c r="BX1306" s="42">
        <v>16.164138040405366</v>
      </c>
      <c r="BY1306" s="42">
        <v>14.184138040405362</v>
      </c>
      <c r="BZ1306" s="42">
        <v>16.914138040405366</v>
      </c>
      <c r="CA1306" s="42">
        <v>11.414138040405359</v>
      </c>
      <c r="CB1306" s="42">
        <v>10.050804707072029</v>
      </c>
      <c r="CC1306" s="42">
        <v>9.8641380404053685</v>
      </c>
      <c r="CD1306" s="42">
        <v>8.3708047070720362</v>
      </c>
      <c r="CE1306" s="42">
        <v>8.6641380404053656</v>
      </c>
      <c r="CF1306" s="42">
        <v>-0.92252862626130039</v>
      </c>
      <c r="CG1306" s="42">
        <v>-1.4558619595946318</v>
      </c>
      <c r="CH1306" s="42">
        <v>-2.5325286262612998</v>
      </c>
      <c r="CI1306" s="13">
        <f>[1]!dbasum(RecData[[#This Row],[20]:[2000]],RecData[[#Headers],[20]:[2000]])</f>
        <v>27.70939101226849</v>
      </c>
      <c r="CJ1306" s="14">
        <v>11841</v>
      </c>
      <c r="CK1306" s="15" t="s">
        <v>249</v>
      </c>
      <c r="CL1306" s="15">
        <f>RecData[[#This Row],[Start Time]]</f>
        <v>43278.188888888893</v>
      </c>
      <c r="CM1306" s="16">
        <f>RecData[[#This Row],[Wind Speed avg]]</f>
        <v>1.21</v>
      </c>
      <c r="CN1306" s="16">
        <f>RecData[[#This Row],[Wind Dir. avg]]</f>
        <v>153</v>
      </c>
      <c r="CO1306" s="16">
        <f>RecData[[#This Row],[Amb. Humidity]]</f>
        <v>72.8</v>
      </c>
      <c r="CP1306" s="16">
        <f>RecData[[#This Row],[Amb. Temperature]]</f>
        <v>10.6</v>
      </c>
      <c r="CQ1306" s="17">
        <f>RecData[[#This Row],[Amb. Rain Gauge]]</f>
        <v>0</v>
      </c>
      <c r="CR1306" s="4" t="s">
        <v>1</v>
      </c>
      <c r="CS1306" s="4" t="s">
        <v>49</v>
      </c>
      <c r="CT1306" s="70">
        <v>417.60772705078102</v>
      </c>
      <c r="CU1306" s="70">
        <v>98.000831604003906</v>
      </c>
      <c r="CV1306" s="70">
        <v>6.4476456642150799</v>
      </c>
      <c r="CW1306" s="70">
        <v>10.597954750061</v>
      </c>
      <c r="CX1306" s="4" t="s">
        <v>49</v>
      </c>
      <c r="CY1306" s="69" t="s">
        <v>256</v>
      </c>
      <c r="CZ1306" s="2" t="b">
        <f>IF($DP$1="YES",IF(RecData[[#This Row],[Power (kW)]]&gt;=$CR$3, TRUE,FALSE),TRUE)</f>
        <v>0</v>
      </c>
      <c r="DA1306" s="16">
        <f>MIN(MOD(180-ABS(ABS($DA$1-RecData[Yaw Angle (°)])-180),360),MOD(180-ABS(ABS($DB$1-RecData[Yaw Angle (°)])-180),360))</f>
        <v>90.470904826316357</v>
      </c>
      <c r="DB1306" s="2" t="str">
        <f>IF($DP$2="None","None",IF(RecData[[#This Row],[Relative Wind Direction]]&lt;=45,"DW",IF(RecData[[#This Row],[Relative Wind Direction]]&lt;=135,"CW","UW")))</f>
        <v>CW</v>
      </c>
      <c r="DC1306" s="61" t="e">
        <f>IF($CL1306-#REF!&gt;1/24,#REF!,IF(SUM($CQ1305:$CQ1306)&gt;$DS$1,$DS$5,DC1307-1))</f>
        <v>#REF!</v>
      </c>
      <c r="DD1306" s="61" t="e">
        <f>IF($CL1307-$CL1306&gt;1/24,#REF!,IF(SUM($CQ1305:$CQ1306)&gt;$DS$1,$DS$6,DD1305-1))</f>
        <v>#REF!</v>
      </c>
      <c r="DE1306" s="18" t="b">
        <v>0</v>
      </c>
      <c r="DF1306" s="2" t="b">
        <f>IF(OR(RecData[[#This Row],[WSpd_Avg '[m/s']]]-RecData[[#This Row],[Wind Speed min]]&gt;=$DF$3,RecData[[#This Row],[Wind Speed max]]-RecData[[#This Row],[WSpd_Avg '[m/s']]]&gt;=$DF$2),TRUE,FALSE)</f>
        <v>0</v>
      </c>
      <c r="DG1306" s="2" t="b">
        <f>RecData[[#This Row],[Temperature '[°C']]]&lt;=-20</f>
        <v>0</v>
      </c>
      <c r="DH1306" s="18" t="b">
        <f>NOT(OR(MOD(RecData[[#This Row],[TIMESTAMP]],1)&gt;0.91632,MOD(RecData[[#This Row],[TIMESTAMP]],1)&lt;0.208681))</f>
        <v>0</v>
      </c>
      <c r="DI1306" s="18" t="b">
        <f>RecData[[#This Row],[Overall (dBA)]]-RecData[[#This Row],[L90]]&gt;=$DS$4</f>
        <v>0</v>
      </c>
      <c r="DJ1306" s="18" t="b">
        <f>RecData[[#This Row],[Overall (dBA)]]&gt;$DS$2</f>
        <v>0</v>
      </c>
      <c r="DK1306" s="18" t="b">
        <f>RecData[[#This Row],[Overall (dBA)]]&lt;$DS$3</f>
        <v>0</v>
      </c>
      <c r="DL1306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6" s="2">
        <f>IF(AND(RecData[[#This Row],[Turbines ON/OFF]] = "OFF", NOT(OR(RecData[[#This Row],[Junk?]]="YES",RecData[[#This Row],[Gust?]],RecData[[#This Row],[Rain?]:[Min SPL Threshold?]]))),1,0)</f>
        <v>0</v>
      </c>
      <c r="DN1306" s="16">
        <f>RecData[[#This Row],[dBA Sum]]</f>
        <v>27.70939101226849</v>
      </c>
      <c r="DO1306" s="16">
        <f>RecData[[#This Row],[LAF90.0]]</f>
        <v>27.1</v>
      </c>
      <c r="DP1306" s="55" t="str">
        <f>IF(AND(RecData[[#This Row],[Useable TON Data?]],RecData[[#This Row],[Turbines ON/OFF]]="ON"),RecData[[#This Row],[dBA Sum]],"")</f>
        <v/>
      </c>
      <c r="DQ1306" s="55" t="str">
        <f>IF(AND(RecData[[#This Row],[Useable Background Data?]],RecData[[#This Row],[Turbines ON/OFF]]="OFF"),RecData[[#This Row],[dBA Sum]],"")</f>
        <v/>
      </c>
      <c r="DR1306" s="3" t="str">
        <f>IF(OR(RecData[[#This Row],[Useable TON Data?]],RecData[[#This Row],[Useable Background Data?]]),ROUND(RecData[[#This Row],[WSpd_Avg '[m/s']]],0),"")</f>
        <v/>
      </c>
      <c r="DS1306" s="85">
        <f>(0.00002)^2*(10^(RecData[[#This Row],[Overall (dBA)]]/10))</f>
        <v>2.3604733010378345E-7</v>
      </c>
    </row>
    <row r="1307" spans="1:123" ht="15" x14ac:dyDescent="0.25">
      <c r="A1307" s="3" t="s">
        <v>249</v>
      </c>
      <c r="B1307" s="12">
        <v>43278.18958333334</v>
      </c>
      <c r="D1307" s="42">
        <v>29</v>
      </c>
      <c r="K1307" s="42">
        <v>27.4</v>
      </c>
      <c r="N1307" s="42">
        <v>148.19999999999999</v>
      </c>
      <c r="Q1307" s="42">
        <v>1.17</v>
      </c>
      <c r="R1307" s="42">
        <v>0.6</v>
      </c>
      <c r="S1307" s="42">
        <v>1.6</v>
      </c>
      <c r="T1307" s="42">
        <v>10.6</v>
      </c>
      <c r="U1307" s="42">
        <v>73</v>
      </c>
      <c r="V1307" s="42">
        <v>968.2</v>
      </c>
      <c r="W1307" s="42">
        <v>0</v>
      </c>
      <c r="X1307" s="42">
        <v>30.7</v>
      </c>
      <c r="Y1307" s="42">
        <v>27.5</v>
      </c>
      <c r="Z1307" s="42">
        <v>26.3</v>
      </c>
      <c r="AA1307" s="42">
        <v>23.4</v>
      </c>
      <c r="AB1307" s="42">
        <v>19.5</v>
      </c>
      <c r="AC1307" s="42">
        <v>20.2</v>
      </c>
      <c r="AD1307" s="42">
        <v>25.6</v>
      </c>
      <c r="AE1307" s="42">
        <v>28.7</v>
      </c>
      <c r="AF1307" s="42">
        <v>30.3</v>
      </c>
      <c r="AG1307" s="42">
        <v>27.8</v>
      </c>
      <c r="AH1307" s="42">
        <v>25.6</v>
      </c>
      <c r="AI1307" s="42">
        <v>27.3</v>
      </c>
      <c r="AJ1307" s="42">
        <v>25.1</v>
      </c>
      <c r="AK1307" s="42">
        <v>22.7</v>
      </c>
      <c r="AL1307" s="42">
        <v>20.399999999999999</v>
      </c>
      <c r="AM1307" s="42">
        <v>18.8</v>
      </c>
      <c r="AN1307" s="42">
        <v>17.7</v>
      </c>
      <c r="AO1307" s="42">
        <v>15.9</v>
      </c>
      <c r="AP1307" s="42">
        <v>15</v>
      </c>
      <c r="AQ1307" s="42">
        <v>16.2</v>
      </c>
      <c r="AR1307" s="42">
        <v>15.9</v>
      </c>
      <c r="AS1307" s="42">
        <v>14.3</v>
      </c>
      <c r="AT1307" s="42">
        <v>17.5</v>
      </c>
      <c r="AU1307" s="42">
        <v>10.8</v>
      </c>
      <c r="AV1307" s="42">
        <v>10</v>
      </c>
      <c r="AW1307" s="42">
        <v>9.6999999999999993</v>
      </c>
      <c r="AX1307" s="42">
        <v>9.1</v>
      </c>
      <c r="AY1307" s="42">
        <v>9.1999999999999993</v>
      </c>
      <c r="AZ1307" s="42">
        <v>0</v>
      </c>
      <c r="BA1307" s="42">
        <v>0</v>
      </c>
      <c r="BB1307" s="42">
        <v>0</v>
      </c>
      <c r="BC1307" s="42">
        <v>28.949628013645071</v>
      </c>
      <c r="BD1307" s="42">
        <v>30.750371986354931</v>
      </c>
      <c r="BE1307" s="42">
        <v>27.550371986354929</v>
      </c>
      <c r="BF1307" s="42">
        <v>25.110371986354931</v>
      </c>
      <c r="BG1307" s="42">
        <v>22.537038653021593</v>
      </c>
      <c r="BH1307" s="42">
        <v>18.777038653021602</v>
      </c>
      <c r="BI1307" s="42">
        <v>19.890371986354932</v>
      </c>
      <c r="BJ1307" s="42">
        <v>26.08370531968826</v>
      </c>
      <c r="BK1307" s="42">
        <v>29.057038653021589</v>
      </c>
      <c r="BL1307" s="42">
        <v>30.230371986354928</v>
      </c>
      <c r="BM1307" s="42">
        <v>27.863705319688261</v>
      </c>
      <c r="BN1307" s="42">
        <v>25.947038653021597</v>
      </c>
      <c r="BO1307" s="42">
        <v>27.013705319688267</v>
      </c>
      <c r="BP1307" s="42">
        <v>24.530371986354933</v>
      </c>
      <c r="BQ1307" s="42">
        <v>22.547038653021584</v>
      </c>
      <c r="BR1307" s="42">
        <v>20.573705319688262</v>
      </c>
      <c r="BS1307" s="42">
        <v>18.777038653021595</v>
      </c>
      <c r="BT1307" s="42">
        <v>17.873705319688266</v>
      </c>
      <c r="BU1307" s="42">
        <v>16.040371986354931</v>
      </c>
      <c r="BV1307" s="42">
        <v>14.857038653021593</v>
      </c>
      <c r="BW1307" s="42">
        <v>16.590371986354935</v>
      </c>
      <c r="BX1307" s="42">
        <v>16.210371986354932</v>
      </c>
      <c r="BY1307" s="42">
        <v>14.430371986354924</v>
      </c>
      <c r="BZ1307" s="42">
        <v>17.760371986354937</v>
      </c>
      <c r="CA1307" s="42">
        <v>11.160371986354921</v>
      </c>
      <c r="CB1307" s="42">
        <v>9.7970386530215912</v>
      </c>
      <c r="CC1307" s="42">
        <v>9.7103719863549252</v>
      </c>
      <c r="CD1307" s="42">
        <v>8.4170386530216028</v>
      </c>
      <c r="CE1307" s="42">
        <v>8.7103719863549252</v>
      </c>
      <c r="CF1307" s="42">
        <v>-0.8762946803117373</v>
      </c>
      <c r="CG1307" s="42">
        <v>-1.4096280136450687</v>
      </c>
      <c r="CH1307" s="42">
        <v>-2.4862946803117367</v>
      </c>
      <c r="CI1307" s="13">
        <f>[1]!dbasum(RecData[[#This Row],[20]:[2000]],RecData[[#Headers],[20]:[2000]])</f>
        <v>27.989540919581877</v>
      </c>
      <c r="CJ1307" s="14">
        <v>11842</v>
      </c>
      <c r="CK1307" s="15" t="s">
        <v>249</v>
      </c>
      <c r="CL1307" s="15">
        <f>RecData[[#This Row],[Start Time]]</f>
        <v>43278.18958333334</v>
      </c>
      <c r="CM1307" s="16">
        <f>RecData[[#This Row],[Wind Speed avg]]</f>
        <v>1.17</v>
      </c>
      <c r="CN1307" s="16">
        <f>RecData[[#This Row],[Wind Dir. avg]]</f>
        <v>148.19999999999999</v>
      </c>
      <c r="CO1307" s="16">
        <f>RecData[[#This Row],[Amb. Humidity]]</f>
        <v>73</v>
      </c>
      <c r="CP1307" s="16">
        <f>RecData[[#This Row],[Amb. Temperature]]</f>
        <v>10.6</v>
      </c>
      <c r="CQ1307" s="17">
        <f>RecData[[#This Row],[Amb. Rain Gauge]]</f>
        <v>0</v>
      </c>
      <c r="CR1307" s="4" t="s">
        <v>1</v>
      </c>
      <c r="CS1307" s="4" t="s">
        <v>49</v>
      </c>
      <c r="CT1307" s="70">
        <v>417.60772705078102</v>
      </c>
      <c r="CU1307" s="70">
        <v>98.000831604003906</v>
      </c>
      <c r="CV1307" s="70">
        <v>6.4476456642150799</v>
      </c>
      <c r="CW1307" s="70">
        <v>10.597954750061</v>
      </c>
      <c r="CX1307" s="4" t="s">
        <v>49</v>
      </c>
      <c r="CY1307" s="69" t="s">
        <v>256</v>
      </c>
      <c r="CZ1307" s="2" t="b">
        <f>IF($DP$1="YES",IF(RecData[[#This Row],[Power (kW)]]&gt;=$CR$3, TRUE,FALSE),TRUE)</f>
        <v>0</v>
      </c>
      <c r="DA1307" s="16">
        <f>MIN(MOD(180-ABS(ABS($DA$1-RecData[Yaw Angle (°)])-180),360),MOD(180-ABS(ABS($DB$1-RecData[Yaw Angle (°)])-180),360))</f>
        <v>90.470904826316357</v>
      </c>
      <c r="DB1307" s="2" t="str">
        <f>IF($DP$2="None","None",IF(RecData[[#This Row],[Relative Wind Direction]]&lt;=45,"DW",IF(RecData[[#This Row],[Relative Wind Direction]]&lt;=135,"CW","UW")))</f>
        <v>CW</v>
      </c>
      <c r="DC1307" s="61" t="e">
        <f>IF($CL1307-#REF!&gt;1/24,#REF!,IF(SUM($CQ1305:$CQ1307)&gt;$DS$1,$DS$5,DC1308-1))</f>
        <v>#REF!</v>
      </c>
      <c r="DD1307" s="61" t="e">
        <f>IF($CL1308-$CL1307&gt;1/24,#REF!,IF(SUM($CQ1305:$CQ1307)&gt;$DS$1,$DS$6,DD1306-1))</f>
        <v>#REF!</v>
      </c>
      <c r="DE1307" s="18" t="b">
        <v>0</v>
      </c>
      <c r="DF1307" s="2" t="b">
        <f>IF(OR(RecData[[#This Row],[WSpd_Avg '[m/s']]]-RecData[[#This Row],[Wind Speed min]]&gt;=$DF$3,RecData[[#This Row],[Wind Speed max]]-RecData[[#This Row],[WSpd_Avg '[m/s']]]&gt;=$DF$2),TRUE,FALSE)</f>
        <v>0</v>
      </c>
      <c r="DG1307" s="2" t="b">
        <f>RecData[[#This Row],[Temperature '[°C']]]&lt;=-20</f>
        <v>0</v>
      </c>
      <c r="DH1307" s="18" t="b">
        <f>NOT(OR(MOD(RecData[[#This Row],[TIMESTAMP]],1)&gt;0.91632,MOD(RecData[[#This Row],[TIMESTAMP]],1)&lt;0.208681))</f>
        <v>0</v>
      </c>
      <c r="DI1307" s="18" t="b">
        <f>RecData[[#This Row],[Overall (dBA)]]-RecData[[#This Row],[L90]]&gt;=$DS$4</f>
        <v>0</v>
      </c>
      <c r="DJ1307" s="18" t="b">
        <f>RecData[[#This Row],[Overall (dBA)]]&gt;$DS$2</f>
        <v>0</v>
      </c>
      <c r="DK1307" s="18" t="b">
        <f>RecData[[#This Row],[Overall (dBA)]]&lt;$DS$3</f>
        <v>0</v>
      </c>
      <c r="DL1307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7" s="2">
        <f>IF(AND(RecData[[#This Row],[Turbines ON/OFF]] = "OFF", NOT(OR(RecData[[#This Row],[Junk?]]="YES",RecData[[#This Row],[Gust?]],RecData[[#This Row],[Rain?]:[Min SPL Threshold?]]))),1,0)</f>
        <v>0</v>
      </c>
      <c r="DN1307" s="16">
        <f>RecData[[#This Row],[dBA Sum]]</f>
        <v>27.989540919581877</v>
      </c>
      <c r="DO1307" s="16">
        <f>RecData[[#This Row],[LAF90.0]]</f>
        <v>27.4</v>
      </c>
      <c r="DP1307" s="55" t="str">
        <f>IF(AND(RecData[[#This Row],[Useable TON Data?]],RecData[[#This Row],[Turbines ON/OFF]]="ON"),RecData[[#This Row],[dBA Sum]],"")</f>
        <v/>
      </c>
      <c r="DQ1307" s="55" t="str">
        <f>IF(AND(RecData[[#This Row],[Useable Background Data?]],RecData[[#This Row],[Turbines ON/OFF]]="OFF"),RecData[[#This Row],[dBA Sum]],"")</f>
        <v/>
      </c>
      <c r="DR1307" s="3" t="str">
        <f>IF(OR(RecData[[#This Row],[Useable TON Data?]],RecData[[#This Row],[Useable Background Data?]]),ROUND(RecData[[#This Row],[WSpd_Avg '[m/s']]],0),"")</f>
        <v/>
      </c>
      <c r="DS1307" s="85">
        <f>(0.00002)^2*(10^(RecData[[#This Row],[Overall (dBA)]]/10))</f>
        <v>2.5177585722212979E-7</v>
      </c>
    </row>
    <row r="1308" spans="1:123" ht="15" x14ac:dyDescent="0.25">
      <c r="A1308" s="3" t="s">
        <v>249</v>
      </c>
      <c r="B1308" s="12">
        <v>43278.19027777778</v>
      </c>
      <c r="D1308" s="42">
        <v>28.7</v>
      </c>
      <c r="K1308" s="42">
        <v>26.9</v>
      </c>
      <c r="N1308" s="42">
        <v>148</v>
      </c>
      <c r="Q1308" s="42">
        <v>1.18</v>
      </c>
      <c r="R1308" s="42">
        <v>0.9</v>
      </c>
      <c r="S1308" s="42">
        <v>1.6</v>
      </c>
      <c r="T1308" s="42">
        <v>10.6</v>
      </c>
      <c r="U1308" s="42">
        <v>73</v>
      </c>
      <c r="V1308" s="42">
        <v>968.2</v>
      </c>
      <c r="W1308" s="42">
        <v>0</v>
      </c>
      <c r="X1308" s="42">
        <v>32.200000000000003</v>
      </c>
      <c r="Y1308" s="42">
        <v>28.7</v>
      </c>
      <c r="Z1308" s="42">
        <v>27</v>
      </c>
      <c r="AA1308" s="42">
        <v>24</v>
      </c>
      <c r="AB1308" s="42">
        <v>19.7</v>
      </c>
      <c r="AC1308" s="42">
        <v>20.100000000000001</v>
      </c>
      <c r="AD1308" s="42">
        <v>26</v>
      </c>
      <c r="AE1308" s="42">
        <v>29.3</v>
      </c>
      <c r="AF1308" s="42">
        <v>30.9</v>
      </c>
      <c r="AG1308" s="42">
        <v>27.4</v>
      </c>
      <c r="AH1308" s="42">
        <v>26</v>
      </c>
      <c r="AI1308" s="42">
        <v>27.3</v>
      </c>
      <c r="AJ1308" s="42">
        <v>25.3</v>
      </c>
      <c r="AK1308" s="42">
        <v>22.3</v>
      </c>
      <c r="AL1308" s="42">
        <v>20</v>
      </c>
      <c r="AM1308" s="42">
        <v>18.600000000000001</v>
      </c>
      <c r="AN1308" s="42">
        <v>17.5</v>
      </c>
      <c r="AO1308" s="42">
        <v>15.7</v>
      </c>
      <c r="AP1308" s="42">
        <v>14.4</v>
      </c>
      <c r="AQ1308" s="42">
        <v>15.7</v>
      </c>
      <c r="AR1308" s="42">
        <v>15.4</v>
      </c>
      <c r="AS1308" s="42">
        <v>13.7</v>
      </c>
      <c r="AT1308" s="42">
        <v>16.5</v>
      </c>
      <c r="AU1308" s="42">
        <v>9.9</v>
      </c>
      <c r="AV1308" s="42">
        <v>9.4</v>
      </c>
      <c r="AW1308" s="42">
        <v>9.3000000000000007</v>
      </c>
      <c r="AX1308" s="42">
        <v>9</v>
      </c>
      <c r="AY1308" s="42">
        <v>9.1</v>
      </c>
      <c r="AZ1308" s="42">
        <v>0</v>
      </c>
      <c r="BA1308" s="42">
        <v>0</v>
      </c>
      <c r="BB1308" s="42">
        <v>0</v>
      </c>
      <c r="BC1308" s="42">
        <v>28.674207373502373</v>
      </c>
      <c r="BD1308" s="42">
        <v>32.225792626497636</v>
      </c>
      <c r="BE1308" s="42">
        <v>28.725792626497626</v>
      </c>
      <c r="BF1308" s="42">
        <v>25.785792626497628</v>
      </c>
      <c r="BG1308" s="42">
        <v>23.112459293164289</v>
      </c>
      <c r="BH1308" s="42">
        <v>18.952459293164292</v>
      </c>
      <c r="BI1308" s="42">
        <v>19.765792626497625</v>
      </c>
      <c r="BJ1308" s="42">
        <v>26.45912595983096</v>
      </c>
      <c r="BK1308" s="42">
        <v>29.632459293164285</v>
      </c>
      <c r="BL1308" s="42">
        <v>30.805792626497624</v>
      </c>
      <c r="BM1308" s="42">
        <v>27.439125959830957</v>
      </c>
      <c r="BN1308" s="42">
        <v>26.322459293164297</v>
      </c>
      <c r="BO1308" s="42">
        <v>26.989125959830968</v>
      </c>
      <c r="BP1308" s="42">
        <v>24.705792626497622</v>
      </c>
      <c r="BQ1308" s="42">
        <v>22.12245929316428</v>
      </c>
      <c r="BR1308" s="42">
        <v>20.149125959830965</v>
      </c>
      <c r="BS1308" s="42">
        <v>18.552459293164294</v>
      </c>
      <c r="BT1308" s="42">
        <v>17.649125959830965</v>
      </c>
      <c r="BU1308" s="42">
        <v>15.815792626497629</v>
      </c>
      <c r="BV1308" s="42">
        <v>14.232459293164293</v>
      </c>
      <c r="BW1308" s="42">
        <v>16.065792626497629</v>
      </c>
      <c r="BX1308" s="42">
        <v>15.685792626497634</v>
      </c>
      <c r="BY1308" s="42">
        <v>13.805792626497624</v>
      </c>
      <c r="BZ1308" s="42">
        <v>16.735792626497631</v>
      </c>
      <c r="CA1308" s="42">
        <v>10.235792626497624</v>
      </c>
      <c r="CB1308" s="42">
        <v>9.172459293164291</v>
      </c>
      <c r="CC1308" s="42">
        <v>9.2857926264976278</v>
      </c>
      <c r="CD1308" s="42">
        <v>8.2924592931642955</v>
      </c>
      <c r="CE1308" s="42">
        <v>8.585792626497625</v>
      </c>
      <c r="CF1308" s="42">
        <v>-0.9008740401690396</v>
      </c>
      <c r="CG1308" s="42">
        <v>-1.434207373502371</v>
      </c>
      <c r="CH1308" s="42">
        <v>-2.510874040169039</v>
      </c>
      <c r="CI1308" s="13">
        <f>[1]!dbasum(RecData[[#This Row],[20]:[2000]],RecData[[#Headers],[20]:[2000]])</f>
        <v>27.795404925498307</v>
      </c>
      <c r="CJ1308" s="14">
        <v>11843</v>
      </c>
      <c r="CK1308" s="15" t="s">
        <v>249</v>
      </c>
      <c r="CL1308" s="15">
        <f>RecData[[#This Row],[Start Time]]</f>
        <v>43278.19027777778</v>
      </c>
      <c r="CM1308" s="16">
        <f>RecData[[#This Row],[Wind Speed avg]]</f>
        <v>1.18</v>
      </c>
      <c r="CN1308" s="16">
        <f>RecData[[#This Row],[Wind Dir. avg]]</f>
        <v>148</v>
      </c>
      <c r="CO1308" s="16">
        <f>RecData[[#This Row],[Amb. Humidity]]</f>
        <v>73</v>
      </c>
      <c r="CP1308" s="16">
        <f>RecData[[#This Row],[Amb. Temperature]]</f>
        <v>10.6</v>
      </c>
      <c r="CQ1308" s="17">
        <f>RecData[[#This Row],[Amb. Rain Gauge]]</f>
        <v>0</v>
      </c>
      <c r="CR1308" s="4" t="s">
        <v>1</v>
      </c>
      <c r="CS1308" s="4" t="s">
        <v>49</v>
      </c>
      <c r="CT1308" s="70">
        <v>417.60772705078102</v>
      </c>
      <c r="CU1308" s="70">
        <v>98.000831604003906</v>
      </c>
      <c r="CV1308" s="70">
        <v>6.4476456642150799</v>
      </c>
      <c r="CW1308" s="70">
        <v>10.597954750061</v>
      </c>
      <c r="CX1308" s="4" t="s">
        <v>49</v>
      </c>
      <c r="CY1308" s="69" t="s">
        <v>256</v>
      </c>
      <c r="CZ1308" s="2" t="b">
        <f>IF($DP$1="YES",IF(RecData[[#This Row],[Power (kW)]]&gt;=$CR$3, TRUE,FALSE),TRUE)</f>
        <v>0</v>
      </c>
      <c r="DA1308" s="16">
        <f>MIN(MOD(180-ABS(ABS($DA$1-RecData[Yaw Angle (°)])-180),360),MOD(180-ABS(ABS($DB$1-RecData[Yaw Angle (°)])-180),360))</f>
        <v>90.470904826316357</v>
      </c>
      <c r="DB1308" s="2" t="str">
        <f>IF($DP$2="None","None",IF(RecData[[#This Row],[Relative Wind Direction]]&lt;=45,"DW",IF(RecData[[#This Row],[Relative Wind Direction]]&lt;=135,"CW","UW")))</f>
        <v>CW</v>
      </c>
      <c r="DC1308" s="61" t="e">
        <f>IF($CL1308-#REF!&gt;1/24,#REF!,IF(SUM($CQ1305:$CQ1308)&gt;$DS$1,$DS$5,DC1309-1))</f>
        <v>#REF!</v>
      </c>
      <c r="DD1308" s="61" t="e">
        <f>IF($CL1309-$CL1308&gt;1/24,#REF!,IF(SUM($CQ1305:$CQ1308)&gt;$DS$1,$DS$6,DD1307-1))</f>
        <v>#REF!</v>
      </c>
      <c r="DE1308" s="18" t="b">
        <v>0</v>
      </c>
      <c r="DF1308" s="2" t="b">
        <f>IF(OR(RecData[[#This Row],[WSpd_Avg '[m/s']]]-RecData[[#This Row],[Wind Speed min]]&gt;=$DF$3,RecData[[#This Row],[Wind Speed max]]-RecData[[#This Row],[WSpd_Avg '[m/s']]]&gt;=$DF$2),TRUE,FALSE)</f>
        <v>0</v>
      </c>
      <c r="DG1308" s="2" t="b">
        <f>RecData[[#This Row],[Temperature '[°C']]]&lt;=-20</f>
        <v>0</v>
      </c>
      <c r="DH1308" s="18" t="b">
        <f>NOT(OR(MOD(RecData[[#This Row],[TIMESTAMP]],1)&gt;0.91632,MOD(RecData[[#This Row],[TIMESTAMP]],1)&lt;0.208681))</f>
        <v>0</v>
      </c>
      <c r="DI1308" s="18" t="b">
        <f>RecData[[#This Row],[Overall (dBA)]]-RecData[[#This Row],[L90]]&gt;=$DS$4</f>
        <v>0</v>
      </c>
      <c r="DJ1308" s="18" t="b">
        <f>RecData[[#This Row],[Overall (dBA)]]&gt;$DS$2</f>
        <v>0</v>
      </c>
      <c r="DK1308" s="18" t="b">
        <f>RecData[[#This Row],[Overall (dBA)]]&lt;$DS$3</f>
        <v>0</v>
      </c>
      <c r="DL1308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8" s="2">
        <f>IF(AND(RecData[[#This Row],[Turbines ON/OFF]] = "OFF", NOT(OR(RecData[[#This Row],[Junk?]]="YES",RecData[[#This Row],[Gust?]],RecData[[#This Row],[Rain?]:[Min SPL Threshold?]]))),1,0)</f>
        <v>0</v>
      </c>
      <c r="DN1308" s="16">
        <f>RecData[[#This Row],[dBA Sum]]</f>
        <v>27.795404925498307</v>
      </c>
      <c r="DO1308" s="16">
        <f>RecData[[#This Row],[LAF90.0]]</f>
        <v>26.9</v>
      </c>
      <c r="DP1308" s="55" t="str">
        <f>IF(AND(RecData[[#This Row],[Useable TON Data?]],RecData[[#This Row],[Turbines ON/OFF]]="ON"),RecData[[#This Row],[dBA Sum]],"")</f>
        <v/>
      </c>
      <c r="DQ1308" s="55" t="str">
        <f>IF(AND(RecData[[#This Row],[Useable Background Data?]],RecData[[#This Row],[Turbines ON/OFF]]="OFF"),RecData[[#This Row],[dBA Sum]],"")</f>
        <v/>
      </c>
      <c r="DR1308" s="3" t="str">
        <f>IF(OR(RecData[[#This Row],[Useable TON Data?]],RecData[[#This Row],[Useable Background Data?]]),ROUND(RecData[[#This Row],[WSpd_Avg '[m/s']]],0),"")</f>
        <v/>
      </c>
      <c r="DS1308" s="85">
        <f>(0.00002)^2*(10^(RecData[[#This Row],[Overall (dBA)]]/10))</f>
        <v>2.4076895281858965E-7</v>
      </c>
    </row>
    <row r="1309" spans="1:123" ht="15" x14ac:dyDescent="0.25">
      <c r="A1309" s="3" t="s">
        <v>249</v>
      </c>
      <c r="B1309" s="12">
        <v>43278.190972222226</v>
      </c>
      <c r="D1309" s="42">
        <v>28.1</v>
      </c>
      <c r="K1309" s="42">
        <v>26.4</v>
      </c>
      <c r="N1309" s="42">
        <v>160.5</v>
      </c>
      <c r="Q1309" s="42">
        <v>1.22</v>
      </c>
      <c r="R1309" s="42">
        <v>0.8</v>
      </c>
      <c r="S1309" s="42">
        <v>1.9</v>
      </c>
      <c r="T1309" s="42">
        <v>10.5</v>
      </c>
      <c r="U1309" s="42">
        <v>73.2</v>
      </c>
      <c r="V1309" s="42">
        <v>968.2</v>
      </c>
      <c r="W1309" s="42">
        <v>0</v>
      </c>
      <c r="X1309" s="42">
        <v>30.7</v>
      </c>
      <c r="Y1309" s="42">
        <v>27.4</v>
      </c>
      <c r="Z1309" s="42">
        <v>26.2</v>
      </c>
      <c r="AA1309" s="42">
        <v>23</v>
      </c>
      <c r="AB1309" s="42">
        <v>19.100000000000001</v>
      </c>
      <c r="AC1309" s="42">
        <v>19.7</v>
      </c>
      <c r="AD1309" s="42">
        <v>24.6</v>
      </c>
      <c r="AE1309" s="42">
        <v>28</v>
      </c>
      <c r="AF1309" s="42">
        <v>29.7</v>
      </c>
      <c r="AG1309" s="42">
        <v>26.8</v>
      </c>
      <c r="AH1309" s="42">
        <v>24.9</v>
      </c>
      <c r="AI1309" s="42">
        <v>26.5</v>
      </c>
      <c r="AJ1309" s="42">
        <v>24.5</v>
      </c>
      <c r="AK1309" s="42">
        <v>21.6</v>
      </c>
      <c r="AL1309" s="42">
        <v>19.2</v>
      </c>
      <c r="AM1309" s="42">
        <v>17.8</v>
      </c>
      <c r="AN1309" s="42">
        <v>16.7</v>
      </c>
      <c r="AO1309" s="42">
        <v>15</v>
      </c>
      <c r="AP1309" s="42">
        <v>14.1</v>
      </c>
      <c r="AQ1309" s="42">
        <v>15.7</v>
      </c>
      <c r="AR1309" s="42">
        <v>15.5</v>
      </c>
      <c r="AS1309" s="42">
        <v>13.5</v>
      </c>
      <c r="AT1309" s="42">
        <v>15.6</v>
      </c>
      <c r="AU1309" s="42">
        <v>10.9</v>
      </c>
      <c r="AV1309" s="42">
        <v>10.1</v>
      </c>
      <c r="AW1309" s="42">
        <v>9.8000000000000007</v>
      </c>
      <c r="AX1309" s="42">
        <v>9.1999999999999993</v>
      </c>
      <c r="AY1309" s="42">
        <v>9.3000000000000007</v>
      </c>
      <c r="AZ1309" s="42">
        <v>0</v>
      </c>
      <c r="BA1309" s="42">
        <v>0</v>
      </c>
      <c r="BB1309" s="42">
        <v>0</v>
      </c>
      <c r="BC1309" s="42">
        <v>28.105518749774546</v>
      </c>
      <c r="BD1309" s="42">
        <v>30.694481250225451</v>
      </c>
      <c r="BE1309" s="42">
        <v>27.394481250225454</v>
      </c>
      <c r="BF1309" s="42">
        <v>24.954481250225456</v>
      </c>
      <c r="BG1309" s="42">
        <v>22.081147916892121</v>
      </c>
      <c r="BH1309" s="42">
        <v>18.32114791689213</v>
      </c>
      <c r="BI1309" s="42">
        <v>19.334481250225451</v>
      </c>
      <c r="BJ1309" s="42">
        <v>25.027814583558794</v>
      </c>
      <c r="BK1309" s="42">
        <v>28.30114791689212</v>
      </c>
      <c r="BL1309" s="42">
        <v>29.574481250225453</v>
      </c>
      <c r="BM1309" s="42">
        <v>26.807814583558795</v>
      </c>
      <c r="BN1309" s="42">
        <v>25.19114791689212</v>
      </c>
      <c r="BO1309" s="42">
        <v>26.157814583558789</v>
      </c>
      <c r="BP1309" s="42">
        <v>23.874481250225458</v>
      </c>
      <c r="BQ1309" s="42">
        <v>21.391147916892109</v>
      </c>
      <c r="BR1309" s="42">
        <v>19.317814583558786</v>
      </c>
      <c r="BS1309" s="42">
        <v>17.721147916892122</v>
      </c>
      <c r="BT1309" s="42">
        <v>16.817814583558786</v>
      </c>
      <c r="BU1309" s="42">
        <v>15.084481250225458</v>
      </c>
      <c r="BV1309" s="42">
        <v>13.901147916892121</v>
      </c>
      <c r="BW1309" s="42">
        <v>16.034481250225454</v>
      </c>
      <c r="BX1309" s="42">
        <v>15.75448125022546</v>
      </c>
      <c r="BY1309" s="42">
        <v>13.574481250225453</v>
      </c>
      <c r="BZ1309" s="42">
        <v>15.804481250225457</v>
      </c>
      <c r="CA1309" s="42">
        <v>11.204481250225449</v>
      </c>
      <c r="CB1309" s="42">
        <v>9.841147916892119</v>
      </c>
      <c r="CC1309" s="42">
        <v>9.754481250225453</v>
      </c>
      <c r="CD1309" s="42">
        <v>8.4611479168921235</v>
      </c>
      <c r="CE1309" s="42">
        <v>8.754481250225453</v>
      </c>
      <c r="CF1309" s="42">
        <v>-0.93218541644121089</v>
      </c>
      <c r="CG1309" s="42">
        <v>-1.4655187497745423</v>
      </c>
      <c r="CH1309" s="42">
        <v>-2.5421854164412103</v>
      </c>
      <c r="CI1309" s="13">
        <f>[1]!dbasum(RecData[[#This Row],[20]:[2000]],RecData[[#Headers],[20]:[2000]])</f>
        <v>27.121065499887351</v>
      </c>
      <c r="CJ1309" s="14">
        <v>11844</v>
      </c>
      <c r="CK1309" s="15" t="s">
        <v>249</v>
      </c>
      <c r="CL1309" s="15">
        <f>RecData[[#This Row],[Start Time]]</f>
        <v>43278.190972222226</v>
      </c>
      <c r="CM1309" s="16">
        <f>RecData[[#This Row],[Wind Speed avg]]</f>
        <v>1.22</v>
      </c>
      <c r="CN1309" s="16">
        <f>RecData[[#This Row],[Wind Dir. avg]]</f>
        <v>160.5</v>
      </c>
      <c r="CO1309" s="16">
        <f>RecData[[#This Row],[Amb. Humidity]]</f>
        <v>73.2</v>
      </c>
      <c r="CP1309" s="16">
        <f>RecData[[#This Row],[Amb. Temperature]]</f>
        <v>10.5</v>
      </c>
      <c r="CQ1309" s="17">
        <f>RecData[[#This Row],[Amb. Rain Gauge]]</f>
        <v>0</v>
      </c>
      <c r="CR1309" s="4" t="s">
        <v>1</v>
      </c>
      <c r="CS1309" s="4" t="s">
        <v>49</v>
      </c>
      <c r="CT1309" s="70">
        <v>417.60772705078102</v>
      </c>
      <c r="CU1309" s="70">
        <v>98.000831604003906</v>
      </c>
      <c r="CV1309" s="70">
        <v>6.4476456642150799</v>
      </c>
      <c r="CW1309" s="70">
        <v>10.597954750061</v>
      </c>
      <c r="CX1309" s="4" t="s">
        <v>49</v>
      </c>
      <c r="CY1309" s="69" t="s">
        <v>256</v>
      </c>
      <c r="CZ1309" s="2" t="b">
        <f>IF($DP$1="YES",IF(RecData[[#This Row],[Power (kW)]]&gt;=$CR$3, TRUE,FALSE),TRUE)</f>
        <v>0</v>
      </c>
      <c r="DA1309" s="16">
        <f>MIN(MOD(180-ABS(ABS($DA$1-RecData[Yaw Angle (°)])-180),360),MOD(180-ABS(ABS($DB$1-RecData[Yaw Angle (°)])-180),360))</f>
        <v>90.470904826316357</v>
      </c>
      <c r="DB1309" s="2" t="str">
        <f>IF($DP$2="None","None",IF(RecData[[#This Row],[Relative Wind Direction]]&lt;=45,"DW",IF(RecData[[#This Row],[Relative Wind Direction]]&lt;=135,"CW","UW")))</f>
        <v>CW</v>
      </c>
      <c r="DC1309" s="61" t="e">
        <f>IF($CL1309-$CL1305&gt;1/24,#REF!,IF(SUM($CQ1305:$CQ1309)&gt;$DS$1,$DS$5,#REF!-1))</f>
        <v>#REF!</v>
      </c>
      <c r="DD1309" s="61" t="e">
        <f>IF(#REF!-$CL1309&gt;1/24,#REF!,IF(SUM($CQ1305:$CQ1309)&gt;$DS$1,$DS$6,DD1308-1))</f>
        <v>#REF!</v>
      </c>
      <c r="DE1309" s="18" t="b">
        <v>0</v>
      </c>
      <c r="DF1309" s="2" t="b">
        <f>IF(OR(RecData[[#This Row],[WSpd_Avg '[m/s']]]-RecData[[#This Row],[Wind Speed min]]&gt;=$DF$3,RecData[[#This Row],[Wind Speed max]]-RecData[[#This Row],[WSpd_Avg '[m/s']]]&gt;=$DF$2),TRUE,FALSE)</f>
        <v>0</v>
      </c>
      <c r="DG1309" s="2" t="b">
        <f>RecData[[#This Row],[Temperature '[°C']]]&lt;=-20</f>
        <v>0</v>
      </c>
      <c r="DH1309" s="18" t="b">
        <f>NOT(OR(MOD(RecData[[#This Row],[TIMESTAMP]],1)&gt;0.91632,MOD(RecData[[#This Row],[TIMESTAMP]],1)&lt;0.208681))</f>
        <v>0</v>
      </c>
      <c r="DI1309" s="18" t="b">
        <f>RecData[[#This Row],[Overall (dBA)]]-RecData[[#This Row],[L90]]&gt;=$DS$4</f>
        <v>0</v>
      </c>
      <c r="DJ1309" s="18" t="b">
        <f>RecData[[#This Row],[Overall (dBA)]]&gt;$DS$2</f>
        <v>0</v>
      </c>
      <c r="DK1309" s="18" t="b">
        <f>RecData[[#This Row],[Overall (dBA)]]&lt;$DS$3</f>
        <v>0</v>
      </c>
      <c r="DL1309" s="2">
        <f>IF(AND(RecData[[#This Row],[Turbines ON/OFF]] = "ON", NOT(OR(RecData[[#This Row],[T Power &gt; Threshold?]]=FALSE,RecData[[#This Row],[Wind Direction]]&lt;&gt;$DP$2,RecData[[#This Row],[Junk?]]="YES",RecData[[#This Row],[Rain?]:[Min SPL Threshold?]]))),1,0)</f>
        <v>0</v>
      </c>
      <c r="DM1309" s="2">
        <f>IF(AND(RecData[[#This Row],[Turbines ON/OFF]] = "OFF", NOT(OR(RecData[[#This Row],[Junk?]]="YES",RecData[[#This Row],[Gust?]],RecData[[#This Row],[Rain?]:[Min SPL Threshold?]]))),1,0)</f>
        <v>0</v>
      </c>
      <c r="DN1309" s="16">
        <f>RecData[[#This Row],[dBA Sum]]</f>
        <v>27.121065499887351</v>
      </c>
      <c r="DO1309" s="16">
        <f>RecData[[#This Row],[LAF90.0]]</f>
        <v>26.4</v>
      </c>
      <c r="DP1309" s="55" t="str">
        <f>IF(AND(RecData[[#This Row],[Useable TON Data?]],RecData[[#This Row],[Turbines ON/OFF]]="ON"),RecData[[#This Row],[dBA Sum]],"")</f>
        <v/>
      </c>
      <c r="DQ1309" s="55" t="str">
        <f>IF(AND(RecData[[#This Row],[Useable Background Data?]],RecData[[#This Row],[Turbines ON/OFF]]="OFF"),RecData[[#This Row],[dBA Sum]],"")</f>
        <v/>
      </c>
      <c r="DR1309" s="3" t="str">
        <f>IF(OR(RecData[[#This Row],[Useable TON Data?]],RecData[[#This Row],[Useable Background Data?]]),ROUND(RecData[[#This Row],[WSpd_Avg '[m/s']]],0),"")</f>
        <v/>
      </c>
      <c r="DS1309" s="85">
        <f>(0.00002)^2*(10^(RecData[[#This Row],[Overall (dBA)]]/10))</f>
        <v>2.0614202659967125E-7</v>
      </c>
    </row>
  </sheetData>
  <sheetProtection formatCells="0" formatColumns="0" formatRows="0" insertColumns="0" insertRows="0" deleteColumns="0" deleteRows="0" sort="0" autoFilter="0" pivotTables="0"/>
  <mergeCells count="1">
    <mergeCell ref="CS4:CS5"/>
  </mergeCells>
  <phoneticPr fontId="29" type="noConversion"/>
  <conditionalFormatting sqref="EP2:EQ2 EL4 CY6">
    <cfRule type="containsText" dxfId="17" priority="192" operator="containsText" text="YES">
      <formula>NOT(ISERROR(SEARCH("YES",CY2)))</formula>
    </cfRule>
  </conditionalFormatting>
  <conditionalFormatting sqref="CS8:CS1309">
    <cfRule type="cellIs" dxfId="16" priority="36" operator="equal">
      <formula>"NO"</formula>
    </cfRule>
    <cfRule type="cellIs" dxfId="15" priority="38" operator="equal">
      <formula>"YES"</formula>
    </cfRule>
  </conditionalFormatting>
  <conditionalFormatting sqref="CX1262:CX1309 CX1060:CX1260 CX856:CX1058 CX725:CX854 CX8:CX721">
    <cfRule type="cellIs" dxfId="14" priority="32" operator="equal">
      <formula>"YES"</formula>
    </cfRule>
  </conditionalFormatting>
  <conditionalFormatting sqref="DC8:DD1309">
    <cfRule type="cellIs" dxfId="13" priority="24" stopIfTrue="1" operator="greaterThan">
      <formula>0</formula>
    </cfRule>
    <cfRule type="cellIs" dxfId="12" priority="31" operator="lessThanOrEqual">
      <formula>0</formula>
    </cfRule>
  </conditionalFormatting>
  <conditionalFormatting sqref="DE8:DK1309">
    <cfRule type="cellIs" dxfId="11" priority="28" operator="equal">
      <formula>TRUE</formula>
    </cfRule>
  </conditionalFormatting>
  <conditionalFormatting sqref="DL8:DM1309">
    <cfRule type="cellIs" dxfId="10" priority="27" operator="equal">
      <formula>0</formula>
    </cfRule>
  </conditionalFormatting>
  <conditionalFormatting sqref="CR8:CR1309">
    <cfRule type="cellIs" dxfId="9" priority="21" operator="equal">
      <formula>"OFF"</formula>
    </cfRule>
    <cfRule type="cellIs" dxfId="8" priority="33" operator="equal">
      <formula>"MIX"</formula>
    </cfRule>
    <cfRule type="cellIs" dxfId="7" priority="35" operator="equal">
      <formula>"ON"</formula>
    </cfRule>
  </conditionalFormatting>
  <conditionalFormatting sqref="CZ7">
    <cfRule type="expression" dxfId="6" priority="17">
      <formula>$DP$1="NO"</formula>
    </cfRule>
  </conditionalFormatting>
  <conditionalFormatting sqref="DA7:DB7">
    <cfRule type="expression" dxfId="5" priority="16">
      <formula>$DP$2="None"</formula>
    </cfRule>
  </conditionalFormatting>
  <conditionalFormatting sqref="DB8:DB1309">
    <cfRule type="cellIs" dxfId="4" priority="40" operator="equal">
      <formula>$DP$2</formula>
    </cfRule>
  </conditionalFormatting>
  <conditionalFormatting sqref="CZ8:CZ1309">
    <cfRule type="cellIs" dxfId="3" priority="41" operator="equal">
      <formula>TRUE</formula>
    </cfRule>
  </conditionalFormatting>
  <conditionalFormatting sqref="CX1059">
    <cfRule type="cellIs" dxfId="2" priority="3" operator="equal">
      <formula>"YES"</formula>
    </cfRule>
  </conditionalFormatting>
  <conditionalFormatting sqref="CX855">
    <cfRule type="cellIs" dxfId="1" priority="2" operator="equal">
      <formula>"YES"</formula>
    </cfRule>
  </conditionalFormatting>
  <conditionalFormatting sqref="CX722:CX724">
    <cfRule type="cellIs" dxfId="0" priority="1" operator="equal">
      <formula>"YES"</formula>
    </cfRule>
  </conditionalFormatting>
  <dataValidations disablePrompts="1" count="3">
    <dataValidation type="list" allowBlank="1" showInputMessage="1" showErrorMessage="1" sqref="EM2" xr:uid="{00000000-0002-0000-0100-000000000000}">
      <formula1>"0,1,2,3,4,5,6,7,8,9,10"</formula1>
    </dataValidation>
    <dataValidation type="list" allowBlank="1" showInputMessage="1" showErrorMessage="1" sqref="DP3 DP1" xr:uid="{00000000-0002-0000-0100-000001000000}">
      <formula1>"YES,NO"</formula1>
    </dataValidation>
    <dataValidation type="list" allowBlank="1" showInputMessage="1" showErrorMessage="1" sqref="DP2" xr:uid="{00000000-0002-0000-0100-000002000000}">
      <formula1>"DW,CW,UW,None"</formula1>
    </dataValidation>
  </dataValidations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12"/>
  <sheetViews>
    <sheetView workbookViewId="0">
      <selection activeCell="M5" sqref="M5"/>
    </sheetView>
  </sheetViews>
  <sheetFormatPr defaultRowHeight="13.5" x14ac:dyDescent="0.25"/>
  <cols>
    <col min="1" max="1" width="11.375" customWidth="1"/>
    <col min="2" max="2" width="13.75" customWidth="1"/>
    <col min="3" max="3" width="19.125" customWidth="1"/>
    <col min="4" max="4" width="9.25" bestFit="1" customWidth="1"/>
    <col min="5" max="5" width="10.25" bestFit="1" customWidth="1"/>
    <col min="6" max="6" width="9.875" customWidth="1"/>
    <col min="7" max="7" width="10.875" customWidth="1"/>
    <col min="8" max="10" width="12.875" customWidth="1"/>
    <col min="11" max="11" width="16.125" bestFit="1" customWidth="1"/>
    <col min="12" max="12" width="11.875" customWidth="1"/>
  </cols>
  <sheetData>
    <row r="1" spans="1:15" x14ac:dyDescent="0.25">
      <c r="B1" s="74"/>
      <c r="C1" s="74"/>
      <c r="D1" s="88" t="s">
        <v>192</v>
      </c>
      <c r="E1" s="88" t="s">
        <v>193</v>
      </c>
      <c r="F1" s="74"/>
      <c r="G1" s="74"/>
      <c r="H1" s="74"/>
      <c r="I1" s="74"/>
      <c r="J1" s="74"/>
      <c r="K1" s="74"/>
      <c r="L1" s="74"/>
      <c r="M1" s="88" t="s">
        <v>98</v>
      </c>
      <c r="N1" s="88" t="s">
        <v>97</v>
      </c>
    </row>
    <row r="2" spans="1:15" ht="27" x14ac:dyDescent="0.25">
      <c r="A2" s="74"/>
      <c r="B2" s="74"/>
      <c r="C2" s="88" t="str">
        <f>Main!CL2</f>
        <v>R-34</v>
      </c>
      <c r="D2" s="90">
        <f>Main!CW1</f>
        <v>688657</v>
      </c>
      <c r="E2" s="90">
        <f>Main!CW2</f>
        <v>5227556</v>
      </c>
      <c r="F2" s="88"/>
      <c r="H2" s="87" t="s">
        <v>195</v>
      </c>
      <c r="I2" s="88">
        <f>Main!CZ1</f>
        <v>7.5299267776875496</v>
      </c>
      <c r="J2" s="74"/>
      <c r="K2" s="96" t="s">
        <v>202</v>
      </c>
      <c r="L2" s="93" t="s">
        <v>203</v>
      </c>
      <c r="M2" s="92">
        <f>I9</f>
        <v>179.91414774185375</v>
      </c>
      <c r="N2" s="92">
        <f>I8</f>
        <v>179.87028741344358</v>
      </c>
    </row>
    <row r="3" spans="1:15" x14ac:dyDescent="0.25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</row>
    <row r="4" spans="1:15" ht="27" x14ac:dyDescent="0.25">
      <c r="A4" s="87" t="s">
        <v>99</v>
      </c>
      <c r="B4" s="87" t="s">
        <v>100</v>
      </c>
      <c r="C4" s="87" t="s">
        <v>189</v>
      </c>
      <c r="D4" s="87" t="s">
        <v>192</v>
      </c>
      <c r="E4" s="87" t="s">
        <v>193</v>
      </c>
      <c r="F4" s="87" t="s">
        <v>190</v>
      </c>
      <c r="G4" s="87" t="s">
        <v>191</v>
      </c>
      <c r="H4" s="87" t="s">
        <v>95</v>
      </c>
      <c r="I4" s="87" t="s">
        <v>194</v>
      </c>
      <c r="J4" s="87" t="s">
        <v>199</v>
      </c>
      <c r="K4" s="87" t="s">
        <v>198</v>
      </c>
      <c r="L4" s="74"/>
      <c r="M4" s="95" t="s">
        <v>201</v>
      </c>
      <c r="O4" s="74"/>
    </row>
    <row r="5" spans="1:15" x14ac:dyDescent="0.25">
      <c r="A5" s="74" t="s">
        <v>184</v>
      </c>
      <c r="B5" s="74">
        <v>22.9</v>
      </c>
      <c r="C5" s="74" t="str">
        <f>IF(AggAngle[[#This Row],[Predicted Partial Level]]=MAX(AggAngle[Predicted Partial Level]),"Primary",IF((MAX(AggAngle[Predicted Partial Level])-AggAngle[[#This Row],[Predicted Partial Level]])&lt;2,"Secondary","No"))</f>
        <v>No</v>
      </c>
      <c r="D5" s="74">
        <v>687865</v>
      </c>
      <c r="E5" s="74">
        <v>4893244</v>
      </c>
      <c r="F5" s="74">
        <f>D5-D$2</f>
        <v>-792</v>
      </c>
      <c r="G5" s="74">
        <f>E5-E$2</f>
        <v>-334312</v>
      </c>
      <c r="H5" s="74">
        <f>SQRT((D5-D$2)^2+(E5-E$2)^2)</f>
        <v>334312.93814029993</v>
      </c>
      <c r="I5" s="74">
        <f>IF(AND(AggAngle[[#This Row],[diffX]]&gt;0,AggAngle[[#This Row],[diffY]]&gt;0),90-DEGREES(ATAN(AggAngle[[#This Row],[diffY]]/AggAngle[[#This Row],[diffX]])),IF(AND(AggAngle[[#This Row],[diffX]]&gt;0,AggAngle[[#This Row],[diffY]]&lt;0),90+ABS(DEGREES(ATAN(AggAngle[[#This Row],[diffY]]/AggAngle[[#This Row],[diffX]]))),IF(AND(AggAngle[[#This Row],[diffX]]&lt;0,AggAngle[[#This Row],[diffY]]&lt;0),270-DEGREES(ATAN(AggAngle[[#This Row],[diffY]]/AggAngle[[#This Row],[diffX]])),270+ABS((DEGREES(ATAN(AggAngle[[#This Row],[diffY]]/AggAngle[[#This Row],[diffX]])))))))</f>
        <v>180.13573599655837</v>
      </c>
      <c r="J5" s="74">
        <f>MOD(180-ABS(ABS($I$2-AggAngle[[#This Row],[Angle To Receptor]])-180),360)</f>
        <v>172.60580921887083</v>
      </c>
      <c r="K5" s="89" t="str">
        <f>IF(AND(NOT(AggAngle[[#This Row],[Primary or Secondary Turbine?]]="No"),AggAngle[[#This Row],[Receptor  Angle to Primary]]&lt;45),"YES","NO")</f>
        <v>NO</v>
      </c>
      <c r="L5" s="74"/>
      <c r="M5" s="91" t="s">
        <v>200</v>
      </c>
      <c r="N5" s="74"/>
      <c r="O5" s="74"/>
    </row>
    <row r="6" spans="1:15" x14ac:dyDescent="0.25">
      <c r="A6" s="74" t="s">
        <v>185</v>
      </c>
      <c r="B6" s="74">
        <v>26</v>
      </c>
      <c r="C6" s="74" t="str">
        <f>IF(AggAngle[[#This Row],[Predicted Partial Level]]=MAX(AggAngle[Predicted Partial Level]),"Primary",IF((MAX(AggAngle[Predicted Partial Level])-AggAngle[[#This Row],[Predicted Partial Level]])&lt;2,"Secondary","No"))</f>
        <v>No</v>
      </c>
      <c r="D6" s="74">
        <v>688293</v>
      </c>
      <c r="E6" s="74">
        <v>4893473</v>
      </c>
      <c r="F6" s="74">
        <f>D6-D$2</f>
        <v>-364</v>
      </c>
      <c r="G6" s="74">
        <f>E6-E$2</f>
        <v>-334083</v>
      </c>
      <c r="H6" s="74">
        <f>SQRT((D6-D$2)^2+(E6-E$2)^2)</f>
        <v>334083.19829796889</v>
      </c>
      <c r="I6" s="74">
        <f>IF(AND(AggAngle[[#This Row],[diffX]]&gt;0,AggAngle[[#This Row],[diffY]]&gt;0),90-DEGREES(ATAN(AggAngle[[#This Row],[diffY]]/AggAngle[[#This Row],[diffX]])),IF(AND(AggAngle[[#This Row],[diffX]]&gt;0,AggAngle[[#This Row],[diffY]]&lt;0),90+ABS(DEGREES(ATAN(AggAngle[[#This Row],[diffY]]/AggAngle[[#This Row],[diffX]]))),IF(AND(AggAngle[[#This Row],[diffX]]&lt;0,AggAngle[[#This Row],[diffY]]&lt;0),270-DEGREES(ATAN(AggAngle[[#This Row],[diffY]]/AggAngle[[#This Row],[diffX]])),270+ABS((DEGREES(ATAN(AggAngle[[#This Row],[diffY]]/AggAngle[[#This Row],[diffX]])))))))</f>
        <v>180.06242656911621</v>
      </c>
      <c r="J6" s="74">
        <f>MOD(180-ABS(ABS($I$2-AggAngle[[#This Row],[Angle To Receptor]])-180),360)</f>
        <v>172.53249979142868</v>
      </c>
      <c r="K6" s="89" t="str">
        <f>IF(AND(NOT(AggAngle[[#This Row],[Primary or Secondary Turbine?]]="No"),AggAngle[[#This Row],[Receptor  Angle to Primary]]&lt;45),"YES","NO")</f>
        <v>NO</v>
      </c>
      <c r="L6" s="74"/>
      <c r="M6" s="74"/>
      <c r="N6" s="74"/>
      <c r="O6" s="74"/>
    </row>
    <row r="7" spans="1:15" x14ac:dyDescent="0.25">
      <c r="A7" s="74" t="s">
        <v>186</v>
      </c>
      <c r="B7" s="74">
        <v>31.3</v>
      </c>
      <c r="C7" s="74" t="str">
        <f>IF(AggAngle[[#This Row],[Predicted Partial Level]]=MAX(AggAngle[Predicted Partial Level]),"Primary",IF((MAX(AggAngle[Predicted Partial Level])-AggAngle[[#This Row],[Predicted Partial Level]])&lt;2,"Secondary","No"))</f>
        <v>No</v>
      </c>
      <c r="D7" s="74">
        <v>688915</v>
      </c>
      <c r="E7" s="74">
        <v>4893917</v>
      </c>
      <c r="F7" s="74">
        <f t="shared" ref="F7:F9" si="0">D7-D$2</f>
        <v>258</v>
      </c>
      <c r="G7" s="74">
        <f t="shared" ref="G7:G9" si="1">E7-E$2</f>
        <v>-333639</v>
      </c>
      <c r="H7" s="74">
        <f t="shared" ref="H7:H9" si="2">SQRT((D7-D$2)^2+(E7-E$2)^2)</f>
        <v>333639.09975451021</v>
      </c>
      <c r="I7" s="74">
        <f>IF(AND(AggAngle[[#This Row],[diffX]]&gt;0,AggAngle[[#This Row],[diffY]]&gt;0),90-DEGREES(ATAN(AggAngle[[#This Row],[diffY]]/AggAngle[[#This Row],[diffX]])),IF(AND(AggAngle[[#This Row],[diffX]]&gt;0,AggAngle[[#This Row],[diffY]]&lt;0),90+ABS(DEGREES(ATAN(AggAngle[[#This Row],[diffY]]/AggAngle[[#This Row],[diffX]]))),IF(AND(AggAngle[[#This Row],[diffX]]&lt;0,AggAngle[[#This Row],[diffY]]&lt;0),270-DEGREES(ATAN(AggAngle[[#This Row],[diffY]]/AggAngle[[#This Row],[diffX]])),270+ABS((DEGREES(ATAN(AggAngle[[#This Row],[diffY]]/AggAngle[[#This Row],[diffX]])))))))</f>
        <v>179.95569370436948</v>
      </c>
      <c r="J7" s="74">
        <f>MOD(180-ABS(ABS($I$2-AggAngle[[#This Row],[Angle To Receptor]])-180),360)</f>
        <v>172.42576692668194</v>
      </c>
      <c r="K7" s="89" t="str">
        <f>IF(AND(NOT(AggAngle[[#This Row],[Primary or Secondary Turbine?]]="No"),AggAngle[[#This Row],[Receptor  Angle to Primary]]&lt;45),"YES","NO")</f>
        <v>NO</v>
      </c>
      <c r="L7" s="74"/>
      <c r="M7" s="74"/>
      <c r="N7" s="74"/>
      <c r="O7" s="74"/>
    </row>
    <row r="8" spans="1:15" x14ac:dyDescent="0.25">
      <c r="A8" s="74" t="s">
        <v>187</v>
      </c>
      <c r="B8" s="74">
        <v>35.700000000000003</v>
      </c>
      <c r="C8" s="74" t="str">
        <f>IF(AggAngle[[#This Row],[Predicted Partial Level]]=MAX(AggAngle[Predicted Partial Level]),"Primary",IF((MAX(AggAngle[Predicted Partial Level])-AggAngle[[#This Row],[Predicted Partial Level]])&lt;2,"Secondary","No"))</f>
        <v>Primary</v>
      </c>
      <c r="D8" s="74">
        <v>689412</v>
      </c>
      <c r="E8" s="74">
        <v>4894063</v>
      </c>
      <c r="F8" s="74">
        <f t="shared" si="0"/>
        <v>755</v>
      </c>
      <c r="G8" s="74">
        <f t="shared" si="1"/>
        <v>-333493</v>
      </c>
      <c r="H8" s="74">
        <f t="shared" si="2"/>
        <v>333493.85462703806</v>
      </c>
      <c r="I8" s="74">
        <f>IF(AND(AggAngle[[#This Row],[diffX]]&gt;0,AggAngle[[#This Row],[diffY]]&gt;0),90-DEGREES(ATAN(AggAngle[[#This Row],[diffY]]/AggAngle[[#This Row],[diffX]])),IF(AND(AggAngle[[#This Row],[diffX]]&gt;0,AggAngle[[#This Row],[diffY]]&lt;0),90+ABS(DEGREES(ATAN(AggAngle[[#This Row],[diffY]]/AggAngle[[#This Row],[diffX]]))),IF(AND(AggAngle[[#This Row],[diffX]]&lt;0,AggAngle[[#This Row],[diffY]]&lt;0),270-DEGREES(ATAN(AggAngle[[#This Row],[diffY]]/AggAngle[[#This Row],[diffX]])),270+ABS((DEGREES(ATAN(AggAngle[[#This Row],[diffY]]/AggAngle[[#This Row],[diffX]])))))))</f>
        <v>179.87028741344358</v>
      </c>
      <c r="J8" s="74">
        <f>MOD(180-ABS(ABS($I$2-AggAngle[[#This Row],[Angle To Receptor]])-180),360)</f>
        <v>172.34036063575604</v>
      </c>
      <c r="K8" s="89" t="str">
        <f>IF(AND(NOT(AggAngle[[#This Row],[Primary or Secondary Turbine?]]="No"),AggAngle[[#This Row],[Receptor  Angle to Primary]]&lt;45),"YES","NO")</f>
        <v>NO</v>
      </c>
      <c r="L8" s="74"/>
      <c r="M8" s="74"/>
      <c r="N8" s="74"/>
      <c r="O8" s="74"/>
    </row>
    <row r="9" spans="1:15" x14ac:dyDescent="0.25">
      <c r="A9" s="74" t="s">
        <v>188</v>
      </c>
      <c r="B9" s="74">
        <v>34.5</v>
      </c>
      <c r="C9" s="74" t="str">
        <f>IF(AggAngle[[#This Row],[Predicted Partial Level]]=MAX(AggAngle[Predicted Partial Level]),"Primary",IF((MAX(AggAngle[Predicted Partial Level])-AggAngle[[#This Row],[Predicted Partial Level]])&lt;2,"Secondary","No"))</f>
        <v>Secondary</v>
      </c>
      <c r="D9" s="74">
        <v>689157</v>
      </c>
      <c r="E9" s="74">
        <v>4893868</v>
      </c>
      <c r="F9" s="74">
        <f t="shared" si="0"/>
        <v>500</v>
      </c>
      <c r="G9" s="74">
        <f t="shared" si="1"/>
        <v>-333688</v>
      </c>
      <c r="H9" s="74">
        <f t="shared" si="2"/>
        <v>333688.37460121384</v>
      </c>
      <c r="I9" s="74">
        <f>IF(AND(AggAngle[[#This Row],[diffX]]&gt;0,AggAngle[[#This Row],[diffY]]&gt;0),90-DEGREES(ATAN(AggAngle[[#This Row],[diffY]]/AggAngle[[#This Row],[diffX]])),IF(AND(AggAngle[[#This Row],[diffX]]&gt;0,AggAngle[[#This Row],[diffY]]&lt;0),90+ABS(DEGREES(ATAN(AggAngle[[#This Row],[diffY]]/AggAngle[[#This Row],[diffX]]))),IF(AND(AggAngle[[#This Row],[diffX]]&lt;0,AggAngle[[#This Row],[diffY]]&lt;0),270-DEGREES(ATAN(AggAngle[[#This Row],[diffY]]/AggAngle[[#This Row],[diffX]])),270+ABS((DEGREES(ATAN(AggAngle[[#This Row],[diffY]]/AggAngle[[#This Row],[diffX]])))))))</f>
        <v>179.91414774185375</v>
      </c>
      <c r="J9" s="74">
        <f>MOD(180-ABS(ABS($I$2-AggAngle[[#This Row],[Angle To Receptor]])-180),360)</f>
        <v>172.38422096416622</v>
      </c>
      <c r="K9" s="89" t="str">
        <f>IF(AND(NOT(AggAngle[[#This Row],[Primary or Secondary Turbine?]]="No"),AggAngle[[#This Row],[Receptor  Angle to Primary]]&lt;45),"YES","NO")</f>
        <v>NO</v>
      </c>
      <c r="L9" s="74"/>
      <c r="M9" s="74"/>
      <c r="N9" s="74"/>
      <c r="O9" s="74"/>
    </row>
    <row r="10" spans="1:15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89"/>
      <c r="L10" s="74"/>
      <c r="M10" s="74"/>
      <c r="N10" s="74"/>
      <c r="O10" s="74"/>
    </row>
    <row r="11" spans="1:15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89"/>
      <c r="L11" s="74"/>
      <c r="M11" s="74"/>
      <c r="N11" s="74"/>
      <c r="O11" s="74"/>
    </row>
    <row r="12" spans="1:15" x14ac:dyDescent="0.25">
      <c r="B12" s="74"/>
      <c r="C12" s="74"/>
      <c r="D12" s="74"/>
      <c r="E12" s="74"/>
      <c r="F12" s="74"/>
      <c r="G12" s="74"/>
      <c r="H12" s="74"/>
      <c r="I12" s="74"/>
      <c r="J12" s="74"/>
      <c r="K12" s="89"/>
      <c r="L12" s="74"/>
      <c r="M12" s="74"/>
      <c r="N12" s="74"/>
      <c r="O12" s="74"/>
    </row>
    <row r="13" spans="1:15" x14ac:dyDescent="0.25">
      <c r="B13" s="74"/>
      <c r="C13" s="74"/>
      <c r="D13" s="74"/>
      <c r="E13" s="74"/>
      <c r="F13" s="74"/>
      <c r="G13" s="74"/>
      <c r="H13" s="74"/>
      <c r="I13" s="74"/>
      <c r="J13" s="74"/>
      <c r="K13" s="89"/>
      <c r="L13" s="74"/>
      <c r="M13" s="74"/>
      <c r="N13" s="74"/>
      <c r="O13" s="74"/>
    </row>
    <row r="14" spans="1:15" x14ac:dyDescent="0.25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89"/>
      <c r="L14" s="74"/>
      <c r="M14" s="74"/>
      <c r="N14" s="74"/>
      <c r="O14" s="74"/>
    </row>
    <row r="15" spans="1:15" x14ac:dyDescent="0.2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89"/>
      <c r="L15" s="74"/>
      <c r="M15" s="74"/>
      <c r="N15" s="74"/>
      <c r="O15" s="74"/>
    </row>
    <row r="16" spans="1:15" x14ac:dyDescent="0.25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89"/>
      <c r="L16" s="74"/>
      <c r="M16" s="74"/>
      <c r="N16" s="74"/>
      <c r="O16" s="74"/>
    </row>
    <row r="17" spans="1:15" x14ac:dyDescent="0.25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89"/>
      <c r="L17" s="74"/>
      <c r="M17" s="74"/>
      <c r="N17" s="74"/>
      <c r="O17" s="74"/>
    </row>
    <row r="18" spans="1:15" x14ac:dyDescent="0.25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89"/>
      <c r="L18" s="74"/>
      <c r="M18" s="74"/>
      <c r="N18" s="74"/>
      <c r="O18" s="74"/>
    </row>
    <row r="19" spans="1:15" x14ac:dyDescent="0.25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89"/>
      <c r="L19" s="74"/>
      <c r="M19" s="74"/>
      <c r="N19" s="74"/>
      <c r="O19" s="74"/>
    </row>
    <row r="20" spans="1:15" x14ac:dyDescent="0.25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89"/>
      <c r="L20" s="74"/>
      <c r="M20" s="74"/>
      <c r="N20" s="74"/>
      <c r="O20" s="74"/>
    </row>
    <row r="21" spans="1:15" x14ac:dyDescent="0.25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</row>
    <row r="22" spans="1:15" x14ac:dyDescent="0.25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</row>
    <row r="23" spans="1:15" x14ac:dyDescent="0.25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</row>
    <row r="24" spans="1:15" x14ac:dyDescent="0.25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</row>
    <row r="25" spans="1:15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</row>
    <row r="26" spans="1:15" x14ac:dyDescent="0.25">
      <c r="A26" s="74"/>
      <c r="B26" s="74"/>
      <c r="C26" s="74" t="s">
        <v>101</v>
      </c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</row>
    <row r="27" spans="1:15" x14ac:dyDescent="0.25">
      <c r="A27" s="74"/>
      <c r="B27" s="74"/>
      <c r="C27" s="74" t="s">
        <v>101</v>
      </c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</row>
    <row r="28" spans="1:15" x14ac:dyDescent="0.25">
      <c r="A28" s="74"/>
      <c r="B28" s="74"/>
      <c r="C28" s="74" t="s">
        <v>101</v>
      </c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</row>
    <row r="29" spans="1:15" x14ac:dyDescent="0.25">
      <c r="A29" s="74"/>
      <c r="B29" s="74"/>
      <c r="C29" s="74" t="s">
        <v>101</v>
      </c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</row>
    <row r="30" spans="1:15" x14ac:dyDescent="0.25">
      <c r="A30" s="74"/>
      <c r="B30" s="74"/>
      <c r="C30" s="74" t="s">
        <v>101</v>
      </c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</row>
    <row r="31" spans="1:15" x14ac:dyDescent="0.25">
      <c r="A31" s="74"/>
      <c r="B31" s="74"/>
      <c r="C31" s="74" t="s">
        <v>101</v>
      </c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</row>
    <row r="32" spans="1:15" x14ac:dyDescent="0.25">
      <c r="A32" s="74"/>
      <c r="B32" s="74"/>
      <c r="C32" s="74" t="s">
        <v>101</v>
      </c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</row>
    <row r="33" spans="1:15" x14ac:dyDescent="0.25">
      <c r="A33" s="74"/>
      <c r="B33" s="74"/>
      <c r="C33" s="74" t="s">
        <v>101</v>
      </c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</row>
    <row r="34" spans="1:15" x14ac:dyDescent="0.25">
      <c r="A34" s="74"/>
      <c r="B34" s="74"/>
      <c r="C34" s="74" t="s">
        <v>101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</row>
    <row r="35" spans="1:15" x14ac:dyDescent="0.25">
      <c r="A35" s="74"/>
      <c r="B35" s="74"/>
      <c r="C35" s="74" t="s">
        <v>101</v>
      </c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</row>
    <row r="36" spans="1:15" x14ac:dyDescent="0.25">
      <c r="A36" s="74"/>
      <c r="B36" s="74"/>
      <c r="C36" s="74" t="s">
        <v>101</v>
      </c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</row>
    <row r="37" spans="1:15" x14ac:dyDescent="0.25">
      <c r="A37" s="74"/>
      <c r="B37" s="74"/>
      <c r="C37" s="74" t="s">
        <v>101</v>
      </c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</row>
    <row r="38" spans="1:15" x14ac:dyDescent="0.25">
      <c r="A38" s="74"/>
      <c r="B38" s="74"/>
      <c r="C38" s="74" t="s">
        <v>101</v>
      </c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</row>
    <row r="39" spans="1:15" x14ac:dyDescent="0.25">
      <c r="A39" s="74"/>
      <c r="B39" s="74"/>
      <c r="C39" s="74" t="s">
        <v>101</v>
      </c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</row>
    <row r="40" spans="1:15" x14ac:dyDescent="0.25">
      <c r="A40" s="74"/>
      <c r="B40" s="74"/>
      <c r="C40" s="74" t="s">
        <v>101</v>
      </c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</row>
    <row r="41" spans="1:15" x14ac:dyDescent="0.25">
      <c r="A41" s="74"/>
      <c r="B41" s="74"/>
      <c r="C41" s="74" t="s">
        <v>101</v>
      </c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</row>
    <row r="42" spans="1:15" x14ac:dyDescent="0.25">
      <c r="A42" s="74"/>
      <c r="B42" s="74"/>
      <c r="C42" s="74" t="s">
        <v>101</v>
      </c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</row>
    <row r="43" spans="1:15" x14ac:dyDescent="0.25">
      <c r="A43" s="74"/>
      <c r="B43" s="74"/>
      <c r="C43" s="74" t="s">
        <v>101</v>
      </c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</row>
    <row r="44" spans="1:15" x14ac:dyDescent="0.25">
      <c r="A44" s="74"/>
      <c r="B44" s="74"/>
      <c r="C44" s="74" t="s">
        <v>101</v>
      </c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</row>
    <row r="45" spans="1:15" x14ac:dyDescent="0.25">
      <c r="A45" s="74"/>
      <c r="B45" s="74"/>
      <c r="C45" s="74" t="s">
        <v>101</v>
      </c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</row>
    <row r="46" spans="1:15" x14ac:dyDescent="0.25">
      <c r="A46" s="74"/>
      <c r="B46" s="74"/>
      <c r="C46" s="74" t="s">
        <v>101</v>
      </c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</row>
    <row r="47" spans="1:15" x14ac:dyDescent="0.25">
      <c r="A47" s="74"/>
      <c r="B47" s="74"/>
      <c r="C47" s="74" t="s">
        <v>101</v>
      </c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</row>
    <row r="48" spans="1:15" x14ac:dyDescent="0.25">
      <c r="A48" s="74"/>
      <c r="B48" s="74"/>
      <c r="C48" s="74" t="s">
        <v>101</v>
      </c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</row>
    <row r="49" spans="1:15" x14ac:dyDescent="0.25">
      <c r="A49" s="74"/>
      <c r="B49" s="74"/>
      <c r="C49" s="74" t="s">
        <v>101</v>
      </c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</row>
    <row r="50" spans="1:15" x14ac:dyDescent="0.25">
      <c r="A50" s="74"/>
      <c r="B50" s="74"/>
      <c r="C50" s="74" t="s">
        <v>101</v>
      </c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</row>
    <row r="51" spans="1:15" x14ac:dyDescent="0.25">
      <c r="A51" s="74"/>
      <c r="B51" s="74"/>
      <c r="C51" s="74" t="s">
        <v>101</v>
      </c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</row>
    <row r="52" spans="1:15" x14ac:dyDescent="0.25">
      <c r="A52" s="74"/>
      <c r="B52" s="74"/>
      <c r="C52" s="74" t="s">
        <v>101</v>
      </c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</row>
    <row r="53" spans="1:15" x14ac:dyDescent="0.25">
      <c r="A53" s="74"/>
      <c r="B53" s="74"/>
      <c r="C53" s="74" t="s">
        <v>101</v>
      </c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</row>
    <row r="54" spans="1:15" x14ac:dyDescent="0.25">
      <c r="A54" s="74"/>
      <c r="B54" s="74"/>
      <c r="C54" s="74" t="s">
        <v>101</v>
      </c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</row>
    <row r="55" spans="1:15" x14ac:dyDescent="0.25">
      <c r="A55" s="74"/>
      <c r="B55" s="74"/>
      <c r="C55" s="74" t="s">
        <v>101</v>
      </c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</row>
    <row r="56" spans="1:15" x14ac:dyDescent="0.25">
      <c r="A56" s="74"/>
      <c r="B56" s="74"/>
      <c r="C56" s="74" t="s">
        <v>101</v>
      </c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</row>
    <row r="57" spans="1:15" x14ac:dyDescent="0.25">
      <c r="A57" s="74"/>
      <c r="B57" s="74"/>
      <c r="C57" s="74" t="s">
        <v>101</v>
      </c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</row>
    <row r="58" spans="1:15" x14ac:dyDescent="0.25">
      <c r="A58" s="74"/>
      <c r="B58" s="74"/>
      <c r="C58" s="74" t="s">
        <v>101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</row>
    <row r="59" spans="1:15" x14ac:dyDescent="0.25">
      <c r="A59" s="74"/>
      <c r="B59" s="74"/>
      <c r="C59" s="74" t="s">
        <v>101</v>
      </c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</row>
    <row r="60" spans="1:15" x14ac:dyDescent="0.25">
      <c r="A60" s="74"/>
      <c r="B60" s="74"/>
      <c r="C60" s="74" t="s">
        <v>101</v>
      </c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</row>
    <row r="61" spans="1:15" x14ac:dyDescent="0.25">
      <c r="A61" s="74"/>
      <c r="B61" s="74"/>
      <c r="C61" s="74" t="s">
        <v>101</v>
      </c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</row>
    <row r="62" spans="1:15" x14ac:dyDescent="0.25">
      <c r="A62" s="74"/>
      <c r="B62" s="74"/>
      <c r="C62" s="74" t="s">
        <v>101</v>
      </c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</row>
    <row r="63" spans="1:15" x14ac:dyDescent="0.25">
      <c r="A63" s="74"/>
      <c r="B63" s="74"/>
      <c r="C63" s="74" t="s">
        <v>101</v>
      </c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</row>
    <row r="64" spans="1:15" x14ac:dyDescent="0.25">
      <c r="A64" s="74"/>
      <c r="B64" s="74"/>
      <c r="C64" s="74" t="s">
        <v>101</v>
      </c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</row>
    <row r="65" spans="1:15" x14ac:dyDescent="0.25">
      <c r="A65" s="74"/>
      <c r="B65" s="74"/>
      <c r="C65" s="74" t="s">
        <v>101</v>
      </c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</row>
    <row r="66" spans="1:15" x14ac:dyDescent="0.25">
      <c r="A66" s="74"/>
      <c r="B66" s="74"/>
      <c r="C66" s="74" t="s">
        <v>101</v>
      </c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</row>
    <row r="67" spans="1:15" x14ac:dyDescent="0.25">
      <c r="A67" s="74"/>
      <c r="B67" s="74"/>
      <c r="C67" s="74" t="s">
        <v>101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</row>
    <row r="68" spans="1:15" x14ac:dyDescent="0.25">
      <c r="A68" s="74"/>
      <c r="B68" s="74"/>
      <c r="C68" s="74" t="s">
        <v>101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</row>
    <row r="69" spans="1:15" x14ac:dyDescent="0.25">
      <c r="A69" s="74"/>
      <c r="B69" s="74"/>
      <c r="C69" s="74" t="s">
        <v>101</v>
      </c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</row>
    <row r="70" spans="1:15" x14ac:dyDescent="0.25">
      <c r="A70" s="74"/>
      <c r="B70" s="74"/>
      <c r="C70" s="74" t="s">
        <v>101</v>
      </c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</row>
    <row r="71" spans="1:15" x14ac:dyDescent="0.25">
      <c r="A71" s="74"/>
      <c r="B71" s="74"/>
      <c r="C71" s="74" t="s">
        <v>101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</row>
    <row r="72" spans="1:15" x14ac:dyDescent="0.25">
      <c r="A72" s="74"/>
      <c r="B72" s="74"/>
      <c r="C72" s="74" t="s">
        <v>101</v>
      </c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</row>
    <row r="73" spans="1:15" x14ac:dyDescent="0.25">
      <c r="A73" s="74"/>
      <c r="B73" s="74"/>
      <c r="C73" s="74" t="s">
        <v>101</v>
      </c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</row>
    <row r="74" spans="1:15" x14ac:dyDescent="0.25">
      <c r="A74" s="74"/>
      <c r="B74" s="74"/>
      <c r="C74" s="74" t="s">
        <v>101</v>
      </c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</row>
    <row r="75" spans="1:15" x14ac:dyDescent="0.25">
      <c r="A75" s="74"/>
      <c r="B75" s="74"/>
      <c r="C75" s="74" t="s">
        <v>101</v>
      </c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</row>
    <row r="76" spans="1:15" x14ac:dyDescent="0.25">
      <c r="A76" s="74"/>
      <c r="B76" s="74"/>
      <c r="C76" s="74" t="s">
        <v>101</v>
      </c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</row>
    <row r="77" spans="1:15" x14ac:dyDescent="0.25">
      <c r="A77" s="74"/>
      <c r="B77" s="74"/>
      <c r="C77" s="74" t="s">
        <v>101</v>
      </c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</row>
    <row r="78" spans="1:15" x14ac:dyDescent="0.25">
      <c r="A78" s="74"/>
      <c r="B78" s="74"/>
      <c r="C78" s="74" t="s">
        <v>101</v>
      </c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</row>
    <row r="79" spans="1:15" x14ac:dyDescent="0.25">
      <c r="A79" s="74"/>
      <c r="B79" s="74"/>
      <c r="C79" s="74" t="s">
        <v>101</v>
      </c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</row>
    <row r="80" spans="1:15" x14ac:dyDescent="0.25">
      <c r="A80" s="74"/>
      <c r="B80" s="74"/>
      <c r="C80" s="74" t="s">
        <v>101</v>
      </c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</row>
    <row r="81" spans="1:15" x14ac:dyDescent="0.25">
      <c r="A81" s="74"/>
      <c r="B81" s="74"/>
      <c r="C81" s="74" t="s">
        <v>101</v>
      </c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</row>
    <row r="82" spans="1:15" x14ac:dyDescent="0.25">
      <c r="A82" s="74"/>
      <c r="B82" s="74"/>
      <c r="C82" s="74" t="s">
        <v>101</v>
      </c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</row>
    <row r="83" spans="1:15" x14ac:dyDescent="0.25">
      <c r="A83" s="74"/>
      <c r="B83" s="74"/>
      <c r="C83" s="74" t="s">
        <v>101</v>
      </c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</row>
    <row r="84" spans="1:15" x14ac:dyDescent="0.25">
      <c r="A84" s="74"/>
      <c r="B84" s="74"/>
      <c r="C84" s="74" t="s">
        <v>101</v>
      </c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</row>
    <row r="85" spans="1:15" x14ac:dyDescent="0.25">
      <c r="A85" s="74"/>
      <c r="B85" s="74"/>
      <c r="C85" s="74" t="s">
        <v>101</v>
      </c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</row>
    <row r="86" spans="1:15" x14ac:dyDescent="0.25">
      <c r="A86" s="74"/>
      <c r="B86" s="74"/>
      <c r="C86" s="74" t="s">
        <v>101</v>
      </c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</row>
    <row r="87" spans="1:15" x14ac:dyDescent="0.25">
      <c r="A87" s="74"/>
      <c r="B87" s="74"/>
      <c r="C87" s="74" t="s">
        <v>101</v>
      </c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</row>
    <row r="88" spans="1:15" x14ac:dyDescent="0.25">
      <c r="A88" s="74"/>
      <c r="B88" s="74"/>
      <c r="C88" s="74" t="s">
        <v>101</v>
      </c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</row>
    <row r="89" spans="1:15" x14ac:dyDescent="0.25">
      <c r="A89" s="74"/>
      <c r="B89" s="74"/>
      <c r="C89" s="74" t="s">
        <v>101</v>
      </c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</row>
    <row r="90" spans="1:15" x14ac:dyDescent="0.25">
      <c r="A90" s="74"/>
      <c r="B90" s="74"/>
      <c r="C90" s="74" t="s">
        <v>101</v>
      </c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</row>
    <row r="91" spans="1:15" x14ac:dyDescent="0.25">
      <c r="A91" s="74"/>
      <c r="B91" s="74"/>
      <c r="C91" s="74" t="s">
        <v>101</v>
      </c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</row>
    <row r="92" spans="1:15" x14ac:dyDescent="0.25">
      <c r="A92" s="74"/>
      <c r="B92" s="74"/>
      <c r="C92" s="74" t="s">
        <v>101</v>
      </c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</row>
    <row r="93" spans="1:15" x14ac:dyDescent="0.25">
      <c r="A93" s="74"/>
      <c r="B93" s="74"/>
      <c r="C93" s="74" t="s">
        <v>101</v>
      </c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</row>
    <row r="94" spans="1:15" x14ac:dyDescent="0.25">
      <c r="A94" s="74"/>
      <c r="B94" s="74"/>
      <c r="C94" s="74" t="s">
        <v>101</v>
      </c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</row>
    <row r="95" spans="1:15" x14ac:dyDescent="0.25">
      <c r="A95" s="74"/>
      <c r="B95" s="74"/>
      <c r="C95" s="74" t="s">
        <v>101</v>
      </c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</row>
    <row r="96" spans="1:15" x14ac:dyDescent="0.25">
      <c r="A96" s="74"/>
      <c r="B96" s="74"/>
      <c r="C96" s="74" t="s">
        <v>101</v>
      </c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</row>
    <row r="97" spans="1:15" x14ac:dyDescent="0.25">
      <c r="A97" s="74"/>
      <c r="B97" s="74"/>
      <c r="C97" s="74" t="s">
        <v>101</v>
      </c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</row>
    <row r="98" spans="1:15" x14ac:dyDescent="0.25">
      <c r="A98" s="74"/>
      <c r="B98" s="74"/>
      <c r="C98" s="74" t="s">
        <v>101</v>
      </c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</row>
    <row r="99" spans="1:15" x14ac:dyDescent="0.25">
      <c r="A99" s="74"/>
      <c r="B99" s="74"/>
      <c r="C99" s="74" t="s">
        <v>101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</row>
    <row r="100" spans="1:15" x14ac:dyDescent="0.25">
      <c r="A100" s="74"/>
      <c r="B100" s="74"/>
      <c r="C100" s="74" t="s">
        <v>101</v>
      </c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</row>
    <row r="101" spans="1:15" x14ac:dyDescent="0.25">
      <c r="A101" s="74"/>
      <c r="B101" s="74"/>
      <c r="C101" s="74" t="s">
        <v>101</v>
      </c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</row>
    <row r="102" spans="1:15" x14ac:dyDescent="0.25">
      <c r="A102" s="74"/>
      <c r="B102" s="74"/>
      <c r="C102" s="74" t="s">
        <v>101</v>
      </c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</row>
    <row r="103" spans="1:15" x14ac:dyDescent="0.25">
      <c r="A103" s="74"/>
      <c r="B103" s="74"/>
      <c r="C103" s="74" t="s">
        <v>101</v>
      </c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</row>
    <row r="104" spans="1:15" x14ac:dyDescent="0.25">
      <c r="A104" s="74"/>
      <c r="B104" s="74"/>
      <c r="C104" s="74" t="s">
        <v>101</v>
      </c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</row>
    <row r="105" spans="1:15" x14ac:dyDescent="0.25">
      <c r="A105" s="74"/>
      <c r="B105" s="74"/>
      <c r="C105" s="74" t="s">
        <v>101</v>
      </c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</row>
    <row r="106" spans="1:15" x14ac:dyDescent="0.25">
      <c r="A106" s="74"/>
      <c r="B106" s="74"/>
      <c r="C106" s="74" t="s">
        <v>101</v>
      </c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</row>
    <row r="107" spans="1:15" x14ac:dyDescent="0.25">
      <c r="A107" s="74"/>
      <c r="B107" s="74"/>
      <c r="C107" s="74" t="s">
        <v>101</v>
      </c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</row>
    <row r="108" spans="1:15" x14ac:dyDescent="0.25">
      <c r="A108" s="74"/>
      <c r="B108" s="74"/>
      <c r="C108" s="74" t="s">
        <v>101</v>
      </c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</row>
    <row r="109" spans="1:15" x14ac:dyDescent="0.25">
      <c r="A109" s="74"/>
      <c r="B109" s="74"/>
      <c r="C109" s="74" t="s">
        <v>101</v>
      </c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</row>
    <row r="110" spans="1:15" x14ac:dyDescent="0.25">
      <c r="A110" s="74"/>
      <c r="B110" s="74"/>
      <c r="C110" s="74" t="s">
        <v>101</v>
      </c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</row>
    <row r="111" spans="1:15" x14ac:dyDescent="0.25">
      <c r="A111" s="74"/>
      <c r="B111" s="74"/>
      <c r="C111" s="74" t="s">
        <v>101</v>
      </c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</row>
    <row r="112" spans="1:15" x14ac:dyDescent="0.25">
      <c r="A112" s="74"/>
      <c r="B112" s="74"/>
      <c r="C112" s="74" t="s">
        <v>101</v>
      </c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</row>
    <row r="113" spans="1:15" x14ac:dyDescent="0.25">
      <c r="A113" s="74"/>
      <c r="B113" s="74"/>
      <c r="C113" s="74" t="s">
        <v>101</v>
      </c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</row>
    <row r="114" spans="1:15" x14ac:dyDescent="0.25">
      <c r="A114" s="74"/>
      <c r="B114" s="74"/>
      <c r="C114" s="74" t="s">
        <v>101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</row>
    <row r="115" spans="1:15" x14ac:dyDescent="0.25">
      <c r="A115" s="74"/>
      <c r="B115" s="74"/>
      <c r="C115" s="74" t="s">
        <v>101</v>
      </c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</row>
    <row r="116" spans="1:15" x14ac:dyDescent="0.25">
      <c r="A116" s="74"/>
      <c r="B116" s="74"/>
      <c r="C116" s="74" t="s">
        <v>101</v>
      </c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</row>
    <row r="117" spans="1:15" x14ac:dyDescent="0.25">
      <c r="A117" s="74"/>
      <c r="B117" s="74"/>
      <c r="C117" s="74" t="s">
        <v>101</v>
      </c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</row>
    <row r="118" spans="1:15" x14ac:dyDescent="0.25">
      <c r="A118" s="74"/>
      <c r="B118" s="74"/>
      <c r="C118" s="74" t="s">
        <v>101</v>
      </c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</row>
    <row r="119" spans="1:15" x14ac:dyDescent="0.25">
      <c r="A119" s="74"/>
      <c r="B119" s="74"/>
      <c r="C119" s="74" t="s">
        <v>101</v>
      </c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</row>
    <row r="120" spans="1:15" x14ac:dyDescent="0.25">
      <c r="A120" s="74"/>
      <c r="B120" s="74"/>
      <c r="C120" s="74" t="s">
        <v>101</v>
      </c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</row>
    <row r="121" spans="1:15" x14ac:dyDescent="0.25">
      <c r="A121" s="74"/>
      <c r="B121" s="74"/>
      <c r="C121" s="74" t="s">
        <v>101</v>
      </c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</row>
    <row r="122" spans="1:15" x14ac:dyDescent="0.25">
      <c r="A122" s="74"/>
      <c r="B122" s="74"/>
      <c r="C122" s="74" t="s">
        <v>101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</row>
    <row r="123" spans="1:15" x14ac:dyDescent="0.25">
      <c r="A123" s="74"/>
      <c r="B123" s="74"/>
      <c r="C123" s="74" t="s">
        <v>101</v>
      </c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</row>
    <row r="124" spans="1:15" x14ac:dyDescent="0.25">
      <c r="A124" s="74"/>
      <c r="B124" s="74"/>
      <c r="C124" s="74" t="s">
        <v>101</v>
      </c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</row>
    <row r="125" spans="1:15" x14ac:dyDescent="0.25">
      <c r="A125" s="74"/>
      <c r="B125" s="74"/>
      <c r="C125" s="74" t="s">
        <v>101</v>
      </c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</row>
    <row r="126" spans="1:15" x14ac:dyDescent="0.25">
      <c r="A126" s="74"/>
      <c r="B126" s="74"/>
      <c r="C126" s="74" t="s">
        <v>101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</row>
    <row r="127" spans="1:15" x14ac:dyDescent="0.25">
      <c r="A127" s="74"/>
      <c r="B127" s="74"/>
      <c r="C127" s="74" t="s">
        <v>101</v>
      </c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</row>
    <row r="128" spans="1:15" x14ac:dyDescent="0.25">
      <c r="A128" s="74"/>
      <c r="B128" s="74"/>
      <c r="C128" s="74" t="s">
        <v>101</v>
      </c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</row>
    <row r="129" spans="1:15" x14ac:dyDescent="0.25">
      <c r="A129" s="74"/>
      <c r="B129" s="74"/>
      <c r="C129" s="74" t="s">
        <v>101</v>
      </c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</row>
    <row r="130" spans="1:15" x14ac:dyDescent="0.25">
      <c r="A130" s="74"/>
      <c r="B130" s="74"/>
      <c r="C130" s="74" t="s">
        <v>101</v>
      </c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</row>
    <row r="131" spans="1:15" x14ac:dyDescent="0.25">
      <c r="A131" s="74"/>
      <c r="B131" s="74"/>
      <c r="C131" s="74" t="s">
        <v>101</v>
      </c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</row>
    <row r="132" spans="1:15" x14ac:dyDescent="0.25">
      <c r="A132" s="74"/>
      <c r="B132" s="74"/>
      <c r="C132" s="74" t="s">
        <v>101</v>
      </c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</row>
    <row r="133" spans="1:15" x14ac:dyDescent="0.25">
      <c r="A133" s="74"/>
      <c r="B133" s="74"/>
      <c r="C133" s="74" t="s">
        <v>101</v>
      </c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</row>
    <row r="134" spans="1:15" x14ac:dyDescent="0.25">
      <c r="A134" s="74"/>
      <c r="B134" s="74"/>
      <c r="C134" s="74" t="s">
        <v>101</v>
      </c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</row>
    <row r="135" spans="1:15" x14ac:dyDescent="0.25">
      <c r="A135" s="74"/>
      <c r="B135" s="74"/>
      <c r="C135" s="74" t="s">
        <v>101</v>
      </c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</row>
    <row r="136" spans="1:15" x14ac:dyDescent="0.25">
      <c r="A136" s="74"/>
      <c r="B136" s="74"/>
      <c r="C136" s="74" t="s">
        <v>101</v>
      </c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</row>
    <row r="137" spans="1:15" x14ac:dyDescent="0.25">
      <c r="A137" s="74"/>
      <c r="B137" s="74"/>
      <c r="C137" s="74" t="s">
        <v>101</v>
      </c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</row>
    <row r="138" spans="1:15" x14ac:dyDescent="0.25">
      <c r="A138" s="74"/>
      <c r="B138" s="74"/>
      <c r="C138" s="74" t="s">
        <v>101</v>
      </c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</row>
    <row r="139" spans="1:15" x14ac:dyDescent="0.25">
      <c r="A139" s="74"/>
      <c r="B139" s="74"/>
      <c r="C139" s="74" t="s">
        <v>101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</row>
    <row r="140" spans="1:15" x14ac:dyDescent="0.25">
      <c r="A140" s="74"/>
      <c r="B140" s="74"/>
      <c r="C140" s="74" t="s">
        <v>101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</row>
    <row r="141" spans="1:15" x14ac:dyDescent="0.25">
      <c r="A141" s="74"/>
      <c r="B141" s="74"/>
      <c r="C141" s="74" t="s">
        <v>101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</row>
    <row r="142" spans="1:15" x14ac:dyDescent="0.25">
      <c r="A142" s="74"/>
      <c r="B142" s="74"/>
      <c r="C142" s="74" t="s">
        <v>101</v>
      </c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</row>
    <row r="143" spans="1:15" x14ac:dyDescent="0.25">
      <c r="A143" s="74"/>
      <c r="B143" s="74"/>
      <c r="C143" s="74" t="s">
        <v>101</v>
      </c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</row>
    <row r="144" spans="1:15" x14ac:dyDescent="0.25">
      <c r="A144" s="74"/>
      <c r="B144" s="74"/>
      <c r="C144" s="74" t="s">
        <v>101</v>
      </c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</row>
    <row r="145" spans="1:15" x14ac:dyDescent="0.25">
      <c r="A145" s="74"/>
      <c r="B145" s="74"/>
      <c r="C145" s="74" t="s">
        <v>101</v>
      </c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</row>
    <row r="146" spans="1:15" x14ac:dyDescent="0.25">
      <c r="A146" s="74"/>
      <c r="B146" s="74"/>
      <c r="C146" s="74" t="s">
        <v>101</v>
      </c>
      <c r="D146" s="74"/>
      <c r="E146" s="74"/>
      <c r="F146" s="74"/>
      <c r="G146" s="74"/>
      <c r="H146" s="74"/>
      <c r="I146" s="74"/>
      <c r="J146" s="74"/>
      <c r="K146" s="74"/>
    </row>
    <row r="147" spans="1:15" x14ac:dyDescent="0.25">
      <c r="A147" s="74"/>
      <c r="B147" s="74"/>
      <c r="C147" s="74" t="s">
        <v>101</v>
      </c>
      <c r="D147" s="74"/>
      <c r="E147" s="74"/>
      <c r="F147" s="74"/>
      <c r="G147" s="74"/>
      <c r="H147" s="74"/>
      <c r="I147" s="74"/>
      <c r="J147" s="74"/>
      <c r="K147" s="74"/>
    </row>
    <row r="148" spans="1:15" x14ac:dyDescent="0.25">
      <c r="A148" s="74"/>
      <c r="B148" s="74"/>
      <c r="C148" s="74" t="s">
        <v>101</v>
      </c>
      <c r="D148" s="74"/>
      <c r="E148" s="74"/>
      <c r="F148" s="74"/>
      <c r="G148" s="74"/>
      <c r="H148" s="74"/>
      <c r="I148" s="74"/>
      <c r="J148" s="74"/>
      <c r="K148" s="74"/>
    </row>
    <row r="149" spans="1:15" x14ac:dyDescent="0.25">
      <c r="C149" t="s">
        <v>101</v>
      </c>
    </row>
    <row r="150" spans="1:15" x14ac:dyDescent="0.25">
      <c r="C150" t="s">
        <v>101</v>
      </c>
    </row>
    <row r="151" spans="1:15" x14ac:dyDescent="0.25">
      <c r="C151" t="s">
        <v>101</v>
      </c>
    </row>
    <row r="152" spans="1:15" x14ac:dyDescent="0.25">
      <c r="C152" t="s">
        <v>101</v>
      </c>
    </row>
    <row r="153" spans="1:15" x14ac:dyDescent="0.25">
      <c r="C153" t="s">
        <v>101</v>
      </c>
    </row>
    <row r="154" spans="1:15" x14ac:dyDescent="0.25">
      <c r="C154" t="s">
        <v>101</v>
      </c>
    </row>
    <row r="155" spans="1:15" x14ac:dyDescent="0.25">
      <c r="C155" t="s">
        <v>101</v>
      </c>
    </row>
    <row r="156" spans="1:15" x14ac:dyDescent="0.25">
      <c r="C156" t="s">
        <v>101</v>
      </c>
    </row>
    <row r="157" spans="1:15" x14ac:dyDescent="0.25">
      <c r="C157" t="s">
        <v>101</v>
      </c>
    </row>
    <row r="158" spans="1:15" x14ac:dyDescent="0.25">
      <c r="C158" t="s">
        <v>101</v>
      </c>
    </row>
    <row r="159" spans="1:15" x14ac:dyDescent="0.25">
      <c r="C159" t="s">
        <v>101</v>
      </c>
    </row>
    <row r="160" spans="1:15" x14ac:dyDescent="0.25">
      <c r="C160" t="s">
        <v>101</v>
      </c>
    </row>
    <row r="161" spans="3:3" x14ac:dyDescent="0.25">
      <c r="C161" t="s">
        <v>101</v>
      </c>
    </row>
    <row r="162" spans="3:3" x14ac:dyDescent="0.25">
      <c r="C162" t="s">
        <v>101</v>
      </c>
    </row>
    <row r="163" spans="3:3" x14ac:dyDescent="0.25">
      <c r="C163" t="s">
        <v>101</v>
      </c>
    </row>
    <row r="164" spans="3:3" x14ac:dyDescent="0.25">
      <c r="C164" t="s">
        <v>101</v>
      </c>
    </row>
    <row r="165" spans="3:3" x14ac:dyDescent="0.25">
      <c r="C165" t="s">
        <v>101</v>
      </c>
    </row>
    <row r="166" spans="3:3" x14ac:dyDescent="0.25">
      <c r="C166" t="s">
        <v>101</v>
      </c>
    </row>
    <row r="167" spans="3:3" x14ac:dyDescent="0.25">
      <c r="C167" t="s">
        <v>101</v>
      </c>
    </row>
    <row r="168" spans="3:3" x14ac:dyDescent="0.25">
      <c r="C168" t="s">
        <v>101</v>
      </c>
    </row>
    <row r="169" spans="3:3" x14ac:dyDescent="0.25">
      <c r="C169" t="s">
        <v>101</v>
      </c>
    </row>
    <row r="170" spans="3:3" x14ac:dyDescent="0.25">
      <c r="C170" t="s">
        <v>101</v>
      </c>
    </row>
    <row r="171" spans="3:3" x14ac:dyDescent="0.25">
      <c r="C171" t="s">
        <v>101</v>
      </c>
    </row>
    <row r="172" spans="3:3" x14ac:dyDescent="0.25">
      <c r="C172" t="s">
        <v>101</v>
      </c>
    </row>
    <row r="173" spans="3:3" x14ac:dyDescent="0.25">
      <c r="C173" t="s">
        <v>101</v>
      </c>
    </row>
    <row r="174" spans="3:3" x14ac:dyDescent="0.25">
      <c r="C174" t="s">
        <v>101</v>
      </c>
    </row>
    <row r="175" spans="3:3" x14ac:dyDescent="0.25">
      <c r="C175" t="s">
        <v>101</v>
      </c>
    </row>
    <row r="176" spans="3:3" x14ac:dyDescent="0.25">
      <c r="C176" t="s">
        <v>101</v>
      </c>
    </row>
    <row r="177" spans="3:3" x14ac:dyDescent="0.25">
      <c r="C177" t="s">
        <v>101</v>
      </c>
    </row>
    <row r="178" spans="3:3" x14ac:dyDescent="0.25">
      <c r="C178" t="s">
        <v>101</v>
      </c>
    </row>
    <row r="179" spans="3:3" x14ac:dyDescent="0.25">
      <c r="C179" t="s">
        <v>101</v>
      </c>
    </row>
    <row r="180" spans="3:3" x14ac:dyDescent="0.25">
      <c r="C180" t="s">
        <v>101</v>
      </c>
    </row>
    <row r="181" spans="3:3" x14ac:dyDescent="0.25">
      <c r="C181" t="s">
        <v>101</v>
      </c>
    </row>
    <row r="182" spans="3:3" x14ac:dyDescent="0.25">
      <c r="C182" t="s">
        <v>101</v>
      </c>
    </row>
    <row r="183" spans="3:3" x14ac:dyDescent="0.25">
      <c r="C183" t="s">
        <v>101</v>
      </c>
    </row>
    <row r="184" spans="3:3" x14ac:dyDescent="0.25">
      <c r="C184" t="s">
        <v>101</v>
      </c>
    </row>
    <row r="185" spans="3:3" x14ac:dyDescent="0.25">
      <c r="C185" t="s">
        <v>101</v>
      </c>
    </row>
    <row r="186" spans="3:3" x14ac:dyDescent="0.25">
      <c r="C186" t="s">
        <v>101</v>
      </c>
    </row>
    <row r="187" spans="3:3" x14ac:dyDescent="0.25">
      <c r="C187" t="s">
        <v>101</v>
      </c>
    </row>
    <row r="188" spans="3:3" x14ac:dyDescent="0.25">
      <c r="C188" t="s">
        <v>101</v>
      </c>
    </row>
    <row r="189" spans="3:3" x14ac:dyDescent="0.25">
      <c r="C189" t="s">
        <v>101</v>
      </c>
    </row>
    <row r="190" spans="3:3" x14ac:dyDescent="0.25">
      <c r="C190" t="s">
        <v>101</v>
      </c>
    </row>
    <row r="191" spans="3:3" x14ac:dyDescent="0.25">
      <c r="C191" t="s">
        <v>101</v>
      </c>
    </row>
    <row r="192" spans="3:3" x14ac:dyDescent="0.25">
      <c r="C192" t="s">
        <v>101</v>
      </c>
    </row>
    <row r="193" spans="3:3" x14ac:dyDescent="0.25">
      <c r="C193" t="s">
        <v>101</v>
      </c>
    </row>
    <row r="194" spans="3:3" x14ac:dyDescent="0.25">
      <c r="C194" t="s">
        <v>101</v>
      </c>
    </row>
    <row r="195" spans="3:3" x14ac:dyDescent="0.25">
      <c r="C195" t="s">
        <v>101</v>
      </c>
    </row>
    <row r="196" spans="3:3" x14ac:dyDescent="0.25">
      <c r="C196" t="s">
        <v>101</v>
      </c>
    </row>
    <row r="197" spans="3:3" x14ac:dyDescent="0.25">
      <c r="C197" t="s">
        <v>101</v>
      </c>
    </row>
    <row r="198" spans="3:3" x14ac:dyDescent="0.25">
      <c r="C198" t="s">
        <v>101</v>
      </c>
    </row>
    <row r="199" spans="3:3" x14ac:dyDescent="0.25">
      <c r="C199" t="s">
        <v>101</v>
      </c>
    </row>
    <row r="200" spans="3:3" x14ac:dyDescent="0.25">
      <c r="C200" t="s">
        <v>101</v>
      </c>
    </row>
    <row r="201" spans="3:3" x14ac:dyDescent="0.25">
      <c r="C201" t="s">
        <v>101</v>
      </c>
    </row>
    <row r="202" spans="3:3" x14ac:dyDescent="0.25">
      <c r="C202" t="s">
        <v>101</v>
      </c>
    </row>
    <row r="203" spans="3:3" x14ac:dyDescent="0.25">
      <c r="C203" t="s">
        <v>101</v>
      </c>
    </row>
    <row r="204" spans="3:3" x14ac:dyDescent="0.25">
      <c r="C204" t="s">
        <v>101</v>
      </c>
    </row>
    <row r="205" spans="3:3" x14ac:dyDescent="0.25">
      <c r="C205" t="s">
        <v>101</v>
      </c>
    </row>
    <row r="206" spans="3:3" x14ac:dyDescent="0.25">
      <c r="C206" t="s">
        <v>101</v>
      </c>
    </row>
    <row r="207" spans="3:3" x14ac:dyDescent="0.25">
      <c r="C207" t="s">
        <v>101</v>
      </c>
    </row>
    <row r="208" spans="3:3" x14ac:dyDescent="0.25">
      <c r="C208" t="s">
        <v>101</v>
      </c>
    </row>
    <row r="209" spans="3:3" x14ac:dyDescent="0.25">
      <c r="C209" t="s">
        <v>101</v>
      </c>
    </row>
    <row r="210" spans="3:3" x14ac:dyDescent="0.25">
      <c r="C210" t="s">
        <v>101</v>
      </c>
    </row>
    <row r="211" spans="3:3" x14ac:dyDescent="0.25">
      <c r="C211" t="s">
        <v>101</v>
      </c>
    </row>
    <row r="212" spans="3:3" x14ac:dyDescent="0.25">
      <c r="C212" t="s">
        <v>101</v>
      </c>
    </row>
  </sheetData>
  <hyperlinks>
    <hyperlink ref="M5" r:id="rId1" location="section-5" xr:uid="{00000000-0004-0000-0200-00000000000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0AFF-51DA-4B9E-B3C5-7CDF2B3E59E0}">
  <dimension ref="A1:M24"/>
  <sheetViews>
    <sheetView workbookViewId="0">
      <selection activeCell="A17" sqref="A17"/>
    </sheetView>
  </sheetViews>
  <sheetFormatPr defaultRowHeight="13.5" x14ac:dyDescent="0.25"/>
  <cols>
    <col min="1" max="1" width="24.25" bestFit="1" customWidth="1"/>
    <col min="2" max="2" width="9.125" bestFit="1" customWidth="1"/>
    <col min="3" max="3" width="15.5" bestFit="1" customWidth="1"/>
    <col min="4" max="4" width="9.125" bestFit="1" customWidth="1"/>
    <col min="5" max="5" width="9.5" bestFit="1" customWidth="1"/>
    <col min="6" max="6" width="24.625" bestFit="1" customWidth="1"/>
    <col min="7" max="7" width="11" customWidth="1"/>
    <col min="8" max="8" width="10.25" customWidth="1"/>
    <col min="9" max="9" width="10.375" customWidth="1"/>
    <col min="10" max="10" width="13.25" customWidth="1"/>
  </cols>
  <sheetData>
    <row r="1" spans="1:13" x14ac:dyDescent="0.25">
      <c r="A1" s="107" t="s">
        <v>235</v>
      </c>
      <c r="D1" s="107" t="s">
        <v>242</v>
      </c>
    </row>
    <row r="2" spans="1:13" ht="27" x14ac:dyDescent="0.25">
      <c r="A2" s="11" t="s">
        <v>212</v>
      </c>
      <c r="B2" s="11" t="str">
        <f>Main!CL2</f>
        <v>R-34</v>
      </c>
      <c r="D2" s="114" t="s">
        <v>220</v>
      </c>
      <c r="E2" s="114"/>
      <c r="F2" s="11" t="s">
        <v>223</v>
      </c>
      <c r="G2" s="11" t="s">
        <v>224</v>
      </c>
      <c r="H2" s="11" t="s">
        <v>225</v>
      </c>
      <c r="I2" s="11" t="s">
        <v>226</v>
      </c>
      <c r="J2" s="11" t="s">
        <v>227</v>
      </c>
    </row>
    <row r="3" spans="1:13" x14ac:dyDescent="0.25">
      <c r="A3" s="3" t="s">
        <v>213</v>
      </c>
      <c r="B3" s="101">
        <f>Main!CZ5</f>
        <v>0.36712749615975421</v>
      </c>
      <c r="D3" s="103" t="str">
        <f>Main!$CL$2</f>
        <v>R-34</v>
      </c>
      <c r="E3" s="104" t="s">
        <v>221</v>
      </c>
      <c r="F3" s="48">
        <f>Main!V4</f>
        <v>962.6</v>
      </c>
      <c r="G3" s="48">
        <f>Main!CM4</f>
        <v>0.05</v>
      </c>
      <c r="H3" s="48">
        <f>Main!CO4</f>
        <v>44.8</v>
      </c>
      <c r="I3" s="48">
        <f>Main!CP4</f>
        <v>2.9</v>
      </c>
      <c r="J3" s="49">
        <f>MIN(RecData[HH Wind Speed (m/s)])</f>
        <v>0.36318024992942799</v>
      </c>
    </row>
    <row r="4" spans="1:13" x14ac:dyDescent="0.25">
      <c r="A4" s="3" t="s">
        <v>206</v>
      </c>
      <c r="B4" s="101">
        <f>Main!DB5</f>
        <v>0.3294930875576037</v>
      </c>
      <c r="D4" s="103"/>
      <c r="E4" s="104" t="s">
        <v>222</v>
      </c>
      <c r="F4" s="48">
        <f>Main!V5</f>
        <v>979</v>
      </c>
      <c r="G4" s="48">
        <f>Main!CM5</f>
        <v>3.12</v>
      </c>
      <c r="H4" s="48">
        <f>Main!CO5</f>
        <v>94.7</v>
      </c>
      <c r="I4" s="48">
        <f>Main!CP5</f>
        <v>17.100000000000001</v>
      </c>
      <c r="J4" s="49">
        <f>MAX(RecData[HH Wind Speed (m/s)])</f>
        <v>13.902798652648899</v>
      </c>
    </row>
    <row r="5" spans="1:13" x14ac:dyDescent="0.25">
      <c r="A5" s="3" t="s">
        <v>214</v>
      </c>
      <c r="B5" s="101">
        <f>Main!DE5</f>
        <v>0</v>
      </c>
      <c r="D5" s="103"/>
      <c r="E5" s="104"/>
      <c r="F5" s="48"/>
      <c r="G5" s="48"/>
      <c r="H5" s="48"/>
      <c r="I5" s="48"/>
      <c r="J5" s="49"/>
    </row>
    <row r="6" spans="1:13" x14ac:dyDescent="0.25">
      <c r="A6" s="3" t="s">
        <v>215</v>
      </c>
      <c r="B6" s="101">
        <f>Main!DG5</f>
        <v>0</v>
      </c>
    </row>
    <row r="7" spans="1:13" x14ac:dyDescent="0.25">
      <c r="A7" s="3" t="s">
        <v>219</v>
      </c>
      <c r="B7" s="101">
        <f>Main!DF5</f>
        <v>1.5360983102918587E-3</v>
      </c>
    </row>
    <row r="8" spans="1:13" x14ac:dyDescent="0.25">
      <c r="A8" s="3" t="s">
        <v>216</v>
      </c>
      <c r="B8" s="101">
        <f>Main!DI5</f>
        <v>1.5360983102918587E-3</v>
      </c>
      <c r="D8" s="106" t="s">
        <v>233</v>
      </c>
      <c r="E8" s="105">
        <f>Main!EG6</f>
        <v>60</v>
      </c>
    </row>
    <row r="9" spans="1:13" x14ac:dyDescent="0.25">
      <c r="A9" s="3" t="s">
        <v>218</v>
      </c>
      <c r="B9" s="101">
        <f>Main!DL5</f>
        <v>0.37634408602150538</v>
      </c>
      <c r="D9" s="106" t="s">
        <v>234</v>
      </c>
      <c r="E9" s="105">
        <f>Main!EH6</f>
        <v>30</v>
      </c>
    </row>
    <row r="10" spans="1:13" ht="27.6" customHeight="1" x14ac:dyDescent="0.25">
      <c r="A10" s="3" t="s">
        <v>217</v>
      </c>
      <c r="B10" s="101">
        <f>Main!DM5</f>
        <v>0.67972350230414746</v>
      </c>
      <c r="D10" s="108" t="s">
        <v>241</v>
      </c>
      <c r="E10" s="105"/>
    </row>
    <row r="11" spans="1:13" x14ac:dyDescent="0.25">
      <c r="D11" s="114" t="s">
        <v>220</v>
      </c>
      <c r="E11" s="114" t="s">
        <v>228</v>
      </c>
      <c r="F11" s="114" t="s">
        <v>229</v>
      </c>
      <c r="G11" s="114" t="s">
        <v>237</v>
      </c>
      <c r="H11" s="114"/>
      <c r="I11" s="114"/>
      <c r="J11" s="114"/>
      <c r="K11" s="114"/>
      <c r="L11" s="114"/>
      <c r="M11" s="114"/>
    </row>
    <row r="12" spans="1:13" x14ac:dyDescent="0.25">
      <c r="D12" s="114"/>
      <c r="E12" s="114"/>
      <c r="F12" s="114"/>
      <c r="G12" s="11">
        <v>1</v>
      </c>
      <c r="H12" s="11">
        <v>2</v>
      </c>
      <c r="I12" s="11">
        <v>3</v>
      </c>
      <c r="J12" s="11">
        <v>4</v>
      </c>
      <c r="K12" s="11">
        <v>5</v>
      </c>
      <c r="L12" s="11">
        <v>6</v>
      </c>
      <c r="M12" s="11">
        <v>7</v>
      </c>
    </row>
    <row r="13" spans="1:13" x14ac:dyDescent="0.25">
      <c r="D13" s="116" t="str">
        <f>Main!$CL$2</f>
        <v>R-34</v>
      </c>
      <c r="E13" s="116" t="s">
        <v>60</v>
      </c>
      <c r="F13" t="s">
        <v>230</v>
      </c>
      <c r="G13" s="102" t="e">
        <f>Main!#REF!</f>
        <v>#REF!</v>
      </c>
      <c r="H13" s="102" t="e">
        <f>Main!#REF!</f>
        <v>#REF!</v>
      </c>
      <c r="I13" s="102" t="e">
        <f>Main!#REF!</f>
        <v>#REF!</v>
      </c>
      <c r="J13" s="102" t="e">
        <f>Main!#REF!</f>
        <v>#REF!</v>
      </c>
      <c r="K13" s="102" t="e">
        <f>Main!#REF!</f>
        <v>#REF!</v>
      </c>
      <c r="L13" s="102" t="e">
        <f>Main!#REF!</f>
        <v>#REF!</v>
      </c>
      <c r="M13" s="102" t="e">
        <f>Main!#REF!</f>
        <v>#REF!</v>
      </c>
    </row>
    <row r="14" spans="1:13" x14ac:dyDescent="0.25">
      <c r="D14" s="116"/>
      <c r="E14" s="116"/>
      <c r="F14" t="s">
        <v>232</v>
      </c>
      <c r="G14" s="102" t="e">
        <f>IF($G13&lt;$E$8,"-",Main!#REF!)</f>
        <v>#REF!</v>
      </c>
      <c r="H14" s="102" t="e">
        <f>IF($H13&lt;$E$8,"-",Main!#REF!)</f>
        <v>#REF!</v>
      </c>
      <c r="I14" s="102" t="e">
        <f>IF($I13&lt;$E$8,"-",Main!#REF!)</f>
        <v>#REF!</v>
      </c>
      <c r="J14" s="102" t="e">
        <f>IF($J13&lt;$E$8,"-",Main!#REF!)</f>
        <v>#REF!</v>
      </c>
      <c r="K14" s="102" t="e">
        <f>IF($K13&lt;$E$8,"-",Main!#REF!)</f>
        <v>#REF!</v>
      </c>
      <c r="L14" s="102" t="e">
        <f>IF($L13&lt;$E$8,"-",Main!#REF!)</f>
        <v>#REF!</v>
      </c>
      <c r="M14" s="102" t="e">
        <f>IF($M13&lt;$E$8,"-",Main!#REF!)</f>
        <v>#REF!</v>
      </c>
    </row>
    <row r="15" spans="1:13" x14ac:dyDescent="0.25">
      <c r="D15" s="116"/>
      <c r="E15" s="116"/>
      <c r="F15" t="s">
        <v>3</v>
      </c>
      <c r="G15" s="102" t="e">
        <f>IF($G13&lt;$E$8,"-",Main!#REF!)</f>
        <v>#REF!</v>
      </c>
      <c r="H15" s="102" t="e">
        <f>IF($H13&lt;$E$8,"-",Main!#REF!)</f>
        <v>#REF!</v>
      </c>
      <c r="I15" s="102" t="e">
        <f>IF($I13&lt;$E$8,"-",Main!#REF!)</f>
        <v>#REF!</v>
      </c>
      <c r="J15" s="102" t="e">
        <f>IF($J13&lt;$E$8,"-",Main!#REF!)</f>
        <v>#REF!</v>
      </c>
      <c r="K15" s="102" t="e">
        <f>IF($K13&lt;$E$8,"-",Main!#REF!)</f>
        <v>#REF!</v>
      </c>
      <c r="L15" s="102" t="e">
        <f>IF($L13&lt;$E$8,"-",Main!#REF!)</f>
        <v>#REF!</v>
      </c>
      <c r="M15" s="102" t="e">
        <f>IF($M13&lt;$E$8,"-",Main!#REF!)</f>
        <v>#REF!</v>
      </c>
    </row>
    <row r="16" spans="1:13" x14ac:dyDescent="0.25">
      <c r="D16" s="116"/>
      <c r="E16" s="116" t="s">
        <v>5</v>
      </c>
      <c r="F16" t="s">
        <v>230</v>
      </c>
      <c r="G16" s="102" t="e">
        <f>Main!#REF!</f>
        <v>#REF!</v>
      </c>
      <c r="H16" s="102" t="e">
        <f>Main!#REF!</f>
        <v>#REF!</v>
      </c>
      <c r="I16" s="102" t="e">
        <f>Main!#REF!</f>
        <v>#REF!</v>
      </c>
      <c r="J16" s="102" t="e">
        <f>Main!#REF!</f>
        <v>#REF!</v>
      </c>
      <c r="K16" s="102" t="e">
        <f>Main!#REF!</f>
        <v>#REF!</v>
      </c>
      <c r="L16" s="102" t="e">
        <f>Main!#REF!</f>
        <v>#REF!</v>
      </c>
      <c r="M16" s="102" t="e">
        <f>Main!#REF!</f>
        <v>#REF!</v>
      </c>
    </row>
    <row r="17" spans="4:13" x14ac:dyDescent="0.25">
      <c r="D17" s="116"/>
      <c r="E17" s="116"/>
      <c r="F17" t="s">
        <v>231</v>
      </c>
      <c r="G17" s="102" t="e">
        <f>IF($G13&lt;$E$9,"-",Main!#REF!)</f>
        <v>#REF!</v>
      </c>
      <c r="H17" s="102" t="e">
        <f>IF($H13&lt;$E$9,"-",Main!#REF!)</f>
        <v>#REF!</v>
      </c>
      <c r="I17" s="102" t="e">
        <f>IF($I13&lt;$E$9,"-",Main!#REF!)</f>
        <v>#REF!</v>
      </c>
      <c r="J17" s="102" t="e">
        <f>IF($J13&lt;$E$9,"-",Main!#REF!)</f>
        <v>#REF!</v>
      </c>
      <c r="K17" s="102" t="e">
        <f>IF($K13&lt;$E$9,"-",Main!#REF!)</f>
        <v>#REF!</v>
      </c>
      <c r="L17" s="102" t="e">
        <f>IF($L13&lt;$E$9,"-",Main!#REF!)</f>
        <v>#REF!</v>
      </c>
      <c r="M17" s="102" t="e">
        <f>IF($M13&lt;$E$9,"-",Main!#REF!)</f>
        <v>#REF!</v>
      </c>
    </row>
    <row r="18" spans="4:13" ht="13.9" customHeight="1" x14ac:dyDescent="0.25">
      <c r="D18" s="116"/>
      <c r="E18" s="116"/>
      <c r="F18" t="s">
        <v>3</v>
      </c>
      <c r="G18" s="102" t="e">
        <f>IF($G13&lt;$E$9,"-",Main!#REF!)</f>
        <v>#REF!</v>
      </c>
      <c r="H18" s="102" t="e">
        <f>IF($H13&lt;$E$9,"-",Main!#REF!)</f>
        <v>#REF!</v>
      </c>
      <c r="I18" s="102" t="e">
        <f>IF($I13&lt;$E$9,"-",Main!#REF!)</f>
        <v>#REF!</v>
      </c>
      <c r="J18" s="102" t="e">
        <f>IF($J13&lt;$E$9,"-",Main!#REF!)</f>
        <v>#REF!</v>
      </c>
      <c r="K18" s="102" t="e">
        <f>IF($K13&lt;$E$9,"-",Main!#REF!)</f>
        <v>#REF!</v>
      </c>
      <c r="L18" s="102" t="e">
        <f>IF($L13&lt;$E$9,"-",Main!#REF!)</f>
        <v>#REF!</v>
      </c>
      <c r="M18" s="102" t="e">
        <f>IF($M13&lt;$E$9,"-",Main!#REF!)</f>
        <v>#REF!</v>
      </c>
    </row>
    <row r="19" spans="4:13" x14ac:dyDescent="0.25">
      <c r="D19" s="103"/>
      <c r="E19" s="103"/>
      <c r="G19" s="102"/>
      <c r="H19" s="102"/>
      <c r="I19" s="102"/>
      <c r="J19" s="102"/>
      <c r="K19" s="102"/>
      <c r="L19" s="102"/>
      <c r="M19" s="102"/>
    </row>
    <row r="20" spans="4:13" x14ac:dyDescent="0.25">
      <c r="E20" s="107" t="s">
        <v>240</v>
      </c>
    </row>
    <row r="21" spans="4:13" x14ac:dyDescent="0.25">
      <c r="E21" s="114" t="s">
        <v>236</v>
      </c>
      <c r="F21" s="114" t="s">
        <v>238</v>
      </c>
      <c r="G21" s="114" t="s">
        <v>237</v>
      </c>
      <c r="H21" s="114"/>
      <c r="I21" s="114"/>
      <c r="J21" s="114"/>
      <c r="K21" s="114"/>
      <c r="L21" s="114"/>
      <c r="M21" s="114"/>
    </row>
    <row r="22" spans="4:13" x14ac:dyDescent="0.25">
      <c r="E22" s="114"/>
      <c r="F22" s="114"/>
      <c r="G22" s="11">
        <v>1</v>
      </c>
      <c r="H22" s="11">
        <v>2</v>
      </c>
      <c r="I22" s="11">
        <v>3</v>
      </c>
      <c r="J22" s="11">
        <v>4</v>
      </c>
      <c r="K22" s="11">
        <v>5</v>
      </c>
      <c r="L22" s="11">
        <v>6</v>
      </c>
      <c r="M22" s="11">
        <v>7</v>
      </c>
    </row>
    <row r="23" spans="4:13" x14ac:dyDescent="0.25">
      <c r="E23" s="115" t="str">
        <f>Main!$CL$2</f>
        <v>R-34</v>
      </c>
      <c r="F23" t="str">
        <f>Main!CL1 &amp; " only"</f>
        <v>BOW LAKE only</v>
      </c>
      <c r="G23" s="102" t="e">
        <f>IF(OR(G$13&lt;$E$8,G$16&lt;$E$9),"-",Main!#REF!)</f>
        <v>#REF!</v>
      </c>
      <c r="H23" s="102" t="e">
        <f>IF(OR(H$13&lt;$E$8,H$16&lt;$E$9),"-",Main!#REF!)</f>
        <v>#REF!</v>
      </c>
      <c r="I23" s="102" t="e">
        <f>IF(OR(I$13&lt;$E$8,I$16&lt;$E$9),"-",Main!#REF!)</f>
        <v>#REF!</v>
      </c>
      <c r="J23" s="102" t="e">
        <f>IF(OR(J$13&lt;$E$8,J$16&lt;$E$9),"-",Main!#REF!)</f>
        <v>#REF!</v>
      </c>
      <c r="K23" s="102" t="e">
        <f>IF(OR(K$13&lt;$E$8,K$16&lt;$E$9),"-",Main!#REF!)</f>
        <v>#REF!</v>
      </c>
      <c r="L23" s="102" t="e">
        <f>IF(OR(L$13&lt;$E$8,L$16&lt;$E$9),"-",Main!#REF!)</f>
        <v>#REF!</v>
      </c>
      <c r="M23" s="102" t="e">
        <f>IF(OR(M$13&lt;$E$8,M$16&lt;$E$9),"-",Main!#REF!)</f>
        <v>#REF!</v>
      </c>
    </row>
    <row r="24" spans="4:13" x14ac:dyDescent="0.25">
      <c r="E24" s="115"/>
      <c r="F24" t="s">
        <v>239</v>
      </c>
      <c r="G24" s="102" t="e">
        <f>IF(OR(G$13&lt;$E$8,G$16&lt;$E$9),"-",Main!#REF!)</f>
        <v>#REF!</v>
      </c>
      <c r="H24" s="102" t="e">
        <f>IF(OR(H$13&lt;$E$8,H$16&lt;$E$9),"-",Main!#REF!)</f>
        <v>#REF!</v>
      </c>
      <c r="I24" s="102" t="e">
        <f>IF(OR(I$13&lt;$E$8,I$16&lt;$E$9),"-",Main!#REF!)</f>
        <v>#REF!</v>
      </c>
      <c r="J24" s="102" t="e">
        <f>IF(OR(J$13&lt;$E$8,J$16&lt;$E$9),"-",Main!#REF!)</f>
        <v>#REF!</v>
      </c>
      <c r="K24" s="102" t="e">
        <f>IF(OR(K$13&lt;$E$8,K$16&lt;$E$9),"-",Main!#REF!)</f>
        <v>#REF!</v>
      </c>
      <c r="L24" s="102" t="e">
        <f>IF(OR(L$13&lt;$E$8,L$16&lt;$E$9),"-",Main!#REF!)</f>
        <v>#REF!</v>
      </c>
      <c r="M24" s="102" t="e">
        <f>IF(OR(M$13&lt;$E$8,M$16&lt;$E$9),"-",Main!#REF!)</f>
        <v>#REF!</v>
      </c>
    </row>
  </sheetData>
  <mergeCells count="12">
    <mergeCell ref="G21:M21"/>
    <mergeCell ref="E21:E22"/>
    <mergeCell ref="F21:F22"/>
    <mergeCell ref="E23:E24"/>
    <mergeCell ref="D13:D18"/>
    <mergeCell ref="E13:E15"/>
    <mergeCell ref="E16:E18"/>
    <mergeCell ref="G11:M11"/>
    <mergeCell ref="F11:F12"/>
    <mergeCell ref="E11:E12"/>
    <mergeCell ref="D11:D12"/>
    <mergeCell ref="D2:E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Revision</vt:lpstr>
      <vt:lpstr>Main</vt:lpstr>
      <vt:lpstr>Agg. Angle</vt:lpstr>
      <vt:lpstr>Report Tables</vt:lpstr>
      <vt:lpstr>'Agg. Angle'!DW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Halstead;VSubbayya</dc:creator>
  <cp:lastModifiedBy>Luke Patterson</cp:lastModifiedBy>
  <dcterms:created xsi:type="dcterms:W3CDTF">2015-01-26T14:24:54Z</dcterms:created>
  <dcterms:modified xsi:type="dcterms:W3CDTF">2019-08-16T14:39:43Z</dcterms:modified>
</cp:coreProperties>
</file>